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drawings/drawing1.xml" ContentType="application/vnd.openxmlformats-officedocument.drawing+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สารบัญ" sheetId="1" state="visible" r:id="rId1"/>
    <sheet xmlns:r="http://schemas.openxmlformats.org/officeDocument/2006/relationships" name="Log_Quiz_Results" sheetId="2" state="visible" r:id="rId2"/>
    <sheet xmlns:r="http://schemas.openxmlformats.org/officeDocument/2006/relationships" name="🔍 รวมข้อสอบ &amp; กรองข้อมูล" sheetId="3" state="visible" r:id="rId3"/>
    <sheet xmlns:r="http://schemas.openxmlformats.org/officeDocument/2006/relationships" name="1. Musculoskeleton" sheetId="4" state="visible" r:id="rId4"/>
    <sheet xmlns:r="http://schemas.openxmlformats.org/officeDocument/2006/relationships" name="2. Cardiovascular" sheetId="5" state="visible" r:id="rId5"/>
    <sheet xmlns:r="http://schemas.openxmlformats.org/officeDocument/2006/relationships" name="3. Dermatologic" sheetId="6" state="visible" r:id="rId6"/>
    <sheet xmlns:r="http://schemas.openxmlformats.org/officeDocument/2006/relationships" name="4. Endocrine" sheetId="7" state="visible" r:id="rId7"/>
    <sheet xmlns:r="http://schemas.openxmlformats.org/officeDocument/2006/relationships" name="5. Gastrointestinal" sheetId="8" state="visible" r:id="rId8"/>
    <sheet xmlns:r="http://schemas.openxmlformats.org/officeDocument/2006/relationships" name="6. Hematologic" sheetId="9" state="visible" r:id="rId9"/>
    <sheet xmlns:r="http://schemas.openxmlformats.org/officeDocument/2006/relationships" name="7. Immunologic" sheetId="10" state="visible" r:id="rId10"/>
    <sheet xmlns:r="http://schemas.openxmlformats.org/officeDocument/2006/relationships" name="8. Infectious diseases" sheetId="11" state="visible" r:id="rId11"/>
    <sheet xmlns:r="http://schemas.openxmlformats.org/officeDocument/2006/relationships" name="9. Neurologic" sheetId="12" state="visible" r:id="rId12"/>
    <sheet xmlns:r="http://schemas.openxmlformats.org/officeDocument/2006/relationships" name="10. Psychiatric" sheetId="13" state="visible" r:id="rId13"/>
    <sheet xmlns:r="http://schemas.openxmlformats.org/officeDocument/2006/relationships" name="11. Pulmonary" sheetId="14" state="visible" r:id="rId14"/>
    <sheet xmlns:r="http://schemas.openxmlformats.org/officeDocument/2006/relationships" name="12. GynaecologicGenitourinary" sheetId="15" state="visible" r:id="rId15"/>
    <sheet xmlns:r="http://schemas.openxmlformats.org/officeDocument/2006/relationships" name="13. Eye disorder" sheetId="16" state="visible" r:id="rId16"/>
    <sheet xmlns:r="http://schemas.openxmlformats.org/officeDocument/2006/relationships" name="14. Oncologic" sheetId="17" state="visible" r:id="rId17"/>
    <sheet xmlns:r="http://schemas.openxmlformats.org/officeDocument/2006/relationships" name="15. Renal" sheetId="18" state="visible" r:id="rId18"/>
    <sheet xmlns:r="http://schemas.openxmlformats.org/officeDocument/2006/relationships" name="16. Others &amp; Toxic" sheetId="19" state="visible" r:id="rId19"/>
    <sheet xmlns:r="http://schemas.openxmlformats.org/officeDocument/2006/relationships" name="1. Titrations" sheetId="20" state="visible" r:id="rId20"/>
    <sheet xmlns:r="http://schemas.openxmlformats.org/officeDocument/2006/relationships" name="2. Chromatography" sheetId="21" state="visible" r:id="rId21"/>
    <sheet xmlns:r="http://schemas.openxmlformats.org/officeDocument/2006/relationships" name="3. Spectroscopy &amp; Optics" sheetId="22" state="visible" r:id="rId22"/>
    <sheet xmlns:r="http://schemas.openxmlformats.org/officeDocument/2006/relationships" name="4. Preformulation &amp; GMP" sheetId="23" state="visible" r:id="rId23"/>
    <sheet xmlns:r="http://schemas.openxmlformats.org/officeDocument/2006/relationships" name="5. Pharmaceutical Calc" sheetId="24" state="visible" r:id="rId24"/>
    <sheet xmlns:r="http://schemas.openxmlformats.org/officeDocument/2006/relationships" name="6. Solid Dosage Forms" sheetId="25" state="visible" r:id="rId25"/>
    <sheet xmlns:r="http://schemas.openxmlformats.org/officeDocument/2006/relationships" name="7. Liquid &amp; Semisolids" sheetId="26" state="visible" r:id="rId26"/>
    <sheet xmlns:r="http://schemas.openxmlformats.org/officeDocument/2006/relationships" name="8. Biopharm &amp; Drug Release" sheetId="27" state="visible" r:id="rId27"/>
    <sheet xmlns:r="http://schemas.openxmlformats.org/officeDocument/2006/relationships" name="9. Sterile &amp; Special Forms" sheetId="28" state="visible" r:id="rId28"/>
    <sheet xmlns:r="http://schemas.openxmlformats.org/officeDocument/2006/relationships" name="10. Biotech Products" sheetId="29" state="visible" r:id="rId29"/>
    <sheet xmlns:r="http://schemas.openxmlformats.org/officeDocument/2006/relationships" name="11. Herbal Products" sheetId="30" state="visible" r:id="rId30"/>
    <sheet xmlns:r="http://schemas.openxmlformats.org/officeDocument/2006/relationships" name="12. Food Products &amp; QA" sheetId="31" state="visible" r:id="rId31"/>
    <sheet xmlns:r="http://schemas.openxmlformats.org/officeDocument/2006/relationships" name="13. Medicinal Chemistry" sheetId="32" state="visible" r:id="rId32"/>
    <sheet xmlns:r="http://schemas.openxmlformats.org/officeDocument/2006/relationships" name="1. Pharmacy Laws &amp; Ethics" sheetId="33" state="visible" r:id="rId33"/>
    <sheet xmlns:r="http://schemas.openxmlformats.org/officeDocument/2006/relationships" name="2. Pharmacy Administration &amp; Sy" sheetId="34" state="visible" r:id="rId34"/>
    <sheet xmlns:r="http://schemas.openxmlformats.org/officeDocument/2006/relationships" name="3. Research &amp; Biostats" sheetId="35" state="visible" r:id="rId35"/>
    <sheet xmlns:r="http://schemas.openxmlformats.org/officeDocument/2006/relationships" name="User_Profiles" sheetId="36" state="visible" r:id="rId36"/>
    <sheet xmlns:r="http://schemas.openxmlformats.org/officeDocument/2006/relationships" name="Community_Chat" sheetId="37" state="visible" r:id="rId37"/>
    <sheet xmlns:r="http://schemas.openxmlformats.org/officeDocument/2006/relationships" name="Report_Quiz_Issues" sheetId="38" state="visible" r:id="rId38"/>
    <sheet xmlns:r="http://schemas.openxmlformats.org/officeDocument/2006/relationships" name="18. Clinical Nutrition" sheetId="39" state="visible" r:id="rId39"/>
    <sheet xmlns:r="http://schemas.openxmlformats.org/officeDocument/2006/relationships" name="17. Herbal Medicine" sheetId="40" state="visible" r:id="rId40"/>
  </sheets>
  <definedNames/>
  <calcPr calcId="191029" fullCalcOnLoad="1"/>
</workbook>
</file>

<file path=xl/styles.xml><?xml version="1.0" encoding="utf-8"?>
<styleSheet xmlns="http://schemas.openxmlformats.org/spreadsheetml/2006/main">
  <numFmts count="0"/>
  <fonts count="14">
    <font>
      <name val="Arial"/>
      <color rgb="FF000000"/>
      <sz val="10"/>
      <scheme val="minor"/>
    </font>
    <font>
      <name val="Arial"/>
      <b val="1"/>
      <color rgb="FFFFFFFF"/>
      <sz val="10"/>
      <scheme val="minor"/>
    </font>
    <font>
      <name val="Arial"/>
      <color theme="1"/>
      <sz val="10"/>
      <scheme val="minor"/>
    </font>
    <font>
      <name val="Bai Jamjuree"/>
      <b val="1"/>
      <color rgb="FF0C47A0"/>
      <sz val="11"/>
    </font>
    <font>
      <name val="Bai Jamjuree"/>
      <b val="1"/>
      <color rgb="FFFFFFFF"/>
      <sz val="10"/>
    </font>
    <font>
      <name val="Bai Jamjuree"/>
      <b val="1"/>
      <color rgb="FF191919"/>
      <sz val="10"/>
    </font>
    <font>
      <name val="Bai Jamjuree"/>
      <color theme="1"/>
      <sz val="10"/>
    </font>
    <font>
      <name val="Arial"/>
      <color rgb="FF0000FF"/>
      <sz val="10"/>
      <u val="single"/>
    </font>
    <font>
      <name val="Bai Jamjuree"/>
      <b val="1"/>
      <color rgb="FF1459A5"/>
      <sz val="10"/>
    </font>
    <font>
      <name val="Arial"/>
      <color rgb="FF0000FF"/>
      <sz val="10"/>
      <u val="single"/>
    </font>
    <font>
      <name val="Bai Jamjuree"/>
      <b val="1"/>
      <color rgb="FF3530A3"/>
      <sz val="11"/>
    </font>
    <font>
      <name val="Bai Jamjuree"/>
      <b val="1"/>
      <color rgb="FF0C47A0"/>
      <sz val="11"/>
      <u val="single"/>
    </font>
    <font>
      <name val="Bai Jamjuree"/>
      <b val="1"/>
      <color rgb="000D47A1"/>
      <sz val="11"/>
    </font>
    <font>
      <name val="Bai Jamjuree"/>
      <sz val="10"/>
    </font>
  </fonts>
  <fills count="18">
    <fill>
      <patternFill/>
    </fill>
    <fill>
      <patternFill patternType="gray125"/>
    </fill>
    <fill>
      <patternFill patternType="solid">
        <fgColor rgb="FF0E7490"/>
        <bgColor rgb="FF0E7490"/>
      </patternFill>
    </fill>
    <fill>
      <patternFill patternType="solid">
        <fgColor rgb="FFE2F1FC"/>
        <bgColor rgb="FFE2F1FC"/>
      </patternFill>
    </fill>
    <fill>
      <patternFill patternType="solid">
        <fgColor rgb="FFE2F2FC"/>
        <bgColor rgb="FFE2F2FC"/>
      </patternFill>
    </fill>
    <fill>
      <patternFill patternType="solid">
        <fgColor rgb="FF26384C"/>
        <bgColor rgb="FF26384C"/>
      </patternFill>
    </fill>
    <fill>
      <patternFill patternType="solid">
        <fgColor rgb="FFFFF9E0"/>
        <bgColor rgb="FFFFF9E0"/>
      </patternFill>
    </fill>
    <fill>
      <patternFill patternType="solid">
        <fgColor rgb="FF1E87E5"/>
        <bgColor rgb="FF1E87E5"/>
      </patternFill>
    </fill>
    <fill>
      <patternFill patternType="solid">
        <fgColor rgb="FF7B39EC"/>
        <bgColor rgb="FF7B39EC"/>
      </patternFill>
    </fill>
    <fill>
      <patternFill patternType="solid">
        <fgColor rgb="FFD85926"/>
        <bgColor rgb="FFD85926"/>
      </patternFill>
    </fill>
    <fill>
      <patternFill patternType="solid">
        <fgColor rgb="FFD97706"/>
        <bgColor rgb="FFD97706"/>
      </patternFill>
    </fill>
    <fill>
      <patternFill patternType="solid">
        <fgColor rgb="FF8C3FBF"/>
        <bgColor rgb="FF8C3FBF"/>
      </patternFill>
    </fill>
    <fill>
      <patternFill patternType="solid">
        <fgColor rgb="FFEDF2FF"/>
        <bgColor rgb="FFEDF2FF"/>
      </patternFill>
    </fill>
    <fill>
      <patternFill patternType="solid">
        <fgColor rgb="FF4238C9"/>
        <bgColor rgb="FF4238C9"/>
      </patternFill>
    </fill>
    <fill>
      <patternFill patternType="solid">
        <fgColor rgb="FFD82626"/>
        <bgColor rgb="FFD82626"/>
      </patternFill>
    </fill>
    <fill>
      <patternFill patternType="solid">
        <fgColor rgb="FF2DA572"/>
        <bgColor rgb="FF2DA572"/>
      </patternFill>
    </fill>
    <fill>
      <patternFill patternType="solid">
        <fgColor rgb="FF388C59"/>
        <bgColor rgb="FF388C59"/>
      </patternFill>
    </fill>
    <fill>
      <patternFill patternType="solid">
        <fgColor rgb="00E3F2FD"/>
        <bgColor rgb="00E3F2FD"/>
      </patternFill>
    </fill>
  </fills>
  <borders count="1">
    <border>
      <left/>
      <right/>
      <top/>
      <bottom/>
      <diagonal/>
    </border>
  </borders>
  <cellStyleXfs count="1">
    <xf numFmtId="0" fontId="0" fillId="0" borderId="0"/>
  </cellStyleXfs>
  <cellXfs count="48">
    <xf numFmtId="0" fontId="0" fillId="0" borderId="0" pivotButton="0" quotePrefix="0" xfId="0"/>
    <xf numFmtId="0" fontId="1" fillId="2" borderId="0" pivotButton="0" quotePrefix="0" xfId="0"/>
    <xf numFmtId="0" fontId="2" fillId="0" borderId="0" pivotButton="0" quotePrefix="0" xfId="0"/>
    <xf numFmtId="0" fontId="4" fillId="2" borderId="0" applyAlignment="1" pivotButton="0" quotePrefix="0" xfId="0">
      <alignment horizontal="center" vertical="center"/>
    </xf>
    <xf numFmtId="9" fontId="2" fillId="0" borderId="0" pivotButton="0" quotePrefix="0" xfId="0"/>
    <xf numFmtId="0" fontId="4" fillId="5" borderId="0" applyAlignment="1" pivotButton="0" quotePrefix="0" xfId="0">
      <alignment horizontal="center" vertical="center"/>
    </xf>
    <xf numFmtId="0" fontId="5" fillId="6" borderId="0" applyAlignment="1" pivotButton="0" quotePrefix="0" xfId="0">
      <alignment horizontal="center" vertical="center"/>
    </xf>
    <xf numFmtId="0" fontId="7" fillId="0" borderId="0" pivotButton="0" quotePrefix="0" xfId="0"/>
    <xf numFmtId="0" fontId="2" fillId="0" borderId="0" pivotButton="0" quotePrefix="1" xfId="0"/>
    <xf numFmtId="0" fontId="4" fillId="7" borderId="0" applyAlignment="1" pivotButton="0" quotePrefix="0" xfId="0">
      <alignment horizontal="center" vertical="center"/>
    </xf>
    <xf numFmtId="0" fontId="2" fillId="0" borderId="0" applyAlignment="1" pivotButton="0" quotePrefix="0" xfId="0">
      <alignment wrapText="1"/>
    </xf>
    <xf numFmtId="0" fontId="4" fillId="2" borderId="0" applyAlignment="1" pivotButton="0" quotePrefix="0" xfId="0">
      <alignment horizontal="center" vertical="center" wrapText="1"/>
    </xf>
    <xf numFmtId="0" fontId="2" fillId="0" borderId="0" applyAlignment="1" pivotButton="0" quotePrefix="1" xfId="0">
      <alignment wrapText="1"/>
    </xf>
    <xf numFmtId="0" fontId="8" fillId="0" borderId="0" applyAlignment="1" pivotButton="0" quotePrefix="1" xfId="0">
      <alignment horizontal="center" vertical="center"/>
    </xf>
    <xf numFmtId="0" fontId="4" fillId="8" borderId="0" applyAlignment="1" pivotButton="0" quotePrefix="0" xfId="0">
      <alignment horizontal="center"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8" borderId="0" applyAlignment="1" pivotButton="0" quotePrefix="0" xfId="0">
      <alignment horizontal="left" vertical="center" wrapText="1"/>
    </xf>
    <xf numFmtId="0" fontId="2" fillId="0" borderId="0" applyAlignment="1" pivotButton="0" quotePrefix="1" xfId="0">
      <alignment horizontal="center" vertical="center" wrapText="1"/>
    </xf>
    <xf numFmtId="0" fontId="2" fillId="0" borderId="0" applyAlignment="1" pivotButton="0" quotePrefix="0" xfId="0">
      <alignment horizontal="left" vertical="center" wrapText="1"/>
    </xf>
    <xf numFmtId="10" fontId="2" fillId="0" borderId="0" pivotButton="0" quotePrefix="0" xfId="0"/>
    <xf numFmtId="9" fontId="2" fillId="0" borderId="0" applyAlignment="1" pivotButton="0" quotePrefix="0" xfId="0">
      <alignment horizontal="center" vertical="center" wrapText="1"/>
    </xf>
    <xf numFmtId="0" fontId="2" fillId="0" borderId="0" applyAlignment="1" pivotButton="0" quotePrefix="0" xfId="0">
      <alignment horizontal="left"/>
    </xf>
    <xf numFmtId="20" fontId="2" fillId="0" borderId="0" pivotButton="0" quotePrefix="0" xfId="0"/>
    <xf numFmtId="0" fontId="9" fillId="0" borderId="0" pivotButton="0" quotePrefix="0" xfId="0"/>
    <xf numFmtId="0" fontId="4" fillId="9" borderId="0" applyAlignment="1" pivotButton="0" quotePrefix="0" xfId="0">
      <alignment horizontal="center" vertical="center" wrapText="1"/>
    </xf>
    <xf numFmtId="0" fontId="4" fillId="10" borderId="0" applyAlignment="1" pivotButton="0" quotePrefix="0" xfId="0">
      <alignment horizontal="center" vertical="center"/>
    </xf>
    <xf numFmtId="0" fontId="4" fillId="11" borderId="0" applyAlignment="1" pivotButton="0" quotePrefix="0" xfId="0">
      <alignment horizontal="center" vertical="center"/>
    </xf>
    <xf numFmtId="0" fontId="4" fillId="13" borderId="0" applyAlignment="1" pivotButton="0" quotePrefix="0" xfId="0">
      <alignment horizontal="center" vertical="center"/>
    </xf>
    <xf numFmtId="0" fontId="4" fillId="14" borderId="0" applyAlignment="1" pivotButton="0" quotePrefix="0" xfId="0">
      <alignment horizontal="center" vertical="center"/>
    </xf>
    <xf numFmtId="0" fontId="6" fillId="0" borderId="0" applyAlignment="1" pivotButton="0" quotePrefix="0" xfId="0">
      <alignment horizontal="center" vertical="center"/>
    </xf>
    <xf numFmtId="0" fontId="4" fillId="15" borderId="0" applyAlignment="1" pivotButton="0" quotePrefix="0" xfId="0">
      <alignment horizontal="center" vertical="center"/>
    </xf>
    <xf numFmtId="0" fontId="4" fillId="16" borderId="0" applyAlignment="1" pivotButton="0" quotePrefix="0" xfId="0">
      <alignment horizontal="center" vertical="center"/>
    </xf>
    <xf numFmtId="0" fontId="3" fillId="3" borderId="0" applyAlignment="1" pivotButton="0" quotePrefix="0" xfId="0">
      <alignment vertical="center" wrapText="1"/>
    </xf>
    <xf numFmtId="0" fontId="0" fillId="0" borderId="0" applyAlignment="1" pivotButton="0" quotePrefix="0" xfId="0">
      <alignment wrapText="1"/>
    </xf>
    <xf numFmtId="0" fontId="3" fillId="4" borderId="0" applyAlignment="1" pivotButton="0" quotePrefix="0" xfId="0">
      <alignment horizontal="center" vertical="center"/>
    </xf>
    <xf numFmtId="0" fontId="0" fillId="0" borderId="0" pivotButton="0" quotePrefix="0" xfId="0"/>
    <xf numFmtId="0" fontId="3" fillId="3" borderId="0" applyAlignment="1" pivotButton="0" quotePrefix="0" xfId="0">
      <alignment horizontal="center" vertical="center" wrapText="1"/>
    </xf>
    <xf numFmtId="0" fontId="3" fillId="3" borderId="0" applyAlignment="1" pivotButton="0" quotePrefix="0" xfId="0">
      <alignment horizontal="center" vertical="center"/>
    </xf>
    <xf numFmtId="0" fontId="3" fillId="4" borderId="0" applyAlignment="1" pivotButton="0" quotePrefix="0" xfId="0">
      <alignment horizontal="center" vertical="center" wrapText="1"/>
    </xf>
    <xf numFmtId="0" fontId="10" fillId="12" borderId="0" applyAlignment="1" pivotButton="0" quotePrefix="0" xfId="0">
      <alignment horizontal="center" vertical="center"/>
    </xf>
    <xf numFmtId="0" fontId="11" fillId="4" borderId="0" applyAlignment="1" pivotButton="0" quotePrefix="0" xfId="0">
      <alignment horizontal="center" vertical="center"/>
    </xf>
    <xf numFmtId="0" fontId="12" fillId="17" borderId="0" applyAlignment="1" pivotButton="0" quotePrefix="0" xfId="0">
      <alignment horizontal="center" vertical="center"/>
    </xf>
    <xf numFmtId="0" fontId="13" fillId="0" borderId="0" applyAlignment="1" pivotButton="0" quotePrefix="1" xfId="0">
      <alignment horizontal="center" vertical="top"/>
    </xf>
    <xf numFmtId="0" fontId="13" fillId="0" borderId="0" applyAlignment="1" pivotButton="0" quotePrefix="0" xfId="0">
      <alignment horizontal="left" vertical="top" wrapText="1"/>
    </xf>
    <xf numFmtId="0" fontId="13" fillId="0" borderId="0" applyAlignment="1" pivotButton="0" quotePrefix="0" xfId="0">
      <alignment horizontal="center" vertical="top"/>
    </xf>
    <xf numFmtId="20" fontId="13" fillId="0" borderId="0" applyAlignment="1" pivotButton="0" quotePrefix="0" xfId="0">
      <alignment horizontal="left" vertical="top" wrapText="1"/>
    </xf>
  </cellXfs>
  <cellStyles count="1">
    <cellStyle name="ปกติ" xfId="0" builtinId="0"/>
  </cellStyles>
  <dxfs count="4">
    <dxf>
      <font>
        <b val="1"/>
        <color rgb="FF913E0B"/>
      </font>
      <fill>
        <patternFill patternType="solid">
          <fgColor rgb="FFFFF1C5"/>
          <bgColor rgb="FFFFF1C5"/>
        </patternFill>
      </fill>
    </dxf>
    <dxf>
      <font>
        <b val="1"/>
        <color rgb="FF1E3EAE"/>
      </font>
      <fill>
        <patternFill patternType="solid">
          <fgColor rgb="FFDBEAFB"/>
          <bgColor rgb="FFDBEAFB"/>
        </patternFill>
      </fill>
    </dxf>
    <dxf>
      <font>
        <b val="1"/>
        <color rgb="FF156633"/>
      </font>
      <fill>
        <patternFill patternType="solid">
          <fgColor rgb="FFDBFBE4"/>
          <bgColor rgb="FFDBFBE4"/>
        </patternFill>
      </fill>
    </dxf>
    <dxf>
      <font>
        <b val="1"/>
        <color rgb="FF465368"/>
      </font>
      <fill>
        <patternFill patternType="solid">
          <fgColor rgb="FFF1F4F8"/>
          <bgColor rgb="FFF1F4F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2</col>
      <colOff>0</colOff>
      <row>2</row>
      <rowOff>0</rowOff>
    </from>
    <ext cx="238125" cy="200025"/>
    <pic>
      <nvPicPr>
        <cNvPr id="2" name="image1.png" title="รูปภาพ"/>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9.xml.rels><Relationships xmlns="http://schemas.openxmlformats.org/package/2006/relationships"><Relationship Type="http://schemas.openxmlformats.org/officeDocument/2006/relationships/hyperlink" Target="https://www.college-optometrists.org/clinical-guidance/clinical-management-guidelines/conjunctivitis_bacterial" TargetMode="External" Id="rId1"/><Relationship Type="http://schemas.openxmlformats.org/officeDocument/2006/relationships/hyperlink" Target="https://europepmc.org/article/pmc/5838752" TargetMode="External" Id="rId2"/></Relationships>
</file>

<file path=xl/worksheets/_rels/sheet3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sheetPr>
  <dimension ref="A1:M38"/>
  <sheetViews>
    <sheetView workbookViewId="0">
      <selection activeCell="A1" sqref="A1"/>
    </sheetView>
  </sheetViews>
  <sheetFormatPr baseColWidth="8" defaultColWidth="12.6640625" defaultRowHeight="15.75" customHeight="1"/>
  <cols>
    <col width="44.21875" customWidth="1" style="37" min="5" max="5"/>
  </cols>
  <sheetData>
    <row r="1">
      <c r="A1" s="2" t="inlineStr">
        <is>
          <t>🩺 1. CLINICAL PHARMACY (PLE-CC) — 16 กลุ่มโรค</t>
        </is>
      </c>
      <c r="K1" s="2" t="inlineStr">
        <is>
          <t>Heart Failure (HFrEF)</t>
        </is>
      </c>
      <c r="L1" s="2" t="inlineStr">
        <is>
          <t>Clinic</t>
        </is>
      </c>
      <c r="M1" s="2" t="inlineStr">
        <is>
          <t>Heart Failure Guidelines</t>
        </is>
      </c>
    </row>
    <row r="2">
      <c r="A2" s="2" t="inlineStr">
        <is>
          <t>ลำดับ</t>
        </is>
      </c>
      <c r="B2" s="2" t="inlineStr">
        <is>
          <t>ชื่อกลุ่มโรค (Disease Group)</t>
        </is>
      </c>
      <c r="C2" s="2" t="inlineStr">
        <is>
          <t>สายวิชา</t>
        </is>
      </c>
      <c r="D2" s="2" t="inlineStr">
        <is>
          <t>ลิงก์เปิดหน้าชีท</t>
        </is>
      </c>
      <c r="E2" s="2" t="inlineStr">
        <is>
          <t>คำอธิบายหมวดวิชา</t>
        </is>
      </c>
    </row>
    <row r="3">
      <c r="A3" s="2" t="n">
        <v>1</v>
      </c>
      <c r="B3" s="2" t="inlineStr">
        <is>
          <t>1. Musculoskeleton</t>
        </is>
      </c>
      <c r="C3" s="2" t="inlineStr">
        <is>
          <t>Clinic</t>
        </is>
      </c>
      <c r="D3" s="7" t="inlineStr">
        <is>
          <t>➡️ เปิดหน้าข้อสอบ</t>
        </is>
      </c>
      <c r="E3" s="2" t="inlineStr">
        <is>
          <t>ข้อสอบปรนัยคลินิก 5 ตัวเลือก</t>
        </is>
      </c>
    </row>
    <row r="4">
      <c r="A4" s="2" t="n">
        <v>2</v>
      </c>
      <c r="B4" s="2" t="inlineStr">
        <is>
          <t>2. Cardiovascular</t>
        </is>
      </c>
      <c r="C4" s="2" t="inlineStr">
        <is>
          <t>Clinic</t>
        </is>
      </c>
      <c r="D4" s="7" t="inlineStr">
        <is>
          <t>➡️ เปิดหน้าข้อสอบ</t>
        </is>
      </c>
      <c r="E4" s="2" t="inlineStr">
        <is>
          <t>ข้อสอบปรนัยคลินิก 5 ตัวเลือก</t>
        </is>
      </c>
    </row>
    <row r="5">
      <c r="A5" s="2" t="n">
        <v>3</v>
      </c>
      <c r="B5" s="2" t="inlineStr">
        <is>
          <t>3. Dermatologic</t>
        </is>
      </c>
      <c r="C5" s="2" t="inlineStr">
        <is>
          <t>Clinic</t>
        </is>
      </c>
      <c r="D5" s="7" t="inlineStr">
        <is>
          <t>➡️ เปิดหน้าข้อสอบ</t>
        </is>
      </c>
      <c r="E5" s="2" t="inlineStr">
        <is>
          <t>ข้อสอบปรนัยคลินิก 5 ตัวเลือก</t>
        </is>
      </c>
    </row>
    <row r="6">
      <c r="A6" s="2" t="n">
        <v>4</v>
      </c>
      <c r="B6" s="2" t="inlineStr">
        <is>
          <t>4. Endocrine</t>
        </is>
      </c>
      <c r="C6" s="2" t="inlineStr">
        <is>
          <t>Clinic</t>
        </is>
      </c>
      <c r="D6" s="7" t="inlineStr">
        <is>
          <t>➡️ เปิดหน้าข้อสอบ</t>
        </is>
      </c>
      <c r="E6" s="2" t="inlineStr">
        <is>
          <t>ข้อสอบปรนัยคลินิก 5 ตัวเลือก</t>
        </is>
      </c>
    </row>
    <row r="7">
      <c r="A7" s="2" t="n">
        <v>5</v>
      </c>
      <c r="B7" s="2" t="inlineStr">
        <is>
          <t>5. Gastrointestinal</t>
        </is>
      </c>
      <c r="C7" s="2" t="inlineStr">
        <is>
          <t>Clinic</t>
        </is>
      </c>
      <c r="D7" s="7" t="inlineStr">
        <is>
          <t>➡️ เปิดหน้าข้อสอบ</t>
        </is>
      </c>
      <c r="E7" s="2" t="inlineStr">
        <is>
          <t>ข้อสอบปรนัยคลินิก 5 ตัวเลือก</t>
        </is>
      </c>
    </row>
    <row r="8">
      <c r="A8" s="2" t="n">
        <v>6</v>
      </c>
      <c r="B8" s="2" t="inlineStr">
        <is>
          <t>6. Hematologic</t>
        </is>
      </c>
      <c r="C8" s="2" t="inlineStr">
        <is>
          <t>Clinic</t>
        </is>
      </c>
      <c r="D8" s="7" t="inlineStr">
        <is>
          <t>➡️ เปิดหน้าข้อสอบ</t>
        </is>
      </c>
      <c r="E8" s="2" t="inlineStr">
        <is>
          <t>ข้อสอบปรนัยคลินิก 5 ตัวเลือก</t>
        </is>
      </c>
    </row>
    <row r="9">
      <c r="A9" s="2" t="n">
        <v>7</v>
      </c>
      <c r="B9" s="2" t="inlineStr">
        <is>
          <t>7. Immunologic</t>
        </is>
      </c>
      <c r="C9" s="2" t="inlineStr">
        <is>
          <t>Clinic</t>
        </is>
      </c>
      <c r="D9" s="7" t="inlineStr">
        <is>
          <t>➡️ เปิดหน้าข้อสอบ</t>
        </is>
      </c>
      <c r="E9" s="2" t="inlineStr">
        <is>
          <t>ข้อสอบปรนัยคลินิก 5 ตัวเลือก</t>
        </is>
      </c>
    </row>
    <row r="10">
      <c r="A10" s="2" t="n">
        <v>8</v>
      </c>
      <c r="B10" s="2" t="inlineStr">
        <is>
          <t>8. Infectious diseases</t>
        </is>
      </c>
      <c r="C10" s="2" t="inlineStr">
        <is>
          <t>Clinic</t>
        </is>
      </c>
      <c r="D10" s="7" t="inlineStr">
        <is>
          <t>➡️ เปิดหน้าข้อสอบ</t>
        </is>
      </c>
      <c r="E10" s="2" t="inlineStr">
        <is>
          <t>ข้อสอบปรนัยคลินิก 5 ตัวเลือก</t>
        </is>
      </c>
    </row>
    <row r="11">
      <c r="A11" s="2" t="n">
        <v>9</v>
      </c>
      <c r="B11" s="2" t="inlineStr">
        <is>
          <t>9. Neurologic</t>
        </is>
      </c>
      <c r="C11" s="2" t="inlineStr">
        <is>
          <t>Clinic</t>
        </is>
      </c>
      <c r="D11" s="7" t="inlineStr">
        <is>
          <t>➡️ เปิดหน้าข้อสอบ</t>
        </is>
      </c>
      <c r="E11" s="2" t="inlineStr">
        <is>
          <t>ข้อสอบปรนัยคลินิก 5 ตัวเลือก</t>
        </is>
      </c>
    </row>
    <row r="12">
      <c r="A12" s="2" t="n">
        <v>10</v>
      </c>
      <c r="B12" s="2" t="inlineStr">
        <is>
          <t>10. Psychiatric</t>
        </is>
      </c>
      <c r="C12" s="2" t="inlineStr">
        <is>
          <t>Clinic</t>
        </is>
      </c>
      <c r="D12" s="7" t="inlineStr">
        <is>
          <t>➡️ เปิดหน้าข้อสอบ</t>
        </is>
      </c>
      <c r="E12" s="2" t="inlineStr">
        <is>
          <t>ข้อสอบปรนัยคลินิก 5 ตัวเลือก</t>
        </is>
      </c>
    </row>
    <row r="13">
      <c r="A13" s="2" t="n">
        <v>11</v>
      </c>
      <c r="B13" s="2" t="inlineStr">
        <is>
          <t>11. Pulmonary</t>
        </is>
      </c>
      <c r="C13" s="2" t="inlineStr">
        <is>
          <t>Clinic</t>
        </is>
      </c>
      <c r="D13" s="7" t="inlineStr">
        <is>
          <t>➡️ เปิดหน้าข้อสอบ</t>
        </is>
      </c>
      <c r="E13" s="2" t="inlineStr">
        <is>
          <t>ข้อสอบปรนัยคลินิก 5 ตัวเลือก</t>
        </is>
      </c>
    </row>
    <row r="14">
      <c r="A14" s="2" t="n">
        <v>12</v>
      </c>
      <c r="B14" s="2" t="inlineStr">
        <is>
          <t>12. Gynaecologic/Genitourinary</t>
        </is>
      </c>
      <c r="C14" s="2" t="inlineStr">
        <is>
          <t>Clinic</t>
        </is>
      </c>
      <c r="D14" s="7" t="inlineStr">
        <is>
          <t>➡️ เปิดหน้าข้อสอบ</t>
        </is>
      </c>
      <c r="E14" s="2" t="inlineStr">
        <is>
          <t>ข้อสอบปรนัยคลินิก 5 ตัวเลือก</t>
        </is>
      </c>
    </row>
    <row r="15">
      <c r="A15" s="2" t="n">
        <v>13</v>
      </c>
      <c r="B15" s="2" t="inlineStr">
        <is>
          <t>13. Eye disorder</t>
        </is>
      </c>
      <c r="C15" s="2" t="inlineStr">
        <is>
          <t>Clinic</t>
        </is>
      </c>
      <c r="D15" s="7" t="inlineStr">
        <is>
          <t>➡️ เปิดหน้าข้อสอบ</t>
        </is>
      </c>
      <c r="E15" s="2" t="inlineStr">
        <is>
          <t>ข้อสอบปรนัยคลินิก 5 ตัวเลือก</t>
        </is>
      </c>
    </row>
    <row r="16">
      <c r="A16" s="2" t="n">
        <v>14</v>
      </c>
      <c r="B16" s="2" t="inlineStr">
        <is>
          <t>14. Oncologic</t>
        </is>
      </c>
      <c r="C16" s="2" t="inlineStr">
        <is>
          <t>Clinic</t>
        </is>
      </c>
      <c r="D16" s="7" t="inlineStr">
        <is>
          <t>➡️ เปิดหน้าข้อสอบ</t>
        </is>
      </c>
      <c r="E16" s="2" t="inlineStr">
        <is>
          <t>ข้อสอบปรนัยคลินิก 5 ตัวเลือก</t>
        </is>
      </c>
    </row>
    <row r="17">
      <c r="A17" s="2" t="n">
        <v>15</v>
      </c>
      <c r="B17" s="2" t="inlineStr">
        <is>
          <t>15. Renal</t>
        </is>
      </c>
      <c r="C17" s="2" t="inlineStr">
        <is>
          <t>Clinic</t>
        </is>
      </c>
      <c r="D17" s="7" t="inlineStr">
        <is>
          <t>➡️ เปิดหน้าข้อสอบ</t>
        </is>
      </c>
      <c r="E17" s="2" t="inlineStr">
        <is>
          <t>ข้อสอบปรนัยคลินิก 5 ตัวเลือก</t>
        </is>
      </c>
    </row>
    <row r="18">
      <c r="A18" s="2" t="n">
        <v>16</v>
      </c>
      <c r="B18" s="2" t="inlineStr">
        <is>
          <t>16. Others &amp; Toxic</t>
        </is>
      </c>
      <c r="C18" s="2" t="inlineStr">
        <is>
          <t>Clinic</t>
        </is>
      </c>
      <c r="D18" s="7" t="inlineStr">
        <is>
          <t>➡️ เปิดหน้าข้อสอบ</t>
        </is>
      </c>
      <c r="E18" s="2" t="inlineStr">
        <is>
          <t>ข้อสอบปรนัยคลินิก 5 ตัวเลือก</t>
        </is>
      </c>
    </row>
    <row r="20">
      <c r="A20" s="2" t="inlineStr">
        <is>
          <t>🧪 2. PHARMACEUTICAL SCIENCES (PLE-PRODUCT) — 12 กลุ่มวิชา</t>
        </is>
      </c>
    </row>
    <row r="21">
      <c r="A21" s="2" t="inlineStr">
        <is>
          <t>ลำดับ</t>
        </is>
      </c>
      <c r="B21" s="2" t="inlineStr">
        <is>
          <t>ชื่อกลุ่มวิชา (Product Group)</t>
        </is>
      </c>
      <c r="C21" s="2" t="inlineStr">
        <is>
          <t>สายวิชา</t>
        </is>
      </c>
      <c r="D21" s="2" t="inlineStr">
        <is>
          <t>ลิงก์เปิดหน้าชีท</t>
        </is>
      </c>
      <c r="E21" s="2" t="inlineStr">
        <is>
          <t>คำอธิบายหมวดวิชา</t>
        </is>
      </c>
    </row>
    <row r="22">
      <c r="A22" s="2" t="n">
        <v>1</v>
      </c>
      <c r="B22" s="2" t="inlineStr">
        <is>
          <t>1. Titrations</t>
        </is>
      </c>
      <c r="C22" s="2" t="inlineStr">
        <is>
          <t>Product</t>
        </is>
      </c>
      <c r="D22" s="7" t="inlineStr">
        <is>
          <t>➡️ เปิดหน้าข้อสอบ</t>
        </is>
      </c>
      <c r="E22" s="2" t="inlineStr">
        <is>
          <t>ข้อสอบปรนัยวิทยาการเภสัชกรรม</t>
        </is>
      </c>
    </row>
    <row r="23">
      <c r="A23" s="2" t="n">
        <v>2</v>
      </c>
      <c r="B23" s="2" t="inlineStr">
        <is>
          <t>2. Chromatography</t>
        </is>
      </c>
      <c r="C23" s="2" t="inlineStr">
        <is>
          <t>Product</t>
        </is>
      </c>
      <c r="D23" s="7" t="inlineStr">
        <is>
          <t>➡️ เปิดหน้าข้อสอบ</t>
        </is>
      </c>
      <c r="E23" s="2" t="inlineStr">
        <is>
          <t>ข้อสอบปรนัยวิทยาการเภสัชกรรม</t>
        </is>
      </c>
    </row>
    <row r="24">
      <c r="A24" s="2" t="n">
        <v>3</v>
      </c>
      <c r="B24" s="2" t="inlineStr">
        <is>
          <t>3. Spectroscopy &amp; Optics</t>
        </is>
      </c>
      <c r="C24" s="2" t="inlineStr">
        <is>
          <t>Product</t>
        </is>
      </c>
      <c r="D24" s="7" t="inlineStr">
        <is>
          <t>➡️ เปิดหน้าข้อสอบ</t>
        </is>
      </c>
      <c r="E24" s="2" t="inlineStr">
        <is>
          <t>ข้อสอบปรนัยวิทยาการเภสัชกรรม</t>
        </is>
      </c>
    </row>
    <row r="25">
      <c r="A25" s="2" t="n">
        <v>4</v>
      </c>
      <c r="B25" s="2" t="inlineStr">
        <is>
          <t>4. Preformulation &amp; GMP</t>
        </is>
      </c>
      <c r="C25" s="2" t="inlineStr">
        <is>
          <t>Product</t>
        </is>
      </c>
      <c r="D25" s="7" t="inlineStr">
        <is>
          <t>➡️ เปิดหน้าข้อสอบ</t>
        </is>
      </c>
      <c r="E25" s="2" t="inlineStr">
        <is>
          <t>ข้อสอบปรนัยวิทยาการเภสัชกรรม</t>
        </is>
      </c>
    </row>
    <row r="26">
      <c r="A26" s="2" t="n">
        <v>5</v>
      </c>
      <c r="B26" s="2" t="inlineStr">
        <is>
          <t>5. Pharmaceutical Calc</t>
        </is>
      </c>
      <c r="C26" s="2" t="inlineStr">
        <is>
          <t>Product</t>
        </is>
      </c>
      <c r="D26" s="7" t="inlineStr">
        <is>
          <t>➡️ เปิดหน้าข้อสอบ</t>
        </is>
      </c>
      <c r="E26" s="2" t="inlineStr">
        <is>
          <t>ข้อสอบปรนัยวิทยาการเภสัชกรรม</t>
        </is>
      </c>
    </row>
    <row r="27">
      <c r="A27" s="2" t="n">
        <v>6</v>
      </c>
      <c r="B27" s="2" t="inlineStr">
        <is>
          <t>6. Solid Dosage Forms</t>
        </is>
      </c>
      <c r="C27" s="2" t="inlineStr">
        <is>
          <t>Product</t>
        </is>
      </c>
      <c r="D27" s="7" t="inlineStr">
        <is>
          <t>➡️ เปิดหน้าข้อสอบ</t>
        </is>
      </c>
      <c r="E27" s="2" t="inlineStr">
        <is>
          <t>ข้อสอบปรนัยวิทยาการเภสัชกรรม</t>
        </is>
      </c>
    </row>
    <row r="28">
      <c r="A28" s="2" t="n">
        <v>7</v>
      </c>
      <c r="B28" s="2" t="inlineStr">
        <is>
          <t>7. Liquid &amp; Semisolids</t>
        </is>
      </c>
      <c r="C28" s="2" t="inlineStr">
        <is>
          <t>Product</t>
        </is>
      </c>
      <c r="D28" s="7" t="inlineStr">
        <is>
          <t>➡️ เปิดหน้าข้อสอบ</t>
        </is>
      </c>
      <c r="E28" s="2" t="inlineStr">
        <is>
          <t>ข้อสอบปรนัยวิทยาการเภสัชกรรม</t>
        </is>
      </c>
    </row>
    <row r="29">
      <c r="A29" s="2" t="n">
        <v>8</v>
      </c>
      <c r="B29" s="2" t="inlineStr">
        <is>
          <t>8. Biopharm &amp; Drug Release</t>
        </is>
      </c>
      <c r="C29" s="2" t="inlineStr">
        <is>
          <t>Product</t>
        </is>
      </c>
      <c r="D29" s="7" t="inlineStr">
        <is>
          <t>➡️ เปิดหน้าข้อสอบ</t>
        </is>
      </c>
      <c r="E29" s="2" t="inlineStr">
        <is>
          <t>ข้อสอบปรนัยวิทยาการเภสัชกรรม</t>
        </is>
      </c>
    </row>
    <row r="30">
      <c r="A30" s="2" t="n">
        <v>9</v>
      </c>
      <c r="B30" s="2" t="inlineStr">
        <is>
          <t>9. Sterile &amp; Special Forms</t>
        </is>
      </c>
      <c r="C30" s="2" t="inlineStr">
        <is>
          <t>Product</t>
        </is>
      </c>
      <c r="D30" s="7" t="inlineStr">
        <is>
          <t>➡️ เปิดหน้าข้อสอบ</t>
        </is>
      </c>
      <c r="E30" s="2" t="inlineStr">
        <is>
          <t>ข้อสอบปรนัยวิทยาการเภสัชกรรม</t>
        </is>
      </c>
    </row>
    <row r="31">
      <c r="A31" s="2" t="n">
        <v>10</v>
      </c>
      <c r="B31" s="2" t="inlineStr">
        <is>
          <t>10. Biotech Products</t>
        </is>
      </c>
      <c r="C31" s="2" t="inlineStr">
        <is>
          <t>Product</t>
        </is>
      </c>
      <c r="D31" s="7" t="inlineStr">
        <is>
          <t>➡️ เปิดหน้าข้อสอบ</t>
        </is>
      </c>
      <c r="E31" s="2" t="inlineStr">
        <is>
          <t>ข้อสอบปรนัยวิทยาการเภสัชกรรม</t>
        </is>
      </c>
    </row>
    <row r="32">
      <c r="A32" s="2" t="n">
        <v>11</v>
      </c>
      <c r="B32" s="2" t="inlineStr">
        <is>
          <t>11. Herbal Products</t>
        </is>
      </c>
      <c r="C32" s="2" t="inlineStr">
        <is>
          <t>Product</t>
        </is>
      </c>
      <c r="D32" s="7" t="inlineStr">
        <is>
          <t>➡️ เปิดหน้าข้อสอบ</t>
        </is>
      </c>
      <c r="E32" s="2" t="inlineStr">
        <is>
          <t>ข้อสอบปรนัยวิทยาการเภสัชกรรม</t>
        </is>
      </c>
    </row>
    <row r="33">
      <c r="A33" s="2" t="n">
        <v>12</v>
      </c>
      <c r="B33" s="2" t="inlineStr">
        <is>
          <t>12. Food Products &amp; QA</t>
        </is>
      </c>
      <c r="C33" s="2" t="inlineStr">
        <is>
          <t>Product</t>
        </is>
      </c>
      <c r="D33" s="7" t="inlineStr">
        <is>
          <t>➡️ เปิดหน้าข้อสอบ</t>
        </is>
      </c>
      <c r="E33" s="2" t="inlineStr">
        <is>
          <t>ข้อสอบปรนัยวิทยาการเภสัชกรรม</t>
        </is>
      </c>
    </row>
    <row r="35">
      <c r="A35" s="2" t="inlineStr">
        <is>
          <t>💼 3. SOCIAL &amp; ADMINISTRATIVE PHARMACY (SAP) — สังคมเภสัชกรรมและกฎหมาย</t>
        </is>
      </c>
    </row>
    <row r="36">
      <c r="A36" s="2" t="inlineStr">
        <is>
          <t>ลำดับ</t>
        </is>
      </c>
      <c r="B36" s="2" t="inlineStr">
        <is>
          <t>ชื่อกลุ่มวิชา (SAP Group)</t>
        </is>
      </c>
      <c r="C36" s="2" t="inlineStr">
        <is>
          <t>สายวิชา</t>
        </is>
      </c>
      <c r="D36" s="2" t="inlineStr">
        <is>
          <t>ลิงก์เปิดหน้าชีท</t>
        </is>
      </c>
      <c r="E36" s="2" t="inlineStr">
        <is>
          <t>คำอธิบายหมวดวิชา</t>
        </is>
      </c>
    </row>
    <row r="37">
      <c r="A37" s="2" t="n">
        <v>1</v>
      </c>
      <c r="B37" s="2" t="inlineStr">
        <is>
          <t>1. Pharmacy Laws &amp; Ethics</t>
        </is>
      </c>
      <c r="C37" s="2" t="inlineStr">
        <is>
          <t>SAP</t>
        </is>
      </c>
      <c r="D37" s="7" t="inlineStr">
        <is>
          <t>➡️ เปิดหน้าข้อสอบ</t>
        </is>
      </c>
      <c r="E37" s="2" t="inlineStr">
        <is>
          <t>ข้อสอบปรนัยกฎหมายและระบบยา</t>
        </is>
      </c>
    </row>
    <row r="38">
      <c r="A38" s="2" t="n">
        <v>2</v>
      </c>
      <c r="B38" s="2" t="inlineStr">
        <is>
          <t>2. Pharmacy Administration &amp; System</t>
        </is>
      </c>
      <c r="C38" s="2" t="inlineStr">
        <is>
          <t>SAP</t>
        </is>
      </c>
      <c r="D38" s="7" t="inlineStr">
        <is>
          <t>➡️ เปิดหน้าข้อสอบ</t>
        </is>
      </c>
      <c r="E38" s="2" t="inlineStr">
        <is>
          <t>ข้อสอบปรนัยกฎหมายและระบบยา</t>
        </is>
      </c>
    </row>
  </sheetData>
  <hyperlinks>
    <hyperlink ref="D3" location="'1. Musculoskeleton'!A1" display="➡️ เปิดหน้าข้อสอบ"/>
    <hyperlink ref="D4" location="'2. Cardiovascular'!A1" display="➡️ เปิดหน้าข้อสอบ"/>
    <hyperlink ref="D5" location="'3. Dermatologic'!A1" display="➡️ เปิดหน้าข้อสอบ"/>
    <hyperlink ref="D6" location="'4. Endocrine'!A1" display="➡️ เปิดหน้าข้อสอบ"/>
    <hyperlink ref="D7" location="'5. Gastrointestinal'!A1" display="➡️ เปิดหน้าข้อสอบ"/>
    <hyperlink ref="D8" location="'6. Hematologic'!A1" display="➡️ เปิดหน้าข้อสอบ"/>
    <hyperlink ref="D9" location="'7. Immunologic'!A1" display="➡️ เปิดหน้าข้อสอบ"/>
    <hyperlink ref="D10" location="'8. Infectious diseases'!A1" display="➡️ เปิดหน้าข้อสอบ"/>
    <hyperlink ref="D11" location="'9. Neurologic'!A1" display="➡️ เปิดหน้าข้อสอบ"/>
    <hyperlink ref="D12" location="'10. Psychiatric'!A1" display="➡️ เปิดหน้าข้อสอบ"/>
    <hyperlink ref="D13" location="'11. Pulmonary'!A1" display="➡️ เปิดหน้าข้อสอบ"/>
    <hyperlink ref="D14" location="'12. GynaecologicGenitourinary'!A1" display="➡️ เปิดหน้าข้อสอบ"/>
    <hyperlink ref="D15" location="'13. Eye disorder'!A1" display="➡️ เปิดหน้าข้อสอบ"/>
    <hyperlink ref="D16" location="'14. Oncologic'!A1" display="➡️ เปิดหน้าข้อสอบ"/>
    <hyperlink ref="D17" location="'15. Renal'!A1" display="➡️ เปิดหน้าข้อสอบ"/>
    <hyperlink ref="D18" location="'16. Others &amp; Toxic'!A1" display="➡️ เปิดหน้าข้อสอบ"/>
    <hyperlink ref="D22" location="'1. Titrations'!A1" display="➡️ เปิดหน้าข้อสอบ"/>
    <hyperlink ref="D23" location="'2. Chromatography'!A1" display="➡️ เปิดหน้าข้อสอบ"/>
    <hyperlink ref="D24" location="'3. Spectroscopy &amp; Optics'!A1" display="➡️ เปิดหน้าข้อสอบ"/>
    <hyperlink ref="D25" location="'4. Preformulation &amp; GMP'!A1" display="➡️ เปิดหน้าข้อสอบ"/>
    <hyperlink ref="D26" location="'5. Pharmaceutical Calc'!A1" display="➡️ เปิดหน้าข้อสอบ"/>
    <hyperlink ref="D27" location="'6. Solid Dosage Forms'!A1" display="➡️ เปิดหน้าข้อสอบ"/>
    <hyperlink ref="D28" location="'7. Liquid &amp; Semisolids'!A1" display="➡️ เปิดหน้าข้อสอบ"/>
    <hyperlink ref="D29" location="'8. Biopharm &amp; Drug Release'!A1" display="➡️ เปิดหน้าข้อสอบ"/>
    <hyperlink ref="D30" location="'9. Sterile &amp; Special Forms'!A1" display="➡️ เปิดหน้าข้อสอบ"/>
    <hyperlink ref="D31" location="'10. Biotech Products'!A1" display="➡️ เปิดหน้าข้อสอบ"/>
    <hyperlink ref="D32" location="'11. Herbal Products'!A1" display="➡️ เปิดหน้าข้อสอบ"/>
    <hyperlink ref="D33" location="'12. Food Products &amp; QA'!A1" display="➡️ เปิดหน้าข้อสอบ"/>
    <hyperlink ref="D37" location="'1. Pharmacy Laws &amp; Ethics'!A1" display="➡️ เปิดหน้าข้อสอบ"/>
    <hyperlink ref="D38" location="'2. Pharmacy Administration &amp; Sy'!A1" display="➡️ เปิดหน้าข้อสอบ"/>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G3"/>
  <sheetViews>
    <sheetView workbookViewId="0">
      <pane ySplit="1" topLeftCell="A2" activePane="bottomLeft" state="frozen"/>
      <selection pane="bottomLeft" activeCell="B3" sqref="B3"/>
    </sheetView>
  </sheetViews>
  <sheetFormatPr baseColWidth="8" defaultColWidth="12.6640625" defaultRowHeight="15.75" customHeight="1"/>
  <sheetData>
    <row r="1">
      <c r="A1" s="1" t="inlineStr">
        <is>
          <t>Timestamp</t>
        </is>
      </c>
      <c r="B1" s="1" t="inlineStr">
        <is>
          <t>User</t>
        </is>
      </c>
      <c r="C1" s="1" t="inlineStr">
        <is>
          <t>Category/Mode</t>
        </is>
      </c>
      <c r="D1" s="1" t="inlineStr">
        <is>
          <t>Score</t>
        </is>
      </c>
      <c r="E1" s="1" t="inlineStr">
        <is>
          <t>Total</t>
        </is>
      </c>
      <c r="F1" s="1" t="inlineStr">
        <is>
          <t>Percentage</t>
        </is>
      </c>
      <c r="G1" s="1" t="inlineStr">
        <is>
          <t>TimeSpentSeconds</t>
        </is>
      </c>
    </row>
    <row r="2">
      <c r="A2" s="2" t="inlineStr">
        <is>
          <t>2026-09-24T13:21:44.697Z</t>
        </is>
      </c>
      <c r="B2" s="2" t="inlineStr">
        <is>
          <t>บุคคลทั่วไป</t>
        </is>
      </c>
      <c r="C2" s="2" t="inlineStr">
        <is>
          <t>⏱️ จำลองสอบจริง PLE-CC1 (20 ข้อ)</t>
        </is>
      </c>
      <c r="D2" s="2" t="n">
        <v>4</v>
      </c>
      <c r="E2" s="2" t="n">
        <v>20</v>
      </c>
      <c r="F2" s="4" t="n">
        <v>0.2</v>
      </c>
      <c r="G2" s="2" t="n">
        <v>0</v>
      </c>
    </row>
    <row r="3">
      <c r="A3" s="2" t="inlineStr">
        <is>
          <t>2026-09-24T13:36:42.772Z</t>
        </is>
      </c>
      <c r="B3" s="2" t="inlineStr">
        <is>
          <t>idea</t>
        </is>
      </c>
      <c r="C3" s="2" t="inlineStr">
        <is>
          <t>18. Clinical Nutrition</t>
        </is>
      </c>
      <c r="D3" s="2" t="n">
        <v>15</v>
      </c>
      <c r="E3" s="2" t="n">
        <v>23</v>
      </c>
      <c r="F3" s="4" t="n">
        <v>0.65</v>
      </c>
      <c r="G3" s="2" t="n">
        <v>0</v>
      </c>
    </row>
  </sheetData>
  <pageMargins left="0.75" right="0.75" top="1" bottom="1" header="0.5" footer="0.5"/>
</worksheet>
</file>

<file path=xl/worksheets/sheet3.xml><?xml version="1.0" encoding="utf-8"?>
<worksheet xmlns="http://schemas.openxmlformats.org/spreadsheetml/2006/main">
  <sheetPr>
    <tabColor rgb="FF2196F2"/>
    <outlinePr summaryBelow="0" summaryRight="0"/>
    <pageSetUpPr/>
  </sheetPr>
  <dimension ref="A1:Q101"/>
  <sheetViews>
    <sheetView workbookViewId="0">
      <selection activeCell="A1" sqref="A1"/>
    </sheetView>
  </sheetViews>
  <sheetFormatPr baseColWidth="8" defaultColWidth="12.6640625" defaultRowHeight="15.75" customHeight="1"/>
  <cols>
    <col width="23.44140625" customWidth="1" style="37" min="3" max="3"/>
    <col width="32.21875" customWidth="1" style="37" min="4" max="4"/>
    <col width="16.109375" customWidth="1" style="37" min="5" max="5"/>
  </cols>
  <sheetData>
    <row r="1" ht="27" customHeight="1" s="37">
      <c r="A1" s="36">
        <f>HYPERLINK("#gid=0", "🏠 กลับสู่หน้าแรก (Go to Home Page)")</f>
        <v/>
      </c>
    </row>
    <row r="2" ht="21.6" customHeight="1" s="37">
      <c r="A2" s="5" t="inlineStr">
        <is>
          <t>⚙️ ตัวกรอง:</t>
        </is>
      </c>
      <c r="B2" s="5" t="inlineStr">
        <is>
          <t>ประเภทข้อสอบ (Col O)</t>
        </is>
      </c>
      <c r="C2" s="5" t="inlineStr">
        <is>
          <t>ปี / เลขชุด (Col P)</t>
        </is>
      </c>
      <c r="D2" s="5" t="inlineStr">
        <is>
          <t>หมวดหลัก (Clinic/Product/SAP)</t>
        </is>
      </c>
      <c r="E2" s="5" t="inlineStr">
        <is>
          <t>ค้นหาคีย์เวิร์ดในโจทย์ / ยา</t>
        </is>
      </c>
      <c r="F2" s="5" t="inlineStr">
        <is>
          <t>จำนวนข้อที่พบ</t>
        </is>
      </c>
    </row>
    <row r="3" ht="21.6" customHeight="1" s="37">
      <c r="A3" s="6" t="inlineStr">
        <is>
          <t>เลือกค่า 👉</t>
        </is>
      </c>
      <c r="B3" s="6" t="inlineStr">
        <is>
          <t>ทั้งหมด</t>
        </is>
      </c>
      <c r="C3" s="6" t="inlineStr">
        <is>
          <t>ชุด 1</t>
        </is>
      </c>
      <c r="D3" s="6" t="inlineStr">
        <is>
          <t>Product</t>
        </is>
      </c>
      <c r="E3" s="6" t="n"/>
      <c r="F3" s="6">
        <f>COUNTA(A6:A11000)</f>
        <v/>
      </c>
    </row>
    <row r="5" ht="21.6" customHeight="1" s="37">
      <c r="A5" s="9" t="inlineStr">
        <is>
          <t>ข้อที่</t>
        </is>
      </c>
      <c r="B5" s="9" t="inlineStr">
        <is>
          <t>คำถาม</t>
        </is>
      </c>
      <c r="C5" s="9" t="inlineStr">
        <is>
          <t>รูปถาม</t>
        </is>
      </c>
      <c r="D5" s="9" t="inlineStr">
        <is>
          <t>ตัวเลือก 1</t>
        </is>
      </c>
      <c r="E5" s="9" t="inlineStr">
        <is>
          <t>ตัวเลือก 2</t>
        </is>
      </c>
      <c r="F5" s="9" t="inlineStr">
        <is>
          <t>ตัวเลือก 3</t>
        </is>
      </c>
      <c r="G5" s="9" t="inlineStr">
        <is>
          <t>ตัวเลือก 4</t>
        </is>
      </c>
      <c r="H5" s="9" t="inlineStr">
        <is>
          <t>ตัวเลือก 5</t>
        </is>
      </c>
      <c r="I5" s="9" t="inlineStr">
        <is>
          <t>เฉลย</t>
        </is>
      </c>
      <c r="J5" s="9" t="inlineStr">
        <is>
          <t>คำอธิบายเฉลย</t>
        </is>
      </c>
      <c r="K5" s="9" t="inlineStr">
        <is>
          <t>รูปเฉลย</t>
        </is>
      </c>
      <c r="L5" s="9" t="inlineStr">
        <is>
          <t>หมวด/Subtopic</t>
        </is>
      </c>
      <c r="M5" s="9" t="inlineStr">
        <is>
          <t>Product/Clinic/SAP</t>
        </is>
      </c>
      <c r="N5" s="9" t="inlineStr">
        <is>
          <t>หมายเหตุ</t>
        </is>
      </c>
      <c r="O5" s="9" t="inlineStr">
        <is>
          <t>ประเภทข้อสอบ</t>
        </is>
      </c>
      <c r="P5" s="9" t="inlineStr">
        <is>
          <t>ปี / เลขชุด</t>
        </is>
      </c>
      <c r="Q5" s="9" t="inlineStr">
        <is>
          <t>ต้นทาง (Tab)</t>
        </is>
      </c>
    </row>
    <row r="6" ht="13.2" customHeight="1" s="37">
      <c r="A6" s="2">
        <f>IFERROR(__xludf.DUMMYFUNCTION("IFERROR(QUERY({'1. Musculoskeleton'!A3:P11000; '2. Cardiovascular'!A3:P11000; '3. Dermatologic'!A3:P11000; '4. Endocrine'!A3:P11000; '5. Gastrointestinal'!A3:P11000; '6. Hematologic'!A3:P11000; '7. Immunologic'!A3:P11000; '8. Infectious diseases'!A3:P1100"&amp;"0; '9. Neurologic'!A3:P11000; '10. Psychiatric'!A3:P11000; '11. Pulmonary'!A3:P11000; '12. GynaecologicGenitourinary'!A3:P11000; '13. Eye disorder'!A3:P11000; '14. Oncologic'!A3:P11000; '15. Renal'!A3:P11000; '16. Others &amp; Toxic'!A3:P11000; '1. Titrations"&amp;"'!A3:P11000; '2. Chromatography'!A3:P11000; '3. Spectroscopy &amp; Optics'!A3:P11000; '4. Preformulation &amp; GMP'!A3:P11000; '5. Pharmaceutical Calc'!A3:P11000; '6. Solid Dosage Forms'!A3:P11000; '7. Liquid &amp; Semisolids'!A3:P11000; '8. Biopharm &amp; Drug Release'!"&amp;"A3:P11000; '9. Sterile &amp; Special Forms'!A3:P11000; '10. Biotech Products'!A3:P11000; '11. Herbal Products'!A3:P11000; '12. Food Products &amp; QA'!A3:P11000; '13. Medicinal Chemistry'!A3:P11000; '1. Pharmacy Laws &amp; Ethics'!A3:P11000; '2. Pharmacy Administrati"&amp;"on &amp; Sy'!A3:P11000; '3. Research &amp; Biostats'!A3:P11000; '18. Clinical Nutrition'!A3:P11000; '17. Herbal Medicine'!A3:P11000}, ""select * where Col1 is not null and Col1 != 'ข้อที่' "" &amp; IF(OR(B3=""ทั้งหมด"", B3=""""), """", "" and Col15 = '"" &amp; B3 &amp; ""'"""&amp;") &amp; IF(OR(C3=""ทั้งหมด"", C3=""""), """", "" and Col16 = '"" &amp; C3 &amp; ""'"") &amp; IF(OR(D3=""ทั้งหมด"", D3=""""), """", "" and Col13 = '"" &amp; D3 &amp; ""'"") &amp; IF(ISBLANK(E3), """", "" and lower(Col2) contains '"" &amp; LOWER(E3) &amp; ""'""), 0), ""⚠️ ไม่พบข้อสอบตามเงื่อน"&amp;"ไขที่เลือก"")"),"7")</f>
        <v/>
      </c>
      <c r="B6" s="2">
        <f>IFERROR(__xludf.DUMMYFUNCTION("""COMPUTED_VALUE"""),"ในการเตรียม Aspirin Suspension หากต้องการเติมสารบัฟเฟอร์ ปรับ pH ให้มี pH เท่ากับ 6.8 ภก.ควรจะใช้บัฟเฟอร์ใด")</f>
        <v/>
      </c>
      <c r="C6" s="2" t="n"/>
      <c r="D6" s="2">
        <f>IFERROR(__xludf.DUMMYFUNCTION("""COMPUTED_VALUE"""),"NaH2PO4 (pKa 7.21)/ Na2HPO4")</f>
        <v/>
      </c>
      <c r="E6" s="2">
        <f>IFERROR(__xludf.DUMMYFUNCTION("""COMPUTED_VALUE"""),"Na2HPO4 / Na3PO4")</f>
        <v/>
      </c>
      <c r="F6" s="2">
        <f>IFERROR(__xludf.DUMMYFUNCTION("""COMPUTED_VALUE"""),"Acetic acid (pKa 4.76)/ Sodium acetate")</f>
        <v/>
      </c>
      <c r="G6" s="2">
        <f>IFERROR(__xludf.DUMMYFUNCTION("""COMPUTED_VALUE"""),"Boric acid (pKa 8.24)/Sodium borate")</f>
        <v/>
      </c>
      <c r="H6" s="2">
        <f>IFERROR(__xludf.DUMMYFUNCTION("""COMPUTED_VALUE"""),"HCl/NaOH")</f>
        <v/>
      </c>
      <c r="I6" s="2">
        <f>IFERROR(__xludf.DUMMYFUNCTION("""COMPUTED_VALUE"""),"1")</f>
        <v/>
      </c>
      <c r="J6" s="2">
        <f>IFERROR(__xludf.DUMMYFUNCTION("""COMPUTED_VALUE"""),"✅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NaH2P"&amp;"O4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ควรเ"&amp;"ลือก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Manuf"&amp;"acturing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หรือข้อบ่งใช้ไม่ตรงกับโจทย์ที่"&amp;"กำหนด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Manuf"&amp;"acturing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จุดจำก่อ"&amp;"นสอบ: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วิเคราะห์สาเหตุและวิธีแก้ไขปัญหา"&amp;" formulation defects เชิงสูตรตำรับ")</f>
        <v/>
      </c>
      <c r="K6" s="2" t="n"/>
      <c r="L6" s="2">
        <f>IFERROR(__xludf.DUMMYFUNCTION("""COMPUTED_VALUE"""),"Tablet Manufacturing")</f>
        <v/>
      </c>
      <c r="M6" s="2">
        <f>IFERROR(__xludf.DUMMYFUNCTION("""COMPUTED_VALUE"""),"Product")</f>
        <v/>
      </c>
      <c r="N6" s="2">
        <f>IFERROR(__xludf.DUMMYFUNCTION("""COMPUTED_VALUE"""),"ข้อ 7 Pharma Plus เล่มม่วง (เฉลยข้อ ก)")</f>
        <v/>
      </c>
      <c r="O6" s="2">
        <f>IFERROR(__xludf.DUMMYFUNCTION("""COMPUTED_VALUE"""),"Mock")</f>
        <v/>
      </c>
      <c r="P6" s="2">
        <f>IFERROR(__xludf.DUMMYFUNCTION("""COMPUTED_VALUE"""),"Pharma Plus เล่มม่วง")</f>
        <v/>
      </c>
    </row>
    <row r="7" ht="13.2" customHeight="1" s="37">
      <c r="A7" s="2">
        <f>IFERROR(__xludf.DUMMYFUNCTION("""COMPUTED_VALUE"""),"8")</f>
        <v/>
      </c>
      <c r="B7" s="2">
        <f>IFERROR(__xludf.DUMMYFUNCTION("""COMPUTED_VALUE"""),"ในการเตรียม aspirin suspension หากต้องการให้ยาตกตะกอนไม่เร็วเกินไป สารปรุงแต่งที่ต้องเติมคือ")</f>
        <v/>
      </c>
      <c r="C7" s="2" t="n"/>
      <c r="D7" s="2">
        <f>IFERROR(__xludf.DUMMYFUNCTION("""COMPUTED_VALUE"""),"Glycerin")</f>
        <v/>
      </c>
      <c r="E7" s="2">
        <f>IFERROR(__xludf.DUMMYFUNCTION("""COMPUTED_VALUE"""),"Tween 80")</f>
        <v/>
      </c>
      <c r="F7" s="2">
        <f>IFERROR(__xludf.DUMMYFUNCTION("""COMPUTED_VALUE"""),"Methylcellulose")</f>
        <v/>
      </c>
      <c r="G7" s="2">
        <f>IFERROR(__xludf.DUMMYFUNCTION("""COMPUTED_VALUE"""),"Aluminium chloride")</f>
        <v/>
      </c>
      <c r="H7" s="2">
        <f>IFERROR(__xludf.DUMMYFUNCTION("""COMPUTED_VALUE"""),"Sodium citrate")</f>
        <v/>
      </c>
      <c r="I7" s="2">
        <f>IFERROR(__xludf.DUMMYFUNCTION("""COMPUTED_VALUE"""),"3")</f>
        <v/>
      </c>
      <c r="J7" s="2">
        <f>IFERROR(__xludf.DUMMYFUNCTION("""COMPUTED_VALUE"""),"✅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"&amp;"💡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"&amp;"(BP)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หรือข้อบ่งใช้ไม่ตรงกับโจทย์ท"&amp;"ี่กำหนด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เนื่อง"&amp;"จากกลไกการออกฤทธิ์,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United"&amp;"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7" s="2" t="n"/>
      <c r="L7" s="2">
        <f>IFERROR(__xludf.DUMMYFUNCTION("""COMPUTED_VALUE"""),"Tablet Manufacturing")</f>
        <v/>
      </c>
      <c r="M7" s="2">
        <f>IFERROR(__xludf.DUMMYFUNCTION("""COMPUTED_VALUE"""),"Product")</f>
        <v/>
      </c>
      <c r="N7" s="2">
        <f>IFERROR(__xludf.DUMMYFUNCTION("""COMPUTED_VALUE"""),"ข้อ 8 Pharma Plus เล่มม่วง (เฉลยข้อ ค)")</f>
        <v/>
      </c>
      <c r="O7" s="2">
        <f>IFERROR(__xludf.DUMMYFUNCTION("""COMPUTED_VALUE"""),"Mock")</f>
        <v/>
      </c>
      <c r="P7" s="2">
        <f>IFERROR(__xludf.DUMMYFUNCTION("""COMPUTED_VALUE"""),"Pharma Plus เล่มม่วง")</f>
        <v/>
      </c>
    </row>
    <row r="8" ht="13.2" customHeight="1" s="37">
      <c r="A8" s="2">
        <f>IFERROR(__xludf.DUMMYFUNCTION("""COMPUTED_VALUE"""),"9")</f>
        <v/>
      </c>
      <c r="B8" s="2">
        <f>IFERROR(__xludf.DUMMYFUNCTION("""COMPUTED_VALUE"""),"สูตรตำรับย้ำน้ำ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f>
        <v/>
      </c>
      <c r="C8" s="2" t="n"/>
      <c r="D8" s="2">
        <f>IFERROR(__xludf.DUMMYFUNCTION("""COMPUTED_VALUE"""),"Flocculation")</f>
        <v/>
      </c>
      <c r="E8" s="2">
        <f>IFERROR(__xludf.DUMMYFUNCTION("""COMPUTED_VALUE"""),"Lamination")</f>
        <v/>
      </c>
      <c r="F8" s="2">
        <f>IFERROR(__xludf.DUMMYFUNCTION("""COMPUTED_VALUE"""),"Creaming")</f>
        <v/>
      </c>
      <c r="G8" s="2">
        <f>IFERROR(__xludf.DUMMYFUNCTION("""COMPUTED_VALUE"""),"Coalescence")</f>
        <v/>
      </c>
      <c r="H8" s="2">
        <f>IFERROR(__xludf.DUMMYFUNCTION("""COMPUTED_VALUE"""),"Caking")</f>
        <v/>
      </c>
      <c r="I8" s="2">
        <f>IFERROR(__xludf.DUMMYFUNCTION("""COMPUTED_VALUE"""),"5")</f>
        <v/>
      </c>
      <c r="J8"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ที่ตะกอนจะหลวมและแขวนลอ"&amp;"ยกลับได้ง่าย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เนื่องจากกลไกการ"&amp;"ออกฤทธิ์,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ข้อนี้ไม่ใช่คำตอบที่ถูกต้อ"&amp;"งสำหรับภาวะ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หรือข้อบ่งใช้ไม่ตรงกับโจทย์ที่กำห"&amp;"นด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bind"&amp;"er,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 s="2" t="n"/>
      <c r="L8" s="2">
        <f>IFERROR(__xludf.DUMMYFUNCTION("""COMPUTED_VALUE"""),"Tablet Manufacturing")</f>
        <v/>
      </c>
      <c r="M8" s="2">
        <f>IFERROR(__xludf.DUMMYFUNCTION("""COMPUTED_VALUE"""),"Product")</f>
        <v/>
      </c>
      <c r="N8" s="2">
        <f>IFERROR(__xludf.DUMMYFUNCTION("""COMPUTED_VALUE"""),"ข้อ 9 Pharma Plus เล่มม่วง (เฉลยข้อ จ)")</f>
        <v/>
      </c>
      <c r="O8" s="2">
        <f>IFERROR(__xludf.DUMMYFUNCTION("""COMPUTED_VALUE"""),"Mock")</f>
        <v/>
      </c>
      <c r="P8" s="2">
        <f>IFERROR(__xludf.DUMMYFUNCTION("""COMPUTED_VALUE"""),"Pharma Plus เล่มม่วง")</f>
        <v/>
      </c>
    </row>
    <row r="9" ht="13.2" customHeight="1" s="37">
      <c r="A9" s="2">
        <f>IFERROR(__xludf.DUMMYFUNCTION("""COMPUTED_VALUE"""),"10")</f>
        <v/>
      </c>
      <c r="B9" s="2">
        <f>IFERROR(__xludf.DUMMYFUNCTION("""COMPUTED_VALUE"""),"สูตรตำรับย้ำน้ำ Ferrous sulfate
- Ferrous sulfate 12.5 g
- Citric acid 0.2 g
- Paraben conc. 1 ml
- Syrup add qs 100 ml
ข้อใดถูก")</f>
        <v/>
      </c>
      <c r="C9" s="2" t="n"/>
      <c r="D9" s="2">
        <f>IFERROR(__xludf.DUMMYFUNCTION("""COMPUTED_VALUE"""),"มีปัญหาการละลาย")</f>
        <v/>
      </c>
      <c r="E9" s="2">
        <f>IFERROR(__xludf.DUMMYFUNCTION("""COMPUTED_VALUE"""),"ต้องเก็บในตู้เย็น")</f>
        <v/>
      </c>
      <c r="F9" s="2">
        <f>IFERROR(__xludf.DUMMYFUNCTION("""COMPUTED_VALUE"""),"เก็บในขวดใส ปิดสนิท")</f>
        <v/>
      </c>
      <c r="G9" s="2">
        <f>IFERROR(__xludf.DUMMYFUNCTION("""COMPUTED_VALUE"""),"ไม่มีสารแต่งรส")</f>
        <v/>
      </c>
      <c r="H9" s="2">
        <f>IFERROR(__xludf.DUMMYFUNCTION("""COMPUTED_VALUE"""),"ไม่มีสารเพิ่มความคงตัว")</f>
        <v/>
      </c>
      <c r="I9" s="2">
        <f>IFERROR(__xludf.DUMMYFUNCTION("""COMPUTED_VALUE"""),"1")</f>
        <v/>
      </c>
      <c r="J9" s="2">
        <f>IFERROR(__xludf.DUMMYFUNCTION("""COMPUTED_VALUE"""),"✅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(สารให้ความหวานและต"&amp;"ัวทำละลาย)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(ต้"&amp;"องเก็บในตู้เย็น):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เนื่องจากกลไกการ"&amp;"ออกฤทธิ์,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ข้อนี้ไม"&amp;"่ใช่คำตอบที่ถูกต้องสำหรับภาวะ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U"&amp;"niformity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"&amp;"สำหรับ stability, dissolution และ uniformity
• Defect Troubleshooting: วิเคราะห์สาเหตุและวิธีแก้ไขปัญหา formulation defects เชิงสูตรตำรับ")</f>
        <v/>
      </c>
      <c r="K9" s="2" t="n"/>
      <c r="L9" s="2">
        <f>IFERROR(__xludf.DUMMYFUNCTION("""COMPUTED_VALUE"""),"Tablet Manufacturing")</f>
        <v/>
      </c>
      <c r="M9" s="2">
        <f>IFERROR(__xludf.DUMMYFUNCTION("""COMPUTED_VALUE"""),"Product")</f>
        <v/>
      </c>
      <c r="N9" s="2">
        <f>IFERROR(__xludf.DUMMYFUNCTION("""COMPUTED_VALUE"""),"ข้อ 10 Pharma Plus เล่มม่วง (เฉลยข้อ ก)")</f>
        <v/>
      </c>
      <c r="O9" s="2">
        <f>IFERROR(__xludf.DUMMYFUNCTION("""COMPUTED_VALUE"""),"Mock")</f>
        <v/>
      </c>
      <c r="P9" s="2">
        <f>IFERROR(__xludf.DUMMYFUNCTION("""COMPUTED_VALUE"""),"Pharma Plus เล่มม่วง")</f>
        <v/>
      </c>
    </row>
    <row r="10" ht="13.2" customHeight="1" s="37">
      <c r="A10" s="2">
        <f>IFERROR(__xludf.DUMMYFUNCTION("""COMPUTED_VALUE"""),"11")</f>
        <v/>
      </c>
      <c r="B10" s="2">
        <f>IFERROR(__xludf.DUMMYFUNCTION("""COMPUTED_VALUE"""),"สูตรตำรับย้ำน้ำ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f>
        <v/>
      </c>
      <c r="C10" s="2" t="n"/>
      <c r="D10" s="2">
        <f>IFERROR(__xludf.DUMMYFUNCTION("""COMPUTED_VALUE"""),"0.625 mg")</f>
        <v/>
      </c>
      <c r="E10" s="2">
        <f>IFERROR(__xludf.DUMMYFUNCTION("""COMPUTED_VALUE"""),"2.625 mg")</f>
        <v/>
      </c>
      <c r="F10" s="2">
        <f>IFERROR(__xludf.DUMMYFUNCTION("""COMPUTED_VALUE"""),"62.5 mg")</f>
        <v/>
      </c>
      <c r="G10" s="2">
        <f>IFERROR(__xludf.DUMMYFUNCTION("""COMPUTED_VALUE"""),"375 mg")</f>
        <v/>
      </c>
      <c r="H10" s="2">
        <f>IFERROR(__xludf.DUMMYFUNCTION("""COMPUTED_VALUE"""),"125 mg")</f>
        <v/>
      </c>
      <c r="I10" s="2">
        <f>IFERROR(__xludf.DUMMYFUNCTION("""COMPUTED_VALUE"""),"5")</f>
        <v/>
      </c>
      <c r="J10" s="2">
        <f>IFERROR(__xludf.DUMMYFUNCTION("""COMPUTED_VALUE"""),"✅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💡"&amp;"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 5) / 100 = 625 mg
เนื่องจากมี elemental iron 20% จึงได้รับ elemental"&amp;" iron = 625 mg *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เน"&amp;"ื่องจากกลไกการออกฤทธิ์,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ข้อนี้ไม่ใช่คำต"&amp;"อบที่ถูกต้องสำหรับภาวะ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(diluent"&amp;",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 s="2" t="n"/>
      <c r="L10" s="2">
        <f>IFERROR(__xludf.DUMMYFUNCTION("""COMPUTED_VALUE"""),"Tablet Manufacturing")</f>
        <v/>
      </c>
      <c r="M10" s="2">
        <f>IFERROR(__xludf.DUMMYFUNCTION("""COMPUTED_VALUE"""),"Product")</f>
        <v/>
      </c>
      <c r="N10" s="2">
        <f>IFERROR(__xludf.DUMMYFUNCTION("""COMPUTED_VALUE"""),"ข้อ 11 Pharma Plus เล่มม่วง (เฉลยข้อ จ)")</f>
        <v/>
      </c>
      <c r="O10" s="2">
        <f>IFERROR(__xludf.DUMMYFUNCTION("""COMPUTED_VALUE"""),"Mock")</f>
        <v/>
      </c>
      <c r="P10" s="2">
        <f>IFERROR(__xludf.DUMMYFUNCTION("""COMPUTED_VALUE"""),"Pharma Plus เล่มม่วง")</f>
        <v/>
      </c>
    </row>
    <row r="11" ht="13.2" customHeight="1" s="37">
      <c r="A11" s="2">
        <f>IFERROR(__xludf.DUMMYFUNCTION("""COMPUTED_VALUE"""),"22")</f>
        <v/>
      </c>
      <c r="B11" s="2">
        <f>IFERROR(__xludf.DUMMYFUNCTION("""COMPUTED_VALUE"""),"ตำรับยาครีมผสมวิตามิน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f>
        <v/>
      </c>
      <c r="C11" s="2" t="n"/>
      <c r="D11" s="2">
        <f>IFERROR(__xludf.DUMMYFUNCTION("""COMPUTED_VALUE"""),"Stearic acid")</f>
        <v/>
      </c>
      <c r="E11" s="2">
        <f>IFERROR(__xludf.DUMMYFUNCTION("""COMPUTED_VALUE"""),"Lanolin")</f>
        <v/>
      </c>
      <c r="F11" s="2">
        <f>IFERROR(__xludf.DUMMYFUNCTION("""COMPUTED_VALUE"""),"Cetyl alcohol")</f>
        <v/>
      </c>
      <c r="G11" s="2">
        <f>IFERROR(__xludf.DUMMYFUNCTION("""COMPUTED_VALUE"""),"Potassium hydroxide")</f>
        <v/>
      </c>
      <c r="H11" s="2">
        <f>IFERROR(__xludf.DUMMYFUNCTION("""COMPUTED_VALUE"""),"Potassium stearate")</f>
        <v/>
      </c>
      <c r="I11" s="2">
        <f>IFERROR(__xludf.DUMMYFUNCTION("""COMPUTED_VALUE"""),"5")</f>
        <v/>
      </c>
      <c r="J11" s="2">
        <f>IFERROR(__xludf.DUMMYFUNCTION("""COMPUTED_VALUE"""),"✅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stea"&amp;"rate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P"&amp;"otassium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ก"&amp;"ว่า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(C"&amp;"etyl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เนื่องจากกลไกการออก"&amp;"ฤทธิ์,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•"&amp;"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formul"&amp;"ation defects เชิงสูตรตำรับ")</f>
        <v/>
      </c>
      <c r="K11" s="2" t="n"/>
      <c r="L11" s="2">
        <f>IFERROR(__xludf.DUMMYFUNCTION("""COMPUTED_VALUE"""),"Tablet Manufacturing")</f>
        <v/>
      </c>
      <c r="M11" s="2">
        <f>IFERROR(__xludf.DUMMYFUNCTION("""COMPUTED_VALUE"""),"Product")</f>
        <v/>
      </c>
      <c r="N11" s="2">
        <f>IFERROR(__xludf.DUMMYFUNCTION("""COMPUTED_VALUE"""),"ข้อ 22 Pharma Plus เล่มม่วง (เฉลยข้อ จ)")</f>
        <v/>
      </c>
      <c r="O11" s="2">
        <f>IFERROR(__xludf.DUMMYFUNCTION("""COMPUTED_VALUE"""),"Mock")</f>
        <v/>
      </c>
      <c r="P11" s="2">
        <f>IFERROR(__xludf.DUMMYFUNCTION("""COMPUTED_VALUE"""),"Pharma Plus เล่มม่วง")</f>
        <v/>
      </c>
    </row>
    <row r="12" ht="13.2" customHeight="1" s="37">
      <c r="A12" s="2">
        <f>IFERROR(__xludf.DUMMYFUNCTION("""COMPUTED_VALUE"""),"23")</f>
        <v/>
      </c>
      <c r="B12" s="2">
        <f>IFERROR(__xludf.DUMMYFUNCTION("""COMPUTED_VALUE"""),"ยายหยอดตามีส่วนประกอบดังนี้ Neomycin sulfate, Polymyxin B sulphate, NaCl, Benzalkonium chloride, Hypromellose, Disodium edetate จากตำรับดังกล่าว Hypromellose มีหน้าที่อะไร")</f>
        <v/>
      </c>
      <c r="C12" s="2" t="n"/>
      <c r="D12" s="2">
        <f>IFERROR(__xludf.DUMMYFUNCTION("""COMPUTED_VALUE"""),"เพิ่มการละลายของ Neomycin")</f>
        <v/>
      </c>
      <c r="E12" s="2">
        <f>IFERROR(__xludf.DUMMYFUNCTION("""COMPUTED_VALUE"""),"ป้องกันการตกตะกอนขุ่นของสารละลาย")</f>
        <v/>
      </c>
      <c r="F12" s="2">
        <f>IFERROR(__xludf.DUMMYFUNCTION("""COMPUTED_VALUE"""),"เพิ่มฤทธิ์ฆ่าเชื้อแบคทีเรีย")</f>
        <v/>
      </c>
      <c r="G12" s="2">
        <f>IFERROR(__xludf.DUMMYFUNCTION("""COMPUTED_VALUE"""),"ลดการแสบระคายเคืองตา")</f>
        <v/>
      </c>
      <c r="H12" s="2">
        <f>IFERROR(__xludf.DUMMYFUNCTION("""COMPUTED_VALUE"""),"เพิ่มการติดของสารละลายกับดวงตา")</f>
        <v/>
      </c>
      <c r="I12" s="2">
        <f>IFERROR(__xludf.DUMMYFUNCTION("""COMPUTED_VALUE"""),"5")</f>
        <v/>
      </c>
      <c r="J12" s="2">
        <f>IFERROR(__xludf.DUMMYFUNCTION("""COMPUTED_VALUE"""),"✅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"&amp;"corneal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ข้อนี้ไม่ใช่คำต"&amp;"อบที่ถูกต้องสำหรับภาวะ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ห"&amp;"รือข้อบ่งใช้ไม่ตรงกับโจทย์ที่กำหนด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ข้อนี้ไม่ใช่คำตอบ"&amp;"ที่ถูกต้องสำหรับภาวะ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12" s="2" t="n"/>
      <c r="L12" s="2">
        <f>IFERROR(__xludf.DUMMYFUNCTION("""COMPUTED_VALUE"""),"Tablet Manufacturing")</f>
        <v/>
      </c>
      <c r="M12" s="2">
        <f>IFERROR(__xludf.DUMMYFUNCTION("""COMPUTED_VALUE"""),"Product")</f>
        <v/>
      </c>
      <c r="N12" s="2">
        <f>IFERROR(__xludf.DUMMYFUNCTION("""COMPUTED_VALUE"""),"ข้อ 23 Pharma Plus เล่มม่วง (เฉลยข้อ จ)")</f>
        <v/>
      </c>
      <c r="O12" s="2">
        <f>IFERROR(__xludf.DUMMYFUNCTION("""COMPUTED_VALUE"""),"Mock")</f>
        <v/>
      </c>
      <c r="P12" s="2">
        <f>IFERROR(__xludf.DUMMYFUNCTION("""COMPUTED_VALUE"""),"Pharma Plus เล่มม่วง")</f>
        <v/>
      </c>
    </row>
    <row r="13" ht="13.2" customHeight="1" s="37">
      <c r="A13" s="2">
        <f>IFERROR(__xludf.DUMMYFUNCTION("""COMPUTED_VALUE"""),"24")</f>
        <v/>
      </c>
      <c r="B13" s="2">
        <f>IFERROR(__xludf.DUMMYFUNCTION("""COMPUTED_VALUE"""),"คุณสมบัติที่สำคัญที่สุดของยาตา")</f>
        <v/>
      </c>
      <c r="C13" s="2" t="n"/>
      <c r="D13" s="2">
        <f>IFERROR(__xludf.DUMMYFUNCTION("""COMPUTED_VALUE"""),"Isotonic")</f>
        <v/>
      </c>
      <c r="E13" s="2">
        <f>IFERROR(__xludf.DUMMYFUNCTION("""COMPUTED_VALUE"""),"Sterile")</f>
        <v/>
      </c>
      <c r="F13" s="2">
        <f>IFERROR(__xludf.DUMMYFUNCTION("""COMPUTED_VALUE"""),"pH")</f>
        <v/>
      </c>
      <c r="G13" s="2">
        <f>IFERROR(__xludf.DUMMYFUNCTION("""COMPUTED_VALUE"""),"Preservative")</f>
        <v/>
      </c>
      <c r="H13" s="2">
        <f>IFERROR(__xludf.DUMMYFUNCTION("""COMPUTED_VALUE"""),"ต้องเป็นสารละลาย")</f>
        <v/>
      </c>
      <c r="I13" s="2">
        <f>IFERROR(__xludf.DUMMYFUNCTION("""COMPUTED_VALUE"""),"2")</f>
        <v/>
      </c>
      <c r="J13" s="2">
        <f>IFERROR(__xludf.DUMMYFUNCTION("""COMPUTED_VALUE"""),"✅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"&amp;"💡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เช่น"&amp;"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ข้อนี้ไม่ใช่คำตอบที่ถูกต้องสำหรับภา"&amp;"วะ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(Prese"&amp;"rvative):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13" s="2" t="n"/>
      <c r="L13" s="2">
        <f>IFERROR(__xludf.DUMMYFUNCTION("""COMPUTED_VALUE"""),"Tablet Manufacturing")</f>
        <v/>
      </c>
      <c r="M13" s="2">
        <f>IFERROR(__xludf.DUMMYFUNCTION("""COMPUTED_VALUE"""),"Product")</f>
        <v/>
      </c>
      <c r="N13" s="2">
        <f>IFERROR(__xludf.DUMMYFUNCTION("""COMPUTED_VALUE"""),"ข้อ 24 Pharma Plus เล่มม่วง (เฉลยข้อ ข)")</f>
        <v/>
      </c>
      <c r="O13" s="2">
        <f>IFERROR(__xludf.DUMMYFUNCTION("""COMPUTED_VALUE"""),"Mock")</f>
        <v/>
      </c>
      <c r="P13" s="2">
        <f>IFERROR(__xludf.DUMMYFUNCTION("""COMPUTED_VALUE"""),"Pharma Plus เล่มม่วง")</f>
        <v/>
      </c>
    </row>
    <row r="14" ht="13.2" customHeight="1" s="37">
      <c r="A14" s="2">
        <f>IFERROR(__xludf.DUMMYFUNCTION("""COMPUTED_VALUE"""),"25")</f>
        <v/>
      </c>
      <c r="B14" s="2">
        <f>IFERROR(__xludf.DUMMYFUNCTION("""COMPUTED_VALUE"""),"Norfloxacin มีค่าการละลายต่ำจึงนำมาใช้ร่วมกับ B-cyclodextrin ข้อใดคือกลไกของ B-cyclodextrin")</f>
        <v/>
      </c>
      <c r="C14" s="2" t="n"/>
      <c r="D14" s="2">
        <f>IFERROR(__xludf.DUMMYFUNCTION("""COMPUTED_VALUE"""),"pH")</f>
        <v/>
      </c>
      <c r="E14" s="2">
        <f>IFERROR(__xludf.DUMMYFUNCTION("""COMPUTED_VALUE"""),"ลดค่า dielectric constant")</f>
        <v/>
      </c>
      <c r="F14" s="2">
        <f>IFERROR(__xludf.DUMMYFUNCTION("""COMPUTED_VALUE"""),"Micelle")</f>
        <v/>
      </c>
      <c r="G14" s="2">
        <f>IFERROR(__xludf.DUMMYFUNCTION("""COMPUTED_VALUE"""),"Co-solvent")</f>
        <v/>
      </c>
      <c r="H14" s="2">
        <f>IFERROR(__xludf.DUMMYFUNCTION("""COMPUTED_VALUE"""),"Complexation")</f>
        <v/>
      </c>
      <c r="I14" s="2">
        <f>IFERROR(__xludf.DUMMYFUNCTION("""COMPUTED_VALUE"""),"5")</f>
        <v/>
      </c>
      <c r="J14" s="2">
        <f>IFERROR(__xludf.DUMMYFUNCTION("""COMPUTED_VALUE"""),"✅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Com"&amp;"plexation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ช่ว"&amp;"ยเพิ่มการละลายและการดูดซึมของยา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เนื่องจ"&amp;"ากกลไกการออกฤทธิ์,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ข้อ"&amp;"นี้ไม่ใช่คำตอบที่ถูกต้องสำหรับภาวะ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หรือข้อบ่งใ"&amp;"ช้ไม่ตรงกับโจทย์ที่กำหนด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Exc"&amp;"ipient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formulatio"&amp;"n defects เชิงสูตรตำรับ")</f>
        <v/>
      </c>
      <c r="K14" s="2" t="n"/>
      <c r="L14" s="2">
        <f>IFERROR(__xludf.DUMMYFUNCTION("""COMPUTED_VALUE"""),"Tablet Manufacturing")</f>
        <v/>
      </c>
      <c r="M14" s="2">
        <f>IFERROR(__xludf.DUMMYFUNCTION("""COMPUTED_VALUE"""),"Product")</f>
        <v/>
      </c>
      <c r="N14" s="2">
        <f>IFERROR(__xludf.DUMMYFUNCTION("""COMPUTED_VALUE"""),"ข้อ 25 Pharma Plus เล่มม่วง (เฉลยข้อ จ)")</f>
        <v/>
      </c>
      <c r="O14" s="2">
        <f>IFERROR(__xludf.DUMMYFUNCTION("""COMPUTED_VALUE"""),"Mock")</f>
        <v/>
      </c>
      <c r="P14" s="2">
        <f>IFERROR(__xludf.DUMMYFUNCTION("""COMPUTED_VALUE"""),"Pharma Plus เล่มม่วง")</f>
        <v/>
      </c>
    </row>
    <row r="15" ht="13.2" customHeight="1" s="37">
      <c r="A15" s="2">
        <f>IFERROR(__xludf.DUMMYFUNCTION("""COMPUTED_VALUE"""),"26")</f>
        <v/>
      </c>
      <c r="B15" s="2">
        <f>IFERROR(__xludf.DUMMYFUNCTION("""COMPUTED_VALUE"""),"หากต้องการพัฒนาสูตรตำรับยาคุมกำเนิดปัญหาใดที่มีความสำคัญที่สุดและต้องแก้ไข")</f>
        <v/>
      </c>
      <c r="C15" s="2" t="n"/>
      <c r="D15" s="2">
        <f>IFERROR(__xludf.DUMMYFUNCTION("""COMPUTED_VALUE"""),"ความหนาของเม็ดยาต้องเท่ากัน")</f>
        <v/>
      </c>
      <c r="E15" s="2">
        <f>IFERROR(__xludf.DUMMYFUNCTION("""COMPUTED_VALUE"""),"ความแข็งของเม็ดยา เนื่องจากต้องพกติดตัว")</f>
        <v/>
      </c>
      <c r="F15" s="2">
        <f>IFERROR(__xludf.DUMMYFUNCTION("""COMPUTED_VALUE"""),"ความสม่ำเสมอของตัวยาสำคัญ")</f>
        <v/>
      </c>
      <c r="G15" s="2">
        <f>IFERROR(__xludf.DUMMYFUNCTION("""COMPUTED_VALUE"""),"ความกร่อน")</f>
        <v/>
      </c>
      <c r="H15" s="2">
        <f>IFERROR(__xludf.DUMMYFUNCTION("""COMPUTED_VALUE"""),"การละลายของยา")</f>
        <v/>
      </c>
      <c r="I15" s="2">
        <f>IFERROR(__xludf.DUMMYFUNCTION("""COMPUTED_VALUE"""),"3")</f>
        <v/>
      </c>
      <c r="J15" s="2">
        <f>IFERROR(__xludf.DUMMYFUNCTION("""COMPUTED_VALUE"""),"✅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(ความสม่ำเสมอของปริมาณตัวยาสำคัญ"&amp;")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ข้อนี้ไม"&amp;"่ใช่คำตอบที่ถูกต้องสำหรับภาวะ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เนื่องจากกลไกการออกฤทธ"&amp;"ิ์,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ข้อนี้ไม่ใช่คำตอบที่ถูกต้องส"&amp;"ำหรับภาวะ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"&amp;"Units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15" s="2" t="n"/>
      <c r="L15" s="2">
        <f>IFERROR(__xludf.DUMMYFUNCTION("""COMPUTED_VALUE"""),"Tablet Manufacturing")</f>
        <v/>
      </c>
      <c r="M15" s="2">
        <f>IFERROR(__xludf.DUMMYFUNCTION("""COMPUTED_VALUE"""),"Product")</f>
        <v/>
      </c>
      <c r="N15" s="2">
        <f>IFERROR(__xludf.DUMMYFUNCTION("""COMPUTED_VALUE"""),"ข้อ 26 Pharma Plus เล่มม่วง (เฉลยข้อ ค)")</f>
        <v/>
      </c>
      <c r="O15" s="2">
        <f>IFERROR(__xludf.DUMMYFUNCTION("""COMPUTED_VALUE"""),"Mock")</f>
        <v/>
      </c>
      <c r="P15" s="2">
        <f>IFERROR(__xludf.DUMMYFUNCTION("""COMPUTED_VALUE"""),"Pharma Plus เล่มม่วง")</f>
        <v/>
      </c>
    </row>
    <row r="16" ht="13.2" customHeight="1" s="37">
      <c r="A16" s="2">
        <f>IFERROR(__xludf.DUMMYFUNCTION("""COMPUTED_VALUE"""),"72")</f>
        <v/>
      </c>
      <c r="B16" s="2">
        <f>IFERROR(__xludf.DUMMYFUNCTION("""COMPUTED_VALUE"""),"สาเหตุความไม่คงตัวดังข้อ 71 คือ")</f>
        <v/>
      </c>
      <c r="C16" s="2" t="n"/>
      <c r="D16" s="2">
        <f>IFERROR(__xludf.DUMMYFUNCTION("""COMPUTED_VALUE"""),"อนุภาคมีขนาดใหญ่เกินไป")</f>
        <v/>
      </c>
      <c r="E16" s="2">
        <f>IFERROR(__xludf.DUMMYFUNCTION("""COMPUTED_VALUE"""),"วัตภาคน้ำมันมีปริมาณมากเกินไป")</f>
        <v/>
      </c>
      <c r="F16" s="2">
        <f>IFERROR(__xludf.DUMMYFUNCTION("""COMPUTED_VALUE"""),"ความหนืดของวัตภาคภายนอกสูงเกินไป")</f>
        <v/>
      </c>
      <c r="G16" s="2">
        <f>IFERROR(__xludf.DUMMYFUNCTION("""COMPUTED_VALUE"""),"ไม่มีสารก่ออิมัลชัน (emulsifier) ในตำรับ")</f>
        <v/>
      </c>
      <c r="H16" s="2">
        <f>IFERROR(__xludf.DUMMYFUNCTION("""COMPUTED_VALUE"""),"ความหนาแน่นของวัตภาคในและนอกมีค่าใกล้เคียงกัน")</f>
        <v/>
      </c>
      <c r="I16" s="2">
        <f>IFERROR(__xludf.DUMMYFUNCTION("""COMPUTED_VALUE"""),"4")</f>
        <v/>
      </c>
      <c r="J16" s="2">
        <f>IFERROR(__xludf.DUMMYFUNCTION("""COMPUTED_VALUE"""),"✅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ตามมาตรฐ"&amp;"าน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ซึ่งสอดคล้องกับคุณสมบ"&amp;"ัติทางกายภาพและสูตรตำรับอิมัลชัน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ข้อนี้ไ"&amp;"ม่ใช่คำตอบที่ถูกต้องสำหรับภาวะ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effic"&amp;"acy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(ความหนาแน่นของวัตภาคในและนอกมี"&amp;"ค่าใกล้เคียงกัน):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16" s="2" t="n"/>
      <c r="L16" s="2">
        <f>IFERROR(__xludf.DUMMYFUNCTION("""COMPUTED_VALUE"""),"Tablet Manufacturing")</f>
        <v/>
      </c>
      <c r="M16" s="2">
        <f>IFERROR(__xludf.DUMMYFUNCTION("""COMPUTED_VALUE"""),"Product")</f>
        <v/>
      </c>
      <c r="N16" s="2">
        <f>IFERROR(__xludf.DUMMYFUNCTION("""COMPUTED_VALUE"""),"ข้อ 72 Pharma Plus เล่มม่วง (เฉลยข้อ ง)")</f>
        <v/>
      </c>
      <c r="O16" s="2">
        <f>IFERROR(__xludf.DUMMYFUNCTION("""COMPUTED_VALUE"""),"Mock")</f>
        <v/>
      </c>
      <c r="P16" s="2">
        <f>IFERROR(__xludf.DUMMYFUNCTION("""COMPUTED_VALUE"""),"Pharma Plus เล่มม่วง")</f>
        <v/>
      </c>
    </row>
    <row r="17" ht="13.2" customHeight="1" s="37">
      <c r="A17" s="2">
        <f>IFERROR(__xludf.DUMMYFUNCTION("""COMPUTED_VALUE"""),"73")</f>
        <v/>
      </c>
      <c r="B17" s="2">
        <f>IFERROR(__xludf.DUMMYFUNCTION("""COMPUTED_VALUE"""),"ค่า required HLB ในการเกิดเป็น o/w emulsion ของวัตภาคน้ำมัน stearic acid และ liquid paraffin ในตำรับข้อ 71 มีค่าเท่ากับ")</f>
        <v/>
      </c>
      <c r="C17" s="2" t="n"/>
      <c r="D17" s="2">
        <f>IFERROR(__xludf.DUMMYFUNCTION("""COMPUTED_VALUE"""),"9.5")</f>
        <v/>
      </c>
      <c r="E17" s="2">
        <f>IFERROR(__xludf.DUMMYFUNCTION("""COMPUTED_VALUE"""),"10.75")</f>
        <v/>
      </c>
      <c r="F17" s="2">
        <f>IFERROR(__xludf.DUMMYFUNCTION("""COMPUTED_VALUE"""),"11.04")</f>
        <v/>
      </c>
      <c r="G17" s="2">
        <f>IFERROR(__xludf.DUMMYFUNCTION("""COMPUTED_VALUE"""),"12.13")</f>
        <v/>
      </c>
      <c r="H17" s="2">
        <f>IFERROR(__xludf.DUMMYFUNCTION("""COMPUTED_VALUE"""),"14")</f>
        <v/>
      </c>
      <c r="I17" s="2">
        <f>IFERROR(__xludf.DUMMYFUNCTION("""COMPUTED_VALUE"""),"1")</f>
        <v/>
      </c>
      <c r="J17" s="2">
        <f>IFERROR(__xludf.DUMMYFUNCTION("""COMPUTED_VALUE"""),"✅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คำอธิบายและเหตุผลทางเภ"&amp;"สัชกรรม: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"&amp;"Practice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ข้อนี้ไม่ใช่ค"&amp;"ำตอบที่ถูกต้องสำหรับภาวะ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หรือข้อบ่งใช้ไม่ตรงกับโจทย"&amp;"์ที่กำหนด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Spectropho"&amp;"tometry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dissolutio"&amp;"n และ uniformity
• Defect Troubleshooting: วิเคราะห์สาเหตุและวิธีแก้ไขปัญหา formulation defects เชิงสูตรตำรับ")</f>
        <v/>
      </c>
      <c r="K17" s="2" t="n"/>
      <c r="L17" s="2">
        <f>IFERROR(__xludf.DUMMYFUNCTION("""COMPUTED_VALUE"""),"Tablet Manufacturing")</f>
        <v/>
      </c>
      <c r="M17" s="2">
        <f>IFERROR(__xludf.DUMMYFUNCTION("""COMPUTED_VALUE"""),"Product")</f>
        <v/>
      </c>
      <c r="N17" s="2">
        <f>IFERROR(__xludf.DUMMYFUNCTION("""COMPUTED_VALUE"""),"ข้อ 73 Pharma Plus เล่มม่วง (เฉลยข้อ )")</f>
        <v/>
      </c>
      <c r="O17" s="2">
        <f>IFERROR(__xludf.DUMMYFUNCTION("""COMPUTED_VALUE"""),"Mock")</f>
        <v/>
      </c>
      <c r="P17" s="2">
        <f>IFERROR(__xludf.DUMMYFUNCTION("""COMPUTED_VALUE"""),"Pharma Plus เล่มม่วง")</f>
        <v/>
      </c>
    </row>
    <row r="18" ht="13.2" customHeight="1" s="37">
      <c r="A18" s="2">
        <f>IFERROR(__xludf.DUMMYFUNCTION("""COMPUTED_VALUE"""),"74")</f>
        <v/>
      </c>
      <c r="B18" s="2">
        <f>IFERROR(__xludf.DUMMYFUNCTION("""COMPUTED_VALUE"""),"สัดส่วนที่เหมาะสมของสารก่ออิมัลชันที่ใช้สำหรับตำรับข้อ 71 เพื่อให้เกิดเป็น o/w")</f>
        <v/>
      </c>
      <c r="C18" s="2" t="n"/>
      <c r="D18" s="2">
        <f>IFERROR(__xludf.DUMMYFUNCTION("""COMPUTED_VALUE"""),"Tween 80 : Span 80 = 8.43 : 2.87")</f>
        <v/>
      </c>
      <c r="E18" s="2">
        <f>IFERROR(__xludf.DUMMYFUNCTION("""COMPUTED_VALUE"""),"Tween 80 : Span 80 = 2.87 : 8.43")</f>
        <v/>
      </c>
      <c r="F18" s="2">
        <f>IFERROR(__xludf.DUMMYFUNCTION("""COMPUTED_VALUE"""),"Tween 80 : Span 80 = 15.0 : 3.7")</f>
        <v/>
      </c>
      <c r="G18" s="2">
        <f>IFERROR(__xludf.DUMMYFUNCTION("""COMPUTED_VALUE"""),"Tween 80 : Span 80 = 3.7 : 15.0")</f>
        <v/>
      </c>
      <c r="H18" s="2">
        <f>IFERROR(__xludf.DUMMYFUNCTION("""COMPUTED_VALUE"""),"Tween 80 : Span 80 = 1.5 : 2.5")</f>
        <v/>
      </c>
      <c r="I18" s="2">
        <f>IFERROR(__xludf.DUMMYFUNCTION("""COMPUTED_VALUE"""),"1")</f>
        <v/>
      </c>
      <c r="J18" s="2">
        <f>IFERROR(__xludf.DUMMYFUNCTION("""COMPUTED_VALUE"""),"✅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ท"&amp;"ำไมข้อนี้ถึงถูก: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ของต"&amp;"ำรับโดยใช้วิธี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(Sorbitan"&amp;"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"&amp;"80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lipophilic"&amp;" เหมาะสำหรับ W/O emulsion
📖 Guideline อ้างอิง:
The United States Pharmacopeia (USP-NF 2024) General Chapters &lt;701&gt; Disintegration, &lt;711&gt; Dissolution, &lt;905&gt; Uniformity of Dosage Units &amp; Remington: The Science and Practice of Pharmacy (23rd Edition)
📌 จ"&amp;"ุดจำก่อนสอบ: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วิเคราะห์สาเหตุและวิธีแก้"&amp;"ไขปัญหา formulation defects เชิงสูตรตำรับ")</f>
        <v/>
      </c>
      <c r="K18" s="2" t="n"/>
      <c r="L18" s="2">
        <f>IFERROR(__xludf.DUMMYFUNCTION("""COMPUTED_VALUE"""),"Tablet Manufacturing")</f>
        <v/>
      </c>
      <c r="M18" s="2">
        <f>IFERROR(__xludf.DUMMYFUNCTION("""COMPUTED_VALUE"""),"Product")</f>
        <v/>
      </c>
      <c r="N18" s="2">
        <f>IFERROR(__xludf.DUMMYFUNCTION("""COMPUTED_VALUE"""),"ข้อ 74 Pharma Plus เล่มม่วง (เฉลยข้อ )")</f>
        <v/>
      </c>
      <c r="O18" s="2">
        <f>IFERROR(__xludf.DUMMYFUNCTION("""COMPUTED_VALUE"""),"Mock")</f>
        <v/>
      </c>
      <c r="P18" s="2">
        <f>IFERROR(__xludf.DUMMYFUNCTION("""COMPUTED_VALUE"""),"Pharma Plus เล่มม่วง")</f>
        <v/>
      </c>
    </row>
    <row r="19" ht="13.2" customHeight="1" s="37">
      <c r="A19" s="2">
        <f>IFERROR(__xludf.DUMMYFUNCTION("""COMPUTED_VALUE"""),"75")</f>
        <v/>
      </c>
      <c r="B19" s="2">
        <f>IFERROR(__xludf.DUMMYFUNCTION("""COMPUTED_VALUE"""),"เพราะเหตุใดอิมัลชันที่เตรียมได้ตามสูตรข้างต้นเป็นอิมัลชันชนิด o/w")</f>
        <v/>
      </c>
      <c r="C19" s="2" t="n"/>
      <c r="D19" s="2">
        <f>IFERROR(__xludf.DUMMYFUNCTION("""COMPUTED_VALUE"""),"มีปริมาตรวัตภาคบ้า(น้ำ)สูงกว่าวัตภาคน้ำมัน และระบบสารก่ออิมัลชัน (emulsifier system) มีค่า HLB ที่สูง")</f>
        <v/>
      </c>
      <c r="E19" s="2">
        <f>IFERROR(__xludf.DUMMYFUNCTION("""COMPUTED_VALUE"""),"มีปริมาตรวัตภาคบ้า(น้ำ)สูงกว่าวัตภาคน้ำมัน และระบบสารก่ออิมัลชัน (emulsifier system) มีค่า HLB ที่ต่ำ")</f>
        <v/>
      </c>
      <c r="F19" s="2">
        <f>IFERROR(__xludf.DUMMYFUNCTION("""COMPUTED_VALUE"""),"มีปริมาตรวัตภาคน้ำมันสูงกว่าวัตภาคบ้า(น้ำ) และระบบสารก่ออิมัลชัน (emulsifier system) มีค่า HLB ที่สูง")</f>
        <v/>
      </c>
      <c r="G19" s="2">
        <f>IFERROR(__xludf.DUMMYFUNCTION("""COMPUTED_VALUE"""),"มีปริมาตรวัตภาคน้ำมันสูงกว่าวัตภาคบ้า(น้ำ) และระบบสารก่ออิมัลชัน (emulsifier system) มีค่า HLB ที่ต่ำ")</f>
        <v/>
      </c>
      <c r="H19" s="2">
        <f>IFERROR(__xludf.DUMMYFUNCTION("""COMPUTED_VALUE"""),"มีปริมาตรวัตภาคน้ำมันและวัตภาคน้ำเท่าๆกัน และระบบสารก่ออิมัลชัน (emulsifier system) มีค่า HLB ที่สูง")</f>
        <v/>
      </c>
      <c r="I19" s="2">
        <f>IFERROR(__xludf.DUMMYFUNCTION("""COMPUTED_VALUE"""),"1")</f>
        <v/>
      </c>
      <c r="J19" s="2">
        <f>IFERROR(__xludf.DUMMYFUNCTION("""COMPUTED_VALUE"""),"✅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excipients"&amp;"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คำอธิบายและเหตุผลทางเภสัชกรรม:"&amp;"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P"&amp;"ractice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เนื่องจ"&amp;"ากกลไกการออกฤทธิ์,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เนื่องจากกลไกการออ"&amp;"กฤทธิ์,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eff"&amp;"icacy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19" s="2" t="n"/>
      <c r="L19" s="2">
        <f>IFERROR(__xludf.DUMMYFUNCTION("""COMPUTED_VALUE"""),"Tablet Manufacturing")</f>
        <v/>
      </c>
      <c r="M19" s="2">
        <f>IFERROR(__xludf.DUMMYFUNCTION("""COMPUTED_VALUE"""),"Product")</f>
        <v/>
      </c>
      <c r="N19" s="2">
        <f>IFERROR(__xludf.DUMMYFUNCTION("""COMPUTED_VALUE"""),"ข้อ 75 Pharma Plus เล่มม่วง (เฉลยข้อ ก)")</f>
        <v/>
      </c>
      <c r="O19" s="2">
        <f>IFERROR(__xludf.DUMMYFUNCTION("""COMPUTED_VALUE"""),"Mock")</f>
        <v/>
      </c>
      <c r="P19" s="2">
        <f>IFERROR(__xludf.DUMMYFUNCTION("""COMPUTED_VALUE"""),"Pharma Plus เล่มม่วง")</f>
        <v/>
      </c>
    </row>
    <row r="20" ht="13.2" customHeight="1" s="37">
      <c r="A20" s="2">
        <f>IFERROR(__xludf.DUMMYFUNCTION("""COMPUTED_VALUE"""),"76")</f>
        <v/>
      </c>
      <c r="B20" s="2">
        <f>IFERROR(__xludf.DUMMYFUNCTION("""COMPUTED_VALUE"""),"ในการผลิตยาเม็ด gemfibrozil พบว่าเมื่อตอกแล้วยาเม็ดติดสาก แก้ไขโดยการเติมสารใด")</f>
        <v/>
      </c>
      <c r="C20" s="2" t="n"/>
      <c r="D20" s="2">
        <f>IFERROR(__xludf.DUMMYFUNCTION("""COMPUTED_VALUE"""),"Lactose")</f>
        <v/>
      </c>
      <c r="E20" s="2">
        <f>IFERROR(__xludf.DUMMYFUNCTION("""COMPUTED_VALUE"""),"Calcium carbonate")</f>
        <v/>
      </c>
      <c r="F20" s="2">
        <f>IFERROR(__xludf.DUMMYFUNCTION("""COMPUTED_VALUE"""),"HPMC")</f>
        <v/>
      </c>
      <c r="G20" s="2">
        <f>IFERROR(__xludf.DUMMYFUNCTION("""COMPUTED_VALUE"""),"Magnesium stearate")</f>
        <v/>
      </c>
      <c r="H20" s="2">
        <f>IFERROR(__xludf.DUMMYFUNCTION("""COMPUTED_VALUE"""),"Alcohol")</f>
        <v/>
      </c>
      <c r="I20" s="2">
        <f>IFERROR(__xludf.DUMMYFUNCTION("""COMPUTED_VALUE"""),"4")</f>
        <v/>
      </c>
      <c r="J20" s="2">
        <f>IFERROR(__xludf.DUMMYFUNCTION("""COMPUTED_VALUE"""),"✅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เพื่อลดแรงเสียดทานระหว่างผ"&amp;"งยากับผิวโลหะ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reac"&amp;"tion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"&amp;"ใช้เป็น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หรือข้อบ่งใช้ไม่ตรงกับโจทย์ที่กำ"&amp;"หนด
📖 Guideline อ้างอิง:
The United States Pharmacopeia (USP-NF 2024) General Chapters &lt;701&gt; Disintegration, &lt;711&gt; Dissolution, &lt;905&gt; Uniformity of Dosage Units &amp; Remington: The Science and Practice of Pharmacy (23rd Edition)
📌 จุดจำก่อนสอบ:
• Excipie"&amp;"nt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de"&amp;"fects เชิงสูตรตำรับ")</f>
        <v/>
      </c>
      <c r="K20" s="2" t="n"/>
      <c r="L20" s="2">
        <f>IFERROR(__xludf.DUMMYFUNCTION("""COMPUTED_VALUE"""),"Tablet Defects")</f>
        <v/>
      </c>
      <c r="M20" s="2">
        <f>IFERROR(__xludf.DUMMYFUNCTION("""COMPUTED_VALUE"""),"Product")</f>
        <v/>
      </c>
      <c r="N20" s="2">
        <f>IFERROR(__xludf.DUMMYFUNCTION("""COMPUTED_VALUE"""),"ข้อ 76 Pharma Plus เล่มม่วง (เฉลยข้อ ง)")</f>
        <v/>
      </c>
      <c r="O20" s="2">
        <f>IFERROR(__xludf.DUMMYFUNCTION("""COMPUTED_VALUE"""),"Mock")</f>
        <v/>
      </c>
      <c r="P20" s="2">
        <f>IFERROR(__xludf.DUMMYFUNCTION("""COMPUTED_VALUE"""),"Pharma Plus เล่มม่วง")</f>
        <v/>
      </c>
    </row>
    <row r="21" ht="13.2" customHeight="1" s="37">
      <c r="A21" s="2">
        <f>IFERROR(__xludf.DUMMYFUNCTION("""COMPUTED_VALUE"""),"77")</f>
        <v/>
      </c>
      <c r="B21" s="2">
        <f>IFERROR(__xludf.DUMMYFUNCTION("""COMPUTED_VALUE"""),"หากต้องการเพิ่มความสามารถในการแตกตัวของยาเม็ด colchicine ควรใช้สารใด")</f>
        <v/>
      </c>
      <c r="C21" s="2" t="n"/>
      <c r="D21" s="2">
        <f>IFERROR(__xludf.DUMMYFUNCTION("""COMPUTED_VALUE"""),"Lactose")</f>
        <v/>
      </c>
      <c r="E21" s="2">
        <f>IFERROR(__xludf.DUMMYFUNCTION("""COMPUTED_VALUE"""),"Starch paste")</f>
        <v/>
      </c>
      <c r="F21" s="2">
        <f>IFERROR(__xludf.DUMMYFUNCTION("""COMPUTED_VALUE"""),"Microcrystalline cellulose")</f>
        <v/>
      </c>
      <c r="G21" s="2">
        <f>IFERROR(__xludf.DUMMYFUNCTION("""COMPUTED_VALUE"""),"Magnesium stearate")</f>
        <v/>
      </c>
      <c r="H21" s="2">
        <f>IFERROR(__xludf.DUMMYFUNCTION("""COMPUTED_VALUE"""),"Dicalcium phosphate")</f>
        <v/>
      </c>
      <c r="I21" s="2">
        <f>IFERROR(__xludf.DUMMYFUNCTION("""COMPUTED_VALUE"""),"3")</f>
        <v/>
      </c>
      <c r="J21" s="2">
        <f>IFERROR(__xludf.DUMMYFUNCTION("""COMPUTED_VALUE"""),"✅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ทำไมข้อ"&amp;"นี้ถึงถูก: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microcrys"&amp;"talline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ละลายน้ำได"&amp;"้ดี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หรือข้อบ่งใช้ไม่ตรงกับโจทย"&amp;"์ที่กำหนด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ข้อนี้ไม่ใช่คำตอบที่ถูกต้องสำหรับ"&amp;"ภาวะ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Units"&amp;"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dissolu"&amp;"tion และ uniformity
• Defect Troubleshooting: วิเคราะห์สาเหตุและวิธีแก้ไขปัญหา formulation defects เชิงสูตรตำรับ")</f>
        <v/>
      </c>
      <c r="K21" s="2" t="n"/>
      <c r="L21" s="2">
        <f>IFERROR(__xludf.DUMMYFUNCTION("""COMPUTED_VALUE"""),"Tablet Manufacturing")</f>
        <v/>
      </c>
      <c r="M21" s="2">
        <f>IFERROR(__xludf.DUMMYFUNCTION("""COMPUTED_VALUE"""),"Product")</f>
        <v/>
      </c>
      <c r="N21" s="2">
        <f>IFERROR(__xludf.DUMMYFUNCTION("""COMPUTED_VALUE"""),"ข้อ 77 Pharma Plus เล่มม่วง (เฉลยข้อ ค)")</f>
        <v/>
      </c>
      <c r="O21" s="2">
        <f>IFERROR(__xludf.DUMMYFUNCTION("""COMPUTED_VALUE"""),"Mock")</f>
        <v/>
      </c>
      <c r="P21" s="2">
        <f>IFERROR(__xludf.DUMMYFUNCTION("""COMPUTED_VALUE"""),"Pharma Plus เล่มม่วง")</f>
        <v/>
      </c>
    </row>
    <row r="22" ht="13.2" customHeight="1" s="37">
      <c r="A22" s="2">
        <f>IFERROR(__xludf.DUMMYFUNCTION("""COMPUTED_VALUE"""),"78")</f>
        <v/>
      </c>
      <c r="B22" s="2">
        <f>IFERROR(__xludf.DUMMYFUNCTION("""COMPUTED_VALUE"""),"ในการควบคุมคุณภาพของยาเม็ด colchicine tablet 0.6 mg ตามข้อกำหนดใน USP สิ่งที่ไม่ต้องทำคือ")</f>
        <v/>
      </c>
      <c r="C22" s="2" t="n"/>
      <c r="D22" s="2">
        <f>IFERROR(__xludf.DUMMYFUNCTION("""COMPUTED_VALUE"""),"Friability test")</f>
        <v/>
      </c>
      <c r="E22" s="2">
        <f>IFERROR(__xludf.DUMMYFUNCTION("""COMPUTED_VALUE"""),"Content uniformity")</f>
        <v/>
      </c>
      <c r="F22" s="2">
        <f>IFERROR(__xludf.DUMMYFUNCTION("""COMPUTED_VALUE"""),"Weight variation")</f>
        <v/>
      </c>
      <c r="G22" s="2">
        <f>IFERROR(__xludf.DUMMYFUNCTION("""COMPUTED_VALUE"""),"Dissolution test")</f>
        <v/>
      </c>
      <c r="H22" s="2">
        <f>IFERROR(__xludf.DUMMYFUNCTION("""COMPUTED_VALUE"""),"Disintegration test")</f>
        <v/>
      </c>
      <c r="I22" s="2">
        <f>IFERROR(__xludf.DUMMYFUNCTION("""COMPUTED_VALUE"""),"1")</f>
        <v/>
      </c>
      <c r="J22"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ตามข้อกำหนด"&amp;"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Con"&amp;"tent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ข้อนี้ไม่ใช่คำตอ"&amp;"บที่ถูกต้องสำหรับภาวะ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หรือข้อบ่งใช้ไม่ตร"&amp;"งกับโจทย์ที่กำหนด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22" s="2" t="n"/>
      <c r="L22" s="2">
        <f>IFERROR(__xludf.DUMMYFUNCTION("""COMPUTED_VALUE"""),"Tablet Manufacturing")</f>
        <v/>
      </c>
      <c r="M22" s="2">
        <f>IFERROR(__xludf.DUMMYFUNCTION("""COMPUTED_VALUE"""),"Product")</f>
        <v/>
      </c>
      <c r="N22" s="2">
        <f>IFERROR(__xludf.DUMMYFUNCTION("""COMPUTED_VALUE"""),"ข้อ 78 Pharma Plus เล่มม่วง (เฉลยข้อ ก)")</f>
        <v/>
      </c>
      <c r="O22" s="2">
        <f>IFERROR(__xludf.DUMMYFUNCTION("""COMPUTED_VALUE"""),"Mock")</f>
        <v/>
      </c>
      <c r="P22" s="2">
        <f>IFERROR(__xludf.DUMMYFUNCTION("""COMPUTED_VALUE"""),"Pharma Plus เล่มม่วง")</f>
        <v/>
      </c>
    </row>
    <row r="23" ht="13.2" customHeight="1" s="37">
      <c r="A23" s="2">
        <f>IFERROR(__xludf.DUMMYFUNCTION("""COMPUTED_VALUE"""),"79")</f>
        <v/>
      </c>
      <c r="B23" s="2">
        <f>IFERROR(__xludf.DUMMYFUNCTION("""COMPUTED_VALUE"""),"ถ้าต้องการเตรียมยา Intra-arthricular corticosteroids (ampule) ต้องผ่านการควบคุมคุณภาพต่อไปนี้ ยกเว้นข้อใด")</f>
        <v/>
      </c>
      <c r="C23" s="2" t="n"/>
      <c r="D23" s="2">
        <f>IFERROR(__xludf.DUMMYFUNCTION("""COMPUTED_VALUE"""),"Sterility test")</f>
        <v/>
      </c>
      <c r="E23" s="2">
        <f>IFERROR(__xludf.DUMMYFUNCTION("""COMPUTED_VALUE"""),"Clarity test")</f>
        <v/>
      </c>
      <c r="F23" s="2">
        <f>IFERROR(__xludf.DUMMYFUNCTION("""COMPUTED_VALUE"""),"Pyrogen test")</f>
        <v/>
      </c>
      <c r="G23" s="2">
        <f>IFERROR(__xludf.DUMMYFUNCTION("""COMPUTED_VALUE"""),"Compatibility test")</f>
        <v/>
      </c>
      <c r="H23" s="2">
        <f>IFERROR(__xludf.DUMMYFUNCTION("""COMPUTED_VALUE"""),"Leaker test")</f>
        <v/>
      </c>
      <c r="I23" s="2">
        <f>IFERROR(__xludf.DUMMYFUNCTION("""COMPUTED_VALUE"""),"4")</f>
        <v/>
      </c>
      <c r="J23" s="2">
        <f>IFERROR(__xludf.DUMMYFUNCTION("""COMPUTED_VALUE"""),"✅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(การทดสอบความปราศจ"&amp;"ากเชื้อ),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หรือก"&amp;"ารผสมยาสู่อินฟิวชัน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ข"&amp;"้อ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เนื่องจากกลไกการอ"&amp;"อกฤทธิ์,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ข้อนี้ไม่ใช่คำตอบที่ถู"&amp;"กต้องสำหรับภาวะ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D"&amp;"osage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stabili"&amp;"ty, dissolution และ uniformity
• Defect Troubleshooting: วิเคราะห์สาเหตุและวิธีแก้ไขปัญหา formulation defects เชิงสูตรตำรับ")</f>
        <v/>
      </c>
      <c r="K23" s="2" t="n"/>
      <c r="L23" s="2">
        <f>IFERROR(__xludf.DUMMYFUNCTION("""COMPUTED_VALUE"""),"Tablet Manufacturing")</f>
        <v/>
      </c>
      <c r="M23" s="2">
        <f>IFERROR(__xludf.DUMMYFUNCTION("""COMPUTED_VALUE"""),"Product")</f>
        <v/>
      </c>
      <c r="N23" s="2">
        <f>IFERROR(__xludf.DUMMYFUNCTION("""COMPUTED_VALUE"""),"ข้อ 79 Pharma Plus เล่มม่วง (เฉลยข้อ ง)")</f>
        <v/>
      </c>
      <c r="O23" s="2">
        <f>IFERROR(__xludf.DUMMYFUNCTION("""COMPUTED_VALUE"""),"Mock")</f>
        <v/>
      </c>
      <c r="P23" s="2">
        <f>IFERROR(__xludf.DUMMYFUNCTION("""COMPUTED_VALUE"""),"Pharma Plus เล่มม่วง")</f>
        <v/>
      </c>
    </row>
    <row r="24" ht="13.2" customHeight="1" s="37">
      <c r="A24" s="2">
        <f>IFERROR(__xludf.DUMMYFUNCTION("""COMPUTED_VALUE"""),"80")</f>
        <v/>
      </c>
      <c r="B24" s="2">
        <f>IFERROR(__xludf.DUMMYFUNCTION("""COMPUTED_VALUE"""),"จะต้องใช้ปริมาณยา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f>
        <v/>
      </c>
      <c r="C24" s="2" t="n"/>
      <c r="D24" s="2">
        <f>IFERROR(__xludf.DUMMYFUNCTION("""COMPUTED_VALUE"""),"0.8 g")</f>
        <v/>
      </c>
      <c r="E24" s="2">
        <f>IFERROR(__xludf.DUMMYFUNCTION("""COMPUTED_VALUE"""),"1.2 g")</f>
        <v/>
      </c>
      <c r="F24" s="2">
        <f>IFERROR(__xludf.DUMMYFUNCTION("""COMPUTED_VALUE"""),"1.5 g")</f>
        <v/>
      </c>
      <c r="G24" s="2">
        <f>IFERROR(__xludf.DUMMYFUNCTION("""COMPUTED_VALUE"""),"2.2 g")</f>
        <v/>
      </c>
      <c r="H24" s="2">
        <f>IFERROR(__xludf.DUMMYFUNCTION("""COMPUTED_VALUE"""),"3.0 g")</f>
        <v/>
      </c>
      <c r="I24" s="2">
        <f>IFERROR(__xludf.DUMMYFUNCTION("""COMPUTED_VALUE"""),"4")</f>
        <v/>
      </c>
      <c r="J24" s="2">
        <f>IFERROR(__xludf.DUMMYFUNCTION("""COMPUTED_VALUE"""),"✅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คำอธิบาย"&amp;"และเหตุผลทางเภสัชกรรม:
คำนวณปริมาณ Methylprednisolone ที่ต้องการ: 10 mg/ml * 200 ml = 2,000 mg = 2.0 g. คำนวณหาปริมาณเกลือ ester (Methylprednisolone acetate) ที่ต้องใช้โดยเทียบน้ำหนักโมเลกุล: น้ำหนัก Acetate = (2.0 g * 416.5) / 374.5 = 2.224 g ซึ่งใกล้เคี"&amp;"ยงกับ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เนื่องจากกลไกการออกฤทธิ์"&amp;",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Tabl"&amp;"et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24" s="2" t="n"/>
      <c r="L24" s="2">
        <f>IFERROR(__xludf.DUMMYFUNCTION("""COMPUTED_VALUE"""),"Tablet Manufacturing")</f>
        <v/>
      </c>
      <c r="M24" s="2">
        <f>IFERROR(__xludf.DUMMYFUNCTION("""COMPUTED_VALUE"""),"Product")</f>
        <v/>
      </c>
      <c r="N24" s="2">
        <f>IFERROR(__xludf.DUMMYFUNCTION("""COMPUTED_VALUE"""),"ข้อ 80 Pharma Plus เล่มม่วง (เฉลยข้อ ง)")</f>
        <v/>
      </c>
      <c r="O24" s="2">
        <f>IFERROR(__xludf.DUMMYFUNCTION("""COMPUTED_VALUE"""),"Mock")</f>
        <v/>
      </c>
      <c r="P24" s="2">
        <f>IFERROR(__xludf.DUMMYFUNCTION("""COMPUTED_VALUE"""),"Pharma Plus เล่มม่วง")</f>
        <v/>
      </c>
    </row>
    <row r="25" ht="13.2" customHeight="1" s="37">
      <c r="A25" s="2">
        <f>IFERROR(__xludf.DUMMYFUNCTION("""COMPUTED_VALUE"""),"81")</f>
        <v/>
      </c>
      <c r="B25" s="2">
        <f>IFERROR(__xludf.DUMMYFUNCTION("""COMPUTED_VALUE"""),"ผู้ป่วยควรเก็บ insulin ที่ภาวะใด")</f>
        <v/>
      </c>
      <c r="C25" s="2" t="n"/>
      <c r="D25" s="2">
        <f>IFERROR(__xludf.DUMMYFUNCTION("""COMPUTED_VALUE"""),"Cold")</f>
        <v/>
      </c>
      <c r="E25" s="2">
        <f>IFERROR(__xludf.DUMMYFUNCTION("""COMPUTED_VALUE"""),"Refrigerator")</f>
        <v/>
      </c>
      <c r="F25" s="2">
        <f>IFERROR(__xludf.DUMMYFUNCTION("""COMPUTED_VALUE"""),"Cool")</f>
        <v/>
      </c>
      <c r="G25" s="2">
        <f>IFERROR(__xludf.DUMMYFUNCTION("""COMPUTED_VALUE"""),"Room temperature")</f>
        <v/>
      </c>
      <c r="H25" s="2">
        <f>IFERROR(__xludf.DUMMYFUNCTION("""COMPUTED_VALUE"""),"Warm")</f>
        <v/>
      </c>
      <c r="I25" s="2">
        <f>IFERROR(__xludf.DUMMYFUNCTION("""COMPUTED_VALUE"""),"2")</f>
        <v/>
      </c>
      <c r="J25" s="2">
        <f>IFERROR(__xludf.DUMMYFUNCTION("""COMPUTED_VALUE"""),"✅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Ref"&amp;"rigerator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เพื่อป้องกันการเสื่อมสล"&amp;"ายของโครงสร้างโปรตีน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ข้ออื่นผ"&amp;"ิดเพราะอะไร: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เนื่องจากกลไกการออก"&amp;"ฤทธิ์,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ข้อนี้ไม่ใช่คำตอบที่ถูกต้อง"&amp;"สำหรับภาวะ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Dosage"&amp;"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d"&amp;"issolution และ uniformity
• Defect Troubleshooting: วิเคราะห์สาเหตุและวิธีแก้ไขปัญหา formulation defects เชิงสูตรตำรับ")</f>
        <v/>
      </c>
      <c r="K25" s="2" t="n"/>
      <c r="L25" s="2">
        <f>IFERROR(__xludf.DUMMYFUNCTION("""COMPUTED_VALUE"""),"Tablet Manufacturing")</f>
        <v/>
      </c>
      <c r="M25" s="2">
        <f>IFERROR(__xludf.DUMMYFUNCTION("""COMPUTED_VALUE"""),"Product")</f>
        <v/>
      </c>
      <c r="N25" s="2">
        <f>IFERROR(__xludf.DUMMYFUNCTION("""COMPUTED_VALUE"""),"ข้อ 81 Pharma Plus เล่มม่วง (เฉลยข้อ ข)")</f>
        <v/>
      </c>
      <c r="O25" s="2">
        <f>IFERROR(__xludf.DUMMYFUNCTION("""COMPUTED_VALUE"""),"Mock")</f>
        <v/>
      </c>
      <c r="P25" s="2">
        <f>IFERROR(__xludf.DUMMYFUNCTION("""COMPUTED_VALUE"""),"Pharma Plus เล่มม่วง")</f>
        <v/>
      </c>
    </row>
    <row r="26" ht="13.2" customHeight="1" s="37">
      <c r="A26" s="2">
        <f>IFERROR(__xludf.DUMMYFUNCTION("""COMPUTED_VALUE"""),"82")</f>
        <v/>
      </c>
      <c r="B26" s="2">
        <f>IFERROR(__xludf.DUMMYFUNCTION("""COMPUTED_VALUE"""),"ท่านคิดว่า metformin tablet ไม่จำเป็นต้องทำ finished product quality control ข้อใด")</f>
        <v/>
      </c>
      <c r="C26" s="2" t="n"/>
      <c r="D26" s="2">
        <f>IFERROR(__xludf.DUMMYFUNCTION("""COMPUTED_VALUE"""),"Friability test")</f>
        <v/>
      </c>
      <c r="E26" s="2">
        <f>IFERROR(__xludf.DUMMYFUNCTION("""COMPUTED_VALUE"""),"Disintegration test")</f>
        <v/>
      </c>
      <c r="F26" s="2">
        <f>IFERROR(__xludf.DUMMYFUNCTION("""COMPUTED_VALUE"""),"Dissolution test")</f>
        <v/>
      </c>
      <c r="G26" s="2">
        <f>IFERROR(__xludf.DUMMYFUNCTION("""COMPUTED_VALUE"""),"Freeze-thaw cycle")</f>
        <v/>
      </c>
      <c r="H26" s="2">
        <f>IFERROR(__xludf.DUMMYFUNCTION("""COMPUTED_VALUE"""),"Weight variation")</f>
        <v/>
      </c>
      <c r="I26" s="2">
        <f>IFERROR(__xludf.DUMMYFUNCTION("""COMPUTED_VALUE"""),"1")</f>
        <v/>
      </c>
      <c r="J26"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ไม่ใช่การทดสอบคุณ"&amp;"ภาพประจำของยาเม็ดแข็ง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🔍"&amp;"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Tabl"&amp;"et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จ"&amp;".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26" s="2" t="n"/>
      <c r="L26" s="2">
        <f>IFERROR(__xludf.DUMMYFUNCTION("""COMPUTED_VALUE"""),"Tablet Manufacturing")</f>
        <v/>
      </c>
      <c r="M26" s="2">
        <f>IFERROR(__xludf.DUMMYFUNCTION("""COMPUTED_VALUE"""),"Product")</f>
        <v/>
      </c>
      <c r="N26" s="2">
        <f>IFERROR(__xludf.DUMMYFUNCTION("""COMPUTED_VALUE"""),"ข้อ 82 Pharma Plus เล่มม่วง (เฉลยข้อ ก)")</f>
        <v/>
      </c>
      <c r="O26" s="2">
        <f>IFERROR(__xludf.DUMMYFUNCTION("""COMPUTED_VALUE"""),"Mock")</f>
        <v/>
      </c>
      <c r="P26" s="2">
        <f>IFERROR(__xludf.DUMMYFUNCTION("""COMPUTED_VALUE"""),"Pharma Plus เล่มม่วง")</f>
        <v/>
      </c>
    </row>
    <row r="27" ht="13.2" customHeight="1" s="37">
      <c r="A27" s="2">
        <f>IFERROR(__xludf.DUMMYFUNCTION("""COMPUTED_VALUE"""),"83")</f>
        <v/>
      </c>
      <c r="B27" s="2">
        <f>IFERROR(__xludf.DUMMYFUNCTION("""COMPUTED_VALUE"""),"ข้อใดไม่ใช่ข้อดีของการทำ film coated tablet ที่เหนือกว่า sugar coated tablet")</f>
        <v/>
      </c>
      <c r="C27" s="2" t="n"/>
      <c r="D27" s="2">
        <f>IFERROR(__xludf.DUMMYFUNCTION("""COMPUTED_VALUE"""),"น้ำหนักของเม็ดยาเพิ่มมากขึ้น มากกว่า sugar coated tablet เนื่องจาก material ที่ใช้เป็นสารสังเคราะห์ที่มีน้ำหนักโมเลกุลสูง")</f>
        <v/>
      </c>
      <c r="E27" s="2">
        <f>IFERROR(__xludf.DUMMYFUNCTION("""COMPUTED_VALUE"""),"พื้นผิวเม็ดยามีความเรียบและ สีสม่ำเสมอกว่า sugar coated tablet")</f>
        <v/>
      </c>
      <c r="F27" s="2">
        <f>IFERROR(__xludf.DUMMYFUNCTION("""COMPUTED_VALUE"""),"กระบวนการทำ film coated tablet รวดเร็วกว่า sugar coated tablet")</f>
        <v/>
      </c>
      <c r="G27" s="2">
        <f>IFERROR(__xludf.DUMMYFUNCTION("""COMPUTED_VALUE"""),"กระบวนการทำ film coated tablet ไม่เกิดปัญหา dead spot")</f>
        <v/>
      </c>
      <c r="H27" s="2">
        <f>IFERROR(__xludf.DUMMYFUNCTION("""COMPUTED_VALUE"""),"film coated tabletไม่มีการทำ polishing ด้วย wax จึงไม่เกิดปัญหาที่เรียกว่า marbled เหมือน sugar coated tablet")</f>
        <v/>
      </c>
      <c r="I27" s="2">
        <f>IFERROR(__xludf.DUMMYFUNCTION("""COMPUTED_VALUE"""),"1")</f>
        <v/>
      </c>
      <c r="J27" s="2">
        <f>IFERROR(__xludf.DUMMYFUNCTION("""COMPUTED_VALUE"""),"✅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compressibility"&amp;"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คำอธิบายและเหตุผลทางเภสั"&amp;"ชกรรม: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เพราะ"&amp;"น้ำหนักของ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(พื้นผิวเม็ดยามีความเรียบแ"&amp;"ละ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ข้อนี้ไม่ใช่คำตอ"&amp;"บที่ถูกต้องสำหรับภาวะ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ef"&amp;"ficacy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หร"&amp;"ือข้อบ่งใช้ไม่ตรงกับโจทย์ที่กำหนด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Editio"&amp;"n)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วิเคราะห์สาเหตุแล"&amp;"ะวิธีแก้ไขปัญหา formulation defects เชิงสูตรตำรับ")</f>
        <v/>
      </c>
      <c r="K27" s="2" t="n"/>
      <c r="L27" s="2">
        <f>IFERROR(__xludf.DUMMYFUNCTION("""COMPUTED_VALUE"""),"Tablet Coating")</f>
        <v/>
      </c>
      <c r="M27" s="2">
        <f>IFERROR(__xludf.DUMMYFUNCTION("""COMPUTED_VALUE"""),"Product")</f>
        <v/>
      </c>
      <c r="N27" s="2">
        <f>IFERROR(__xludf.DUMMYFUNCTION("""COMPUTED_VALUE"""),"ข้อ 83 Pharma Plus เล่มม่วง (เฉลยข้อ ก)")</f>
        <v/>
      </c>
      <c r="O27" s="2">
        <f>IFERROR(__xludf.DUMMYFUNCTION("""COMPUTED_VALUE"""),"Mock")</f>
        <v/>
      </c>
      <c r="P27" s="2">
        <f>IFERROR(__xludf.DUMMYFUNCTION("""COMPUTED_VALUE"""),"Pharma Plus เล่มม่วง")</f>
        <v/>
      </c>
    </row>
    <row r="28" ht="13.2" customHeight="1" s="37">
      <c r="A28" s="2">
        <f>IFERROR(__xludf.DUMMYFUNCTION("""COMPUTED_VALUE"""),"96")</f>
        <v/>
      </c>
      <c r="B28" s="2">
        <f>IFERROR(__xludf.DUMMYFUNCTION("""COMPUTED_VALUE"""),"Antacid เป็นยาเตรียมประเภทใด")</f>
        <v/>
      </c>
      <c r="C28" s="2" t="n"/>
      <c r="D28" s="2">
        <f>IFERROR(__xludf.DUMMYFUNCTION("""COMPUTED_VALUE"""),"Gel")</f>
        <v/>
      </c>
      <c r="E28" s="2">
        <f>IFERROR(__xludf.DUMMYFUNCTION("""COMPUTED_VALUE"""),"Emulsion")</f>
        <v/>
      </c>
      <c r="F28" s="2">
        <f>IFERROR(__xludf.DUMMYFUNCTION("""COMPUTED_VALUE"""),"Suspension")</f>
        <v/>
      </c>
      <c r="G28" s="2">
        <f>IFERROR(__xludf.DUMMYFUNCTION("""COMPUTED_VALUE"""),"Solution")</f>
        <v/>
      </c>
      <c r="H28" s="2">
        <f>IFERROR(__xludf.DUMMYFUNCTION("""COMPUTED_VALUE"""),"Elixir")</f>
        <v/>
      </c>
      <c r="I28" s="2">
        <f>IFERROR(__xludf.DUMMYFUNCTION("""COMPUTED_VALUE"""),"3")</f>
        <v/>
      </c>
      <c r="J28" s="2">
        <f>IFERROR(__xludf.DUMMYFUNCTION("""COMPUTED_VALUE"""),"✅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Suspe"&amp;"nsion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amp;"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T"&amp;"ablet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(Sol"&amp;"ution):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หรือ"&amp;"ข้อบ่งใช้ไม่ตรงกับโจทย์ที่กำหนด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28" s="2" t="n"/>
      <c r="L28" s="2">
        <f>IFERROR(__xludf.DUMMYFUNCTION("""COMPUTED_VALUE"""),"Tablet Manufacturing")</f>
        <v/>
      </c>
      <c r="M28" s="2">
        <f>IFERROR(__xludf.DUMMYFUNCTION("""COMPUTED_VALUE"""),"Product")</f>
        <v/>
      </c>
      <c r="N28" s="2">
        <f>IFERROR(__xludf.DUMMYFUNCTION("""COMPUTED_VALUE"""),"ข้อ 96 Pharma Plus เล่มม่วง (เฉลยข้อ ค)")</f>
        <v/>
      </c>
      <c r="O28" s="2">
        <f>IFERROR(__xludf.DUMMYFUNCTION("""COMPUTED_VALUE"""),"Mock")</f>
        <v/>
      </c>
      <c r="P28" s="2">
        <f>IFERROR(__xludf.DUMMYFUNCTION("""COMPUTED_VALUE"""),"Pharma Plus เล่มม่วง")</f>
        <v/>
      </c>
    </row>
    <row r="29" ht="13.2" customHeight="1" s="37">
      <c r="A29" s="2">
        <f>IFERROR(__xludf.DUMMYFUNCTION("""COMPUTED_VALUE"""),"97")</f>
        <v/>
      </c>
      <c r="B29" s="2">
        <f>IFERROR(__xludf.DUMMYFUNCTION("""COMPUTED_VALUE"""),"ข้อใดถูกต้องในการเตรียมยาที่เป็น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f>
        <v/>
      </c>
      <c r="C29" s="2" t="n"/>
      <c r="D29" s="2">
        <f>IFERROR(__xludf.DUMMYFUNCTION("""COMPUTED_VALUE"""),"Hard Gelatin Capsule filling")</f>
        <v/>
      </c>
      <c r="E29" s="2">
        <f>IFERROR(__xludf.DUMMYFUNCTION("""COMPUTED_VALUE"""),"Soft Gelatin Capsule encapsulation")</f>
        <v/>
      </c>
      <c r="F29" s="2">
        <f>IFERROR(__xludf.DUMMYFUNCTION("""COMPUTED_VALUE"""),"1 และ 3")</f>
        <v/>
      </c>
      <c r="G29" s="2">
        <f>IFERROR(__xludf.DUMMYFUNCTION("""COMPUTED_VALUE"""),"2 และ 3")</f>
        <v/>
      </c>
      <c r="H29" s="2">
        <f>IFERROR(__xludf.DUMMYFUNCTION("""COMPUTED_VALUE"""),"ไม่มีข้อใดถูก")</f>
        <v/>
      </c>
      <c r="I29" s="2">
        <f>IFERROR(__xludf.DUMMYFUNCTION("""COMPUTED_VALUE"""),"3")</f>
        <v/>
      </c>
      <c r="J29" s="2">
        <f>IFERROR(__xludf.DUMMYFUNCTION("""COMPUTED_VALUE"""),"✅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"&amp;"💡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"&amp;"เพื่อป้องกันไม่ให้อากาศจากห้องผลิตรั่วไหลออกสู่ภายนอก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ข้ออื่นผิ"&amp;"ดเพราะอะไร: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ข้อนี้ไม่ใช่คำตอบที่ถูกต้"&amp;"องสำหรับภาวะ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"&amp;"•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29" s="2" t="n"/>
      <c r="L29" s="2">
        <f>IFERROR(__xludf.DUMMYFUNCTION("""COMPUTED_VALUE"""),"Tablet Manufacturing")</f>
        <v/>
      </c>
      <c r="M29" s="2">
        <f>IFERROR(__xludf.DUMMYFUNCTION("""COMPUTED_VALUE"""),"Product")</f>
        <v/>
      </c>
      <c r="N29" s="2">
        <f>IFERROR(__xludf.DUMMYFUNCTION("""COMPUTED_VALUE"""),"ข้อ 97 Pharma Plus เล่มม่วง (เฉลยข้อ ค)")</f>
        <v/>
      </c>
      <c r="O29" s="2">
        <f>IFERROR(__xludf.DUMMYFUNCTION("""COMPUTED_VALUE"""),"Mock")</f>
        <v/>
      </c>
      <c r="P29" s="2">
        <f>IFERROR(__xludf.DUMMYFUNCTION("""COMPUTED_VALUE"""),"Pharma Plus เล่มม่วง")</f>
        <v/>
      </c>
    </row>
    <row r="30" ht="13.2" customHeight="1" s="37">
      <c r="A30" s="2">
        <f>IFERROR(__xludf.DUMMYFUNCTION("""COMPUTED_VALUE"""),"98")</f>
        <v/>
      </c>
      <c r="B30" s="2">
        <f>IFERROR(__xludf.DUMMYFUNCTION("""COMPUTED_VALUE"""),"ท่านต้องการเตรียม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f>
        <v/>
      </c>
      <c r="C30" s="2" t="n"/>
      <c r="D30" s="2">
        <f>IFERROR(__xludf.DUMMYFUNCTION("""COMPUTED_VALUE"""),"Very soluble")</f>
        <v/>
      </c>
      <c r="E30" s="2">
        <f>IFERROR(__xludf.DUMMYFUNCTION("""COMPUTED_VALUE"""),"Sparingly soluble")</f>
        <v/>
      </c>
      <c r="F30" s="2">
        <f>IFERROR(__xludf.DUMMYFUNCTION("""COMPUTED_VALUE"""),"Soluble")</f>
        <v/>
      </c>
      <c r="G30" s="2">
        <f>IFERROR(__xludf.DUMMYFUNCTION("""COMPUTED_VALUE"""),"Freely soluble")</f>
        <v/>
      </c>
      <c r="H30" s="2">
        <f>IFERROR(__xludf.DUMMYFUNCTION("""COMPUTED_VALUE"""),"Insoluble")</f>
        <v/>
      </c>
      <c r="I30" s="2">
        <f>IFERROR(__xludf.DUMMYFUNCTION("""COMPUTED_VALUE"""),"3")</f>
        <v/>
      </c>
      <c r="J30" s="2">
        <f>IFERROR(__xludf.DUMMYFUNCTION("""COMPUTED_VALUE"""),"✅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คำอธิบายและเหต"&amp;"ุผลทางเภสัชกรรม: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USP/NF"&amp;",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"&amp;"หรือข้อบ่งใช้ไม่ตรงกับโจทย์ที่กำหนด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ข้อนี้ไม่ใช่คำตอบที่ถูกต้องสำหรั"&amp;"บภาวะ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G"&amp;"uideline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แม่นยำในบทบาท"&amp;"หน้าที่ของ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0" s="2" t="n"/>
      <c r="L30" s="2">
        <f>IFERROR(__xludf.DUMMYFUNCTION("""COMPUTED_VALUE"""),"Tablet Manufacturing")</f>
        <v/>
      </c>
      <c r="M30" s="2">
        <f>IFERROR(__xludf.DUMMYFUNCTION("""COMPUTED_VALUE"""),"Product")</f>
        <v/>
      </c>
      <c r="N30" s="2">
        <f>IFERROR(__xludf.DUMMYFUNCTION("""COMPUTED_VALUE"""),"ข้อ 98 Pharma Plus เล่มม่วง (เฉลยข้อ ค)")</f>
        <v/>
      </c>
      <c r="O30" s="2">
        <f>IFERROR(__xludf.DUMMYFUNCTION("""COMPUTED_VALUE"""),"Mock")</f>
        <v/>
      </c>
      <c r="P30" s="2">
        <f>IFERROR(__xludf.DUMMYFUNCTION("""COMPUTED_VALUE"""),"Pharma Plus เล่มม่วง")</f>
        <v/>
      </c>
    </row>
    <row r="31" ht="13.2" customHeight="1" s="37">
      <c r="A31" s="2">
        <f>IFERROR(__xludf.DUMMYFUNCTION("""COMPUTED_VALUE"""),"99")</f>
        <v/>
      </c>
      <c r="B31" s="2">
        <f>IFERROR(__xludf.DUMMYFUNCTION("""COMPUTED_VALUE"""),"ในการตอก ciprofloxacin tablet พบว่าผงยาไหลไม่ดี เภสัชกรฝ่าย R&amp;D อย่างท่านควรพัฒนาสูตรตำรับอย่างไรจึงจะเหมาะสม")</f>
        <v/>
      </c>
      <c r="C31" s="2" t="n"/>
      <c r="D31" s="2">
        <f>IFERROR(__xludf.DUMMYFUNCTION("""COMPUTED_VALUE"""),"เปลี่ยนสูตรตำรับเป็นยาน้ำ")</f>
        <v/>
      </c>
      <c r="E31" s="2">
        <f>IFERROR(__xludf.DUMMYFUNCTION("""COMPUTED_VALUE"""),"ทำ wet granulation")</f>
        <v/>
      </c>
      <c r="F31" s="2">
        <f>IFERROR(__xludf.DUMMYFUNCTION("""COMPUTED_VALUE"""),"นำไปผ่าน sieve เพื่อคัดขนาดอนุภาค")</f>
        <v/>
      </c>
      <c r="G31" s="2">
        <f>IFERROR(__xludf.DUMMYFUNCTION("""COMPUTED_VALUE"""),"เพิ่มแรงตอก")</f>
        <v/>
      </c>
      <c r="H31" s="2">
        <f>IFERROR(__xludf.DUMMYFUNCTION("""COMPUTED_VALUE"""),"เพิ่ม diluent")</f>
        <v/>
      </c>
      <c r="I31" s="2">
        <f>IFERROR(__xludf.DUMMYFUNCTION("""COMPUTED_VALUE"""),"2")</f>
        <v/>
      </c>
      <c r="J31" s="2">
        <f>IFERROR(__xludf.DUMMYFUNCTION("""COMPUTED_VALUE"""),"✅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เพื่อเพิ่มขนาดและปรับปรุงการไหลของแกรนูลให้ดีขึ้นก่"&amp;"อนนำไปตอก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เนื่องจากก"&amp;"ลไกการออกฤทธิ์,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(เพิ่มแรงตอ"&amp;"ก):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31" s="2" t="n"/>
      <c r="L31" s="2">
        <f>IFERROR(__xludf.DUMMYFUNCTION("""COMPUTED_VALUE"""),"Powders &amp; Granules")</f>
        <v/>
      </c>
      <c r="M31" s="2">
        <f>IFERROR(__xludf.DUMMYFUNCTION("""COMPUTED_VALUE"""),"Product")</f>
        <v/>
      </c>
      <c r="N31" s="2">
        <f>IFERROR(__xludf.DUMMYFUNCTION("""COMPUTED_VALUE"""),"ข้อ 99 Pharma Plus เล่มม่วง (เฉลยข้อ ข)")</f>
        <v/>
      </c>
      <c r="O31" s="2">
        <f>IFERROR(__xludf.DUMMYFUNCTION("""COMPUTED_VALUE"""),"Mock")</f>
        <v/>
      </c>
      <c r="P31" s="2">
        <f>IFERROR(__xludf.DUMMYFUNCTION("""COMPUTED_VALUE"""),"Pharma Plus เล่มม่วง")</f>
        <v/>
      </c>
    </row>
    <row r="32" ht="13.2" customHeight="1" s="37">
      <c r="A32" s="2">
        <f>IFERROR(__xludf.DUMMYFUNCTION("""COMPUTED_VALUE"""),"100")</f>
        <v/>
      </c>
      <c r="B32" s="2">
        <f>IFERROR(__xludf.DUMMYFUNCTION("""COMPUTED_VALUE"""),"เภสัชกรผู้หนึ่งทำการสุ่ม atenolol tablets ระหว่างการผลิตพบว่ายาเม็ดเกิดการแยกฝา เรียกปรากฏการณ์นี้ว่า")</f>
        <v/>
      </c>
      <c r="C32" s="2" t="n"/>
      <c r="D32" s="2">
        <f>IFERROR(__xludf.DUMMYFUNCTION("""COMPUTED_VALUE"""),"Breaking")</f>
        <v/>
      </c>
      <c r="E32" s="2">
        <f>IFERROR(__xludf.DUMMYFUNCTION("""COMPUTED_VALUE"""),"Cracking")</f>
        <v/>
      </c>
      <c r="F32" s="2">
        <f>IFERROR(__xludf.DUMMYFUNCTION("""COMPUTED_VALUE"""),"Capping")</f>
        <v/>
      </c>
      <c r="G32" s="2">
        <f>IFERROR(__xludf.DUMMYFUNCTION("""COMPUTED_VALUE"""),"Segregation")</f>
        <v/>
      </c>
      <c r="H32" s="2">
        <f>IFERROR(__xludf.DUMMYFUNCTION("""COMPUTED_VALUE"""),"Sticking")</f>
        <v/>
      </c>
      <c r="I32" s="2">
        <f>IFERROR(__xludf.DUMMYFUNCTION("""COMPUTED_VALUE"""),"3")</f>
        <v/>
      </c>
      <c r="J32" s="2">
        <f>IFERROR(__xludf.DUMMYFUNCTION("""COMPUTED_VALUE"""),"✅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"&amp;"💡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USP"&amp;"/NF,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หรือข้อบ่งใช้"&amp;"ไม่ตรงกับโจทย์ที่กำหนด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เนื่องจากก"&amp;"ลไกการออกฤทธิ์,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Pharmaco"&amp;"peia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2" s="2" t="n"/>
      <c r="L32" s="2">
        <f>IFERROR(__xludf.DUMMYFUNCTION("""COMPUTED_VALUE"""),"Tablet Defects")</f>
        <v/>
      </c>
      <c r="M32" s="2">
        <f>IFERROR(__xludf.DUMMYFUNCTION("""COMPUTED_VALUE"""),"Product")</f>
        <v/>
      </c>
      <c r="N32" s="2">
        <f>IFERROR(__xludf.DUMMYFUNCTION("""COMPUTED_VALUE"""),"ข้อ 100 Pharma Plus เล่มม่วง (เฉลยข้อ ค)")</f>
        <v/>
      </c>
      <c r="O32" s="2">
        <f>IFERROR(__xludf.DUMMYFUNCTION("""COMPUTED_VALUE"""),"Mock")</f>
        <v/>
      </c>
      <c r="P32" s="2">
        <f>IFERROR(__xludf.DUMMYFUNCTION("""COMPUTED_VALUE"""),"Pharma Plus เล่มม่วง")</f>
        <v/>
      </c>
    </row>
    <row r="33" ht="13.2" customHeight="1" s="37">
      <c r="A33" s="2">
        <f>IFERROR(__xludf.DUMMYFUNCTION("""COMPUTED_VALUE"""),"101")</f>
        <v/>
      </c>
      <c r="B33" s="2">
        <f>IFERROR(__xludf.DUMMYFUNCTION("""COMPUTED_VALUE"""),"จะแก้ไขปรากฏการณ์ข้อ 100 ได้อย่างไร")</f>
        <v/>
      </c>
      <c r="C33" s="2" t="n"/>
      <c r="D33" s="2">
        <f>IFERROR(__xludf.DUMMYFUNCTION("""COMPUTED_VALUE"""),"เติม anti-adherent")</f>
        <v/>
      </c>
      <c r="E33" s="2">
        <f>IFERROR(__xludf.DUMMYFUNCTION("""COMPUTED_VALUE"""),"เติม binder")</f>
        <v/>
      </c>
      <c r="F33" s="2">
        <f>IFERROR(__xludf.DUMMYFUNCTION("""COMPUTED_VALUE"""),"ลดขนาดอนุภาคให้ใกล้เคียงกัน")</f>
        <v/>
      </c>
      <c r="G33" s="2">
        <f>IFERROR(__xludf.DUMMYFUNCTION("""COMPUTED_VALUE"""),"ปรับความเร็วในการตอกให้ลดลง")</f>
        <v/>
      </c>
      <c r="H33" s="2">
        <f>IFERROR(__xludf.DUMMYFUNCTION("""COMPUTED_VALUE"""),"ข. และ ง. ถูก")</f>
        <v/>
      </c>
      <c r="I33" s="2">
        <f>IFERROR(__xludf.DUMMYFUNCTION("""COMPUTED_VALUE"""),"5")</f>
        <v/>
      </c>
      <c r="J33" s="2">
        <f>IFERROR(__xludf.DUMMYFUNCTION("""COMPUTED_VALUE"""),"✅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ข."&amp;"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เพื่อให้อากาศภายในผงยามีเวลาในการระบายอ"&amp;"อกได้ดีขึ้น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เนื่องจากกล"&amp;"ไกการออกฤทธิ์,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ข"&amp;"้อนี้ไม่ใช่คำตอบที่ถูกต้องสำหรับภาวะ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33" s="2" t="n"/>
      <c r="L33" s="2">
        <f>IFERROR(__xludf.DUMMYFUNCTION("""COMPUTED_VALUE"""),"Tablet Manufacturing")</f>
        <v/>
      </c>
      <c r="M33" s="2">
        <f>IFERROR(__xludf.DUMMYFUNCTION("""COMPUTED_VALUE"""),"Product")</f>
        <v/>
      </c>
      <c r="N33" s="2">
        <f>IFERROR(__xludf.DUMMYFUNCTION("""COMPUTED_VALUE"""),"ข้อ 101 Pharma Plus เล่มม่วง (เฉลยข้อ จ)")</f>
        <v/>
      </c>
      <c r="O33" s="2">
        <f>IFERROR(__xludf.DUMMYFUNCTION("""COMPUTED_VALUE"""),"Mock")</f>
        <v/>
      </c>
      <c r="P33" s="2">
        <f>IFERROR(__xludf.DUMMYFUNCTION("""COMPUTED_VALUE"""),"Pharma Plus เล่มม่วง")</f>
        <v/>
      </c>
    </row>
    <row r="34" ht="13.2" customHeight="1" s="37">
      <c r="A34" s="2">
        <f>IFERROR(__xludf.DUMMYFUNCTION("""COMPUTED_VALUE"""),"105")</f>
        <v/>
      </c>
      <c r="B34" s="2">
        <f>IFERROR(__xludf.DUMMYFUNCTION("""COMPUTED_VALUE"""),"ORS Formulation
Sodium chloride: 2.6 g/L
Glucose anhydrous: 13.5 g/L
Potassium chloride: 1.5 g/L
Trisodium citrate dihydrate: 2.9 g/L
จากสูตร ORS ที่กำหนดให้ จงคำนวณหา mOsmol ของ NaCl (MW NaCl = 58.5)")</f>
        <v/>
      </c>
      <c r="C34" s="2" t="n"/>
      <c r="D34" s="2">
        <f>IFERROR(__xludf.DUMMYFUNCTION("""COMPUTED_VALUE"""),"44.44")</f>
        <v/>
      </c>
      <c r="E34" s="2">
        <f>IFERROR(__xludf.DUMMYFUNCTION("""COMPUTED_VALUE"""),"75.88")</f>
        <v/>
      </c>
      <c r="F34" s="2">
        <f>IFERROR(__xludf.DUMMYFUNCTION("""COMPUTED_VALUE"""),"80.58")</f>
        <v/>
      </c>
      <c r="G34" s="2">
        <f>IFERROR(__xludf.DUMMYFUNCTION("""COMPUTED_VALUE"""),"85")</f>
        <v/>
      </c>
      <c r="H34" s="2">
        <f>IFERROR(__xludf.DUMMYFUNCTION("""COMPUTED_VALUE"""),"88.89")</f>
        <v/>
      </c>
      <c r="I34" s="2">
        <f>IFERROR(__xludf.DUMMYFUNCTION("""COMPUTED_VALUE"""),"5")</f>
        <v/>
      </c>
      <c r="J34" s="2">
        <f>IFERROR(__xludf.DUMMYFUNCTION("""COMPUTED_VALUE"""),"✅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คำอธิบายและเหตุผ"&amp;"ลทางเภสัชกรรม:
การคำนวณ Osmolarity ของ NaCl (แตกตัวเป็น 2 ions คือ Na+ และ Cl-, i = 2):
จำนวนกรัมใน 1 ลิตร = 2.6 g
Moles = 2.6 / 58.5 = 0.0444 mol
moles ของไอออนทั้งหมด = 0.0444 * 2 = 0.0889 mol = 88.89 mmol/L หรือ mOsmol/L
USP/NF, British Pharmacopoeia ("&amp;"BP)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หรือข้อบ่งใช้ไม่ตรงกับโจทย์ที่กำ"&amp;"หนด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"&amp;"efficacy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202"&amp;"4)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dis"&amp;"integrant,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4" s="2" t="n"/>
      <c r="L34" s="2">
        <f>IFERROR(__xludf.DUMMYFUNCTION("""COMPUTED_VALUE"""),"Tablet Manufacturing")</f>
        <v/>
      </c>
      <c r="M34" s="2">
        <f>IFERROR(__xludf.DUMMYFUNCTION("""COMPUTED_VALUE"""),"Product")</f>
        <v/>
      </c>
      <c r="N34" s="2">
        <f>IFERROR(__xludf.DUMMYFUNCTION("""COMPUTED_VALUE"""),"ข้อ 105 Pharma Plus เล่มม่วง (เฉลยข้อ จ)")</f>
        <v/>
      </c>
      <c r="O34" s="2">
        <f>IFERROR(__xludf.DUMMYFUNCTION("""COMPUTED_VALUE"""),"Mock")</f>
        <v/>
      </c>
      <c r="P34" s="2">
        <f>IFERROR(__xludf.DUMMYFUNCTION("""COMPUTED_VALUE"""),"Pharma Plus เล่มม่วง")</f>
        <v/>
      </c>
    </row>
    <row r="35" ht="13.2" customHeight="1" s="37">
      <c r="A35" s="2">
        <f>IFERROR(__xludf.DUMMYFUNCTION("""COMPUTED_VALUE"""),"106")</f>
        <v/>
      </c>
      <c r="B35" s="2">
        <f>IFERROR(__xludf.DUMMYFUNCTION("""COMPUTED_VALUE"""),"ในตำรับยาลดกรดแขวนตะกอน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f>
        <v/>
      </c>
      <c r="C35" s="2" t="n"/>
      <c r="D35" s="2">
        <f>IFERROR(__xludf.DUMMYFUNCTION("""COMPUTED_VALUE"""),"Preservatives")</f>
        <v/>
      </c>
      <c r="E35" s="2">
        <f>IFERROR(__xludf.DUMMYFUNCTION("""COMPUTED_VALUE"""),"Suspending agent")</f>
        <v/>
      </c>
      <c r="F35" s="2">
        <f>IFERROR(__xludf.DUMMYFUNCTION("""COMPUTED_VALUE"""),"Sweetening agent")</f>
        <v/>
      </c>
      <c r="G35" s="2">
        <f>IFERROR(__xludf.DUMMYFUNCTION("""COMPUTED_VALUE"""),"Coloring agent")</f>
        <v/>
      </c>
      <c r="H35" s="2">
        <f>IFERROR(__xludf.DUMMYFUNCTION("""COMPUTED_VALUE"""),"Active ingredient")</f>
        <v/>
      </c>
      <c r="I35" s="2">
        <f>IFERROR(__xludf.DUMMYFUNCTION("""COMPUTED_VALUE"""),"2")</f>
        <v/>
      </c>
      <c r="J35" s="2">
        <f>IFERROR(__xludf.DUMMYFUNCTION("""COMPUTED_VALUE"""),"✅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(caki"&amp;"ng)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เนื่องจาก"&amp;"กลไกการออกฤทธิ์,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ข้อนี้ไ"&amp;"ม่ใช่คำตอบที่ถูกต้องสำหรับภาวะ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หรือข้อบ"&amp;"่งใช้ไม่ตรงกับโจทย์ที่กำหนด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วิเคราะห์สาเหตุและวิธีแ"&amp;"ก้ไขปัญหา formulation defects เชิงสูตรตำรับ")</f>
        <v/>
      </c>
      <c r="K35" s="2" t="n"/>
      <c r="L35" s="2">
        <f>IFERROR(__xludf.DUMMYFUNCTION("""COMPUTED_VALUE"""),"Tablet Manufacturing")</f>
        <v/>
      </c>
      <c r="M35" s="2">
        <f>IFERROR(__xludf.DUMMYFUNCTION("""COMPUTED_VALUE"""),"Product")</f>
        <v/>
      </c>
      <c r="N35" s="2">
        <f>IFERROR(__xludf.DUMMYFUNCTION("""COMPUTED_VALUE"""),"ข้อ 106 Pharma Plus เล่มม่วง (เฉลยข้อ ข)")</f>
        <v/>
      </c>
      <c r="O35" s="2">
        <f>IFERROR(__xludf.DUMMYFUNCTION("""COMPUTED_VALUE"""),"Mock")</f>
        <v/>
      </c>
      <c r="P35" s="2">
        <f>IFERROR(__xludf.DUMMYFUNCTION("""COMPUTED_VALUE"""),"Pharma Plus เล่มม่วง")</f>
        <v/>
      </c>
    </row>
    <row r="36" ht="13.2" customHeight="1" s="37">
      <c r="A36" s="2">
        <f>IFERROR(__xludf.DUMMYFUNCTION("""COMPUTED_VALUE"""),"107")</f>
        <v/>
      </c>
      <c r="B36" s="2">
        <f>IFERROR(__xludf.DUMMYFUNCTION("""COMPUTED_VALUE"""),"ถ้าท่านเป็นเภสัชกรโรงงานและต้องการเตรียมยาเหน็บซึ่งแต่ละแท่งหนัก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f>
        <v/>
      </c>
      <c r="C36" s="2" t="n"/>
      <c r="D36" s="2">
        <f>IFERROR(__xludf.DUMMYFUNCTION("""COMPUTED_VALUE"""),"155 g")</f>
        <v/>
      </c>
      <c r="E36" s="2">
        <f>IFERROR(__xludf.DUMMYFUNCTION("""COMPUTED_VALUE"""),"175 g")</f>
        <v/>
      </c>
      <c r="F36" s="2">
        <f>IFERROR(__xludf.DUMMYFUNCTION("""COMPUTED_VALUE"""),"180 g")</f>
        <v/>
      </c>
      <c r="G36" s="2">
        <f>IFERROR(__xludf.DUMMYFUNCTION("""COMPUTED_VALUE"""),"197 g")</f>
        <v/>
      </c>
      <c r="H36" s="2">
        <f>IFERROR(__xludf.DUMMYFUNCTION("""COMPUTED_VALUE"""),"200 g")</f>
        <v/>
      </c>
      <c r="I36" s="2">
        <f>IFERROR(__xludf.DUMMYFUNCTION("""COMPUTED_VALUE"""),"3")</f>
        <v/>
      </c>
      <c r="J36" s="2">
        <f>IFERROR(__xludf.DUMMYFUNCTION("""COMPUTED_VALUE"""),"✅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ค"&amp;"ำอธิบายและเหตุผลทางเภสัชกรรม: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 จำนวนแท่ง) - (น้ำหนักตัวยาต่อแท่ง / Displacement value * จำนวนแท่ง)
= (2.0 * 100) - (0.3 / 1.5 * 100)
= 200"&amp;" - (0.2 *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Manufacturing"&amp;"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ข้อนี้ไม่ใช่คำตอบ"&amp;"ที่ถูกต้องสำหรับภาวะ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หรือข้อบ่งใช้ไม่ตรงกับโจทย์ที่"&amp;"กำหนด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Excip"&amp;"ient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"&amp;"defects เชิงสูตรตำรับ")</f>
        <v/>
      </c>
      <c r="K36" s="2" t="n"/>
      <c r="L36" s="2">
        <f>IFERROR(__xludf.DUMMYFUNCTION("""COMPUTED_VALUE"""),"Tablet Manufacturing")</f>
        <v/>
      </c>
      <c r="M36" s="2">
        <f>IFERROR(__xludf.DUMMYFUNCTION("""COMPUTED_VALUE"""),"Product")</f>
        <v/>
      </c>
      <c r="N36" s="2">
        <f>IFERROR(__xludf.DUMMYFUNCTION("""COMPUTED_VALUE"""),"ข้อ 107 Pharma Plus เล่มม่วง (เฉลยข้อ ค)")</f>
        <v/>
      </c>
      <c r="O36" s="2">
        <f>IFERROR(__xludf.DUMMYFUNCTION("""COMPUTED_VALUE"""),"Mock")</f>
        <v/>
      </c>
      <c r="P36" s="2">
        <f>IFERROR(__xludf.DUMMYFUNCTION("""COMPUTED_VALUE"""),"Pharma Plus เล่มม่วง")</f>
        <v/>
      </c>
    </row>
    <row r="37" ht="13.2" customHeight="1" s="37">
      <c r="A37" s="2">
        <f>IFERROR(__xludf.DUMMYFUNCTION("""COMPUTED_VALUE"""),"108")</f>
        <v/>
      </c>
      <c r="B37" s="2">
        <f>IFERROR(__xludf.DUMMYFUNCTION("""COMPUTED_VALUE"""),"ในการเตรียม D-5-S จำนวน 100 ขวด (ขวดละ 1000 mL) จะต้องใช้ NaCl หนักเท่าใด")</f>
        <v/>
      </c>
      <c r="C37" s="2" t="n"/>
      <c r="D37" s="2">
        <f>IFERROR(__xludf.DUMMYFUNCTION("""COMPUTED_VALUE"""),"45 กรัม")</f>
        <v/>
      </c>
      <c r="E37" s="2">
        <f>IFERROR(__xludf.DUMMYFUNCTION("""COMPUTED_VALUE"""),"450 กรัม")</f>
        <v/>
      </c>
      <c r="F37" s="2">
        <f>IFERROR(__xludf.DUMMYFUNCTION("""COMPUTED_VALUE"""),"90 กรัม")</f>
        <v/>
      </c>
      <c r="G37" s="2">
        <f>IFERROR(__xludf.DUMMYFUNCTION("""COMPUTED_VALUE"""),"900 กรัม")</f>
        <v/>
      </c>
      <c r="H37" s="2">
        <f>IFERROR(__xludf.DUMMYFUNCTION("""COMPUTED_VALUE"""),"ไม่มีคำตอบใดถูก")</f>
        <v/>
      </c>
      <c r="I37" s="2">
        <f>IFERROR(__xludf.DUMMYFUNCTION("""COMPUTED_VALUE"""),"4")</f>
        <v/>
      </c>
      <c r="J37" s="2">
        <f>IFERROR(__xludf.DUMMYFUNCTION("""COMPUTED_VALUE"""),"✅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กรั"&amp;"ม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จะต้องใ"&amp;"ช้ NaCl = 9 *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เนื่อ"&amp;"งจากกลไกการออกฤทธิ์,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ข้อนี้ไม่ใช่คำตอบท"&amp;"ี่ถูกต้องสำหรับภาวะ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หรือข้อบ่งใช้ไม่ตรงกั"&amp;"บโจทย์ที่กำหนด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จุดจำก่อนสอบ"&amp;":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for"&amp;"mulation defects เชิงสูตรตำรับ")</f>
        <v/>
      </c>
      <c r="K37" s="2" t="n"/>
      <c r="L37" s="2">
        <f>IFERROR(__xludf.DUMMYFUNCTION("""COMPUTED_VALUE"""),"Tablet Manufacturing")</f>
        <v/>
      </c>
      <c r="M37" s="2">
        <f>IFERROR(__xludf.DUMMYFUNCTION("""COMPUTED_VALUE"""),"Product")</f>
        <v/>
      </c>
      <c r="N37" s="2">
        <f>IFERROR(__xludf.DUMMYFUNCTION("""COMPUTED_VALUE"""),"ข้อ 108 Pharma Plus เล่มม่วง (เฉลยข้อ ง)")</f>
        <v/>
      </c>
      <c r="O37" s="2">
        <f>IFERROR(__xludf.DUMMYFUNCTION("""COMPUTED_VALUE"""),"Mock")</f>
        <v/>
      </c>
      <c r="P37" s="2">
        <f>IFERROR(__xludf.DUMMYFUNCTION("""COMPUTED_VALUE"""),"Pharma Plus เล่มม่วง")</f>
        <v/>
      </c>
    </row>
    <row r="38" ht="13.2" customHeight="1" s="37">
      <c r="A38" s="2">
        <f>IFERROR(__xludf.DUMMYFUNCTION("""COMPUTED_VALUE"""),"109")</f>
        <v/>
      </c>
      <c r="B38" s="2">
        <f>IFERROR(__xludf.DUMMYFUNCTION("""COMPUTED_VALUE"""),"หลังจากบรรจุเสร็จ จะนำขวดน้ำเกลือดังกล่าวไปฆ่าเชื้อโดยผ่านเครื่องมือใด ที่อุณหภูมิในข้อใด จึงจะเหมาะสม")</f>
        <v/>
      </c>
      <c r="C38" s="2" t="n"/>
      <c r="D38" s="2">
        <f>IFERROR(__xludf.DUMMYFUNCTION("""COMPUTED_VALUE"""),"Hot air oven 160 องศาเซลเซียส นาน 3 ชั่วโมง")</f>
        <v/>
      </c>
      <c r="E38" s="2">
        <f>IFERROR(__xludf.DUMMYFUNCTION("""COMPUTED_VALUE"""),"Hot air oven 121 องศาเซลเซียส นาน 20-30 นาที")</f>
        <v/>
      </c>
      <c r="F38" s="2">
        <f>IFERROR(__xludf.DUMMYFUNCTION("""COMPUTED_VALUE"""),"Autoclave 121 องศาเซลเซียส นาน 20-30 นาที")</f>
        <v/>
      </c>
      <c r="G38" s="2">
        <f>IFERROR(__xludf.DUMMYFUNCTION("""COMPUTED_VALUE"""),"Autoclave 160 องศาเซลเซียส นาน 3 ชั่วโมง")</f>
        <v/>
      </c>
      <c r="H38" s="2">
        <f>IFERROR(__xludf.DUMMYFUNCTION("""COMPUTED_VALUE"""),"Autoclave 100 องศาเซลเซียส นาน 30 นาที")</f>
        <v/>
      </c>
      <c r="I38" s="2">
        <f>IFERROR(__xludf.DUMMYFUNCTION("""COMPUTED_VALUE"""),"3")</f>
        <v/>
      </c>
      <c r="J38" s="2">
        <f>IFERROR(__xludf.DUMMYFUNCTION("""COMPUTED_VALUE"""),"✅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ตามมาตร"&amp;"ฐาน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และทนความร้อนไ"&amp;"ด้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Manufacturi"&amp;"ng)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"&amp;"นาน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Manufactur"&amp;"ing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หรือข้อบ่งใช้ไม่ตรงกับโจทย์ที่กำหนด"&amp;"
📖 Guideline อ้างอิง:
The United States Pharmacopeia (USP-NF 2024) General Chapters &lt;701&gt; Disintegration, &lt;711&gt; Dissolution, &lt;905&gt; Uniformity of Dosage Units &amp; Remington: The Science and Practice of Pharmacy (23rd Edition)
📌 จุดจำก่อนสอบ:
• Excipient "&amp;"Function: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defec"&amp;"ts เชิงสูตรตำรับ")</f>
        <v/>
      </c>
      <c r="K38" s="2" t="n"/>
      <c r="L38" s="2">
        <f>IFERROR(__xludf.DUMMYFUNCTION("""COMPUTED_VALUE"""),"Tablet Manufacturing")</f>
        <v/>
      </c>
      <c r="M38" s="2">
        <f>IFERROR(__xludf.DUMMYFUNCTION("""COMPUTED_VALUE"""),"Product")</f>
        <v/>
      </c>
      <c r="N38" s="2">
        <f>IFERROR(__xludf.DUMMYFUNCTION("""COMPUTED_VALUE"""),"ข้อ 109 Pharma Plus เล่มม่วง (เฉลยข้อ ค)")</f>
        <v/>
      </c>
      <c r="O38" s="2">
        <f>IFERROR(__xludf.DUMMYFUNCTION("""COMPUTED_VALUE"""),"Mock")</f>
        <v/>
      </c>
      <c r="P38" s="2">
        <f>IFERROR(__xludf.DUMMYFUNCTION("""COMPUTED_VALUE"""),"Pharma Plus เล่มม่วง")</f>
        <v/>
      </c>
    </row>
    <row r="39" ht="13.2" customHeight="1" s="37">
      <c r="A39" s="2">
        <f>IFERROR(__xludf.DUMMYFUNCTION("""COMPUTED_VALUE"""),"122")</f>
        <v/>
      </c>
      <c r="B39" s="2">
        <f>IFERROR(__xludf.DUMMYFUNCTION("""COMPUTED_VALUE"""),"ยา ISDN เหมาะกับอาการขณะกำเริบ คือ dosage form ใด")</f>
        <v/>
      </c>
      <c r="C39" s="2" t="n"/>
      <c r="D39" s="2">
        <f>IFERROR(__xludf.DUMMYFUNCTION("""COMPUTED_VALUE"""),"Extent release")</f>
        <v/>
      </c>
      <c r="E39" s="2">
        <f>IFERROR(__xludf.DUMMYFUNCTION("""COMPUTED_VALUE"""),"Ointment")</f>
        <v/>
      </c>
      <c r="F39" s="2">
        <f>IFERROR(__xludf.DUMMYFUNCTION("""COMPUTED_VALUE"""),"Solution")</f>
        <v/>
      </c>
      <c r="G39" s="2">
        <f>IFERROR(__xludf.DUMMYFUNCTION("""COMPUTED_VALUE"""),"Sublingual tablet")</f>
        <v/>
      </c>
      <c r="H39" s="2">
        <f>IFERROR(__xludf.DUMMYFUNCTION("""COMPUTED_VALUE"""),"Transdermal")</f>
        <v/>
      </c>
      <c r="I39" s="2">
        <f>IFERROR(__xludf.DUMMYFUNCTION("""COMPUTED_VALUE"""),"4")</f>
        <v/>
      </c>
      <c r="J39" s="2">
        <f>IFERROR(__xludf.DUMMYFUNCTION("""COMPUTED_VALUE"""),"✅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เนื่องจากหลีกเลี่"&amp;"ยง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ข้อนี้ไม่ใช่คำตอบที่ถูกต้อ"&amp;"งสำหรับภาวะ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"&amp;"•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เนื่องจากกลไกการออกฤท"&amp;"ธิ์,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Pharm"&amp;"acy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ว"&amp;"ิเคราะห์สาเหตุและวิธีแก้ไขปัญหา formulation defects เชิงสูตรตำรับ")</f>
        <v/>
      </c>
      <c r="K39" s="2" t="n"/>
      <c r="L39" s="2">
        <f>IFERROR(__xludf.DUMMYFUNCTION("""COMPUTED_VALUE"""),"Tablet Manufacturing")</f>
        <v/>
      </c>
      <c r="M39" s="2">
        <f>IFERROR(__xludf.DUMMYFUNCTION("""COMPUTED_VALUE"""),"Product")</f>
        <v/>
      </c>
      <c r="N39" s="2">
        <f>IFERROR(__xludf.DUMMYFUNCTION("""COMPUTED_VALUE"""),"ข้อ 122 Pharma Plus เล่มม่วง (เฉลยข้อ ง)")</f>
        <v/>
      </c>
      <c r="O39" s="2">
        <f>IFERROR(__xludf.DUMMYFUNCTION("""COMPUTED_VALUE"""),"Mock")</f>
        <v/>
      </c>
      <c r="P39" s="2">
        <f>IFERROR(__xludf.DUMMYFUNCTION("""COMPUTED_VALUE"""),"Pharma Plus เล่มม่วง")</f>
        <v/>
      </c>
    </row>
    <row r="40" ht="13.2" customHeight="1" s="37">
      <c r="A40" s="2">
        <f>IFERROR(__xludf.DUMMYFUNCTION("""COMPUTED_VALUE"""),"123")</f>
        <v/>
      </c>
      <c r="B40" s="2">
        <f>IFERROR(__xludf.DUMMYFUNCTION("""COMPUTED_VALUE"""),"ยาที่ผู้ป่วยได้รับก่อนมารพ. คือ nifedipine SR เป็นการปลดยารูปแบบใด")</f>
        <v/>
      </c>
      <c r="C40" s="2" t="n"/>
      <c r="D40" s="2">
        <f>IFERROR(__xludf.DUMMYFUNCTION("""COMPUTED_VALUE"""),"ปลดปล่อยยาทันทีหลังรับประทานอาหาร")</f>
        <v/>
      </c>
      <c r="E40" s="2">
        <f>IFERROR(__xludf.DUMMYFUNCTION("""COMPUTED_VALUE"""),"ปลดปล่อยยาอย่างเร็ว")</f>
        <v/>
      </c>
      <c r="F40" s="2">
        <f>IFERROR(__xludf.DUMMYFUNCTION("""COMPUTED_VALUE"""),"ปลดปล่อยยาในปริมาณที่แน่นอน")</f>
        <v/>
      </c>
      <c r="G40" s="2">
        <f>IFERROR(__xludf.DUMMYFUNCTION("""COMPUTED_VALUE"""),"ค่อย ๆ ปล่อยยาออกมาอย่าง ช้า ๆ")</f>
        <v/>
      </c>
      <c r="H40" s="2">
        <f>IFERROR(__xludf.DUMMYFUNCTION("""COMPUTED_VALUE"""),"ค่อย ๆปลดปล่อยยาออกมาในปริมาณน้อย")</f>
        <v/>
      </c>
      <c r="I40" s="2">
        <f>IFERROR(__xludf.DUMMYFUNCTION("""COMPUTED_VALUE"""),"4")</f>
        <v/>
      </c>
      <c r="J40" s="2">
        <f>IFERROR(__xludf.DUMMYFUNCTION("""COMPUTED_VALUE"""),"✅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เพื่อยืดระยะเวลาการออกฤทธิ์แ"&amp;"ละลดความถี่ในการบริหารยา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Tabl"&amp;"et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ข้อ"&amp;"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Tablet"&amp;"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Remingto"&amp;"n: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un"&amp;"iformity
• Defect Troubleshooting: วิเคราะห์สาเหตุและวิธีแก้ไขปัญหา formulation defects เชิงสูตรตำรับ")</f>
        <v/>
      </c>
      <c r="K40" s="2" t="n"/>
      <c r="L40" s="2">
        <f>IFERROR(__xludf.DUMMYFUNCTION("""COMPUTED_VALUE"""),"Tablet Manufacturing")</f>
        <v/>
      </c>
      <c r="M40" s="2">
        <f>IFERROR(__xludf.DUMMYFUNCTION("""COMPUTED_VALUE"""),"Product")</f>
        <v/>
      </c>
      <c r="N40" s="2">
        <f>IFERROR(__xludf.DUMMYFUNCTION("""COMPUTED_VALUE"""),"ข้อ 123 Pharma Plus เล่มม่วง (เฉลยข้อ ง)")</f>
        <v/>
      </c>
      <c r="O40" s="2">
        <f>IFERROR(__xludf.DUMMYFUNCTION("""COMPUTED_VALUE"""),"Mock")</f>
        <v/>
      </c>
      <c r="P40" s="2">
        <f>IFERROR(__xludf.DUMMYFUNCTION("""COMPUTED_VALUE"""),"Pharma Plus เล่มม่วง")</f>
        <v/>
      </c>
    </row>
    <row r="41" ht="13.2" customHeight="1" s="37">
      <c r="A41" s="2">
        <f>IFERROR(__xludf.DUMMYFUNCTION("""COMPUTED_VALUE"""),"124")</f>
        <v/>
      </c>
      <c r="B41" s="2">
        <f>IFERROR(__xludf.DUMMYFUNCTION("""COMPUTED_VALUE"""),"เมื่อนำครีมมาเตรียมในรูปแบบครีมทาผิวลดไขมันและประเมินความคงตัว ข้อใดเป็นวิธีที่ไม่เหมาะสมมากที่สุด")</f>
        <v/>
      </c>
      <c r="C41" s="2" t="n"/>
      <c r="D41" s="2">
        <f>IFERROR(__xludf.DUMMYFUNCTION("""COMPUTED_VALUE"""),"นำไปปั่นเหวี่ยงที่ความเร็วรอบ 3,750 รอบ/นาที เป็นเวลา 5 ชั่วโมง")</f>
        <v/>
      </c>
      <c r="E41" s="2">
        <f>IFERROR(__xludf.DUMMYFUNCTION("""COMPUTED_VALUE"""),"นำไปเก็บไว้ที่อุณหภูมิ 180 C เป็นเวลา 12 ชั่วโมง")</f>
        <v/>
      </c>
      <c r="F41" s="2">
        <f>IFERROR(__xludf.DUMMYFUNCTION("""COMPUTED_VALUE"""),"นำไปเก็บไว้ที่อุณหภูมิ -5 C สลับกับ 40 C ทุก ๆ 24 ชั่วโมง เป็นจำนวน 24 รอบ")</f>
        <v/>
      </c>
      <c r="G41" s="2">
        <f>IFERROR(__xludf.DUMMYFUNCTION("""COMPUTED_VALUE"""),"นำไปเก็บไว้ที่อุณหภูมิ 4 C, 25 C และ 45 Cเป็นเวลา 6 เดือน")</f>
        <v/>
      </c>
      <c r="H41" s="2">
        <f>IFERROR(__xludf.DUMMYFUNCTION("""COMPUTED_VALUE"""),"นำไปเก็บไว้ที่อุณหภูมิ 25 C เป็นเวลา 2 ปี")</f>
        <v/>
      </c>
      <c r="I41" s="2">
        <f>IFERROR(__xludf.DUMMYFUNCTION("""COMPUTED_VALUE"""),"2")</f>
        <v/>
      </c>
      <c r="J41" s="2">
        <f>IFERROR(__xludf.DUMMYFUNCTION("""COMPUTED_VALUE"""),"✅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"&amp;"ตามมาตรฐาน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"&amp;"เช่น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แ"&amp;"ละ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เนื่องจากกลไกก"&amp;"ารออกฤทธิ์,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หรือข้อบ่งใช้ไม่ต"&amp;"รงกับโจทย์ที่กำหนด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"&amp;"C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41" s="2" t="n"/>
      <c r="L41" s="2">
        <f>IFERROR(__xludf.DUMMYFUNCTION("""COMPUTED_VALUE"""),"Tablet Manufacturing")</f>
        <v/>
      </c>
      <c r="M41" s="2">
        <f>IFERROR(__xludf.DUMMYFUNCTION("""COMPUTED_VALUE"""),"Product")</f>
        <v/>
      </c>
      <c r="N41" s="2">
        <f>IFERROR(__xludf.DUMMYFUNCTION("""COMPUTED_VALUE"""),"ข้อ 124 Pharma Plus เล่มม่วง (เฉลยข้อ ข)")</f>
        <v/>
      </c>
      <c r="O41" s="2">
        <f>IFERROR(__xludf.DUMMYFUNCTION("""COMPUTED_VALUE"""),"Mock")</f>
        <v/>
      </c>
      <c r="P41" s="2">
        <f>IFERROR(__xludf.DUMMYFUNCTION("""COMPUTED_VALUE"""),"Pharma Plus เล่มม่วง")</f>
        <v/>
      </c>
    </row>
    <row r="42" ht="13.2" customHeight="1" s="37">
      <c r="A42" s="2">
        <f>IFERROR(__xludf.DUMMYFUNCTION("""COMPUTED_VALUE"""),"125")</f>
        <v/>
      </c>
      <c r="B42" s="2">
        <f>IFERROR(__xludf.DUMMYFUNCTION("""COMPUTED_VALUE"""),"ข้อมูลข้อมีความจำเป็นน้อยที่สุดในการนำพริกมาบรรจุในแคปซูลเพื่อรับประทาน")</f>
        <v/>
      </c>
      <c r="C42" s="2" t="n"/>
      <c r="D42" s="2">
        <f>IFERROR(__xludf.DUMMYFUNCTION("""COMPUTED_VALUE"""),"Solubility")</f>
        <v/>
      </c>
      <c r="E42" s="2">
        <f>IFERROR(__xludf.DUMMYFUNCTION("""COMPUTED_VALUE"""),"Angle of repose")</f>
        <v/>
      </c>
      <c r="F42" s="2">
        <f>IFERROR(__xludf.DUMMYFUNCTION("""COMPUTED_VALUE"""),"Capsule's size and volume")</f>
        <v/>
      </c>
      <c r="G42" s="2">
        <f>IFERROR(__xludf.DUMMYFUNCTION("""COMPUTED_VALUE"""),"Tap density")</f>
        <v/>
      </c>
      <c r="H42" s="2">
        <f>IFERROR(__xludf.DUMMYFUNCTION("""COMPUTED_VALUE"""),"Therapeutic dose")</f>
        <v/>
      </c>
      <c r="I42" s="2">
        <f>IFERROR(__xludf.DUMMYFUNCTION("""COMPUTED_VALUE"""),"1")</f>
        <v/>
      </c>
      <c r="J42" s="2">
        <f>IFERROR(__xludf.DUMMYFUNCTION("""COMPUTED_VALUE"""),"✅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คำอธิบาย"&amp;"และเหตุผลทางเภสัชกรรม: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Ta"&amp;"p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ข้อนี้ไม่ใช่คำตอบที่ถู"&amp;"กต้องสำหรับภาวะ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efficacy"&amp;"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ข้อนี้ไม่ใช่คำตอบที่ถูกต้อง"&amp;"สำหรับภาวะ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"&amp;"and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Defe"&amp;"ct Troubleshooting: วิเคราะห์สาเหตุและวิธีแก้ไขปัญหา formulation defects เชิงสูตรตำรับ")</f>
        <v/>
      </c>
      <c r="K42" s="2" t="n"/>
      <c r="L42" s="2">
        <f>IFERROR(__xludf.DUMMYFUNCTION("""COMPUTED_VALUE"""),"Hard &amp; Soft Gelatin Capsules")</f>
        <v/>
      </c>
      <c r="M42" s="2">
        <f>IFERROR(__xludf.DUMMYFUNCTION("""COMPUTED_VALUE"""),"Product")</f>
        <v/>
      </c>
      <c r="N42" s="2">
        <f>IFERROR(__xludf.DUMMYFUNCTION("""COMPUTED_VALUE"""),"ข้อ 125 Pharma Plus เล่มม่วง (เฉลยข้อ ก)")</f>
        <v/>
      </c>
      <c r="O42" s="2">
        <f>IFERROR(__xludf.DUMMYFUNCTION("""COMPUTED_VALUE"""),"Mock")</f>
        <v/>
      </c>
      <c r="P42" s="2">
        <f>IFERROR(__xludf.DUMMYFUNCTION("""COMPUTED_VALUE"""),"Pharma Plus เล่มม่วง")</f>
        <v/>
      </c>
    </row>
    <row r="43" ht="13.2" customHeight="1" s="37">
      <c r="A43" s="2">
        <f>IFERROR(__xludf.DUMMYFUNCTION("""COMPUTED_VALUE"""),"126")</f>
        <v/>
      </c>
      <c r="B43" s="2">
        <f>IFERROR(__xludf.DUMMYFUNCTION("""COMPUTED_VALUE"""),"Rx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ดังนั้นเภสัชกรต้องเตรียมยาจากยาที่มีในห้องยาลาดังกล"&amp;"่าวอย่างไร")</f>
        <v/>
      </c>
      <c r="C43" s="2" t="n"/>
      <c r="D43" s="2">
        <f>IFERROR(__xludf.DUMMYFUNCTION("""COMPUTED_VALUE"""),"ใช้ 25% NaHCO3 6 mL และปรับปริมาตรให้ได้ 100 mL")</f>
        <v/>
      </c>
      <c r="E43" s="2">
        <f>IFERROR(__xludf.DUMMYFUNCTION("""COMPUTED_VALUE"""),"ใช้ 25% NaHCO3 6 mL และปรับปริมาตรให้ได้ 30 mL")</f>
        <v/>
      </c>
      <c r="F43" s="2">
        <f>IFERROR(__xludf.DUMMYFUNCTION("""COMPUTED_VALUE"""),"ใช้ 25% NaHCO3 20 mL และปรับปริมาตรให้ได้ 100 mL")</f>
        <v/>
      </c>
      <c r="G43" s="2">
        <f>IFERROR(__xludf.DUMMYFUNCTION("""COMPUTED_VALUE"""),"ใช้ 25% NaHCO3 20 mL และปรับปริมาตรให้ได้ 30 mL")</f>
        <v/>
      </c>
      <c r="H43" s="2">
        <f>IFERROR(__xludf.DUMMYFUNCTION("""COMPUTED_VALUE"""),"ใช้ 25% NaHCO3 10 mL และปรับปริมาตรให้ได้ 100 mL")</f>
        <v/>
      </c>
      <c r="I43" s="2">
        <f>IFERROR(__xludf.DUMMYFUNCTION("""COMPUTED_VALUE"""),"2")</f>
        <v/>
      </c>
      <c r="J43" s="2">
        <f>IFERROR(__xludf.DUMMYFUNCTION("""COMPUTED_VALUE"""),"✅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ตา"&amp;"มมาตรฐาน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จะต้อง"&amp;"ใช้ปริมาณ NaHCO3 = (5 g / 100 mL) *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"&amp;"Remington: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efficac"&amp;"y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2"&amp;"0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ข้อนี้ไม่ใช่คำตอบที่ถูกต้องสำห"&amp;"รับภาวะ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Un"&amp;"its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diss"&amp;"olution และ uniformity
• Defect Troubleshooting: วิเคราะห์สาเหตุและวิธีแก้ไขปัญหา formulation defects เชิงสูตรตำรับ")</f>
        <v/>
      </c>
      <c r="K43" s="2" t="n"/>
      <c r="L43" s="2">
        <f>IFERROR(__xludf.DUMMYFUNCTION("""COMPUTED_VALUE"""),"Tablet Manufacturing")</f>
        <v/>
      </c>
      <c r="M43" s="2">
        <f>IFERROR(__xludf.DUMMYFUNCTION("""COMPUTED_VALUE"""),"Product")</f>
        <v/>
      </c>
      <c r="N43" s="2">
        <f>IFERROR(__xludf.DUMMYFUNCTION("""COMPUTED_VALUE"""),"ข้อ 126 Pharma Plus เล่มม่วง (เฉลยข้อ ข)")</f>
        <v/>
      </c>
      <c r="O43" s="2">
        <f>IFERROR(__xludf.DUMMYFUNCTION("""COMPUTED_VALUE"""),"Mock")</f>
        <v/>
      </c>
      <c r="P43" s="2">
        <f>IFERROR(__xludf.DUMMYFUNCTION("""COMPUTED_VALUE"""),"Pharma Plus เล่มม่วง")</f>
        <v/>
      </c>
    </row>
    <row r="44" ht="13.2" customHeight="1" s="37">
      <c r="A44" s="2">
        <f>IFERROR(__xludf.DUMMYFUNCTION("""COMPUTED_VALUE"""),"127")</f>
        <v/>
      </c>
      <c r="B44" s="2">
        <f>IFERROR(__xludf.DUMMYFUNCTION("""COMPUTED_VALUE"""),"เมื่อเตรียมตำรับยาข้างต้นในข้อ 126 ส่วนประกอบใดไม่จำเป็นในการเตรียมยาใช้ในช่องหู")</f>
        <v/>
      </c>
      <c r="C44" s="2" t="n"/>
      <c r="D44" s="2">
        <f>IFERROR(__xludf.DUMMYFUNCTION("""COMPUTED_VALUE"""),"Antioxidant")</f>
        <v/>
      </c>
      <c r="E44" s="2">
        <f>IFERROR(__xludf.DUMMYFUNCTION("""COMPUTED_VALUE"""),"Buffering agent")</f>
        <v/>
      </c>
      <c r="F44" s="2">
        <f>IFERROR(__xludf.DUMMYFUNCTION("""COMPUTED_VALUE"""),"Structure vehicle")</f>
        <v/>
      </c>
      <c r="G44" s="2">
        <f>IFERROR(__xludf.DUMMYFUNCTION("""COMPUTED_VALUE"""),"Preservative")</f>
        <v/>
      </c>
      <c r="H44" s="2">
        <f>IFERROR(__xludf.DUMMYFUNCTION("""COMPUTED_VALUE"""),"Viscosity agent")</f>
        <v/>
      </c>
      <c r="I44" s="2">
        <f>IFERROR(__xludf.DUMMYFUNCTION("""COMPUTED_VALUE"""),"2")</f>
        <v/>
      </c>
      <c r="J44" s="2">
        <f>IFERROR(__xludf.DUMMYFUNCTION("""COMPUTED_VALUE"""),"✅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จึงไม่จำเป็นต้องใส่สารต้านอนุมูลอิ"&amp;"สระ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ข้อ"&amp;"นี้ไม่ใช่คำตอบที่ถูกต้องสำหรับภาวะ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หรือ"&amp;"ข้อบ่งใช้ไม่ตรงกับโจทย์ที่กำหนด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Ta"&amp;"blet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Remi"&amp;"ngton: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แล"&amp;"ะ uniformity
• Defect Troubleshooting: วิเคราะห์สาเหตุและวิธีแก้ไขปัญหา formulation defects เชิงสูตรตำรับ")</f>
        <v/>
      </c>
      <c r="K44" s="2" t="n"/>
      <c r="L44" s="2">
        <f>IFERROR(__xludf.DUMMYFUNCTION("""COMPUTED_VALUE"""),"Tablet Manufacturing")</f>
        <v/>
      </c>
      <c r="M44" s="2">
        <f>IFERROR(__xludf.DUMMYFUNCTION("""COMPUTED_VALUE"""),"Product")</f>
        <v/>
      </c>
      <c r="N44" s="2">
        <f>IFERROR(__xludf.DUMMYFUNCTION("""COMPUTED_VALUE"""),"ข้อ 127 Pharma Plus เล่มม่วง (เฉลยข้อ ข)")</f>
        <v/>
      </c>
      <c r="O44" s="2">
        <f>IFERROR(__xludf.DUMMYFUNCTION("""COMPUTED_VALUE"""),"Mock")</f>
        <v/>
      </c>
      <c r="P44" s="2">
        <f>IFERROR(__xludf.DUMMYFUNCTION("""COMPUTED_VALUE"""),"Pharma Plus เล่มม่วง")</f>
        <v/>
      </c>
    </row>
    <row r="45" ht="13.2" customHeight="1" s="37">
      <c r="A45" s="2">
        <f>IFERROR(__xludf.DUMMYFUNCTION("""COMPUTED_VALUE"""),"152")</f>
        <v/>
      </c>
      <c r="B45" s="2">
        <f>IFERROR(__xludf.DUMMYFUNCTION("""COMPUTED_VALUE"""),"เนื่องจากผู้ป่วยคันตา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"&amp;"= 0.2
ถ้าต้องการเตรียมเป็น isotonic solution ต้องใช้ปริมาณ NaCl เท่าไร")</f>
        <v/>
      </c>
      <c r="C45" s="2" t="n"/>
      <c r="D45" s="2">
        <f>IFERROR(__xludf.DUMMYFUNCTION("""COMPUTED_VALUE"""),"0.27 g")</f>
        <v/>
      </c>
      <c r="E45" s="2">
        <f>IFERROR(__xludf.DUMMYFUNCTION("""COMPUTED_VALUE"""),"0.18 g")</f>
        <v/>
      </c>
      <c r="F45" s="2">
        <f>IFERROR(__xludf.DUMMYFUNCTION("""COMPUTED_VALUE"""),"0.09 g")</f>
        <v/>
      </c>
      <c r="G45" s="2">
        <f>IFERROR(__xludf.DUMMYFUNCTION("""COMPUTED_VALUE"""),"0.04 g")</f>
        <v/>
      </c>
      <c r="H45" s="2">
        <f>IFERROR(__xludf.DUMMYFUNCTION("""COMPUTED_VALUE"""),"0.12 g")</f>
        <v/>
      </c>
      <c r="I45" s="2">
        <f>IFERROR(__xludf.DUMMYFUNCTION("""COMPUTED_VALUE"""),"3")</f>
        <v/>
      </c>
      <c r="J45" s="2">
        <f>IFERROR(__xludf.DUMMYFUNCTION("""COMPUTED_VALUE"""),"✅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💡"&amp;"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•"&amp;"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eff"&amp;"icacy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20"&amp;"24)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di"&amp;"sintegrant,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5" s="2" t="n"/>
      <c r="L45" s="2">
        <f>IFERROR(__xludf.DUMMYFUNCTION("""COMPUTED_VALUE"""),"Tablet Manufacturing")</f>
        <v/>
      </c>
      <c r="M45" s="2">
        <f>IFERROR(__xludf.DUMMYFUNCTION("""COMPUTED_VALUE"""),"Product")</f>
        <v/>
      </c>
      <c r="N45" s="2">
        <f>IFERROR(__xludf.DUMMYFUNCTION("""COMPUTED_VALUE"""),"ข้อ 152 Pharma Plus เล่มม่วง (เฉลยข้อ ค)")</f>
        <v/>
      </c>
      <c r="O45" s="2">
        <f>IFERROR(__xludf.DUMMYFUNCTION("""COMPUTED_VALUE"""),"Mock")</f>
        <v/>
      </c>
      <c r="P45" s="2">
        <f>IFERROR(__xludf.DUMMYFUNCTION("""COMPUTED_VALUE"""),"Pharma Plus เล่มม่วง")</f>
        <v/>
      </c>
    </row>
    <row r="46" ht="13.2" customHeight="1" s="37">
      <c r="A46" s="2">
        <f>IFERROR(__xludf.DUMMYFUNCTION("""COMPUTED_VALUE"""),"153")</f>
        <v/>
      </c>
      <c r="B46" s="2">
        <f>IFERROR(__xludf.DUMMYFUNCTION("""COMPUTED_VALUE"""),"ข้อใดไม่เกี่ยวกับการควบคุมคุณภาพ ยาเม็ด norfloxacin")</f>
        <v/>
      </c>
      <c r="C46" s="2" t="n"/>
      <c r="D46" s="2">
        <f>IFERROR(__xludf.DUMMYFUNCTION("""COMPUTED_VALUE"""),"Content Uniformity")</f>
        <v/>
      </c>
      <c r="E46" s="2">
        <f>IFERROR(__xludf.DUMMYFUNCTION("""COMPUTED_VALUE"""),"Dissolution test")</f>
        <v/>
      </c>
      <c r="F46" s="2">
        <f>IFERROR(__xludf.DUMMYFUNCTION("""COMPUTED_VALUE"""),"Disintegration")</f>
        <v/>
      </c>
      <c r="G46" s="2">
        <f>IFERROR(__xludf.DUMMYFUNCTION("""COMPUTED_VALUE"""),"Weight Variation")</f>
        <v/>
      </c>
      <c r="H46" s="2">
        <f>IFERROR(__xludf.DUMMYFUNCTION("""COMPUTED_VALUE"""),"Limulus Amoebocyte Lysate test")</f>
        <v/>
      </c>
      <c r="I46" s="2">
        <f>IFERROR(__xludf.DUMMYFUNCTION("""COMPUTED_VALUE"""),"5")</f>
        <v/>
      </c>
      <c r="J46" s="2">
        <f>IFERROR(__xludf.DUMMYFUNCTION("""COMPUTED_VALUE"""),"✅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เนื่องจากกลไ"&amp;"กการออกฤทธิ์,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ข้อนี้ไม่ใ"&amp;"ช่คำตอบที่ถูกต้องสำหรับภาวะ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หรือข้อบ่งใช"&amp;"้ไม่ตรงกับโจทย์ที่กำหนด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จุด"&amp;"จำก่อนสอบ: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วิเคราะห์สาเหตุและวิธีแก้ไข"&amp;"ปัญหา formulation defects เชิงสูตรตำรับ")</f>
        <v/>
      </c>
      <c r="K46" s="2" t="n"/>
      <c r="L46" s="2">
        <f>IFERROR(__xludf.DUMMYFUNCTION("""COMPUTED_VALUE"""),"Tablet Manufacturing")</f>
        <v/>
      </c>
      <c r="M46" s="2">
        <f>IFERROR(__xludf.DUMMYFUNCTION("""COMPUTED_VALUE"""),"Product")</f>
        <v/>
      </c>
      <c r="N46" s="2">
        <f>IFERROR(__xludf.DUMMYFUNCTION("""COMPUTED_VALUE"""),"ข้อ 153 Pharma Plus เล่มม่วง (เฉลยข้อ จ)")</f>
        <v/>
      </c>
      <c r="O46" s="2">
        <f>IFERROR(__xludf.DUMMYFUNCTION("""COMPUTED_VALUE"""),"Mock")</f>
        <v/>
      </c>
      <c r="P46" s="2">
        <f>IFERROR(__xludf.DUMMYFUNCTION("""COMPUTED_VALUE"""),"Pharma Plus เล่มม่วง")</f>
        <v/>
      </c>
    </row>
    <row r="47" ht="13.2" customHeight="1" s="37">
      <c r="A47" s="2">
        <f>IFERROR(__xludf.DUMMYFUNCTION("""COMPUTED_VALUE"""),"154")</f>
        <v/>
      </c>
      <c r="B47" s="2">
        <f>IFERROR(__xludf.DUMMYFUNCTION("""COMPUTED_VALUE"""),"สารทำ emulsion ที่ดีของยาครีม isotretinoin ควรมีคุณสมบัติ")</f>
        <v/>
      </c>
      <c r="C47" s="2" t="n"/>
      <c r="D47" s="2">
        <f>IFERROR(__xludf.DUMMYFUNCTION("""COMPUTED_VALUE"""),"ลดแรงตึงผิว")</f>
        <v/>
      </c>
      <c r="E47" s="2">
        <f>IFERROR(__xludf.DUMMYFUNCTION("""COMPUTED_VALUE"""),"เพิ่มความหนืดให้กับครีม")</f>
        <v/>
      </c>
      <c r="F47" s="2">
        <f>IFERROR(__xludf.DUMMYFUNCTION("""COMPUTED_VALUE"""),"ให้ศักย์ไฟฟ้าที่เหมาะสมเพื่อให้เกิดแรงผลักของหยด")</f>
        <v/>
      </c>
      <c r="G47" s="2">
        <f>IFERROR(__xludf.DUMMYFUNCTION("""COMPUTED_VALUE"""),"มีประสิทธิภาพความเข้มข้นต่ำ")</f>
        <v/>
      </c>
      <c r="H47" s="2">
        <f>IFERROR(__xludf.DUMMYFUNCTION("""COMPUTED_VALUE"""),"ถูกทุกข้อ")</f>
        <v/>
      </c>
      <c r="I47" s="2">
        <f>IFERROR(__xludf.DUMMYFUNCTION("""COMPUTED_VALUE"""),"5")</f>
        <v/>
      </c>
      <c r="J47" s="2">
        <f>IFERROR(__xludf.DUMMYFUNCTION("""COMPUTED_VALUE"""),"✅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คำอธิบายแล"&amp;"ะเหตุผลทางเภสัชกรรม: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ข"&amp;".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ข้อนี้ไม่ใช่คำตอบที่ถูกต้องสำหรับภา"&amp;"วะ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แม่นยำในบทบาทหน้าที่ข"&amp;"อง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7" s="2" t="n"/>
      <c r="L47" s="2">
        <f>IFERROR(__xludf.DUMMYFUNCTION("""COMPUTED_VALUE"""),"Tablet Manufacturing")</f>
        <v/>
      </c>
      <c r="M47" s="2">
        <f>IFERROR(__xludf.DUMMYFUNCTION("""COMPUTED_VALUE"""),"Product")</f>
        <v/>
      </c>
      <c r="N47" s="2">
        <f>IFERROR(__xludf.DUMMYFUNCTION("""COMPUTED_VALUE"""),"ข้อ 154 Pharma Plus เล่มม่วง (เฉลยข้อ จ)")</f>
        <v/>
      </c>
      <c r="O47" s="2">
        <f>IFERROR(__xludf.DUMMYFUNCTION("""COMPUTED_VALUE"""),"Mock")</f>
        <v/>
      </c>
      <c r="P47" s="2">
        <f>IFERROR(__xludf.DUMMYFUNCTION("""COMPUTED_VALUE"""),"Pharma Plus เล่มม่วง")</f>
        <v/>
      </c>
    </row>
    <row r="48" ht="13.2" customHeight="1" s="37">
      <c r="A48" s="2">
        <f>IFERROR(__xludf.DUMMYFUNCTION("""COMPUTED_VALUE"""),"155")</f>
        <v/>
      </c>
      <c r="B48" s="2">
        <f>IFERROR(__xludf.DUMMYFUNCTION("""COMPUTED_VALUE"""),"ยาในการตั้งตำรับรูปแบบเจล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f>
        <v/>
      </c>
      <c r="C48" s="2" t="n"/>
      <c r="D48" s="2">
        <f>IFERROR(__xludf.DUMMYFUNCTION("""COMPUTED_VALUE"""),"Sodium alginate, bentonite, methylcellulose")</f>
        <v/>
      </c>
      <c r="E48" s="2">
        <f>IFERROR(__xludf.DUMMYFUNCTION("""COMPUTED_VALUE"""),"Tragacanth, carbomer, methylcellulose")</f>
        <v/>
      </c>
      <c r="F48" s="2">
        <f>IFERROR(__xludf.DUMMYFUNCTION("""COMPUTED_VALUE"""),"Carbomer, methylcellulose, hydroxypropyl cellulose")</f>
        <v/>
      </c>
      <c r="G48" s="2">
        <f>IFERROR(__xludf.DUMMYFUNCTION("""COMPUTED_VALUE"""),"Pectin, guar gum, carbomer")</f>
        <v/>
      </c>
      <c r="H48" s="2">
        <f>IFERROR(__xludf.DUMMYFUNCTION("""COMPUTED_VALUE"""),"Tragacanth, carboxymethylcellulose, carbomer")</f>
        <v/>
      </c>
      <c r="I48" s="2">
        <f>IFERROR(__xludf.DUMMYFUNCTION("""COMPUTED_VALUE"""),"5")</f>
        <v/>
      </c>
      <c r="J48" s="2">
        <f>IFERROR(__xludf.DUMMYFUNCTION("""COMPUTED_VALUE"""),"✅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ตามม"&amp;"าตรฐาน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ข้อนี้ไม่ใช่คำตอบท"&amp;"ี่ถูกต้องสำหรับภาวะ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efficacy"&amp;"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gu"&amp;"m,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&lt;711"&amp;"&gt;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48" s="2" t="n"/>
      <c r="L48" s="2">
        <f>IFERROR(__xludf.DUMMYFUNCTION("""COMPUTED_VALUE"""),"Tablet Manufacturing")</f>
        <v/>
      </c>
      <c r="M48" s="2">
        <f>IFERROR(__xludf.DUMMYFUNCTION("""COMPUTED_VALUE"""),"Product")</f>
        <v/>
      </c>
      <c r="N48" s="2">
        <f>IFERROR(__xludf.DUMMYFUNCTION("""COMPUTED_VALUE"""),"ข้อ 155 Pharma Plus เล่มม่วง (เฉลยข้อ จ)")</f>
        <v/>
      </c>
      <c r="O48" s="2">
        <f>IFERROR(__xludf.DUMMYFUNCTION("""COMPUTED_VALUE"""),"Mock")</f>
        <v/>
      </c>
      <c r="P48" s="2">
        <f>IFERROR(__xludf.DUMMYFUNCTION("""COMPUTED_VALUE"""),"Pharma Plus เล่มม่วง")</f>
        <v/>
      </c>
    </row>
    <row r="49" ht="13.2" customHeight="1" s="37">
      <c r="A49" s="2">
        <f>IFERROR(__xludf.DUMMYFUNCTION("""COMPUTED_VALUE"""),"156")</f>
        <v/>
      </c>
      <c r="B49" s="2">
        <f>IFERROR(__xludf.DUMMYFUNCTION("""COMPUTED_VALUE"""),"หากตำรับ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f>
        <v/>
      </c>
      <c r="C49" s="2" t="n"/>
      <c r="D49" s="2">
        <f>IFERROR(__xludf.DUMMYFUNCTION("""COMPUTED_VALUE"""),"Mineral oil")</f>
        <v/>
      </c>
      <c r="E49" s="2">
        <f>IFERROR(__xludf.DUMMYFUNCTION("""COMPUTED_VALUE"""),"Carbopol")</f>
        <v/>
      </c>
      <c r="F49" s="2">
        <f>IFERROR(__xludf.DUMMYFUNCTION("""COMPUTED_VALUE"""),"White beeswax")</f>
        <v/>
      </c>
      <c r="G49" s="2">
        <f>IFERROR(__xludf.DUMMYFUNCTION("""COMPUTED_VALUE"""),"PEG 4000")</f>
        <v/>
      </c>
      <c r="H49" s="2">
        <f>IFERROR(__xludf.DUMMYFUNCTION("""COMPUTED_VALUE"""),"Glycerin")</f>
        <v/>
      </c>
      <c r="I49" s="2">
        <f>IFERROR(__xludf.DUMMYFUNCTION("""COMPUTED_VALUE"""),"3")</f>
        <v/>
      </c>
      <c r="J49" s="2">
        <f>IFERROR(__xludf.DUMMYFUNCTION("""COMPUTED_VALUE"""),"✅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Wh"&amp;"ite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หรือข้อบ่งใช้ไม่ตร"&amp;"งกับโจทย์ที่กำหนด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เนื่อง"&amp;"จากกลไกการออกฤทธิ์,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State"&amp;"s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Spe"&amp;"cs: จำเกณฑ์ pharmacopoeia limits สำหรับ stability, dissolution และ uniformity
• Defect Troubleshooting: วิเคราะห์สาเหตุและวิธีแก้ไขปัญหา formulation defects เชิงสูตรตำรับ")</f>
        <v/>
      </c>
      <c r="K49" s="2" t="n"/>
      <c r="L49" s="2">
        <f>IFERROR(__xludf.DUMMYFUNCTION("""COMPUTED_VALUE"""),"Tablet Manufacturing")</f>
        <v/>
      </c>
      <c r="M49" s="2">
        <f>IFERROR(__xludf.DUMMYFUNCTION("""COMPUTED_VALUE"""),"Product")</f>
        <v/>
      </c>
      <c r="N49" s="2">
        <f>IFERROR(__xludf.DUMMYFUNCTION("""COMPUTED_VALUE"""),"ข้อ 156 Pharma Plus เล่มม่วง (เฉลยข้อ ค)")</f>
        <v/>
      </c>
      <c r="O49" s="2">
        <f>IFERROR(__xludf.DUMMYFUNCTION("""COMPUTED_VALUE"""),"Mock")</f>
        <v/>
      </c>
      <c r="P49" s="2">
        <f>IFERROR(__xludf.DUMMYFUNCTION("""COMPUTED_VALUE"""),"Pharma Plus เล่มม่วง")</f>
        <v/>
      </c>
    </row>
    <row r="50" ht="13.2" customHeight="1" s="37">
      <c r="A50" s="2">
        <f>IFERROR(__xludf.DUMMYFUNCTION("""COMPUTED_VALUE"""),"163")</f>
        <v/>
      </c>
      <c r="B50" s="2">
        <f>IFERROR(__xludf.DUMMYFUNCTION("""COMPUTED_VALUE"""),"สาร polymer ตัวใดนิยมใช้ในการทำ film coat tablet")</f>
        <v/>
      </c>
      <c r="C50" s="2" t="n"/>
      <c r="D50" s="2">
        <f>IFERROR(__xludf.DUMMYFUNCTION("""COMPUTED_VALUE"""),"HPMC")</f>
        <v/>
      </c>
      <c r="E50" s="2">
        <f>IFERROR(__xludf.DUMMYFUNCTION("""COMPUTED_VALUE"""),"CMC")</f>
        <v/>
      </c>
      <c r="F50" s="2">
        <f>IFERROR(__xludf.DUMMYFUNCTION("""COMPUTED_VALUE"""),"Polymeric methacrylates")</f>
        <v/>
      </c>
      <c r="G50" s="2">
        <f>IFERROR(__xludf.DUMMYFUNCTION("""COMPUTED_VALUE"""),"Carbopol")</f>
        <v/>
      </c>
      <c r="H50" s="2">
        <f>IFERROR(__xludf.DUMMYFUNCTION("""COMPUTED_VALUE"""),"Veegum")</f>
        <v/>
      </c>
      <c r="I50" s="2">
        <f>IFERROR(__xludf.DUMMYFUNCTION("""COMPUTED_VALUE"""),"1")</f>
        <v/>
      </c>
      <c r="J50" s="2">
        <f>IFERROR(__xludf.DUMMYFUNCTION("""COMPUTED_VALUE"""),"✅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คำอ"&amp;"ธิบายและเหตุผลทางเภสัชกรรม: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แ"&amp;"ละ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(Polym"&amp;"eric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ห"&amp;"รือข้อบ่งใช้ไม่ตรงกับโจทย์ที่กำหนด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C"&amp;"hapters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0" s="2" t="n"/>
      <c r="L50" s="2">
        <f>IFERROR(__xludf.DUMMYFUNCTION("""COMPUTED_VALUE"""),"Tablet Coating")</f>
        <v/>
      </c>
      <c r="M50" s="2">
        <f>IFERROR(__xludf.DUMMYFUNCTION("""COMPUTED_VALUE"""),"Product")</f>
        <v/>
      </c>
      <c r="N50" s="2">
        <f>IFERROR(__xludf.DUMMYFUNCTION("""COMPUTED_VALUE"""),"ข้อ 163 Pharma Plus เล่มม่วง (เฉลยข้อ ก)")</f>
        <v/>
      </c>
      <c r="O50" s="2">
        <f>IFERROR(__xludf.DUMMYFUNCTION("""COMPUTED_VALUE"""),"Mock")</f>
        <v/>
      </c>
      <c r="P50" s="2">
        <f>IFERROR(__xludf.DUMMYFUNCTION("""COMPUTED_VALUE"""),"Pharma Plus เล่มม่วง")</f>
        <v/>
      </c>
    </row>
    <row r="51" ht="13.2" customHeight="1" s="37">
      <c r="A51" s="2">
        <f>IFERROR(__xludf.DUMMYFUNCTION("""COMPUTED_VALUE"""),"164")</f>
        <v/>
      </c>
      <c r="B51" s="2">
        <f>IFERROR(__xludf.DUMMYFUNCTION("""COMPUTED_VALUE"""),"ข้อใดกล่าวผิดเกี่ยวกับยารูปแบบเม็ด")</f>
        <v/>
      </c>
      <c r="C51" s="2" t="n"/>
      <c r="D51" s="2">
        <f>IFERROR(__xludf.DUMMYFUNCTION("""COMPUTED_VALUE"""),"การเตรียมยา solution ทำได้โดยการใช้ตัวทำละลายร่วมที่เป็น organic solvent เพื่อช่วยละลาย")</f>
        <v/>
      </c>
      <c r="E51" s="2">
        <f>IFERROR(__xludf.DUMMYFUNCTION("""COMPUTED_VALUE"""),"ยารูปแบบ solution มักมีค่าความต้านทานการไหลและแรงตึงผิวภายในสารละลายใกล้เคียงกับน้ำ")</f>
        <v/>
      </c>
      <c r="F51" s="2">
        <f>IFERROR(__xludf.DUMMYFUNCTION("""COMPUTED_VALUE"""),"Suspension ใช้เป็นยาฉีดเข้าหลอดเลือดได้ ถ้าขนาดอนุภาคเล็กมากๆ")</f>
        <v/>
      </c>
      <c r="G51" s="2">
        <f>IFERROR(__xludf.DUMMYFUNCTION("""COMPUTED_VALUE"""),"Emulsion ใช้เป็นอาหารทางหลอดเลือดดำได้แต่ควรเป็นการเตรียมใหม่ๆ")</f>
        <v/>
      </c>
      <c r="H51" s="2">
        <f>IFERROR(__xludf.DUMMYFUNCTION("""COMPUTED_VALUE"""),"การลดความเจ็บปวดเมื่อฉีดทำได้โดยเติมสารบางชนิดเช่น buffer")</f>
        <v/>
      </c>
      <c r="I51" s="2">
        <f>IFERROR(__xludf.DUMMYFUNCTION("""COMPUTED_VALUE"""),"1")</f>
        <v/>
      </c>
      <c r="J51" s="2">
        <f>IFERROR(__xludf.DUMMYFUNCTION("""COMPUTED_VALUE"""),"✅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"&amp;"tablet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ห้ามฉีดเข้าหลอดเ"&amp;"ลือดดำ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(ยารูป"&amp;"แบบ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ใช้เป็นยาฉีดเข้าหลอดเลื"&amp;"อดได้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ข้อนี้ไม่ใช่คำตอบที่"&amp;"ถูกต้องสำหรับภาวะ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เนื่องจากกลไกการ"&amp;"ออกฤทธิ์,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"&amp;"Pharmacy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Troubleshooti"&amp;"ng: วิเคราะห์สาเหตุและวิธีแก้ไขปัญหา formulation defects เชิงสูตรตำรับ")</f>
        <v/>
      </c>
      <c r="K51" s="2" t="n"/>
      <c r="L51" s="2">
        <f>IFERROR(__xludf.DUMMYFUNCTION("""COMPUTED_VALUE"""),"Tablet Manufacturing")</f>
        <v/>
      </c>
      <c r="M51" s="2">
        <f>IFERROR(__xludf.DUMMYFUNCTION("""COMPUTED_VALUE"""),"Product")</f>
        <v/>
      </c>
      <c r="N51" s="2">
        <f>IFERROR(__xludf.DUMMYFUNCTION("""COMPUTED_VALUE"""),"ข้อ 164 Pharma Plus เล่มม่วง (เฉลยข้อ ไมมีคำตอบ)")</f>
        <v/>
      </c>
      <c r="O51" s="2">
        <f>IFERROR(__xludf.DUMMYFUNCTION("""COMPUTED_VALUE"""),"Mock")</f>
        <v/>
      </c>
      <c r="P51" s="2">
        <f>IFERROR(__xludf.DUMMYFUNCTION("""COMPUTED_VALUE"""),"Pharma Plus เล่มม่วง")</f>
        <v/>
      </c>
    </row>
    <row r="52" ht="13.2" customHeight="1" s="37">
      <c r="A52" s="2">
        <f>IFERROR(__xludf.DUMMYFUNCTION("""COMPUTED_VALUE"""),"165")</f>
        <v/>
      </c>
      <c r="B52" s="2">
        <f>IFERROR(__xludf.DUMMYFUNCTION("""COMPUTED_VALUE"""),"ข้อใดถูกต้องที่สุดเกี่ยวกับ tonicity ของยาฉีด")</f>
        <v/>
      </c>
      <c r="C52" s="2" t="n"/>
      <c r="D52" s="2">
        <f>IFERROR(__xludf.DUMMYFUNCTION("""COMPUTED_VALUE"""),"จัดเป็น colligative property")</f>
        <v/>
      </c>
      <c r="E52" s="2">
        <f>IFERROR(__xludf.DUMMYFUNCTION("""COMPUTED_VALUE"""),"สามารถปรับได้โดยเติมสารบางชนิด เช่น phosphate acetate ซึ่งนิยมมาก")</f>
        <v/>
      </c>
      <c r="F52" s="2">
        <f>IFERROR(__xludf.DUMMYFUNCTION("""COMPUTED_VALUE"""),"การฉีด hypertonic solution ก่อให้เกิด cell lysis ได้")</f>
        <v/>
      </c>
      <c r="G52" s="2">
        <f>IFERROR(__xludf.DUMMYFUNCTION("""COMPUTED_VALUE"""),"การฉีดยา isotonic ต่อระบบเลือด มักเป็น isotonic ต่อเนื้อเยื่ออื่นด้วย")</f>
        <v/>
      </c>
      <c r="H52" s="2">
        <f>IFERROR(__xludf.DUMMYFUNCTION("""COMPUTED_VALUE"""),"Normal saline เป็นทั้ง isotonic และ iso-osmotic")</f>
        <v/>
      </c>
      <c r="I52" s="2">
        <f>IFERROR(__xludf.DUMMYFUNCTION("""COMPUTED_VALUE"""),"5")</f>
        <v/>
      </c>
      <c r="J52" s="2">
        <f>IFERROR(__xludf.DUMMYFUNCTION("""COMPUTED_VALUE"""),"✅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sa"&amp;"line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Pharmaco"&amp;"poeia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หร"&amp;"ือข้อบ่งใช้ไม่ตรงกับโจทย์ที่กำหนด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(การ"&amp;"ฉีด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ต่อเนื้อเยื่ออื"&amp;"่นด้วย):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Dis"&amp;"solution,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52" s="2" t="n"/>
      <c r="L52" s="2">
        <f>IFERROR(__xludf.DUMMYFUNCTION("""COMPUTED_VALUE"""),"Tablet Manufacturing")</f>
        <v/>
      </c>
      <c r="M52" s="2">
        <f>IFERROR(__xludf.DUMMYFUNCTION("""COMPUTED_VALUE"""),"Product")</f>
        <v/>
      </c>
      <c r="N52" s="2">
        <f>IFERROR(__xludf.DUMMYFUNCTION("""COMPUTED_VALUE"""),"ข้อ 165 Pharma Plus เล่มม่วง (เฉลยข้อ จ)")</f>
        <v/>
      </c>
      <c r="O52" s="2">
        <f>IFERROR(__xludf.DUMMYFUNCTION("""COMPUTED_VALUE"""),"Mock")</f>
        <v/>
      </c>
      <c r="P52" s="2">
        <f>IFERROR(__xludf.DUMMYFUNCTION("""COMPUTED_VALUE"""),"Pharma Plus เล่มม่วง")</f>
        <v/>
      </c>
    </row>
    <row r="53" ht="13.2" customHeight="1" s="37">
      <c r="A53" s="2">
        <f>IFERROR(__xludf.DUMMYFUNCTION("""COMPUTED_VALUE"""),"166")</f>
        <v/>
      </c>
      <c r="B53" s="2">
        <f>IFERROR(__xludf.DUMMYFUNCTION("""COMPUTED_VALUE"""),"การรักษาโรคมาลาเรีย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t"&amp;"etracycline 250 mg")</f>
        <v/>
      </c>
      <c r="C53" s="2" t="n"/>
      <c r="D53" s="2">
        <f>IFERROR(__xludf.DUMMYFUNCTION("""COMPUTED_VALUE"""),"Spray dried lactose")</f>
        <v/>
      </c>
      <c r="E53" s="2">
        <f>IFERROR(__xludf.DUMMYFUNCTION("""COMPUTED_VALUE"""),"Microcrystalline cellulose")</f>
        <v/>
      </c>
      <c r="F53" s="2">
        <f>IFERROR(__xludf.DUMMYFUNCTION("""COMPUTED_VALUE"""),"Tapioca starch")</f>
        <v/>
      </c>
      <c r="G53" s="2">
        <f>IFERROR(__xludf.DUMMYFUNCTION("""COMPUTED_VALUE"""),"Dibasic calcium phosphate")</f>
        <v/>
      </c>
      <c r="H53" s="2">
        <f>IFERROR(__xludf.DUMMYFUNCTION("""COMPUTED_VALUE"""),"Mannitol")</f>
        <v/>
      </c>
      <c r="I53" s="2">
        <f>IFERROR(__xludf.DUMMYFUNCTION("""COMPUTED_VALUE"""),"1")</f>
        <v/>
      </c>
      <c r="J53" s="2">
        <f>IFERROR(__xludf.DUMMYFUNCTION("""COMPUTED_VALUE"""),"✅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l"&amp;"actose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ย"&amp;"อดนิยม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🔍"&amp;"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ข้อนี้ไม่ใช่คำตอบที่ถูกต้องสำ"&amp;"หรับภาวะ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หรือข้"&amp;"อบ่งใช้ไม่ตรงกับโจทย์ที่กำหนด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"&amp;"(USP-NF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53" s="2" t="n"/>
      <c r="L53" s="2">
        <f>IFERROR(__xludf.DUMMYFUNCTION("""COMPUTED_VALUE"""),"Hard &amp; Soft Gelatin Capsules")</f>
        <v/>
      </c>
      <c r="M53" s="2">
        <f>IFERROR(__xludf.DUMMYFUNCTION("""COMPUTED_VALUE"""),"Product")</f>
        <v/>
      </c>
      <c r="N53" s="2">
        <f>IFERROR(__xludf.DUMMYFUNCTION("""COMPUTED_VALUE"""),"ข้อ 166 Pharma Plus เล่มม่วง (เฉลยข้อ ก)")</f>
        <v/>
      </c>
      <c r="O53" s="2">
        <f>IFERROR(__xludf.DUMMYFUNCTION("""COMPUTED_VALUE"""),"Mock")</f>
        <v/>
      </c>
      <c r="P53" s="2">
        <f>IFERROR(__xludf.DUMMYFUNCTION("""COMPUTED_VALUE"""),"Pharma Plus เล่มม่วง")</f>
        <v/>
      </c>
    </row>
    <row r="54" ht="13.2" customHeight="1" s="37">
      <c r="A54" s="2">
        <f>IFERROR(__xludf.DUMMYFUNCTION("""COMPUTED_VALUE"""),"167")</f>
        <v/>
      </c>
      <c r="B54" s="2">
        <f>IFERROR(__xludf.DUMMYFUNCTION("""COMPUTED_VALUE"""),"โรงงานผลิตยาแห่งหนึ่งใช้เครื่องบรรจุแคปซูลกึ่งอัตโนมัติ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ควรมีคุณสมบัติท"&amp;"ี่สำคัญดังต่อไปนี้ ยกเว้น")</f>
        <v/>
      </c>
      <c r="C54" s="2" t="n"/>
      <c r="D54" s="2">
        <f>IFERROR(__xludf.DUMMYFUNCTION("""COMPUTED_VALUE"""),"ผงยามีการกระจายขนาดอนุภาคในช่วงแคบ")</f>
        <v/>
      </c>
      <c r="E54" s="2">
        <f>IFERROR(__xludf.DUMMYFUNCTION("""COMPUTED_VALUE"""),"ผงยามีค่า angle of repose ต่ำ")</f>
        <v/>
      </c>
      <c r="F54" s="2">
        <f>IFERROR(__xludf.DUMMYFUNCTION("""COMPUTED_VALUE"""),"สารเจือจางมีความหนาแน่นใกล้เคียงตัวยาสำคัญ")</f>
        <v/>
      </c>
      <c r="G54" s="2">
        <f>IFERROR(__xludf.DUMMYFUNCTION("""COMPUTED_VALUE"""),"ปริมาณของตัวยาและสารช่วยรวมกัน ควรบรรจุขอบ body ของเปลือก capsule ได้เต็มหรือเกือบเต็ม")</f>
        <v/>
      </c>
      <c r="H54" s="2">
        <f>IFERROR(__xludf.DUMMYFUNCTION("""COMPUTED_VALUE"""),"สารช่วยการไหลที่ใช้มีคุณสมบัติเป็น true lubricant มากกว่า glidant")</f>
        <v/>
      </c>
      <c r="I54" s="2">
        <f>IFERROR(__xludf.DUMMYFUNCTION("""COMPUTED_VALUE"""),"5")</f>
        <v/>
      </c>
      <c r="J54" s="2">
        <f>IFERROR(__xludf.DUMMYFUNCTION("""COMPUTED_VALUE"""),"✅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"&amp;"ให้เหมาะสม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จึงต้องการสารช่วยการไหลที่มีคุณสม"&amp;"บัติเป็น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(ผงยามีการกระจายขนาดอนุภาคในช่วง"&amp;"แคบ):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เน"&amp;"ื่องจากกลไกการออกฤทธิ์,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หรือข้อบ่งใช้ไม่ตรงกับโจทย์ที"&amp;"่กำหนด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Guideli"&amp;"ne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(diluen"&amp;"t,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4" s="2" t="n"/>
      <c r="L54" s="2">
        <f>IFERROR(__xludf.DUMMYFUNCTION("""COMPUTED_VALUE"""),"Hard &amp; Soft Gelatin Capsules")</f>
        <v/>
      </c>
      <c r="M54" s="2">
        <f>IFERROR(__xludf.DUMMYFUNCTION("""COMPUTED_VALUE"""),"Product")</f>
        <v/>
      </c>
      <c r="N54" s="2">
        <f>IFERROR(__xludf.DUMMYFUNCTION("""COMPUTED_VALUE"""),"ข้อ 167 Pharma Plus เล่มม่วง (เฉลยข้อ จ)")</f>
        <v/>
      </c>
      <c r="O54" s="2">
        <f>IFERROR(__xludf.DUMMYFUNCTION("""COMPUTED_VALUE"""),"Mock")</f>
        <v/>
      </c>
      <c r="P54" s="2">
        <f>IFERROR(__xludf.DUMMYFUNCTION("""COMPUTED_VALUE"""),"Pharma Plus เล่มม่วง")</f>
        <v/>
      </c>
    </row>
    <row r="55" ht="13.2" customHeight="1" s="37">
      <c r="A55" s="2">
        <f>IFERROR(__xludf.DUMMYFUNCTION("""COMPUTED_VALUE"""),"168")</f>
        <v/>
      </c>
      <c r="B55" s="2">
        <f>IFERROR(__xludf.DUMMYFUNCTION("""COMPUTED_VALUE"""),"ตำรับ aspirin suspension ที่เตรียมแล้วพบว่า เมื่อตั้งทิ้งไว้เป็นก้อนแข็ง เรียกปรากฏการณ์นี้ว่า")</f>
        <v/>
      </c>
      <c r="C55" s="2" t="n"/>
      <c r="D55" s="2">
        <f>IFERROR(__xludf.DUMMYFUNCTION("""COMPUTED_VALUE"""),"Flocculation")</f>
        <v/>
      </c>
      <c r="E55" s="2">
        <f>IFERROR(__xludf.DUMMYFUNCTION("""COMPUTED_VALUE"""),"Lamination")</f>
        <v/>
      </c>
      <c r="F55" s="2">
        <f>IFERROR(__xludf.DUMMYFUNCTION("""COMPUTED_VALUE"""),"Creaming")</f>
        <v/>
      </c>
      <c r="G55" s="2">
        <f>IFERROR(__xludf.DUMMYFUNCTION("""COMPUTED_VALUE"""),"Coalescence")</f>
        <v/>
      </c>
      <c r="H55" s="2">
        <f>IFERROR(__xludf.DUMMYFUNCTION("""COMPUTED_VALUE"""),"Caking")</f>
        <v/>
      </c>
      <c r="I55" s="2">
        <f>IFERROR(__xludf.DUMMYFUNCTION("""COMPUTED_VALUE"""),"5")</f>
        <v/>
      </c>
      <c r="J55"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The"&amp;"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(L"&amp;"amination):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efficac"&amp;"y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2"&amp;"024)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pharmacopoei"&amp;"a limits สำหรับ stability, dissolution และ uniformity
• Defect Troubleshooting: วิเคราะห์สาเหตุและวิธีแก้ไขปัญหา formulation defects เชิงสูตรตำรับ")</f>
        <v/>
      </c>
      <c r="K55" s="2" t="n"/>
      <c r="L55" s="2">
        <f>IFERROR(__xludf.DUMMYFUNCTION("""COMPUTED_VALUE"""),"Tablet Manufacturing")</f>
        <v/>
      </c>
      <c r="M55" s="2">
        <f>IFERROR(__xludf.DUMMYFUNCTION("""COMPUTED_VALUE"""),"Product")</f>
        <v/>
      </c>
      <c r="N55" s="2">
        <f>IFERROR(__xludf.DUMMYFUNCTION("""COMPUTED_VALUE"""),"ข้อ 168 Pharma Plus เล่มม่วง (เฉลยข้อ จ)")</f>
        <v/>
      </c>
      <c r="O55" s="2">
        <f>IFERROR(__xludf.DUMMYFUNCTION("""COMPUTED_VALUE"""),"Mock")</f>
        <v/>
      </c>
      <c r="P55" s="2">
        <f>IFERROR(__xludf.DUMMYFUNCTION("""COMPUTED_VALUE"""),"Pharma Plus เล่มม่วง")</f>
        <v/>
      </c>
    </row>
    <row r="56" ht="13.2" customHeight="1" s="37">
      <c r="A56" s="2">
        <f>IFERROR(__xludf.DUMMYFUNCTION("""COMPUTED_VALUE"""),"180")</f>
        <v/>
      </c>
      <c r="B56" s="2">
        <f>IFERROR(__xludf.DUMMYFUNCTION("""COMPUTED_VALUE"""),"ทำ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f>
        <v/>
      </c>
      <c r="C56" s="2" t="n"/>
      <c r="D56" s="2">
        <f>IFERROR(__xludf.DUMMYFUNCTION("""COMPUTED_VALUE"""),"ผ่านการทดสอบใน S1 ทั้งหกเม็ด")</f>
        <v/>
      </c>
      <c r="E56" s="2">
        <f>IFERROR(__xludf.DUMMYFUNCTION("""COMPUTED_VALUE"""),"มี 3 เม็ดไม่ผ่านการทดสอบใน S1")</f>
        <v/>
      </c>
      <c r="F56" s="2">
        <f>IFERROR(__xludf.DUMMYFUNCTION("""COMPUTED_VALUE"""),"มี 1 เม็ดไม่ผ่านการทดสอบใน S1")</f>
        <v/>
      </c>
      <c r="G56" s="2">
        <f>IFERROR(__xludf.DUMMYFUNCTION("""COMPUTED_VALUE"""),"ต้องทำการทดสอบเพิ่มอีก 12 เม็ด")</f>
        <v/>
      </c>
      <c r="H56" s="2">
        <f>IFERROR(__xludf.DUMMYFUNCTION("""COMPUTED_VALUE"""),"มี 4 เม็ดไม่ผ่านการทดสอบ")</f>
        <v/>
      </c>
      <c r="I56" s="2">
        <f>IFERROR(__xludf.DUMMYFUNCTION("""COMPUTED_VALUE"""),"1")</f>
        <v/>
      </c>
      <c r="J56" s="2">
        <f>IFERROR(__xludf.DUMMYFUNCTION("""COMPUTED_VALUE"""),"✅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8"&amp;"5%)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Manufacturi"&amp;"ng)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ข้อนี้ไม่ใช่"&amp;"คำตอบที่ถูกต้องสำหรับภาวะ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"&amp;"หรือข้อบ่งใช้ไม่ตรงกับโจทย์ที่กำหนด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Pharmacopei"&amp;"a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disinte"&amp;"grant,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6" s="2" t="n"/>
      <c r="L56" s="2">
        <f>IFERROR(__xludf.DUMMYFUNCTION("""COMPUTED_VALUE"""),"Tablet Manufacturing")</f>
        <v/>
      </c>
      <c r="M56" s="2">
        <f>IFERROR(__xludf.DUMMYFUNCTION("""COMPUTED_VALUE"""),"Product")</f>
        <v/>
      </c>
      <c r="N56" s="2">
        <f>IFERROR(__xludf.DUMMYFUNCTION("""COMPUTED_VALUE"""),"ข้อ 180 Pharma Plus เล่มม่วง (เฉลยข้อ )")</f>
        <v/>
      </c>
      <c r="O56" s="2">
        <f>IFERROR(__xludf.DUMMYFUNCTION("""COMPUTED_VALUE"""),"Mock")</f>
        <v/>
      </c>
      <c r="P56" s="2">
        <f>IFERROR(__xludf.DUMMYFUNCTION("""COMPUTED_VALUE"""),"Pharma Plus เล่มม่วง")</f>
        <v/>
      </c>
    </row>
    <row r="57" ht="13.2" customHeight="1" s="37">
      <c r="A57" s="2">
        <f>IFERROR(__xludf.DUMMYFUNCTION("""COMPUTED_VALUE"""),"181")</f>
        <v/>
      </c>
      <c r="B57" s="2">
        <f>IFERROR(__xludf.DUMMYFUNCTION("""COMPUTED_VALUE"""),"ยาของบริษัทใดมีความสามารถในการละลายน้ำที่ดีกว่ากัน")</f>
        <v/>
      </c>
      <c r="C57" s="2" t="n"/>
      <c r="D57" s="2">
        <f>IFERROR(__xludf.DUMMYFUNCTION("""COMPUTED_VALUE"""),"ยาของบริษัท A ละลายน้ำได้ดีกว่า บริษัท B เนื่องจากมี lactose ทำให้ละลายน้ำได้ดีกว่า")</f>
        <v/>
      </c>
      <c r="E57" s="2">
        <f>IFERROR(__xludf.DUMMYFUNCTION("""COMPUTED_VALUE"""),"ยาของบริษัท A ละลายน้ำได้ดีกว่า บริษัท B เนื่องจากมีปริมาณ magnesium stearate มากกว่า")</f>
        <v/>
      </c>
      <c r="F57" s="2">
        <f>IFERROR(__xludf.DUMMYFUNCTION("""COMPUTED_VALUE"""),"ยาของบริษัท B ละลายน้ำได้ดีกว่า บริษัท A เนื่องจากมี microcrystalline cellulose ช่วยในการละลาย")</f>
        <v/>
      </c>
      <c r="G57" s="2">
        <f>IFERROR(__xludf.DUMMYFUNCTION("""COMPUTED_VALUE"""),"ยาของบริษัท B ละลายน้ำได้ดีกว่า บริษัท A เนื่องจากมี sodium lauryl sulfate เป็น wetting agent")</f>
        <v/>
      </c>
      <c r="H57" s="2">
        <f>IFERROR(__xludf.DUMMYFUNCTION("""COMPUTED_VALUE"""),"ยาของบริษัท A และ B ละลายน้ำได้เท่ากันเนื่องจากยา allopurinol มีคุณสมบัติละลายน้ำได้น้อยอยู่แล้ว")</f>
        <v/>
      </c>
      <c r="I57" s="2">
        <f>IFERROR(__xludf.DUMMYFUNCTION("""COMPUTED_VALUE"""),"1")</f>
        <v/>
      </c>
      <c r="J57" s="2">
        <f>IFERROR(__xludf.DUMMYFUNCTION("""COMPUTED_VALUE"""),"✅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tabl"&amp;"et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ทำหน้าท"&amp;"ี่เป็น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U"&amp;"SP/NF,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lu"&amp;"bricant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ข้อนี้ไม่ใช่คำต"&amp;"อบที่ถูกต้องสำหรับภาวะ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ข้อนี้ไม่ใช่คำตอบที่ถูกต้องสำหรับภ"&amp;"าวะ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Urate-Lower"&amp;"ing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Vi"&amp;"vo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"&amp;"limits สำหรับ stability, dissolution และ uniformity
• Defect Troubleshooting: วิเคราะห์สาเหตุและวิธีแก้ไขปัญหา formulation defects เชิงสูตรตำรับ")</f>
        <v/>
      </c>
      <c r="K57" s="2" t="n"/>
      <c r="L57" s="2">
        <f>IFERROR(__xludf.DUMMYFUNCTION("""COMPUTED_VALUE"""),"Tablet Manufacturing")</f>
        <v/>
      </c>
      <c r="M57" s="2">
        <f>IFERROR(__xludf.DUMMYFUNCTION("""COMPUTED_VALUE"""),"Product")</f>
        <v/>
      </c>
      <c r="N57" s="2">
        <f>IFERROR(__xludf.DUMMYFUNCTION("""COMPUTED_VALUE"""),"ข้อ 181 Pharma Plus เล่มม่วง (เฉลยข้อ )")</f>
        <v/>
      </c>
      <c r="O57" s="2">
        <f>IFERROR(__xludf.DUMMYFUNCTION("""COMPUTED_VALUE"""),"Mock")</f>
        <v/>
      </c>
      <c r="P57" s="2">
        <f>IFERROR(__xludf.DUMMYFUNCTION("""COMPUTED_VALUE"""),"Pharma Plus เล่มม่วง")</f>
        <v/>
      </c>
    </row>
    <row r="58" ht="13.2" customHeight="1" s="37">
      <c r="A58" s="2">
        <f>IFERROR(__xludf.DUMMYFUNCTION("""COMPUTED_VALUE"""),"182")</f>
        <v/>
      </c>
      <c r="B58" s="2">
        <f>IFERROR(__xludf.DUMMYFUNCTION("""COMPUTED_VALUE"""),"ยาเม็ดคุมกำเนิด ไม่ต้องทำการทดสอบตัวข้อใด (ตามมาตรฐานของ USP)")</f>
        <v/>
      </c>
      <c r="C58" s="2" t="n"/>
      <c r="D58" s="2">
        <f>IFERROR(__xludf.DUMMYFUNCTION("""COMPUTED_VALUE"""),"Dissolution")</f>
        <v/>
      </c>
      <c r="E58" s="2">
        <f>IFERROR(__xludf.DUMMYFUNCTION("""COMPUTED_VALUE"""),"Hardness")</f>
        <v/>
      </c>
      <c r="F58" s="2">
        <f>IFERROR(__xludf.DUMMYFUNCTION("""COMPUTED_VALUE"""),"Disintegration")</f>
        <v/>
      </c>
      <c r="G58" s="2">
        <f>IFERROR(__xludf.DUMMYFUNCTION("""COMPUTED_VALUE"""),"Content of Uniformity")</f>
        <v/>
      </c>
      <c r="H58" s="2">
        <f>IFERROR(__xludf.DUMMYFUNCTION("""COMPUTED_VALUE"""),"Percent labeled amount")</f>
        <v/>
      </c>
      <c r="I58" s="2">
        <f>IFERROR(__xludf.DUMMYFUNCTION("""COMPUTED_VALUE"""),"2")</f>
        <v/>
      </c>
      <c r="J58" s="2">
        <f>IFERROR(__xludf.DUMMYFUNCTION("""COMPUTED_VALUE"""),"✅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Hardnes"&amp;"s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ไม่มีกำหนดเป็นมาตรฐานบังคับอย่างเป็นทา"&amp;"งการใน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"&amp;"เนื่องจากกลไกการออกฤทธิ์,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Unifor"&amp;"mity):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เนื่องจากกลไกการออกฤทธิ์"&amp;",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Pharmacy"&amp;"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58" s="2" t="n"/>
      <c r="L58" s="2">
        <f>IFERROR(__xludf.DUMMYFUNCTION("""COMPUTED_VALUE"""),"Tablet Manufacturing")</f>
        <v/>
      </c>
      <c r="M58" s="2">
        <f>IFERROR(__xludf.DUMMYFUNCTION("""COMPUTED_VALUE"""),"Product")</f>
        <v/>
      </c>
      <c r="N58" s="2">
        <f>IFERROR(__xludf.DUMMYFUNCTION("""COMPUTED_VALUE"""),"ข้อ 182 Pharma Plus เล่มม่วง (เฉลยข้อ ข)")</f>
        <v/>
      </c>
      <c r="O58" s="2">
        <f>IFERROR(__xludf.DUMMYFUNCTION("""COMPUTED_VALUE"""),"Mock")</f>
        <v/>
      </c>
      <c r="P58" s="2">
        <f>IFERROR(__xludf.DUMMYFUNCTION("""COMPUTED_VALUE"""),"Pharma Plus เล่มม่วง")</f>
        <v/>
      </c>
    </row>
    <row r="59" ht="13.2" customHeight="1" s="37">
      <c r="A59" s="2">
        <f>IFERROR(__xludf.DUMMYFUNCTION("""COMPUTED_VALUE"""),"183")</f>
        <v/>
      </c>
      <c r="B59" s="2">
        <f>IFERROR(__xludf.DUMMYFUNCTION("""COMPUTED_VALUE"""),"ข้อใดผิดเกี่ยวกับการเตรียมยาเม็ดด้วยวิธีตอกอัดโดยตรง")</f>
        <v/>
      </c>
      <c r="C59" s="2" t="n"/>
      <c r="D59" s="2">
        <f>IFERROR(__xludf.DUMMYFUNCTION("""COMPUTED_VALUE"""),"เป็นวิธีที่สะดวกรวดเร็ว")</f>
        <v/>
      </c>
      <c r="E59" s="2">
        <f>IFERROR(__xludf.DUMMYFUNCTION("""COMPUTED_VALUE"""),"ไม่ใช้น้ำและความร้อนในการตอก")</f>
        <v/>
      </c>
      <c r="F59" s="2">
        <f>IFERROR(__xludf.DUMMYFUNCTION("""COMPUTED_VALUE"""),"ยาเม็ดที่ได้มีการกระจายของสีที่สม่ำเสมอกว่าการทำแกรนูลเปียก")</f>
        <v/>
      </c>
      <c r="G59" s="2">
        <f>IFERROR(__xludf.DUMMYFUNCTION("""COMPUTED_VALUE"""),"ยาที่ตอกควรมีคุณสมบัติในการไหลและยึดเกาะกันได้ดี")</f>
        <v/>
      </c>
      <c r="H59" s="2">
        <f>IFERROR(__xludf.DUMMYFUNCTION("""COMPUTED_VALUE"""),"สารช่วยควรไหลได้ดีและตอกอัดได้")</f>
        <v/>
      </c>
      <c r="I59" s="2">
        <f>IFERROR(__xludf.DUMMYFUNCTION("""COMPUTED_VALUE"""),"3")</f>
        <v/>
      </c>
      <c r="J59" s="2">
        <f>IFERROR(__xludf.DUMMYFUNCTION("""COMPUTED_VALUE"""),"✅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dissol"&amp;"ution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segr"&amp;"egation)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(เป็นวิ"&amp;"ธีที่สะดวกรวดเร็ว):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เนื่อ"&amp;"งจากกลไกการออกฤทธิ์,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หรือข้อบ่งใช้ไม่ตรงกับโจทย์ที่กำหน"&amp;"ด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Chap"&amp;"ters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lubr"&amp;"icant)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9" s="2" t="n"/>
      <c r="L59" s="2">
        <f>IFERROR(__xludf.DUMMYFUNCTION("""COMPUTED_VALUE"""),"Tablet Manufacturing")</f>
        <v/>
      </c>
      <c r="M59" s="2">
        <f>IFERROR(__xludf.DUMMYFUNCTION("""COMPUTED_VALUE"""),"Product")</f>
        <v/>
      </c>
      <c r="N59" s="2">
        <f>IFERROR(__xludf.DUMMYFUNCTION("""COMPUTED_VALUE"""),"ข้อ 183 Pharma Plus เล่มม่วง (เฉลยข้อ ค)")</f>
        <v/>
      </c>
      <c r="O59" s="2">
        <f>IFERROR(__xludf.DUMMYFUNCTION("""COMPUTED_VALUE"""),"Mock")</f>
        <v/>
      </c>
      <c r="P59" s="2">
        <f>IFERROR(__xludf.DUMMYFUNCTION("""COMPUTED_VALUE"""),"Pharma Plus เล่มม่วง")</f>
        <v/>
      </c>
    </row>
    <row r="60" ht="13.2" customHeight="1" s="37">
      <c r="A60" s="2">
        <f>IFERROR(__xludf.DUMMYFUNCTION("""COMPUTED_VALUE"""),"184")</f>
        <v/>
      </c>
      <c r="B60" s="2">
        <f>IFERROR(__xludf.DUMMYFUNCTION("""COMPUTED_VALUE"""),"การเตรียม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f>
        <v/>
      </c>
      <c r="C60" s="2" t="n"/>
      <c r="D60" s="2">
        <f>IFERROR(__xludf.DUMMYFUNCTION("""COMPUTED_VALUE"""),"Cosolvency")</f>
        <v/>
      </c>
      <c r="E60" s="2">
        <f>IFERROR(__xludf.DUMMYFUNCTION("""COMPUTED_VALUE"""),"Complexation")</f>
        <v/>
      </c>
      <c r="F60" s="2">
        <f>IFERROR(__xludf.DUMMYFUNCTION("""COMPUTED_VALUE"""),"Micelle")</f>
        <v/>
      </c>
      <c r="G60" s="2">
        <f>IFERROR(__xludf.DUMMYFUNCTION("""COMPUTED_VALUE"""),"Liposome")</f>
        <v/>
      </c>
      <c r="H60" s="2">
        <f>IFERROR(__xludf.DUMMYFUNCTION("""COMPUTED_VALUE"""),"Crystallization")</f>
        <v/>
      </c>
      <c r="I60" s="2">
        <f>IFERROR(__xludf.DUMMYFUNCTION("""COMPUTED_VALUE"""),"1")</f>
        <v/>
      </c>
      <c r="J60"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Bri"&amp;"tish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หรือข"&amp;"้อบ่งใช้ไม่ตรงกับโจทย์ที่กำหนด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Manufact"&amp;"uring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แม่นยำในบทบ"&amp;"าทหน้าที่ของ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0" s="2" t="n"/>
      <c r="L60" s="2">
        <f>IFERROR(__xludf.DUMMYFUNCTION("""COMPUTED_VALUE"""),"Tablet Manufacturing")</f>
        <v/>
      </c>
      <c r="M60" s="2">
        <f>IFERROR(__xludf.DUMMYFUNCTION("""COMPUTED_VALUE"""),"Product")</f>
        <v/>
      </c>
      <c r="N60" s="2">
        <f>IFERROR(__xludf.DUMMYFUNCTION("""COMPUTED_VALUE"""),"ข้อ 184 Pharma Plus เล่มม่วง (เฉลยข้อ ก)")</f>
        <v/>
      </c>
      <c r="O60" s="2">
        <f>IFERROR(__xludf.DUMMYFUNCTION("""COMPUTED_VALUE"""),"Mock")</f>
        <v/>
      </c>
      <c r="P60" s="2">
        <f>IFERROR(__xludf.DUMMYFUNCTION("""COMPUTED_VALUE"""),"Pharma Plus เล่มม่วง")</f>
        <v/>
      </c>
    </row>
    <row r="61" ht="13.2" customHeight="1" s="37">
      <c r="A61" s="2">
        <f>IFERROR(__xludf.DUMMYFUNCTION("""COMPUTED_VALUE"""),"185")</f>
        <v/>
      </c>
      <c r="B61" s="2">
        <f>IFERROR(__xludf.DUMMYFUNCTION("""COMPUTED_VALUE"""),"ต้องการเตรียมยา Topical Clotrimazole มีส่วนประกอบในตำรับ ได้แก่ Ethyl alcohol, propylene glycol, PEG400, purified water, Lavender oil ใช้วิธีใดในการทำให้เป็นสารละลายใส")</f>
        <v/>
      </c>
      <c r="C61" s="2" t="n"/>
      <c r="D61" s="2">
        <f>IFERROR(__xludf.DUMMYFUNCTION("""COMPUTED_VALUE"""),"Cosolvency")</f>
        <v/>
      </c>
      <c r="E61" s="2">
        <f>IFERROR(__xludf.DUMMYFUNCTION("""COMPUTED_VALUE"""),"pH adjustment")</f>
        <v/>
      </c>
      <c r="F61" s="2">
        <f>IFERROR(__xludf.DUMMYFUNCTION("""COMPUTED_VALUE"""),"Complexation")</f>
        <v/>
      </c>
      <c r="G61" s="2">
        <f>IFERROR(__xludf.DUMMYFUNCTION("""COMPUTED_VALUE"""),"Prodrug formation")</f>
        <v/>
      </c>
      <c r="H61" s="2">
        <f>IFERROR(__xludf.DUMMYFUNCTION("""COMPUTED_VALUE"""),"Micelle solubilization")</f>
        <v/>
      </c>
      <c r="I61" s="2">
        <f>IFERROR(__xludf.DUMMYFUNCTION("""COMPUTED_VALUE"""),"1")</f>
        <v/>
      </c>
      <c r="J61"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(p"&amp;"olarity)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เนื่อ"&amp;"งจากกลไกการออกฤทธิ์,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ข้อน"&amp;"ี้ไม่ใช่คำตอบที่ถูกต้องสำหรับภาวะ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"&amp;"หรือข้อบ่งใช้ไม่ตรงกับโจทย์ที่กำหนด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Edit"&amp;"ion)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วิเคราะห์สาเหตุ"&amp;"และวิธีแก้ไขปัญหา formulation defects เชิงสูตรตำรับ")</f>
        <v/>
      </c>
      <c r="K61" s="2" t="n"/>
      <c r="L61" s="2">
        <f>IFERROR(__xludf.DUMMYFUNCTION("""COMPUTED_VALUE"""),"Tablet Manufacturing")</f>
        <v/>
      </c>
      <c r="M61" s="2">
        <f>IFERROR(__xludf.DUMMYFUNCTION("""COMPUTED_VALUE"""),"Product")</f>
        <v/>
      </c>
      <c r="N61" s="2">
        <f>IFERROR(__xludf.DUMMYFUNCTION("""COMPUTED_VALUE"""),"ข้อ 185 Pharma Plus เล่มม่วง (เฉลยข้อ ก)")</f>
        <v/>
      </c>
      <c r="O61" s="2">
        <f>IFERROR(__xludf.DUMMYFUNCTION("""COMPUTED_VALUE"""),"Mock")</f>
        <v/>
      </c>
      <c r="P61" s="2">
        <f>IFERROR(__xludf.DUMMYFUNCTION("""COMPUTED_VALUE"""),"Pharma Plus เล่มม่วง")</f>
        <v/>
      </c>
    </row>
    <row r="62" ht="13.2" customHeight="1" s="37">
      <c r="A62" s="2">
        <f>IFERROR(__xludf.DUMMYFUNCTION("""COMPUTED_VALUE"""),"186")</f>
        <v/>
      </c>
      <c r="B62" s="2">
        <f>IFERROR(__xludf.DUMMYFUNCTION("""COMPUTED_VALUE"""),"เภสัชกรเตรียมเป็นอิมัลชัน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f>
        <v/>
      </c>
      <c r="C62" s="2" t="n"/>
      <c r="D62" s="2">
        <f>IFERROR(__xludf.DUMMYFUNCTION("""COMPUTED_VALUE"""),"Caking")</f>
        <v/>
      </c>
      <c r="E62" s="2">
        <f>IFERROR(__xludf.DUMMYFUNCTION("""COMPUTED_VALUE"""),"Cracking")</f>
        <v/>
      </c>
      <c r="F62" s="2">
        <f>IFERROR(__xludf.DUMMYFUNCTION("""COMPUTED_VALUE"""),"Bleeding")</f>
        <v/>
      </c>
      <c r="G62" s="2">
        <f>IFERROR(__xludf.DUMMYFUNCTION("""COMPUTED_VALUE"""),"Creaming")</f>
        <v/>
      </c>
      <c r="H62" s="2">
        <f>IFERROR(__xludf.DUMMYFUNCTION("""COMPUTED_VALUE"""),"Phase inversion")</f>
        <v/>
      </c>
      <c r="I62" s="2">
        <f>IFERROR(__xludf.DUMMYFUNCTION("""COMPUTED_VALUE"""),"2")</f>
        <v/>
      </c>
      <c r="J62" s="2">
        <f>IFERROR(__xludf.DUMMYFUNCTION("""COMPUTED_VALUE"""),"✅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Crackin"&amp;"g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USP/N"&amp;"F,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หรือข"&amp;"้อบ่งใช้ไม่ตรงกับโจทย์ที่กำหนด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Manufac"&amp;"turing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2" s="2" t="n"/>
      <c r="L62" s="2">
        <f>IFERROR(__xludf.DUMMYFUNCTION("""COMPUTED_VALUE"""),"Tablet Manufacturing")</f>
        <v/>
      </c>
      <c r="M62" s="2">
        <f>IFERROR(__xludf.DUMMYFUNCTION("""COMPUTED_VALUE"""),"Product")</f>
        <v/>
      </c>
      <c r="N62" s="2">
        <f>IFERROR(__xludf.DUMMYFUNCTION("""COMPUTED_VALUE"""),"ข้อ 186 Pharma Plus เล่มม่วง (เฉลยข้อ ข)")</f>
        <v/>
      </c>
      <c r="O62" s="2">
        <f>IFERROR(__xludf.DUMMYFUNCTION("""COMPUTED_VALUE"""),"Mock")</f>
        <v/>
      </c>
      <c r="P62" s="2">
        <f>IFERROR(__xludf.DUMMYFUNCTION("""COMPUTED_VALUE"""),"Pharma Plus เล่มม่วง")</f>
        <v/>
      </c>
    </row>
    <row r="63" ht="13.2" customHeight="1" s="37">
      <c r="A63" s="2">
        <f>IFERROR(__xludf.DUMMYFUNCTION("""COMPUTED_VALUE"""),"187")</f>
        <v/>
      </c>
      <c r="B63" s="2">
        <f>IFERROR(__xludf.DUMMYFUNCTION("""COMPUTED_VALUE"""),"มีสูตรตำรับโลชั่นพริก เกิดแยกตัว เขย่าไม่กลับคืนเกิดจากสาเหตุใดได้")</f>
        <v/>
      </c>
      <c r="C63" s="2" t="n"/>
      <c r="D63" s="2">
        <f>IFERROR(__xludf.DUMMYFUNCTION("""COMPUTED_VALUE"""),"เฟสน้ำมันมีมากไป")</f>
        <v/>
      </c>
      <c r="E63" s="2">
        <f>IFERROR(__xludf.DUMMYFUNCTION("""COMPUTED_VALUE"""),"สัดส่วนระหว่างวัดภาคน้ำและน้ำมันต่างกันมาก")</f>
        <v/>
      </c>
      <c r="F63" s="2">
        <f>IFERROR(__xludf.DUMMYFUNCTION("""COMPUTED_VALUE"""),"ไม่มี emulsifier")</f>
        <v/>
      </c>
      <c r="G63" s="2">
        <f>IFERROR(__xludf.DUMMYFUNCTION("""COMPUTED_VALUE"""),"Emulsifier ไม่เพียงพอ")</f>
        <v/>
      </c>
      <c r="H63" s="2">
        <f>IFERROR(__xludf.DUMMYFUNCTION("""COMPUTED_VALUE"""),"ความหนาแน่นเฟสน้ำกับน้ำมันมีความแตกต่างกันมาก")</f>
        <v/>
      </c>
      <c r="I63" s="2">
        <f>IFERROR(__xludf.DUMMYFUNCTION("""COMPUTED_VALUE"""),"4")</f>
        <v/>
      </c>
      <c r="J63" s="2">
        <f>IFERROR(__xludf.DUMMYFUNCTION("""COMPUTED_VALUE"""),"✅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และสร้างฟิล์มป้องกันการรวม"&amp;"ตัวของหยดน้ำมัน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เนื่องจาก"&amp;"กลไกการออกฤทธิ์,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ค."&amp;"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63" s="2" t="n"/>
      <c r="L63" s="2">
        <f>IFERROR(__xludf.DUMMYFUNCTION("""COMPUTED_VALUE"""),"Tablet Manufacturing")</f>
        <v/>
      </c>
      <c r="M63" s="2">
        <f>IFERROR(__xludf.DUMMYFUNCTION("""COMPUTED_VALUE"""),"Product")</f>
        <v/>
      </c>
      <c r="N63" s="2">
        <f>IFERROR(__xludf.DUMMYFUNCTION("""COMPUTED_VALUE"""),"ข้อ 187 Pharma Plus เล่มม่วง (เฉลยข้อ ง)")</f>
        <v/>
      </c>
      <c r="O63" s="2">
        <f>IFERROR(__xludf.DUMMYFUNCTION("""COMPUTED_VALUE"""),"Mock")</f>
        <v/>
      </c>
      <c r="P63" s="2">
        <f>IFERROR(__xludf.DUMMYFUNCTION("""COMPUTED_VALUE"""),"Pharma Plus เล่มม่วง")</f>
        <v/>
      </c>
    </row>
    <row r="64" ht="13.2" customHeight="1" s="37">
      <c r="A64" s="2">
        <f>IFERROR(__xludf.DUMMYFUNCTION("""COMPUTED_VALUE"""),"188")</f>
        <v/>
      </c>
      <c r="B64" s="2">
        <f>IFERROR(__xludf.DUMMYFUNCTION("""COMPUTED_VALUE"""),"ถ้าจะเตรียมยาเพื่อให้ไม่ผ่านกระบวนการ metabolite ที่ตับ เราควรจะเตรียมในรูปแบบใด")</f>
        <v/>
      </c>
      <c r="C64" s="2" t="n"/>
      <c r="D64" s="2">
        <f>IFERROR(__xludf.DUMMYFUNCTION("""COMPUTED_VALUE"""),"Film coated tablets")</f>
        <v/>
      </c>
      <c r="E64" s="2">
        <f>IFERROR(__xludf.DUMMYFUNCTION("""COMPUTED_VALUE"""),"Enteric coated tablets")</f>
        <v/>
      </c>
      <c r="F64" s="2">
        <f>IFERROR(__xludf.DUMMYFUNCTION("""COMPUTED_VALUE"""),"Osmotic pump tablets")</f>
        <v/>
      </c>
      <c r="G64" s="2">
        <f>IFERROR(__xludf.DUMMYFUNCTION("""COMPUTED_VALUE"""),"Matrix tablets")</f>
        <v/>
      </c>
      <c r="H64" s="2">
        <f>IFERROR(__xludf.DUMMYFUNCTION("""COMPUTED_VALUE"""),"Rectal suppositories")</f>
        <v/>
      </c>
      <c r="I64" s="2">
        <f>IFERROR(__xludf.DUMMYFUNCTION("""COMPUTED_VALUE"""),"4")</f>
        <v/>
      </c>
      <c r="J64" s="2">
        <f>IFERROR(__xludf.DUMMYFUNCTION("""COMPUTED_VALUE"""),"✅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M"&amp;"atrix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circulatio"&amp;"n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เนื่องจากกลไ"&amp;"กการออกฤทธิ์,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tablets)"&amp;":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effic"&amp;"acy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"&amp;"Edition)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วิเคราะห์สา"&amp;"เหตุและวิธีแก้ไขปัญหา formulation defects เชิงสูตรตำรับ")</f>
        <v/>
      </c>
      <c r="K64" s="2" t="n"/>
      <c r="L64" s="2">
        <f>IFERROR(__xludf.DUMMYFUNCTION("""COMPUTED_VALUE"""),"Tablet Manufacturing")</f>
        <v/>
      </c>
      <c r="M64" s="2">
        <f>IFERROR(__xludf.DUMMYFUNCTION("""COMPUTED_VALUE"""),"Product")</f>
        <v/>
      </c>
      <c r="N64" s="2">
        <f>IFERROR(__xludf.DUMMYFUNCTION("""COMPUTED_VALUE"""),"ข้อ 188 Pharma Plus เล่มม่วง (เฉลยข้อ ง)")</f>
        <v/>
      </c>
      <c r="O64" s="2">
        <f>IFERROR(__xludf.DUMMYFUNCTION("""COMPUTED_VALUE"""),"Mock")</f>
        <v/>
      </c>
      <c r="P64" s="2">
        <f>IFERROR(__xludf.DUMMYFUNCTION("""COMPUTED_VALUE"""),"Pharma Plus เล่มม่วง")</f>
        <v/>
      </c>
    </row>
    <row r="65" ht="13.2" customHeight="1" s="37">
      <c r="A65" s="2">
        <f>IFERROR(__xludf.DUMMYFUNCTION("""COMPUTED_VALUE"""),"189")</f>
        <v/>
      </c>
      <c r="B65" s="2">
        <f>IFERROR(__xludf.DUMMYFUNCTION("""COMPUTED_VALUE"""),"ระบบควบคุมการปลดปล่อยยาแบบใดสามารถหักแบ่งครึ่งเม็ดได้")</f>
        <v/>
      </c>
      <c r="C65" s="2" t="n"/>
      <c r="D65" s="2">
        <f>IFERROR(__xludf.DUMMYFUNCTION("""COMPUTED_VALUE"""),"Enteric coated")</f>
        <v/>
      </c>
      <c r="E65" s="2">
        <f>IFERROR(__xludf.DUMMYFUNCTION("""COMPUTED_VALUE"""),"Reservoir")</f>
        <v/>
      </c>
      <c r="F65" s="2">
        <f>IFERROR(__xludf.DUMMYFUNCTION("""COMPUTED_VALUE"""),"Osmotic control")</f>
        <v/>
      </c>
      <c r="G65" s="2">
        <f>IFERROR(__xludf.DUMMYFUNCTION("""COMPUTED_VALUE"""),"Matrix control")</f>
        <v/>
      </c>
      <c r="H65" s="2">
        <f>IFERROR(__xludf.DUMMYFUNCTION("""COMPUTED_VALUE"""),"Film diffuse control")</f>
        <v/>
      </c>
      <c r="I65" s="2">
        <f>IFERROR(__xludf.DUMMYFUNCTION("""COMPUTED_VALUE"""),"5")</f>
        <v/>
      </c>
      <c r="J65" s="2">
        <f>IFERROR(__xludf.DUMMYFUNCTION("""COMPUTED_VALUE"""),"✅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ทำให้กลไการปลดปล่อยยาไม่ถูกทำลายโดยสิ้นเ"&amp;"ชิงเหมือนระบบ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ข้อนี้ไม่ใช่คำตอบที่ถูก"&amp;"ต้องสำหรับภาวะ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หรือข้อบ่งใช้ไม่ตรงกับโจทย์ที่กำ"&amp;"หนด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เนื่องจ"&amp;"ากกลไกการออกฤทธิ์,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Pra"&amp;"ctice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Trou"&amp;"bleshooting: วิเคราะห์สาเหตุและวิธีแก้ไขปัญหา formulation defects เชิงสูตรตำรับ")</f>
        <v/>
      </c>
      <c r="K65" s="2" t="n"/>
      <c r="L65" s="2">
        <f>IFERROR(__xludf.DUMMYFUNCTION("""COMPUTED_VALUE"""),"Tablet Manufacturing")</f>
        <v/>
      </c>
      <c r="M65" s="2">
        <f>IFERROR(__xludf.DUMMYFUNCTION("""COMPUTED_VALUE"""),"Product")</f>
        <v/>
      </c>
      <c r="N65" s="2">
        <f>IFERROR(__xludf.DUMMYFUNCTION("""COMPUTED_VALUE"""),"ข้อ 189 Pharma Plus เล่มม่วง (เฉลยข้อ จ)")</f>
        <v/>
      </c>
      <c r="O65" s="2">
        <f>IFERROR(__xludf.DUMMYFUNCTION("""COMPUTED_VALUE"""),"Mock")</f>
        <v/>
      </c>
      <c r="P65" s="2">
        <f>IFERROR(__xludf.DUMMYFUNCTION("""COMPUTED_VALUE"""),"Pharma Plus เล่มม่วง")</f>
        <v/>
      </c>
    </row>
    <row r="66" ht="13.2" customHeight="1" s="37">
      <c r="A66" s="2">
        <f>IFERROR(__xludf.DUMMYFUNCTION("""COMPUTED_VALUE"""),"190")</f>
        <v/>
      </c>
      <c r="B66" s="2">
        <f>IFERROR(__xludf.DUMMYFUNCTION("""COMPUTED_VALUE"""),"TYLENOL 8 Hour has one layer that dissolves quickly for fast relief and a second time-released layer that offers continuous relief for up to 8 hours. ประกอบด้วย carnauba wax, corn starch, hydroxyethyl cellulose, hypromellose, magnesium stearate, microcrys"&amp;"talline cellulose, povidone, powdered cellulose, pregelatinized starch, sodium starch glycolate, titanium dioxide, triacetin.
ข้อใดต่อไปนี้ไม่ถูกต้อง")</f>
        <v/>
      </c>
      <c r="C66" s="2" t="n"/>
      <c r="D66" s="2">
        <f>IFERROR(__xludf.DUMMYFUNCTION("""COMPUTED_VALUE"""),"Titanium dioxide เป็น binder")</f>
        <v/>
      </c>
      <c r="E66" s="2">
        <f>IFERROR(__xludf.DUMMYFUNCTION("""COMPUTED_VALUE"""),"Microcrystalline cellulose เป็น filler")</f>
        <v/>
      </c>
      <c r="F66" s="2">
        <f>IFERROR(__xludf.DUMMYFUNCTION("""COMPUTED_VALUE"""),"Sodium starch glycolate เป็น superdisintegrant")</f>
        <v/>
      </c>
      <c r="G66" s="2">
        <f>IFERROR(__xludf.DUMMYFUNCTION("""COMPUTED_VALUE"""),"Magnesium stearate เป็น glidant")</f>
        <v/>
      </c>
      <c r="H66" s="2">
        <f>IFERROR(__xludf.DUMMYFUNCTION("""COMPUTED_VALUE"""),"Corn starch เป็น disintegrant")</f>
        <v/>
      </c>
      <c r="I66" s="2">
        <f>IFERROR(__xludf.DUMMYFUNCTION("""COMPUTED_VALUE"""),"5")</f>
        <v/>
      </c>
      <c r="J66" s="2">
        <f>IFERROR(__xludf.DUMMYFUNCTION("""COMPUTED_VALUE"""),"✅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Cor"&amp;"n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microcrystal"&amp;"line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(Ti"&amp;"tanium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ช่วยให้เม็"&amp;"ดยาแตกตัวภายในไม่กี่นาที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Sta"&amp;"tes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6" s="2" t="n"/>
      <c r="L66" s="2">
        <f>IFERROR(__xludf.DUMMYFUNCTION("""COMPUTED_VALUE"""),"Powders &amp; Granules")</f>
        <v/>
      </c>
      <c r="M66" s="2">
        <f>IFERROR(__xludf.DUMMYFUNCTION("""COMPUTED_VALUE"""),"Product")</f>
        <v/>
      </c>
      <c r="N66" s="2">
        <f>IFERROR(__xludf.DUMMYFUNCTION("""COMPUTED_VALUE"""),"ข้อ 190 Pharma Plus เล่มม่วง (เฉลยข้อ จ)")</f>
        <v/>
      </c>
      <c r="O66" s="2">
        <f>IFERROR(__xludf.DUMMYFUNCTION("""COMPUTED_VALUE"""),"Mock")</f>
        <v/>
      </c>
      <c r="P66" s="2">
        <f>IFERROR(__xludf.DUMMYFUNCTION("""COMPUTED_VALUE"""),"Pharma Plus เล่มม่วง")</f>
        <v/>
      </c>
    </row>
    <row r="67" ht="13.2" customHeight="1" s="37">
      <c r="A67" s="2">
        <f>IFERROR(__xludf.DUMMYFUNCTION("""COMPUTED_VALUE"""),"191")</f>
        <v/>
      </c>
      <c r="B67" s="2">
        <f>IFERROR(__xludf.DUMMYFUNCTION("""COMPUTED_VALUE"""),"ยาทาสิว Benzoyl peroxide gel 5% มีส่วนประกอบดังนี้ Carbomer 940, Hydroxypropylmethylcellulose, Tween 20, Ethanol, Glycerin, Triethanolamine, Triclosan, Purified water
ข้อใดต่อไปนี้ถูกต้อง")</f>
        <v/>
      </c>
      <c r="C67" s="2" t="n"/>
      <c r="D67" s="2">
        <f>IFERROR(__xludf.DUMMYFUNCTION("""COMPUTED_VALUE"""),"มีสารก่อเจล 2 ชนิด")</f>
        <v/>
      </c>
      <c r="E67" s="2">
        <f>IFERROR(__xludf.DUMMYFUNCTION("""COMPUTED_VALUE"""),"Carbopol ละลายในน้ำเดือด แล้วเติมน้ำเย็นละลายทันที")</f>
        <v/>
      </c>
      <c r="F67" s="2">
        <f>IFERROR(__xludf.DUMMYFUNCTION("""COMPUTED_VALUE"""),"Triclosan ช่วยให้เจลแข็งตัวจากการปรับ pH")</f>
        <v/>
      </c>
      <c r="G67" s="2">
        <f>IFERROR(__xludf.DUMMYFUNCTION("""COMPUTED_VALUE"""),"Triethanolamine เป็น preservative ของตำรับ")</f>
        <v/>
      </c>
      <c r="H67" s="2">
        <f>IFERROR(__xludf.DUMMYFUNCTION("""COMPUTED_VALUE"""),"Carbopol ละลายได้ดีใน alcohol")</f>
        <v/>
      </c>
      <c r="I67" s="2">
        <f>IFERROR(__xludf.DUMMYFUNCTION("""COMPUTED_VALUE"""),"4")</f>
        <v/>
      </c>
      <c r="J67" s="2">
        <f>IFERROR(__xludf.DUMMYFUNCTION("""COMPUTED_VALUE"""),"✅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ทำไมข้อน"&amp;"ี้ถึงถูก: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"&amp;"2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ข้ออื่นผิดเพราะอะไ"&amp;"ร: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ข้อนี้ไม่ใช่คำตอบที่ถูกต้องส"&amp;"ำหรับภาวะ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หรือข้"&amp;"อบ่งใช้ไม่ตรงกับโจทย์ที่กำหนด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Pharmacopeia"&amp;"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Qual"&amp;"ity Specs: จำเกณฑ์ pharmacopoeia limits สำหรับ stability, dissolution และ uniformity
• Defect Troubleshooting: วิเคราะห์สาเหตุและวิธีแก้ไขปัญหา formulation defects เชิงสูตรตำรับ")</f>
        <v/>
      </c>
      <c r="K67" s="2" t="n"/>
      <c r="L67" s="2">
        <f>IFERROR(__xludf.DUMMYFUNCTION("""COMPUTED_VALUE"""),"Tablet Manufacturing")</f>
        <v/>
      </c>
      <c r="M67" s="2">
        <f>IFERROR(__xludf.DUMMYFUNCTION("""COMPUTED_VALUE"""),"Product")</f>
        <v/>
      </c>
      <c r="N67" s="2">
        <f>IFERROR(__xludf.DUMMYFUNCTION("""COMPUTED_VALUE"""),"ข้อ 191 Pharma Plus เล่มม่วง (เฉลยข้อ ง)")</f>
        <v/>
      </c>
      <c r="O67" s="2">
        <f>IFERROR(__xludf.DUMMYFUNCTION("""COMPUTED_VALUE"""),"Mock")</f>
        <v/>
      </c>
      <c r="P67" s="2">
        <f>IFERROR(__xludf.DUMMYFUNCTION("""COMPUTED_VALUE"""),"Pharma Plus เล่มม่วง")</f>
        <v/>
      </c>
    </row>
    <row r="68" ht="13.2" customHeight="1" s="37">
      <c r="A68" s="2">
        <f>IFERROR(__xludf.DUMMYFUNCTION("""COMPUTED_VALUE"""),"192")</f>
        <v/>
      </c>
      <c r="B68" s="2">
        <f>IFERROR(__xludf.DUMMYFUNCTION("""COMPUTED_VALUE"""),"โจทย์ให้สูตรตำรับของ tetracycline capsule มา ได้แก่ lactose, magnesium stearate ... (โจทย์ไม่ครบ) ตำรับ tetracycline capsule
ข้อใดถูกต้อง")</f>
        <v/>
      </c>
      <c r="C68" s="2" t="n"/>
      <c r="D68" s="2">
        <f>IFERROR(__xludf.DUMMYFUNCTION("""COMPUTED_VALUE"""),"เหมาะจะเตรียมเป็น soft gelatin capsule")</f>
        <v/>
      </c>
      <c r="E68" s="2">
        <f>IFERROR(__xludf.DUMMYFUNCTION("""COMPUTED_VALUE"""),"Capsule เบอร์ 000 เล็กสุด เบอร์ 5 ใหญ่สุด")</f>
        <v/>
      </c>
      <c r="F68" s="2">
        <f>IFERROR(__xludf.DUMMYFUNCTION("""COMPUTED_VALUE"""),"Lactose เพิ่มความหวาน")</f>
        <v/>
      </c>
      <c r="G68" s="2">
        <f>IFERROR(__xludf.DUMMYFUNCTION("""COMPUTED_VALUE"""),"Magnesium stearate เพิ่มการแตกตัว")</f>
        <v/>
      </c>
      <c r="H68" s="2">
        <f>IFERROR(__xludf.DUMMYFUNCTION("""COMPUTED_VALUE"""),"Silicon dioxide เพิ่มการไหล")</f>
        <v/>
      </c>
      <c r="I68" s="2">
        <f>IFERROR(__xludf.DUMMYFUNCTION("""COMPUTED_VALUE"""),"1")</f>
        <v/>
      </c>
      <c r="J68" s="2">
        <f>IFERROR(__xludf.DUMMYFUNCTION("""COMPUTED_VALUE"""),"✅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ทำไมข้อนี้ถึ"&amp;"งถูก: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สำหรับ"&amp;"ขนาดแคปซูล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Gelati"&amp;"n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เพิ่มควา"&amp;"มหวาน):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ลดแรงเสียดทานระหว่างเม็ดยาก"&amp;"ับผนัง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หรือข้อบ่งใช้ไม"&amp;"่ตรงกับโจทย์ที่กำหนด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8" s="2" t="n"/>
      <c r="L68" s="2">
        <f>IFERROR(__xludf.DUMMYFUNCTION("""COMPUTED_VALUE"""),"Hard &amp; Soft Gelatin Capsules")</f>
        <v/>
      </c>
      <c r="M68" s="2">
        <f>IFERROR(__xludf.DUMMYFUNCTION("""COMPUTED_VALUE"""),"Product")</f>
        <v/>
      </c>
      <c r="N68" s="2">
        <f>IFERROR(__xludf.DUMMYFUNCTION("""COMPUTED_VALUE"""),"ข้อ 192 Pharma Plus เล่มม่วง (เฉลยข้อ ก)")</f>
        <v/>
      </c>
      <c r="O68" s="2">
        <f>IFERROR(__xludf.DUMMYFUNCTION("""COMPUTED_VALUE"""),"Mock")</f>
        <v/>
      </c>
      <c r="P68" s="2">
        <f>IFERROR(__xludf.DUMMYFUNCTION("""COMPUTED_VALUE"""),"Pharma Plus เล่มม่วง")</f>
        <v/>
      </c>
    </row>
    <row r="69" ht="13.2" customHeight="1" s="37">
      <c r="A69" s="2">
        <f>IFERROR(__xludf.DUMMYFUNCTION("""COMPUTED_VALUE"""),"193")</f>
        <v/>
      </c>
      <c r="B69" s="2">
        <f>IFERROR(__xludf.DUMMYFUNCTION("""COMPUTED_VALUE"""),"Paracetamol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f>
        <v/>
      </c>
      <c r="C69" s="2" t="n"/>
      <c r="D69" s="2">
        <f>IFERROR(__xludf.DUMMYFUNCTION("""COMPUTED_VALUE"""),"Hydroxypropyl methyl cellulose")</f>
        <v/>
      </c>
      <c r="E69" s="2">
        <f>IFERROR(__xludf.DUMMYFUNCTION("""COMPUTED_VALUE"""),"Magnesium stearate")</f>
        <v/>
      </c>
      <c r="F69" s="2">
        <f>IFERROR(__xludf.DUMMYFUNCTION("""COMPUTED_VALUE"""),"Microcrystalline cellulose")</f>
        <v/>
      </c>
      <c r="G69" s="2">
        <f>IFERROR(__xludf.DUMMYFUNCTION("""COMPUTED_VALUE"""),"Colloidal silica")</f>
        <v/>
      </c>
      <c r="H69" s="2">
        <f>IFERROR(__xludf.DUMMYFUNCTION("""COMPUTED_VALUE"""),"Pre-gelatinized starch")</f>
        <v/>
      </c>
      <c r="I69" s="2">
        <f>IFERROR(__xludf.DUMMYFUNCTION("""COMPUTED_VALUE"""),"5")</f>
        <v/>
      </c>
      <c r="J69" s="2">
        <f>IFERROR(__xludf.DUMMYFUNCTION("""COMPUTED_VALUE"""),"✅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โดยเมื่อสัมผัสกับน้"&amp;"ำจะพองตัวเกิดเป็น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ข้อนี้ไม่ใช่คำตอ"&amp;"บที่ถูกต้องสำหรับภาวะ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นานเกินไปจะทำให้เม็ดยากั"&amp;"นน้ำ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ข้อนี้ไม่ใช่คำตอบท"&amp;"ี่ถูกต้องสำหรับภาวะ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"&amp;"of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sta"&amp;"bility, dissolution และ uniformity
• Defect Troubleshooting: วิเคราะห์สาเหตุและวิธีแก้ไขปัญหา formulation defects เชิงสูตรตำรับ")</f>
        <v/>
      </c>
      <c r="K69" s="2" t="n"/>
      <c r="L69" s="2">
        <f>IFERROR(__xludf.DUMMYFUNCTION("""COMPUTED_VALUE"""),"Tablet Manufacturing")</f>
        <v/>
      </c>
      <c r="M69" s="2">
        <f>IFERROR(__xludf.DUMMYFUNCTION("""COMPUTED_VALUE"""),"Product")</f>
        <v/>
      </c>
      <c r="N69" s="2">
        <f>IFERROR(__xludf.DUMMYFUNCTION("""COMPUTED_VALUE"""),"ข้อ 193 Pharma Plus เล่มม่วง (เฉลยข้อ จ)")</f>
        <v/>
      </c>
      <c r="O69" s="2">
        <f>IFERROR(__xludf.DUMMYFUNCTION("""COMPUTED_VALUE"""),"Mock")</f>
        <v/>
      </c>
      <c r="P69" s="2">
        <f>IFERROR(__xludf.DUMMYFUNCTION("""COMPUTED_VALUE"""),"Pharma Plus เล่มม่วง")</f>
        <v/>
      </c>
    </row>
    <row r="70" ht="13.2" customHeight="1" s="37">
      <c r="A70" s="2">
        <f>IFERROR(__xludf.DUMMYFUNCTION("""COMPUTED_VALUE"""),"194")</f>
        <v/>
      </c>
      <c r="B70" s="2">
        <f>IFERROR(__xludf.DUMMYFUNCTION("""COMPUTED_VALUE"""),"ในการพิสูจน์ Bioequivalence ระหว่างยา 2 ตัว จะต้องคำนึงถึง parameter ใดบ้าง
ข้อใดต่อไปนี้ถูกต้อง")</f>
        <v/>
      </c>
      <c r="C70" s="2" t="n"/>
      <c r="D70" s="2">
        <f>IFERROR(__xludf.DUMMYFUNCTION("""COMPUTED_VALUE"""),"AUC0-inf และ Tmax")</f>
        <v/>
      </c>
      <c r="E70" s="2">
        <f>IFERROR(__xludf.DUMMYFUNCTION("""COMPUTED_VALUE"""),"AUC0-inf และ Cmax")</f>
        <v/>
      </c>
      <c r="F70" s="2">
        <f>IFERROR(__xludf.DUMMYFUNCTION("""COMPUTED_VALUE"""),"AUC0-inf และ Elimination half life")</f>
        <v/>
      </c>
      <c r="G70" s="2">
        <f>IFERROR(__xludf.DUMMYFUNCTION("""COMPUTED_VALUE"""),"Cmax และ Elimination half life")</f>
        <v/>
      </c>
      <c r="H70" s="2">
        <f>IFERROR(__xludf.DUMMYFUNCTION("""COMPUTED_VALUE"""),"Tmax และ Elimination half life")</f>
        <v/>
      </c>
      <c r="I70" s="2">
        <f>IFERROR(__xludf.DUMMYFUNCTION("""COMPUTED_VALUE"""),"5")</f>
        <v/>
      </c>
      <c r="J70" s="2">
        <f>IFERROR(__xludf.DUMMYFUNCTION("""COMPUTED_VALUE"""),"✅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"&amp;"Extent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ก."&amp;"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เนื่องจากกลไกก"&amp;"ารออกฤทธิ์,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El"&amp;"imination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70" s="2" t="n"/>
      <c r="L70" s="2">
        <f>IFERROR(__xludf.DUMMYFUNCTION("""COMPUTED_VALUE"""),"Tablet Manufacturing")</f>
        <v/>
      </c>
      <c r="M70" s="2">
        <f>IFERROR(__xludf.DUMMYFUNCTION("""COMPUTED_VALUE"""),"Product")</f>
        <v/>
      </c>
      <c r="N70" s="2">
        <f>IFERROR(__xludf.DUMMYFUNCTION("""COMPUTED_VALUE"""),"ข้อ 194 Pharma Plus เล่มม่วง (เฉลยข้อ จ)")</f>
        <v/>
      </c>
      <c r="O70" s="2">
        <f>IFERROR(__xludf.DUMMYFUNCTION("""COMPUTED_VALUE"""),"Mock")</f>
        <v/>
      </c>
      <c r="P70" s="2">
        <f>IFERROR(__xludf.DUMMYFUNCTION("""COMPUTED_VALUE"""),"Pharma Plus เล่มม่วง")</f>
        <v/>
      </c>
    </row>
    <row r="71" ht="13.2" customHeight="1" s="37">
      <c r="A71" s="2">
        <f>IFERROR(__xludf.DUMMYFUNCTION("""COMPUTED_VALUE"""),"1")</f>
        <v/>
      </c>
      <c r="B71" s="2">
        <f>IFERROR(__xludf.DUMMYFUNCTION("""COMPUTED_VALUE"""),"จากสูตรโครงสร้างของ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f>
        <v/>
      </c>
      <c r="C71" s="2" t="n"/>
      <c r="D71" s="2">
        <f>IFERROR(__xludf.DUMMYFUNCTION("""COMPUTED_VALUE"""),"Methyl cyanide")</f>
        <v/>
      </c>
      <c r="E71" s="2">
        <f>IFERROR(__xludf.DUMMYFUNCTION("""COMPUTED_VALUE"""),"Nitro")</f>
        <v/>
      </c>
      <c r="F71" s="2">
        <f>IFERROR(__xludf.DUMMYFUNCTION("""COMPUTED_VALUE"""),"Thio")</f>
        <v/>
      </c>
      <c r="G71" s="2">
        <f>IFERROR(__xludf.DUMMYFUNCTION("""COMPUTED_VALUE"""),"Furan")</f>
        <v/>
      </c>
      <c r="H71" s="2">
        <f>IFERROR(__xludf.DUMMYFUNCTION("""COMPUTED_VALUE"""),"Amine")</f>
        <v/>
      </c>
      <c r="I71" s="2">
        <f>IFERROR(__xludf.DUMMYFUNCTION("""COMPUTED_VALUE"""),"4")</f>
        <v/>
      </c>
      <c r="J71" s="2">
        <f>IFERROR(__xludf.DUMMYFUNCTION("""COMPUTED_VALUE"""),"✅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ค"&amp;"ำอธิบายและเหตุผลทางเภสัชกรรม: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และมีผลข้างเคี"&amp;"ยงน้อยกว่า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ข้อนี้"&amp;"ไม่ใช่คำตอบที่ถูกต้องสำหรับภาวะ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หรือข้อบ่งใช้ไม่ตรงกับโจท"&amp;"ย์ที่กำหนด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"&amp;"efficacy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71" s="2" t="n"/>
      <c r="L71" s="2">
        <f>IFERROR(__xludf.DUMMYFUNCTION("""COMPUTED_VALUE"""),"SAR &amp; Drug Design")</f>
        <v/>
      </c>
      <c r="M71" s="2">
        <f>IFERROR(__xludf.DUMMYFUNCTION("""COMPUTED_VALUE"""),"Product")</f>
        <v/>
      </c>
      <c r="N71" s="2">
        <f>IFERROR(__xludf.DUMMYFUNCTION("""COMPUTED_VALUE"""),"ข้อ 1 Pharma Plus เล่มม่วง (เฉลยข้อ ง)")</f>
        <v/>
      </c>
      <c r="O71" s="2">
        <f>IFERROR(__xludf.DUMMYFUNCTION("""COMPUTED_VALUE"""),"Mock")</f>
        <v/>
      </c>
      <c r="P71" s="2">
        <f>IFERROR(__xludf.DUMMYFUNCTION("""COMPUTED_VALUE"""),"Pharma Plus เล่มม่วง")</f>
        <v/>
      </c>
    </row>
    <row r="72" ht="13.2" customHeight="1" s="37">
      <c r="A72" s="2">
        <f>IFERROR(__xludf.DUMMYFUNCTION("""COMPUTED_VALUE"""),"2")</f>
        <v/>
      </c>
      <c r="B72" s="2">
        <f>IFERROR(__xludf.DUMMYFUNCTION("""COMPUTED_VALUE"""),"จากสูตรโครงสร้างของ praziquantel ตำแหน่งนี้เรียกว่า และมีคุณสมบัติอย่างไร")</f>
        <v/>
      </c>
      <c r="C72" s="2" t="n"/>
      <c r="D72" s="2">
        <f>IFERROR(__xludf.DUMMYFUNCTION("""COMPUTED_VALUE"""),"Quinoline, base")</f>
        <v/>
      </c>
      <c r="E72" s="2">
        <f>IFERROR(__xludf.DUMMYFUNCTION("""COMPUTED_VALUE"""),"Isoquinoline, base")</f>
        <v/>
      </c>
      <c r="F72" s="2">
        <f>IFERROR(__xludf.DUMMYFUNCTION("""COMPUTED_VALUE"""),"Guanine, acid")</f>
        <v/>
      </c>
      <c r="G72" s="2">
        <f>IFERROR(__xludf.DUMMYFUNCTION("""COMPUTED_VALUE"""),"Pyramidine, acid")</f>
        <v/>
      </c>
      <c r="H72" s="2">
        <f>IFERROR(__xludf.DUMMYFUNCTION("""COMPUTED_VALUE"""),"Nirobenzene, acid")</f>
        <v/>
      </c>
      <c r="I72" s="2">
        <f>IFERROR(__xludf.DUMMYFUNCTION("""COMPUTED_VALUE"""),"2")</f>
        <v/>
      </c>
      <c r="J72" s="2">
        <f>IFERROR(__xludf.DUMMYFUNCTION("""COMPUTED_VALUE"""),"✅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isoquinoline"&amp;"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ข้อนี้ไม่ใช่ค"&amp;"ำตอบที่ถูกต้องสำหรับภาวะ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หรือข้อบ่งใช้ไม่ตรงกับโจ"&amp;"ทย์ที่กำหนด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เ"&amp;"นื่องจากกลไกการออกฤทธิ์,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pharm"&amp;"acopoeia limits สำหรับ stability, dissolution และ uniformity
• Defect Troubleshooting: วิเคราะห์สาเหตุและวิธีแก้ไขปัญหา formulation defects เชิงสูตรตำรับ")</f>
        <v/>
      </c>
      <c r="K72" s="2" t="n"/>
      <c r="L72" s="2">
        <f>IFERROR(__xludf.DUMMYFUNCTION("""COMPUTED_VALUE"""),"SAR &amp; Drug Design")</f>
        <v/>
      </c>
      <c r="M72" s="2">
        <f>IFERROR(__xludf.DUMMYFUNCTION("""COMPUTED_VALUE"""),"Product")</f>
        <v/>
      </c>
      <c r="N72" s="2">
        <f>IFERROR(__xludf.DUMMYFUNCTION("""COMPUTED_VALUE"""),"ข้อ 2 Pharma Plus เล่มม่วง (เฉลยข้อ ข)")</f>
        <v/>
      </c>
      <c r="O72" s="2">
        <f>IFERROR(__xludf.DUMMYFUNCTION("""COMPUTED_VALUE"""),"Mock")</f>
        <v/>
      </c>
      <c r="P72" s="2">
        <f>IFERROR(__xludf.DUMMYFUNCTION("""COMPUTED_VALUE"""),"Pharma Plus เล่มม่วง")</f>
        <v/>
      </c>
    </row>
    <row r="73" ht="13.2" customHeight="1" s="37">
      <c r="A73" s="2">
        <f>IFERROR(__xludf.DUMMYFUNCTION("""COMPUTED_VALUE"""),"3")</f>
        <v/>
      </c>
      <c r="B73" s="2">
        <f>IFERROR(__xludf.DUMMYFUNCTION("""COMPUTED_VALUE"""),"จากสูตรโครงสร้างมีหมู่ carboxyl group กี่หมู่")</f>
        <v/>
      </c>
      <c r="C73" s="2" t="n"/>
      <c r="D73" s="2">
        <f>IFERROR(__xludf.DUMMYFUNCTION("""COMPUTED_VALUE"""),"Bioisosteric Replacement (Carboxylic acid → Tetrazole)")</f>
        <v/>
      </c>
      <c r="E73" s="2">
        <f>IFERROR(__xludf.DUMMYFUNCTION("""COMPUTED_VALUE"""),"Prodrug Design via Esterification for Oral Bioavailability")</f>
        <v/>
      </c>
      <c r="F73" s="2">
        <f>IFERROR(__xludf.DUMMYFUNCTION("""COMPUTED_VALUE"""),"Cytochrome P450 CYP3A4 Phase I Oxidation")</f>
        <v/>
      </c>
      <c r="G73" s="2">
        <f>IFERROR(__xludf.DUMMYFUNCTION("""COMPUTED_VALUE"""),"Phase II Glucuronidation Conjugation by UGT")</f>
        <v/>
      </c>
      <c r="H73" s="2">
        <f>IFERROR(__xludf.DUMMYFUNCTION("""COMPUTED_VALUE"""),"Log P Lipophilicity Partition Coefficient optimization")</f>
        <v/>
      </c>
      <c r="I73" s="2">
        <f>IFERROR(__xludf.DUMMYFUNCTION("""COMPUTED_VALUE"""),"2")</f>
        <v/>
      </c>
      <c r="J73" s="2">
        <f>IFERROR(__xludf.DUMMYFUNCTION("""COMPUTED_VALUE"""),"✅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ในสูตรโครงสร้างทางเคมีที่ปรากฏในข้อนี"&amp;"้อ้างอิงจากโครงสร้างยาหรือสารประกอบในตำรา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Re"&amp;"placement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ข้อนี้ไม่ใช่คำตอบที่ถูกต้องสำหรับ"&amp;"ภาวะ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หรือข้อบ่งใช้ไ"&amp;"ม่ตรงกับโจทย์ที่กำหนด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73" s="2" t="n"/>
      <c r="L73" s="2">
        <f>IFERROR(__xludf.DUMMYFUNCTION("""COMPUTED_VALUE"""),"SAR &amp; Drug Design")</f>
        <v/>
      </c>
      <c r="M73" s="2">
        <f>IFERROR(__xludf.DUMMYFUNCTION("""COMPUTED_VALUE"""),"Product")</f>
        <v/>
      </c>
      <c r="N73" s="2">
        <f>IFERROR(__xludf.DUMMYFUNCTION("""COMPUTED_VALUE"""),"ข้อ 3 Pharma Plus เล่มม่วง (เฉลยข้อ ข)")</f>
        <v/>
      </c>
      <c r="O73" s="2">
        <f>IFERROR(__xludf.DUMMYFUNCTION("""COMPUTED_VALUE"""),"Mock")</f>
        <v/>
      </c>
      <c r="P73" s="2">
        <f>IFERROR(__xludf.DUMMYFUNCTION("""COMPUTED_VALUE"""),"Pharma Plus เล่มม่วง")</f>
        <v/>
      </c>
    </row>
    <row r="74" ht="13.2" customHeight="1" s="37">
      <c r="A74" s="2">
        <f>IFERROR(__xludf.DUMMYFUNCTION("""COMPUTED_VALUE"""),"4")</f>
        <v/>
      </c>
      <c r="B74" s="2">
        <f>IFERROR(__xludf.DUMMYFUNCTION("""COMPUTED_VALUE"""),"จากโครงสร้าง Simvastatin และ Pravastatin ข้อใดถูกต้อง")</f>
        <v/>
      </c>
      <c r="C74" s="2" t="n"/>
      <c r="D74" s="2">
        <f>IFERROR(__xludf.DUMMYFUNCTION("""COMPUTED_VALUE"""),"Cholestyramine ลดการดูดซึมของยา simvastatin เพราะโครงสร้าง Simvastatin มี lactone ring")</f>
        <v/>
      </c>
      <c r="E74" s="2">
        <f>IFERROR(__xludf.DUMMYFUNCTION("""COMPUTED_VALUE"""),"Cholestyramine ลดการดูดซึมของยา pravastatin เพราะโครงสร้าง Pravastatin มี carboxylic acid")</f>
        <v/>
      </c>
      <c r="F74" s="2">
        <f>IFERROR(__xludf.DUMMYFUNCTION("""COMPUTED_VALUE"""),"Simvastatin ลดการดูดซึมของยา cholestyramine")</f>
        <v/>
      </c>
      <c r="G74" s="2">
        <f>IFERROR(__xludf.DUMMYFUNCTION("""COMPUTED_VALUE"""),"Cholestyramine ไม่มีผลต่อการดูดซึมของยา simvastatin และ pravastatin")</f>
        <v/>
      </c>
      <c r="H74" s="2">
        <f>IFERROR(__xludf.DUMMYFUNCTION("""COMPUTED_VALUE"""),"Cholestyramine เพิ่มการดูดซึมของยา simvastatin และ pravastatin")</f>
        <v/>
      </c>
      <c r="I74" s="2">
        <f>IFERROR(__xludf.DUMMYFUNCTION("""COMPUTED_VALUE"""),"2")</f>
        <v/>
      </c>
      <c r="J74" s="2">
        <f>IFERROR(__xludf.DUMMYFUNCTION("""COMPUTED_VALUE"""),"✅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เพื่อป้องกั"&amp;"น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เป็นยาใน"&amp;"กลุ่ม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จึงแนะนำให้กินยาอ"&amp;"ื่นห่างจาก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simv"&amp;"astatin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cho"&amp;"lestyramine):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เ"&amp;"ป็น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moderate-intensi"&amp;"ty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(dil"&amp;"uent,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4" s="2" t="n"/>
      <c r="L74" s="2">
        <f>IFERROR(__xludf.DUMMYFUNCTION("""COMPUTED_VALUE"""),"SAR &amp; Drug Design")</f>
        <v/>
      </c>
      <c r="M74" s="2">
        <f>IFERROR(__xludf.DUMMYFUNCTION("""COMPUTED_VALUE"""),"Product")</f>
        <v/>
      </c>
      <c r="N74" s="2">
        <f>IFERROR(__xludf.DUMMYFUNCTION("""COMPUTED_VALUE"""),"ข้อ 4 Pharma Plus เล่มม่วง (เฉลยข้อ ข)")</f>
        <v/>
      </c>
      <c r="O74" s="2">
        <f>IFERROR(__xludf.DUMMYFUNCTION("""COMPUTED_VALUE"""),"Mock")</f>
        <v/>
      </c>
      <c r="P74" s="2">
        <f>IFERROR(__xludf.DUMMYFUNCTION("""COMPUTED_VALUE"""),"Pharma Plus เล่มม่วง")</f>
        <v/>
      </c>
    </row>
    <row r="75" ht="13.2" customHeight="1" s="37">
      <c r="A75" s="2">
        <f>IFERROR(__xludf.DUMMYFUNCTION("""COMPUTED_VALUE"""),"5")</f>
        <v/>
      </c>
      <c r="B75" s="2">
        <f>IFERROR(__xludf.DUMMYFUNCTION("""COMPUTED_VALUE"""),"โครงสร้างที่แสดงข้อ 4 สัมพันธ์กับการออกฤทธิ์ของยาอย่างไร")</f>
        <v/>
      </c>
      <c r="C75" s="2" t="n"/>
      <c r="D75" s="2">
        <f>IFERROR(__xludf.DUMMYFUNCTION("""COMPUTED_VALUE"""),"Pravastatin เป็น prodrug")</f>
        <v/>
      </c>
      <c r="E75" s="2">
        <f>IFERROR(__xludf.DUMMYFUNCTION("""COMPUTED_VALUE"""),"Pravastatin และ simvastatin เป็น prodrug")</f>
        <v/>
      </c>
      <c r="F75" s="2">
        <f>IFERROR(__xludf.DUMMYFUNCTION("""COMPUTED_VALUE"""),"Pravastatin มีโครงสร้างที่ออกฤทธิ์ในร่างกายสองรูปแบบ คือ โครงสร้างที่เชื่อมเป็นวง lactone ring และโครงสร้างที่เป็น carboxylic acid")</f>
        <v/>
      </c>
      <c r="G75" s="2">
        <f>IFERROR(__xludf.DUMMYFUNCTION("""COMPUTED_VALUE"""),"Simvastatin มีโครงสร้างที่ออกฤทธิ์ คือ โครงสร้างที่เป็น lactone ring เปิด")</f>
        <v/>
      </c>
      <c r="H75" s="2">
        <f>IFERROR(__xludf.DUMMYFUNCTION("""COMPUTED_VALUE"""),"Pravastatin และ simvastatin ไม่เป็น prodrug")</f>
        <v/>
      </c>
      <c r="I75" s="2">
        <f>IFERROR(__xludf.DUMMYFUNCTION("""COMPUTED_VALUE"""),"4")</f>
        <v/>
      </c>
      <c r="J75" s="2">
        <f>IFERROR(__xludf.DUMMYFUNCTION("""COMPUTED_VALUE"""),"✅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defects"&amp;"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ที่ต้อ"&amp;"งถูกไฮโดรไลซ์ในร่างกายให้เปลี่ยนเป็นรูปเปิดวง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Pharmacopoe"&amp;"ia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หรือข้อบ่งใช้ไม"&amp;"่ตรงกับโจทย์ที่กำหนด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(Pravastatin"&amp;"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"&amp;"จ.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จุดจ"&amp;"ำก่อนสอบ: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วิเคราะห์สาเหตุและวิธีแก้ไขป"&amp;"ัญหา formulation defects เชิงสูตรตำรับ")</f>
        <v/>
      </c>
      <c r="K75" s="2" t="n"/>
      <c r="L75" s="2">
        <f>IFERROR(__xludf.DUMMYFUNCTION("""COMPUTED_VALUE"""),"SAR &amp; Drug Design")</f>
        <v/>
      </c>
      <c r="M75" s="2">
        <f>IFERROR(__xludf.DUMMYFUNCTION("""COMPUTED_VALUE"""),"Product")</f>
        <v/>
      </c>
      <c r="N75" s="2">
        <f>IFERROR(__xludf.DUMMYFUNCTION("""COMPUTED_VALUE"""),"ข้อ 5 Pharma Plus เล่มม่วง (เฉลยข้อ ง)")</f>
        <v/>
      </c>
      <c r="O75" s="2">
        <f>IFERROR(__xludf.DUMMYFUNCTION("""COMPUTED_VALUE"""),"Mock")</f>
        <v/>
      </c>
      <c r="P75" s="2">
        <f>IFERROR(__xludf.DUMMYFUNCTION("""COMPUTED_VALUE"""),"Pharma Plus เล่มม่วง")</f>
        <v/>
      </c>
    </row>
    <row r="76" ht="13.2" customHeight="1" s="37">
      <c r="A76" s="2">
        <f>IFERROR(__xludf.DUMMYFUNCTION("""COMPUTED_VALUE"""),"6")</f>
        <v/>
      </c>
      <c r="B76" s="2">
        <f>IFERROR(__xludf.DUMMYFUNCTION("""COMPUTED_VALUE"""),"สูตรโครงสร้างของยาต่อไปนี้ข้อใดคือ Dexamethasone")</f>
        <v/>
      </c>
      <c r="C76" s="2" t="n"/>
      <c r="D76" s="2">
        <f>IFERROR(__xludf.DUMMYFUNCTION("""COMPUTED_VALUE"""),"โครงสร้างเตียรอยด์มีหมู่ -OH และ -F")</f>
        <v/>
      </c>
      <c r="E76" s="2">
        <f>IFERROR(__xludf.DUMMYFUNCTION("""COMPUTED_VALUE"""),"โครงสร้าง ACE inhibitor")</f>
        <v/>
      </c>
      <c r="F76" s="2">
        <f>IFERROR(__xludf.DUMMYFUNCTION("""COMPUTED_VALUE"""),"โครงสร้าง Chloramphenicol")</f>
        <v/>
      </c>
      <c r="G76" s="2">
        <f>IFERROR(__xludf.DUMMYFUNCTION("""COMPUTED_VALUE"""),"โครงสร้าง Sulfonamide")</f>
        <v/>
      </c>
      <c r="H76" s="2">
        <f>IFERROR(__xludf.DUMMYFUNCTION("""COMPUTED_VALUE"""),"โครงสร้าง Beta-lactam หรือโครงสร้างอื่น")</f>
        <v/>
      </c>
      <c r="I76" s="2">
        <f>IFERROR(__xludf.DUMMYFUNCTION("""COMPUTED_VALUE"""),"1")</f>
        <v/>
      </c>
      <c r="J76" s="2">
        <f>IFERROR(__xludf.DUMMYFUNCTION("""COMPUTED_VALUE"""),"✅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nucl"&amp;"eus)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ข้ออื่นผิดเ"&amp;"พราะอะไร: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"&amp;"Drug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(โ"&amp;"ครงสร้าง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6" s="2" t="n"/>
      <c r="L76" s="2">
        <f>IFERROR(__xludf.DUMMYFUNCTION("""COMPUTED_VALUE"""),"SAR &amp; Drug Design")</f>
        <v/>
      </c>
      <c r="M76" s="2">
        <f>IFERROR(__xludf.DUMMYFUNCTION("""COMPUTED_VALUE"""),"Product")</f>
        <v/>
      </c>
      <c r="N76" s="2">
        <f>IFERROR(__xludf.DUMMYFUNCTION("""COMPUTED_VALUE"""),"ข้อ 6 Pharma Plus เล่มม่วง (เฉลยข้อ ก)")</f>
        <v/>
      </c>
      <c r="O76" s="2">
        <f>IFERROR(__xludf.DUMMYFUNCTION("""COMPUTED_VALUE"""),"Mock")</f>
        <v/>
      </c>
      <c r="P76" s="2">
        <f>IFERROR(__xludf.DUMMYFUNCTION("""COMPUTED_VALUE"""),"Pharma Plus เล่มม่วง")</f>
        <v/>
      </c>
    </row>
    <row r="77" ht="13.2" customHeight="1" s="37">
      <c r="A77" s="2">
        <f>IFERROR(__xludf.DUMMYFUNCTION("""COMPUTED_VALUE"""),"11")</f>
        <v/>
      </c>
      <c r="B77" s="2">
        <f>IFERROR(__xludf.DUMMYFUNCTION("""COMPUTED_VALUE"""),"จากโครงสร้างของ vitamin A ข้อใดต่อไปนี้ถูกต้องเกี่ยวกับ SAR")</f>
        <v/>
      </c>
      <c r="C77" s="2" t="n"/>
      <c r="D77" s="2">
        <f>IFERROR(__xludf.DUMMYFUNCTION("""COMPUTED_VALUE"""),"Conjugated double bond เพิ่มขึ้น ทำให้ activity ของ vitamin A ลดลง")</f>
        <v/>
      </c>
      <c r="E77" s="2">
        <f>IFERROR(__xludf.DUMMYFUNCTION("""COMPUTED_VALUE"""),"Conjugated double bond ลดลง ทำให้ activity ของ vitamin A เพิ่มขึ้น")</f>
        <v/>
      </c>
      <c r="F77" s="2">
        <f>IFERROR(__xludf.DUMMYFUNCTION("""COMPUTED_VALUE"""),"ถ้า b-ionone ring saturate จะทำให้ vitamin A หมดฤทธิ์")</f>
        <v/>
      </c>
      <c r="G77" s="2">
        <f>IFERROR(__xludf.DUMMYFUNCTION("""COMPUTED_VALUE"""),"ถ้า b-ionone ring saturate จะทำให้ vitamin A ฤทธิ์เพิ่มขึ้น")</f>
        <v/>
      </c>
      <c r="H77" s="2">
        <f>IFERROR(__xludf.DUMMYFUNCTION("""COMPUTED_VALUE"""),"ถ้าเปลี่ยนจาก -OH เป็น ether จะทำให้ vitamin A ฤทธิ์เพิ่มขึ้น")</f>
        <v/>
      </c>
      <c r="I77" s="2">
        <f>IFERROR(__xludf.DUMMYFUNCTION("""COMPUTED_VALUE"""),"3")</f>
        <v/>
      </c>
      <c r="J77" s="2">
        <f>IFERROR(__xludf.DUMMYFUNCTION("""COMPUTED_VALUE"""),"✅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"&amp;"rate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การล"&amp;"ดจำนวน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Practic"&amp;"e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หรือข้อบ่งใช้ไม่ตรง"&amp;"กับโจทย์ที่กำหนด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satu"&amp;"rate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ข้อนี้ไม่ใช่คำ"&amp;"ตอบที่ถูกต้องสำหรับภาวะ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disintegrant"&amp;",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7" s="2" t="n"/>
      <c r="L77" s="2">
        <f>IFERROR(__xludf.DUMMYFUNCTION("""COMPUTED_VALUE"""),"SAR &amp; Drug Design")</f>
        <v/>
      </c>
      <c r="M77" s="2">
        <f>IFERROR(__xludf.DUMMYFUNCTION("""COMPUTED_VALUE"""),"Product")</f>
        <v/>
      </c>
      <c r="N77" s="2">
        <f>IFERROR(__xludf.DUMMYFUNCTION("""COMPUTED_VALUE"""),"ข้อ 11 Pharma Plus เล่มม่วง (เฉลยข้อ ค)")</f>
        <v/>
      </c>
      <c r="O77" s="2">
        <f>IFERROR(__xludf.DUMMYFUNCTION("""COMPUTED_VALUE"""),"Mock")</f>
        <v/>
      </c>
      <c r="P77" s="2">
        <f>IFERROR(__xludf.DUMMYFUNCTION("""COMPUTED_VALUE"""),"Pharma Plus เล่มม่วง")</f>
        <v/>
      </c>
    </row>
    <row r="78" ht="13.2" customHeight="1" s="37">
      <c r="A78" s="2">
        <f>IFERROR(__xludf.DUMMYFUNCTION("""COMPUTED_VALUE"""),"12")</f>
        <v/>
      </c>
      <c r="B78" s="2">
        <f>IFERROR(__xludf.DUMMYFUNCTION("""COMPUTED_VALUE"""),"จากข้อ 11 ถ้าเปลี่ยนจากหมู่ OH เป็น COOH จะเป็นสารใดต่อไปนี้")</f>
        <v/>
      </c>
      <c r="C78" s="2" t="n"/>
      <c r="D78" s="2">
        <f>IFERROR(__xludf.DUMMYFUNCTION("""COMPUTED_VALUE"""),"Tretinoin")</f>
        <v/>
      </c>
      <c r="E78" s="2">
        <f>IFERROR(__xludf.DUMMYFUNCTION("""COMPUTED_VALUE"""),"Isotretinoin")</f>
        <v/>
      </c>
      <c r="F78" s="2">
        <f>IFERROR(__xludf.DUMMYFUNCTION("""COMPUTED_VALUE"""),"Adapalene")</f>
        <v/>
      </c>
      <c r="G78" s="2">
        <f>IFERROR(__xludf.DUMMYFUNCTION("""COMPUTED_VALUE"""),"Carotenoid")</f>
        <v/>
      </c>
      <c r="H78" s="2">
        <f>IFERROR(__xludf.DUMMYFUNCTION("""COMPUTED_VALUE"""),"Retinal")</f>
        <v/>
      </c>
      <c r="I78" s="2">
        <f>IFERROR(__xludf.DUMMYFUNCTION("""COMPUTED_VALUE"""),"1")</f>
        <v/>
      </c>
      <c r="J78" s="2">
        <f>IFERROR(__xludf.DUMMYFUNCTION("""COMPUTED_VALUE"""),"✅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Tretin"&amp;"oin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ซึ่งเป็นกรดเรติโนอิกรูปแบบหลักที่ใช้รักษาโรคผ"&amp;"ิวหนัง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ef"&amp;"ficacy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SA"&amp;"R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อ้างอิง"&amp;":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78" s="2" t="n"/>
      <c r="L78" s="2">
        <f>IFERROR(__xludf.DUMMYFUNCTION("""COMPUTED_VALUE"""),"SAR &amp; Drug Design")</f>
        <v/>
      </c>
      <c r="M78" s="2">
        <f>IFERROR(__xludf.DUMMYFUNCTION("""COMPUTED_VALUE"""),"Product")</f>
        <v/>
      </c>
      <c r="N78" s="2">
        <f>IFERROR(__xludf.DUMMYFUNCTION("""COMPUTED_VALUE"""),"ข้อ 12 Pharma Plus เล่มม่วง (เฉลยข้อ ก)")</f>
        <v/>
      </c>
      <c r="O78" s="2">
        <f>IFERROR(__xludf.DUMMYFUNCTION("""COMPUTED_VALUE"""),"Mock")</f>
        <v/>
      </c>
      <c r="P78" s="2">
        <f>IFERROR(__xludf.DUMMYFUNCTION("""COMPUTED_VALUE"""),"Pharma Plus เล่มม่วง")</f>
        <v/>
      </c>
    </row>
    <row r="79" ht="13.2" customHeight="1" s="37">
      <c r="A79" s="2">
        <f>IFERROR(__xludf.DUMMYFUNCTION("""COMPUTED_VALUE"""),"13")</f>
        <v/>
      </c>
      <c r="B79" s="2">
        <f>IFERROR(__xludf.DUMMYFUNCTION("""COMPUTED_VALUE"""),"จากโครงสร้างของยา Gemcitabine เป็นอนุพันธ์ของอะไร")</f>
        <v/>
      </c>
      <c r="C79" s="2" t="n"/>
      <c r="D79" s="2">
        <f>IFERROR(__xludf.DUMMYFUNCTION("""COMPUTED_VALUE"""),"Acyclonucleoside analog")</f>
        <v/>
      </c>
      <c r="E79" s="2">
        <f>IFERROR(__xludf.DUMMYFUNCTION("""COMPUTED_VALUE"""),"Pyrimidine nucleoside analog")</f>
        <v/>
      </c>
      <c r="F79" s="2">
        <f>IFERROR(__xludf.DUMMYFUNCTION("""COMPUTED_VALUE"""),"Pyrimidine nucleotide analog")</f>
        <v/>
      </c>
      <c r="G79" s="2">
        <f>IFERROR(__xludf.DUMMYFUNCTION("""COMPUTED_VALUE"""),"Purine nucleotide analog")</f>
        <v/>
      </c>
      <c r="H79" s="2">
        <f>IFERROR(__xludf.DUMMYFUNCTION("""COMPUTED_VALUE"""),"Purine nucleoside analog")</f>
        <v/>
      </c>
      <c r="I79" s="2">
        <f>IFERROR(__xludf.DUMMYFUNCTION("""COMPUTED_VALUE"""),"2")</f>
        <v/>
      </c>
      <c r="J79" s="2">
        <f>IFERROR(__xludf.DUMMYFUNCTION("""COMPUTED_VALUE"""),"✅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nucleosid"&amp;"e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ข้อนี้ไม่ใช่คำ"&amp;"ตอบที่ถูกต้องสำหรับภาวะ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หรือข้อบ่ง"&amp;"ใช้ไม่ตรงกับโจทย์ที่กำหนด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ข้อนี้ไม่ใช่คำตอบที่ถูกต้องส"&amp;"ำหรับภาวะ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•"&amp;" Quality Specs: จำเกณฑ์ pharmacopoeia limits สำหรับ stability, dissolution และ uniformity
• Defect Troubleshooting: วิเคราะห์สาเหตุและวิธีแก้ไขปัญหา formulation defects เชิงสูตรตำรับ")</f>
        <v/>
      </c>
      <c r="K79" s="2" t="n"/>
      <c r="L79" s="2">
        <f>IFERROR(__xludf.DUMMYFUNCTION("""COMPUTED_VALUE"""),"SAR &amp; Drug Design")</f>
        <v/>
      </c>
      <c r="M79" s="2">
        <f>IFERROR(__xludf.DUMMYFUNCTION("""COMPUTED_VALUE"""),"Product")</f>
        <v/>
      </c>
      <c r="N79" s="2">
        <f>IFERROR(__xludf.DUMMYFUNCTION("""COMPUTED_VALUE"""),"ข้อ 13 Pharma Plus เล่มม่วง (เฉลยข้อ ข)")</f>
        <v/>
      </c>
      <c r="O79" s="2">
        <f>IFERROR(__xludf.DUMMYFUNCTION("""COMPUTED_VALUE"""),"Mock")</f>
        <v/>
      </c>
      <c r="P79" s="2">
        <f>IFERROR(__xludf.DUMMYFUNCTION("""COMPUTED_VALUE"""),"Pharma Plus เล่มม่วง")</f>
        <v/>
      </c>
    </row>
    <row r="80" ht="13.2" customHeight="1" s="37">
      <c r="A80" s="2">
        <f>IFERROR(__xludf.DUMMYFUNCTION("""COMPUTED_VALUE"""),"14")</f>
        <v/>
      </c>
      <c r="B80" s="2">
        <f>IFERROR(__xludf.DUMMYFUNCTION("""COMPUTED_VALUE"""),"จากโครงสร้างของยา A และยา B ข้อใดถูกต้องเกี่ยวกับยา B")</f>
        <v/>
      </c>
      <c r="C80" s="2" t="n"/>
      <c r="D80" s="2">
        <f>IFERROR(__xludf.DUMMYFUNCTION("""COMPUTED_VALUE"""),"ฤทธิ์ต้านแบคทีเรียลดลงอย่างมีนัยสำคัญ")</f>
        <v/>
      </c>
      <c r="E80" s="2">
        <f>IFERROR(__xludf.DUMMYFUNCTION("""COMPUTED_VALUE"""),"ความสามารถในการละลายน้ำไม่เปลี่ยนแปลง")</f>
        <v/>
      </c>
      <c r="F80" s="2">
        <f>IFERROR(__xludf.DUMMYFUNCTION("""COMPUTED_VALUE"""),"ความถี่ในการรับประทานลดลง")</f>
        <v/>
      </c>
      <c r="G80" s="2">
        <f>IFERROR(__xludf.DUMMYFUNCTION("""COMPUTED_VALUE"""),"ไม่คงตัวต่อกรดเช่นเดียวกับยา A")</f>
        <v/>
      </c>
      <c r="H80" s="2">
        <f>IFERROR(__xludf.DUMMYFUNCTION("""COMPUTED_VALUE"""),"ไม่คงตัวต่อด่างเช่นเดียวกันกับยา A")</f>
        <v/>
      </c>
      <c r="I80" s="2">
        <f>IFERROR(__xludf.DUMMYFUNCTION("""COMPUTED_VALUE"""),"3")</f>
        <v/>
      </c>
      <c r="J80" s="2">
        <f>IFERROR(__xludf.DUMMYFUNCTION("""COMPUTED_VALUE"""),"✅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แสดงตำแหน่งหมู"&amp;"่แทนที่ที่ส่งผลต่อคุณสมบัติทางเภสัชจลนศาสตร์และความคงตัว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Phar"&amp;"macy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(ความสามารถใ"&amp;"นการละลายน้ำไม่เปลี่ยนแปลง):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"&amp;"เนื่องจากกลไกการออกฤทธิ์,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Guidel"&amp;"ine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Troublesho"&amp;"oting: วิเคราะห์สาเหตุและวิธีแก้ไขปัญหา formulation defects เชิงสูตรตำรับ")</f>
        <v/>
      </c>
      <c r="K80" s="2" t="n"/>
      <c r="L80" s="2">
        <f>IFERROR(__xludf.DUMMYFUNCTION("""COMPUTED_VALUE"""),"SAR &amp; Drug Design")</f>
        <v/>
      </c>
      <c r="M80" s="2">
        <f>IFERROR(__xludf.DUMMYFUNCTION("""COMPUTED_VALUE"""),"Product")</f>
        <v/>
      </c>
      <c r="N80" s="2">
        <f>IFERROR(__xludf.DUMMYFUNCTION("""COMPUTED_VALUE"""),"ข้อ 14 Pharma Plus เล่มม่วง (เฉลยข้อ ค)")</f>
        <v/>
      </c>
      <c r="O80" s="2">
        <f>IFERROR(__xludf.DUMMYFUNCTION("""COMPUTED_VALUE"""),"Mock")</f>
        <v/>
      </c>
      <c r="P80" s="2">
        <f>IFERROR(__xludf.DUMMYFUNCTION("""COMPUTED_VALUE"""),"Pharma Plus เล่มม่วง")</f>
        <v/>
      </c>
    </row>
    <row r="81" ht="13.2" customHeight="1" s="37">
      <c r="A81" s="2">
        <f>IFERROR(__xludf.DUMMYFUNCTION("""COMPUTED_VALUE"""),"15")</f>
        <v/>
      </c>
      <c r="B81" s="2">
        <f>IFERROR(__xludf.DUMMYFUNCTION("""COMPUTED_VALUE"""),"จากสูตรโครงสร้างของยา doxorubicin โครงสร้างส่วนใดที่ออกฤทธิ์เป็น intercalating ของ DNA")</f>
        <v/>
      </c>
      <c r="C81" s="2" t="n"/>
      <c r="D81" s="2">
        <f>IFERROR(__xludf.DUMMYFUNCTION("""COMPUTED_VALUE"""),"Anthracycline ring")</f>
        <v/>
      </c>
      <c r="E81" s="2">
        <f>IFERROR(__xludf.DUMMYFUNCTION("""COMPUTED_VALUE"""),"- NH2 group")</f>
        <v/>
      </c>
      <c r="F81" s="2">
        <f>IFERROR(__xludf.DUMMYFUNCTION("""COMPUTED_VALUE"""),"Methoxy")</f>
        <v/>
      </c>
      <c r="G81" s="2">
        <f>IFERROR(__xludf.DUMMYFUNCTION("""COMPUTED_VALUE"""),"Hydroxyl")</f>
        <v/>
      </c>
      <c r="H81" s="2">
        <f>IFERROR(__xludf.DUMMYFUNCTION("""COMPUTED_VALUE"""),"น้ำตาล glycoside")</f>
        <v/>
      </c>
      <c r="I81" s="2">
        <f>IFERROR(__xludf.DUMMYFUNCTION("""COMPUTED_VALUE"""),"1")</f>
        <v/>
      </c>
      <c r="J81" s="2">
        <f>IFERROR(__xludf.DUMMYFUNCTION("""COMPUTED_VALUE"""),"✅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intercalation)"&amp;"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"&amp;"group):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หรือข้อบ่"&amp;"งใช้ไม่ตรงกับโจทย์ที่กำหนด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De"&amp;"sign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81" s="2" t="n"/>
      <c r="L81" s="2">
        <f>IFERROR(__xludf.DUMMYFUNCTION("""COMPUTED_VALUE"""),"SAR &amp; Drug Design")</f>
        <v/>
      </c>
      <c r="M81" s="2">
        <f>IFERROR(__xludf.DUMMYFUNCTION("""COMPUTED_VALUE"""),"Product")</f>
        <v/>
      </c>
      <c r="N81" s="2">
        <f>IFERROR(__xludf.DUMMYFUNCTION("""COMPUTED_VALUE"""),"ข้อ 15 Pharma Plus เล่มม่วง (เฉลยข้อ ก)")</f>
        <v/>
      </c>
      <c r="O81" s="2">
        <f>IFERROR(__xludf.DUMMYFUNCTION("""COMPUTED_VALUE"""),"Mock")</f>
        <v/>
      </c>
      <c r="P81" s="2">
        <f>IFERROR(__xludf.DUMMYFUNCTION("""COMPUTED_VALUE"""),"Pharma Plus เล่มม่วง")</f>
        <v/>
      </c>
    </row>
    <row r="82" ht="13.2" customHeight="1" s="37">
      <c r="A82" s="2">
        <f>IFERROR(__xludf.DUMMYFUNCTION("""COMPUTED_VALUE"""),"16")</f>
        <v/>
      </c>
      <c r="B82" s="2">
        <f>IFERROR(__xludf.DUMMYFUNCTION("""COMPUTED_VALUE"""),"โครงสร้างนี้ เรียกว่า อะไร")</f>
        <v/>
      </c>
      <c r="C82" s="2" t="n"/>
      <c r="D82" s="2">
        <f>IFERROR(__xludf.DUMMYFUNCTION("""COMPUTED_VALUE"""),"Nucleotide ของ Purine")</f>
        <v/>
      </c>
      <c r="E82" s="2">
        <f>IFERROR(__xludf.DUMMYFUNCTION("""COMPUTED_VALUE"""),"Nucleotide ของ Pyridine")</f>
        <v/>
      </c>
      <c r="F82" s="2">
        <f>IFERROR(__xludf.DUMMYFUNCTION("""COMPUTED_VALUE"""),"Nucleoside ของ Purine")</f>
        <v/>
      </c>
      <c r="G82" s="2">
        <f>IFERROR(__xludf.DUMMYFUNCTION("""COMPUTED_VALUE"""),"Nucleoside ของ Pyridine")</f>
        <v/>
      </c>
      <c r="H82" s="2">
        <f>IFERROR(__xludf.DUMMYFUNCTION("""COMPUTED_VALUE"""),"ไม่มีข้อใดถูกต้องการ")</f>
        <v/>
      </c>
      <c r="I82" s="2">
        <f>IFERROR(__xludf.DUMMYFUNCTION("""COMPUTED_VALUE"""),"5")</f>
        <v/>
      </c>
      <c r="J82" s="2">
        <f>IFERROR(__xludf.DUMMYFUNCTION("""COMPUTED_VALUE"""),"✅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Nu"&amp;"cleoside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เน"&amp;"ื่องจากกลไกการออกฤทธิ์,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ขอ"&amp;"ง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เนื่องจากกลไกการออกฤทธิ์,"&amp;"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s"&amp;"tability, dissolution และ uniformity
• Defect Troubleshooting: วิเคราะห์สาเหตุและวิธีแก้ไขปัญหา formulation defects เชิงสูตรตำรับ")</f>
        <v/>
      </c>
      <c r="K82" s="2" t="n"/>
      <c r="L82" s="2">
        <f>IFERROR(__xludf.DUMMYFUNCTION("""COMPUTED_VALUE"""),"SAR &amp; Drug Design")</f>
        <v/>
      </c>
      <c r="M82" s="2">
        <f>IFERROR(__xludf.DUMMYFUNCTION("""COMPUTED_VALUE"""),"Product")</f>
        <v/>
      </c>
      <c r="N82" s="2">
        <f>IFERROR(__xludf.DUMMYFUNCTION("""COMPUTED_VALUE"""),"ข้อ 16 Pharma Plus เล่มม่วง (เฉลยข้อ จ)")</f>
        <v/>
      </c>
      <c r="O82" s="2">
        <f>IFERROR(__xludf.DUMMYFUNCTION("""COMPUTED_VALUE"""),"Mock")</f>
        <v/>
      </c>
      <c r="P82" s="2">
        <f>IFERROR(__xludf.DUMMYFUNCTION("""COMPUTED_VALUE"""),"Pharma Plus เล่มม่วง")</f>
        <v/>
      </c>
    </row>
    <row r="83" ht="13.2" customHeight="1" s="37">
      <c r="A83" s="2">
        <f>IFERROR(__xludf.DUMMYFUNCTION("""COMPUTED_VALUE"""),"17")</f>
        <v/>
      </c>
      <c r="B83" s="2">
        <f>IFERROR(__xludf.DUMMYFUNCTION("""COMPUTED_VALUE"""),"ข้อใดกล่าวถูกต้องเกี่ยวกับการพัฒนาโครงสร้างดังแสดงด้านล่าง")</f>
        <v/>
      </c>
      <c r="C83" s="2" t="n"/>
      <c r="D83" s="2">
        <f>IFERROR(__xludf.DUMMYFUNCTION("""COMPUTED_VALUE"""),"เปลี่ยนตัวออกฤทธิ์เป็น Ligand เพื่อช่วยลดอาการไม่พึงประสงค์จากยา")</f>
        <v/>
      </c>
      <c r="E83" s="2">
        <f>IFERROR(__xludf.DUMMYFUNCTION("""COMPUTED_VALUE"""),"ทำให้โครงสร้างใหญ่ขึ้นเพื่อลดการโดนทำลายหมู่สำคัญในการออกฤทธิ์")</f>
        <v/>
      </c>
      <c r="F83" s="2">
        <f>IFERROR(__xludf.DUMMYFUNCTION("""COMPUTED_VALUE"""),"เพิ่ม Lipophilicity ของยาเพื่อเพิ่มการเข้าสู่เซลล์เป้าหมาย")</f>
        <v/>
      </c>
      <c r="G83" s="2">
        <f>IFERROR(__xludf.DUMMYFUNCTION("""COMPUTED_VALUE"""),"ข้อ ก ข ถูก")</f>
        <v/>
      </c>
      <c r="H83" s="2">
        <f>IFERROR(__xludf.DUMMYFUNCTION("""COMPUTED_VALUE"""),"ข้อ ก ข ค ถูก")</f>
        <v/>
      </c>
      <c r="I83" s="2">
        <f>IFERROR(__xludf.DUMMYFUNCTION("""COMPUTED_VALUE"""),"4")</f>
        <v/>
      </c>
      <c r="J83" s="2">
        <f>IFERROR(__xludf.DUMMYFUNCTION("""COMPUTED_VALUE"""),"✅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"&amp;"ก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U"&amp;"SP/NF,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SA"&amp;"R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หร"&amp;"ือข้อบ่งใช้ไม่ตรงกับโจทย์ที่กำหนด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ถูก"&amp;"):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bin"&amp;"der,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3" s="2" t="n"/>
      <c r="L83" s="2">
        <f>IFERROR(__xludf.DUMMYFUNCTION("""COMPUTED_VALUE"""),"SAR &amp; Drug Design")</f>
        <v/>
      </c>
      <c r="M83" s="2">
        <f>IFERROR(__xludf.DUMMYFUNCTION("""COMPUTED_VALUE"""),"Product")</f>
        <v/>
      </c>
      <c r="N83" s="2">
        <f>IFERROR(__xludf.DUMMYFUNCTION("""COMPUTED_VALUE"""),"ข้อ 17 Pharma Plus เล่มม่วง (เฉลยข้อ ง)")</f>
        <v/>
      </c>
      <c r="O83" s="2">
        <f>IFERROR(__xludf.DUMMYFUNCTION("""COMPUTED_VALUE"""),"Mock")</f>
        <v/>
      </c>
      <c r="P83" s="2">
        <f>IFERROR(__xludf.DUMMYFUNCTION("""COMPUTED_VALUE"""),"Pharma Plus เล่มม่วง")</f>
        <v/>
      </c>
    </row>
    <row r="84" ht="13.2" customHeight="1" s="37">
      <c r="A84" s="2">
        <f>IFERROR(__xludf.DUMMYFUNCTION("""COMPUTED_VALUE"""),"18")</f>
        <v/>
      </c>
      <c r="B84" s="2">
        <f>IFERROR(__xludf.DUMMYFUNCTION("""COMPUTED_VALUE"""),"จากโครงสร้างของยาต่อไปนี้ ยาในข้อใดที่มีคุณสมบัติทนต่อ catechol-O-methyltransferase")</f>
        <v/>
      </c>
      <c r="C84" s="2" t="n"/>
      <c r="D84" s="2">
        <f>IFERROR(__xludf.DUMMYFUNCTION("""COMPUTED_VALUE"""),"Prodrug Design via Esterification for Oral Bioavailability")</f>
        <v/>
      </c>
      <c r="E84" s="2">
        <f>IFERROR(__xludf.DUMMYFUNCTION("""COMPUTED_VALUE"""),"Cytochrome P450 CYP3A4 Phase I Oxidation")</f>
        <v/>
      </c>
      <c r="F84" s="2">
        <f>IFERROR(__xludf.DUMMYFUNCTION("""COMPUTED_VALUE"""),"Phase II Glucuronidation Conjugation by UGT")</f>
        <v/>
      </c>
      <c r="G84" s="2">
        <f>IFERROR(__xludf.DUMMYFUNCTION("""COMPUTED_VALUE"""),"Log P Lipophilicity Partition Coefficient optimization")</f>
        <v/>
      </c>
      <c r="H84" s="2">
        <f>IFERROR(__xludf.DUMMYFUNCTION("""COMPUTED_VALUE"""),"Chiral Eutomer vs Distomer Pharmacological activity")</f>
        <v/>
      </c>
      <c r="I84" s="2">
        <f>IFERROR(__xludf.DUMMYFUNCTION("""COMPUTED_VALUE"""),"1")</f>
        <v/>
      </c>
      <c r="J84" s="2">
        <f>IFERROR(__xludf.DUMMYFUNCTION("""COMPUTED_VALUE"""),"✅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(วงแหวนเ"&amp;"บนซินที่มีหมู่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Remington:"&amp;"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หรือข้อบ่งใช้ไม่ตรงกั"&amp;"บโจทย์ที่กำหนด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optim"&amp;"ization):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Desig"&amp;"n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ph"&amp;"armacopoeia limits สำหรับ stability, dissolution และ uniformity
• Defect Troubleshooting: วิเคราะห์สาเหตุและวิธีแก้ไขปัญหา formulation defects เชิงสูตรตำรับ")</f>
        <v/>
      </c>
      <c r="K84" s="2" t="n"/>
      <c r="L84" s="2">
        <f>IFERROR(__xludf.DUMMYFUNCTION("""COMPUTED_VALUE"""),"SAR &amp; Drug Design")</f>
        <v/>
      </c>
      <c r="M84" s="2">
        <f>IFERROR(__xludf.DUMMYFUNCTION("""COMPUTED_VALUE"""),"Product")</f>
        <v/>
      </c>
      <c r="N84" s="2">
        <f>IFERROR(__xludf.DUMMYFUNCTION("""COMPUTED_VALUE"""),"ข้อ 18 Pharma Plus เล่มม่วง (เฉลยข้อ ก)")</f>
        <v/>
      </c>
      <c r="O84" s="2">
        <f>IFERROR(__xludf.DUMMYFUNCTION("""COMPUTED_VALUE"""),"Mock")</f>
        <v/>
      </c>
      <c r="P84" s="2">
        <f>IFERROR(__xludf.DUMMYFUNCTION("""COMPUTED_VALUE"""),"Pharma Plus เล่มม่วง")</f>
        <v/>
      </c>
    </row>
    <row r="85" ht="13.2" customHeight="1" s="37">
      <c r="A85" s="2">
        <f>IFERROR(__xludf.DUMMYFUNCTION("""COMPUTED_VALUE"""),"19")</f>
        <v/>
      </c>
      <c r="B85" s="2">
        <f>IFERROR(__xludf.DUMMYFUNCTION("""COMPUTED_VALUE"""),"จากโครงสร้าง ข้อใดไม่ถูกต้อง")</f>
        <v/>
      </c>
      <c r="C85" s="2" t="n"/>
      <c r="D85" s="2">
        <f>IFERROR(__xludf.DUMMYFUNCTION("""COMPUTED_VALUE"""),"(S)-form มีฤทธิ์มากกว่า (R)-form")</f>
        <v/>
      </c>
      <c r="E85" s="2">
        <f>IFERROR(__xludf.DUMMYFUNCTION("""COMPUTED_VALUE"""),"อยู่ในกลุ่ม coumarin")</f>
        <v/>
      </c>
      <c r="F85" s="2">
        <f>IFERROR(__xludf.DUMMYFUNCTION("""COMPUTED_VALUE"""),"Cyclic hemiketal เป็น active form")</f>
        <v/>
      </c>
      <c r="G85" s="2">
        <f>IFERROR(__xludf.DUMMYFUNCTION("""COMPUTED_VALUE"""),"ออกฤทธิ์ direct acting anticoagulants")</f>
        <v/>
      </c>
      <c r="H85" s="2">
        <f>IFERROR(__xludf.DUMMYFUNCTION("""COMPUTED_VALUE"""),"ไม่มีข้อใดไม่ถูกต้อง")</f>
        <v/>
      </c>
      <c r="I85" s="2">
        <f>IFERROR(__xludf.DUMMYFUNCTION("""COMPUTED_VALUE"""),"4")</f>
        <v/>
      </c>
      <c r="J85" s="2">
        <f>IFERROR(__xludf.DUMMYFUNCTION("""COMPUTED_VALUE"""),"✅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(indirect-act"&amp;"ing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•"&amp;"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De"&amp;"sign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"&amp;"จ.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disintegran"&amp;"t,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5" s="2" t="n"/>
      <c r="L85" s="2">
        <f>IFERROR(__xludf.DUMMYFUNCTION("""COMPUTED_VALUE"""),"SAR &amp; Drug Design")</f>
        <v/>
      </c>
      <c r="M85" s="2">
        <f>IFERROR(__xludf.DUMMYFUNCTION("""COMPUTED_VALUE"""),"Product")</f>
        <v/>
      </c>
      <c r="N85" s="2">
        <f>IFERROR(__xludf.DUMMYFUNCTION("""COMPUTED_VALUE"""),"ข้อ 19 Pharma Plus เล่มม่วง (เฉลยข้อ ง)")</f>
        <v/>
      </c>
      <c r="O85" s="2">
        <f>IFERROR(__xludf.DUMMYFUNCTION("""COMPUTED_VALUE"""),"Mock")</f>
        <v/>
      </c>
      <c r="P85" s="2">
        <f>IFERROR(__xludf.DUMMYFUNCTION("""COMPUTED_VALUE"""),"Pharma Plus เล่มม่วง")</f>
        <v/>
      </c>
    </row>
    <row r="86" ht="13.2" customHeight="1" s="37">
      <c r="A86" s="2">
        <f>IFERROR(__xludf.DUMMYFUNCTION("""COMPUTED_VALUE"""),"20")</f>
        <v/>
      </c>
      <c r="B86" s="2">
        <f>IFERROR(__xludf.DUMMYFUNCTION("""COMPUTED_VALUE"""),"จากโครงสร้าง ข้อความใดต่อไปนี้ไม่ถูกต้อง")</f>
        <v/>
      </c>
      <c r="C86" s="2" t="n"/>
      <c r="D86" s="2">
        <f>IFERROR(__xludf.DUMMYFUNCTION("""COMPUTED_VALUE"""),"ตัวอย่างยาในกลุ่มนี้ คือ Digoxin")</f>
        <v/>
      </c>
      <c r="E86" s="2">
        <f>IFERROR(__xludf.DUMMYFUNCTION("""COMPUTED_VALUE"""),"Lactone ring เป็นประเภท bufadienolide")</f>
        <v/>
      </c>
      <c r="F86" s="2">
        <f>IFERROR(__xludf.DUMMYFUNCTION("""COMPUTED_VALUE"""),"ออกฤทธิ์ยับยั้ง Na-K ATPase")</f>
        <v/>
      </c>
      <c r="G86" s="2">
        <f>IFERROR(__xludf.DUMMYFUNCTION("""COMPUTED_VALUE"""),"น้ำตาลจะเข้ามาเกาะที่ตำแหน่ง C3")</f>
        <v/>
      </c>
      <c r="H86" s="2">
        <f>IFERROR(__xludf.DUMMYFUNCTION("""COMPUTED_VALUE"""),"ไม่มีข้อใดถูก")</f>
        <v/>
      </c>
      <c r="I86" s="2">
        <f>IFERROR(__xludf.DUMMYFUNCTION("""COMPUTED_VALUE"""),"2")</f>
        <v/>
      </c>
      <c r="J86" s="2">
        <f>IFERROR(__xludf.DUMMYFUNCTION("""COMPUTED_VALUE"""),"✅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5-m"&amp;"embered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ข้ออื่นผิดเพร"&amp;"าะอะไร: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A"&amp;"TPase):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เนื่องจากกลไกการออกฤ"&amp;"ทธิ์,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แม่นยำในบทบาทห"&amp;"น้าที่ของ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6" s="2" t="n"/>
      <c r="L86" s="2">
        <f>IFERROR(__xludf.DUMMYFUNCTION("""COMPUTED_VALUE"""),"SAR &amp; Drug Design")</f>
        <v/>
      </c>
      <c r="M86" s="2">
        <f>IFERROR(__xludf.DUMMYFUNCTION("""COMPUTED_VALUE"""),"Product")</f>
        <v/>
      </c>
      <c r="N86" s="2">
        <f>IFERROR(__xludf.DUMMYFUNCTION("""COMPUTED_VALUE"""),"ข้อ 20 Pharma Plus เล่มม่วง (เฉลยข้อ ข)")</f>
        <v/>
      </c>
      <c r="O86" s="2">
        <f>IFERROR(__xludf.DUMMYFUNCTION("""COMPUTED_VALUE"""),"Mock")</f>
        <v/>
      </c>
      <c r="P86" s="2">
        <f>IFERROR(__xludf.DUMMYFUNCTION("""COMPUTED_VALUE"""),"Pharma Plus เล่มม่วง")</f>
        <v/>
      </c>
    </row>
    <row r="87" ht="13.2" customHeight="1" s="37">
      <c r="A87" s="2">
        <f>IFERROR(__xludf.DUMMYFUNCTION("""COMPUTED_VALUE"""),"21")</f>
        <v/>
      </c>
      <c r="B87" s="2">
        <f>IFERROR(__xludf.DUMMYFUNCTION("""COMPUTED_VALUE"""),"โครงสร้างใดต่อไปนี้เป็น Ester of Amino Alcohol")</f>
        <v/>
      </c>
      <c r="C87" s="2" t="n"/>
      <c r="D87" s="2">
        <f>IFERROR(__xludf.DUMMYFUNCTION("""COMPUTED_VALUE"""),"Cytochrome P450 CYP3A4 Phase I Oxidation")</f>
        <v/>
      </c>
      <c r="E87" s="2">
        <f>IFERROR(__xludf.DUMMYFUNCTION("""COMPUTED_VALUE"""),"Phase II Glucuronidation Conjugation by UGT")</f>
        <v/>
      </c>
      <c r="F87" s="2">
        <f>IFERROR(__xludf.DUMMYFUNCTION("""COMPUTED_VALUE"""),"Log P Lipophilicity Partition Coefficient optimization")</f>
        <v/>
      </c>
      <c r="G87" s="2">
        <f>IFERROR(__xludf.DUMMYFUNCTION("""COMPUTED_VALUE"""),"Chiral Eutomer vs Distomer Pharmacological activity")</f>
        <v/>
      </c>
      <c r="H87" s="2">
        <f>IFERROR(__xludf.DUMMYFUNCTION("""COMPUTED_VALUE"""),"Covalent Irreversible Enzyme Inhibition")</f>
        <v/>
      </c>
      <c r="I87" s="2">
        <f>IFERROR(__xludf.DUMMYFUNCTION("""COMPUTED_VALUE"""),"5")</f>
        <v/>
      </c>
      <c r="J87" s="2">
        <f>IFERROR(__xludf.DUMMYFUNCTION("""COMPUTED_VALUE"""),"✅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ตามมาตรฐา"&amp;"น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ซึ่"&amp;"งตรงกับนิยามโครงสร้างของยาชาเฉพาะที่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(Cytochro"&amp;"me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ข้อนี้ไม่ใช่คำตอบที่ถูกต้องสำหรับภาวะ"&amp;"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หรือข้อ"&amp;"บ่งใช้ไม่ตรงกับโจทย์ที่กำหนด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วิเคราะห์สาเหตุและ"&amp;"วิธีแก้ไขปัญหา formulation defects เชิงสูตรตำรับ")</f>
        <v/>
      </c>
      <c r="K87" s="2" t="n"/>
      <c r="L87" s="2">
        <f>IFERROR(__xludf.DUMMYFUNCTION("""COMPUTED_VALUE"""),"SAR &amp; Drug Design")</f>
        <v/>
      </c>
      <c r="M87" s="2">
        <f>IFERROR(__xludf.DUMMYFUNCTION("""COMPUTED_VALUE"""),"Product")</f>
        <v/>
      </c>
      <c r="N87" s="2">
        <f>IFERROR(__xludf.DUMMYFUNCTION("""COMPUTED_VALUE"""),"ข้อ 21 Pharma Plus เล่มม่วง (เฉลยข้อ จ)")</f>
        <v/>
      </c>
      <c r="O87" s="2">
        <f>IFERROR(__xludf.DUMMYFUNCTION("""COMPUTED_VALUE"""),"Mock")</f>
        <v/>
      </c>
      <c r="P87" s="2">
        <f>IFERROR(__xludf.DUMMYFUNCTION("""COMPUTED_VALUE"""),"Pharma Plus เล่มม่วง")</f>
        <v/>
      </c>
    </row>
    <row r="88" ht="13.2" customHeight="1" s="37">
      <c r="A88" s="2">
        <f>IFERROR(__xludf.DUMMYFUNCTION("""COMPUTED_VALUE"""),"22")</f>
        <v/>
      </c>
      <c r="B88" s="2">
        <f>IFERROR(__xludf.DUMMYFUNCTION("""COMPUTED_VALUE"""),"N3 หรือ Azido group จากสูตรโครงสร้างของ AZT มีผลให้เกิดสิ่งใด")</f>
        <v/>
      </c>
      <c r="C88" s="2" t="n"/>
      <c r="D88" s="2">
        <f>IFERROR(__xludf.DUMMYFUNCTION("""COMPUTED_VALUE"""),"เพิ่มความสามารถในการจับกับโปรตีน albumin")</f>
        <v/>
      </c>
      <c r="E88" s="2">
        <f>IFERROR(__xludf.DUMMYFUNCTION("""COMPUTED_VALUE"""),"ช่วยเพิ่มการดูดซึมของยา")</f>
        <v/>
      </c>
      <c r="F88" s="2">
        <f>IFERROR(__xludf.DUMMYFUNCTION("""COMPUTED_VALUE"""),"เพิ่มค่าครึ่งชีวิตให้ยาวขึ้น")</f>
        <v/>
      </c>
      <c r="G88" s="2">
        <f>IFERROR(__xludf.DUMMYFUNCTION("""COMPUTED_VALUE"""),"เพิ่มการออกฤทธิ์")</f>
        <v/>
      </c>
      <c r="H88" s="2">
        <f>IFERROR(__xludf.DUMMYFUNCTION("""COMPUTED_VALUE"""),"มีผลต่อการตั้งสูตรตำรับ")</f>
        <v/>
      </c>
      <c r="I88" s="2">
        <f>IFERROR(__xludf.DUMMYFUNCTION("""COMPUTED_VALUE"""),"4")</f>
        <v/>
      </c>
      <c r="J88" s="2">
        <f>IFERROR(__xludf.DUMMYFUNCTION("""COMPUTED_VALUE"""),"✅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t"&amp;"erminator)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(เพิ่มความสามารถใ"&amp;"นการจับกับโปรตีน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เนื่องจาก"&amp;"กลไกการออกฤทธิ์,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(มีผลต่อการตั้งส"&amp;"ูตรตำรับ):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8" s="2" t="n"/>
      <c r="L88" s="2">
        <f>IFERROR(__xludf.DUMMYFUNCTION("""COMPUTED_VALUE"""),"SAR &amp; Drug Design")</f>
        <v/>
      </c>
      <c r="M88" s="2">
        <f>IFERROR(__xludf.DUMMYFUNCTION("""COMPUTED_VALUE"""),"Product")</f>
        <v/>
      </c>
      <c r="N88" s="2">
        <f>IFERROR(__xludf.DUMMYFUNCTION("""COMPUTED_VALUE"""),"ข้อ 22 Pharma Plus เล่มม่วง (เฉลยข้อ ง)")</f>
        <v/>
      </c>
      <c r="O88" s="2">
        <f>IFERROR(__xludf.DUMMYFUNCTION("""COMPUTED_VALUE"""),"Mock")</f>
        <v/>
      </c>
      <c r="P88" s="2">
        <f>IFERROR(__xludf.DUMMYFUNCTION("""COMPUTED_VALUE"""),"Pharma Plus เล่มม่วง")</f>
        <v/>
      </c>
    </row>
    <row r="89" ht="13.2" customHeight="1" s="37">
      <c r="A89" s="2">
        <f>IFERROR(__xludf.DUMMYFUNCTION("""COMPUTED_VALUE"""),"23")</f>
        <v/>
      </c>
      <c r="B89" s="2">
        <f>IFERROR(__xludf.DUMMYFUNCTION("""COMPUTED_VALUE"""),"โครงสร้างต่อไปนี้หมายถึงยาชนิดใด")</f>
        <v/>
      </c>
      <c r="C89" s="2" t="n"/>
      <c r="D89" s="2">
        <f>IFERROR(__xludf.DUMMYFUNCTION("""COMPUTED_VALUE"""),"Zidovudine")</f>
        <v/>
      </c>
      <c r="E89" s="2">
        <f>IFERROR(__xludf.DUMMYFUNCTION("""COMPUTED_VALUE"""),"Cotrimoxazole")</f>
        <v/>
      </c>
      <c r="F89" s="2">
        <f>IFERROR(__xludf.DUMMYFUNCTION("""COMPUTED_VALUE"""),"Ceftriaxone")</f>
        <v/>
      </c>
      <c r="G89" s="2">
        <f>IFERROR(__xludf.DUMMYFUNCTION("""COMPUTED_VALUE"""),"Acyclovir")</f>
        <v/>
      </c>
      <c r="H89" s="2">
        <f>IFERROR(__xludf.DUMMYFUNCTION("""COMPUTED_VALUE"""),"Ciprofloxacin")</f>
        <v/>
      </c>
      <c r="I89" s="2">
        <f>IFERROR(__xludf.DUMMYFUNCTION("""COMPUTED_VALUE"""),"4")</f>
        <v/>
      </c>
      <c r="J89" s="2">
        <f>IFERROR(__xludf.DUMMYFUNCTION("""COMPUTED_VALUE"""),"✅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Acyclo"&amp;"vir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simp"&amp;"lex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เนื่องจากกลไ"&amp;"กการออกฤทธิ์,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•"&amp;"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รว"&amp;"มทั้ง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"&amp;"disintegrant,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9" s="2" t="n"/>
      <c r="L89" s="2">
        <f>IFERROR(__xludf.DUMMYFUNCTION("""COMPUTED_VALUE"""),"SAR &amp; Drug Design")</f>
        <v/>
      </c>
      <c r="M89" s="2">
        <f>IFERROR(__xludf.DUMMYFUNCTION("""COMPUTED_VALUE"""),"Product")</f>
        <v/>
      </c>
      <c r="N89" s="2">
        <f>IFERROR(__xludf.DUMMYFUNCTION("""COMPUTED_VALUE"""),"ข้อ 23 Pharma Plus เล่มม่วง (เฉลยข้อ ง)")</f>
        <v/>
      </c>
      <c r="O89" s="2">
        <f>IFERROR(__xludf.DUMMYFUNCTION("""COMPUTED_VALUE"""),"Mock")</f>
        <v/>
      </c>
      <c r="P89" s="2">
        <f>IFERROR(__xludf.DUMMYFUNCTION("""COMPUTED_VALUE"""),"Pharma Plus เล่มม่วง")</f>
        <v/>
      </c>
    </row>
    <row r="90" ht="13.2" customHeight="1" s="37">
      <c r="A90" s="2">
        <f>IFERROR(__xludf.DUMMYFUNCTION("""COMPUTED_VALUE"""),"24")</f>
        <v/>
      </c>
      <c r="B90" s="2">
        <f>IFERROR(__xludf.DUMMYFUNCTION("""COMPUTED_VALUE"""),"ยาปฏิชีวนะข้อใดที่ไม่มีโครงสร้าง B-lactam ring")</f>
        <v/>
      </c>
      <c r="C90" s="2" t="n"/>
      <c r="D90" s="2">
        <f>IFERROR(__xludf.DUMMYFUNCTION("""COMPUTED_VALUE"""),"Ciprofloxacin")</f>
        <v/>
      </c>
      <c r="E90" s="2">
        <f>IFERROR(__xludf.DUMMYFUNCTION("""COMPUTED_VALUE"""),"Amoxycillin")</f>
        <v/>
      </c>
      <c r="F90" s="2">
        <f>IFERROR(__xludf.DUMMYFUNCTION("""COMPUTED_VALUE"""),"Imipenam")</f>
        <v/>
      </c>
      <c r="G90" s="2">
        <f>IFERROR(__xludf.DUMMYFUNCTION("""COMPUTED_VALUE"""),"Cloxacillin")</f>
        <v/>
      </c>
      <c r="H90" s="2">
        <f>IFERROR(__xludf.DUMMYFUNCTION("""COMPUTED_VALUE"""),"Cefazolin")</f>
        <v/>
      </c>
      <c r="I90" s="2">
        <f>IFERROR(__xludf.DUMMYFUNCTION("""COMPUTED_VALUE"""),"1")</f>
        <v/>
      </c>
      <c r="J90" s="2">
        <f>IFERROR(__xludf.DUMMYFUNCTION("""COMPUTED_VALUE"""),"✅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Ci"&amp;"profloxacin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"&amp;"และ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ข้อนี้ไม่ใช่คำตอบที่ถูกต้องสำหรับภาว"&amp;"ะ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(Cloxac"&amp;"illin):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surgical"&amp;"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pharmacopoe"&amp;"ia limits สำหรับ stability, dissolution และ uniformity
• Defect Troubleshooting: วิเคราะห์สาเหตุและวิธีแก้ไขปัญหา formulation defects เชิงสูตรตำรับ")</f>
        <v/>
      </c>
      <c r="K90" s="2" t="n"/>
      <c r="L90" s="2">
        <f>IFERROR(__xludf.DUMMYFUNCTION("""COMPUTED_VALUE"""),"SAR &amp; Drug Design")</f>
        <v/>
      </c>
      <c r="M90" s="2">
        <f>IFERROR(__xludf.DUMMYFUNCTION("""COMPUTED_VALUE"""),"Product")</f>
        <v/>
      </c>
      <c r="N90" s="2">
        <f>IFERROR(__xludf.DUMMYFUNCTION("""COMPUTED_VALUE"""),"ข้อ 24 Pharma Plus เล่มม่วง (เฉลยข้อ ก)")</f>
        <v/>
      </c>
      <c r="O90" s="2">
        <f>IFERROR(__xludf.DUMMYFUNCTION("""COMPUTED_VALUE"""),"Mock")</f>
        <v/>
      </c>
      <c r="P90" s="2">
        <f>IFERROR(__xludf.DUMMYFUNCTION("""COMPUTED_VALUE"""),"Pharma Plus เล่มม่วง")</f>
        <v/>
      </c>
    </row>
    <row r="91" ht="13.2" customHeight="1" s="37">
      <c r="A91" s="2">
        <f>IFERROR(__xludf.DUMMYFUNCTION("""COMPUTED_VALUE"""),"25")</f>
        <v/>
      </c>
      <c r="B91" s="2">
        <f>IFERROR(__xludf.DUMMYFUNCTION("""COMPUTED_VALUE"""),"จากสูตรโครงสร้างของยา amoxacillin นี้ตำแหน่งไหนที่ถูกทำลายได้ง่ายและมีผลต่อการดื้อยา")</f>
        <v/>
      </c>
      <c r="C91" s="2" t="n"/>
      <c r="D91" s="2">
        <f>IFERROR(__xludf.DUMMYFUNCTION("""COMPUTED_VALUE"""),"Covalent Irreversible Enzyme Inhibition")</f>
        <v/>
      </c>
      <c r="E91" s="2">
        <f>IFERROR(__xludf.DUMMYFUNCTION("""COMPUTED_VALUE"""),"Structure-Activity Relationship (SAR) Optimization")</f>
        <v/>
      </c>
      <c r="F91" s="2">
        <f>IFERROR(__xludf.DUMMYFUNCTION("""COMPUTED_VALUE"""),"Bioisosteric Replacement (Carboxylic acid → Tetrazole)")</f>
        <v/>
      </c>
      <c r="G91" s="2">
        <f>IFERROR(__xludf.DUMMYFUNCTION("""COMPUTED_VALUE"""),"Prodrug Design via Esterification for Oral Bioavailability")</f>
        <v/>
      </c>
      <c r="H91" s="2">
        <f>IFERROR(__xludf.DUMMYFUNCTION("""COMPUTED_VALUE"""),"Cytochrome P450 CYP3A4 Phase I Oxidation")</f>
        <v/>
      </c>
      <c r="I91" s="2">
        <f>IFERROR(__xludf.DUMMYFUNCTION("""COMPUTED_VALUE"""),"3")</f>
        <v/>
      </c>
      <c r="J91" s="2">
        <f>IFERROR(__xludf.DUMMYFUNCTION("""COMPUTED_VALUE"""),"✅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dissolution"&amp;"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ซ"&amp;"ึ่งเปราะบางและถูกทำลายได้ง่ายด้วยเอนไซม์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"&amp;"ก.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ข้อนี้ไม่ใช่คำตอบที"&amp;"่ถูกต้องสำหรับภาวะ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เนื่องจากกลไกการออกฤ"&amp;"ทธิ์,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["&amp;"NEED_REVIEW]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91" s="2" t="n"/>
      <c r="L91" s="2">
        <f>IFERROR(__xludf.DUMMYFUNCTION("""COMPUTED_VALUE"""),"SAR &amp; Drug Design")</f>
        <v/>
      </c>
      <c r="M91" s="2">
        <f>IFERROR(__xludf.DUMMYFUNCTION("""COMPUTED_VALUE"""),"Product")</f>
        <v/>
      </c>
      <c r="N91" s="2">
        <f>IFERROR(__xludf.DUMMYFUNCTION("""COMPUTED_VALUE"""),"ข้อ 25 Pharma Plus เล่มม่วง (เฉลยข้อ ค)")</f>
        <v/>
      </c>
      <c r="O91" s="2">
        <f>IFERROR(__xludf.DUMMYFUNCTION("""COMPUTED_VALUE"""),"Mock")</f>
        <v/>
      </c>
      <c r="P91" s="2">
        <f>IFERROR(__xludf.DUMMYFUNCTION("""COMPUTED_VALUE"""),"Pharma Plus เล่มม่วง")</f>
        <v/>
      </c>
    </row>
    <row r="92" ht="13.2" customHeight="1" s="37">
      <c r="A92" s="2">
        <f>IFERROR(__xludf.DUMMYFUNCTION("""COMPUTED_VALUE"""),"26")</f>
        <v/>
      </c>
      <c r="B92" s="2">
        <f>IFERROR(__xludf.DUMMYFUNCTION("""COMPUTED_VALUE"""),"ข้อใดผิดเกี่ยวกับ penicillin")</f>
        <v/>
      </c>
      <c r="C92" s="2" t="n"/>
      <c r="D92" s="2">
        <f>IFERROR(__xludf.DUMMYFUNCTION("""COMPUTED_VALUE"""),"Pen G มี chain เป็น Benzoyl group")</f>
        <v/>
      </c>
      <c r="E92" s="2">
        <f>IFERROR(__xludf.DUMMYFUNCTION("""COMPUTED_VALUE"""),"Pen G potassium ละลายได้ดีกว่า Pen G")</f>
        <v/>
      </c>
      <c r="F92" s="2">
        <f>IFERROR(__xludf.DUMMYFUNCTION("""COMPUTED_VALUE"""),"Benzathine Pen G เป็นเกลือของ Pen G")</f>
        <v/>
      </c>
      <c r="G92" s="2">
        <f>IFERROR(__xludf.DUMMYFUNCTION("""COMPUTED_VALUE"""),"B-lactamase ถูก Hydrolyze ด้วยกรด")</f>
        <v/>
      </c>
      <c r="H92" s="2">
        <f>IFERROR(__xludf.DUMMYFUNCTION("""COMPUTED_VALUE"""),"Procaine penicillin G ถูกดูดได้ดีในทางเดินอาหาร")</f>
        <v/>
      </c>
      <c r="I92" s="2">
        <f>IFERROR(__xludf.DUMMYFUNCTION("""COMPUTED_VALUE"""),"5")</f>
        <v/>
      </c>
      <c r="J92" s="2">
        <f>IFERROR(__xludf.DUMMYFUNCTION("""COMPUTED_VALUE"""),"✅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ต"&amp;"ามมาตรฐาน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เท่าน"&amp;"ั้น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(Pen"&amp;"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Dr"&amp;"ug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หรือข้อบ่งใช้ไม่ตรงกับโจทย์ที่กำหนด"&amp;"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แม่น"&amp;"ยำในบทบาทหน้าที่ของ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เชิงสูตรตำร"&amp;"ับ")</f>
        <v/>
      </c>
      <c r="K92" s="2" t="n"/>
      <c r="L92" s="2">
        <f>IFERROR(__xludf.DUMMYFUNCTION("""COMPUTED_VALUE"""),"SAR &amp; Drug Design")</f>
        <v/>
      </c>
      <c r="M92" s="2">
        <f>IFERROR(__xludf.DUMMYFUNCTION("""COMPUTED_VALUE"""),"Product")</f>
        <v/>
      </c>
      <c r="N92" s="2">
        <f>IFERROR(__xludf.DUMMYFUNCTION("""COMPUTED_VALUE"""),"ข้อ 26 Pharma Plus เล่มม่วง (เฉลยข้อ จ)")</f>
        <v/>
      </c>
      <c r="O92" s="2">
        <f>IFERROR(__xludf.DUMMYFUNCTION("""COMPUTED_VALUE"""),"Mock")</f>
        <v/>
      </c>
      <c r="P92" s="2">
        <f>IFERROR(__xludf.DUMMYFUNCTION("""COMPUTED_VALUE"""),"Pharma Plus เล่มม่วง")</f>
        <v/>
      </c>
    </row>
    <row r="93" ht="13.2" customHeight="1" s="37">
      <c r="A93" s="2">
        <f>IFERROR(__xludf.DUMMYFUNCTION("""COMPUTED_VALUE"""),"27")</f>
        <v/>
      </c>
      <c r="B93" s="2">
        <f>IFERROR(__xludf.DUMMYFUNCTION("""COMPUTED_VALUE"""),"Doxycycline มีสูตรโครงสร้างรูป เป็นยากลุ่มเดียวกันกับยาใด")</f>
        <v/>
      </c>
      <c r="C93" s="2" t="n"/>
      <c r="D93" s="2">
        <f>IFERROR(__xludf.DUMMYFUNCTION("""COMPUTED_VALUE"""),"Tetracycline")</f>
        <v/>
      </c>
      <c r="E93" s="2">
        <f>IFERROR(__xludf.DUMMYFUNCTION("""COMPUTED_VALUE"""),"Penicillin")</f>
        <v/>
      </c>
      <c r="F93" s="2">
        <f>IFERROR(__xludf.DUMMYFUNCTION("""COMPUTED_VALUE"""),"Cotrimazole")</f>
        <v/>
      </c>
      <c r="G93" s="2">
        <f>IFERROR(__xludf.DUMMYFUNCTION("""COMPUTED_VALUE"""),"Sulfamethoxazole")</f>
        <v/>
      </c>
      <c r="H93" s="2">
        <f>IFERROR(__xludf.DUMMYFUNCTION("""COMPUTED_VALUE"""),"Amoxicillin")</f>
        <v/>
      </c>
      <c r="I93" s="2">
        <f>IFERROR(__xludf.DUMMYFUNCTION("""COMPUTED_VALUE"""),"1")</f>
        <v/>
      </c>
      <c r="J93" s="2">
        <f>IFERROR(__xludf.DUMMYFUNCTION("""COMPUTED_VALUE"""),"✅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Tet"&amp;"racycline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B"&amp;"ritish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หรือข้อบ่งใ"&amp;"ช้ไม่ตรงกับโจทย์ที่กำหนด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D"&amp;"esign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sinusit"&amp;"is)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Def"&amp;"ect Troubleshooting: วิเคราะห์สาเหตุและวิธีแก้ไขปัญหา formulation defects เชิงสูตรตำรับ")</f>
        <v/>
      </c>
      <c r="K93" s="2" t="n"/>
      <c r="L93" s="2">
        <f>IFERROR(__xludf.DUMMYFUNCTION("""COMPUTED_VALUE"""),"SAR &amp; Drug Design")</f>
        <v/>
      </c>
      <c r="M93" s="2">
        <f>IFERROR(__xludf.DUMMYFUNCTION("""COMPUTED_VALUE"""),"Product")</f>
        <v/>
      </c>
      <c r="N93" s="2">
        <f>IFERROR(__xludf.DUMMYFUNCTION("""COMPUTED_VALUE"""),"ข้อ 27 Pharma Plus เล่มม่วง (เฉลยข้อ ก)")</f>
        <v/>
      </c>
      <c r="O93" s="2">
        <f>IFERROR(__xludf.DUMMYFUNCTION("""COMPUTED_VALUE"""),"Mock")</f>
        <v/>
      </c>
      <c r="P93" s="2">
        <f>IFERROR(__xludf.DUMMYFUNCTION("""COMPUTED_VALUE"""),"Pharma Plus เล่มม่วง")</f>
        <v/>
      </c>
    </row>
    <row r="94" ht="13.2" customHeight="1" s="37">
      <c r="A94" s="2">
        <f>IFERROR(__xludf.DUMMYFUNCTION("""COMPUTED_VALUE"""),"28")</f>
        <v/>
      </c>
      <c r="B94" s="2">
        <f>IFERROR(__xludf.DUMMYFUNCTION("""COMPUTED_VALUE"""),"เกี่ยวกับโครงสร้างของสารดังรูป ทุกข้อต่อไปนี้ถูกต้อง ยกเว้นข้อใด")</f>
        <v/>
      </c>
      <c r="C94" s="2" t="n"/>
      <c r="D94" s="2">
        <f>IFERROR(__xludf.DUMMYFUNCTION("""COMPUTED_VALUE"""),"เป็นสารในกลุ่ม 8-aminoquinoline")</f>
        <v/>
      </c>
      <c r="E94" s="2">
        <f>IFERROR(__xludf.DUMMYFUNCTION("""COMPUTED_VALUE"""),"ตัวอย่างยาในกลุ่มนี้ได้แก่ primaquine")</f>
        <v/>
      </c>
      <c r="F94" s="2">
        <f>IFERROR(__xludf.DUMMYFUNCTION("""COMPUTED_VALUE"""),"ถ้ามี Cl ที่ตำแหน่ง 7 จะทำให้ได้ฤทธิ์สูงสุด และมีพิษน้อย")</f>
        <v/>
      </c>
      <c r="G94" s="2">
        <f>IFERROR(__xludf.DUMMYFUNCTION("""COMPUTED_VALUE"""),"Dialkylamino alkylamine side chain จะให้ฤทธิ์สูงสุดเมื่อ n = 2, 5 หรือ 6")</f>
        <v/>
      </c>
      <c r="H94" s="2">
        <f>IFERROR(__xludf.DUMMYFUNCTION("""COMPUTED_VALUE"""),"Quinoline ring system และอนุพันธ์ให้ผลที่ดีกว่า acridine ring system")</f>
        <v/>
      </c>
      <c r="I94" s="2">
        <f>IFERROR(__xludf.DUMMYFUNCTION("""COMPUTED_VALUE"""),"4")</f>
        <v/>
      </c>
      <c r="J94" s="2">
        <f>IFERROR(__xludf.DUMMYFUNCTION("""COMPUTED_VALUE"""),"✅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("&amp;"Cl)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(หัวข"&amp;"้อ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"&amp;"primaquine):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Dr"&amp;"ug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หร"&amp;"ือข้อบ่งใช้ไม่ตรงกับโจทย์ที่กำหนด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94" s="2" t="n"/>
      <c r="L94" s="2">
        <f>IFERROR(__xludf.DUMMYFUNCTION("""COMPUTED_VALUE"""),"SAR &amp; Drug Design")</f>
        <v/>
      </c>
      <c r="M94" s="2">
        <f>IFERROR(__xludf.DUMMYFUNCTION("""COMPUTED_VALUE"""),"Product")</f>
        <v/>
      </c>
      <c r="N94" s="2">
        <f>IFERROR(__xludf.DUMMYFUNCTION("""COMPUTED_VALUE"""),"ข้อ 28 Pharma Plus เล่มม่วง (เฉลยข้อ ง)")</f>
        <v/>
      </c>
      <c r="O94" s="2">
        <f>IFERROR(__xludf.DUMMYFUNCTION("""COMPUTED_VALUE"""),"Mock")</f>
        <v/>
      </c>
      <c r="P94" s="2">
        <f>IFERROR(__xludf.DUMMYFUNCTION("""COMPUTED_VALUE"""),"Pharma Plus เล่มม่วง")</f>
        <v/>
      </c>
    </row>
    <row r="95" ht="13.2" customHeight="1" s="37">
      <c r="A95" s="2">
        <f>IFERROR(__xludf.DUMMYFUNCTION("""COMPUTED_VALUE"""),"29")</f>
        <v/>
      </c>
      <c r="B95" s="2">
        <f>IFERROR(__xludf.DUMMYFUNCTION("""COMPUTED_VALUE"""),"จากสูตรโครงสร้างของ folic acid ข้อใดกล่าวไม่ถูกต้อง")</f>
        <v/>
      </c>
      <c r="C95" s="2" t="n"/>
      <c r="D95" s="2">
        <f>IFERROR(__xludf.DUMMYFUNCTION("""COMPUTED_VALUE"""),"เป็น water soluble vitamin")</f>
        <v/>
      </c>
      <c r="E95" s="2">
        <f>IFERROR(__xludf.DUMMYFUNCTION("""COMPUTED_VALUE"""),"เรียกอีกอย่างหนึ่งว่า vitamin B9")</f>
        <v/>
      </c>
      <c r="F95" s="2">
        <f>IFERROR(__xludf.DUMMYFUNCTION("""COMPUTED_VALUE"""),"เกี่ยวข้องกับการสร้าง DNA และ RNA")</f>
        <v/>
      </c>
      <c r="G95" s="2">
        <f>IFERROR(__xludf.DUMMYFUNCTION("""COMPUTED_VALUE"""),"มนุษย์สามารถสังเคราะห์ folic acid ได้")</f>
        <v/>
      </c>
      <c r="H95" s="2">
        <f>IFERROR(__xludf.DUMMYFUNCTION("""COMPUTED_VALUE"""),"ใน IR chromatogram จะเห็น peak ที่ชัดเจน ที่ค่าความถี่ประมาณ 1,700 cm⁻¹")</f>
        <v/>
      </c>
      <c r="I95" s="2">
        <f>IFERROR(__xludf.DUMMYFUNCTION("""COMPUTED_VALUE"""),"4")</f>
        <v/>
      </c>
      <c r="J95" s="2">
        <f>IFERROR(__xludf.DUMMYFUNCTION("""COMPUTED_VALUE"""),"✅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แต่ร่างกาย"&amp;"มนุษย์ไม่สามารถสังเคราะห์ขึ้นเองได้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Practic"&amp;"e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(เรียกอีกอย่าง"&amp;"หนึ่งว่า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เนื่"&amp;"องจากกลไกการออกฤทธิ์,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หรือข้อบ่งใช้"&amp;"ไม่ตรงกับโจทย์ที่กำหนด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แ"&amp;"ละ uniformity
• Defect Troubleshooting: วิเคราะห์สาเหตุและวิธีแก้ไขปัญหา formulation defects เชิงสูตรตำรับ")</f>
        <v/>
      </c>
      <c r="K95" s="2" t="n"/>
      <c r="L95" s="2">
        <f>IFERROR(__xludf.DUMMYFUNCTION("""COMPUTED_VALUE"""),"SAR &amp; Drug Design")</f>
        <v/>
      </c>
      <c r="M95" s="2">
        <f>IFERROR(__xludf.DUMMYFUNCTION("""COMPUTED_VALUE"""),"Product")</f>
        <v/>
      </c>
      <c r="N95" s="2">
        <f>IFERROR(__xludf.DUMMYFUNCTION("""COMPUTED_VALUE"""),"ข้อ 29 Pharma Plus เล่มม่วง (เฉลยข้อ ง)")</f>
        <v/>
      </c>
      <c r="O95" s="2">
        <f>IFERROR(__xludf.DUMMYFUNCTION("""COMPUTED_VALUE"""),"Mock")</f>
        <v/>
      </c>
      <c r="P95" s="2">
        <f>IFERROR(__xludf.DUMMYFUNCTION("""COMPUTED_VALUE"""),"Pharma Plus เล่มม่วง")</f>
        <v/>
      </c>
    </row>
    <row r="96" ht="13.2" customHeight="1" s="37">
      <c r="A96" s="2">
        <f>IFERROR(__xludf.DUMMYFUNCTION("""COMPUTED_VALUE"""),"30")</f>
        <v/>
      </c>
      <c r="B96" s="2">
        <f>IFERROR(__xludf.DUMMYFUNCTION("""COMPUTED_VALUE"""),"จากโครงสร้าง ไม่สามารถใช้ในผู้ป่วยกลุ่มใด")</f>
        <v/>
      </c>
      <c r="C96" s="2" t="n"/>
      <c r="D96" s="2">
        <f>IFERROR(__xludf.DUMMYFUNCTION("""COMPUTED_VALUE"""),"Pediatric")</f>
        <v/>
      </c>
      <c r="E96" s="2">
        <f>IFERROR(__xludf.DUMMYFUNCTION("""COMPUTED_VALUE"""),"Cirrhosis/Hepatitis")</f>
        <v/>
      </c>
      <c r="F96" s="2">
        <f>IFERROR(__xludf.DUMMYFUNCTION("""COMPUTED_VALUE"""),"Pregnancy")</f>
        <v/>
      </c>
      <c r="G96" s="2">
        <f>IFERROR(__xludf.DUMMYFUNCTION("""COMPUTED_VALUE"""),"Renal failure")</f>
        <v/>
      </c>
      <c r="H96" s="2">
        <f>IFERROR(__xludf.DUMMYFUNCTION("""COMPUTED_VALUE"""),"Sulfa allergy")</f>
        <v/>
      </c>
      <c r="I96" s="2">
        <f>IFERROR(__xludf.DUMMYFUNCTION("""COMPUTED_VALUE"""),"5")</f>
        <v/>
      </c>
      <c r="J96" s="2">
        <f>IFERROR(__xludf.DUMMYFUNCTION("""COMPUTED_VALUE"""),"✅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Su"&amp;"lfa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เนื่องจากอาจเกิดปฏิกิริยาก"&amp;"ารแพ้ยาข้ามกลุ่ม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Desi"&amp;"gn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"&amp;"ข้อนี้ไม่ใช่คำตอบที่ถูกต้องสำหรับภาวะ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หรือข้อบ่งใ"&amp;"ช้ไม่ตรงกับโจทย์ที่กำหนด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dissolution"&amp;" และ uniformity
• Defect Troubleshooting: วิเคราะห์สาเหตุและวิธีแก้ไขปัญหา formulation defects เชิงสูตรตำรับ")</f>
        <v/>
      </c>
      <c r="K96" s="2" t="n"/>
      <c r="L96" s="2">
        <f>IFERROR(__xludf.DUMMYFUNCTION("""COMPUTED_VALUE"""),"SAR &amp; Drug Design")</f>
        <v/>
      </c>
      <c r="M96" s="2">
        <f>IFERROR(__xludf.DUMMYFUNCTION("""COMPUTED_VALUE"""),"Product")</f>
        <v/>
      </c>
      <c r="N96" s="2">
        <f>IFERROR(__xludf.DUMMYFUNCTION("""COMPUTED_VALUE"""),"ข้อ 30 Pharma Plus เล่มม่วง (เฉลยข้อ จ)")</f>
        <v/>
      </c>
      <c r="O96" s="2">
        <f>IFERROR(__xludf.DUMMYFUNCTION("""COMPUTED_VALUE"""),"Mock")</f>
        <v/>
      </c>
      <c r="P96" s="2">
        <f>IFERROR(__xludf.DUMMYFUNCTION("""COMPUTED_VALUE"""),"Pharma Plus เล่มม่วง")</f>
        <v/>
      </c>
    </row>
    <row r="97" ht="13.2" customHeight="1" s="37">
      <c r="A97" s="2">
        <f>IFERROR(__xludf.DUMMYFUNCTION("""COMPUTED_VALUE"""),"31")</f>
        <v/>
      </c>
      <c r="B97" s="2">
        <f>IFERROR(__xludf.DUMMYFUNCTION("""COMPUTED_VALUE"""),"จากโครงสร้างของยา glybenclamide ข้อใดเป็นเหตุผลที่ทำให้ duration นานขึ้น")</f>
        <v/>
      </c>
      <c r="C97" s="2" t="n"/>
      <c r="D97" s="2">
        <f>IFERROR(__xludf.DUMMYFUNCTION("""COMPUTED_VALUE"""),"สามารถหมุนแสง polarized ได้")</f>
        <v/>
      </c>
      <c r="E97" s="2">
        <f>IFERROR(__xludf.DUMMYFUNCTION("""COMPUTED_VALUE"""),"สามารถวิเคราะห์ได้โดยใช้วิธี HPLC-UV detection")</f>
        <v/>
      </c>
      <c r="F97" s="2">
        <f>IFERROR(__xludf.DUMMYFUNCTION("""COMPUTED_VALUE"""),"หมู่ซัลโฟไททำให้โครงสร้างมีความเป็นกรด")</f>
        <v/>
      </c>
      <c r="G97" s="2">
        <f>IFERROR(__xludf.DUMMYFUNCTION("""COMPUTED_VALUE"""),"หมู่ยูเรียทำให้โครงสร้างมีความเป็นเบส")</f>
        <v/>
      </c>
      <c r="H97" s="2">
        <f>IFERROR(__xludf.DUMMYFUNCTION("""COMPUTED_VALUE"""),"วงแหวนอะโรมาติกปลาย ซึ่งมีหมู่คลอโรในเมตาบอไลต์โดยกระบวนการออกซิเดชันได้")</f>
        <v/>
      </c>
      <c r="I97" s="2">
        <f>IFERROR(__xludf.DUMMYFUNCTION("""COMPUTED_VALUE"""),"5")</f>
        <v/>
      </c>
      <c r="J97" s="2">
        <f>IFERROR(__xludf.DUMMYFUNCTION("""COMPUTED_VALUE"""),"✅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พร้อมห"&amp;"มู่แทนที่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of"&amp;"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(สามารถวิเคราะห์ไ"&amp;"ด้โดยใช้วิธี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"&amp;"Drug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หรือข้อบ่งใช้ไม่ตรงกับโจทย์ที่ก"&amp;"ำหนด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De"&amp;"fect Troubleshooting: วิเคราะห์สาเหตุและวิธีแก้ไขปัญหา formulation defects เชิงสูตรตำรับ")</f>
        <v/>
      </c>
      <c r="K97" s="2" t="n"/>
      <c r="L97" s="2">
        <f>IFERROR(__xludf.DUMMYFUNCTION("""COMPUTED_VALUE"""),"SAR &amp; Drug Design")</f>
        <v/>
      </c>
      <c r="M97" s="2">
        <f>IFERROR(__xludf.DUMMYFUNCTION("""COMPUTED_VALUE"""),"Product")</f>
        <v/>
      </c>
      <c r="N97" s="2">
        <f>IFERROR(__xludf.DUMMYFUNCTION("""COMPUTED_VALUE"""),"ข้อ 31 Pharma Plus เล่มม่วง (เฉลยข้อ จ)")</f>
        <v/>
      </c>
      <c r="O97" s="2">
        <f>IFERROR(__xludf.DUMMYFUNCTION("""COMPUTED_VALUE"""),"Mock")</f>
        <v/>
      </c>
      <c r="P97" s="2">
        <f>IFERROR(__xludf.DUMMYFUNCTION("""COMPUTED_VALUE"""),"Pharma Plus เล่มม่วง")</f>
        <v/>
      </c>
    </row>
    <row r="98" ht="13.2" customHeight="1" s="37">
      <c r="A98" s="2">
        <f>IFERROR(__xludf.DUMMYFUNCTION("""COMPUTED_VALUE"""),"32")</f>
        <v/>
      </c>
      <c r="B98" s="2">
        <f>IFERROR(__xludf.DUMMYFUNCTION("""COMPUTED_VALUE"""),"จากสูตรโครงสร้างต่อไปนี้ของยา glipizide จัดว่าเป็นยากลุ่มใด")</f>
        <v/>
      </c>
      <c r="C98" s="2" t="n"/>
      <c r="D98" s="2">
        <f>IFERROR(__xludf.DUMMYFUNCTION("""COMPUTED_VALUE"""),"Biguanides")</f>
        <v/>
      </c>
      <c r="E98" s="2">
        <f>IFERROR(__xludf.DUMMYFUNCTION("""COMPUTED_VALUE"""),"Nicotinic acids")</f>
        <v/>
      </c>
      <c r="F98" s="2">
        <f>IFERROR(__xludf.DUMMYFUNCTION("""COMPUTED_VALUE"""),"Sulfonylurea compounds")</f>
        <v/>
      </c>
      <c r="G98" s="2">
        <f>IFERROR(__xludf.DUMMYFUNCTION("""COMPUTED_VALUE"""),"Nucleoside analogue")</f>
        <v/>
      </c>
      <c r="H98" s="2">
        <f>IFERROR(__xludf.DUMMYFUNCTION("""COMPUTED_VALUE"""),"Sulfones")</f>
        <v/>
      </c>
      <c r="I98" s="2">
        <f>IFERROR(__xludf.DUMMYFUNCTION("""COMPUTED_VALUE"""),"3")</f>
        <v/>
      </c>
      <c r="J98" s="2">
        <f>IFERROR(__xludf.DUMMYFUNCTION("""COMPUTED_VALUE"""),"✅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ซึ่งใช้เป็นยาลดระดับน้ำตา"&amp;"ลในเลือด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ef"&amp;"ficacy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ข้อนี้ไม่ใช่คำตอบที่ถูกต้"&amp;"องสำหรับภาวะ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G"&amp;"uideline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Troub"&amp;"leshooting: วิเคราะห์สาเหตุและวิธีแก้ไขปัญหา formulation defects เชิงสูตรตำรับ")</f>
        <v/>
      </c>
      <c r="K98" s="2" t="n"/>
      <c r="L98" s="2">
        <f>IFERROR(__xludf.DUMMYFUNCTION("""COMPUTED_VALUE"""),"SAR &amp; Drug Design")</f>
        <v/>
      </c>
      <c r="M98" s="2">
        <f>IFERROR(__xludf.DUMMYFUNCTION("""COMPUTED_VALUE"""),"Product")</f>
        <v/>
      </c>
      <c r="N98" s="2">
        <f>IFERROR(__xludf.DUMMYFUNCTION("""COMPUTED_VALUE"""),"ข้อ 32 Pharma Plus เล่มม่วง (เฉลยข้อ ค)")</f>
        <v/>
      </c>
      <c r="O98" s="2">
        <f>IFERROR(__xludf.DUMMYFUNCTION("""COMPUTED_VALUE"""),"Mock")</f>
        <v/>
      </c>
      <c r="P98" s="2">
        <f>IFERROR(__xludf.DUMMYFUNCTION("""COMPUTED_VALUE"""),"Pharma Plus เล่มม่วง")</f>
        <v/>
      </c>
    </row>
    <row r="99" ht="13.2" customHeight="1" s="37">
      <c r="A99" s="2">
        <f>IFERROR(__xludf.DUMMYFUNCTION("""COMPUTED_VALUE"""),"33")</f>
        <v/>
      </c>
      <c r="B99" s="2">
        <f>IFERROR(__xludf.DUMMYFUNCTION("""COMPUTED_VALUE"""),"โครงสร้างต่อไปนี้เป็นโครงสร้างของยากลุ่มใด")</f>
        <v/>
      </c>
      <c r="C99" s="2" t="n"/>
      <c r="D99" s="2">
        <f>IFERROR(__xludf.DUMMYFUNCTION("""COMPUTED_VALUE"""),"Iodoperoxidase inhibitor")</f>
        <v/>
      </c>
      <c r="E99" s="2">
        <f>IFERROR(__xludf.DUMMYFUNCTION("""COMPUTED_VALUE"""),"Sulfonylurea")</f>
        <v/>
      </c>
      <c r="F99" s="2">
        <f>IFERROR(__xludf.DUMMYFUNCTION("""COMPUTED_VALUE"""),"Thyroid hormone")</f>
        <v/>
      </c>
      <c r="G99" s="2">
        <f>IFERROR(__xludf.DUMMYFUNCTION("""COMPUTED_VALUE"""),"Biguanide")</f>
        <v/>
      </c>
      <c r="H99" s="2">
        <f>IFERROR(__xludf.DUMMYFUNCTION("""COMPUTED_VALUE"""),"Insulin analog")</f>
        <v/>
      </c>
      <c r="I99" s="2">
        <f>IFERROR(__xludf.DUMMYFUNCTION("""COMPUTED_VALUE"""),"4")</f>
        <v/>
      </c>
      <c r="J99" s="2">
        <f>IFERROR(__xludf.DUMMYFUNCTION("""COMPUTED_VALUE"""),"✅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Biguan"&amp;"ide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thyr"&amp;"oid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ข้อนี้ไ"&amp;"ม่ใช่คำตอบที่ถูกต้องสำหรับภาวะ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หรือข้อบ่งใช้ไม่ตรง"&amp;"กับโจทย์ที่กำหนด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"&amp;"เนื่องจากกลไกการออกฤทธิ์,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99" s="2" t="n"/>
      <c r="L99" s="2">
        <f>IFERROR(__xludf.DUMMYFUNCTION("""COMPUTED_VALUE"""),"SAR &amp; Drug Design")</f>
        <v/>
      </c>
      <c r="M99" s="2">
        <f>IFERROR(__xludf.DUMMYFUNCTION("""COMPUTED_VALUE"""),"Product")</f>
        <v/>
      </c>
      <c r="N99" s="2">
        <f>IFERROR(__xludf.DUMMYFUNCTION("""COMPUTED_VALUE"""),"ข้อ 33 Pharma Plus เล่มม่วง (เฉลยข้อ ง)")</f>
        <v/>
      </c>
      <c r="O99" s="2">
        <f>IFERROR(__xludf.DUMMYFUNCTION("""COMPUTED_VALUE"""),"Mock")</f>
        <v/>
      </c>
      <c r="P99" s="2">
        <f>IFERROR(__xludf.DUMMYFUNCTION("""COMPUTED_VALUE"""),"Pharma Plus เล่มม่วง")</f>
        <v/>
      </c>
    </row>
    <row r="100" ht="13.2" customHeight="1" s="37">
      <c r="A100" s="2">
        <f>IFERROR(__xludf.DUMMYFUNCTION("""COMPUTED_VALUE"""),"34")</f>
        <v/>
      </c>
      <c r="B100" s="2">
        <f>IFERROR(__xludf.DUMMYFUNCTION("""COMPUTED_VALUE"""),"ชื่อเรียกทั่วไปของยาที่มีโครงสร้างในรูป คือ (ยา PTU)")</f>
        <v/>
      </c>
      <c r="C100" s="2" t="n"/>
      <c r="D100" s="2">
        <f>IFERROR(__xludf.DUMMYFUNCTION("""COMPUTED_VALUE"""),"6 propyl 3 thiouracil")</f>
        <v/>
      </c>
      <c r="E100" s="2">
        <f>IFERROR(__xludf.DUMMYFUNCTION("""COMPUTED_VALUE"""),"1 propyl 5 thiouracil")</f>
        <v/>
      </c>
      <c r="F100" s="2">
        <f>IFERROR(__xludf.DUMMYFUNCTION("""COMPUTED_VALUE"""),"2 propyl 6 thiouracil")</f>
        <v/>
      </c>
      <c r="G100" s="2">
        <f>IFERROR(__xludf.DUMMYFUNCTION("""COMPUTED_VALUE"""),"2 propyl 5 thiouracil")</f>
        <v/>
      </c>
      <c r="H100" s="2">
        <f>IFERROR(__xludf.DUMMYFUNCTION("""COMPUTED_VALUE"""),"6 propyl 2 thiouracil")</f>
        <v/>
      </c>
      <c r="I100" s="2">
        <f>IFERROR(__xludf.DUMMYFUNCTION("""COMPUTED_VALUE"""),"5")</f>
        <v/>
      </c>
      <c r="J100" s="2">
        <f>IFERROR(__xludf.DUMMYFUNCTION("""COMPUTED_VALUE"""),"✅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ซึ่งตำแหน่"&amp;"งที่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propyl"&amp;"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เนื่องจากกลไกการออกฤทธ"&amp;"ิ์,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ข้อนี้ไม่ใช"&amp;"่คำตอบที่ถูกต้องสำหรับภาวะ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disintegr"&amp;"ant,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0" s="2" t="n"/>
      <c r="L100" s="2">
        <f>IFERROR(__xludf.DUMMYFUNCTION("""COMPUTED_VALUE"""),"SAR &amp; Drug Design")</f>
        <v/>
      </c>
      <c r="M100" s="2">
        <f>IFERROR(__xludf.DUMMYFUNCTION("""COMPUTED_VALUE"""),"Product")</f>
        <v/>
      </c>
      <c r="N100" s="2">
        <f>IFERROR(__xludf.DUMMYFUNCTION("""COMPUTED_VALUE"""),"ข้อ 34 Pharma Plus เล่มม่วง (เฉลยข้อ จ)")</f>
        <v/>
      </c>
      <c r="O100" s="2">
        <f>IFERROR(__xludf.DUMMYFUNCTION("""COMPUTED_VALUE"""),"Mock")</f>
        <v/>
      </c>
      <c r="P100" s="2">
        <f>IFERROR(__xludf.DUMMYFUNCTION("""COMPUTED_VALUE"""),"Pharma Plus เล่มม่วง")</f>
        <v/>
      </c>
    </row>
    <row r="101" ht="13.2" customHeight="1" s="37">
      <c r="A101" s="2">
        <f>IFERROR(__xludf.DUMMYFUNCTION("""COMPUTED_VALUE"""),"35")</f>
        <v/>
      </c>
      <c r="B101" s="2">
        <f>IFERROR(__xludf.DUMMYFUNCTION("""COMPUTED_VALUE"""),"จากโครงสร้างของยา 3 ชนิด (methimazole, carbimazole และ propylthiouracil)
ข้อใดถูกต้องเกี่ยวกับยา methimazole, carbimazole และ propylthiouracil")</f>
        <v/>
      </c>
      <c r="C101" s="2" t="n"/>
      <c r="D101" s="2">
        <f>IFERROR(__xludf.DUMMYFUNCTION("""COMPUTED_VALUE"""),"Methimazole, carbimazole และ propylthiouracil ถูก metabolized โดยปฏิกิริยา desulfunation ก่อนจึงจะได้สารที่มีฤทธิ์ทางเภสัชวิทยา")</f>
        <v/>
      </c>
      <c r="E101" s="2">
        <f>IFERROR(__xludf.DUMMYFUNCTION("""COMPUTED_VALUE"""),"Propylthiouracil จะถูก metabolized โดยปฏิกิริยา dealkylation ซึ่งจะตัด Propyl group ออกก่อนจึงจะได้สารที่มีฤทธิ์ทางเภสัชวิทยา")</f>
        <v/>
      </c>
      <c r="F101" s="2">
        <f>IFERROR(__xludf.DUMMYFUNCTION("""COMPUTED_VALUE"""),"Methimazole จะถูก metabolized โดยปฏิกิริยา conjugation ได้เป็น carbimazole จึงจะได้สารที่มีฤทธิ์ทางเภสัชวิทยาที่ต้องการ")</f>
        <v/>
      </c>
      <c r="G101" s="2">
        <f>IFERROR(__xludf.DUMMYFUNCTION("""COMPUTED_VALUE"""),"ต้องเกิดปฏิกิริยา amide hydrolysis กับโครงสร้าง carbimazole จึงจะได้สารที่มีฤทธิ์ทางเภสัชวิทยาที่ต้องการ")</f>
        <v/>
      </c>
      <c r="H101" s="2">
        <f>IFERROR(__xludf.DUMMYFUNCTION("""COMPUTED_VALUE"""),"ต้องเกิดปฏิกิริยา ester hydrolysis กับโครงสร้าง carbimazole จึงจะได้สารที่มีฤทธิ์ทางเภสัชวิทยาที่ต้องการ")</f>
        <v/>
      </c>
      <c r="I101" s="2">
        <f>IFERROR(__xludf.DUMMYFUNCTION("""COMPUTED_VALUE"""),"4")</f>
        <v/>
      </c>
      <c r="J101" s="2">
        <f>IFERROR(__xludf.DUMMYFUNCTION("""COMPUTED_VALUE"""),"✅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excipie"&amp;"nts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คำอธิบายและเหตุผลทางเภสั"&amp;"ชกรรม: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peroxidase"&amp;"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ก่อนจึงจะไ"&amp;"ด้สารที่มีฤทธิ์ทางเภสัชวิทยา):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metaboli"&amp;"zed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แต่เสี่ยงต"&amp;"่อ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สูงกว่าและตับเป็นพ"&amp;"ิษน้อยกว่า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เนื่"&amp;"องจากกลไกการออกฤทธิ์,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pharmaco"&amp;"poeia limits สำหรับ stability, dissolution และ uniformity
• Defect Troubleshooting: วิเคราะห์สาเหตุและวิธีแก้ไขปัญหา formulation defects เชิงสูตรตำรับ")</f>
        <v/>
      </c>
      <c r="K101" s="2" t="n"/>
      <c r="L101" s="2">
        <f>IFERROR(__xludf.DUMMYFUNCTION("""COMPUTED_VALUE"""),"SAR &amp; Drug Design")</f>
        <v/>
      </c>
      <c r="M101" s="2">
        <f>IFERROR(__xludf.DUMMYFUNCTION("""COMPUTED_VALUE"""),"Product")</f>
        <v/>
      </c>
      <c r="N101" s="2">
        <f>IFERROR(__xludf.DUMMYFUNCTION("""COMPUTED_VALUE"""),"ข้อ 35 Pharma Plus เล่มม่วง (เฉลยข้อ ง)")</f>
        <v/>
      </c>
      <c r="O101" s="2">
        <f>IFERROR(__xludf.DUMMYFUNCTION("""COMPUTED_VALUE"""),"Mock")</f>
        <v/>
      </c>
      <c r="P101" s="2">
        <f>IFERROR(__xludf.DUMMYFUNCTION("""COMPUTED_VALUE"""),"Pharma Plus เล่มม่วง")</f>
        <v/>
      </c>
    </row>
  </sheetData>
  <mergeCells count="1">
    <mergeCell ref="A1:Q1"/>
  </mergeCells>
  <dataValidations count="3">
    <dataValidation sqref="C3" showDropDown="0" showInputMessage="0" showErrorMessage="0" allowBlank="1" type="list">
      <formula1>"ทั้งหมด,ชุด 1,2567,2566,2565,2558"</formula1>
    </dataValidation>
    <dataValidation sqref="D3" showDropDown="0" showInputMessage="0" showErrorMessage="1" allowBlank="1" type="list">
      <formula1>"ทั้งหมด,Clinic,Product,SAP"</formula1>
    </dataValidation>
    <dataValidation sqref="B3" showDropDown="0" showInputMessage="0" showErrorMessage="1" allowBlank="1" type="list">
      <formula1>"ทั้งหมด,Mock,ข้อสอบจริง"</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P219"/>
  <sheetViews>
    <sheetView tabSelected="1" topLeftCell="C1" zoomScale="70" workbookViewId="0">
      <pane ySplit="2" topLeftCell="A219" activePane="bottomLeft" state="frozen"/>
      <selection pane="bottomLeft" activeCell="A3" sqref="A3:P219"/>
    </sheetView>
  </sheetViews>
  <sheetFormatPr baseColWidth="8" defaultColWidth="12.6640625" defaultRowHeight="15.75" customHeight="1"/>
  <cols>
    <col width="8.44140625" customWidth="1" style="37" min="1" max="1"/>
    <col width="56.44140625" customWidth="1" style="37" min="2" max="2"/>
    <col width="13.77734375" customWidth="1" style="37" min="8" max="8"/>
    <col width="13.33203125" customWidth="1" style="37" min="9" max="9"/>
    <col width="60.109375" customWidth="1" style="37" min="10" max="10"/>
    <col width="26.109375" customWidth="1" style="37" min="15" max="15"/>
    <col width="16.44140625" customWidth="1" style="37" min="16" max="16"/>
  </cols>
  <sheetData>
    <row r="1" ht="26.25" customHeight="1" s="37">
      <c r="A1" s="34">
        <f>HYPERLINK("#gid=0", "🏠 กลับสู่หน้าแรก (Go to Home Page)")</f>
        <v/>
      </c>
      <c r="B1" s="35" t="n"/>
      <c r="C1" s="35" t="n"/>
      <c r="D1" s="35" t="n"/>
      <c r="E1" s="35" t="n"/>
      <c r="F1" s="35" t="n"/>
      <c r="G1" s="35" t="n"/>
      <c r="H1" s="35" t="n"/>
      <c r="I1" s="35" t="n"/>
      <c r="J1" s="35" t="n"/>
      <c r="K1" s="35" t="n"/>
      <c r="L1" s="35" t="n"/>
      <c r="M1" s="35" t="n"/>
      <c r="N1" s="35" t="n"/>
      <c r="O1" s="35" t="n"/>
      <c r="P1" s="35" t="n"/>
    </row>
    <row r="2" ht="64.8" customHeight="1" s="37">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row>
    <row r="3" ht="409.6" customHeight="1" s="37">
      <c r="A3" s="35" t="n">
        <v>1</v>
      </c>
      <c r="B3" s="35" t="inlineStr">
        <is>
          <t>ผู้ป่วยหญิงอายุ 65 ปี มาด้วยอาการปวดบวมข้อเท้าและหัวแม่เท้าด้านขวา แพทย์วินิจฉัยเป็นโรคเกาต์อักเสบเฉียบพลัน และผลการตรวจทางห้องปฏิบัติการพบระดับกรดยูริกในเลือด (Serum uric acid) = 8.5 mg/dL ผู้ป่วยไม่มีโรคประจำตัวและไม่มีประวัติแพ้ยา ผู้ป่วยรายนี้ควรได้รับยาชนิดใดเป็นอันดับแรกสำหรับการรักษาอาการปวดข้อเท้าของผู้ป่วย อ้างอิงตามแนวทางเวชปฏิบัติการดูแลรักษาโรคเกาต์</t>
        </is>
      </c>
      <c r="C3" s="35" t="n"/>
      <c r="D3" s="35" t="inlineStr">
        <is>
          <t>Tramadol</t>
        </is>
      </c>
      <c r="E3" s="35" t="inlineStr">
        <is>
          <t>Naproxen</t>
        </is>
      </c>
      <c r="F3" s="35" t="inlineStr">
        <is>
          <t>Pethidine</t>
        </is>
      </c>
      <c r="G3" s="35" t="inlineStr">
        <is>
          <t>Probenecid</t>
        </is>
      </c>
      <c r="H3" s="35" t="inlineStr">
        <is>
          <t>Allopurinol</t>
        </is>
      </c>
      <c r="I3" s="35" t="n">
        <v>2</v>
      </c>
      <c r="J3" s="35" t="inlineStr">
        <is>
          <t>✅ คำตอบที่ถูกต้อง: ข้อ ข. Naproxen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Naproxen ยาต้านการอักเสบที่ไม่ใช่สเตียรอยด์ (NSAIDs) เช่น Naproxen เป็นยา first-line ในการรักษาภาวะข้ออักเสบเกาต์เฉียบพลัน (Acute Gout Flare) ในผู้ป่วยที่ไม่มี contraindication สำหรับยาลดกรดยูริก (Allopurinol, Probenecid) ห้ามเริ่มต้นใช้ในช่วงที่ข้ออักเสบเฉียบพลันยังไม่สงบ (หากคนไข้ยังไม่เคยได้มาก่อน) เนื่องจากทำให้กรดยูริกแกว่งและกระตุ้นให้อักเสบเพิ่มขึ้น ส่วน Tramadol/Pethidine เป็นยาแก้ปวดที่ไม่มีฤทธิ์ต้านการอักเสบจึงไม่เหมาะสมเป็นลำดับแรก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(Probenecid): เป็น Uricosuric drug ขับกรดยูริกทางไต ไม่มีฤทธิ์แก้อักเสบเฉียบพลัน และ contraindication ในผู้ป่วย renal calculi (นิ่วในไต) หรือ eGFR &lt; 30 mL/min
• ข้อ จ.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 s="35" t="n"/>
      <c r="L3" s="35" t="inlineStr">
        <is>
          <t>Gout</t>
        </is>
      </c>
      <c r="M3" s="35" t="inlineStr">
        <is>
          <t>Clinic</t>
        </is>
      </c>
      <c r="N3" s="35" t="inlineStr">
        <is>
          <t>Gout Acute Flare: First-line = NSAIDs / Colchicine. ห้ามเริ่มยาลดกรดยูริกขณะ acute flare</t>
        </is>
      </c>
      <c r="O3" s="35" t="inlineStr">
        <is>
          <t>ข้อสอบจริง</t>
        </is>
      </c>
      <c r="P3" s="35" t="inlineStr">
        <is>
          <t>2567</t>
        </is>
      </c>
    </row>
    <row r="4" ht="409.6" customHeight="1" s="37">
      <c r="A4" s="35" t="n">
        <v>2</v>
      </c>
      <c r="B4" s="35" t="inlineStr">
        <is>
          <t>สำหรับผู้ป่วยโรคเกาต์ อาหารในข้อใดที่ผู้ป่วยสามารถรับประทานได้โดยไม่ต้องหลีกเลี่ยงหรือจำกัดปริมาณการรับประทานอย่างเข้มงวด</t>
        </is>
      </c>
      <c r="C4" s="35" t="n"/>
      <c r="D4" s="35" t="inlineStr">
        <is>
          <t>น้ำผลไม้รสหวานที่มีน้ำตาล Fructose สูง</t>
        </is>
      </c>
      <c r="E4" s="35" t="inlineStr">
        <is>
          <t>ตับทอดหรือเครื่องในสัตว์</t>
        </is>
      </c>
      <c r="F4" s="35" t="inlineStr">
        <is>
          <t>เครื่องดื่มประเภทเบียร์หรือแอลกอฮอล์</t>
        </is>
      </c>
      <c r="G4" s="35" t="inlineStr">
        <is>
          <t>นมหรือผลิตภัณฑ์นมประเภทพร่องมันเนย (Low-fat dairy products)</t>
        </is>
      </c>
      <c r="H4" s="35" t="inlineStr">
        <is>
          <t>ปีกไก่ทอดหรือสัตว์ปีก</t>
        </is>
      </c>
      <c r="I4" s="35" t="n">
        <v>4</v>
      </c>
      <c r="J4" s="35" t="inlineStr">
        <is>
          <t>✅ คำตอบที่ถูกต้อง: ข้อ ง. นมหรือผลิตภัณฑ์นมประเภทพร่องมันเนย (Low-fat dairy products)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นมหรือผลิตภัณฑ์นมประเภทพร่องมันเนย (Low-fat dairy products) อาหารประเภทนมพร่องมันเนย (Low-fat dairy products) มีรายงานการศึกษาทางคลินิกว่าช่วยลดระดับกรดยูริกในเลือดและลดความถี่ในการกำเริบของข้ออักเสบเกาต์ได้ (มีฤทธิ์ Uricosuric อ่อนๆ) ขณะที่น้ำผลไม้รสหวาน (มี Fructose สูง), เครื่องในสัตว์, แอลกอฮอล์ (เบียร์/สุรา) และสัตว์ปีก ล้วนเป็นอาหารพิวรีนสูงหรือกระตุ้นการสร้างกรดยูริกและลดการขับกรดยูริกทางไต ซึ่งผู้ป่วยต้องหลีกเลี่ยง
🔍 ข้ออื่นผิดเพราะอะไร:
• ข้อ ก. (น้ำผลไม้รสหวานที่มีน้ำตาล Fructose สูง): เป็นเครื่องดื่มที่มี Fructose สูง ซึ่งกระตุ้นการสลาย ATP ในตับกลายเป็น AMP และเร่งการสร้าง Uric acid อีกทั้งยังลดการขับออกทางไต จึงเป็นข้อห้ามสำหรับผู้ป่วยเกาต์
• ข้อ ข. (ตับทอดหรือเครื่องในสัตว์): ตับทอดและเครื่องในสัตว์เป็นอาหารที่มีปริมาณพิวรีนสูงมาก (High purine) ซึ่งจะถูกเผาผลาญโดยเอนไซม์ Xanthine oxidase กลายเป็นกรดยูริก ทำให้ระดับกรดยูริกในเลือดเพิ่มสูงขึ้น
• ข้อ ค. (เครื่องดื่มประเภทเบียร์หรือแอลกอฮอล์): แอลกอฮอล์โดยเฉพาะเบียร์มีสารกัวโนซีนสูงและกระตุ้นการสร้างกรดแลกติก ซึ่งกรดแลกติกจะไปแข่งขันยับยั้งการขับกรดยูริกออกทางท่อไต ทำให้กรดยูริกคั่งและข้ออักเสบกำเริบ
• ข้อ จ. (ปีกไก่ทอดหรือสัตว์ปีก): สัตว์ปีกและปีกไก่จัดเป็นอาหารที่มีพิวรีนปานกลางถึงสูง ซึ่งเป็นสารตั้งต้นในการสร้างกรดยูริกและเพิ่มความเสี่ยงในการกำเริบของข้ออักเสบเกาต์ ผู้ป่วยควรจำกัดปริมาณ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 s="35" t="n"/>
      <c r="L4" s="35" t="inlineStr">
        <is>
          <t>Gout</t>
        </is>
      </c>
      <c r="M4" s="35" t="inlineStr">
        <is>
          <t>Clinic</t>
        </is>
      </c>
      <c r="N4" s="35" t="inlineStr">
        <is>
          <t>Gout Lifestyle: Low-fat dairy ช่วยลดกรดยูริก; หลีกเลี่ยง High-fructose, แอลกอฮอล์, เครื่องใน</t>
        </is>
      </c>
      <c r="O4" s="35" t="inlineStr">
        <is>
          <t>ข้อสอบจริง</t>
        </is>
      </c>
      <c r="P4" s="35" t="inlineStr">
        <is>
          <t>2567</t>
        </is>
      </c>
    </row>
    <row r="5" ht="409.6" customHeight="1" s="37">
      <c r="A5" s="35" t="n">
        <v>3</v>
      </c>
      <c r="B5" s="35" t="inlineStr">
        <is>
          <t>ผู้ป่วยชายได้รับการวินิจฉัยว่าเป็นโรคเกาต์ (Gout) ในระยะข้ออักเสบเฉียบพลัน แพทย์สั่งใช้ยา Colchicine ขนาด 0.6 mg ครั้งละ 2 เม็ดทันที (Stat) จากนั้นให้รับประทานครั้งละ 1 เม็ดทุก 2 ชั่วโมงจนกว่าอาการปวดจะบรรเทา จากแผนการใช้ยาดังกล่าว ข้อใดคือผลข้างเคียงที่พบได้บ่อยที่สุดและมีแนวโน้มจะเกิดขึ้นได้หากใช้ยา Colchicine ตามขนาดที่ระบุข้างต้น</t>
        </is>
      </c>
      <c r="C5" s="35" t="n"/>
      <c r="D5" s="35" t="inlineStr">
        <is>
          <t>ปวดศีรษะรุนแรง</t>
        </is>
      </c>
      <c r="E5" s="35" t="inlineStr">
        <is>
          <t>ผื่นลมพิษตามผิวหนัง</t>
        </is>
      </c>
      <c r="F5" s="35" t="inlineStr">
        <is>
          <t>ท้องเสียถ่ายเหลว (Diarrhea)</t>
        </is>
      </c>
      <c r="G5" s="35" t="inlineStr">
        <is>
          <t>ปัสสาวะเป็นเลือด</t>
        </is>
      </c>
      <c r="H5" s="35" t="inlineStr">
        <is>
          <t>ความดันโลหิตต่ำฉับพลัน</t>
        </is>
      </c>
      <c r="I5" s="35" t="n">
        <v>3</v>
      </c>
      <c r="J5" s="35" t="inlineStr">
        <is>
          <t>✅ คำตอบที่ถูกต้อง: ข้อ ค.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ADR จากการใช้ยา Colchicine ขนาดสูงแบบดั้งเดิม (เช่น กินทุก 2 ชั่วโมงจนกว่าจะหายปวดหรือท้องเสีย) ที่พบบ่อยที่สุดและเป็นสัญญาณเตือนการเกิดพิษเฉียบพลันคือ อาการทางระบบทางเดินอาหาร โดยเฉพาะอาการท้องเสียอย่างรุนแรง (Diarrhea) คลื่นไส้ อาเจียน
🔍 ข้ออื่นผิดเพราะอะไร:
• ข้อ ก. (ปวดศีรษะรุนแรง): ปวดศีรษะรุนแรงไม่ใช่ผลข้างเคียงหลักที่พบได้บ่อยจาก Colchicine พิษของยาชนิดนี้มักจำเพาะต่อเซลล์ที่มีการแบ่งตัวเร็วเช่นเซลล์เยื่อบุทางเดินอาหารมากกว่าระบบประสาท
• ข้อ ข. (ผื่นลมพิษตามผิวหนัง): ผื่นลมพิษตามผิวหนังเป็นปฏิกิริยาการแพ้ยาแบบ Type I hypersensitivity ซึ่งพบได้น้อยมากและไม่ใช่ผลข้างเคียงตามกลไกการออกฤทธิ์ (Type A ADR) ของ Colchicine
• ข้อ ง. (ปัสสาวะเป็นเลือด): ปัสสาวะเป็นเลือดเป็นอาการของนิ่วในทางเดินปัสสาวะหรือผลจากยาลดกรดยูริกกลุ่ม Uricosuric ไม่ใช่ผลข้างเคียงที่พบได้บ่อยจากการใช้ Colchicine ในขนาดสูง
• ข้อ จ. (ความดันโลหิตต่ำฉับพลัน): ความดันโลหิตต่ำฉับพลันไม่ใช่ผลข้างเคียงเบื้องต้นของ Colchicine แม้ว่าพิษรุนแรงแบบ multi-organ failure ในระยะท้ายอาจทำให้เกิดภาวะช็อกได้ แต่ไม่ใช่สิ่งที่พบได้บ่อยที่สุด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 s="35" t="n"/>
      <c r="L5" s="35" t="inlineStr">
        <is>
          <t>Gout</t>
        </is>
      </c>
      <c r="M5" s="35" t="inlineStr">
        <is>
          <t>Clinic</t>
        </is>
      </c>
      <c r="N5" s="35" t="inlineStr">
        <is>
          <t>Colchicine Toxicity: สัญญาณเตือนพิษเฉียบพลัน = Diarrhea, N/V. แนะนำ Low-dose regimen</t>
        </is>
      </c>
      <c r="O5" s="35" t="inlineStr">
        <is>
          <t>ข้อสอบจริง</t>
        </is>
      </c>
      <c r="P5" s="35" t="inlineStr">
        <is>
          <t>2567</t>
        </is>
      </c>
    </row>
    <row r="6" ht="409.6" customHeight="1" s="37">
      <c r="A6" s="35" t="n">
        <v>4</v>
      </c>
      <c r="B6" s="35" t="inlineStr">
        <is>
          <t>หากผู้ป่วยโรคเกาต์ตรวจพบยีนหรืออัลลีลเสี่ยงต่อการแพ้ยารุนแรงชนิด HLA-B58:01 ห้ามใช้ยาในข้อใดต่อไปนี้</t>
        </is>
      </c>
      <c r="C6" s="35" t="n"/>
      <c r="D6" s="35" t="inlineStr">
        <is>
          <t>Allopurinol</t>
        </is>
      </c>
      <c r="E6" s="35" t="inlineStr">
        <is>
          <t>Febuxostat</t>
        </is>
      </c>
      <c r="F6" s="35" t="inlineStr">
        <is>
          <t>Benzbromarone</t>
        </is>
      </c>
      <c r="G6" s="35" t="inlineStr">
        <is>
          <t>Probenecid</t>
        </is>
      </c>
      <c r="H6" s="35" t="inlineStr">
        <is>
          <t>Lesinurad</t>
        </is>
      </c>
      <c r="I6" s="35" t="n">
        <v>1</v>
      </c>
      <c r="J6" s="35"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ผู้ป่วยโรคเกาต์ที่ตรวจพบยีนหรืออัลลีลเสี่ยงต่อการแพ้ยารุนแรงชนิด HLA-B58:01 จะมีความเสี่ยงสูงมากต่อการเกิดปฏิกิริยาการแพ้ผิวหนังรุนแรง (Severe Cutaneous Adverse Reactions: SCARs) ได้แก่ Stevens-Johnson Syndrome (SJS) และ Toxic Epidermal Necrolysis (TEN) จากการใช้ยา Allopurinol ดังนั้นจึงมี contraindication เด็ดขาดสำหรับยารายนี้ และควรเปลี่ยนไปใช้ยากลุ่มอื่นแทน เช่น Febuxostat หรือ Benzbromarone
🔍 ข้ออื่นผิดเพราะอะไร:
• ข้อ ข. (Febuxostat): Febuxostat เป็นยับยั้งเอนไซม์ Xanthine oxidase ชนิด non-purine selective ซึ่งไม่มีความสัมพันธ์ข้ามกลุ่ม (cross-reactivity) กับ HLA-B58:01 จึงสามารถใช้ได้อย่างปลอดภัยในผู้ป่วยที่มียีนนี้
• ข้อ ค. (Benzbromarone): Benzbromarone เป็นยากลุ่ม Uricosuric ที่ออกฤทธิ์ยับยั้งโปรตีน URAT1 ที่ท่อไต ไม่มีโครงสร้างหรือกลไกที่เกี่ยวข้องกับการกระตุ้นภูมิคุ้มกันผ่าน HLA-B58:01
• ข้อ ง. (Probenecid): Probenecid ออกฤทธิ์เพิ่มการขับกรดยูริกทางไตโดยยับยั้ง URAT1 ไม่มีความเกี่ยวข้องกับความเสี่ยง SCARs ผ่านยีน HLA-B58:01 แต่อย่างใด
• ข้อ จ. (Lesinurad): Lesinurad เป็นยากลุ่ม Selective Uric Acid Reabsorption Inhibitor (SURI) ซึ่งไม่มีโครงสร้างที่ไวต่อการแพ้ยารุนแรงที่จำเพาะกับอัลลีล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6" s="35" t="n"/>
      <c r="L6" s="35" t="inlineStr">
        <is>
          <t>Gout</t>
        </is>
      </c>
      <c r="M6" s="35" t="inlineStr">
        <is>
          <t>Clinic</t>
        </is>
      </c>
      <c r="N6" s="35" t="inlineStr">
        <is>
          <t>Allopurinol SCARs: ผู้ป่วยไทยมีความชุกของ HLA-B58:01 สูง เสี่ยง SJS/TEN ต้องคัดกรอง</t>
        </is>
      </c>
      <c r="O6" s="35" t="inlineStr">
        <is>
          <t>ข้อสอบจริง</t>
        </is>
      </c>
      <c r="P6" s="35" t="inlineStr">
        <is>
          <t>2567</t>
        </is>
      </c>
    </row>
    <row r="7" ht="409.6" customHeight="1" s="37">
      <c r="A7" s="35" t="n">
        <v>5</v>
      </c>
      <c r="B7" s="35" t="inlineStr">
        <is>
          <t>ผู้ป่วยชายอายุ 65 ปี มาด้วยอาการปวดข้อเข่าเรื้อรัง จับข้อเข่ามีเสียงกรอบแกรบ (Crepitus) และมีอาการข้อติดบริเวณข้อเข่าหลังตื่นนอนตอนเช้า (Morning stiffness) นานน้อยกว่า 30 นาที คาดว่าเป็นอาการแสดงของโรคข้อในข้อใด</t>
        </is>
      </c>
      <c r="C7" s="35" t="n"/>
      <c r="D7" s="35" t="inlineStr">
        <is>
          <t>Osteoarthritis</t>
        </is>
      </c>
      <c r="E7" s="35" t="inlineStr">
        <is>
          <t>Osteoporosis</t>
        </is>
      </c>
      <c r="F7" s="35" t="inlineStr">
        <is>
          <t>Rheumatoid arthritis</t>
        </is>
      </c>
      <c r="G7" s="35" t="inlineStr">
        <is>
          <t>Gout</t>
        </is>
      </c>
      <c r="H7" s="35" t="inlineStr">
        <is>
          <t>Osteomalacia</t>
        </is>
      </c>
      <c r="I7" s="35" t="n">
        <v>1</v>
      </c>
      <c r="J7" s="35"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อาการแสดงเด่นของผู้ป่วยรายนี้ (อายุ 65 ปี, ปวดข้อเข่าเรื้อรัง, มีเสียงกรอบแกรบขณะขยับข้อ/Crepitus, มีข้อติดตอนเช้า/Morning stiffness นานน้อยกว่า 30 นาที) เป็นลักษณะทางคลินิกที่เข้าได้กับเกณฑ์การวินิจฉัยโรคข้อเสื่อม (Osteoarthritis: OA) ของ ACR แตกต่างจากข้ออักเสบรูมาตอยด์ (RA) ซึ่งมักพบ Morning stiffness นานกว่า 1 ชั่วโมง และมีการอักเสบของหลายข้อพร้อมกันแบบสมมาตร
🔍 ข้ออื่นผิดเพราะอะไร:
• ข้อ ข. (Osteoporosis): Osteoporosis (โรคกระดูกพรุน) เป็นภาวะที่มีความหนาแน่นของมวลกระดูกลดลง มักไม่มีอาการปวดข้อหรือเสียงกรอบแกรบในข้อ และไม่ได้ทำให้เกิดข้อติดตอนเช้า
• ข้อ ค. (Rheumatoid arthritis): Rheumatoid arthritis มักมีอาการข้ออักเสบแบบสมมาตรหลายข้อ (Polyarthritis) และมีอาการข้อติดตอนเช้า (Morning stiffness) นานกว่า 1 ชั่วโมง ไม่ใช่แบบสั้นๆ ต่ำกว่า 30 นาที
• ข้อ ง. (Gout): Gout เกิดจากการตกผลึกของ monosodium urate ในข้อ มักทำให้เกิดข้ออักเสบเฉียบพลัน บวม แดง ร้อนรุนแรงที่ข้อเดียว (Monoarthritis) เช่น ข้อนิ้วหัวแม่เท้า ไม่ใช่ข้อเสื่อมเรื้อรัง
• ข้อ จ. (Osteomalacia): Osteomalacia (โรคกระดูกอ่อน) เกิดจากการขาดวิตามินดี ทำให้กระดูกมีการสร้างแร่ธาตุไม่สมบูรณ์ ผู้ป่วยมักมีอาการปวดกระดูกแบบตื้อๆ ทั่วตัวหรือกล้ามเนื้ออ่อนแรง ไม่ใช่เสียงกรอบแกรบในข้อ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7" s="35" t="n"/>
      <c r="L7" s="35" t="inlineStr">
        <is>
          <t>Osteoarthritis</t>
        </is>
      </c>
      <c r="M7" s="35" t="inlineStr">
        <is>
          <t>Clinic</t>
        </is>
      </c>
      <c r="N7" s="35" t="inlineStr">
        <is>
          <t>OA Diagnosis: Morning stiffness &lt; 30 นาที, Crepitus, ปวดเมื่อใช้งาน ดีขึ้นเมื่อพัก</t>
        </is>
      </c>
      <c r="O7" s="35" t="inlineStr">
        <is>
          <t>ข้อสอบจริง</t>
        </is>
      </c>
      <c r="P7" s="35" t="inlineStr">
        <is>
          <t>2567</t>
        </is>
      </c>
    </row>
    <row r="8" ht="409.6" customHeight="1" s="37">
      <c r="A8" s="35" t="n">
        <v>6</v>
      </c>
      <c r="B8" s="35" t="inlineStr">
        <is>
          <t>จากกรณีศึกษาข้อก่อนหน้า หากผู้ป่วยไม่เคยได้รับยาแก้ปวดใด ๆ มาก่อน ข้อใดคือยาที่ควรใช้ในการเริ่มต้นการรักษาตามแนวทางเวชปฏิบัติปัจจุบัน</t>
        </is>
      </c>
      <c r="C8" s="35" t="n"/>
      <c r="D8" s="35" t="inlineStr">
        <is>
          <t>Oral NSAIDs (เช่น Diclofenac)</t>
        </is>
      </c>
      <c r="E8" s="35" t="inlineStr">
        <is>
          <t>Oral Paracetamol + Orphenadrine</t>
        </is>
      </c>
      <c r="F8" s="35" t="inlineStr">
        <is>
          <t>Oral Ondansetron</t>
        </is>
      </c>
      <c r="G8" s="35" t="inlineStr">
        <is>
          <t>Oral Tramadol</t>
        </is>
      </c>
      <c r="H8" s="35" t="inlineStr">
        <is>
          <t>Topical NSAIDs (เช่น Diclofenac emulgel)</t>
        </is>
      </c>
      <c r="I8" s="35" t="n">
        <v>5</v>
      </c>
      <c r="J8" s="35" t="inlineStr">
        <is>
          <t>✅ คำตอบที่ถูกต้อง: ข้อ จ.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 ข้ออื่นผิดเพราะอะไร:
• ข้อ ก. (Oral NSAIDs (เช่น Diclofenac)): Oral NSAIDs มีความเสี่ยงต่อระบบทางเดินอาหาร โรคหัวใจหลอดเลือด และไตสูงกว่ายาแบบทาภายนอก Guideline แนะนำให้ใช้ยาทาเฉพาะที่เป็น First-line ในผู้ป่วยที่ไม่มีข้อห้าม
• ข้อ ข. (Oral Paracetamol + Orphenadrine): Oral Paracetamol มีประสิทธิภาพต่ำในการลดปวดและอักเสบจากข้อเสื่อม Guideline ปัจจุบันของ ACR แนะนำเพียงแบบมีเงื่อนไข (Conditional) และไม่ใช้เป็น First-line
• ข้อ ค. (Oral Ondansetron): Oral Ondansetron เป็นยาต้านอาเจียนกลุ่ม 5-HT3 receptor antagonist ไม่มีกลไกหรือข้อบ่งใช้ในการลดความปวดหรือต้านการอักเสบในโรคข้อเสื่อมแต่อย่างใด
• ข้อ ง. (Oral Tramadol): Oral Tramadol เป็นยาแก้ปวดกลุ่ม Opioid อ่อนๆ ซึ่งมีผลข้างเคียงสูง เช่น ง่วงซึม คลื่นไส้ มักสงวนไว้สำหรับผู้ป่วยที่มีข้อห้ามใช้ NSAIDs หรือผู้ที่อาการไม่ดีขึ้นด้วยยาอื่น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8" s="35" t="n"/>
      <c r="L8" s="35" t="inlineStr">
        <is>
          <t>Osteoarthritis</t>
        </is>
      </c>
      <c r="M8" s="35" t="inlineStr">
        <is>
          <t>Clinic</t>
        </is>
      </c>
      <c r="N8" s="35" t="inlineStr">
        <is>
          <t>OA Knee First-line: Topical NSAIDs (Diclofenac emulgel) มีประสิทธิภาพดีและปลอดภัยต่อ GI/CV/Renal</t>
        </is>
      </c>
      <c r="O8" s="35" t="inlineStr">
        <is>
          <t>ข้อสอบจริง</t>
        </is>
      </c>
      <c r="P8" s="35" t="inlineStr">
        <is>
          <t>2567</t>
        </is>
      </c>
    </row>
    <row r="9" ht="409.6" customHeight="1" s="37">
      <c r="A9" s="35" t="n">
        <v>7</v>
      </c>
      <c r="B9" s="35" t="inlineStr">
        <is>
          <t>ผู้ป่วยโรคเกาต์ (Gout) ควรได้รับการตรวจวิเคราะห์หรือตรวจความปลอดภัยทางพันธุกรรมในข้อใด ก่อนเริ่มต้นการรักษาด้วยยา Allopurinol เพื่อป้องกันการแพ้ยารุนแรง</t>
        </is>
      </c>
      <c r="C9" s="35" t="n"/>
      <c r="D9" s="35" t="inlineStr">
        <is>
          <t>Alkaline phosphatase</t>
        </is>
      </c>
      <c r="E9" s="35" t="inlineStr">
        <is>
          <t>Hemoglobin</t>
        </is>
      </c>
      <c r="F9" s="35" t="inlineStr">
        <is>
          <t>Creatine phosphokinase</t>
        </is>
      </c>
      <c r="G9" s="35" t="inlineStr">
        <is>
          <t>HLA-B58:01</t>
        </is>
      </c>
      <c r="H9" s="35" t="inlineStr">
        <is>
          <t>CYP3A4 polymorphism</t>
        </is>
      </c>
      <c r="I9" s="35" t="n">
        <v>4</v>
      </c>
      <c r="J9" s="35"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การตรวจวิเคราะห์ทางพันธุกรรมเพื่อหาอัลลีล HLA-B58:01 มีความคุ้มค่าและแนะนำให้คัดกรองในผู้ป่วยชาวไทยและประชากรเอเชียตะวันออกก่อนเริ่มยา Allopurinol เพื่อประเมินความเสี่ยงและป้องกันการเกิดโรคแพ้ยาทางผิวหนังที่รุนแรงเฉียบพลันชนิด SCARs/TEN/DRESS
🔍 ข้ออื่นผิดเพราะอะไร:
• ข้อ ก. (Alkaline phosphatase): Alkaline phosphatase เป็นเอนไซม์ที่บ่งบอกถึงความผิดปกติของท่อน้ำดีหรือกระดูก ไม่ใช่ยีนหรือตัวบ่งชี้ทางพันธุกรรมที่ใช้ทำนายความเสี่ยงการเกิดปฏิกิริยาแพ้ยาผิวหนังรุนแรงจาก Allopurinol
• ข้อ ข. (Hemoglobin): Hemoglobin เป็นโปรตีนในเม็ดเลือดแดงที่ขนส่งออกซิเจน การประเมินค่า Hb ใช้สำหรับคัดกรองภาวะซีด ไม่เกี่ยวข้องกับความเสี่ยงการเกิด SCARs จากการใช้ยา Allopurinol
• ข้อ ค. (Creatine phosphokinase): Creatine phosphokinase เป็นเอนไซม์ที่บ่งชี้การบาดเจ็บของกล้ามเนื้อ (Myopathy) ใช้เฝ้าระวังผลข้างเคียงจากยากลุ่ม Statin ไม่ใช่การทดสอบทางพันธุกรรมเพื่อป้องกันการแพ้ยา Allopurinol
• ข้อ จ. (CYP3A4 polymorphism): CYP3A4 polymorphism เกี่ยวข้องกับกระบวนการเมแทบอลิซึมของยาในตับหลายชนิด แต่ Allopurinol ถูกเมแทบอไลซ์เป็นหลักผ่านเอนไซม์ Xanthine oxidase และไม่เกี่ยวข้องกับยีนนี้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9" s="35" t="n"/>
      <c r="L9" s="35" t="inlineStr">
        <is>
          <t>Gout</t>
        </is>
      </c>
      <c r="M9" s="35" t="inlineStr">
        <is>
          <t>Clinic</t>
        </is>
      </c>
      <c r="N9" s="35" t="inlineStr">
        <is>
          <t>Allopurinol Pharmacogenomics: ตรวจยีน HLA-B58:01 ก่อนเริ่มยาในคนไทยทุกราย</t>
        </is>
      </c>
      <c r="O9" s="35" t="inlineStr">
        <is>
          <t>ข้อสอบจริง</t>
        </is>
      </c>
      <c r="P9" s="35" t="inlineStr">
        <is>
          <t>2567</t>
        </is>
      </c>
    </row>
    <row r="10" ht="409.6" customHeight="1" s="37">
      <c r="A10" s="35" t="n">
        <v>8</v>
      </c>
      <c r="B10" s="35" t="inlineStr">
        <is>
          <t>เหตุใดแพทย์จึงสั่งใช้ยา Colchicine ขนาดต่ำ (เช่น 0.6 mg วันละครั้ง) ควบคู่กับยา Allopurinol ในระยะเริ่มต้นการรักษาโรคเกาต์ระยะยาว</t>
        </is>
      </c>
      <c r="C10" s="35" t="n"/>
      <c r="D10" s="35" t="inlineStr">
        <is>
          <t>เพื่อป้องกันการเกิดข้ออักเสบเฉียบพลัน (Gout flare prophylaxis) ในระยะเริ่มยาลดกรดยูริก</t>
        </is>
      </c>
      <c r="E10" s="35" t="inlineStr">
        <is>
          <t>เสริมฤทธิ์ยา Allopurinol ในการขับกรดยูริกโดยทำหน้าที่คนละกลไก</t>
        </is>
      </c>
      <c r="F10" s="35" t="inlineStr">
        <is>
          <t>ป้องกันการเกิดก้อนโทฟัส (Tophi) ตามข้อต่าง ๆ</t>
        </is>
      </c>
      <c r="G10" s="35" t="inlineStr">
        <is>
          <t>ป้องกันการสะสมและการตกผลึกของสาร Xanthine ในหลอดเลือด</t>
        </is>
      </c>
      <c r="H10" s="35" t="inlineStr">
        <is>
          <t>เสริมฤทธิ์ยา Allopurinol โดยช่วยลดการขับถ่ายยาออกทางไต</t>
        </is>
      </c>
      <c r="I10" s="35" t="n">
        <v>1</v>
      </c>
      <c r="J10" s="35" t="inlineStr">
        <is>
          <t>✅ คำตอบที่ถูกต้อง: ข้อ ก. เพื่อป้องกันการเกิดข้ออักเสบเฉียบพลัน (Gout flare prophylaxis) ในระยะเริ่มยาลดกรดยูริก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prophylaxis) ในระยะเริ่มยาลดกรดยูริก ในช่วงเริ่มต้นรักษาโรคเกาต์ด้วยยาลดระดับกรดยูริก (ULT เช่น Allopurinol) ระดับกรดยูริกในกระแสเลือดจะลดลงอย่างรวดเร็ว ส่งผลให้เกิดการละลายของผลึกเกลือยูเรต (Urate crystal dissolution) ที่สะสมอยู่ในข้อ ทำให้กระตุ้นให้เกิดภาวะข้ออักเสบเฉียบพลันกำเริบขึ้นได้ (Gout flare) แพทย์จึงสั่งใช้ยา Colchicine ขนาดต่ำ (0.6 mg วันละครั้ง) เพื่อทำหน้าที่ต้านอักเสบและป้องกันไม่ให้อาการข้ออักเสบเฉียบพลันกำเริบในช่วง 3-6 เดือนแรกของการเริ่ม ULT
🔍 ข้ออื่นผิดเพราะอะไร:
• ข้อ ข. (เสริมฤทธิ์ยา Allopurinol ในการขับกรดยูริกโดยทำหน้าที่คนละกลไก): Colchicine ออกฤทธิ์ลดการอักเสบโดยยับยั้งการเคลื่อนที่ของเม็ดเลือดขาว (Microtubule inhibitor) ไม่ได้มีฤทธิ์ขับกรดยูริก หรือเสริมกลไกของ Allopurinol ที่ออกฤทธิ์ที่ Xanthine oxidase
• ข้อ ค. (ป้องกันการเกิดก้อนโทฟัส (Tophi) ตามข้อต่าง ๆ): การป้องกันหรือสลายก้อนโทฟัส (Tophi) เป็นผลจากระดับกรดยูริกในเลือดที่ลดลงอย่างต่อเนื่องจากยาลดกรดยูริกเช่น Allopurinol ไม่ใช่ผลโดยตรงจากฤทธิ์ต้านอักเสบของ Colchicine
• ข้อ ง. (ป้องกันการสะสมและการตกผลึกของสาร Xanthine ในหลอดเลือด): สาร Xanthine เกิดจากการยับยั้ง Xanthine oxidase โดย Allopurinol การสะสมของ Xanthine ไม่ได้ถูกป้องกันด้วย Colchicine ซึ่งไม่มีผลต่อกระบวนการสร้างหรือขับถ่ายพิวรีน
• ข้อ จ. (เสริมฤทธิ์ยา Allopurinol โดยช่วยลดการขับถ่ายยาออกทางไต): Colchicine ไม่มีอันตรกิริยา (Drug interaction) ที่ช่วยลดการขับถ่ายยา Allopurinol ออกทางไต กลไกของยาทั้งสองไม่มีส่วนเสริมฤทธิ์กันในแง่ของเภสัชจลนศาสตร์ (Pharmacokinetics)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0" s="35" t="n"/>
      <c r="L10" s="35" t="inlineStr">
        <is>
          <t>Gout</t>
        </is>
      </c>
      <c r="M10" s="35" t="inlineStr">
        <is>
          <t>Clinic</t>
        </is>
      </c>
      <c r="N10" s="35" t="inlineStr">
        <is>
          <t>Gout Flare Prophylaxis: ให้ Colchicine / NSAID ร่วมกับ Allopurinol นานอย่างน้อย 3-6 เดือน</t>
        </is>
      </c>
      <c r="O10" s="35" t="inlineStr">
        <is>
          <t>ข้อสอบจริง</t>
        </is>
      </c>
      <c r="P10" s="35" t="inlineStr">
        <is>
          <t>2567</t>
        </is>
      </c>
    </row>
    <row r="11" ht="409.6" customHeight="1" s="37">
      <c r="A11" s="35" t="n">
        <v>9</v>
      </c>
      <c r="B11" s="35" t="inlineStr">
        <is>
          <t>ยาบรรเทาอาการปวดอักเสบในข้อใดที่แนะนำให้ใช้เป็นอันดับแรก (First-line) สำหรับผู้ป่วยที่มีอาการปวดข้อเข่าเสื่อม (Osteoarthritis) ในระดับน้อย (Pain score = 2/10) ตามแนวทางเวชปฏิบัติของ American College of Rheumatology (ACR) ปี 2019</t>
        </is>
      </c>
      <c r="C11" s="35" t="n"/>
      <c r="D11" s="35" t="inlineStr">
        <is>
          <t>Oral Paracetamol + Orphenadrine</t>
        </is>
      </c>
      <c r="E11" s="35" t="inlineStr">
        <is>
          <t>Topical NSAIDs (เช่น Diclofenac emulgel)</t>
        </is>
      </c>
      <c r="F11" s="35" t="inlineStr">
        <is>
          <t>Oral Tramadol</t>
        </is>
      </c>
      <c r="G11" s="35" t="inlineStr">
        <is>
          <t>Oral Diclofenac sodium</t>
        </is>
      </c>
      <c r="H11" s="35" t="inlineStr">
        <is>
          <t>Glucosamine sulfate oral capsule</t>
        </is>
      </c>
      <c r="I11" s="35" t="n">
        <v>2</v>
      </c>
      <c r="J11" s="35" t="inlineStr">
        <is>
          <t>✅ คำตอบที่ถูกต้อง: ข้อ ข.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ตามแนวทาง ACR 2019 แนะนำใช้ Topical NSAIDs เป็น First-line สำหรับผู้ป่วยโรคข้อเข่าเสื่อม (Knee OA) เนื่องจากมีข้อแนะนำสนับสนุนที่เข้มแข็ง (Strongly recommended) และปลอดภัยกว่าการใช้ยาแก้ปวดชนิดรับประทานทั่วไป สำหรับ Paracetamol เป็นเพียงข้อแนะนำแบบมีเงื่อนไข (Conditionally recommended) และมี efficacy ลดปวดในข้อเสื่อมต่ำ
🔍 ข้ออื่นผิดเพราะอะไร:
• ข้อ ก. (Oral Paracetamol + Orphenadrine): Oral Paracetamol มีประสิทธิภาพลดปวดข้อเสื่อมได้น้อยกว่า NSAIDs แนวทาง ACR 2019 แนะนำให้ใช้แบบมีเงื่อนไข (Conditional) และไม่ถือเป็น First-line treatment เมื่อเทียบกับยาทาเฉพาะที่
• ข้อ ค. (Oral Tramadol): Oral Tramadol เป็นยากลุ่ม Weak opioid ที่มีผลข้างเคียงสูง เช่น คลื่นไส้ เวียนศีรษะ แนวทาง ACR แนะนำให้ใช้กรณีที่ผู้ป่วยไม่สามารถใช้ NSAIDs หรือไม่ตอบสนองต่อยา First-line อื่นๆ
• ข้อ ง. (Oral Diclofenac sodium): Oral Diclofenac มีประสิทธิภาพสูงแต่มีความเสี่ยงต่อระบบทางเดินอาหารและหัวใจหลอดเลือดสูงกว่ายาทาเฉพาะที่ จึงแนะนำให้เริ่มที่ Topical NSAIDs ก่อนในผู้ป่วยที่มีอาการปวดแบบ khuẩnๆ
• ข้อ จ. (Glucosamine sulfate oral capsule): Glucosamine sulfate ถูกพิจารณาว่าไม่มีประสิทธิภาพทางคลินิกที่ชัดเจนในการรักษาข้อเสื่อม แนวทาง ACR 2019 จึงมีข้อแนะนำคัดค้าน (Strongly recommend against) การใช้ยานี้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1" s="35" t="n"/>
      <c r="L11" s="35" t="inlineStr">
        <is>
          <t>Osteoarthritis</t>
        </is>
      </c>
      <c r="M11" s="35" t="inlineStr">
        <is>
          <t>Clinic</t>
        </is>
      </c>
      <c r="N11" s="35" t="inlineStr">
        <is>
          <t>ACR 2019 OA: แนะนำ Topical NSAID เป็นอันดับแรกก่อน Oral NSAID ในข้อเข่าเสื่อม</t>
        </is>
      </c>
      <c r="O11" s="35" t="inlineStr">
        <is>
          <t>ข้อสอบจริง</t>
        </is>
      </c>
      <c r="P11" s="35" t="inlineStr">
        <is>
          <t>2566</t>
        </is>
      </c>
    </row>
    <row r="12" ht="409.6" customHeight="1" s="37">
      <c r="A12" s="35" t="n">
        <v>10</v>
      </c>
      <c r="B12" s="35" t="inlineStr">
        <is>
          <t>เภสัชกรควรให้คำแนะนำแก่ผู้ป่วยเกี่ยวกับอาการไม่พึงประสงค์จากการใช้ยา (ADR) ที่โดดเด่นและพบบ่อยที่สุดของยา Colchicine ในข้อใด</t>
        </is>
      </c>
      <c r="C12" s="35" t="n"/>
      <c r="D12" s="35" t="inlineStr">
        <is>
          <t>ท้องเสียถ่ายเหลว (Diarrhea)</t>
        </is>
      </c>
      <c r="E12" s="35" t="inlineStr">
        <is>
          <t>ปวดศีรษะเฉียบพลัน</t>
        </is>
      </c>
      <c r="F12" s="35" t="inlineStr">
        <is>
          <t>ความดันโลหิตต่ำ</t>
        </is>
      </c>
      <c r="G12" s="35" t="inlineStr">
        <is>
          <t>ผื่นคันตามผิวหนัง</t>
        </is>
      </c>
      <c r="H12" s="35" t="inlineStr">
        <is>
          <t>ปัสสาวะเป็นเลือด</t>
        </is>
      </c>
      <c r="I12" s="35" t="n">
        <v>1</v>
      </c>
      <c r="J12" s="35" t="inlineStr">
        <is>
          <t>✅ คำตอบที่ถูกต้อง: ข้อ ก.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ADR สำคัญที่พบบ่อยที่สุดของ Colchicine คือการกระตุ้นให้เกิดพิษต่อระบบทางเดินอาหาร โดยมีอาการท้องเสียถ่ายเหลว (Diarrhea) เป็นอาการหลัก ซึ่งสัมพันธ์โดยตรงกับขนาดยา (Dose-dependent) เภสัชกรต้องแนะนำให้ผู้ป่วยหยุดยาทันทีหากเริ่มมีอาการท้องเสีย
🔍 ข้ออื่นผิดเพราะอะไร:
• ข้อ ข. (ปวดศีรษะเฉียบพลัน): ปวดศีรษะเฉียบพลันไม่ใช่ผลข้างเคียงหลักที่พบได้บ่อยจาก Colchicine พิษของยาชนิดนี้มักจำเพาะต่อเซลล์ที่มีการแบ่งตัวเร็วเช่นเยื่อบุทางเดินอาหารมากกว่าระบบประสาทส่วนกลาง
• ข้อ ค. (ความดันโลหิตต่ำ): ความดันโลหิตต่ำอาจพบได้ในภาวะแทรกซ้อนจากการเกิดพิษแบบ Multi-organ failure ในขนาดยาที่สูงเกินไปมาก แต่ไม่ใช่ ADR ทั่วไปและโดดเด่นที่ต้องเตือนผู้ป่วยเมื่อใช้ยาในขนาดปกติ
• ข้อ ง. (ผื่นคันตามผิวหนัง): ผื่นคันตามผิวหนังเป็นปฏิกิริยาการแพ้ยาที่พบได้น้อยมาก และไม่ได้สัมพันธ์โดยตรงกับขนาดยา (Dose-dependent) เหมือนกับอาการทางระบบทางเดินอาหารของ Colchicine
• ข้อ จ. (ปัสสาวะเป็นเลือด): ปัสสาวะเป็นเลือดเป็นอาการของนิ่วในทางเดินปัสสาวะหรือผลจากการใช้ยาลดกรดยูริกกลุ่ม Uricosuric ไม่ใช่ผลข้างเคียงที่โดดเด่นและพบบ่อยของ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12" s="35" t="n"/>
      <c r="L12" s="35" t="inlineStr">
        <is>
          <t>Gout</t>
        </is>
      </c>
      <c r="M12" s="35" t="inlineStr">
        <is>
          <t>Clinic</t>
        </is>
      </c>
      <c r="N12" s="35" t="inlineStr">
        <is>
          <t>Colchicine Counseling: หยุดยาหรือลดขนาดทันทีหากเกิดอาการถ่ายเหลวรุนแรง</t>
        </is>
      </c>
      <c r="O12" s="35" t="inlineStr">
        <is>
          <t>ข้อสอบจริง</t>
        </is>
      </c>
      <c r="P12" s="35" t="inlineStr">
        <is>
          <t>2566</t>
        </is>
      </c>
    </row>
    <row r="13" ht="409.6" customHeight="1" s="37">
      <c r="A13" s="35" t="n">
        <v>11</v>
      </c>
      <c r="B13" s="35" t="inlineStr">
        <is>
          <t>ผู้ป่วยโรคข้ออักเสบรูมาตอยด์ (Rheumatoid Arthritis) ได้รับการรักษาด้วยยา Methotrexate (MTX) แต่อาการยังไม่ดีขึ้น แพทย์พิจารณาจ่ายยาลดความรุนแรงของโรคกลุ่ม DMARDs ร่วมเพิ่มขึ้น หากผู้ป่วยมีประวัติการแพ้ยาในกลุ่ม Sulfa (Sulfonamides) อย่างรุนแรง ยาในข้อใดต่อไปนี้คือทางเลือกที่เหมาะสมที่สุดที่สามารถใช้ร่วมได้อย่างปลอดภัย</t>
        </is>
      </c>
      <c r="C13" s="35" t="n"/>
      <c r="D13" s="35" t="inlineStr">
        <is>
          <t>Sulfasalazine</t>
        </is>
      </c>
      <c r="E13" s="35" t="inlineStr">
        <is>
          <t>เพิ่มขนาด Methotrexate</t>
        </is>
      </c>
      <c r="F13" s="35" t="inlineStr">
        <is>
          <t>เพิ่มขนาด Prednisolone</t>
        </is>
      </c>
      <c r="G13" s="35" t="inlineStr">
        <is>
          <t>เพิ่มยา Hydroxychloroquine</t>
        </is>
      </c>
      <c r="H13" s="35" t="inlineStr">
        <is>
          <t>เพิ่มยา Azathioprine</t>
        </is>
      </c>
      <c r="I13" s="35" t="n">
        <v>4</v>
      </c>
      <c r="J13" s="35" t="inlineStr">
        <is>
          <t>✅ คำตอบที่ถูกต้อง: ข้อ ง. เพิ่มยา Hydroxychloroquine
💡 Background:
โรคข้ออักเสบรูมาตอยด์ (RA) เป็น systemic autoimmune disease ต้องรีบเริ่ม DMARDs ทันทีเพื่อป้องกัน joint destruction
🎯 ทำไมข้อนี้ถึงถูก:
เพิ่มยา Hydroxychloroquine ผู้ป่วยโรคข้ออักเสบรูมาตอยด์ (RA) ที่ไม่สามารถควบคุมโรคด้วย Methotrexate เดี่ยว ๆ ได้ จำเป็นต้องปรับเพิ่มยาในกลุ่ม Conventional synthetic DMARDs (csDMARDs) ร่วมด้วย โดยยาทั้ง 3 ตัวที่นิยมใช้ร่วมกันคือ Methotrexate, Sulfasalazine, และ Hydroxychloroquine แต่เนื่องจากผู้ป่วยรายนี้มีประวัติแพ้ยากลุ่ม Sulfa อย่างรุนแรง ยา Sulfasalazine จึงเป็น contraindication เด็ดขาด ดังนั้นทางเลือกที่เหมาะสมและปลอดภัยที่สุดคือการสั่งจ่ายเพิ่มยา Hydroxychloroquine เพื่อควบคุมโรค
🔍 ข้ออื่นผิดเพราะอะไร:
• ข้อ ก. (Sulfasalazine): Sulfasalazine มีโครงสร้างแบบ Sulfa (Sulfonamides) ซึ่งเป็นข้อห้ามใช้เด็ดขาด (Contraindication) ในผู้ป่วยรายนี้ที่มีประวัติการแพ้ยากลุ่ม Sulfa อย่างรุนแรง
• ข้อ ข. (เพิ่มขนาด Methotrexate): การเพิ่มขนาด Methotrexate เพียงอย่างเดียวอาจเพิ่มความเสี่ยงต่อความเป็นพิษ (Hepatotoxicity, Bone marrow suppression) โดยที่ประสิทธิภาพอาจไม่เพียงพอเมื่อเทียบกับการใช้ยา DMARDs ร่วมกันหลายตัว
• ข้อ ค. (เพิ่มขนาด Prednisolone): Prednisolone เป็นยาสเตียรอยด์ที่ใช้บรรเทาอาการอักเสบชั่วคราว (Bridging therapy) ไม่ใช่ยาหลักที่ช่วยลดการลุกลามของโรคระยะยาว (DMARDs) และมีผลข้างเคียงสูงเมื่อใช้ระยะยาว
• ข้อ จ. (เพิ่มยา Azathioprine): Azathioprine มีความเป็นพิษสูงและประสิทธิภาพด้อยกว่าเมื่อเทียบกับ Triple therapy หรือการใช้ Hydroxychloroquine ปัจจุบันไม่ค่อยนิยมใช้เป็น First-line หรือ add-on DMARD ใน RA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3" s="35" t="n"/>
      <c r="L13" s="35" t="inlineStr">
        <is>
          <t>Rheumatoid arthritis</t>
        </is>
      </c>
      <c r="M13" s="35" t="inlineStr">
        <is>
          <t>Clinic</t>
        </is>
      </c>
      <c r="N13" s="35" t="inlineStr">
        <is>
          <t>RA Treat-to-target: หากคุมโรคไม่ได้ด้วย MTX ให้พิจารณา Add-on csDMARDs อื่น (เช่น HCQ, SSZ)</t>
        </is>
      </c>
      <c r="O13" s="35" t="inlineStr">
        <is>
          <t>ข้อสอบจริง</t>
        </is>
      </c>
      <c r="P13" s="35" t="inlineStr">
        <is>
          <t>2566</t>
        </is>
      </c>
    </row>
    <row r="14" ht="409.6" customHeight="1" s="37">
      <c r="A14" s="35" t="n">
        <v>12</v>
      </c>
      <c r="B14" s="35" t="inlineStr">
        <is>
          <t>ผู้ป่วยโรคเกาต์อักเสบเรื้อรังได้รับยา Allopurinol ควบคู่กับ Colchicine วันละครั้ง ข้อใดคือวัตถุประสงค์หลักของการจ่ายยา Colchicine ร่วมด้วยในระยะเริ่มแรก ผู้ป่วยโรคข้ออักเสบรูมาตอยด์ (Rheumatoid Arthritis) มีอาการแสดงอยู่ในระดับปานกลาง (Moderate disease activity) ได้รับการรักษาด้วยยากลุ่ม Corticosteroids ร่วมด้วยมานานกว่า 3 เดือนแล้ว แพทย์สั่งปรับเพิ่มขนาดยา Methotrexate (MTX) เพื่อควบคุมอาการของโรค ผู้ป่วยมีประวัติแพ้ยาปฏิกิริยารุนแรงกับยากลุ่ม Sulfa (มีประวัติแพ้ยา Co-trimoxazole)</t>
        </is>
      </c>
      <c r="C14" s="35" t="n"/>
      <c r="D14" s="35" t="inlineStr">
        <is>
          <t>เพื่อลดผลข้างเคียงทางไตของ Allopurinol</t>
        </is>
      </c>
      <c r="E14" s="35" t="inlineStr">
        <is>
          <t>เพื่อเสริมฤทธิ์ต้านอักเสบและลดกรดยูริกของยา Allopurinol</t>
        </is>
      </c>
      <c r="F14" s="35" t="inlineStr">
        <is>
          <t>เพื่อป้องกันการเกิดข้ออักเสบเฉียบพลัน (Gout flare) จากการเปลี่ยนแปลงของระดับกรดยูริก</t>
        </is>
      </c>
      <c r="G14" s="35" t="inlineStr">
        <is>
          <t>เพื่อลดการเกิดนิ่วในไตจากกรดยูริก</t>
        </is>
      </c>
      <c r="H14" s="35" t="inlineStr">
        <is>
          <t>เพื่อเพิ่มการดูดซึมยา Allopurinol ในระบบทางเดินอาหาร</t>
        </is>
      </c>
      <c r="I14" s="35" t="n">
        <v>3</v>
      </c>
      <c r="J14" s="35" t="inlineStr">
        <is>
          <t>✅ คำตอบที่ถูกต้อง: ข้อ ค. เพื่อป้องกันการเกิดข้ออักเสบเฉียบพลัน (Gout flare) จากการเปลี่ยนแปลงของระดับกรดยูริก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จากการเปลี่ยนแปลงของระดับกรดยูริก วัตถุประสงค์หลักของการให้ Colchicine ขนาดต่ำควบคู่กับ Allopurinol ในระยะเริ่มต้นของการลดกรดยูริก (ULT) คือการป้องกันข้ออักเสบเฉียบพลันกำเริบ (Gout flare prophylaxis) เนื่องจากกรดยูริกในเลือดที่แกว่งและลดลงอย่างรวดเร็วจะทำให้ผลึกเกลือยูเรตละลายตัวและกระตุ้นระบบภูมิคุ้มกันให้เกิดการอักเสบในข้อขึ้นมาได้
🔍 ข้ออื่นผิดเพราะอะไร:
• ข้อ ก. (เพื่อลดผลข้างเคียงทางไตของ Allopurinol): Colchicine ไม่ได้มีกลไกใดๆ ในการปกป้องไตหรือลดผลข้างเคียงทางไตจากยา Allopurinol ทั้งสองตัวออกฤทธิ์อิสระต่อกันในการจัดการโรคเกาต์
• ข้อ ข. (เพื่อเสริมฤทธิ์ต้านอักเสบและลดกรดยูริกของยา Allopurinol): Colchicine เป็นยาต้านการอักเสบเท่านั้น ไม่มีกลไกในการยับยั้งเอนไซม์ Xanthine oxidase หรือลดกรดยูริก จึงไม่สามารถเสริมฤทธิ์ลดกรดยูริกของ Allopurinol ได้
• ข้อ ง. (เพื่อลดการเกิดนิ่วในไตจากกรดยูริก): การเกิดนิ่วในไตจากกรดยูริกเกิดจากการขับกรดยูริกที่มากเกินไปทางปัสสาวะ Colchicine ไม่มีผลต่อการขับหรือลดการเกิดนิ่วในไตแต่อย่างใด
• ข้อ จ. (เพื่อเพิ่มการดูดซึมยา Allopurinol ในระบบทางเดินอาหาร): Colchicine ไม่ได้มีผลต่อเภสัชจลนศาสตร์ในการดูดซึมยา Allopurinol ผ่านระบบทางเดินอาหาร การดูดซึมของ Allopurinol เกิดขึ้นตามปกติแม้จะไม่มี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4" s="35" t="n"/>
      <c r="L14" s="35" t="inlineStr">
        <is>
          <t>Gout</t>
        </is>
      </c>
      <c r="M14" s="35" t="inlineStr">
        <is>
          <t>Clinic</t>
        </is>
      </c>
      <c r="N14" s="35" t="inlineStr">
        <is>
          <t>Gout Prophylaxis: ป้องกัน Gout flare จากการแกว่งของระดับกรดยูริกในช่วงเริ่ม ULT</t>
        </is>
      </c>
      <c r="O14" s="35" t="inlineStr">
        <is>
          <t>ข้อสอบจริง</t>
        </is>
      </c>
      <c r="P14" s="35" t="inlineStr">
        <is>
          <t>2566</t>
        </is>
      </c>
    </row>
    <row r="15" ht="409.6" customHeight="1" s="37">
      <c r="A15" s="35" t="n">
        <v>13</v>
      </c>
      <c r="B15" s="35" t="inlineStr">
        <is>
          <t>พารามิเตอร์หรือการตรวจติดตามในข้อใดต่อไปนี้ที่ ไม่จำเป็น ต้องได้รับการตรวจเป็นประจำระหว่างการใช้ยา Methotrexate (MTX) เพื่อความปลอดภัย</t>
        </is>
      </c>
      <c r="C15" s="35" t="n"/>
      <c r="D15" s="35" t="inlineStr">
        <is>
          <t>Complete Blood Count (CBC)</t>
        </is>
      </c>
      <c r="E15" s="35" t="inlineStr">
        <is>
          <t>Liver function tests (AST/ALT)</t>
        </is>
      </c>
      <c r="F15" s="35" t="inlineStr">
        <is>
          <t>Renal function (Serum creatinine)</t>
        </is>
      </c>
      <c r="G15" s="35" t="inlineStr">
        <is>
          <t>Chest X-ray</t>
        </is>
      </c>
      <c r="H15" s="35" t="inlineStr">
        <is>
          <t>การตรวจตาอย่างละเอียดโดยจักษุแพทย์ (Eye examination)</t>
        </is>
      </c>
      <c r="I15" s="35" t="n">
        <v>5</v>
      </c>
      <c r="J15" s="35" t="inlineStr">
        <is>
          <t>✅ คำตอบที่ถูกต้อง: ข้อ จ. การตรวจตาอย่างละเอียดโดยจักษุแพทย์ (Eye examination)
💡 Background:
โรคข้ออักเสบรูมาตอยด์ (RA) เป็น systemic autoimmune disease ต้องรีบเริ่ม DMARDs ทันทีเพื่อป้องกัน joint destruction
🎯 ทำไมข้อนี้ถึงถูก:
การตรวจตาอย่างละเอียดโดยจักษุแพทย์ (Eye examination) การประเมินหรือตรวจตาอย่างละเอียดโดยจักษุแพทย์ (Ophthalmologic examination) เป็นพารามิเตอร์ที่จำเป็นสำหรับเฝ้าระวังพิษต่อจอประสาทตา (Retinotoxicity) จากยา Hydroxychloroquine (HCQ) เท่านั้น ไม่จำเป็นสำหรับการตรวจติดตามยา Methotrexate (MTX) ขณะที่การใช้ MTX ต้องตรวจติดตาม CBC (เฝ้าระวัง Bone marrow suppression), LFT (Hepatotoxicity), Creatinine (Renal function), และ Chest X-ray (เฝ้าระวัง Pulmonary fibrosis/Pneumonitis)
🔍 ข้ออื่นผิดเพราะอะไร:
• ข้อ ก. (Complete Blood Count (CBC)): Complete Blood Count (CBC) เป็นพารามิเตอร์ที่จำเป็นอย่างยิ่งในการติดตามการใช้ Methotrexate เพื่อเฝ้าระวังภาวะกดไขกระดูก (Bone marrow suppression) ที่อันตรายถึงชีวิต
• ข้อ ข. (Liver function tests (AST/ALT)): Liver function tests (AST/ALT) ต้องได้รับการตรวจติดตามเป็นระยะ เนื่องจาก Methotrexate สามารถทำให้เกิดพิษต่อตับ (Hepatotoxicity) และภาวะตับแข็งได้หากใช้เป็นเวลานาน
• ข้อ ค. (Renal function (Serum creatinine)): Renal function (Serum creatinine) จำเป็นต้องตรวจติดตาม เพราะ Methotrexate ถูกขับออกทางไตเป็นหลัก หากการทำงานของไตบกพร่องจะทำให้ยาคั่งและเกิดพิษรุนแรง
• ข้อ ง. (Chest X-ray): Chest X-ray มักได้รับการตรวจก่อนเริ่มยาหรือระหว่างติดตามการรักษาเพื่อเฝ้าระวังภาวะปอดอักเสบแทรกซ้อน (Methotrexate-induced pneumonitis หรือ Pulmonary fibrosis)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 s="35" t="n"/>
      <c r="L15" s="35" t="inlineStr">
        <is>
          <t>Rheumatoid arthritis</t>
        </is>
      </c>
      <c r="M15" s="35" t="inlineStr">
        <is>
          <t>Clinic</t>
        </is>
      </c>
      <c r="N15" s="35" t="inlineStr">
        <is>
          <t>DMARDs Monitoring: HCQ ต้องตรวจคัดกรอง Retinal toxicity ด้วย Eye exam ประจำปี (MTX ไม่ต้อง)</t>
        </is>
      </c>
      <c r="O15" s="35" t="inlineStr">
        <is>
          <t>ข้อสอบจริง</t>
        </is>
      </c>
      <c r="P15" s="35" t="inlineStr">
        <is>
          <t>2566</t>
        </is>
      </c>
    </row>
    <row r="16" ht="409.6" customHeight="1" s="37">
      <c r="A16" s="35" t="n">
        <v>14</v>
      </c>
      <c r="B16" s="35" t="inlineStr">
        <is>
          <t>คำแนะนำข้อใดต่อไปนี้เกี่ยวกับการใช้ยา Methotrexate (MTX) ในผู้ป่วยโรคข้ออักเสบรูมาตอยด์ที่ ไม่เหมาะสม หรือผิดพลาด</t>
        </is>
      </c>
      <c r="C16" s="35" t="n"/>
      <c r="D16" s="35" t="inlineStr">
        <is>
          <t>แนะนำให้หลีกเลี่ยงการดื่มเครื่องดื่มแอลกอฮอล์ในระหว่างใช้ยานี้</t>
        </is>
      </c>
      <c r="E16" s="35" t="inlineStr">
        <is>
          <t>รับประทานยาเพียงสัปดาห์ละ 1 ครั้งตามที่แพทย์สั่ง (ห้ามกินทุกวัน)</t>
        </is>
      </c>
      <c r="F16" s="35" t="inlineStr">
        <is>
          <t>รับประทานร่วมกับ Folic acid ตามแพทย์สั่งเพื่อลดอาการปากเปื่อยและผลข้างเคียงอื่น ๆ</t>
        </is>
      </c>
      <c r="G16" s="35" t="inlineStr">
        <is>
          <t>สามารถปรับลดขนาดยาเองได้ทันทีเมื่ออาการของโรคเริ่มคงที่หรือไม่มีอาการปวดอักเสบ</t>
        </is>
      </c>
      <c r="H16" s="35" t="inlineStr">
        <is>
          <t>หากมีอาการไข้ เจ็บคอ หรือไอแห้งผิดปกติ ให้หยุดยาและรีบมาพบแพทย์ทันที</t>
        </is>
      </c>
      <c r="I16" s="35" t="n">
        <v>4</v>
      </c>
      <c r="J16" s="35" t="inlineStr">
        <is>
          <t>✅ คำตอบที่ถูกต้อง: ข้อ ง. สามารถปรับลดขนาดยาเองได้ทันทีเมื่ออาการของโรคเริ่มคงที่หรือไม่มีอาการปวดอักเสบ
💡 Background:
โรคข้ออักเสบรูมาตอยด์ (RA) เป็น systemic autoimmune disease ต้องรีบเริ่ม DMARDs ทันทีเพื่อป้องกัน joint destruction
🎯 ทำไมข้อนี้ถึงถูก:
สามารถปรับลดขนาดยาเองได้ทันทีเมื่ออาการของโรคเริ่มคงที่หรือไม่มีอาการปวดอักเสบ ผู้ป่วยไม่มีสิทธิ์ปรับลดหรือเพิ่มขนาดยากลุ่ม DMARDs (รวมถึง Methotrexate) ด้วยตัวเองเด็ดขาด เนื่องจากเป็นยาที่มีดัชนีการรักษาแคบและมีความเป็นพิษสูง การปรับขนาดยาจำเป็นต้องตรวจประเมินดัชนีความรุนแรงของโรค (Disease activity) และค่าทางห้องปฏิบัติการอย่างรอบคอบโดยแพทย์ผู้เชี่ยวชาญ ส่วนข้ออื่น ๆ เป็นคำแนะนำที่ถูกต้องและเหมาะสมสำหรับผู้ป่วยที่ใช้ MTX
🔍 ข้ออื่นผิดเพราะอะไร:
• ข้อ ก. (แนะนำให้หลีกเลี่ยงการดื่มเครื่องดื่มแอลกอฮอล์ในระหว่างใช้ยานี้): Methotrexate มีความเสี่ยงในการเกิดพิษต่อตับ (Hepatotoxicity) สูง การดื่มแอลกอฮอล์จะยิ่งเสริมความเสี่ยงให้เกิดตับอักเสบหรือตับแข็ง คำแนะนำให้หลีกเลี่ยงจึงถูกต้อง
• ข้อ ข. (รับประทานยาเพียงสัปดาห์ละ 1 ครั้งตามที่แพทย์สั่ง (ห้ามกินทุกวัน)): Methotrexate สำหรับโรค RA มีข้อกำหนดการให้ยาที่เคร่งครัดคือรับประทานสัปดาห์ละ 1 ครั้งเท่านั้น การรับประทานทุกวันจะทำให้เกิดพิษเฉียบพลันถึงชีวิต คำแนะนำนี้จึงถูกต้อง
• ข้อ ค. (รับประทานร่วมกับ Folic acid ตามแพทย์สั่งเพื่อลดอาการปากเปื่อยและผลข้างเคียงอื่น ๆ): Folic acid ช่วยป้องกันและลดผลข้างเคียงของ Methotrexate เช่น แผลในปาก ปากเปื่อย (Stomatitis) และลดความเสี่ยงต่อการเกิดพิษต่อตับโดยไม่รบกวนประสิทธิภาพของยา
• ข้อ จ. (หากมีอาการไข้ เจ็บคอ หรือไอแห้งผิดปกติ ให้หยุดยาและรีบมาพบแพทย์ทันที): อาการไข้ เจ็บคอ หรือไอแห้ง เป็นสัญญาณเตือนสำคัญของภาวะไขกระดูกถูกกด (ติดเชื้อ) หรือปอดอักเสบ (Pneumonitis) การหยุดยาและพบแพทย์ทันทีจึงเป็นคำแนะนำที่ถูกต้อง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6" s="35" t="n"/>
      <c r="L16" s="35" t="inlineStr">
        <is>
          <t>Rheumatoid arthritis</t>
        </is>
      </c>
      <c r="M16" s="35" t="inlineStr">
        <is>
          <t>Clinic</t>
        </is>
      </c>
      <c r="N16" s="35" t="inlineStr">
        <is>
          <t>DMARDs Counseling: MTX ทานสัปดาห์ละ 1 ครั้งเท่านั้น ห้ามทานทุกวัน และห้ามปรับลดขนาดยาเอง</t>
        </is>
      </c>
      <c r="O16" s="35" t="inlineStr">
        <is>
          <t>ข้อสอบจริง</t>
        </is>
      </c>
      <c r="P16" s="35" t="inlineStr">
        <is>
          <t>2566</t>
        </is>
      </c>
    </row>
    <row r="17" ht="409.6" customHeight="1" s="37">
      <c r="A17" s="35" t="n">
        <v>15</v>
      </c>
      <c r="B17" s="35" t="inlineStr">
        <is>
          <t>จากกรณีศึกษาข้างต้น การจัดการการรักษาในข้อใดเหมาะสมที่สุดสำหรับคนไข้รายนี้เพื่อควบคุมอาการของโรค ผู้ป่วยชายไทย อายุ 55 ปี น้ำหนัก 60 กิโลกรัม ส่วนสูง 150 เซนติเมตร (BMI = 26.67 kg/m²) มาโรงพยาบาลด้วยอาการปวดเข่าเวลาเดินขึ้นลงบันได เป็นที่เข่าทั้งสองข้าง ระดับความปวด 2/10 มีอาการข้อฝืดตึงตอนเช้าหลังตื่นนอนนาน 10 นาที ตรวจร่างกายคลำพบเสียงกรอบแกรบในข้อเข่า ไม่มีอาการปวดบวมแดงร้อนบริเวณข้อ</t>
        </is>
      </c>
      <c r="C17" s="35" t="n"/>
      <c r="D17" s="35" t="inlineStr">
        <is>
          <t>เพิ่มขนาดยา Methotrexate</t>
        </is>
      </c>
      <c r="E17" s="35" t="inlineStr">
        <is>
          <t>เพิ่มขนาดยา Corticosteroids</t>
        </is>
      </c>
      <c r="F17" s="35" t="inlineStr">
        <is>
          <t>เพิ่มยา Sulfasalazine</t>
        </is>
      </c>
      <c r="G17" s="35" t="inlineStr">
        <is>
          <t>เพิ่มยา Hydroxychloroquine</t>
        </is>
      </c>
      <c r="H17" s="35" t="inlineStr">
        <is>
          <t>เพิ่มยา Leflunomide</t>
        </is>
      </c>
      <c r="I17" s="35" t="n">
        <v>5</v>
      </c>
      <c r="J17" s="35" t="inlineStr">
        <is>
          <t>✅ คำตอบที่ถูกต้อง: ข้อ จ. เพิ่มยา Leflunomide
💡 Background:
โรคข้ออักเสบรูมาตอยด์ (RA) เป็น systemic autoimmune disease ต้องรีบเริ่ม DMARDs ทันทีเพื่อป้องกัน joint destruction
🎯 ทำไมข้อนี้ถึงถูก:
เพิ่มยา Leflunomide จากกรณีศึกษา ผู้ป่วยมีอาการรุนแรงระดับปานกลาง (Moderate disease activity) และมีข้อจำกัดในการใช้ Sulfasalazine เนื่องจากแพ้ยากลุ่ม Sulfa ดังนั้นตัวยาในกลุ่ม csDMARDs ที่มี efficacy สูงใกล้เคียงกับ Methotrexate และสามารถใช้ร่วมกับ Methotrexate หรือใช้เดี่ยว ๆ ทดแทนได้ดีคือ Leflunomide (ยับยั้ง Pyrimidine synthesis) ซึ่งมีความเหมาะสมในการควบคุมความรุนแรงของโรค
🔍 ข้ออื่นผิดเพราะอะไร:
• ข้อ ก. (เพิ่มขนาดยา Methotrexate): การเพิ่มขนาด Methotrexate ต่อเนื่องเมื่อควบคุมอาการไม่ได้อาจไปถึงขีดจำกัดของขนาดยาที่ปลอดภัย และเพิ่มความเสี่ยงของพิษสะสมโดยไม่เกิดประโยชน์ทางคลินิกเพิ่มเติม
• ข้อ ข. (เพิ่มขนาดยา Corticosteroids): Corticosteroids ใช้เพื่อบรรเทาอาการอักเสบเฉียบพลันเป็นช่วงเวลาสั้นๆ (Bridging) ไม่ควรเพิ่มขนาดหรือใช้ต่อเนื่องระยะยาวเนื่องจากผลข้างเคียงสูงและไม่ได้ชะลอความเสียหายของข้อ
• ข้อ ค. (เพิ่มยา Sulfasalazine): Sulfasalazine มีโครงสร้างหลักคือซัลโฟนาไมด์ (Sulfonamide) ซึ่งเป็นข้อห้ามใช้เด็ดขาด (Absolute contraindication) ในผู้ป่วยรายนี้ที่มีประวัติแพ้ยากลุ่ม Sulfa อย่างรุนแรง
• ข้อ ง. (เพิ่มยา Hydroxychloroquine): Hydroxychloroquine แม้จะใช้ร่วมได้ แต่สำหรับผู้ป่วยที่มี Moderate ถึง High disease activity ยา Leflunomide มักให้ประสิทธิภาพเทียบเท่ากับ MTX ในการควบคุมโรคได้ดีกว่าเมื่อใช้เป็นยาเดี่ยวหรือเสริม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Teratogenicity &amp; Accelerated Elimination: Pregnancy Category X มี half-life ยาวนาน (2 สัปดาห์) หากต้องการตั้งครรภ์หรือเกิดพิษ ต้องทำ cholestyramine washout procedure (8 g TID x 11 วัน)</t>
        </is>
      </c>
      <c r="K17" s="35" t="n"/>
      <c r="L17" s="35" t="inlineStr">
        <is>
          <t>Rheumatoid arthritis</t>
        </is>
      </c>
      <c r="M17" s="35" t="inlineStr">
        <is>
          <t>Clinic</t>
        </is>
      </c>
      <c r="N17" s="35" t="inlineStr">
        <is>
          <t>RA Sulfa Allergy: Sulfasalazine มีโครงสร้าง Sulfa ห้ามใช้ในคนไข้แพ้ Sulfa ให้เลี่ยงไปใช้ HCQ หรือ LEF</t>
        </is>
      </c>
      <c r="O17" s="35" t="inlineStr">
        <is>
          <t>ข้อสอบจริง</t>
        </is>
      </c>
      <c r="P17" s="35" t="inlineStr">
        <is>
          <t>2566</t>
        </is>
      </c>
    </row>
    <row r="18" ht="409.6" customHeight="1" s="37">
      <c r="A18" s="35" t="n">
        <v>16</v>
      </c>
      <c r="B18" s="35" t="inlineStr">
        <is>
          <t>จากประวัติและอาการแสดงทางคลินิกของผู้ป่วยรายนี้ คาดว่าผู้ป่วยเป็นโรคในข้อใดมากที่สุด</t>
        </is>
      </c>
      <c r="C18" s="35" t="n"/>
      <c r="D18" s="35" t="inlineStr">
        <is>
          <t>Osteoporosis</t>
        </is>
      </c>
      <c r="E18" s="35" t="inlineStr">
        <is>
          <t>Rheumatoid arthritis</t>
        </is>
      </c>
      <c r="F18" s="35" t="inlineStr">
        <is>
          <t>Gout</t>
        </is>
      </c>
      <c r="G18" s="35" t="inlineStr">
        <is>
          <t>Osteoarthritis</t>
        </is>
      </c>
      <c r="H18" s="35" t="inlineStr">
        <is>
          <t>Tendinitis</t>
        </is>
      </c>
      <c r="I18" s="35" t="n">
        <v>4</v>
      </c>
      <c r="J18" s="35" t="inlineStr">
        <is>
          <t>✅ คำตอบที่ถูกต้อง: ข้อ ง.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ผู้ป่วยสูงอายุ (55 ปี), น้ำหนักเกิน (BMI 26.67), ปวดข้อเข่าทั้งสองข้างเวลาขึ้นลงบันได (มีแรงกดทับข้อ), ข้อฝืดตึงตอนเช้าสั้น ๆ เพียง 10 นาที (Morning stiffness &lt; 30 นาที), คลำพบเสียงกรอบแกรบ (Crepitus) และไม่มีการอักเสบ บวม แดง ร้อนของข้อ ร่วมกับไม่มีโรคประจำตัวอื่น อาการทางคลินิกทั้งหมดชี้ชัดว่าเป็นโรคข้อเข่าเสื่อม (Osteoarthritis)
🔍 ข้ออื่นผิดเพราะอะไร:
• ข้อ ก. (Osteoporosis): Osteoporosis เป็นภาวะที่มวลกระดูกบางและเปราะบาง มักไม่แสดงอาการปวดข้อ หรือข้อฝืดตึงตอนเช้า และคลำข้อไม่มีเสียงกรอบแกรบแบบ Osteoarthritis
• ข้อ ข. (Rheumatoid arthritis): Rheumatoid arthritis เป็นโรคภูมิคุ้มกันทำลายตัวเองที่มีการอักเสบชัดเจน (บวม แดง ร้อน) และข้อฝืดตึงตอนเช้า (Morning stiffness) มักเป็นนานกว่า 1 ชั่วโมง ต่างจากกรณีนี้ที่เป็นสั้นๆ
• ข้อ ค. (Gout): Gout มีอาการปวดบวมแดงร้อนเฉียบพลันชัดเจน มักเป็นข้อเดียว (Monoarthritis) เช่น ข้อง่ามนิ้วโป้งเท้า ไม่ใช่อาการปวดเรื้อรังที่ข้อเข่าแบบมีเสียงกรอบแกรบ
• ข้อ จ. (Tendinitis): Tendinitis (เส้นเอ็นอักเสบ) มักมีจุดกดเจ็บเฉพาะที่ตามแนวเส้นเอ็นและไม่มีเสียงกรอบแกรบในข้อขณะขยับหรืออาการข้อฝืดตึงตอนเช้าที่ชัดเจนเท่าข้อเสื่อ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18" s="35" t="n"/>
      <c r="L18" s="35" t="inlineStr">
        <is>
          <t>Osteoarthritis</t>
        </is>
      </c>
      <c r="M18" s="35" t="inlineStr">
        <is>
          <t>Clinic</t>
        </is>
      </c>
      <c r="N18" s="35" t="inlineStr">
        <is>
          <t>OA Clinical Features: ข้อฝืดขัดสั้น ๆ (&lt;30 นาที), อาการปวดสัมพันธ์กับการลงน้ำหนัก/เคลื่อนไหว</t>
        </is>
      </c>
      <c r="O18" s="35" t="inlineStr">
        <is>
          <t>ข้อสอบจริง</t>
        </is>
      </c>
      <c r="P18" s="35" t="inlineStr">
        <is>
          <t>2566</t>
        </is>
      </c>
    </row>
    <row r="19" ht="409.6" customHeight="1" s="37">
      <c r="A19" s="35" t="n">
        <v>17</v>
      </c>
      <c r="B19" s="35" t="inlineStr">
        <is>
          <t>จากกรณีศึกษาข้างต้น ยาบรรเทาอาการปวดในข้อใดที่มีผลเสียหรือส่งผลกระทบต่อการควบคุมระดับความดันโลหิตสูงในผู้ป่วยรายนี้มากที่สุด</t>
        </is>
      </c>
      <c r="C19" s="35" t="n"/>
      <c r="D19" s="35" t="inlineStr">
        <is>
          <t>Etoricoxib</t>
        </is>
      </c>
      <c r="E19" s="35" t="inlineStr">
        <is>
          <t>Paracetamol</t>
        </is>
      </c>
      <c r="F19" s="35" t="inlineStr">
        <is>
          <t>Tolperisone</t>
        </is>
      </c>
      <c r="G19" s="35" t="inlineStr">
        <is>
          <t>Tramadol</t>
        </is>
      </c>
      <c r="H19" s="35" t="inlineStr">
        <is>
          <t>Codeine</t>
        </is>
      </c>
      <c r="I19" s="35" t="n">
        <v>1</v>
      </c>
      <c r="J19" s="35" t="inlineStr">
        <is>
          <t>✅ คำตอบที่ถูกต้อง: ข้อ ก. Etoricoxib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Etoricoxib ยาลดอักเสบกลุ่ม Selective COX-2 Inhibitors โดยเฉพาะ Etoricoxib มีความสัมพันธ์กับการเกิดปฏิกิริยาข้างเคียงในการเก็บกักโซเดียมและน้ำ (Sodium &amp; Water retention) ในไต ส่งผลให้เพิ่มแรงดันและทำให้การควบคุมระดับความดันโลหิตในคนไข้โรคความดันโลหิตสูงแย่ลงได้มากที่สุดในกลุ่มยาแก้ปวดปวดที่ระบุ
🔍 ข้ออื่นผิดเพราะอะไร:
• ข้อ ข. (Paracetamol): Paracetamol ออกฤทธิ์ลดปวดและไข้ผ่านกลไกส่วนกลาง ไม่มีผลต่อการคั่งของน้ำและโซเดียมที่ไต จึงไม่ส่งผลกระทบต่อระดับความดันโลหิตของผู้ป่วย
• ข้อ ค. (Tolperisone): Tolperisone เป็นยาคลายกล้ามเนื้อที่ออกฤทธิ์ผ่านระบบประสาทส่วนกลาง ไม่มีผลแทรกแซงการทำงานของหลอดเลือด ไต หรือการคั่งของโซเดียม จึงไม่มีผลเสียต่อความดันโลหิต
• ข้อ ง. (Tramadol): Tramadol เป็นยากลุ่ม weak opioid ที่ออกฤทธิ์ที่ mu-receptor และยับยั้งการเก็บกลับ serotonin/norepinephrine อาจมีผลต่ออัตราการเต้นหัวใจเล็กน้อย แต่ไม่ได้ทำให้ความดันโลหิตสูงอย่างมีนัยสำคัญเท่า NSAIDs
• ข้อ จ. (Codeine): Codeine เป็นยากลุ่ม opioid ที่ออกฤทธิ์ระงับปวด ไม่มีกลไกทำให้เกิด sodium retention หรือขัดขวางการหลั่ง prostaglandin ที่ไต จึงไม่ทำให้ความดันโลหิตเพิ่มขึ้น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Selective COX-2 Inhibitor: เป็น highly selective COX-2 inhibitor มี GI safety ดีกว่า non-selective NSAIDs และบริหารยาวันละครั้ง (OD)
• Blood Pressure Elevation: ทำให้เกิดภาวะความดันโลหิตสูงได้บ่อยที่สุดในกลุ่ม coxibs ห้ามใช้ในผู้ป่วย uncontrolled hypertension (BP &gt; 140/90 mmHg)</t>
        </is>
      </c>
      <c r="K19" s="35" t="n"/>
      <c r="L19" s="35" t="inlineStr">
        <is>
          <t>Osteoarthritis</t>
        </is>
      </c>
      <c r="M19" s="35" t="inlineStr">
        <is>
          <t>Clinic</t>
        </is>
      </c>
      <c r="N19" s="35" t="inlineStr">
        <is>
          <t>OA CV Safety: Etoricoxib / COX-2 inhibitors เพิ่มความเสี่ยง Thrombotic CV events สูงสุด</t>
        </is>
      </c>
      <c r="O19" s="35" t="inlineStr">
        <is>
          <t>ข้อสอบจริง</t>
        </is>
      </c>
      <c r="P19" s="35" t="n"/>
    </row>
    <row r="20" ht="409.6" customHeight="1" s="37">
      <c r="A20" s="35" t="n">
        <v>18</v>
      </c>
      <c r="B20" s="35" t="inlineStr">
        <is>
          <t>ยาแก้ปวดอักเสบในข้อใดที่ควรเลือกใช้รักษาอาการปวดข้อเข่าเสื่อมของผู้ป่วยรายนี้เป็นอันดับแรกตามแนวทางเวชปฏิบัติ ผู้ป่วยชายไทยคู่ มีอาการปวด บวม แดง ร้อนอย่างรุนแรงที่ข้อนิ้วหัวแม่เท้าขวาเฉียบพลัน ผลการตรวจระดับกรดยูริกในเลือด (Serum uric acid) = 11 mg/dL</t>
        </is>
      </c>
      <c r="C20" s="35" t="n"/>
      <c r="D20" s="35" t="inlineStr">
        <is>
          <t>Paracetamol + Orphenadrine</t>
        </is>
      </c>
      <c r="E20" s="35" t="inlineStr">
        <is>
          <t>Tramadol</t>
        </is>
      </c>
      <c r="F20" s="35" t="inlineStr">
        <is>
          <t>Glucosamine sulfate</t>
        </is>
      </c>
      <c r="G20" s="35" t="inlineStr">
        <is>
          <t>Capsaicin gel</t>
        </is>
      </c>
      <c r="H20" s="35" t="inlineStr">
        <is>
          <t>Diclofenac oral tablet</t>
        </is>
      </c>
      <c r="I20" s="35" t="n">
        <v>4</v>
      </c>
      <c r="J20" s="35" t="inlineStr">
        <is>
          <t>✅ คำตอบที่ถูกต้อง: ข้อ ง. Capsaicin 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Capsaicin gel เนื่องจากผู้ป่วยรายนี้ทาน Paracetamol เพื่อบรรเทาอาการปวดข้อเข่าเสื่อมแต่ไม่ได้ผล และผู้ป่วยมีภาวะความดันโลหิตสูงร่วมด้วย การจ่ายยาแก้ปวดชนิดรับประทานกลุ่ม NSAIDs (Diclofenac tablet) อาจส่งผลเสียต่อความดันโลหิตและเพิ่มความเสี่ยงทางระบบหัวใจและหลอดเลือด ดังนั้นยาบรรเทาอาการ first-line ถัดมาที่มี safety สูงและแนะนำในเวชปฏิบัติคือ ยาทาเฉพาะที่ Capsaicin gel (ทาเพื่อลดปริมาณ Substance P ในเส้นประสาทรับความรู้สึก) เพื่อหลีกเลี่ยงผลเสียของยากินทั่วร่างกาย
🔍 ข้ออื่นผิดเพราะอะไร:
• ข้อ ก. (Paracetamol + Orphenadrine): Paracetamol + Orphenadrine มีรายงานแล้วว่าผู้ป่วยเคยใช้ Paracetamol แล้วไม่ได้ผล และยานี้ไม่มีประสิทธิภาพเพียงพอต่อการลดการอักเสบในข้อเข่าเสื่อมที่มีอาการ
• ข้อ ข. (Tramadol): Tramadol มีผลข้างเคียงสูง (คลื่นไส้ ง่วงซึม) และตามแนวทางของ ACR จัดเป็นยาทางเลือกเมื่อผู้ป่วยไม่สามารถใช้ยา Topical NSAIDs ได้ ไม่ใช่ตัวเลือกอันดับแรก
• ข้อ ค. (Glucosamine sulfate): Glucosamine sulfate ไม่มีหลักฐานสนับสนุนที่หนักแน่นเพียงพอในการลดอาการปวดหรือซ่อมแซมกระดูกอ่อน Guideline ปัจจุบันของ ACR จึงแนะนำไม่ให้ใช้ (Strongly recommend against)
• ข้อ จ. (Diclofenac oral tablet): Diclofenac oral tablet เป็นยากินที่สามารถเพิ่มความดันโลหิตและก่อผลเสียต่อหัวใจและหลอดเลือด รวมถึงทางเดินอาหาร จึงควรหลีกเลี่ยงในผู้ป่วยที่มีภาวะความดันโลหิตสูง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20" s="35" t="n"/>
      <c r="L20" s="35" t="inlineStr">
        <is>
          <t>Gout / Herbal Medicine</t>
        </is>
      </c>
      <c r="M20" s="35" t="inlineStr">
        <is>
          <t>Clinic</t>
        </is>
      </c>
      <c r="N20" s="35" t="inlineStr">
        <is>
          <t>OA Capsaicin: Capsaicin ทาเฉพาะที่ออกฤทธิ์ยับยั้ง Substance P บรรเทาปวดข้อเข่าได้อย่างปลอดภัย</t>
        </is>
      </c>
      <c r="O20" s="35" t="inlineStr">
        <is>
          <t>ข้อสอบจริง</t>
        </is>
      </c>
      <c r="P20" s="35" t="n"/>
    </row>
    <row r="21" ht="409.6" customHeight="1" s="37">
      <c r="A21" s="35" t="n">
        <v>19</v>
      </c>
      <c r="B21" s="35" t="inlineStr">
        <is>
          <t>ข้อใดคืออาการไม่พึงประสงค์จากการใช้ยา (ADR) สัมพันธ์กับขนาดยาและพบบ่อยที่สุดของยา Colchicine</t>
        </is>
      </c>
      <c r="C21" s="35" t="n"/>
      <c r="D21" s="35" t="inlineStr">
        <is>
          <t>Stevens-Johnson Syndrome (SJS)</t>
        </is>
      </c>
      <c r="E21" s="35" t="inlineStr">
        <is>
          <t>Nephrotic syndrome</t>
        </is>
      </c>
      <c r="F21" s="35" t="inlineStr">
        <is>
          <t>ปวดศีรษะรุนแรง</t>
        </is>
      </c>
      <c r="G21" s="35" t="inlineStr">
        <is>
          <t>ท้องเสียถ่ายเหลว (Diarrhea)</t>
        </is>
      </c>
      <c r="H21" s="35" t="inlineStr">
        <is>
          <t>ง่วงซึมอย่างรุนแรง</t>
        </is>
      </c>
      <c r="I21" s="35" t="n">
        <v>4</v>
      </c>
      <c r="J21" s="35" t="inlineStr">
        <is>
          <t>✅ คำตอบที่ถูกต้อง: ข้อ ง.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อาการข้างเคียงที่สัมพันธ์กับขนาดยาและพบบ่อยที่สุดของ Colchicine คือ ท้องเสียถ่ายเหลวอย่างรุนแรง (Diarrhea) ซึ่งเกิดจากยาไปยับยั้งการแบ่งเซลล์ที่เยื่อบุทางเดินอาหาร (Microtubule disruption) ทำให้เยื่อบุผิวทางเดินอาหารลอกและสูญเสียน้ำ
🔍 ข้ออื่นผิดเพราะอะไร:
• ข้อ ก. (Stevens-Johnson Syndrome (SJS)): Stevens-Johnson Syndrome (SJS) เป็นอาการแพ้ยาแบบรุนแรงทางผิวหนังที่ไม่สัมพันธ์กับขนาดยา (Idiosyncratic/Type B ADR) ซึ่งมักพบใน Allopurinol มากกว่า
• ข้อ ข. (Nephrotic syndrome): Nephrotic syndrome ไม่ใช่ผลข้างเคียงที่เกี่ยวข้องโดยตรงกับการใช้ Colchicine ผลข้างเคียงของยาต่อไตมักพบเฉพาะในกรณีของพิษเฉียบพลันขนาดสูงมากที่ทำให้เกิด Multi-organ failure
• ข้อ ค. (ปวดศีรษะรุนแรง): ปวดศีรษะรุนแรงไม่ใช่ ADR หลักตามกลไกทางเภสัชวิทยาของ Colchicine ซึ่งจะเกิดพิษเด่นชัดต่อเซลล์ที่แบ่งตัวเร็วโดยเฉพาะในระบบทางเดินอาหารและไขกระดูก
• ข้อ จ. (ง่วงซึมอย่างรุนแรง): ง่วงซึมอย่างรุนแรงไม่ใช่ผลข้างเคียงของ Colchicine อาการทางระบบประสาทส่วนกลางแบบนี้มักพบในยากลุ่ม Opioids, Anticonvulsants, หรือยาคลายกล้ามเนื้อ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 s="35" t="n"/>
      <c r="L21" s="35" t="inlineStr">
        <is>
          <t>Gout</t>
        </is>
      </c>
      <c r="M21" s="35" t="inlineStr">
        <is>
          <t>Clinic</t>
        </is>
      </c>
      <c r="N21" s="35" t="inlineStr">
        <is>
          <t>Colchicine ADR: Diarrhea เป็น ADR พบบ่อยสุดจากการรบกวนเซลล์เยื่อบุลำไส้ที่แบ่งตัวเร็ว</t>
        </is>
      </c>
      <c r="O21" s="35" t="inlineStr">
        <is>
          <t>ข้อสอบจริง</t>
        </is>
      </c>
      <c r="P21" s="35" t="inlineStr">
        <is>
          <t>2566</t>
        </is>
      </c>
    </row>
    <row r="22" ht="409.6" customHeight="1" s="37">
      <c r="A22" s="35" t="n">
        <v>20</v>
      </c>
      <c r="B22" s="35" t="inlineStr">
        <is>
          <t>เหตุใดแพทย์จึงสั่งใช้ยา Allopurinol ควบคู่กับ Colchicine วันละครั้ง ในการเริ่มต้นรักษาระยะยาว</t>
        </is>
      </c>
      <c r="C22" s="35" t="n"/>
      <c r="D22" s="35" t="inlineStr">
        <is>
          <t>ยา Colchicine ช่วยลดผลข้างเคียงและอาการไม่พึงประสงค์ของยา Allopurinol</t>
        </is>
      </c>
      <c r="E22" s="35" t="inlineStr">
        <is>
          <t>เพื่อป้องกันข้ออักเสบเฉียบพลันกำเริบ (Gout flare) ในระหว่างเริ่มต้นใช้ยาลดกรดยูริก</t>
        </is>
      </c>
      <c r="F22" s="35" t="inlineStr">
        <is>
          <t>ยา Allopurinol ช่วยเสริมฤทธิ์ลดปวดและลดการอักเสบของยา Colchicine</t>
        </is>
      </c>
      <c r="G22" s="35" t="inlineStr">
        <is>
          <t>ยา Colchicine ช่วยเสริมฤทธิ์ยา Allopurinol ในการยับยั้งการสร้างกรดยูริก</t>
        </is>
      </c>
      <c r="H22" s="35" t="inlineStr">
        <is>
          <t>ป้องกันการเกิดผลข้างเคียงระยะยาวของยาลดกรดยูริกต่อไต</t>
        </is>
      </c>
      <c r="I22" s="35" t="n">
        <v>2</v>
      </c>
      <c r="J22" s="35" t="inlineStr">
        <is>
          <t>✅ คำตอบที่ถูกต้อง: ข้อ ข. เพื่อป้องกันข้ออักเสบเฉียบพลันกำเริบ (Gout flare) ในระหว่างเริ่มต้นใช้ยาลดกรดยูริก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เพื่อป้องกันข้ออักเสบเฉียบพลันกำเริบ (Gout flare) ในระหว่างเริ่มต้นใช้ยาลดกรดยูริก การเริ่มต้นให้ยาลดกรดยูริก Allopurinol จะทำให้ความเข้มข้นของกรดยูริกในกระแสเลือดเปลี่ยนแปลงอย่างรวดเร็ว ซึ่งเป็นตัวกระตุ้นให้ผลึกเกลือยูเรตที่ตกตะกอนในข้อนิ้วเท้าเกิดการละลายตัวและกระตุ้นการอักเสบซ้ำ แพทย์จึงจำเป็นต้องจ่ายยาต้านอักเสบขนาดต่ำ เช่น Colchicine เพื่อป้องกันการกำเริบอักเสบเฉียบพลันดังกล่าว (Gout flare prophylaxis)
🔍 ข้ออื่นผิดเพราะอะไร:
• ข้อ ก. (ยา Colchicine ช่วยลดผลข้างเคียงและอาการไม่พึงประสงค์ของยา Allopurinol): Colchicine ออกฤทธิ์ยับยั้งการรวมตัวของ Microtubules ในเม็ดเลือดขาว ไม่มีกลไกในการบรรเทาหรือป้องกันผลข้างเคียงจากยาลดกรดยูริก Allopurinol แต่อย่างใด
• ข้อ ค. (ยา Allopurinol ช่วยเสริมฤทธิ์ลดปวดและลดการอักเสบของยา Colchicine): Allopurinol ไม่มีฤทธิ์ในการลดปวดหรือต้านอักเสบ (Anti-inflammatory properties) การให้ร่วมกันมีเป้าหมายเพื่อลดระดับกรดยูริกเท่านั้น ไม่ใช่เพื่อเสริมฤทธิ์ลดปวด
• ข้อ ง. (ยา Colchicine ช่วยเสริมฤทธิ์ยา Allopurinol ในการยับยั้งการสร้างกรดยูริก): Colchicine ไม่ได้ออกฤทธิ์ยับยั้งเอนไซม์ Xanthine oxidase หรือกระบวนการใดๆ ที่เกี่ยวข้องกับการสร้างกรดยูริก จึงไม่มีการเสริมฤทธิ์ในแง่ของปริมาณการสร้างกรดยูริก
• ข้อ จ. (ป้องกันการเกิดผลข้างเคียงระยะยาวของยาลดกรดยูริกต่อไต): Colchicine ไม่ได้มีคุณสมบัติในการปกป้องเนื้อเยื่อไตหรือลดความเสี่ยงจากการเกิดผลข้างเคียงระยะยาวของยาลดกรดยูริกต่อไต การจ่ายร่วมกันเพื่อจัดการอาการอักเสบเท่านั้น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2" s="35" t="n"/>
      <c r="L22" s="35" t="inlineStr">
        <is>
          <t>Gout</t>
        </is>
      </c>
      <c r="M22" s="35" t="inlineStr">
        <is>
          <t>Clinic</t>
        </is>
      </c>
      <c r="N22" s="35" t="inlineStr">
        <is>
          <t>Gout Prophylaxis: Colchicine ป้องกันข้ออักเสบกำเริบซ้ำจากการสลายผลึก Urate ในช่วงเริ่มยาลดกรดยูริก</t>
        </is>
      </c>
      <c r="O22" s="35" t="inlineStr">
        <is>
          <t>ข้อสอบจริง</t>
        </is>
      </c>
      <c r="P22" s="35" t="inlineStr">
        <is>
          <t>2566</t>
        </is>
      </c>
    </row>
    <row r="23" ht="409.6" customHeight="1" s="37">
      <c r="A23" s="35" t="n">
        <v>21</v>
      </c>
      <c r="B23" s="35" t="inlineStr">
        <is>
          <t>หากแพทย์ตัดสินใจเริ่มต้นการใช้ยา Allopurinol เพื่อลดกรดยูริกในผู้ป่วยรายนี้ ควรทำการทดสอบพันธุกรรมในข้อใดก่อนเริ่มต้นการรักษากับผู้ป่วยชาวไทยเพื่อป้องกันการแพ้ยารุนแรง</t>
        </is>
      </c>
      <c r="C23" s="35" t="n"/>
      <c r="D23" s="35" t="inlineStr">
        <is>
          <t>HLA-B35:05</t>
        </is>
      </c>
      <c r="E23" s="35" t="inlineStr">
        <is>
          <t>HLA-B15:02</t>
        </is>
      </c>
      <c r="F23" s="35" t="inlineStr">
        <is>
          <t>AST/ALT</t>
        </is>
      </c>
      <c r="G23" s="35" t="inlineStr">
        <is>
          <t>HLA-B58:01</t>
        </is>
      </c>
      <c r="H23" s="35" t="inlineStr">
        <is>
          <t>Serum creatinine (SCr)</t>
        </is>
      </c>
      <c r="I23" s="35" t="n">
        <v>4</v>
      </c>
      <c r="J23" s="35"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การตรวจคัดกรองพันธุกรรมที่เป็นมาตรฐานและแนะนำในผู้ป่วยไทยก่อนเริ่มต้นยาลดกรดยูริก Allopurinol คือการตรวจหาอัลลีล HLA-B58:01 เพื่อลดโอกาสการแพ้ยาเฉียบพลันและรุนแรงประเภท SCARs/SJS/TEN ซึ่งมีอัตราการเสียชีวิตสูงในคนไทย
🔍 ข้ออื่นผิดเพราะอะไร:
• ข้อ ก. (HLA-B35:05): HLA-B35:05 เป็นอัลลีลที่เกี่ยวข้องกับการแพ้ยารุนแรงจากยากลุ่มอื่น ไม่ใช่ยีนเป้าหมายสำหรับประเมินความเสี่ยงต่อการเกิด SJS/TEN จากยา Allopurinol ในคนไทย
• ข้อ ข. (HLA-B15:02): HLA-B15:02 เป็นการตรวจพันธุกรรมเพื่อประเมินความเสี่ยงต่อการแพ้ยารุนแรงชนิด SJS/TEN จากยา Carbamazepine ไม่ใช่ยา Allopurinol
• ข้อ ค. (AST/ALT): AST/ALT เป็นค่าเอนไซม์ตับที่บ่งชี้การอักเสบหรือบาดเจ็บของตับ ใช้ตรวจติดตามความปลอดภัยระหว่างรักษา ไม่ใช่การทดสอบทางพันธุกรรมที่ทำนายการแพ้ยาได้ล่วงหน้า
• ข้อ จ. (Serum creatinine (SCr)): Serum creatinine (SCr) ใช้ประเมินการทำงานของไตเพื่อปรับขนาดยา Allopurinol ให้เหมาะสม แต่ไม่สามารถคาดการณ์หรือทดสอบความเสี่ยงของปฏิกิริยาแพ้ยาผ่านภูมิคุ้มกันได้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3" s="35" t="n"/>
      <c r="L23" s="35" t="inlineStr">
        <is>
          <t>Gout</t>
        </is>
      </c>
      <c r="M23" s="35" t="inlineStr">
        <is>
          <t>Clinic</t>
        </is>
      </c>
      <c r="N23" s="35" t="inlineStr">
        <is>
          <t>Allopurinol Gene Screening: HLA-B58:01 allele เป็น biomarker ทำนายการเกิด SCARs</t>
        </is>
      </c>
      <c r="O23" s="35" t="inlineStr">
        <is>
          <t>ข้อสอบจริง</t>
        </is>
      </c>
      <c r="P23" s="35" t="inlineStr">
        <is>
          <t>2566</t>
        </is>
      </c>
    </row>
    <row r="24" ht="409.6" customHeight="1" s="37">
      <c r="A24" s="35" t="n">
        <v>22</v>
      </c>
      <c r="B24" s="35" t="inlineStr">
        <is>
          <t>ข้อใดต่อไปนี้จัดเป็นยาทางเลือกแรกที่ผู้ป่วยควรได้รับเพื่อบรรเทาอาการอักเสบเฉียบพลัน</t>
        </is>
      </c>
      <c r="C24" s="35" t="n"/>
      <c r="D24" s="35" t="inlineStr">
        <is>
          <t>Allopurinol</t>
        </is>
      </c>
      <c r="E24" s="35" t="inlineStr">
        <is>
          <t>Oral Naproxen (หรือยากลุ่ม NSAIDs)</t>
        </is>
      </c>
      <c r="F24" s="35" t="inlineStr">
        <is>
          <t>Intra-articular steroid (ยาสเตียรอยด์ฉีดเข้าข้อ)</t>
        </is>
      </c>
      <c r="G24" s="35" t="inlineStr">
        <is>
          <t>Probenecid</t>
        </is>
      </c>
      <c r="H24" s="35" t="inlineStr">
        <is>
          <t>Benzbromarone</t>
        </is>
      </c>
      <c r="I24" s="35" t="n">
        <v>2</v>
      </c>
      <c r="J24" s="35" t="inlineStr">
        <is>
          <t>✅ คำตอบที่ถูกต้อง: ข้อ ข. Oral Naproxen (หรือยากลุ่ม NSAIDs)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Oral Naproxen (หรือยากลุ่ม NSAIDs) ยา first-line ที่ใช้ระงับอาการอักเสบเฉียบพลันของโรคเกาต์ (Acute gout attack) คือยากลุ่ม NSAIDs (เช่น Naproxen, Indomethacin), Colchicine หรือ Corticosteroids ชนิดกิน ยาลดกรดยูริก (Allopurinol, Probenecid, Benzbromarone) ห้ามนำมาเริ่มใช้เพื่อแก้ปวดอักเสบเฉียบพลัน ส่วนยาสเตียรอยด์ฉีดเข้าข้อ (Intra-articular steroid) จะพิจารณาเฉพาะเมื่ออักเสบเพียง 1-2 ข้อใหญ่และผู้ป่วยมี contraindication ยารับประทานตัวอื่น
🔍 ข้ออื่นผิดเพราะอะไร:
• ข้อ ก. (Allopurinol): Allopurinol เป็นยาลดระดับกรดยูริก (Urate-lowering therapy) ไม่มียับยั้งการอักเสบ การใช้ในระยะเฉียบพลันอาจทำให้การแกว่งของระดับกรดยูริกกระตุ้นการอักเสบให้รุนแรงขึ้น
• ข้อ ค. (Intra-articular steroid (ยาสเตียรอยด์ฉีดเข้าข้อ)): Intra-articular steroid ใช้เป็นทางเลือกเฉพาะผู้ป่วยที่ปวดอักเสบเพียง 1-2 ข้อ และไม่สามารถรับประทานยากลุ่ม NSAIDs หรือ Colchicine ได้ ไม่ใช่ทางเลือกแรกแบบยารับประทาน
• ข้อ ง. (Probenecid): Probenecid เป็นยากลุ่ม Uricosuric ที่เร่งการขับกรดยูริกออกทางไต ไม่มีฤทธิ์ต้านอักเสบ การให้ในช่วงเริ่มแรกจะกระตุ้นให้ผลึกละลายและข้ออักเสบกำเริบรุนแรงขึ้น
• ข้อ จ. (Benzbromarone): Benzbromarone เป็นยากลุ่ม Uricosuric ใช้ลดระดับกรดยูริกในระยะยาว ไม่มีบทบาทในการลดปวดและอักเสบเฉียบพลันของเกาต์เลย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4" s="35" t="n"/>
      <c r="L24" s="35" t="inlineStr">
        <is>
          <t>Gout</t>
        </is>
      </c>
      <c r="M24" s="35" t="inlineStr">
        <is>
          <t>Clinic</t>
        </is>
      </c>
      <c r="N24" s="35" t="inlineStr">
        <is>
          <t>Acute Gout: Naproxen / NSAIDs เป็นทางเลือกแรก ห้ามเริ่ม Allopurinol ทันที</t>
        </is>
      </c>
      <c r="O24" s="35" t="inlineStr">
        <is>
          <t>ข้อสอบจริง</t>
        </is>
      </c>
      <c r="P24" s="35" t="inlineStr">
        <is>
          <t>2565</t>
        </is>
      </c>
    </row>
    <row r="25" ht="409.6" customHeight="1" s="37">
      <c r="A25" s="35" t="n">
        <v>23</v>
      </c>
      <c r="B25" s="35" t="inlineStr">
        <is>
          <t>แพทย์วินิจฉัยว่าผู้ป่วยเป็นโรคเกาต์เรื้อรังและมีตุ่มโทฟัส (Tophi) จึงจำเป็นต้องได้รับยาลดระดับกรดยูริกในเลือดระยะยาว แต่ผลการตรวจคัดกรองความปลอดภัยทางพันธุกรรมพบยีน HLA-B58:01 เป็นบวก (Positive) ห้ามใช้ยาในข้อใดต่อไปนี้</t>
        </is>
      </c>
      <c r="C25" s="35" t="n"/>
      <c r="D25" s="35" t="inlineStr">
        <is>
          <t>Allopurinol</t>
        </is>
      </c>
      <c r="E25" s="35" t="inlineStr">
        <is>
          <t>Febuxostat</t>
        </is>
      </c>
      <c r="F25" s="35" t="inlineStr">
        <is>
          <t>Benzbromarone</t>
        </is>
      </c>
      <c r="G25" s="35" t="inlineStr">
        <is>
          <t>Lesinurad</t>
        </is>
      </c>
      <c r="H25" s="35" t="inlineStr">
        <is>
          <t>Probenecid</t>
        </is>
      </c>
      <c r="I25" s="35" t="n">
        <v>1</v>
      </c>
      <c r="J25" s="35"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ผลการตรวจคัดกรองพันธุกรรม HLA-B58:01 เป็นบวก แสดงว่าผู้ป่วยมีความเสี่ยงสูงมากที่จะแพ้ยารุนแรงชนิด SJS/TEN จากยา Allopurinol จึงห้ามสั่งใช้ยา Allopurinol อย่างเด็ดขาด และผู้ป่วยสามารถใช้ยาลดกรดยูริกทางเลือกตัวอื่นแทนได้ เช่น Febuxostat หรือกลุ่ม Uricosuric (Benzbromarone, Probenecid)
🔍 ข้ออื่นผิดเพราะอะไร:
• ข้อ ข. (Febuxostat): Febuxostat เป็นยับยั้ง Xanthine oxidase เช่นกันแต่มีโครงสร้างคนละกลุ่ม ไม่มีปฏิกิริยาข้ามกลุ่ม (Cross-reactivity) กับผู้ที่มียีน HLA-B58:01 จึงสามารถใช้แทน Allopurinol ได้อย่างปลอดภัย
• ข้อ ค. (Benzbromarone): Benzbromarone เป็นยาเพิ่มการขับกรดยูริกทางไต (Uricosuric agent) กลไกและโครงสร้างไม่เกี่ยวข้องกับความเสี่ยงการแพ้ยารุนแรงจากยีน HLA-B58:01
• ข้อ ง. (Lesinurad): Lesinurad เป็นยากลุ่ม Selective Uric Acid Reabsorption Inhibitor (SURI) ไม่มีข้อมูลความเสี่ยงของการเกิด SCARs จากการมียีน HLA-B58:01 สามารถใช้เป็นทางเลือกได้
• ข้อ จ. (Probenecid): Probenecid ออกฤทธิ์ยับยั้งโปรตีนขนส่ง URAT1 ที่ท่อไตเพื่อเพิ่มการขับกรดยูริก ไม่เกี่ยวข้องกับการกระตุ้นระบบภูมิคุ้มกันผ่านยีน HLA-B58:01 แต่อย่างใด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5" s="35" t="n"/>
      <c r="L25" s="35" t="inlineStr">
        <is>
          <t>Gout</t>
        </is>
      </c>
      <c r="M25" s="35" t="inlineStr">
        <is>
          <t>Clinic</t>
        </is>
      </c>
      <c r="N25" s="35" t="inlineStr">
        <is>
          <t>Allopurinol Contraindication: ห้ามใช้เด็ดขาดในผู้ป่วยที่มีประวัติแพ้ยา Allopurinol รุนแรง (SJS/TEN)</t>
        </is>
      </c>
      <c r="O25" s="35" t="inlineStr">
        <is>
          <t>ข้อสอบจริง</t>
        </is>
      </c>
      <c r="P25" s="35" t="inlineStr">
        <is>
          <t>2565</t>
        </is>
      </c>
    </row>
    <row r="26" ht="409.6" customHeight="1" s="37">
      <c r="A26" s="35" t="n">
        <v>24</v>
      </c>
      <c r="B26" s="35" t="inlineStr">
        <is>
          <t>ข้อใดต่อไปนี้ ไม่ใช่ คำแนะนำในการปฏิบัติตัวและปรับพฤติกรรม (Non-pharmacological therapy) ที่เหมาะสมสำหรับผู้ป่วยโรคเกาต์</t>
        </is>
      </c>
      <c r="C26" s="35" t="n"/>
      <c r="D26" s="35" t="inlineStr">
        <is>
          <t>แนะนำให้ลดน้ำหนักตัว</t>
        </is>
      </c>
      <c r="E26" s="35" t="inlineStr">
        <is>
          <t>แนะนำให้ลดหรือจำกัดการดื่มเครื่องดื่มสุราและแอลกอฮอล์</t>
        </is>
      </c>
      <c r="F26" s="35" t="inlineStr">
        <is>
          <t>แนะนำให้หลีกเลี่ยงหรือลดการรับประทานเครื่องในสัตว์</t>
        </is>
      </c>
      <c r="G26" s="35" t="inlineStr">
        <is>
          <t>แนะนำให้ลดการรับประทานน้ำผลไม้ที่มีน้ำตาล Fructose สูง</t>
        </is>
      </c>
      <c r="H26" s="35" t="inlineStr">
        <is>
          <t>แนะนำให้รับประทานวิตามินดี (Vitamin D) ปริมาณสูงเพื่อช่วยขับยูริก</t>
        </is>
      </c>
      <c r="I26" s="35" t="n">
        <v>5</v>
      </c>
      <c r="J26" s="35" t="inlineStr">
        <is>
          <t>✅ คำตอบที่ถูกต้อง: ข้อ จ. แนะนำให้รับประทานวิตามินดี (Vitamin D) ปริมาณสูงเพื่อช่วยขับยูริก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แนะนำให้รับประทานวิตามินดี (Vitamin D) ปริมาณสูงเพื่อช่วยขับยูริก การบำบัดรักษาโรคเกาต์โดยไม่ใช้ยาประกอบด้วย การลดน้ำหนักตัวในคนอ้วน, งดเครื่องดื่มแอลกอฮอล์ (เบียร์), หลีกเลี่ยงเครื่องในสัตว์ และลดการดื่มเครื่องดื่มที่มี Fructose สูง เนื่องจากอาหารเหล่านี้มีผลโดยตรงต่อกรดยูริก อย่างไรก็ตาม การรับประทานวิตามินดีปริมาณสูง (High-dose Vitamin D) ไม่มีข้อมูลหรือข้อแนะนำในระดับ
🔍 ข้ออื่นผิดเพราะอะไร:
• ข้อ ก. (แนะนำให้ลดน้ำหนักตัว): การลดน้ำหนักช่วยลดภาวะดื้อต่ออินซูลินซึ่งเป็นปัจจัยที่ทำให้ไตขับกรดยูริกได้น้อยลง จึงเป็นคำแนะนำที่ถูกต้อง
• ข้อ ข. (แนะนำให้ลดหรือจำกัดการดื่มเครื่องดื่มสุราและแอลกอฮอล์): แอลกอฮอล์มีผลเพิ่มการสร้างกรดยูริกจากการสลาย ATP และกระตุ้นให้เกิดกรดแลคติกซึ่งไปยับยั้งการขับยูริกที่ท่อไต จึงเป็นคำแนะนำที่ถูกต้อง
• ข้อ ค. (แนะนำให้หลีกเลี่ยงหรือลดการรับประทานเครื่องในสัตว์): เครื่องในสัตว์เป็นอาหารที่มีสารพิวรีนสูงมาก ซึ่งเป็นสารตั้งต้นในการสังเคราะห์กรดยูริกผ่านเอนไซม์ Xanthine oxidase จึงเป็นคำแนะนำที่ถูกต้อง
• ข้อ ง. (แนะนำให้ลดการรับประทานน้ำผลไม้ที่มีน้ำตาล Fructose สูง): ฟรุกโตสเร่งกระบวนการสลาย purine nucleotide โดยเพิ่มการทำงานของเอนไซม์ AMP deaminase ส่งผลให้ระดับกรดยูริกในเลือดสูงขึ้น จึงเป็นคำแนะนำที่ถูกต้อง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6" s="35" t="n"/>
      <c r="L26" s="35" t="inlineStr">
        <is>
          <t>Gout</t>
        </is>
      </c>
      <c r="M26" s="35" t="inlineStr">
        <is>
          <t>Clinic</t>
        </is>
      </c>
      <c r="N26" s="35" t="inlineStr">
        <is>
          <t>Gout Advice: การหยุดยาลดกรดยูริกทันทีเมื่อปวดทำให้ยูริกแกว่งและอักเสบเรื้อรัง</t>
        </is>
      </c>
      <c r="O26" s="35" t="inlineStr">
        <is>
          <t>ข้อสอบจริง</t>
        </is>
      </c>
      <c r="P26" s="35" t="inlineStr">
        <is>
          <t>2565</t>
        </is>
      </c>
    </row>
    <row r="27" ht="409.6" customHeight="1" s="37">
      <c r="A27" s="35" t="n">
        <v>25</v>
      </c>
      <c r="B27" s="35" t="inlineStr">
        <is>
          <t>ยาในข้อใดต่อไปนี้ที่ ไม่มีผล ทำให้ระดับกรดยูริกในเลือดเพิ่มสูงขึ้น (Hyperuricemia) หรือขัดขวางการขับยูริกที่ไต ผู้ป่วยโรคข้ออักเสบรูมาตอยด์ (Rheumatoid Arthritis) ได้รับการรักษาและควบคุมอาการของโรคด้วยยา Methotrexate (MTX)</t>
        </is>
      </c>
      <c r="C27" s="35" t="n"/>
      <c r="D27" s="35" t="inlineStr">
        <is>
          <t>Low dose aspirin</t>
        </is>
      </c>
      <c r="E27" s="35" t="inlineStr">
        <is>
          <t>Pyrazinamide</t>
        </is>
      </c>
      <c r="F27" s="35" t="inlineStr">
        <is>
          <t>Furosemide</t>
        </is>
      </c>
      <c r="G27" s="35" t="inlineStr">
        <is>
          <t>Hydrochlorothiazide (HCTZ)</t>
        </is>
      </c>
      <c r="H27" s="35" t="inlineStr">
        <is>
          <t>Fenofibrate</t>
        </is>
      </c>
      <c r="I27" s="35" t="n">
        <v>5</v>
      </c>
      <c r="J27" s="35" t="inlineStr">
        <is>
          <t>✅ คำตอบที่ถูกต้อง: ข้อ จ. Fenofibrate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Fenofibrate ยาลดไขมันในเลือดกลุ่ม Fibrate โดยเฉพาะ Fenofibrate มีรายงานการศึกษาทางคลินิกว่ามีผลพลอยได้ในการกระตุ้นการขับกรดยูริกทางปัสสาวะ (Uricosuric effect) ทำให้ระดับกรดยูริกในเลือดลดลงเล็กน้อย จึงไม่มีผลเพิ่มยูริก ต่างจากยาเม็ดแอสไพรินขนาดต่ำ (81 mg), Py ราชินาไมด์ (ยารักษาวัณโรค), Furosemide และ HCTZ (ยาขับปัสสาวะ) ที่มีกลไกแย่งการขับถ่ายกรดยูริกที่ท่อไต ส่งผลให้ยูริกสะสมสูงขึ้น (Hyperuricemia)
🔍 ข้ออื่นผิดเพราะอะไร:
• ข้อ ก. (Low dose aspirin): เป็น irreversible COX-1 inhibitor ยับยั้ง Thromboxane A2 เป็นแกนหลักใน antiplatelet secondary prevention ของ CVD (ขนาดยา 75-100 mg/day)
• ข้อ ข. (Pyrazinamide): เป็น Anti-TB agent ที่มี sterilizing effect สูงใน macrophage เสี่ยงต่อ hyperuricemia (ปวดข้อเก๊าท์) และ severe hepatotoxicity สูงสุดในกลุ่มยาวัณโรค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(Hydrochlorothiazide (HCTZ)): เป็น Thiazide diuretic ลด plasma volume แต่อาจทำให้เกิด hypokalemia, hyponatremia, hyperuricemia และ hyperglycemia และ efficacy ลดลงมากเมื่อ eGFR &lt; 30 mL/min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7" s="35" t="n"/>
      <c r="L27" s="35" t="inlineStr">
        <is>
          <t>Gout</t>
        </is>
      </c>
      <c r="M27" s="35" t="inlineStr">
        <is>
          <t>Clinic</t>
        </is>
      </c>
      <c r="N27" s="35" t="inlineStr">
        <is>
          <t>Gout Drug-Induced: Losartan ช่วยขับกรดยูริกทางปัสสาวะ ขณะที่ Thiazide/Aspirin ลดการขับยูริก</t>
        </is>
      </c>
      <c r="O27" s="35" t="inlineStr">
        <is>
          <t>ข้อสอบจริง</t>
        </is>
      </c>
      <c r="P27" s="35" t="inlineStr">
        <is>
          <t>2565</t>
        </is>
      </c>
    </row>
    <row r="28" ht="409.6" customHeight="1" s="37">
      <c r="A28" s="35" t="n">
        <v>26</v>
      </c>
      <c r="B28" s="35" t="inlineStr">
        <is>
          <t>แพทย์ต้องการประเมินความปลอดภัยและผลข้างเคียงของผู้ป่วยเพื่อปรับลดขนาดยาหรือหยุดยา Methotrexate (MTX) ควรส่งตรวจและติดตามประเมินพารามิเตอร์ในข้อใดเป็นสำคัญ</t>
        </is>
      </c>
      <c r="C28" s="35" t="n"/>
      <c r="D28" s="35" t="inlineStr">
        <is>
          <t>Rheumatoid factor (RF)</t>
        </is>
      </c>
      <c r="E28" s="35" t="inlineStr">
        <is>
          <t>C-reactive protein (CRP)</t>
        </is>
      </c>
      <c r="F28" s="35" t="inlineStr">
        <is>
          <t>Visual Analog Scale (VAS) score</t>
        </is>
      </c>
      <c r="G28" s="35" t="inlineStr">
        <is>
          <t>Complete Blood Count (CBC) และค่าการทำงานของตับ (AST/ALT)</t>
        </is>
      </c>
      <c r="H28" s="35" t="inlineStr">
        <is>
          <t>Erythrocyte Sedimentation Rate (ESR)</t>
        </is>
      </c>
      <c r="I28" s="35" t="n">
        <v>4</v>
      </c>
      <c r="J28" s="35" t="inlineStr">
        <is>
          <t>✅ คำตอบที่ถูกต้อง: ข้อ ง. Complete Blood Count (CBC) และค่าการทำงานของตับ (AST/ALT)
💡 Background:
โรคข้ออักเสบรูมาตอยด์ (RA) เป็น systemic autoimmune disease ต้องรีบเริ่ม DMARDs ทันทีเพื่อป้องกัน joint destruction
🎯 ทำไมข้อนี้ถึงถูก:
Complete Blood Count (CBC) และค่าการทำงานของตับ (AST/ALT) ความเป็นพิษเด่นและอันตรายที่สัมพันธ์กับยา Methotrexate (MTX) คือ ภาวะกดไขกระดูก (Bone marrow suppression ซึ่งตรวจติดตามจาก CBC) และความเป็นพิษต่อตับ (Hepatotoxicity ตรวจติดตามจาก AST/ALT) ซึ่งหากผลตรวจพบความผิดปกติรุนแรง แพทย์จำเป็นต้องปรับลดขนาดยาหรือหยุดใช้ชั่วคราวเพื่อ safety ของผู้ป่วย
🔍 ข้ออื่นผิดเพราะอะไร:
• ข้อ ก. (Rheumatoid factor (RF)): Rheumatoid factor ใช้สำหรับช่วยวินิจฉัยและพยากรณ์โรคข้ออักเสบรูมาตอยด์ ไม่ได้ใช้สำหรับติดตามความเป็นพิษจากยา Methotrexate
• ข้อ ข. (C-reactive protein (CRP)): C-reactive protein เป็นตัวบ่งชี้ภาวะอักเสบในร่างกายเพื่อประเมินการตอบสนองต่อการรักษา ไม่สามารถบ่งชี้ผลข้างเคียงต่อไขกระดูกหรือตับจากยาได้
• ข้อ ค. (Visual Analog Scale (VAS) score): Visual Analog Scale ใช้ประเมินระดับความปวดตามความรู้สึกของผู้ป่วย ไม่มีส่วนเกี่ยวข้องกับการติดตามผลข้างเคียงทางเภสัชวิทยาของยา Methotrexate
• ข้อ จ. (Erythrocyte Sedimentation Rate (ESR)): Erythrocyte Sedimentation Rate เป็นค่าบ่งชี้การอักเสบที่ไม่จำเพาะเจาะจง ไม่ได้สะท้อนถึงภาวะกดไขกระดูกหรือพิษต่อตับที่เป็นผลข้างเคียงหลักของยา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35" t="n"/>
      <c r="L28" s="35" t="inlineStr">
        <is>
          <t>Rheumatoid arthritis</t>
        </is>
      </c>
      <c r="M28" s="35" t="inlineStr">
        <is>
          <t>Clinic</t>
        </is>
      </c>
      <c r="N28" s="35" t="inlineStr">
        <is>
          <t>RA Disease Activity: ประเมินด้วย CDAI, SDAI หรือ DAS28 เพื่อปรับขนาดยาตาม Treat-to-target</t>
        </is>
      </c>
      <c r="O28" s="35" t="inlineStr">
        <is>
          <t>ข้อสอบจริง</t>
        </is>
      </c>
      <c r="P28" s="35" t="inlineStr">
        <is>
          <t>2565</t>
        </is>
      </c>
    </row>
    <row r="29" ht="409.6" customHeight="1" s="37">
      <c r="A29" s="35" t="n">
        <v>27</v>
      </c>
      <c r="B29" s="35" t="inlineStr">
        <is>
          <t>สมุนไพรชนิดใดในข้อใดที่มีการรับรองในบัญชียาหลักแห่งชาติว่ามีสรรพคุณบรรเทาอาการปวดและลดการอักเสบของระบบกล้ามเนื้อและข้อได้ดี ผู้ป่วยเป็นโรคเกาต์ (Gout) ได้รับยา Allopurinol ร่วมกับ Colchicine และมียา Paracetamol รับประทานเวลาปวด ภายหลังจากรับประทานยาได้ 4 วัน ผู้ป่วยมีอาการปวดเกาต์รุนแรงขึ้น จึงทาน Paracetamol ต่อเนื่องกัน 3 วันแต่อาการปวดยังไม่ทุเลา จึงเดินทางไปซื้อยา Naproxen จากร้านยามาทานร่วมด้วย หลังจากรับทานยาได้ 3 วัน ผู้ป่วยเกิดอาการคลื่นไส้ อาเจียน ปวดท้อง ท้องเสียอย่างรุนแรง จึงเดินทางไปโรงพยาบาล ผลตรวจเลือดพบดังนี้: - WBC = 3,000 cells/µL (ปกติ 4,000 - 10,000) - Platelet = 40,000 cells/µL (ปกติ 150,000 - 450,000) - Neutrophil = 30% - Eosinophil = 3% - Hb = 7 g/dL (ปกติ 12 - 16)</t>
        </is>
      </c>
      <c r="C29" s="35" t="n"/>
      <c r="D29" s="35" t="inlineStr">
        <is>
          <t>เถาวัลย์เปรียง</t>
        </is>
      </c>
      <c r="E29" s="35" t="inlineStr">
        <is>
          <t>ชุมเห็ดเทศ</t>
        </is>
      </c>
      <c r="F29" s="35" t="inlineStr">
        <is>
          <t>รางจืด</t>
        </is>
      </c>
      <c r="G29" s="35" t="inlineStr">
        <is>
          <t>หญ้าหนวดแมว</t>
        </is>
      </c>
      <c r="H29" s="35" t="inlineStr">
        <is>
          <t>พญายอ</t>
        </is>
      </c>
      <c r="I29" s="35" t="n">
        <v>1</v>
      </c>
      <c r="J29" s="35" t="inlineStr">
        <is>
          <t>✅ คำตอบที่ถูกต้อง: ข้อ ก. เถาวัลย์เปรียง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เถาวัลย์เปรียง ในบัญชียาหลักแห่งชาติ สมุนไพร "เถาวัลย์เปรียง" (Derris scandens) ได้รับการรับรองและบรรจุในบัญชียาแผนไทย/สมุนไพร เพื่อบรรเทาอาการปวดระบบกล้ามเนื้อและกระดูก มีการศึกษาทางคลินิกเปรียบเทียบพบว่ามีฤทธิ์ต้านอักเสบและลดปวดได้ดีในระดับใกล้เคียงกับยาต้านการอักเสบแผนปัจจุบัน
🔍 ข้ออื่นผิดเพราะอะไร:
• ข้อ ข. (ชุมเห็ดเทศ): ชุมเห็ดเทศ มีสารสำคัญกลุ่มแอนทราควิโนน มีฤทธิ์กระตุ้นการบีบตัวของลำไส้ใหญ่ ใช้เป็นยาระบาย ไม่ได้มีข้อบ่งใช้สำหรับลดอาการปวดอักเสบของกล้ามเนื้อ
• ข้อ ค. (รางจืด): รางจืด มีข้อบ่งใช้ในการถอนพิษไข้ ถอนพิษเบื่อเมา หรือล้างพิษจากสารเคมี ไม่มีฤทธิ์ต้านการอักเสบหรือลดปวดระบบกล้ามเนื้อ
• ข้อ ง. (หญ้าหนวดแมว): หญ้าหนวดแมว มีฤทธิ์ขับปัสสาวะและช่วยขับกรดยูริก แต่ไม่มีฤทธิ์ลดการอักเสบหรือบรรเทาอาการปวดข้อโดยตรง
• ข้อ จ. (พญายอ): พญายอ มีฤทธิ์ต้านเชื้อไวรัสเริมและงูสวัดเมื่อใช้ทาภายนอก ไม่ได้มีข้อบ่งใช้เป็นยารับประทานเพื่อบรรเทาอาการปวดกล้ามเนื้อ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9" s="35" t="n"/>
      <c r="L29" s="35" t="inlineStr">
        <is>
          <t>Gout / Herbal Medicine</t>
        </is>
      </c>
      <c r="M29" s="35" t="inlineStr">
        <is>
          <t>Clinic</t>
        </is>
      </c>
      <c r="N29" s="35" t="inlineStr">
        <is>
          <t>Herbal Medicine: สารสกัดเถาวัลย์เปรียง บรรเทาอาการปวดข้อเข่าเสื่อมได้เทียบเท่า NSAIDs</t>
        </is>
      </c>
      <c r="O29" s="35" t="inlineStr">
        <is>
          <t>ข้อสอบจริง</t>
        </is>
      </c>
      <c r="P29" s="35" t="inlineStr">
        <is>
          <t>2565</t>
        </is>
      </c>
    </row>
    <row r="30" ht="409.6" customHeight="1" s="37">
      <c r="A30" s="35" t="n">
        <v>28</v>
      </c>
      <c r="B30" s="35" t="inlineStr">
        <is>
          <t>จากผลการตรวจวัดทางห้องปฏิบัติการทางโลหิตวิทยาของผู้ป่วยรายนี้ ผู้ป่วยมีภาวะความผิดปกติของระบบเลือดในข้อใด</t>
        </is>
      </c>
      <c r="C30" s="35" t="n"/>
      <c r="D30" s="35" t="inlineStr">
        <is>
          <t>Pancytopenia (เซลล์เม็ดเลือดต่ำทุกชนิด)</t>
        </is>
      </c>
      <c r="E30" s="35" t="inlineStr">
        <is>
          <t>Neutropenia (เม็ดเลือดขาวชนิดนิวโทรฟิลต่ำ)</t>
        </is>
      </c>
      <c r="F30" s="35" t="inlineStr">
        <is>
          <t>Thrombocytopenia (เกล็ดเลือดต่ำ)</t>
        </is>
      </c>
      <c r="G30" s="35" t="inlineStr">
        <is>
          <t>Anemia (ภาวะโลหิตจาง)</t>
        </is>
      </c>
      <c r="H30" s="35" t="inlineStr">
        <is>
          <t>Bicytopenia (เซลล์เม็ดเลือดต่ำสองชนิด)</t>
        </is>
      </c>
      <c r="I30" s="35" t="n">
        <v>1</v>
      </c>
      <c r="J30" s="35" t="inlineStr">
        <is>
          <t>✅ คำตอบที่ถูกต้อง: ข้อ ก. Pancytopenia (เซลล์เม็ดเลือดต่ำทุกชนิด)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Pancytopenia (เซลล์เม็ดเลือดต่ำทุกชนิด) จากผลการตรวจแล็บ เม็ดเลือดขาว (WBC = 3,000 ต่ำกว่าปกติ 4,000-10,000), เกล็ดเลือด (Platelet = 40,000 ต่ำกว่าปกติ 150,000-450,000) และ ฮีโมโกลบิน (Hb = 7 g/dL ต่ำกว่าปกติ 12-16 บ่งชี้ภาวะโลหิตจางรุนแรง) การที่มีการลดลงของเม็ดเลือดทั้งสามสายในเวลาเดียวกันเรียกว่า ภาวะเม็ดเลือดต่ำทุกชนิด (Pancytopenia)
🔍 ข้ออื่นผิดเพราะอะไร:
• ข้อ ข. (Neutropenia (เม็ดเลือดขาวชนิดนิวโทรฟิลต่ำ)): Neutropenia หมายถึงภาวะที่มีเฉพาะเม็ดเลือดขาวชนิดนิวโทรฟิลต่ำผิดปกติ แต่ผู้ป่วยรายนี้มีการลดลงของเม็ดเลือดแดงและเกล็ดเลือดร่วมด้วย
• ข้อ ค. (Thrombocytopenia (เกล็ดเลือดต่ำ)): Thrombocytopenia หมายถึงภาวะที่มีเฉพาะเกล็ดเลือดต่ำผิดปกติเพียงอย่างเดียว ซึ่งไม่ครอบคลุมความผิดปกติของเม็ดเลือดขาวและเม็ดเลือดแดงในผู้ป่วยรายนี้
• ข้อ ง. (Anemia (ภาวะโลหิตจาง)): Anemia หมายถึงภาวะโลหิตจางหรือเม็ดเลือดแดงต่ำเพียงอย่างเดียว ไม่ได้อธิบายถึงภาวะเม็ดเลือดขาวและเกล็ดเลือดต่ำที่เกิดขึ้นพร้อมกัน
• ข้อ จ. (Bicytopenia (เซลล์เม็ดเลือดต่ำสองชนิด)): Bicytopenia หมายถึงภาวะที่มีความผิดปกติของเม็ดเลือดเพียงสองสาย แต่ผู้ป่วยรายนี้มีความผิดปกติครบทั้งสามสาย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0" s="35" t="n"/>
      <c r="L30" s="35" t="inlineStr">
        <is>
          <t>Gout</t>
        </is>
      </c>
      <c r="M30" s="35" t="inlineStr">
        <is>
          <t>Clinic</t>
        </is>
      </c>
      <c r="N30" s="35" t="inlineStr">
        <is>
          <t>MTX Toxicity: ตรวจพบ Leukopenia / Myelosuppression จากฤทธิ์ Antifolate ของ MTX</t>
        </is>
      </c>
      <c r="O30" s="35" t="inlineStr">
        <is>
          <t>ข้อสอบจริง</t>
        </is>
      </c>
      <c r="P30" s="35" t="inlineStr">
        <is>
          <t>2564</t>
        </is>
      </c>
    </row>
    <row r="31" ht="409.6" customHeight="1" s="37">
      <c r="A31" s="35" t="n">
        <v>29</v>
      </c>
      <c r="B31" s="35" t="inlineStr">
        <is>
          <t>จากกรณีศึกษา ยาตัวใดในสูตรการรักษาของผู้ป่วยที่มีแนวโน้มเป็นสาเหตุหลักที่ทำลายเซลล์ไขกระดูกและส่งผลให้เกิดความผิดปกติของระบบเลือดดังกล่าว (เมื่อได้รับยาในขนาดสูงหรือเกิดสภาวะยาสะสมจากไตวาย) ผู้ป่วยหญิงอายุ 67 ปี หมดประจำเดือนแล้ว มารับการตรวจความหนาแน่นมวลกระดูก (BMD) ผลตรวจพบค่า T-score ของกระดูกสะโพก (Hip) = -2.5 และกระดูกสันหลัง (Spine) = -2.8</t>
        </is>
      </c>
      <c r="C31" s="35" t="n"/>
      <c r="D31" s="35" t="inlineStr">
        <is>
          <t>Naproxen</t>
        </is>
      </c>
      <c r="E31" s="35" t="inlineStr">
        <is>
          <t>Colchicine</t>
        </is>
      </c>
      <c r="F31" s="35" t="inlineStr">
        <is>
          <t>Allopurinol</t>
        </is>
      </c>
      <c r="G31" s="35" t="inlineStr">
        <is>
          <t>Paracetamol</t>
        </is>
      </c>
      <c r="H31" s="35" t="inlineStr">
        <is>
          <t>ทั้ง Allopurinol และ Colchicine ร่วมกัน</t>
        </is>
      </c>
      <c r="I31" s="35" t="n">
        <v>2</v>
      </c>
      <c r="J31" s="35" t="inlineStr">
        <is>
          <t>✅ คำตอบที่ถูกต้อง: ข้อ ข. Colchicine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Colchicine ยา Colchicine มีความเป็นพิษสูงต่อเซลล์ที่มีการแบ่งตัวเร็ว (Antimitotic agent ผ่านกลไกยับยั้ง Tubulin polymerization) หากสะสมในร่างกายปริมาณสูง (เช่น ในกรณีที่คนไข้มีไตวายเฉียบพลัน/eGFR ต่ำ หรือได้รับยาเกินขนาด) ยาจะแสดงพิษรุนแรงต่อไขกระดูก ส่งผลให้หยุดยั้งการสร้างเซลล์เม็ดเลือดและเหนี่ยวนำให้เกิดภาวะกดไขกระดูกอย่างเฉียบพลันและเกิด Pancytopenia ที่อันตรายถึงชีวิต
🔍 ข้ออื่นผิดเพราะอะไร:
• ข้อ ก. (Naproxen): เป็น non-selective NSAID ที่มี cardiovascular safety profile ดีที่สุด และมี efficacy สูงในการระงับ acute inflammation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(ทั้ง Allopurinol และ Colchicine ร่วมกัน):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1" s="35" t="n"/>
      <c r="L31" s="35" t="inlineStr">
        <is>
          <t>Gout</t>
        </is>
      </c>
      <c r="M31" s="35" t="inlineStr">
        <is>
          <t>Clinic</t>
        </is>
      </c>
      <c r="N31" s="35" t="inlineStr">
        <is>
          <t>Drug-Induced Cytopenia: MTX กดไขกระดูก ป้องกันได้ด้วยการให้ Folic acid เสริม</t>
        </is>
      </c>
      <c r="O31" s="35" t="inlineStr">
        <is>
          <t>ข้อสอบจริง</t>
        </is>
      </c>
      <c r="P31" s="35" t="inlineStr">
        <is>
          <t>2564</t>
        </is>
      </c>
    </row>
    <row r="32" ht="409.6" customHeight="1" s="37">
      <c r="A32" s="35" t="n">
        <v>30</v>
      </c>
      <c r="B32" s="35" t="inlineStr">
        <is>
          <t>จากข้อมูลข้างต้น ข้อใดคือคำจำกัดความที่ถูกต้องของค่า T-score ทางคลินิก</t>
        </is>
      </c>
      <c r="C32" s="35" t="n"/>
      <c r="D32" s="35" t="inlineStr">
        <is>
          <t>ค่าความหนาแน่นมวลกระดูกของผู้ป่วยเมื่อเทียบกับค่าสูงสุดของประชากรเพศเดียวกันในวัยหนุ่มสาว (Peak bone mass)</t>
        </is>
      </c>
      <c r="E32" s="35" t="inlineStr">
        <is>
          <t>ค่าความหนาแน่นมวลกระดูกของผู้ป่วยเมื่อเทียบกับค่าเฉลี่ยของประชากรในช่วงอายุเดียวกัน</t>
        </is>
      </c>
      <c r="F32" s="35" t="inlineStr">
        <is>
          <t>ค่าความแข็งแรงทางสรีรวิทยาของกระดูกสะโพกและกระดูกสันหลัง</t>
        </is>
      </c>
      <c r="G32" s="35" t="inlineStr">
        <is>
          <t>ค่าที่ใช้สำหรับวินิจฉัยภาวะกระดูกน่วมและกระดูกบางในสตรีอายุน้อย</t>
        </is>
      </c>
      <c r="H32" s="35" t="inlineStr">
        <is>
          <t>อัตราส่วนความเสี่ยงในการเกิดกระดูกหักจากอุบัติเหตุล้มเบาบาง</t>
        </is>
      </c>
      <c r="I32" s="35" t="n">
        <v>1</v>
      </c>
      <c r="J32" s="35" t="inlineStr">
        <is>
          <t>✅ คำตอบที่ถูกต้อง: ข้อ ก. ค่าความหนาแน่นมวลกระดูกของผู้ป่วยเมื่อเทียบกับค่าสูงสุดของประชากรเพศเดียวกันในวัยหนุ่มสาว (Peak bone mass)
💡 Background:
โรคกระดูกพรุน (T-score ≤ -2.5) ทำให้กระดูกเปราะ เสี่ยงต่อ fragility fracture การรักษาเน้นยับยั้ง bone resorption ด้วย antiresorptive agents
🎯 ทำไมข้อนี้ถึงถูก:
ค่าความหนาแน่นมวลกระดูกของผู้ป่วยเมื่อเทียบกับค่าสูงสุดของประชากรเพศเดียวกันในวัยหนุ่มสาว (Peak bone mass) ค่า T-score ทางคลินิกกระดูกพรุน บ่งบอกถึงค่าความหนาแน่นมวลกระดูก (BMD) ของผู้ป่วยเมื่อนำไปเปรียบเทียบกับค่ามวลกระดูกสูงสุด (Peak bone mass) ของประชากรเพศเดียวกันที่มีสุขภาพดีในวัยหนุ่มสาว (อายุประมาณ 20-30 ปี) โดยใช้อัตราส่วนเบี่ยงเบนมาตรฐาน (SD) เป็นเกณฑ์ในการประเมินความเสี่ยงและระดับความพรุนของกระดูก
🔍 ข้ออื่นผิดเพราะอะไร:
• ข้อ ข. (ค่าความหนาแน่นมวลกระดูกของผู้ป่วยเมื่อเทียบกับค่าเฉลี่ยของประชากรในช่วงอายุเดียวกัน): การเปรียบเทียบมวลกระดูกกับค่าเฉลี่ยของประชากรในช่วงอายุเดียวกันเรียกว่า Z-score ไม่ใช่ T-score ที่ใช้เป็นมาตรฐานในการวินิจฉัยโรคกระดูกพรุน
• ข้อ ค. (ค่าความแข็งแรงทางสรีรวิทยาของกระดูกสะโพกและกระดูกสันหลัง): T-score ประเมินจากความหนาแน่นของมวลกระดูก ไม่ได้วัดความแข็งแรงทางสรีรวิทยาหรือโครงสร้างจุลภาคของกระดูกโดยตรง
• ข้อ ง. (ค่าที่ใช้สำหรับวินิจฉัยภาวะกระดูกน่วมและกระดูกบางในสตรีอายุน้อย): ภาวะกระดูกน่วม (Osteomalacia) เกิดจากความบกพร่องในการสะสมแร่ธาตุในกระดูก ไม่ได้ใช้ค่า T-score ในการวินิจฉัยซึ่งสงวนไว้สำหรับ Osteoporosis
• ข้อ จ. (อัตราส่วนความเสี่ยงในการเกิดกระดูกหักจากอุบัติเหตุล้มเบาบาง): เครื่องมือประเมินอัตราส่วนความเสี่ยงในการเกิดกระดูกหักล่วงหน้า 10 ปีเรียกว่า FRAX score ไม่ใช่ค่า T-score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32" s="35" t="n"/>
      <c r="L32" s="35" t="inlineStr">
        <is>
          <t>Osteoporosis</t>
        </is>
      </c>
      <c r="M32" s="35" t="inlineStr">
        <is>
          <t>Clinic</t>
        </is>
      </c>
      <c r="N32" s="35" t="inlineStr">
        <is>
          <t>Osteoporosis Definition: T-score ≤ -2.5 SD ณ Lumbar spine หรือ Hip</t>
        </is>
      </c>
      <c r="O32" s="35" t="inlineStr">
        <is>
          <t>ข้อสอบจริง</t>
        </is>
      </c>
      <c r="P32" s="35" t="inlineStr">
        <is>
          <t>2564</t>
        </is>
      </c>
    </row>
    <row r="33" ht="409.6" customHeight="1" s="37">
      <c r="A33" s="35" t="n">
        <v>31</v>
      </c>
      <c r="B33" s="35" t="inlineStr">
        <is>
          <t>ยาต้านการสลายกระดูกในข้อใดจัดเป็นยาทางเลือกแรก (First-line) สำหรับใช้รักษาโรคกระดูกพรุนในผู้ป่วยหญิงรายนี้เพื่อป้องกันการเกิดกระดูกหัก ผู้ป่วยชาย อายุ 75 ปี เป็นโรคข้ออักเสบรูมาตอยด์ (Rheumatoid Arthritis) มาโรงพยาบาลด้วยอาการปวดอักเสบข้ออย่างรุนแรง (Pain score = 7) มีประวัติแพ้ยาในกลุ่ม Sulfonamides (Sulfa drugs) เคยมีประวัติเลือดออกในทางเดินอาหาร (GI bleeding) เมื่อ 3 ปีที่แล้ว ปัจจุบันรับประทานยา Aspirin 81 mg วันละ 1 เม็ดเพื่อรักษาโรคหลอดเลือดหัวใจตีบ</t>
        </is>
      </c>
      <c r="C33" s="35" t="n"/>
      <c r="D33" s="35" t="inlineStr">
        <is>
          <t>Alendronate (หรือยากลุ่ม Bisphosphonates)</t>
        </is>
      </c>
      <c r="E33" s="35" t="inlineStr">
        <is>
          <t>Raloxifene</t>
        </is>
      </c>
      <c r="F33" s="35" t="inlineStr">
        <is>
          <t>Strontium ranelate</t>
        </is>
      </c>
      <c r="G33" s="35" t="inlineStr">
        <is>
          <t>Teriparatide</t>
        </is>
      </c>
      <c r="H33" s="35" t="inlineStr">
        <is>
          <t>Calcitonin nasal spray</t>
        </is>
      </c>
      <c r="I33" s="35" t="n">
        <v>1</v>
      </c>
      <c r="J33" s="35" t="inlineStr">
        <is>
          <t>✅ คำตอบที่ถูกต้อง: ข้อ ก. Alendronate (หรือยากลุ่ม Bisphosphonates)
💡 Background:
โรคข้ออักเสบรูมาตอยด์ (RA) เป็น systemic autoimmune disease ต้องรีบเริ่ม DMARDs ทันทีเพื่อป้องกัน joint destruction
🎯 ทำไมข้อนี้ถึงถูก:
Alendronate (หรือยากลุ่ม Bisphosphonates) สำหรับหญิงหมดประจำเดือนที่ตรวจพบภาวะกระดูกพรุนและมีความเสี่ยงสูง (T-score = -2.5 หรือต่ำกว่า) ยาต้านการสลายกระดูกในกลุ่ม Bisphosphonates ชนิดรับประทาน เช่น Alendronate ถือเป็นยา first-line (First-line therapy) เนื่องจากมีหลักฐานทางคลินิกสนับสนุนเข้มแข็งในการป้องกันและลดความเสี่ยงของการเกิดกระดูกหักทั้งที่กระดูกสันหลังและสะโพก
🔍 ข้ออื่นผิดเพราะอะไร:
• ข้อ ข. (Raloxifene): Raloxifene เป็นยากลุ่ม SERMs ที่มีข้อบ่งใช้เฉพาะในผู้หญิงวัยหมดประจำเดือน ไม่มีข้อมูลประสิทธิภาพและความปลอดภัยสำหรับการใช้ในผู้ป่วยชาย
• ข้อ ค. (Strontium ranelate): Strontium ranelate มีข้อห้ามใช้ในผู้ป่วยที่มีประวัติโรคหลอดเลือดหัวใจตีบ เนื่องจากเพิ่มความเสี่ยงต่อการเกิดลิ่มเลือดอุดตันและภาวะกล้ามเนื้อหัวใจขาดเลือด
• ข้อ ง. (Teriparatide): Teriparatide เป็นยาฮอร์โมนพาราไทรอยด์สังเคราะห์ที่มีฤทธิ์สร้างกระดูก จัดเป็นยาทางเลือกสำรอง ไม่ใช่ยาทางเลือกแรก
• ข้อ จ. (Calcitonin nasal spray): Calcitonin nasal spray มีประสิทธิภาพในการลดความเสี่ยงกระดูกสันหลังหักได้น้อยมากเมื่อเทียบกับ Bisphosphonates และไม่ป้องกันกระดูกสะโพกหัก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3" s="35" t="n"/>
      <c r="L33" s="35" t="inlineStr">
        <is>
          <t>Osteoporosis</t>
        </is>
      </c>
      <c r="M33" s="35" t="inlineStr">
        <is>
          <t>Clinic</t>
        </is>
      </c>
      <c r="N33" s="35" t="inlineStr">
        <is>
          <t>Osteoporosis First-line: Alendronate / Risedronate (Oral Bisphosphonates) ลด Fracture ได้ดีที่สุด</t>
        </is>
      </c>
      <c r="O33" s="35" t="inlineStr">
        <is>
          <t>ข้อสอบจริง</t>
        </is>
      </c>
      <c r="P33" s="35" t="inlineStr">
        <is>
          <t>2564</t>
        </is>
      </c>
    </row>
    <row r="34" ht="409.6" customHeight="1" s="37">
      <c r="A34" s="35" t="n">
        <v>32</v>
      </c>
      <c r="B34" s="35" t="inlineStr">
        <is>
          <t>หากแพทย์และเภสัชกรจำเป็นต้องร่วมพิจารณาจ่ายยากลุ่ม NSAIDs เพื่อต้านอักเสบและบรรเทาอาการปวดข้อของผู้ป่วย ปัจจัยในข้อใดต่อไปนี้มีความสำคัญในการตัดสินใจเลือกใช้ยา น้อยที่สุด</t>
        </is>
      </c>
      <c r="C34" s="35" t="n"/>
      <c r="D34" s="35" t="inlineStr">
        <is>
          <t>อายุของผู้ป่วย</t>
        </is>
      </c>
      <c r="E34" s="35" t="inlineStr">
        <is>
          <t>ราคาค่ายา</t>
        </is>
      </c>
      <c r="F34" s="35" t="inlineStr">
        <is>
          <t>น้ำหนักตัวของผู้ป่วย</t>
        </is>
      </c>
      <c r="G34" s="35" t="inlineStr">
        <is>
          <t>ประวัติการแพ้ยาของผู้ป่วย</t>
        </is>
      </c>
      <c r="H34" s="35" t="inlineStr">
        <is>
          <t>โรคร่วมและการใช้ยาอื่นร่วมของผู้ป่วย</t>
        </is>
      </c>
      <c r="I34" s="35" t="n">
        <v>3</v>
      </c>
      <c r="J34" s="35" t="inlineStr">
        <is>
          <t>✅ คำตอบที่ถูกต้อง: ข้อ ค. น้ำหนักตัวของผู้ป่วย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น้ำหนักตัวของผู้ป่วย ในการเลือกยาต้านการอักเสบกลุ่ม NSAIDs สำหรับผู้ป่วยระบบข้อและกล้ามเนื้อ ปัจจัยที่มีผลต่อ safety และใช้เป็นหลักเกณฑ์พิจารณาเลือกยา ได้แก่ อายุผู้ป่วย (หลีกเลี่ยง NSAIDs ในผู้สูงอายุเนื่องจากพิษทางไตและทางเดินอาหาร), โรคร่วมและยาอื่นที่ใช้ร่วม (ระวังความเสี่ยงโรคหัวใจ, ไต, กระเพาะอาหาร), ประวัติแพ้ยา และปัจจัยด้านราคาค่ายา ส่วน "น้ำหนักตัวของผู้ป่วย" มีผลต่อการปรับขนาดยาน้อยมากสำหรับกลุ่ม NSAIDs ทั่วไปในผู้ใหญ่
🔍 ข้ออื่นผิดเพราะอะไร:
• ข้อ ก. (อายุของผู้ป่วย): อายุของผู้ป่วยเป็นปัจจัยสำคัญ เนื่องจากผู้สูงอายุมีการทำงานของไตลดลงและมีความเสี่ยงสูงต่อภาวะเลือดออกในทางเดินอาหารจากยากลุ่ม NSAIDs
• ข้อ ข. (ราคาค่ายา): ราคาค่ายาเป็นปัจจัยในการพิจารณาความคุ้มค่าและการเข้าถึงยาของผู้ป่วย โดยเฉพาะในกลุ่ม COX-2 inhibitors ที่มีราคาสูงกว่า NSAIDs ดั้งเดิม
• ข้อ ง. (ประวัติการแพ้ยาของผู้ป่วย): ประวัติการแพ้ยามีความสำคัญอย่างยิ่งเพื่อหลีกเลี่ยงการเกิดปฏิกิริยาข้ามกลุ่ม หรือภาวะแพ้ยารุนแรงเช่น Anaphylaxis
• ข้อ จ. (โรคร่วมและการใช้ยาอื่นร่วมของผู้ป่วย): โรคร่วมและการใช้ยาอื่นร่วมมีความสำคัญในการประเมินอันตรกิริยาระหว่างยาและหลีกเลี่ยงผลกระทบต่อระบบหัวใจ หลอดเลือด และไต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34" s="35" t="n"/>
      <c r="L34" s="35" t="inlineStr">
        <is>
          <t>Osteoarthritis</t>
        </is>
      </c>
      <c r="M34" s="35" t="inlineStr">
        <is>
          <t>Clinic</t>
        </is>
      </c>
      <c r="N34" s="35" t="inlineStr">
        <is>
          <t>NSAIDs Safety: ปัจจัยเสี่ยงแผลทางเดินอาหาร ได้แก่ ผู้สูงอายุ, ประวัติ GI bleed, ยาต้านเกล็ดเลือด</t>
        </is>
      </c>
      <c r="O34" s="35" t="inlineStr">
        <is>
          <t>ข้อสอบจริง</t>
        </is>
      </c>
      <c r="P34" s="35" t="inlineStr">
        <is>
          <t>2563</t>
        </is>
      </c>
    </row>
    <row r="35" ht="409.6" customHeight="1" s="37">
      <c r="A35" s="35" t="n">
        <v>33</v>
      </c>
      <c r="B35" s="35" t="inlineStr">
        <is>
          <t>จากประวัติกรณีศึกษาข้างต้น แนวทางการรักษาด้วยยาต้านการอักเสบข้อเพื่อบรรเทาอาการปวดที่เหมาะสมที่สุดสำหรับผู้ป่วยรายนี้คือข้อใด ผู้ป่วยชายไทยคู่ มีอาการปวด บวม แดง ร้อนอย่างรุนแรงที่ข้อนิ้วหัวแม่เท้าขวาเฉียบพลัน ผลการตรวจระดับกรดยูริกในเลือด (Serum uric acid) = 11 mg/dL ผลค่าการทำงานของไต: eGFR &lt; 40 mL/min/1.73 m² ประวัติโรคประจำตัว: โรคเกาต์ (Gout) และโรคความดันโลหิตสูง (Hypertension) รายการยาเดิมที่ใช้อยู่: Enalapril 20 mg วันละ 1 เม็ด หลังอาหารเช้า และ Allopurinol 200 mg วันละ 1 เม็ด หลังอาหารเช้า</t>
        </is>
      </c>
      <c r="C35" s="35" t="n"/>
      <c r="D35" s="35" t="inlineStr">
        <is>
          <t>หลีกเลี่ยงการจ่ายยา NSAIDs ทุกชนิดเนื่องจากผู้ป่วยทาน Aspirin และเคยเกิดเลือดออกในทางเดินอาหาร</t>
        </is>
      </c>
      <c r="E35" s="35" t="inlineStr">
        <is>
          <t>จ่ายยา Acetaminophen (Paracetamol) เป็นตัวเลือกอันดับแรกในการบรรเทาปวดแทนยาอื่น</t>
        </is>
      </c>
      <c r="F35" s="35" t="inlineStr">
        <is>
          <t>สั่งจ่ายยากลุ่ม NSAIDs ร่วมกัน 2 ตัวเพื่อบรรเทาอาการปวดที่รุนแรง</t>
        </is>
      </c>
      <c r="G35" s="35" t="inlineStr">
        <is>
          <t>เลือกใช้ยากลุ่ม Selective COX-2 inhibitor เพียงอย่างเดียวโดยไม่ต้องใช้ยาอื่น</t>
        </is>
      </c>
      <c r="H35" s="35" t="inlineStr">
        <is>
          <t>จ่ายยากลุ่ม NSAIDs ร่วมกับ Proton Pump Inhibitor (PPI เช่น Omeprazole) ทุกครั้งเพื่อความปลอดภัยต่อทางเดินอาหาร</t>
        </is>
      </c>
      <c r="I35" s="35" t="n">
        <v>5</v>
      </c>
      <c r="J35" s="35" t="inlineStr">
        <is>
          <t>✅ คำตอบที่ถูกต้อง: ข้อ จ. จ่ายยากลุ่ม NSAIDs ร่วมกับ Proton Pump Inhibitor (PPI เช่น Omeprazole) ทุกครั้งเพื่อความปลอดภัยต่อทางเดินอาหาร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จ่ายยากลุ่ม NSAIDs ร่วมกับ Proton Pump Inhibitor (PPI เช่น Omeprazole) ทุกครั้งเพื่อความปลอดภัยต่อทางเดินอาหาร จ่ายยากลุ่ม NSAIDs ร่วมกับ Proton Pump Inhibitor (PPI เช่น Omeprazole) ทุกครั้งเพื่อ safety ต่อทางเดินอาหาร จ่ายยากลุ่ม NSAIDs ร่วมกับ Proton Pump Inhibitor (PPI เช่น Omeprazole) ทุกครั้งเพื่อ safety ต่อทางเดินอาหาร จ่ายยากลุ่ม NSAIDs ร่วมกับ Proton Pump Inhibitor (PPI เช่น Omeprazole) ทุกครั้งเพื่อ safety ต่อทางเดินอาหาร จ่ายยากลุ่ม NSAIDs ร่วมกับ Proton Pump Inhibitor (PPI เช่น Omeprazole) ทุกครั้งเพื่อ safety ต่อทางเดินอาหาร ผู้ป่วยรายนี้มีปัจจัยเสี่ยงสูงมากต่อการเกิดเลือดออกในทางเดินอาหาร (High GI risk) จากอายุ 75 ปี, ประวัติเคยมี GI bleeding และทาน Aspirin ร่วมด้วย หากมีความจำเป็นต้องใช้ยาต้านการอักเสบกลุ่ม NSAIDs เพื่อควบคุมอาการปวดที่รุนแรง (Pain score = 7) เภสัชกรต้องแนะนำให้แพทย์จ่ายยาลดอักเสบกลุ่มที่เหมาะสม ร่วมกับยาเคลือบหรือป้องกันแผลทางเดินอาหารกลุ่ม Proton Pump Inhibitors (เช่น Omeprazole) เสมอเพื่อ safety
🔍 ข้ออื่นผิดเพราะอะไร:
• ข้อ ก. (หลีกเลี่ยงการจ่ายยา NSAIDs ทุกชนิดเนื่องจากผู้ป่วยทาน Aspirin และเคยเกิดเลือดออกในทางเดินอาหาร): ผู้ป่วยมีอาการปวดเกาต์รุนแรง การหลีกเลี่ยง NSAIDs อย่างสิ้นเชิงอาจทำให้คุมอาการไม่ได้ การใช้ร่วมกับ PPI เป็นทางเลือกที่ปลอดภัยกว่า
• ข้อ ข. (จ่ายยา Acetaminophen (Paracetamol) เป็นตัวเลือกอันดับแรกในการบรรเทาปวดแทนยาอื่น): Paracetamol มีเพียงฤทธิ์ระงับปวดและลดไข้ แต่ไม่มีฤทธิ์ต้านการอักเสบ จึงไม่มีประสิทธิภาพเพียงพอในการรักษาข้ออักเสบเกาต์เฉียบพลัน
• ข้อ ค. (สั่งจ่ายยากลุ่ม NSAIDs ร่วมกัน 2 ตัวเพื่อบรรเทาอาการปวดที่รุนแรง): การใช้ NSAIDs ร่วมกัน 2 ชนิดไม่ช่วยเพิ่มประสิทธิภาพในการระงับปวด แต่จะเพิ่มความเสี่ยงต่อการเกิดพิษทางไตและแผลในทางเดินอาหารอย่างทวีคูณ
• ข้อ ง. (เลือกใช้ยากลุ่ม Selective COX-2 inhibitor เพียงอย่างเดียวโดยไม่ต้องใช้ยาอื่น): แม้ Selective COX-2 inhibitor จะลดความเสี่ยงต่อกระเพาะอาหาร แต่ในผู้ป่วยที่ใช้ Aspirin ร่วมด้วย ยาจะไม่สามารถลดความเสี่ยงได้ดีเท่าการใช้ร่วมกับ PPI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35" s="35" t="n"/>
      <c r="L35" s="35" t="inlineStr">
        <is>
          <t>Gout</t>
        </is>
      </c>
      <c r="M35" s="35" t="inlineStr">
        <is>
          <t>Clinic</t>
        </is>
      </c>
      <c r="N35" s="35" t="inlineStr">
        <is>
          <t>NSAIDs GI Protection: ใช้ Celecoxib ร่วมกับ PPIs ในผู้ป่วย High GI risk และ low CV risk</t>
        </is>
      </c>
      <c r="O35" s="35" t="inlineStr">
        <is>
          <t>ข้อสอบจริง</t>
        </is>
      </c>
      <c r="P35" s="35" t="inlineStr">
        <is>
          <t>2563</t>
        </is>
      </c>
    </row>
    <row r="36" ht="409.6" customHeight="1" s="37">
      <c r="A36" s="35" t="n">
        <v>34</v>
      </c>
      <c r="B36" s="35" t="inlineStr">
        <is>
          <t>จากการที่ผู้ป่วยรับประทานยา Allopurinol ยาจะถูกสลายสภาพโดยเอนไซม์ Xanthine oxidase ได้สารเมตาโบไลต์ชนิดใดในปัสสาวะ</t>
        </is>
      </c>
      <c r="C36" s="35" t="n"/>
      <c r="D36" s="35" t="inlineStr">
        <is>
          <t>Hypoxanthine</t>
        </is>
      </c>
      <c r="E36" s="35" t="inlineStr">
        <is>
          <t>Inosine diphosphate</t>
        </is>
      </c>
      <c r="F36" s="35" t="inlineStr">
        <is>
          <t>Oxypurinol (หรือ Alloxanthine)</t>
        </is>
      </c>
      <c r="G36" s="35" t="inlineStr">
        <is>
          <t>Methyl 3-(3,5-di-tert-butyl-4-hydroxyphenyl)propionate</t>
        </is>
      </c>
      <c r="H36" s="35" t="inlineStr">
        <is>
          <t>L-adenine</t>
        </is>
      </c>
      <c r="I36" s="35" t="n">
        <v>3</v>
      </c>
      <c r="J36" s="35" t="inlineStr">
        <is>
          <t>✅ คำตอบที่ถูกต้อง: ข้อ ค. Oxypurinol (หรือ Alloxanthine)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Oxypurinol (หรือ Alloxanthine) ยาลดกรดยูริก Allopurinol เมื่อเข้าสู่ร่างกายจะถูกสลายและเปลี่ยนสภาพอย่างรวดเร็วโดยเอนไซม์ Xanthine Oxidase ไปเป็นสารเมตาโบไลต์ชนิดหลักที่มีฤทธิ์ในการรักษาและละลายน้ำได้ดีกว่าคือ Oxypurinol (หรือ Alloxanthine) ซึ่งสารนี้จะถูกขับออกทางปัสสาวะและมีครึ่งชีวิตที่ยาวนานในร่างกาย
🔍 ข้ออื่นผิดเพราะอะไร:
• ข้อ ก. (Hypoxanthine): Hypoxanthine เป็นสารตั้งต้นในกระบวนการสร้างกรดยูริกที่เกิดขึ้นตามธรรมชาติ ไม่ใช่สารเมตาโบไลต์ที่เกิดจากการสลายตัวของยา Allopurinol
• ข้อ ข. (Inosine diphosphate): Inosine diphosphate เป็นสารตัวกลางในกระบวนการสังเคราะห์พิวรีนในร่างกาย ไม่มีส่วนเกี่ยวข้องกับกระบวนการเมแทบอลิซึมของยา Allopurinol
• ข้อ ง. (Methyl 3-(3,5-di-tert-butyl-4-hydroxyphenyl)propionate): สารนี้เป็นสารต้านอนุมูลอิสระที่ใช้ในอุตสาหกรรมพลาสติก ไม่มีโครงสร้างหรือความเกี่ยวข้องทางเภสัชวิทยากับยา Allopurinol
• ข้อ จ. (L-adenine): L-adenine เป็นเบสพิวรีนที่เป็นองค์ประกอบของกรดนิวคลีอิกในร่างกาย ไม่ใช่ผลผลิตจากการทำปฏิกิริยาของ Xanthine oxidase กับยา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36" s="35" t="n"/>
      <c r="L36" s="35" t="inlineStr">
        <is>
          <t>Gout</t>
        </is>
      </c>
      <c r="M36" s="35" t="inlineStr">
        <is>
          <t>Clinic</t>
        </is>
      </c>
      <c r="N36" s="35" t="inlineStr">
        <is>
          <t>Allopurinol Metabolism: เปลี่ยนเป็นสารออกฤทธิ์ Oxypurinol ขับออกทางไตเป็นหลัก ต้องปรับตาม CrCl</t>
        </is>
      </c>
      <c r="O36" s="35" t="inlineStr">
        <is>
          <t>ข้อสอบจริง</t>
        </is>
      </c>
      <c r="P36" s="35" t="inlineStr">
        <is>
          <t>2563</t>
        </is>
      </c>
    </row>
    <row r="37" ht="409.6" customHeight="1" s="37">
      <c r="A37" s="35" t="n">
        <v>35</v>
      </c>
      <c r="B37" s="35" t="inlineStr">
        <is>
          <t>หากผู้ป่วยมีอาการอักเสบเกาต์เฉียบพลันกำเริบ ควรเริ่มบริหารยา Colchicine เพื่อระงับปวดอักเสบภายในระยะเวลากี่ชั่วโมงหลังเกิดอาการ จึงจะมีประสิทธิภาพสูงสุดทางคลินิก</t>
        </is>
      </c>
      <c r="C37" s="35" t="n"/>
      <c r="D37" s="35" t="inlineStr">
        <is>
          <t>12 ชั่วโมง</t>
        </is>
      </c>
      <c r="E37" s="35" t="inlineStr">
        <is>
          <t>24 ชั่วโมง</t>
        </is>
      </c>
      <c r="F37" s="35" t="inlineStr">
        <is>
          <t>36 ชั่วโมง</t>
        </is>
      </c>
      <c r="G37" s="35" t="inlineStr">
        <is>
          <t>48 ชั่วโมง</t>
        </is>
      </c>
      <c r="H37" s="35" t="inlineStr">
        <is>
          <t>60 ชั่วโมง</t>
        </is>
      </c>
      <c r="I37" s="35" t="n">
        <v>3</v>
      </c>
      <c r="J37" s="35" t="inlineStr">
        <is>
          <t>✅ คำตอบที่ถูกต้อง: ข้อ ค. 36 ชั่วโมง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36 ชั่วโมง การใช้ยา Colchicine เพื่อระงับอาการอักเสบข้อเกาต์เฉียบพลันให้ได้ผลดีและมี efficacy สูงสุดในการยับยั้งการเคลื่อนตัวของเซลล์เม็ดเลือดขาว (Neutrophil chemotaxis) ควรเริ่มรับประทานยาภายใน 24 ถึง 36 ชั่วโมงแรกหลังจากเริ่มมีอาการปวดอักเสบเฉียบพลัน หากพ้นระยะเวลานี้ไปแล้ว efficacy ของยาในการต้านการอักเสบจะลดลงอย่างมีนัยสำคัญ
🔍 ข้ออื่นผิดเพราะอะไร:
• ข้อ ก. (12 ชั่วโมง): การบริหารยาภายใน 12 ชั่วโมงมีประสิทธิภาพสูง แต่หน้าต่างแห่งโอกาสในการเริ่มยายังครอบคลุมไปถึงระยะเวลาที่นานกว่านี้เล็กน้อย
• ข้อ ข. (24 ชั่วโมง): การบริหารยาภายใน 24 ชั่วโมงยังให้ผลดี แต่แนวทางเวชปฏิบัติอนุโลมให้เริ่มยาได้จนถึงระยะเวลาสูงสุดที่ยายังมีประสิทธิภาพต้านการอักเสบ
• ข้อ ง. (48 ชั่วโมง): หากเริ่มยาเมื่อผ่านไปแล้ว 48 ชั่วโมง การตอบสนองทางคลินิกจะลดลงอย่างมากเนื่องจากกระบวนการอักเสบและสารสื่อกลางได้หลั่งออกมาเต็มที่แล้ว
• ข้อ จ. (60 ชั่วโมง): การให้ยาหลังจาก 60 ชั่วโมงแทบจะไม่มีประโยชน์ในการลดการอักเสบเฉียบพลัน และผู้ป่วยจะได้รับเพียงผลข้างเคียงจากยาเช่น ท้องเสีย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7" s="35" t="n"/>
      <c r="L37" s="35" t="inlineStr">
        <is>
          <t>Gout</t>
        </is>
      </c>
      <c r="M37" s="35" t="inlineStr">
        <is>
          <t>Clinic</t>
        </is>
      </c>
      <c r="N37" s="35" t="inlineStr">
        <is>
          <t>Colchicine Flare Duration: ควรเริ่มยาภายใน 24-36 ชั่วโมงหลังมีอาการ และให้ต่อเนื่องจนอาการสงบ</t>
        </is>
      </c>
      <c r="O37" s="35" t="inlineStr">
        <is>
          <t>ข้อสอบจริง</t>
        </is>
      </c>
      <c r="P37" s="35" t="inlineStr">
        <is>
          <t>2563</t>
        </is>
      </c>
    </row>
    <row r="38" ht="409.6" customHeight="1" s="37">
      <c r="A38" s="35" t="n">
        <v>36</v>
      </c>
      <c r="B38" s="35" t="inlineStr">
        <is>
          <t>สำหรับผู้ป่วยโรคเกาต์รายนี้ที่ไม่มีประวัติก้อนโทฟัส (Tophi) เป้าหมายระดับกรดยูริกในเลือดระยะยาว (Target serum uric acid) เพื่อคุมอาการและขจัดผลึกเกลือยูเรตคือข้อใด</t>
        </is>
      </c>
      <c r="C38" s="35" t="n"/>
      <c r="D38" s="35" t="inlineStr">
        <is>
          <t>น้อยกว่า 5 mg/dL</t>
        </is>
      </c>
      <c r="E38" s="35" t="inlineStr">
        <is>
          <t>น้อยกว่า 6 mg/dL</t>
        </is>
      </c>
      <c r="F38" s="35" t="inlineStr">
        <is>
          <t>น้อยกว่า 7 mg/dL</t>
        </is>
      </c>
      <c r="G38" s="35" t="inlineStr">
        <is>
          <t>น้อยกว่า 8 mg/dL</t>
        </is>
      </c>
      <c r="H38" s="35" t="inlineStr">
        <is>
          <t>น้อยกว่า 9 mg/dL</t>
        </is>
      </c>
      <c r="I38" s="35" t="n">
        <v>2</v>
      </c>
      <c r="J38" s="35" t="inlineStr">
        <is>
          <t>✅ คำตอบที่ถูกต้อง: ข้อ ข. น้อยกว่า 6 mg/dL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น้อยกว่า 6 mg/dL ตามมาตรฐาน
🔍 ข้ออื่นผิดเพราะอะไร:
• ข้อ ก. (น้อยกว่า 5 mg/dL): ระดับที่น้อยกว่า 5 mg/dL เป็นเป้าหมายที่เข้มงวดเกินไปสำหรับผู้ป่วยที่ไม่มีก้อนโทฟัส และอาจเพิ่มความเสี่ยงต่อผลข้างเคียงจากการใช้ยาลดกรดยูริกขนาดสูง
• ข้อ ค. (น้อยกว่า 7 mg/dL): ระดับ 7 mg/dL สูงกว่าจุดอิ่มตัวของผลึกยูเรตในเลือด ทำให้ผลึกไม่สามารถละลายกลับเข้าสู่กระแสเลือดได้ และเสี่ยงต่อการกำเริบของโรค
• ข้อ ง. (น้อยกว่า 8 mg/dL): ระดับที่น้อยกว่า 8 mg/dL ไม่เพียงพอในการรักษาโรคเกาต์ เนื่องจากระดับกรดยูริกยังคงอยู่ในสภาวะอิ่มตัวยวดยิ่ง
• ข้อ จ. (น้อยกว่า 9 mg/dL): ระดับที่น้อยกว่า 9 mg/dL เป็นระดับที่บ่งชี้ถึงภาวะกรดยูริกในเลือดสูง ซึ่งจะทำให้โรคกำเริบและเกิดข้อทำลายในระยะยาว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8" s="35" t="n"/>
      <c r="L38" s="35" t="inlineStr">
        <is>
          <t>Gout</t>
        </is>
      </c>
      <c r="M38" s="35" t="inlineStr">
        <is>
          <t>Clinic</t>
        </is>
      </c>
      <c r="N38" s="35" t="inlineStr">
        <is>
          <t>Gout SUA Target: เป้าหมายกรดยูริกในเลือด &lt; 6.0 mg/dL (&lt; 5.0 mg/dL หากมี Tophi)</t>
        </is>
      </c>
      <c r="O38" s="35" t="inlineStr">
        <is>
          <t>ข้อสอบจริง</t>
        </is>
      </c>
      <c r="P38" s="35" t="inlineStr">
        <is>
          <t>2563</t>
        </is>
      </c>
    </row>
    <row r="39" ht="409.6" customHeight="1" s="37">
      <c r="A39" s="35" t="n">
        <v>37</v>
      </c>
      <c r="B39" s="35" t="inlineStr">
        <is>
          <t>หากผู้ป่วยรายนี้ซื้อยา Naproxen มารับประทานเพื่อบรรเทาอาการอักเสบเฉียบพลันเพิ่มเติมจากยาเดิมที่ได้รับ จะมีความเสี่ยงสูงต่อการเกิดอาการไม่พึงประสงค์รุนแรงในข้อใดมากที่สุด</t>
        </is>
      </c>
      <c r="C39" s="35" t="n"/>
      <c r="D39" s="35" t="inlineStr">
        <is>
          <t>Hyperuricemia</t>
        </is>
      </c>
      <c r="E39" s="35" t="inlineStr">
        <is>
          <t>Genital tract infection</t>
        </is>
      </c>
      <c r="F39" s="35" t="inlineStr">
        <is>
          <t>Angioedema</t>
        </is>
      </c>
      <c r="G39" s="35" t="inlineStr">
        <is>
          <t>Acute renal failure (ไตวายเฉียบพลัน)</t>
        </is>
      </c>
      <c r="H39" s="35" t="inlineStr">
        <is>
          <t>Constipation</t>
        </is>
      </c>
      <c r="I39" s="35" t="n">
        <v>4</v>
      </c>
      <c r="J39" s="35" t="inlineStr">
        <is>
          <t>✅ คำตอบที่ถูกต้อง: ข้อ ง. Acute renal failure (ไตวายเฉียบพลัน)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failure (ไตวายเฉียบพลัน) ผู้ป่วยรายนี้มีภาวะความดันโลหิตสูงและใช้ยา Enalapril (ยากลุ่ม ACEIs) ร่วมกับโรคไตเรื้อรัง (eGFR &lt; 40) หากนำยา Naproxen (ยากลุ่ม NSAIDs) มารับประทานเสริมร่วมด้วย จะเหนี่ยวนำให้เกิดปฏิกิริยา "Triple Whammy" (เกิดจากการรวมกันของยาขับปัสสาวะ หรือโรคไตเดิม + ACEIs/ARBs + NSAIDs) ส่งผลให้หลอดเลือดฝอยที่เข้าไตหดตัวและลดความดันเลือดภายในไตอย่างรุนแรง นำไปสู่สภาวะไตวายเฉียบพลัน (Acute renal failure) ได้ทันที
🔍 ข้ออื่นผิดเพราะอะไร:
• ข้อ ก. (Hyperuricemia): ยา Naproxen ไม่มีผลเพิ่มการสร้างหรือลดการขับกรดยูริก จึงไม่ได้เป็นสาเหตุโดยตรงที่ทำให้เกิดภาวะกรดยูริกในเลือดสูง
• ข้อ ข. (Genital tract infection): การติดเชื้อในระบบสืบพันธุ์เป็นผลข้างเคียงที่พบบ่อยในยากลุ่ม SGLT2 inhibitors ไม่ใช่ปฏิกิริยาจากยา NSAIDs
• ข้อ ค. (Angioedema): ภาวะหลอดเลือดบวม เป็นผลข้างเคียงที่เกิดจากยา Enalapril ได้ แต่การเพิ่ม Naproxen เข้าไปไม่ได้เป็นการเพิ่มความเสี่ยงของกลไกนี้โดยตรง
• ข้อ จ. (Constipation): อาการท้องผูกไม่ใช่ผลข้างเคียงหลักที่รุนแรงของ NSAIDs ซึ่งมักทำให้เกิดการระคายเคืองกระเพาะอาหารหรือไตวายมากกว่า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9" s="35" t="n"/>
      <c r="L39" s="35" t="inlineStr">
        <is>
          <t>Gout</t>
        </is>
      </c>
      <c r="M39" s="35" t="inlineStr">
        <is>
          <t>Clinic</t>
        </is>
      </c>
      <c r="N39" s="35" t="inlineStr">
        <is>
          <t>NSAIDs AKI: ยับยั้ง Renal PGE2/PGI2 ทำให้เกิด Afferent arteriole vasoconstriction</t>
        </is>
      </c>
      <c r="O39" s="35" t="inlineStr">
        <is>
          <t>ข้อสอบจริง</t>
        </is>
      </c>
      <c r="P39" s="35" t="inlineStr">
        <is>
          <t>2563</t>
        </is>
      </c>
    </row>
    <row r="40" ht="409.6" customHeight="1" s="37">
      <c r="A40" s="35" t="n">
        <v>38</v>
      </c>
      <c r="B40" s="35" t="inlineStr">
        <is>
          <t>กลไกความเป็นพิษต่อไต (Nephrotoxicity) ของยากลุ่ม NSAIDs ในกรณีที่เกิดกับผู้ป่วยรายนี้ จัดเป็นรูปแบบการบาดเจ็บของไตในลักษณะใด</t>
        </is>
      </c>
      <c r="C40" s="35" t="n"/>
      <c r="D40" s="35" t="inlineStr">
        <is>
          <t>Acute renal injury (Acute kidney injury: AKI)</t>
        </is>
      </c>
      <c r="E40" s="35" t="inlineStr">
        <is>
          <t>Renal stone (นิ่วในไต)</t>
        </is>
      </c>
      <c r="F40" s="35" t="inlineStr">
        <is>
          <t>Hemorrhagic cystitis (กระเพาะปัสสาวะอักเสบมีเลือดออก)</t>
        </is>
      </c>
      <c r="G40" s="35" t="inlineStr">
        <is>
          <t>Pyelonephritis (กรวยไตอักเสบ)</t>
        </is>
      </c>
      <c r="H40" s="35" t="inlineStr">
        <is>
          <t>Chronic kidney disease (โรคไตเรื้อรังระยะลุกลาม)</t>
        </is>
      </c>
      <c r="I40" s="35" t="n">
        <v>1</v>
      </c>
      <c r="J40" s="35" t="inlineStr">
        <is>
          <t>✅ คำตอบที่ถูกต้อง: ข้อ ก. Acute renal injury (Acute kidney injury: AKI)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injury (Acute kidney injury: AKI) กลไกของยากลุ่ม NSAIDs ในการเหนี่ยวนำให้เกิดไตวายเฉียบพลันคือ การยับยั้งเอนไซม์ COX-1 และ COX-2 ซึ่งส่งผลยับยั้งการสร้าง Prostaglandin (PGE2, PGI2) ที่ทำหน้าที่ขยายหลอดเลือดฝอยขาเข้าไต (Afferent arteriole) เมื่อขาดพรอสตาแกลนดิน หลอดเลือดขาเข้าหดตัวอย่างรุนแรง ทำให้เลือดไหลเข้าสู่หน่วยไตลดลงอย่างรวดเร็ว เกิดการบาดเจ็บของไตเฉียบพลัน (Acute Kidney Injury: AKI) ในรูปแบบของ Hemodynamic-mediated AKI
🔍 ข้ออื่นผิดเพราะอะไร:
• ข้อ ข. (Renal stone (นิ่วในไต)): ยากลุ่ม NSAIDs ไม่ได้รบกวนกระบวนการตกผลึกของแคลเซียมหรือกรดยูริกในทางเดินปัสสาวะ จึงไม่ใช่กลไกที่ทำให้เกิดนิ่วในไต
• ข้อ ค. (Hemorrhagic cystitis (กระเพาะปัสสาวะอักเสบมีเลือดออก)): ภาวะกระเพาะปัสสาวะอักเสบมีเลือดออกมักเป็นผลข้างเคียงของยาเคมีบำบัดกลุ่ม Alkylating agents ไม่ใช่ NSAIDs
• ข้อ ง. (Pyelonephritis (กรวยไตอักเสบ)): กรวยไตอักเสบเป็นภาวะที่เกิดจากการติดเชื้อแบคทีเรียในทางเดินปัสสาวะส่วนบน ไม่ได้เกิดจากกลไกทางเภสัชวิทยาของการลดสารพรอสตาแกลนดิน
• ข้อ จ. (Chronic kidney disease (โรคไตเรื้อรังระยะลุกลาม)): การบาดเจ็บของไตจาก NSAIDs ในระยะแรกจะเป็นแบบเฉียบพลัน หากหยุดยาได้ทันการทำงานของไตมักจะกลับมาเป็นปกติ ไม่ได้เป็นโรคไตเรื้อรังทันที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0" s="35" t="n"/>
      <c r="L40" s="35" t="inlineStr">
        <is>
          <t>Gout</t>
        </is>
      </c>
      <c r="M40" s="35" t="inlineStr">
        <is>
          <t>Clinic</t>
        </is>
      </c>
      <c r="N40" s="35" t="inlineStr">
        <is>
          <t>NSAIDs Nephrotoxicity: เสี่ยงต่อ Hemodynamic acute kidney injury โดยเฉพาะเมื่อใช้ร่วมกับ ACEI/Diuretics</t>
        </is>
      </c>
      <c r="O40" s="35" t="inlineStr">
        <is>
          <t>ข้อสอบจริง</t>
        </is>
      </c>
      <c r="P40" s="35" t="inlineStr">
        <is>
          <t>2563</t>
        </is>
      </c>
    </row>
    <row r="41" ht="409.6" customHeight="1" s="37">
      <c r="A41" s="35" t="n">
        <v>39</v>
      </c>
      <c r="B41" s="35" t="inlineStr">
        <is>
          <t>ยาลดความดันโลหิตในข้อใดต่อไปนี้ที่ ไม่ควรใช้ ในผู้ป่วยโรคเกาต์รายนี้เนื่องจากมีฤทธิ์ขัดขวางการขับถ่ายกรดยูริกที่ท่อไต ส่งผลเพิ่มระดับยูริกในกระแสเลือด</t>
        </is>
      </c>
      <c r="C41" s="35" t="n"/>
      <c r="D41" s="35" t="inlineStr">
        <is>
          <t>Bisoprolol</t>
        </is>
      </c>
      <c r="E41" s="35" t="inlineStr">
        <is>
          <t>Metoprolol</t>
        </is>
      </c>
      <c r="F41" s="35" t="inlineStr">
        <is>
          <t>Amlodipine</t>
        </is>
      </c>
      <c r="G41" s="35" t="inlineStr">
        <is>
          <t>Manidipine</t>
        </is>
      </c>
      <c r="H41" s="35" t="inlineStr">
        <is>
          <t>Hydrochlorothiazide (HCTZ)</t>
        </is>
      </c>
      <c r="I41" s="35" t="n">
        <v>5</v>
      </c>
      <c r="J41" s="35" t="inlineStr">
        <is>
          <t>✅ คำตอบที่ถูกต้อง: ข้อ จ. Hydrochlorothiazide (HCTZ)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Hydrochlorothiazide (HCTZ) ยาขับปัสสาวะกลุ่ม Thiazide เช่น Hydrochlorothiazide (HCTZ) มีฤทธิ์เหนี่ยวนำให้เกิดระดับกรดยูริกสูงในกระแสเลือด (Hyperuricemia) เนื่องจากยาขับปัสสาวะจะกระตุ้นการดูดกลับของโซเดียมและน้ำที่ท่อไต พร้อมทั้งแย่งกลไกการขับกรดยูริกออกที่บริเวณท่อไตส่วนต้น (Proximal tubule) จึงเป็นยาขับปัสสาวะและยาลดความดันที่ต้องหลีกเลี่ยงในผู้ป่วยโรคเกาต์
🔍 ข้ออื่นผิดเพราะอะไร:
• ข้อ ก. (Bisoprolol): Bisoprolol เป็นยากลุ่ม Beta-blockers ที่ไม่มีผลรบกวนการขับกรดยูริกที่ท่อไต จึงสามารถใช้ได้อย่างปลอดภัยในผู้ป่วยโรคเกาต์
• ข้อ ข. (Metoprolol): Metoprolol เป็นยากลุ่ม Beta-blockers ที่ไม่มีกลไกไปกระตุ้นการดูดกลับกรดยูริก สามารถใช้ควบคุมความดันโลหิตในผู้ป่วยรายนี้ได้
• ข้อ ค. (Amlodipine): Amlodipine เป็นยากลุ่ม Calcium Channel Blockers ที่ไม่ส่งผลเสียต่อระดับกรดยูริกและยังอาจมีฤทธิ์ช่วยเพิ่มการขับยูริกได้เล็กน้อย
• ข้อ ง. (Manidipine): Manidipine เป็นยากลุ่ม Calcium Channel Blockers ที่ไม่มีผลข้างเคียงในการเพิ่มระดับกรดยูริก จึงสามารถใช้เป็นทางเลือกที่ปลอดภัยได้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1" s="35" t="n"/>
      <c r="L41" s="35" t="inlineStr">
        <is>
          <t>Gout</t>
        </is>
      </c>
      <c r="M41" s="35" t="inlineStr">
        <is>
          <t>Clinic</t>
        </is>
      </c>
      <c r="N41" s="35" t="inlineStr">
        <is>
          <t>Gout Drug Caution: HCTZ และ Thiazide diuretics แย่งขับกรดยูริกที่ท่อไต ทำให้กรดยูริกสูงขึ้น</t>
        </is>
      </c>
      <c r="O41" s="35" t="inlineStr">
        <is>
          <t>ข้อสอบจริง</t>
        </is>
      </c>
      <c r="P41" s="35" t="inlineStr">
        <is>
          <t>2563</t>
        </is>
      </c>
    </row>
    <row r="42" ht="409.6" customHeight="1" s="37">
      <c r="A42" s="35" t="n">
        <v>40</v>
      </c>
      <c r="B42" s="35" t="inlineStr">
        <is>
          <t>หากผู้ป่วยโรคเกาต์ใช้ยาลดกรดยูริก Allopurinol ในขนาดที่เหมาะสมแล้ว แต่ระดับกรดยูริกยังไม่ได้ตามเป้าหมาย แพทย์ต้องการพิจารณาจ่ายยาลดระดับกรดยูริกตัวที่สองที่มีกลไกเร่งการขับถ่ายกรดยูริกออกทางปัสสาวะ (Uricosuric agent) ยาในข้อใดคือตัวเลือกที่เหมาะสม ผู้ป่วยชายไทย อายุ 60 ปี น้ำหนัก 90 กิโลกรัม มีอาการปวดข้อเข่าซ้ายเรื้อรังมานานประมาณ 6 เดือน ตรวจเข่าพบเสียงกรอบแกรบ (Crepitus) เวลาเคลื่อนไหว และหลังตื่นนอนตอนเช้ามีอาการข้อติดบริเวณข้อเข่าขวา (Morning stiffness) นานประมาณ 20 นาที ในช่วงเดือนที่ผ่านมาผู้ป่วยมีอาการปวดข้อเข่ามากขึ้น โดยมีอาการปวดเมื่ออยู่นิ่ง ๆ และดีขึ้นเมื่อเดินขยับตัวไปมา ตรวจผิวข้อไม่พบความร้อนหรืออาการแดงร้อน ไม่มีตุ่มนูนตามผิวหนัง ผู้ป่วยมีโรคประจำตัวคือโรคไตเรื้อรังระยะสุดท้าย (Chronic Kidney Disease) ที่ต้องได้รับการฟอกไต ปัจจุบันกินพาราเซตามอลเพื่อควบคุมอาการปวดแต่คุมไม่ได้ แพทย์สั่งจ่ายยา Celecoxib 1 x 1 pc, Diacerein 1 x 2 pc, Tramadol prn, Paracetamol prn, Diclofenac emulgel ทาเฉพาะที่ 1-2 ครั้ง เช้า-เย็น</t>
        </is>
      </c>
      <c r="C42" s="35" t="n"/>
      <c r="D42" s="35" t="inlineStr">
        <is>
          <t>Azathioprine</t>
        </is>
      </c>
      <c r="E42" s="35" t="inlineStr">
        <is>
          <t>Benzbromarone</t>
        </is>
      </c>
      <c r="F42" s="35" t="inlineStr">
        <is>
          <t>Cyclosporin</t>
        </is>
      </c>
      <c r="G42" s="35" t="inlineStr">
        <is>
          <t>Febuxostat</t>
        </is>
      </c>
      <c r="H42" s="35" t="inlineStr">
        <is>
          <t>Leflunomide</t>
        </is>
      </c>
      <c r="I42" s="35" t="n">
        <v>2</v>
      </c>
      <c r="J42" s="35" t="inlineStr">
        <is>
          <t>✅ คำตอบที่ถูกต้อง: ข้อ ข. Benzbromarone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Benzbromarone ยาลดกรดยูริกที่มีกลไกเร่งการขับถ่ายกรดยูริกออกทางปัสสาวะ (Uricosuric agent) โดยการยับยั้งตัวขนส่ง URAT1 ที่ท่อไตส่วนต้น คือ Benzbromarone (รวมถึง Probenecid) ยานี้เหมาะสำหรับใช้ร่วมกับ Allopurinol เมื่อใช้ยากลุ่มยับยั้งการสร้าง (XO Inhibitor) แล้วยังไม่ได้ผลตามเป้าหมาย ส่วน Febuxostat จัดอยู่ในกลุ่ม XO Inhibitor เช่นเดียวกับ Allopurinol
🔍 ข้ออื่นผิดเพราะอะไร:
• ข้อ ก. (Azathioprine): Azathioprine เป็นยากดภูมิคุ้มกัน ไม่มีฤทธิ์ลดระดับกรดยูริก และมีข้อห้ามใช้ร่วมกับ Allopurinol เพราะจะเกิดปฏิกิริยาระหว่างยาทำให้เป็นพิษต่อไขกระดูกรุนแรง
• ข้อ ค. (Cyclosporin): Cyclosporin เป็นยากดภูมิคุ้มกันที่มีผลข้างเคียงทำให้ระดับกรดยูริกในเลือดสูงขึ้น จึงยิ่งทำให้อาการของผู้ป่วยแย่ลง
• ข้อ ง. (Febuxostat): Febuxostat เป็นยาในกลุ่มยับยั้ง Xanthine oxidase ซึ่งเป็นกลไกเดียวกันกับ Allopurinol ไม่ใช่กลุ่มยาที่เร่งการขับกรดยูริก
• ข้อ จ. (Leflunomide): Leflunomide เป็นยาปรับภูมิคุ้มกันสำหรับรักษาโรคข้ออักเสบรูมาตอยด์ ไม่มีประสิทธิภาพหรือข้อบ่งใช้ในการลดระดับกรดยูริกในเลือด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42" s="35" t="n"/>
      <c r="L42" s="35" t="inlineStr">
        <is>
          <t>Gout</t>
        </is>
      </c>
      <c r="M42" s="35" t="inlineStr">
        <is>
          <t>Clinic</t>
        </is>
      </c>
      <c r="N42" s="35" t="inlineStr">
        <is>
          <t>Gout Add-on ULT: หากใช้ Allopurinol เต็มขนาดแล้วยังไม่ถึงเป้า แนะนำ Add-on Uricosuric (Benzbromarone)</t>
        </is>
      </c>
      <c r="O42" s="35" t="inlineStr">
        <is>
          <t>ข้อสอบจริง</t>
        </is>
      </c>
      <c r="P42" s="35" t="inlineStr">
        <is>
          <t>2563</t>
        </is>
      </c>
    </row>
    <row r="43" ht="409.6" customHeight="1" s="37">
      <c r="A43" s="35" t="n">
        <v>41</v>
      </c>
      <c r="B43" s="35" t="inlineStr">
        <is>
          <t>จากกรณีศึกษาข้างต้น ผู้ป่วยรายนี้คาดว่าเป็นอาการแสดงของโรคในข้อใดมากที่สุด</t>
        </is>
      </c>
      <c r="C43" s="35" t="n"/>
      <c r="D43" s="35" t="inlineStr">
        <is>
          <t>Osteoarthritis</t>
        </is>
      </c>
      <c r="E43" s="35" t="inlineStr">
        <is>
          <t>Osteoporosis</t>
        </is>
      </c>
      <c r="F43" s="35" t="inlineStr">
        <is>
          <t>Osteomalacia</t>
        </is>
      </c>
      <c r="G43" s="35" t="inlineStr">
        <is>
          <t>Rheumatoid Arthritis</t>
        </is>
      </c>
      <c r="H43" s="35" t="inlineStr">
        <is>
          <t>Ligament injury</t>
        </is>
      </c>
      <c r="I43" s="35" t="n">
        <v>1</v>
      </c>
      <c r="J43" s="35"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 (ชายอายุ 60 ปี, ปวดข้อเข่าข้างเดียวนาน 6 เดือน, ตรวจคลำพบเสียงกรอบแกรบ Crepitus, ข้อติดตอนเช้าสั้นกว่า 30 นาที, ไม่มีตุ่มแข็งตามผิวหนัง, ไม่มีอาการแดงร้อนบริเวณข้อ) บ่งชี้อย่างชัดเจนถึงโรคข้อเสื่อม (Osteoarthritis)
🔍 ข้ออื่นผิดเพราะอะไร:
• ข้อ ข. (Osteoporosis): โรคกระดูกพรุนมักไม่มีอาการปวดข้อ หรือข้อติดในตอนเช้า และจะไม่แสดงอาการจนกว่าจะเกิดภาวะกระดูกหัก
• ข้อ ค. (Osteomalacia): โรคกระดูกน่วมเกิดจากการขาดวิตามินดี ทำให้กระดูกอ่อนแอและปวดตามกระดูก ไม่ได้มีลักษณะเฉพาะคือการปวดข้อเข่าข้างเดียวหรือมีเสียงกรอบแกรบ
• ข้อ ง. (Rheumatoid Arthritis): โรคข้ออักเสบรูมาตอยด์มักทำให้เกิดการอักเสบของข้อขนาดเล็กแบบสองข้างสมมาตร มีอาการข้อติดในตอนเช้านานกว่า 1 ชั่วโมง และมักพบข้อบวมแดงร้อน
• ข้อ จ. (Ligament injury): การบาดเจ็บของเอ็นมักมีประวัติอุบัติเหตุหรือการใช้งานผิดท่าที่ชัดเจน ทำให้เกิดอาการปวดเฉียบพลัน ไม่ใช่การปวดข้อเรื้อรังค่อยเป็นค่อยไปแบบผู้ป่วยรายนี้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3" s="35" t="n"/>
      <c r="L43" s="35" t="inlineStr">
        <is>
          <t>Osteoarthritis</t>
        </is>
      </c>
      <c r="M43" s="35" t="inlineStr">
        <is>
          <t>Clinic</t>
        </is>
      </c>
      <c r="N43" s="35" t="inlineStr">
        <is>
          <t>OA Diagnosis: ปวดเข่า, ขยับมีเสียง Crepitus, ข้อติดตอนเช้า &lt; 30 นาที, ไม่มีอาการอักเสบร้อนแดง</t>
        </is>
      </c>
      <c r="O43" s="35" t="inlineStr">
        <is>
          <t>ข้อสอบจริง</t>
        </is>
      </c>
      <c r="P43" s="35" t="inlineStr">
        <is>
          <t>2562</t>
        </is>
      </c>
    </row>
    <row r="44" ht="409.6" customHeight="1" s="37">
      <c r="A44" s="35" t="n">
        <v>42</v>
      </c>
      <c r="B44" s="35" t="inlineStr">
        <is>
          <t>จากประวัติและโรคประจำตัวของผู้ป่วยรายนี้ ยาตัวใดต่อไปนี้ที่ผู้ป่วย ไม่ควรได้รับ เนื่องจากมีผลเสียและเป็นข้อห้ามใช้ทางคลินิกอย่างรุนแรง</t>
        </is>
      </c>
      <c r="C44" s="35" t="n"/>
      <c r="D44" s="35" t="inlineStr">
        <is>
          <t>Celecoxib</t>
        </is>
      </c>
      <c r="E44" s="35" t="inlineStr">
        <is>
          <t>Diacerein</t>
        </is>
      </c>
      <c r="F44" s="35" t="inlineStr">
        <is>
          <t>Tramadol</t>
        </is>
      </c>
      <c r="G44" s="35" t="inlineStr">
        <is>
          <t>Paracetamol</t>
        </is>
      </c>
      <c r="H44" s="35" t="inlineStr">
        <is>
          <t>Diclofenac emulgel</t>
        </is>
      </c>
      <c r="I44" s="35" t="n">
        <v>1</v>
      </c>
      <c r="J44" s="35" t="inlineStr">
        <is>
          <t>✅ คำตอบที่ถูกต้อง: ข้อ ก. Celecoxib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Celecoxib ผู้ป่วยรายนี้มีโรคประจำตัวคือ โรคไตเรื้อรังระยะสุดท้าย (Chronic Kidney Disease Stage 5) ที่ต้องได้รับการฟอกไต การใช้ยากินกลุ่ม NSAIDs รวมถึงกลุ่ม Selective COX-2 Inhibitor เช่น Celecoxib จัดเป็น contraindication อย่างเด็ดขาด (Contraindicated) เนื่องจาก NSAIDs จะเพิ่มความเสี่ยงต่อการเกิดพิษต่อระบบหลอดเลือดและหัวใจ, ทำให้ความดันโลหิตสูงขึ้น และลด efficacy ของการล้างไต
🔍 ข้ออื่นผิดเพราะอะไร:
• ข้อ ข. (Diacerein): Diacerein เป็นยาลดการอักเสบที่สามารถใช้รักษาข้อเสื่อมได้ แต่อาจต้องปรับขนาดยาในผู้ป่วยโรคไต ไม่ใช่ข้อห้ามใช้เด็ดขาด
• ข้อ ค. (Tramadol): Tramadol เป็นยาระงับปวดกลุ่มโอปิออยด์อย่างอ่อน สามารถใช้บรรเทาอาการปวดในผู้ป่วยโรคไตเรื้อรังได้โดยการปรับขนาดยา
• ข้อ ง. (Paracetamol): Paracetamol เป็นยาระงับปวดที่มีความปลอดภัยสูงในผู้ป่วยโรคไตเรื้อรัง เนื่องจากเมตาบอลิซึมหลักเกิดที่ตับ ไม่ใช่ข้อห้ามใช้
• ข้อ จ. (Diclofenac emulgel): Diclofenac emulgel เป็นยาทาภายนอกที่มีการดูดซึมเข้าสู่ระบบกระแสเลือดน้อยมาก จึงปลอดภัยและแนะนำให้ใช้เป็นอันดับแรกในผู้ป่วยที่มีข้อห้ามใช้ยากิน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44" s="35" t="n"/>
      <c r="L44" s="35" t="inlineStr">
        <is>
          <t>Osteoarthritis</t>
        </is>
      </c>
      <c r="M44" s="35" t="inlineStr">
        <is>
          <t>Clinic</t>
        </is>
      </c>
      <c r="N44" s="35" t="inlineStr">
        <is>
          <t>OA CKD Caution: ห้ามใช้ Oral NSAIDs ในผู้ป่วย ESRD หรือ Severe CKD (eGFR &lt; 30 mL/min)</t>
        </is>
      </c>
      <c r="O44" s="35" t="inlineStr">
        <is>
          <t>ข้อสอบจริง</t>
        </is>
      </c>
      <c r="P44" s="35" t="inlineStr">
        <is>
          <t>2562</t>
        </is>
      </c>
    </row>
    <row r="45" ht="409.6" customHeight="1" s="37">
      <c r="A45" s="35" t="n">
        <v>43</v>
      </c>
      <c r="B45" s="35" t="inlineStr">
        <is>
          <t>ข้อใดต่อไปนี้เป็นแนวทางการปฏิบัติตัวและดูแลรักษาที่ ไม่แนะนำ สำหรับผู้ป่วยรายนี้ ผู้ป่วยหญิงไทย อายุ 69 ปี น้ำหนัก 72 กิโลกรัม ส่วนสูง 150 เซนติเมตร มาโรงพยาบาลเนื่องจากประสบอุบัติเหตุหกล้มในบ้านและมีกระดูกต้นขาหัก (Fracture of femur) ไม่มีโรคประจำตัว แพทย์วินิจฉัยมวลกระดูกพบภาวะกระดูกพรุนรุนแรง (T-score ของความหนาแน่นมวลกระดูกสะโพกมีค่าน้อยกว่าหรือเท่ากับ -2.5)</t>
        </is>
      </c>
      <c r="C45" s="35" t="n"/>
      <c r="D45" s="35" t="inlineStr">
        <is>
          <t>ลดน้ำหนักตัวเพื่อลดแรงกดทับข้อเข่า</t>
        </is>
      </c>
      <c r="E45" s="35" t="inlineStr">
        <is>
          <t>ออกกำลังกายเบา ๆ ที่ไม่มีแรงกระแทก</t>
        </is>
      </c>
      <c r="F45" s="35" t="inlineStr">
        <is>
          <t>บริหารกล้ามเนื้อรอบบริเวณหัวเข่า</t>
        </is>
      </c>
      <c r="G45" s="35" t="inlineStr">
        <is>
          <t>รับประทาน Glucosamine sulfate เพื่อป้องกันและรักษาอาการ</t>
        </is>
      </c>
      <c r="H45" s="35" t="inlineStr">
        <is>
          <t>สวมรองเท้าส้นเตี้ยที่มีส้นหนานุ่มรับแรงกระแทก</t>
        </is>
      </c>
      <c r="I45" s="35" t="n">
        <v>4</v>
      </c>
      <c r="J45" s="35" t="inlineStr">
        <is>
          <t>✅ คำตอบที่ถูกต้อง: ข้อ ง. รับประทาน Glucosamine sulfate เพื่อป้องกันและรักษาอาการ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รับประทาน Glucosamine sulfate เพื่อป้องกันและรักษาอาการ
🔍 ข้ออื่นผิดเพราะอะไร:
• ข้อ ก. (ลดน้ำหนักตัวเพื่อลดแรงกดทับข้อเข่า): การลดน้ำหนักตัวช่วยลดแรงกระทำต่อข้อเข่าและกระดูกสันหลัง ซึ่งเป็นการปฏิบัติตัวที่เหมาะสมสำหรับผู้ป่วยที่มีภาวะมวลกระดูกต่ำ
• ข้อ ข. (ออกกำลังกายเบา ๆ ที่ไม่มีแรงกระแทก): การออกกำลังกายแบบลงน้ำหนักเบา ๆ ช่วยกระตุ้นการสร้างเซลล์กระดูกและชะลอการสูญเสียมวลกระดูกได้อย่างมีประสิทธิภาพ
• ข้อ ค. (บริหารกล้ามเนื้อรอบบริเวณหัวเข่า): การบริหารกล้ามเนื้อช่วยเพิ่มความแข็งแรงของแกนกลางลำตัว ลดความเสี่ยงในการหกล้มซ้ำซึ่งเป็นสาเหตุหลักของกระดูกหักในผู้สูงอายุ
• ข้อ จ. (สวมรองเท้าส้นเตี้ยที่มีส้นหนานุ่มรับแรงกระแทก): การสวมรองเท้าที่เหมาะสมช่วยเพิ่มความมั่นคงในการเดิน ลดโอกาสลื่นล้ม และลดแรงกระแทกที่ส่งผ่านไปยังกระดูกสะโพกและกระดูกสันหลัง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45" s="35" t="n"/>
      <c r="L45" s="35" t="inlineStr">
        <is>
          <t>Osteoarthritis</t>
        </is>
      </c>
      <c r="M45" s="35" t="inlineStr">
        <is>
          <t>Clinic</t>
        </is>
      </c>
      <c r="N45" s="35" t="inlineStr">
        <is>
          <t>OA Management: ลดน้ำหนัก, กายภาพบำบัดเพิ่มความแข็งแรงของกล้ามเนื้อรอบข้อเข่า Quadriceps</t>
        </is>
      </c>
      <c r="O45" s="35" t="inlineStr">
        <is>
          <t>ข้อสอบจริง</t>
        </is>
      </c>
      <c r="P45" s="35" t="inlineStr">
        <is>
          <t>2562</t>
        </is>
      </c>
    </row>
    <row r="46" ht="409.6" customHeight="1" s="37">
      <c r="A46" s="35" t="n">
        <v>44</v>
      </c>
      <c r="B46" s="35" t="inlineStr">
        <is>
          <t>ยาต้านการสลายกระดูกในข้อใดจัดเป็นยาทางเลือกแรกที่ควรเลือกใช้รักษาอาการกระดูกพรุนในผู้ป่วยรายนี้</t>
        </is>
      </c>
      <c r="C46" s="35" t="n"/>
      <c r="D46" s="35" t="inlineStr">
        <is>
          <t>Strontium ranelate</t>
        </is>
      </c>
      <c r="E46" s="35" t="inlineStr">
        <is>
          <t>Teriparatide</t>
        </is>
      </c>
      <c r="F46" s="35" t="inlineStr">
        <is>
          <t>Alendronate (หรือยากลุ่ม Bisphosphonates)</t>
        </is>
      </c>
      <c r="G46" s="35" t="inlineStr">
        <is>
          <t>Raloxifene</t>
        </is>
      </c>
      <c r="H46" s="35" t="inlineStr">
        <is>
          <t>Nasal salmon calcitonin</t>
        </is>
      </c>
      <c r="I46" s="35" t="n">
        <v>3</v>
      </c>
      <c r="J46" s="35" t="inlineStr">
        <is>
          <t>✅ คำตอบที่ถูกต้อง: ข้อ ค. Alendronate (หรือยากลุ่ม Bisphosphonates)
💡 Background:
โรคกระดูกพรุน (T-score ≤ -2.5) ทำให้กระดูกเปราะ เสี่ยงต่อ fragility fracture การรักษาเน้นยับยั้ง bone resorption ด้วย antiresorptive agents
🎯 ทำไมข้อนี้ถึงถูก:
Alendronate (หรือยากลุ่ม Bisphosphonates) ผู้ป่วยมีกระดูกหักร่วมกับค่า T-score น้อยกว่า -2.5 จัดเป็นโรคกระดูกพรุนรุนแรง (Severe osteoporosis) ยารักษา first-line เพื่อต้านการสลายกระดูกและลดโอกาสเกิดกระดูกหักซ้ำคือ ยากลุ่ม Bisphosphonates เช่น Alendronate (ให้สัปดาห์ละ 1 ครั้ง) ซึ่งมีผลการศึกษาทางคลินิกสนับสนุน efficacy และผลลัพธ์ที่ดีเด่นชัดที่สุด
🔍 ข้ออื่นผิดเพราะอะไร:
• ข้อ ก. (Strontium ranelate): Strontium ranelate มีความเสี่ยงต่อระบบหลอดเลือดและหัวใจ ปัจจุบันถูกจำกัดการใช้และไม่ใช่ยาทางเลือกแรกในแนวทางเวชปฏิบัติ
• ข้อ ข. (Teriparatide): Teriparatide มีประสิทธิภาพสูงในการสร้างกระดูก แต่มีราคาสูงมากและสงวนไว้เป็นยาทางเลือกสำรองในผู้ป่วยที่ใช้ยากลุ่ม Bisphosphonates ไม่ได้ผล
• ข้อ ง. (Raloxifene): Raloxifene เป็นยากลุ่ม SERMs ที่สามารถป้องกันได้เฉพาะกระดูกสันหลังหัก แต่ไม่มีข้อมูลยืนยันประสิทธิภาพในการป้องกันกระดูกสะโพกหัก
• ข้อ จ. (Nasal salmon calcitonin): Nasal salmon calcitonin มีประสิทธิภาพในการต้านการสลายกระดูกอ่อนแอที่สุด และอาจเพิ่มความเสี่ยงต่อการเกิดโรคมะเร็งหากใช้ระยะยาว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46" s="35" t="n"/>
      <c r="L46" s="35" t="inlineStr">
        <is>
          <t>Osteoporosis</t>
        </is>
      </c>
      <c r="M46" s="35" t="inlineStr">
        <is>
          <t>Clinic</t>
        </is>
      </c>
      <c r="N46" s="35" t="inlineStr">
        <is>
          <t>Osteoporosis First-line: Alendronate เพิ่ม BMD และลดอุบัติการณ์กระดูกหักได้อย่างมีนัยสำคัญ</t>
        </is>
      </c>
      <c r="O46" s="35" t="inlineStr">
        <is>
          <t>ข้อสอบจริง</t>
        </is>
      </c>
      <c r="P46" s="35" t="inlineStr">
        <is>
          <t>2562</t>
        </is>
      </c>
    </row>
    <row r="47" ht="409.6" customHeight="1" s="37">
      <c r="A47" s="35" t="n">
        <v>45</v>
      </c>
      <c r="B47" s="35" t="inlineStr">
        <is>
          <t>ข้อใดคืออาการไม่พึงประสงค์ (ADR) ที่สำคัญและรุนแรงที่สุดของยากลุ่ม Bisphosphonates ที่แพทย์และเภสัชกรต้องเฝ้าระวังอย่างใกล้ชิด</t>
        </is>
      </c>
      <c r="C47" s="35" t="n"/>
      <c r="D47" s="35" t="inlineStr">
        <is>
          <t>Psychosis</t>
        </is>
      </c>
      <c r="E47" s="35" t="inlineStr">
        <is>
          <t>Osteonecrosis of the jaw (กระดูกขากรรไกรเน่าเสีย)</t>
        </is>
      </c>
      <c r="F47" s="35" t="inlineStr">
        <is>
          <t>Epistaxis</t>
        </is>
      </c>
      <c r="G47" s="35" t="inlineStr">
        <is>
          <t>Transient flu-like syndrome</t>
        </is>
      </c>
      <c r="H47" s="35" t="inlineStr">
        <is>
          <t>Cardiac rhythm interruption</t>
        </is>
      </c>
      <c r="I47" s="35" t="n">
        <v>2</v>
      </c>
      <c r="J47" s="35" t="inlineStr">
        <is>
          <t>✅ คำตอบที่ถูกต้อง: ข้อ ข. Osteonecrosis of the jaw (กระดูกขากรรไกรเน่าเสีย)
💡 Background:
โรคกระดูกพรุน (T-score ≤ -2.5) ทำให้กระดูกเปราะ เสี่ยงต่อ fragility fracture การรักษาเน้นยับยั้ง bone resorption ด้วย antiresorptive agents
🎯 ทำไมข้อนี้ถึงถูก:
Osteonecrosis of the jaw (กระดูกขากรรไกรเน่าเสีย) ADR ที่รุนแรงและต้องระมัดระวังมากที่สุดของการรับประทานยากลุ่ม Bisphosphonates (เช่น Alendronate, Risedronate) ต่อเนื่องเป็นเวลานานคือ ภาวะกระดูกขากรรไกรเน่าเสียหลังการทำหัตถการทางทันตกรรม (Osteonecrosis of the jaw: ONJ) เภสัชกรต้องแนะนำให้ผู้ป่วยรักษาสุขภาพช่องปาก ตรวจฟัน และแจ้งทันตแพทย์ทุกครั้งว่าใช้ยานี้อยู่ก่อนทำฟันหรือถอนฟัน
🔍 ข้ออื่นผิดเพราะอะไร:
• ข้อ ก. (Psychosis): ภาวะโรคจิต มักเป็นผลข้างเคียงจากยากลุ่ม Corticosteroids ขนาดสูง ไม่ใช่ผลข้างเคียงที่พบจากการใช้ยากลุ่ม Bisphosphonates
• ข้อ ค. (Epistaxis): เลือดกำเดาไหล เป็นอาการที่พบได้จากการใช้ยาต้านการแข็งตัวของเลือด หรือยาสเปรย์พ่นจมูกบางชนิด ไม่มีความเกี่ยวข้องกับ Bisphosphonates
• ข้อ ง. (Transient flu-like syndrome): อาการคล้ายไข้หวัด เป็นผลข้างเคียงที่อาจพบได้ในระยะแรกหลังการให้ยาแบบฉีดเข้าเส้นเลือด แต่ไม่ใช่ผลข้างเคียงที่รุนแรงที่สุด
• ข้อ จ. (Cardiac rhythm interruption): ภาวะหัวใจเต้นผิดจังหวะไม่ใช่ผลข้างเคียงหลักที่ต้องเฝ้าระวังอย่างเข้มงวดจากการใช้ยากลุ่ม Bisphosphonates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7" s="35" t="n"/>
      <c r="L47" s="35" t="inlineStr">
        <is>
          <t>Osteoporosis</t>
        </is>
      </c>
      <c r="M47" s="35" t="inlineStr">
        <is>
          <t>Clinic</t>
        </is>
      </c>
      <c r="N47" s="35" t="inlineStr">
        <is>
          <t>Bisphosphonates ADR: Osteonecrosis of the Jaw (ONJ) ต้องตรวจและทำหัตถการทันตกรรมก่อนเริ่มยา</t>
        </is>
      </c>
      <c r="O47" s="35" t="inlineStr">
        <is>
          <t>ข้อสอบจริง</t>
        </is>
      </c>
      <c r="P47" s="35" t="inlineStr">
        <is>
          <t>2562</t>
        </is>
      </c>
    </row>
    <row r="48" ht="409.6" customHeight="1" s="37">
      <c r="A48" s="35" t="n">
        <v>46</v>
      </c>
      <c r="B48" s="35" t="inlineStr">
        <is>
          <t>ข้อใดคือกลไกการออกฤทธิ์ทางเภสัชวิทยาในการต้านการอักเสบของยากลุ่ม Corticosteroids ในร่างกาย</t>
        </is>
      </c>
      <c r="C48" s="35" t="n"/>
      <c r="D48" s="35" t="inlineStr">
        <is>
          <t>รบกวนการจำลองตัวของดีเอ็นเอ (DNA synthesis)</t>
        </is>
      </c>
      <c r="E48" s="35" t="inlineStr">
        <is>
          <t>ยับยั้งการหลั่งสาร Cytokine IL-2</t>
        </is>
      </c>
      <c r="F48" s="35" t="inlineStr">
        <is>
          <t>ยับยั้งการสังเคราะห์และหลั่งสาร Melatonin</t>
        </is>
      </c>
      <c r="G48" s="35" t="inlineStr">
        <is>
          <t>ยับยั้งการสังเคราะห์สาร Ergosterol ที่ผนังเซลล์</t>
        </is>
      </c>
      <c r="H48" s="35" t="inlineStr">
        <is>
          <t>ยับยั้งการทำงานของเอนไซม์ Phospholipase A2</t>
        </is>
      </c>
      <c r="I48" s="35" t="n">
        <v>5</v>
      </c>
      <c r="J48" s="35" t="inlineStr">
        <is>
          <t>✅ คำตอบที่ถูกต้อง: ข้อ จ. ยับยั้งการทำงานของเอนไซม์ Phospholipase A2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ยับยั้งการทำงานของเอนไซม์ Phospholipase A2 ยากลุ่ม Corticosteroids มีกลไกออกฤทธิ์ต้านการอักเสบที่เหนี่ยวนำผ่านการจับกับ Glucocorticoid Receptor และกระตุ้นการสร้างโปรตีน Lipocortin (หรือ Annexin A1) ซึ่งโปรตีนนี้จะทำหน้าที่ยับยั้งการทำงานของเอนไซม์ Phospholipase A2 ส่งผลให้ยับยั้งการปล่อยสารตั้งต้น Arachidonic acid จากเยื่อหุ้มเซลล์ ทำให้ลดการสังเคราะห์ Prostaglandins และ Leukotrienes ที่เป็นสื่อกลางการอักเสบได้ตั้งแต่ต้นกระบวนการ
🔍 ข้ออื่นผิดเพราะอะไร:
• ข้อ ก. (รบกวนการจำลองตัวของดีเอ็นเอ (DNA synthesis)): การรบกวนการจำลองตัวของดีเอ็นเอเป็นกลไกหลักของยาเคมีบำบัดและยากดภูมิคุ้มกันบางชนิด เช่น Methotrexate ไม่ใช่กลไกของ Corticosteroids
• ข้อ ข. (ยับยั้งการหลั่งสาร Cytokine IL-2): การยับยั้งการหลั่ง Cytokine IL-2 เป็นกลไกการออกฤทธิ์ของยากลุ่ม Calcineurin inhibitors เช่น Cyclosporine และ Tacrolimus
• ข้อ ค. (ยับยั้งการสังเคราะห์และหลั่งสาร Melatonin): เมลาโทนินเป็นฮอร์โมนที่ควบคุมวงจรการนอนหลับ การยับยั้งการสังเคราะห์ฮอร์โมนนี้ไม่เกี่ยวข้องกับกลไกต้านการอักเสบของยากลุ่มสเตียรอยด์
• ข้อ ง. (ยับยั้งการสังเคราะห์สาร Ergosterol ที่ผนังเซลล์): การยับยั้งการสังเคราะห์สาร Ergosterol ที่ผนังเซลล์ เป็นกลไกการออกฤทธิ์ของยาต้านเชื้อรากลุ่ม Azoles ไม่ใช่กลไกของยาลดการอักเสบ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8" s="35" t="n"/>
      <c r="L48" s="35" t="inlineStr">
        <is>
          <t>Osteoarthritis</t>
        </is>
      </c>
      <c r="M48" s="35" t="inlineStr">
        <is>
          <t>Clinic</t>
        </is>
      </c>
      <c r="N48" s="35" t="inlineStr">
        <is>
          <t>Steroids Mechanism: จับกับ Glucocorticoid receptor ยับยั้ง NF-kB และลดการสร้าง Pro-inflammatory cytokines</t>
        </is>
      </c>
      <c r="O48" s="35" t="inlineStr">
        <is>
          <t>ข้อสอบจริง</t>
        </is>
      </c>
      <c r="P48" s="35" t="inlineStr">
        <is>
          <t>2562</t>
        </is>
      </c>
    </row>
    <row r="49" ht="409.6" customHeight="1" s="37">
      <c r="A49" s="35" t="n">
        <v>47</v>
      </c>
      <c r="B49" s="35" t="inlineStr">
        <is>
          <t>ตามเกณฑ์การแบ่งระดับความหนาแน่นมวลกระดูก (BMD) ของ WHO ภาวะกระดูกพรุน (Osteoporosis) จะถูกวินิจฉัยเมื่อตรวจพบระดับ T-score เป็นอย่างไร</t>
        </is>
      </c>
      <c r="C49" s="35" t="n"/>
      <c r="D49" s="35" t="inlineStr">
        <is>
          <t>มากกว่า 2.5</t>
        </is>
      </c>
      <c r="E49" s="35" t="inlineStr">
        <is>
          <t>ระหว่าง 1.0 ถึง 2.5</t>
        </is>
      </c>
      <c r="F49" s="35" t="inlineStr">
        <is>
          <t>ระหว่าง -1.0 ถึง 1.0</t>
        </is>
      </c>
      <c r="G49" s="35" t="inlineStr">
        <is>
          <t>ระหว่าง -2.5 ถึง -1.0</t>
        </is>
      </c>
      <c r="H49" s="35" t="inlineStr">
        <is>
          <t>น้อยกว่าหรือเท่ากับ -2.5</t>
        </is>
      </c>
      <c r="I49" s="35" t="n">
        <v>5</v>
      </c>
      <c r="J49" s="35" t="inlineStr">
        <is>
          <t>✅ คำตอบที่ถูกต้อง: ข้อ จ. น้อยกว่าหรือเท่ากับ -2.5
💡 Background:
โรคกระดูกพรุน (T-score ≤ -2.5) ทำให้กระดูกเปราะ เสี่ยงต่อ fragility fracture การรักษาเน้นยับยั้ง bone resorption ด้วย antiresorptive agents
🎯 ทำไมข้อนี้ถึงถูก:
น้อยกว่าหรือเท่ากับ -2.5 องค์การอนามัยโลก (WHO) กำหนดให้ใช้ค่า T-score จากการตรวจหาความหนาแน่นมวลกระดูก (BMD) ด้วยเครื่อง DEXA scan ในการแบ่งประเภทมวลกระดูกดังนี้:
- ปกติ (Normal): T-score มากกว่าหรือเท่ากับ -1.0
- กระดูกบาง (Osteopenia): T-score ระหว่าง -1.0 ถึง -2.5
- กระดูกพรุน (Osteoporosis): T-score น้อยกว่าหรือเท่ากับ -2.5
🔍 ข้ออื่นผิดเพราะอะไร:
• ข้อ ก. (มากกว่า 2.5): T-score ที่มากกว่า 2.5 จัดอยู่ในเกณฑ์มวลกระดูกปกติ และมีความแข็งแรงของกระดูกสูงกว่าค่าเฉลี่ยของประชากรวัยหนุ่มสาว
• ข้อ ข. (ระหว่าง 1.0 ถึง 2.5): T-score ที่อยู่ระหว่าง 1.0 ถึง 2.5 จัดอยู่ในเกณฑ์ที่ถือว่ามีความหนาแน่นมวลกระดูกปกติ ไม่ใช่เกณฑ์ในการวินิจฉัยโรคกระดูกพรุน
• ข้อ ค. (ระหว่าง -1.0 ถึง 1.0): T-score ที่อยู่ระหว่าง -1.0 ถึง 1.0 จัดอยู่ในเกณฑ์มวลกระดูกปกติ ไม่มีความเสี่ยงต่อภาวะกระดูกพรุนหรือกระดูกบาง
• ข้อ ง. (ระหว่าง -2.5 ถึง -1.0): T-score ที่อยู่ระหว่าง -2.5 ถึง -1.0 เป็นเกณฑ์สำหรับการวินิจฉัยภาวะกระดูกบาง ซึ่งมีความรุนแรงน้อยกว่าโรคกระดูกพรุน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9" s="35" t="n"/>
      <c r="L49" s="35" t="inlineStr">
        <is>
          <t>Osteoporosis</t>
        </is>
      </c>
      <c r="M49" s="35" t="inlineStr">
        <is>
          <t>Clinic</t>
        </is>
      </c>
      <c r="N49" s="35" t="inlineStr">
        <is>
          <t>BMD Criteria: WHO เกณฑ์ Osteoporosis คือ T-score ≤ -2.5 SD</t>
        </is>
      </c>
      <c r="O49" s="35" t="inlineStr">
        <is>
          <t>ข้อสอบจริง</t>
        </is>
      </c>
      <c r="P49" s="35" t="inlineStr">
        <is>
          <t>2562</t>
        </is>
      </c>
    </row>
    <row r="50" ht="409.6" customHeight="1" s="37">
      <c r="A50" s="35" t="n">
        <v>48</v>
      </c>
      <c r="B50" s="35" t="inlineStr">
        <is>
          <t>จากข้อมูลกรณีศึกษาข้างต้น ผู้ป่วยรายนี้ควรได้รับการวินิจฉัยว่าเป็นโรคในข้อใดต่อไปนี้</t>
        </is>
      </c>
      <c r="C50" s="35" t="n"/>
      <c r="D50" s="35" t="inlineStr">
        <is>
          <t>Osteoporosis</t>
        </is>
      </c>
      <c r="E50" s="35" t="inlineStr">
        <is>
          <t>Osteopenia</t>
        </is>
      </c>
      <c r="F50" s="35" t="inlineStr">
        <is>
          <t>Osteoarthritis</t>
        </is>
      </c>
      <c r="G50" s="35" t="inlineStr">
        <is>
          <t>Osteosarcoma</t>
        </is>
      </c>
      <c r="H50" s="35" t="inlineStr">
        <is>
          <t>Osteomyelitis</t>
        </is>
      </c>
      <c r="I50" s="35" t="n">
        <v>1</v>
      </c>
      <c r="J50" s="35" t="inlineStr">
        <is>
          <t>✅ คำตอบที่ถูกต้อง: ข้อ ก. Osteoporosis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Osteoporosis ผู้ป่วยสูงอายุ (66 ปี), มีอุบัติเหตุกระดูกข้อมือหักจากแรงกระแทกต่ำ (Fracture of right radial head จากการล้มในห้องน้ำ), และมีค่าความหนาแน่นมวลกระดูกสะโพก (BMD T-score = -2.6 น้อยกว่าหรือเท่ากับ -2.5) เกณฑ์แสดงอาการและค่าทางห้องปฏิบัติการทั้งหมดวินิจฉัยว่าเป็นโรคกระดูกพรุน (Osteoporosis)
🔍 ข้ออื่นผิดเพราะอะไร:
• ข้อ ข. (Osteopenia): ค่า T-score ของ Osteopenia จะอยู่ระหว่าง -1.0 ถึง -2.4 ซึ่งผู้ป่วยรายนี้มีค่า -2.6 และมีกระดูกหักร่วมด้วยจึงเกินเกณฑ์นี้
• ข้อ ค. (Osteoarthritis): พยาธิสภาพของ Osteoarthritis เกิดจากการเสื่อมของกระดูกอ่อนผิวข้อ ไม่ได้เกิดจากการลดลงของมวลกระดูกทั้งระบบแบบโรคกระดูกพรุน
• ข้อ ง. (Osteosarcoma): โรคมะเร็งกระดูกชนิดปฐมภูมิจะมีลักษณะทางคลินิกเป็นก้อนเนื้องอกทำลายกระดูกและมีอาการปวดเรื้อรังรุนแรง ไม่ใช่อาการกระดูกหักจากแรงกระแทกต่ำ
• ข้อ จ. (Osteomyelitis): การติดเชื้อที่กระดูกจะต้องมีประวัติหรืออาการแสดงของการอักเสบติดเชื้อ เช่น ไข้สูง ปวดบวมแดงร้อนบริเวณกระดูก หรือผลเพาะเชื้อเป็นบวก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0" s="35" t="n"/>
      <c r="L50" s="35" t="inlineStr">
        <is>
          <t>Osteoarthritis</t>
        </is>
      </c>
      <c r="M50" s="35" t="inlineStr">
        <is>
          <t>Clinic</t>
        </is>
      </c>
      <c r="N50" s="35" t="inlineStr">
        <is>
          <t>Osteoporosis Fragility Fracture: ผู้สูงอายุหกล้มกระดูกข้อมือหัก ร่วมกับ T-score ≤ -2.5 วินิจฉัย Osteoporosis</t>
        </is>
      </c>
      <c r="O50" s="35" t="inlineStr">
        <is>
          <t>ข้อสอบจริง</t>
        </is>
      </c>
      <c r="P50" s="35" t="inlineStr">
        <is>
          <t>2561</t>
        </is>
      </c>
    </row>
    <row r="51" ht="409.6" customHeight="1" s="37">
      <c r="A51" s="35" t="n">
        <v>49</v>
      </c>
      <c r="B51" s="35" t="inlineStr">
        <is>
          <t>ข้อใดต่อไปนี้จัดเป็นปัจจัยเสี่ยงของการเกิดโรคกระดูกพรุนของผู้ป่วยรายนี้</t>
        </is>
      </c>
      <c r="C51" s="35" t="n"/>
      <c r="D51" s="35" t="inlineStr">
        <is>
          <t>เพศหญิงและอายุที่มากขึ้น (วัยหมดประจำเดือน)</t>
        </is>
      </c>
      <c r="E51" s="35" t="inlineStr">
        <is>
          <t>การใช้ยากลุ่มขับปัสสาวะ Hydrochlorothiazide (HCTZ)</t>
        </is>
      </c>
      <c r="F51" s="35" t="inlineStr">
        <is>
          <t>การใช้ยากลุ่ม Calcium channel blockers (เช่น Nifedipine)</t>
        </is>
      </c>
      <c r="G51" s="35" t="inlineStr">
        <is>
          <t>การมีโรคประจำตัวเป็นความดันโลหิตสูง</t>
        </is>
      </c>
      <c r="H51" s="35" t="inlineStr">
        <is>
          <t>ประวัติครอบครัวที่คุณป้าเป็นโรคข้อเสื่อม</t>
        </is>
      </c>
      <c r="I51" s="35" t="n">
        <v>1</v>
      </c>
      <c r="J51" s="35" t="inlineStr">
        <is>
          <t>✅ คำตอบที่ถูกต้อง: ข้อ ก. เพศหญิงและอายุที่มากขึ้น (วัยหมดประจำเดือน)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เพศหญิงและอายุที่มากขึ้น (วัยหมดประจำเดือน) ปัจจัยเสี่ยงหลักตามธรรมชาติของการเกิดโรคกระดูกพรุนคือ เพศหญิงและอายุที่เพิ่มมากขึ้น โดยเฉพาะในวัยหมดประจำเดือนซึ่งระดับฮอร์โมน Estrogen ลดลงอย่างรวดเร็ว ส่งผลให้ขบวนการสลายกระดูกทำงานมากกว่าการสร้างกระดูก สำหรับการใช้ยาขับปัสสาวะ HCTZ จะส่งเสริมการดูดซึมกลับของแคลเซียมที่ท่อไต จึงมีผลช่วยรักษาและไม่เป็นปัจจัยเสี่ยงต่อโรคกระดูกพรุน
🔍 ข้ออื่นผิดเพราะอะไร:
• ข้อ ข. (การใช้ยากลุ่มขับปัสสาวะ Hydrochlorothiazide (HCTZ)): ยา HCTZ มีฤทธิ์กระตุ้นการดูดซึมกลับของแคลเซียมที่ท่อไตส่วนปลาย จึงช่วยรักษามวลกระดูกและลดความเสี่ยงต่อการเกิดโรคกระดูกพรุน
• ข้อ ค. (การใช้ยากลุ่ม Calcium channel blockers (เช่น Nifedipine)): ยากลุ่มนี้ออกฤทธิ์ขยายหลอดเลือดโดยไม่มีผลรบกวนกระบวนการสร้างหรือสลายมวลกระดูก จึงไม่ใช่ปัจจัยเสี่ยงของโรคกระดูกพรุน
• ข้อ ง. (การมีโรคประจำตัวเป็นความดันโลหิตสูง): ภาวะความดันโลหิตสูงเป็นพยาธิสภาพของระบบหลอดเลือดและหัวใจที่ไม่ได้ส่งผลโดยตรงต่อการทำงานของ Osteoblast หรือ Osteoclast
• ข้อ จ. (ประวัติครอบครัวที่คุณป้าเป็นโรคข้อเสื่อม): โรคข้อเสื่อมเป็นภาวะเสื่อมเฉพาะที่บริเวณกระดูกอ่อนผิวข้อ ซึ่งคนละกลไกและคนละโรคกับโรคกระดูกพรุนที่เกิดกับมวลกระดูกทั้งระบบ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1" s="35" t="n"/>
      <c r="L51" s="35" t="inlineStr">
        <is>
          <t>Osteoarthritis</t>
        </is>
      </c>
      <c r="M51" s="35" t="inlineStr">
        <is>
          <t>Clinic</t>
        </is>
      </c>
      <c r="N51" s="35" t="inlineStr">
        <is>
          <t>Osteoporosis Risk Factors: วัยหมดประจำเดือน ขาดฮอร์โมน Estrogen ทำให้ Osteoclast สลายกระดูกเด่น</t>
        </is>
      </c>
      <c r="O51" s="35" t="inlineStr">
        <is>
          <t>ข้อสอบจริง</t>
        </is>
      </c>
      <c r="P51" s="35" t="inlineStr">
        <is>
          <t>2561</t>
        </is>
      </c>
    </row>
    <row r="52" ht="409.6" customHeight="1" s="37">
      <c r="A52" s="35" t="n">
        <v>50</v>
      </c>
      <c r="B52" s="35" t="inlineStr">
        <is>
          <t>หากผู้ป่วยเลือกใช้ยาสมุนไพร "เถาวัลย์เปรียง" เพื่อบรรเทาอาการปวดบวมอักเสบของแขนและข้อมือขวา ผู้ป่วยที่มีโรคประจำตัวในข้อใดที่ควรระมัดระวังการใช้ยานี้เป็นพิเศษ</t>
        </is>
      </c>
      <c r="C52" s="35" t="n"/>
      <c r="D52" s="35" t="inlineStr">
        <is>
          <t>Cystitis</t>
        </is>
      </c>
      <c r="E52" s="35" t="inlineStr">
        <is>
          <t>Diabetes</t>
        </is>
      </c>
      <c r="F52" s="35" t="inlineStr">
        <is>
          <t>Psoriasis</t>
        </is>
      </c>
      <c r="G52" s="35" t="inlineStr">
        <is>
          <t>Epilepsy</t>
        </is>
      </c>
      <c r="H52" s="35" t="inlineStr">
        <is>
          <t>Peptic ulcer</t>
        </is>
      </c>
      <c r="I52" s="35" t="n">
        <v>5</v>
      </c>
      <c r="J52" s="35" t="inlineStr">
        <is>
          <t>✅ คำตอบที่ถูกต้อง: ข้อ จ. Peptic ulcer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Peptic ulcer ยาสมุนไพร "เถาวัลย์เปรียง" (Derris scandens) มีกลไกการออกฤทธิ์ต้านการอักเสบผ่านการยับยั้งเอนไซม์ COX-1 และ COX-2 คล้ายคลึงกับยากลุ่ม NSAIDs แผนปัจจุบัน ดังนั้นจึงมี ADR ระคายเคืองกระเพาะอาหารและห้ามใช้หรือต้องระวังเป็นพิเศษในผู้ป่วยที่มีประวัติโรคแผลในทางเดินอาหาร (Peptic ulcer) เพื่อป้องกันเลือดออกในทางเดินอาหาร
🔍 ข้ออื่นผิดเพราะอะไร:
• ข้อ ก. (Cystitis): กระเพาะปัสสาวะอักเสบเกิดจากการติดเชื้อแบคทีเรีย ซึ่งเถาวัลย์เปรียงไม่มีกลไกซ้ำซ้อนหรือทำให้การติดเชื้อในทางเดินปัสสาวะแย่ลง
• ข้อ ข. (Diabetes): เถาวัลย์เปรียงไม่มีผลเปลี่ยนแปลงระดับน้ำตาลในเลือดอย่างมีนัยสำคัญทางคลินิก จึงไม่ต้องระมัดระวังเป็นพิเศษในผู้ป่วยเบาหวาน
• ข้อ ค. (Psoriasis): โรคสะเก็ดเงินเป็นโรคผิวหนังอักเสบจากความผิดปกติของระบบภูมิคุ้มกันระดับเซลล์ ซึ่งเถาวัลย์เปรียงไม่ได้มีฤทธิ์กดภูมิคุ้มกัน
• ข้อ ง. (Epilepsy): สารสำคัญในเถาวัลย์เปรียงไม่สามารถผ่านแนวกั้นสมองไปลดระดับความทนทานต่อการชัก จึงไม่มีข้อห้ามใช้ในผู้ป่วยโรคลมชัก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2" s="35" t="n"/>
      <c r="L52" s="35" t="inlineStr">
        <is>
          <t>Osteoarthritis / Herbal Medicine</t>
        </is>
      </c>
      <c r="M52" s="35" t="inlineStr">
        <is>
          <t>Clinic</t>
        </is>
      </c>
      <c r="N52" s="35" t="inlineStr">
        <is>
          <t>Derris scandens Caution: เถาวัลย์เปรียงยับยั้ง COX มีฤทธิ์ระคายเคืองกระเพาะอาหาร ระวังใน Peptic ulcer</t>
        </is>
      </c>
      <c r="O52" s="35" t="inlineStr">
        <is>
          <t>ข้อสอบจริง</t>
        </is>
      </c>
      <c r="P52" s="35" t="inlineStr">
        <is>
          <t>2561</t>
        </is>
      </c>
    </row>
    <row r="53" ht="409.6" customHeight="1" s="37">
      <c r="A53" s="35" t="n">
        <v>51</v>
      </c>
      <c r="B53" s="35" t="inlineStr">
        <is>
          <t>ยาในข้อใดจัดเป็นยาทางเลือกแรกที่ควรเลือกใช้รักษาอาการโรคกระดูกพรุนหลังเกิดอุบัติเหตุกระดูกหักในผู้ป่วยรายนี้</t>
        </is>
      </c>
      <c r="C53" s="35" t="n"/>
      <c r="D53" s="35" t="inlineStr">
        <is>
          <t>Raloxifene</t>
        </is>
      </c>
      <c r="E53" s="35" t="inlineStr">
        <is>
          <t>Calcitonin</t>
        </is>
      </c>
      <c r="F53" s="35" t="inlineStr">
        <is>
          <t>Denosumab</t>
        </is>
      </c>
      <c r="G53" s="35" t="inlineStr">
        <is>
          <t>Teriparatide</t>
        </is>
      </c>
      <c r="H53" s="35" t="inlineStr">
        <is>
          <t>Alendronate</t>
        </is>
      </c>
      <c r="I53" s="35" t="n">
        <v>5</v>
      </c>
      <c r="J53" s="35" t="inlineStr">
        <is>
          <t>✅ คำตอบที่ถูกต้อง: ข้อ จ. Alendronate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Alendronate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ก. (Raloxifene): ยานี้เป็นยากลุ่ม SERM ซึ่งมีประสิทธิภาพในการป้องกันกระดูกสันหลังหักเท่านั้น ไม่มีผลป้องกันกระดูกสะโพกหัก
• ข้อ ข. (Calcitonin): ยานี้มีประสิทธิภาพต่ำในการเพิ่มมวลกระดูก แนะนำให้ใช้เพียงระยะสั้นเพื่อบรรเทาอาการปวดจากกระดูกสันหลังหักเฉียบพลันเท่านั้น
• ข้อ ค. (Denosumab): ยานี้เป็น RANKL inhibitor ที่จัดเป็นยาทางเลือกเมื่อผู้ป่วยทนต่อผลข้างเคียงของ Bisphosphonates ไม่ได้ หรือมีภาวะไตเสื่อมรุนแรง
• ข้อ ง. (Teriparatide): ยานี้เป็นฮอร์โมนกระตุ้นการสร้างกระดูก ที่สงวนไว้สำหรับผู้ป่วยที่มีความเสี่ยงต่อกระดูกหักซ้ำซ้อนระดับรุนแรงมาก หรือล้มเหลวจากการรักษาด้วยยารับประทาน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53" s="35" t="n"/>
      <c r="L53" s="35" t="inlineStr">
        <is>
          <t>Osteoarthritis</t>
        </is>
      </c>
      <c r="M53" s="35" t="inlineStr">
        <is>
          <t>Clinic</t>
        </is>
      </c>
      <c r="N53" s="35" t="inlineStr">
        <is>
          <t>Osteoporosis Secondary Prevention: Alendronate เป็นยาทางเลือกแรกในการป้องกันกระดูกหักซ้ำ</t>
        </is>
      </c>
      <c r="O53" s="35" t="inlineStr">
        <is>
          <t>ข้อสอบจริง</t>
        </is>
      </c>
      <c r="P53" s="35" t="inlineStr">
        <is>
          <t>2561</t>
        </is>
      </c>
    </row>
    <row r="54" ht="409.6" customHeight="1" s="37">
      <c r="A54" s="35" t="n">
        <v>52</v>
      </c>
      <c r="B54" s="35" t="inlineStr">
        <is>
          <t>ข้อใดคืออาการไม่พึงประสงค์จากการใช้ยา (ADR) ที่รุนแรงของยากลุ่ม Bisphosphonates ที่ต้องระมัดระวังมากที่สุดในคนไข้ที่ต้องรับยาต่อเนื่องในระยะยาว</t>
        </is>
      </c>
      <c r="C54" s="35" t="n"/>
      <c r="D54" s="35" t="inlineStr">
        <is>
          <t>Hyponatremia</t>
        </is>
      </c>
      <c r="E54" s="35" t="inlineStr">
        <is>
          <t>Hypercalcemia</t>
        </is>
      </c>
      <c r="F54" s="35" t="inlineStr">
        <is>
          <t>Ketoacidosis</t>
        </is>
      </c>
      <c r="G54" s="35" t="inlineStr">
        <is>
          <t>Respiratory acidosis</t>
        </is>
      </c>
      <c r="H54" s="35" t="inlineStr">
        <is>
          <t>Osteonecrosis of the jaw (กระดูกขากรรไกรเน่าเสีย)</t>
        </is>
      </c>
      <c r="I54" s="35" t="n">
        <v>5</v>
      </c>
      <c r="J54" s="35" t="inlineStr">
        <is>
          <t>✅ คำตอบที่ถูกต้อง: ข้อ จ. Osteonecrosis of the jaw (กระดูกขากรรไกรเน่าเสีย)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Osteonecrosis of the jaw (กระดูกขากรรไกรเน่าเสีย) ADR ระยะยาวที่ร้ายแรงมากของยากลุ่ม Bisphosphonates (Alendronate) ที่แพทย์และเภสัชกรต้องเฝ้าระวังคือ ภาวะกระดูกขากรรไกรเน่าเสีย (Osteonecrosis of the jaw: ONJ) ผู้ป่วยต้องประเมินสุขภาพช่องปากก่อนเริ่มใช้ยา
🔍 ข้ออื่นผิดเพราะอะไร:
• ข้อ ก. (Hyponatremia): ยากลุ่ม Bisphosphonates ไม่มีผลรบกวนการทำงานของฮอร์โมน Aldosterone หรือ ADH จึงไม่ทำให้เกิดภาวะโซเดียมในเลือดต่ำ
• ข้อ ข. (Hypercalcemia): กลไกของ Bisphosphonates คือการยับยั้ง Osteoclast ทำให้ลดการสลายแคลเซียมออกจากกระดูก ผลข้างเคียงที่พบคือภาวะแคลเซียมในเลือดต่ำ
• ข้อ ค. (Ketoacidosis): ยานี้ไม่มีผลรบกวนกระบวนการเผาผลาญกลูโคสหรือการสร้างคีโตนในตับ จึงไม่เกี่ยวข้องกับภาวะเลือดเป็นกรดจากคีโตน
• ข้อ ง. (Respiratory acidosis): ยานี้ไม่ผ่านเข้าสู่ระบบประสาทส่วนกลางไปกดศูนย์ควบคุมการหายใจ จึงไม่ทำให้เกิดภาวะคาร์บอนไดออกไซด์คั่งในเลือด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4" s="35" t="n"/>
      <c r="L54" s="35" t="inlineStr">
        <is>
          <t>Osteoarthritis</t>
        </is>
      </c>
      <c r="M54" s="35" t="inlineStr">
        <is>
          <t>Clinic</t>
        </is>
      </c>
      <c r="N54" s="35" t="inlineStr">
        <is>
          <t>Bisphosphonates Rare ADR: ONJ และ Atypical femoral fracture (AFF) สัมพันธ์กับการใช้ยาระยะยาว</t>
        </is>
      </c>
      <c r="O54" s="35" t="inlineStr">
        <is>
          <t>ข้อสอบจริง</t>
        </is>
      </c>
      <c r="P54" s="35" t="inlineStr">
        <is>
          <t>2561</t>
        </is>
      </c>
    </row>
    <row r="55" ht="409.6" customHeight="1" s="37">
      <c r="A55" s="35" t="n">
        <v>53</v>
      </c>
      <c r="B55" s="35" t="inlineStr">
        <is>
          <t>จากกรณีศึกษา ยาตัวใดในรายการยาที่ผู้ป่วยได้รับที่มีความเป็นพิษต่อไตสูงสุดหากใช้อย่างต่อเนื่องเป็นเวลานาน</t>
        </is>
      </c>
      <c r="C55" s="35" t="n"/>
      <c r="D55" s="35" t="inlineStr">
        <is>
          <t>Risedronate</t>
        </is>
      </c>
      <c r="E55" s="35" t="inlineStr">
        <is>
          <t>Diclofenac</t>
        </is>
      </c>
      <c r="F55" s="35" t="inlineStr">
        <is>
          <t>Glucosamine</t>
        </is>
      </c>
      <c r="G55" s="35" t="inlineStr">
        <is>
          <t>Vitamin B complex</t>
        </is>
      </c>
      <c r="H55" s="35" t="inlineStr">
        <is>
          <t>Calcium carbonate</t>
        </is>
      </c>
      <c r="I55" s="35" t="n">
        <v>2</v>
      </c>
      <c r="J55" s="35"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ยากินกลุ่ม NSAIDs (Diclofenac) มีผลข้างเคียงสำคัญต่อไตโดยตรงเนื่องจากไปยับยั้งการสร้าง Prostaglandins ที่ช่วยขยายหลอดเลือดไต หากรับประทานอย่างต่อเนื่องเป็นเวลานานจะลดการไหลเวียนเลือดในไตและเหนี่ยวนำให้เกิดโรคไตเรื้อรัง (CKD) หรือภาวะไตวายเฉียบพลันได้สูงที่สุดในบรรดายารายการอื่นที่ระบุ
🔍 ข้ออื่นผิดเพราะอะไร:
• ข้อ ก. (Risedronate): แม้ยานี้ต้องระวังในผู้ป่วยไตเสื่อมเนื่องจากถูกขับออกทางไต แต่ตัวยาไม่ได้มีพิษต่อเซลล์ท่อไตโดยตรงแบบยาแก้ปวด NSAIDs
• ข้อ ค. (Glucosamine): สารนี้เป็นส่วนประกอบของสารหล่อลื่นข้อที่ขับออกทางปัสสาวะโดยไม่ได้ทำให้เกิดการหดตัวของหลอดเลือดไตหรือรบกวนอัตราการกรองของไต
• ข้อ ง. (Vitamin B complex): วิตามินบีรวมเป็นวิตามินละลายน้ำที่สามารถขับทิ้งทางปัสสาวะได้อย่างปลอดภัยเมื่อได้รับเกินขนาด โดยไม่ก่อให้เกิดพิษต่อเนื้อเยื่อไต
• ข้อ จ. (Calcium carbonate): แม้การรับประทานแคลเซียมปริมาณสูงอาจเพิ่มความเสี่ยงต่อนิ่วในไตในบางราย แต่ไม่มีกลไกทำให้เกิดไตวายเฉียบพลันจากการขาดเลือดแบบ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5" s="35" t="n"/>
      <c r="L55" s="35" t="inlineStr">
        <is>
          <t>Osteoarthritis</t>
        </is>
      </c>
      <c r="M55" s="35" t="inlineStr">
        <is>
          <t>Clinic</t>
        </is>
      </c>
      <c r="N55" s="35" t="inlineStr">
        <is>
          <t>NSAIDs Renal Safety: ยับยั้ง Prostaglandins ลดเลือดไปเลี้ยงไต ส่งผลให้ Scr สูงขึ้นและเกิดไตวาย</t>
        </is>
      </c>
      <c r="O55" s="35" t="inlineStr">
        <is>
          <t>ข้อสอบจริง</t>
        </is>
      </c>
      <c r="P55" s="35" t="inlineStr">
        <is>
          <t>2559</t>
        </is>
      </c>
    </row>
    <row r="56" ht="409.6" customHeight="1" s="37">
      <c r="A56" s="35" t="n">
        <v>54</v>
      </c>
      <c r="B56" s="35" t="inlineStr">
        <is>
          <t>ข้อความใดต่อไปนี้อธิบายคำแนะนำในการรับประทานยา Risedronate ที่ ไม่ถูกต้อง</t>
        </is>
      </c>
      <c r="C56" s="35" t="n"/>
      <c r="D56" s="35" t="inlineStr">
        <is>
          <t>ควรรับประทานยาวันเดียวกันในแต่ละสัปดาห์</t>
        </is>
      </c>
      <c r="E56" s="35" t="inlineStr">
        <is>
          <t>ยาอาจทำให้เกิดการระคายเคืองและมีแผลที่หลอดอาหารได้</t>
        </is>
      </c>
      <c r="F56" s="35" t="inlineStr">
        <is>
          <t>หลังรับประทานยาแล้ว ต้องนั่งหรือยืนตัวตรงอย่างน้อย 30 นาที</t>
        </is>
      </c>
      <c r="G56" s="35" t="inlineStr">
        <is>
          <t>ควรรับประทานยาก่อนอาหารอย่างน้อย 1 ชั่วโมง</t>
        </is>
      </c>
      <c r="H56" s="35" t="inlineStr">
        <is>
          <t>ควรรับประทานยาร่วมกับนมหรือยาลดกรดเพื่อเพิ่มประสิทธิภาพการดูดซึมยา</t>
        </is>
      </c>
      <c r="I56" s="35" t="n">
        <v>5</v>
      </c>
      <c r="J56" s="35" t="inlineStr">
        <is>
          <t>✅ คำตอบที่ถูกต้อง: ข้อ จ. ควรรับประทานยาร่วมกับนมหรือยาลดกรดเพื่อเพิ่มประสิทธิภาพการดูดซึมยา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ควรรับประทานยาร่วมกับนมหรือยาลดกรดเพื่อเพิ่มประสิทธิภาพการดูดซึมยา ควรรับประทานยาร่วมกับนมหรือยาลดกรดเพื่อเพิ่ม efficacy การดูดซึมยา ควรรับประทานยาร่วมกับนมหรือยาลดกรดเพื่อเพิ่ม efficacy การดูดซึมยา ควรรับประทานยาร่วมกับนมหรือยาลดกรดเพื่อเพิ่ม efficacy การดูดซึมยา ควรรับประทานยาร่วมกับนมหรือยาลดกรดเพื่อเพิ่ม efficacy การดูดซึมยา คำแนะนำที่ ไม่ถูกต้อง คือข้อ จ. เนื่องจากนม ผลิตภัณฑ์จากนม และยาลดกรดทั่วไปมีส่วนประกอบของไอออนโลหะประจุบวกที่มีวาเลนซีสองและสาม (เช่น $Ca^{2+}$, $Mg^{2+}$, $Al^{3+}$) ซึ่งจะจับสารประกอบเชิงซ้อนกับยา Risedronate ในระบบทางเดินอาหารและลดการดูดซึมของยากลุ่ม Bisphosphonates ลงเกือบทั้งหมด เภสัชกรต้องเน้นย้ำให้คนไข้ดื่มน้ำเปล่าสะอาดเท่านั้นในการกลืนยา
🔍 ข้ออื่นผิดเพราะอะไร:
• ข้อ ก. (ควรรับประทานยาวันเดียวกันในแต่ละสัปดาห์): เป็นคำแนะนำที่ถูกต้องเพื่อให้ระดับยาในเลือดคงที่และสร้างความสม่ำเสมอในการรับประทานยารูปแบบสัปดาห์ละครั้ง
• ข้อ ข. (ยาอาจทำให้เกิดการระคายเคืองและมีแผลที่หลอดอาหารได้): เป็นคำเตือนที่ถูกต้อง เนื่องจากยา Bisphosphonates มีฤทธิ์กัดกร่อนและสามารถเหนี่ยวนำให้เกิดหลอดอาหารอักเสบได้สูง
• ข้อ ค. (หลังรับประทานยาแล้ว ต้องนั่งหรือยืนตัวตรงอย่างน้อย 30 นาที): เป็นวิธีปฏิบัติที่ถูกต้องเพื่ออาศัยแรงโน้มถ่วงป้องกันไม่ให้ยาไหลย้อนกลับขึ้นไประคายเคืองหลอดอาหาร
• ข้อ ง. (ควรรับประทานยาก่อนอาหารอย่างน้อย 1 ชั่วโมง): เป็นคำแนะนำที่ถูกต้อง เนื่องจากยาถูกดูดซึมได้น้อยมาก อาหารจะไปรบกวนการดูดซึมยาในทางเดินอาหารอย่างรุนแรง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6" s="35" t="n"/>
      <c r="L56" s="35" t="inlineStr">
        <is>
          <t>Osteoarthritis</t>
        </is>
      </c>
      <c r="M56" s="35" t="inlineStr">
        <is>
          <t>Clinic</t>
        </is>
      </c>
      <c r="N56" s="35" t="inlineStr">
        <is>
          <t>Bisphosphonates Administration: ทานตอนเช้าก่อนอาหาร 30 นาที ดื่มน้ำเปล่าเต็มแก้ว และห้ามนอนราบ 30 นาที</t>
        </is>
      </c>
      <c r="O56" s="35" t="inlineStr">
        <is>
          <t>ข้อสอบจริง</t>
        </is>
      </c>
      <c r="P56" s="35" t="inlineStr">
        <is>
          <t>2559</t>
        </is>
      </c>
    </row>
    <row r="57" ht="409.6" customHeight="1" s="37">
      <c r="A57" s="35" t="n">
        <v>55</v>
      </c>
      <c r="B57" s="35" t="inlineStr">
        <is>
          <t>ผู้ป่วยสามารถควบคุมระดับความดันโลหิตได้ดีมาโดยตลอด 2-3 ปีที่ผ่านมา แต่มารับการตรวจนัดในรอบนี้พบระดับความดันโลหิตเพิ่มขึ้นอย่างมีนัยสำคัญเป็น 162/92 mmHg คาดว่ามีสาเหตุหลักมาจากการรับประทานยาตัวใดในสูตรการรักษา</t>
        </is>
      </c>
      <c r="C57" s="35" t="n"/>
      <c r="D57" s="35" t="inlineStr">
        <is>
          <t>Risedronate</t>
        </is>
      </c>
      <c r="E57" s="35" t="inlineStr">
        <is>
          <t>Diclofenac</t>
        </is>
      </c>
      <c r="F57" s="35" t="inlineStr">
        <is>
          <t>Calcium carbonate</t>
        </is>
      </c>
      <c r="G57" s="35" t="inlineStr">
        <is>
          <t>Glucosamine</t>
        </is>
      </c>
      <c r="H57" s="35" t="inlineStr">
        <is>
          <t>พฤติกรรมการไม่ชอบออกกำลังกาย</t>
        </is>
      </c>
      <c r="I57" s="35" t="n">
        <v>2</v>
      </c>
      <c r="J57" s="35"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ยากลุ่ม NSAIDs เช่น Diclofenac ไปยับยั้งการสังเคราะห์พรอสตาแกลนดินที่ไต ส่งผลให้เกิดการคั่งของน้ำและโซเดียมในกระแสเลือด และเพิ่มแรงต้านของหลอดเลือดส่วนปลาย มีผลทำให้ความดันโลหิตของผู้ป่วยเพิ่มสูงขึ้นและทำให้ efficacy ของยาลดความดันโลหิต (Enalapril, HCTZ) ลดลง
🔍 ข้ออื่นผิดเพราะอะไร:
• ข้อ ก. (Risedronate): ยานี้ออกฤทธิ์เฉพาะเจาะจงที่เซลล์สร้างและสลายกระดูก ไม่มีผลต่อระบบฮอร์โมนควบคุมความดัน หรือหลอดเลือดส่วนปลาย
• ข้อ ค. (Calcium carbonate): แคลเซียมเสริมไม่มีฤทธิ์ทำให้หลอดเลือดหดตัวในระดับที่เป็นนัยสำคัญทางคลินิก และไม่ขัดขวางการออกฤทธิ์ของยาลดความดันโลหิต
• ข้อ ง. (Glucosamine): เป็นเพียงสารตั้งต้นในการสร้างโปรตีโอไกลแคนของกระดูกอ่อนผิวข้อ ไม่มีผลเปลี่ยนแปลงปริมาตรสารน้ำในร่างกายหรือความดันโลหิต
• ข้อ จ. (พฤติกรรมการไม่ชอบออกกำลังกาย): แม้การไม่ออกกำลังกายจะส่งผลเสียต่อสุขภาพโดยรวม แต่ไม่สามารถอธิบายการพุ่งขึ้นอย่างเฉียบพลันของระดับความดันโลหิตได้ดีเท่ายา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7" s="35" t="n"/>
      <c r="L57" s="35" t="inlineStr">
        <is>
          <t>Osteoarthritis</t>
        </is>
      </c>
      <c r="M57" s="35" t="inlineStr">
        <is>
          <t>Clinic</t>
        </is>
      </c>
      <c r="N57" s="35" t="inlineStr">
        <is>
          <t>NSAIDs Blood Pressure: NSAIDs ยับยั้ง Renal PG ทำให้เกิดการคั่งของโซเดียมและน้ำ ส่งผลให้ความดันโลหิตสูงขึ้น</t>
        </is>
      </c>
      <c r="O57" s="35" t="inlineStr">
        <is>
          <t>ข้อสอบจริง</t>
        </is>
      </c>
      <c r="P57" s="35" t="inlineStr">
        <is>
          <t>2559</t>
        </is>
      </c>
    </row>
    <row r="58" ht="409.6" customHeight="1" s="37">
      <c r="A58" s="35" t="n">
        <v>56</v>
      </c>
      <c r="B58" s="35" t="inlineStr">
        <is>
          <t>หากผู้ป่วยโรคข้อเสื่อมมีโรคประจำตัวเป็นโรคความดันโลหิตสูงและโรคหัวใจโต ยาในกลุ่ม NSAIDs ข้อใดมีความปลอดภัยต่อระบบหัวใจและหลอดเลือด (Cardiovascular safety) สูงที่สุด</t>
        </is>
      </c>
      <c r="C58" s="35" t="n"/>
      <c r="D58" s="35" t="inlineStr">
        <is>
          <t>Ibuprofen</t>
        </is>
      </c>
      <c r="E58" s="35" t="inlineStr">
        <is>
          <t>Diclofenac</t>
        </is>
      </c>
      <c r="F58" s="35" t="inlineStr">
        <is>
          <t>Naproxen</t>
        </is>
      </c>
      <c r="G58" s="35" t="inlineStr">
        <is>
          <t>Celecoxib</t>
        </is>
      </c>
      <c r="H58" s="35" t="inlineStr">
        <is>
          <t>Piroxicam</t>
        </is>
      </c>
      <c r="I58" s="35" t="n">
        <v>3</v>
      </c>
      <c r="J58" s="35" t="inlineStr">
        <is>
          <t>✅ คำตอบที่ถูกต้อง: ข้อ ค. Naproxen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Naproxen จากข้อมูลการศึกษาทางคลินิกด้าน safety ต่อระบบหัวใจและหลอดเลือด ยา Naproxen จัดเป็นยาต้านการอักเสบกลุ่ม NSAIDs ที่มี safety ต่อระบบหัวใจและหลอดเลือด (Cardiovascular safety) สูงที่สุด เนื่องจากมีฤทธิ์ยับยั้ง COX-1 ยาวนานและลดการเกาะกลุ่มของเกล็ดเลือดได้ใกล้เคียงกับ Aspirin ต่างจากยาต้านการอักเสบตัวอื่นที่เพิ่มความเสี่ยงต่อการเกิดโรคหลอดเลือดสมองและหัวใจล้มเหลว
🔍 ข้ออื่นผิดเพราะอะไร:
• ข้อ ก. (Ibuprofen): ยานี้สามารถต้านฤทธิ์ต้านเกล็ดเลือดของ Aspirin แบบแข่งขันที่เอนไซม์ COX-1 จึงเพิ่มความเสี่ยงต่อโรคหลอดเลือดหัวใจ
• ข้อ ข. (Diclofenac): ยานี้มีฤทธิ์ยับยั้งเอนไซม์ COX-2 ค่อนข้างสูง นำไปสู่การเสียสมดุลของการเกาะกลุ่มของเกล็ดเลือดและเพิ่มความเสี่ยงต่อภาวะกล้ามเนื้อหัวใจขาดเลือด
• ข้อ ง. (Celecoxib): ยานี้เป็น Selective COX-2 inhibitor ซึ่งมีคำเตือนระดับสูงถึงความเสี่ยงที่เพิ่มขึ้นอย่างมากในการเกิดลิ่มเลือดอุดตันในหลอดเลือดหัวใจและสมอง
• ข้อ จ. (Piroxicam): ยานี้มีค่าครึ่งชีวิตยาวนาน ทำให้ยาเกิดการสะสมในร่างกายและเพิ่มความเสี่ยงทั้งพิษต่อหัวใจและแผลในทางเดินอาหารได้สูงกว่า Naproxen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8" s="35" t="n"/>
      <c r="L58" s="35" t="inlineStr">
        <is>
          <t>Osteoarthritis</t>
        </is>
      </c>
      <c r="M58" s="35" t="inlineStr">
        <is>
          <t>Clinic</t>
        </is>
      </c>
      <c r="N58" s="35" t="inlineStr">
        <is>
          <t>ACR 2019 Knee OA: Strongly recommend Topical NSAIDs over oral NSAIDs; Exercise &amp; weight management are core non-pharmacologic interventions.</t>
        </is>
      </c>
      <c r="O58" s="35" t="inlineStr">
        <is>
          <t>ข้อสอบจริง</t>
        </is>
      </c>
      <c r="P58" s="35" t="inlineStr">
        <is>
          <t>2559</t>
        </is>
      </c>
    </row>
    <row r="59" ht="409.6" customHeight="1" s="37">
      <c r="A59" s="35" t="n">
        <v>57</v>
      </c>
      <c r="B59" s="35" t="inlineStr">
        <is>
          <t>ผู้ป่วยรายนี้ควรได้รับยาในข้อใดเป็นทางเลือกแรก (First-line) สำหรับการบรรเทาอาการปวดตามแนวทางเวชปฏิบัติ</t>
        </is>
      </c>
      <c r="C59" s="35" t="n"/>
      <c r="D59" s="35" t="inlineStr">
        <is>
          <t>Tramadol</t>
        </is>
      </c>
      <c r="E59" s="35" t="inlineStr">
        <is>
          <t>Piroxicam</t>
        </is>
      </c>
      <c r="F59" s="35" t="inlineStr">
        <is>
          <t>Colchicine</t>
        </is>
      </c>
      <c r="G59" s="35" t="inlineStr">
        <is>
          <t>Acetaminophen</t>
        </is>
      </c>
      <c r="H59" s="35" t="inlineStr">
        <is>
          <t>Orphenadrine + Paracetamol</t>
        </is>
      </c>
      <c r="I59" s="35" t="n">
        <v>4</v>
      </c>
      <c r="J59" s="35" t="inlineStr">
        <is>
          <t>✅ คำตอบที่ถูกต้อง: ข้อ ง. Acetaminophen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Acetaminophen สำหรับการบรรเทาอาการปวดในโรคข้อเสื่อม (Osteoarthritis) ตามแนวปฏิบัติของไทย หากผู้ป่วยปวดปานกลางและไม่มีอาการอักเสบเฉียบพลันชัดเจน แนะนำให้เริ่มต้นการรักษาด้วยยา Acetaminophen (Paracetamol) เนื่องจากมี safety ในภาพรวมทางระบบทางเดินอาหารและไตสูงกว่ายากลุ่ม NSAIDs แผนปัจจุบัน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59" s="35" t="n"/>
      <c r="L59" s="35" t="inlineStr">
        <is>
          <t>Gout</t>
        </is>
      </c>
      <c r="M59" s="35" t="inlineStr">
        <is>
          <t>Clinic</t>
        </is>
      </c>
      <c r="N59" s="35" t="inlineStr">
        <is>
          <t>OA Treatment Hierarchy: Paracetamol หรือ Topical NSAIDs เป็นตัวเลือกลำดับแรกในข้อเข่าเสื่อม</t>
        </is>
      </c>
      <c r="O59" s="35" t="inlineStr">
        <is>
          <t>ข้อสอบจริง</t>
        </is>
      </c>
      <c r="P59" s="35" t="inlineStr">
        <is>
          <t>2559</t>
        </is>
      </c>
    </row>
    <row r="60" ht="409.6" customHeight="1" s="37">
      <c r="A60" s="35" t="n">
        <v>58</v>
      </c>
      <c r="B60" s="35" t="inlineStr">
        <is>
          <t>ยา Naproxen มีกลไกการออกฤทธิ์ทางเภสัชวิทยาต้านการอักเสบอย่างไร</t>
        </is>
      </c>
      <c r="C60" s="35" t="n"/>
      <c r="D60" s="35" t="inlineStr">
        <is>
          <t>ลดการสร้างสาร Leukotriene</t>
        </is>
      </c>
      <c r="E60" s="35" t="inlineStr">
        <is>
          <t>ลดการสร้างสาร Thromboxane A2</t>
        </is>
      </c>
      <c r="F60" s="35" t="inlineStr">
        <is>
          <t>ยับยั้งการทำงานของ Prostaglandin receptor</t>
        </is>
      </c>
      <c r="G60" s="35" t="inlineStr">
        <is>
          <t>ยับยั้งการทำงานของเอนไซม์ Lipo-oxygenase</t>
        </is>
      </c>
      <c r="H60" s="35" t="inlineStr">
        <is>
          <t>ยับยั้งการทำงานของเอนไซม์ Cyclo-oxygenase</t>
        </is>
      </c>
      <c r="I60" s="35" t="n">
        <v>5</v>
      </c>
      <c r="J60" s="35" t="inlineStr">
        <is>
          <t>✅ คำตอบที่ถูกต้อง: ข้อ จ. ยับยั้งการทำงานของเอนไซม์ Cyclo-oxygenase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ยับยั้งการทำงานของเอนไซม์ Cyclo-oxygenase ยา Naproxen เป็นยาต้านการอักเสบชนิดไม่ใช่สเตียรอยด์ (NSAID) ออกฤทธิ์ลดปวดอักเสบโดยมีกลไกการยับยั้งเอนไซม์ Cyclo-oxygenase (ทั้ง COX-1 และ COX-2) แบบไม่เจาะจง ส่งผลลดการเปลี่ยน Arachidonic acid ไปเป็น Prostaglandins ซึ่งเป็นสารสำคัญในการสื่อสารการอักเสบและความรู้สึกปวด
🔍 ข้ออื่นผิดเพราะอะไร:
• ข้อ ก. (ลดการสร้างสาร Leukotriene): ยาที่ลดการสร้าง Leukotriene คือกลุ่ม 5-Lipoxygenase inhibitors ไม่ใช่กลไกของยาต้านการอักเสบกลุ่ม NSAIDs
• ข้อ ข. (ลดการสร้างสาร Thromboxane A2): แม้ยาจะลด Thromboxane A2 ได้ แต่กลไกหลักในการต้านการอักเสบคือการลด Prostaglandins ไม่ใช่ Thromboxane A2 ที่เน้นเรื่องการแข็งตัวของเลือด
• ข้อ ค. (ยับยั้งการทำงานของ Prostaglandin receptor): กลไกของยานี้คือการยับยั้งการสร้างผ่านเอนไซม์ ไม่ใช่การไปแข่งขันจับหรือปิดกั้นที่ตัวรับ Prostaglandin receptor โดยตรง
• ข้อ ง. (ยับยั้งการทำงานของเอนไซม์ Lipo-oxygenase): เอนไซม์ Lipoxygenase เป็นวิถีการสังเคราะห์ที่สร้าง Leukotrienes ซึ่ง NSAIDs ทุกตัวไม่มีผลยับยั้งเอนไซม์ในวิถีการสังเคราะห์นี้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0" s="35" t="n"/>
      <c r="L60" s="35" t="inlineStr">
        <is>
          <t>Gout</t>
        </is>
      </c>
      <c r="M60" s="35" t="inlineStr">
        <is>
          <t>Clinic</t>
        </is>
      </c>
      <c r="N60" s="35" t="inlineStr">
        <is>
          <t>NSAIDs Mechanism: ยับยั้งเอนไซม์ Cyclooxygenase (COX) ลดการสร้าง Prostaglandins บรรเทาปวดอักเสบ</t>
        </is>
      </c>
      <c r="O60" s="35" t="inlineStr">
        <is>
          <t>ข้อสอบจริง</t>
        </is>
      </c>
      <c r="P60" s="35" t="inlineStr">
        <is>
          <t>2559</t>
        </is>
      </c>
    </row>
    <row r="61" ht="409.6" customHeight="1" s="37">
      <c r="A61" s="35" t="n">
        <v>59</v>
      </c>
      <c r="B61" s="35" t="inlineStr">
        <is>
          <t>ผู้ป่วยได้รับยา Naproxen 250 mg มารับประทานแต่อาการปวดยังไม่ดีขึ้น แพทย์จึงปรับขนาดเป็น 500 mg พบว่าอาการปวดดีขึ้นอย่างมีนัยสำคัญ แต่ผู้ป่วยเริ่มมีอาการคล้ายกรดไหลย้อน แสบยอดอกรุนแรง เภสัชกรควรแนะแนวทางการจัดการปัญหาการรักษาอย่างไรจึงเหมาะสมที่สุด</t>
        </is>
      </c>
      <c r="C61" s="35" t="n"/>
      <c r="D61" s="35" t="inlineStr">
        <is>
          <t>เปลี่ยนเป็นยา Celecoxib</t>
        </is>
      </c>
      <c r="E61" s="35" t="inlineStr">
        <is>
          <t>เปลี่ยนเป็นยา Tramadol</t>
        </is>
      </c>
      <c r="F61" s="35" t="inlineStr">
        <is>
          <t>เปลี่ยนเป็นยา Methotrexate</t>
        </is>
      </c>
      <c r="G61" s="35" t="inlineStr">
        <is>
          <t>รับประทาน Naproxen 250 mg ร่วมกับ Antacid</t>
        </is>
      </c>
      <c r="H61" s="35" t="inlineStr">
        <is>
          <t>รับประทาน Naproxen 500 mg ร่วมกับ Omeprazole</t>
        </is>
      </c>
      <c r="I61" s="35" t="n">
        <v>5</v>
      </c>
      <c r="J61" s="35" t="inlineStr">
        <is>
          <t>✅ คำตอบที่ถูกต้อง: ข้อ จ. รับประทาน Naproxen 500 mg ร่วมกับ Omeprazole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รับประทาน Naproxen 500 mg ร่วมกับ Omeprazole เมื่อผู้ป่วยได้รับการปรับขนาดของ Naproxen เป็น 500 mg แล้วควบคุมอาการปวดได้ดี แต่เกิดผลข้างเคียงเรื่องกรดไหลย้อน/แสบยอดอก การจัดการแก้ไขปัญหาที่ถูกต้องและเหมาะสมคือ การจ่ายยาลดกรดกลุ่ม Proton Pump Inhibitors (เช่น Omeprazole 20 mg วันละครั้ง ก่อนอาหารเช้า) ควบคู่ไปกับการทานยา Naproxen เพื่อป้องกันการเกิดแผลและรักษาอาการระคายเคืองทางเดินอาหาร
🔍 ข้ออื่นผิดเพราะอะไร:
• ข้อ ก. (เปลี่ยนเป็นยา Celecoxib): เป็น selective COX-2 inhibitor มี GI safety profile ดีกว่า non-selective NSAIDs แต่มี cardiovascular risk เพิ่มขึ้น และ contraindication ในผู้ป่วย post-CABG หรือ sulfonamide allergy
• ข้อ ข. (เปลี่ยนเป็นยา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(เปลี่ยนเป็นยา Methotrexate): เป็น anchor csDMARD สำหรับ Rheumatoid arthritis ยับยั้ง dihydrofolate reductase ต้องให้ Folic acid เสริม และห้ามใช้ในหญิงตั้งครรภ์ (contraindication / teratogenic)
• ข้อ ง. (รับประทาน Naproxen 250 mg ร่วมกับ Antacid): เป็น non-selective NSAID ที่มี cardiovascular safety profile ดีที่สุด และมี efficacy สูงในการระงับ acute inflammation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1" s="35" t="n"/>
      <c r="L61" s="35" t="inlineStr">
        <is>
          <t>Gout</t>
        </is>
      </c>
      <c r="M61" s="35" t="inlineStr">
        <is>
          <t>Clinic</t>
        </is>
      </c>
      <c r="N61" s="35" t="inlineStr">
        <is>
          <t>NSAIDs GI Prevention: ให้ PPI (เช่น Omeprazole) ร่วมกับ NSAID ช่วยป้องกันการเกิด Gastric &amp; Duodenal ulcers</t>
        </is>
      </c>
      <c r="O61" s="35" t="inlineStr">
        <is>
          <t>ข้อสอบจริง</t>
        </is>
      </c>
      <c r="P61" s="35" t="inlineStr">
        <is>
          <t>2559</t>
        </is>
      </c>
    </row>
    <row r="62" ht="409.6" customHeight="1" s="37">
      <c r="A62" s="35" t="n">
        <v>60</v>
      </c>
      <c r="B62" s="35" t="inlineStr">
        <is>
          <t>ข้อใดคืออาการไม่พึงประสงค์ (ADR) สำคัญที่พบบ่อยและร้ายแรงของยา Hydroxychloroquine ที่ต้องได้รับการตรวจติดตามระบบตาอย่างต่อเนื่อง</t>
        </is>
      </c>
      <c r="C62" s="35" t="n"/>
      <c r="D62" s="35" t="inlineStr">
        <is>
          <t>Renal toxicity</t>
        </is>
      </c>
      <c r="E62" s="35" t="inlineStr">
        <is>
          <t>Hepatotoxicity</t>
        </is>
      </c>
      <c r="F62" s="35" t="inlineStr">
        <is>
          <t>Retinal toxicity (พิษต่อจอประสาทตา)</t>
        </is>
      </c>
      <c r="G62" s="35" t="inlineStr">
        <is>
          <t>Hematologic toxicity</t>
        </is>
      </c>
      <c r="H62" s="35" t="inlineStr">
        <is>
          <t>Gastrointestinal toxicity</t>
        </is>
      </c>
      <c r="I62" s="35" t="n">
        <v>3</v>
      </c>
      <c r="J62" s="35" t="inlineStr">
        <is>
          <t>✅ คำตอบที่ถูกต้อง: ข้อ ค. Retinal toxicity (พิษต่อจอประสาทตา)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Retinal toxicity (พิษต่อจอประสาทตา) ADR จากการใช้ยา (ADR) ที่สำคัญและรุนแรงที่สุดของยารักษาโรคข้ออักเสบรูมาตอยด์ Hydroxychloroquine (HCQ) คือ พิษต่อจอประสาทตา (Retinal toxicity หรือ Bull's eye maculopathy) ซึ่งหากเกิดขึ้นแล้วไม่สามารถรักษาให้หายขาดได้ เภสัชกรและแพทย์จึงต้องส่งผู้ป่วยตรวจจอประสาทตาโดยจักษุแพทย์ก่อนเริ่มใช้ยาและติดตามปีละครั้งหลังจากใช้ยาครบ 5 ปี
🔍 ข้ออื่นผิดเพราะอะไร:
• ข้อ ก. (Renal toxicity): ยา Hydroxychloroquine ขับออกทางไตเป็นหลักก็จริง แต่ไม่ได้มีพิษโดยตรงต่อเซลล์ท่อไตแบบยาปฏิชีวนะกลุ่ม Aminoglycosides หรือ NSAIDs
• ข้อ ข. (Hepatotoxicity): ยานี้ไม่ได้ก่อให้เกิดภาวะตับอักเสบหรือตับวายเฉียบพลัน ต่างจากยา Methotrexate ที่ต้องติดตามค่าเอนไซม์ตับอย่างใกล้ชิด
• ข้อ ง. (Hematologic toxicity): อาการกดไขกระดูกพบได้น้อยมากในการใช้ยานี้ ซึ่งต่างจากยาต้านรูมาตอยด์ชนิดอื่น เช่น Azathioprine หรือ Leflunomide
• ข้อ จ. (Gastrointestinal toxicity): แม้จะทำให้เกิดอาการคลื่นไส้ปวดท้องได้บ้าง แต่ไม่ใช่ความรุนแรงระดับที่ต้องตรวจติดตามพิเศษหรือหยุดยาถาวรเหมือนความเสียหายของจอประสาทตา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62" s="35" t="n"/>
      <c r="L62" s="35" t="inlineStr">
        <is>
          <t>Gout</t>
        </is>
      </c>
      <c r="M62" s="35" t="inlineStr">
        <is>
          <t>Clinic</t>
        </is>
      </c>
      <c r="N62" s="35" t="inlineStr">
        <is>
          <t>Hydroxychloroquine Ocular Toxicity: ตกตะกอนที่ Retinal pigment epithelium ต้องตรวจลานสายตาและจอประสาทตาทุกปี</t>
        </is>
      </c>
      <c r="O62" s="35" t="inlineStr">
        <is>
          <t>ข้อสอบจริง</t>
        </is>
      </c>
      <c r="P62" s="35" t="inlineStr">
        <is>
          <t>2559</t>
        </is>
      </c>
    </row>
    <row r="63" ht="409.6" customHeight="1" s="37">
      <c r="A63" s="35" t="n">
        <v>61</v>
      </c>
      <c r="B63" s="35" t="inlineStr">
        <is>
          <t>สารสำคัญทางธรรมชาติที่มีผลต่อนวัตกรรมหรือการบำบัดสรรพคุณลดปวดอักเสบที่ผสมอยู่ในเจลพริกคือสารใด</t>
        </is>
      </c>
      <c r="C63" s="35" t="n"/>
      <c r="D63" s="35" t="inlineStr">
        <is>
          <t>Eugenol</t>
        </is>
      </c>
      <c r="E63" s="35" t="inlineStr">
        <is>
          <t>Capsaicin</t>
        </is>
      </c>
      <c r="F63" s="35" t="inlineStr">
        <is>
          <t>Piperazine</t>
        </is>
      </c>
      <c r="G63" s="35" t="inlineStr">
        <is>
          <t>Volatile oil</t>
        </is>
      </c>
      <c r="H63" s="35" t="inlineStr">
        <is>
          <t>Curcuminoid</t>
        </is>
      </c>
      <c r="I63" s="35" t="n">
        <v>2</v>
      </c>
      <c r="J63" s="35" t="inlineStr">
        <is>
          <t>✅ คำตอบที่ถูกต้อง: ข้อ ข. Capsaicin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Capsaicin สารสำคัญที่สกัดได้จากพริกธรรมชาติที่มีผลต่อการลดความรู้สึกปวดและลดการอักเสบคือ สารสารแคปไซซิน (Capsaicin) ซึ่งนำมาพัฒนาในรูปแบบเจลทาผิวหนัง (Capsicum gel) เพื่อออกฤทธิ์กระตุ้นและลดการหลั่งสารสื่อประสาทนำความปวดที่ชื่อว่า Substance P ที่บริเวณปลายประสาทรับความรู้สึก
🔍 ข้ออื่นผิดเพราะอะไร:
• ข้อ ก. (Eugenol): สารนี้เป็นสารประกอบหลักในน้ำมันกานพลู มีฤทธิ์เป็นยาชาเฉพาะที่ นิยมใช้ลดอาการปวดฟัน ไม่ใช่สารออกฤทธิ์ที่สกัดได้จากพริก
• ข้อ ค. (Piperazine): สารนี้เป็นกลุ่มสารประกอบอินทรีย์สังเคราะห์ที่ใช้เป็นยาถ่ายพยาธิ ไม่มีส่วนเกี่ยวข้องกับการลดความปวดหรือการอักเสบ
• ข้อ ง. (Volatile oil): น้ำมันหอมระเหยให้กลิ่นและการระเหยเย็น เช่น Menthol หรือ Camphor แต่ไม่ได้มีกลไกเจาะจงในการลด Substance P เหมือนสารจากพริก
• ข้อ จ. (Curcuminoid): สารนี้เป็นสารกลุ่มโพลีฟีนอลที่สกัดได้จากเหง้าขมิ้นชัน มีฤทธิ์ต้านอนุมูลอิสระและต้านการอักเสบ ไม่ใช่สารที่พบในเจลพริก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63" s="35" t="n"/>
      <c r="L63" s="35" t="inlineStr">
        <is>
          <t>Gout / Herbal Medicine</t>
        </is>
      </c>
      <c r="M63" s="35" t="inlineStr">
        <is>
          <t>Clinic</t>
        </is>
      </c>
      <c r="N63" s="35" t="inlineStr">
        <is>
          <t>Capsaicin Gel: สารสกัดจากพริก ยับยั้งการหลั่ง Substance P จากปลายประสาทรับความรู้สึกปวด</t>
        </is>
      </c>
      <c r="O63" s="35" t="inlineStr">
        <is>
          <t>ข้อสอบจริง</t>
        </is>
      </c>
      <c r="P63" s="35" t="inlineStr">
        <is>
          <t>2559</t>
        </is>
      </c>
    </row>
    <row r="64" ht="409.6" customHeight="1" s="37">
      <c r="A64" s="35" t="n">
        <v>62</v>
      </c>
      <c r="B64" s="35" t="inlineStr">
        <is>
          <t>ข้อใดต่อไปนี้ ไม่ใช่ เกณฑ์ทางคลินิกที่สมาคมโรคข้อแห่งสหรัฐอเมริกา (ACR) กำหนดใช้สำหรับการวินิจฉัยโรคข้อเข่าเสื่อม (Osteoarthritis)</t>
        </is>
      </c>
      <c r="C64" s="35" t="n"/>
      <c r="D64" s="35" t="inlineStr">
        <is>
          <t>อายุของผู้ป่วย</t>
        </is>
      </c>
      <c r="E64" s="35" t="inlineStr">
        <is>
          <t>การเกิดพยาธิสภาพที่ข้อเข่าทั้งสองข้างพร้อมกัน</t>
        </is>
      </c>
      <c r="F64" s="35" t="inlineStr">
        <is>
          <t>ตรวจคลำดูแล้วบวมเล็กน้อย ไม่มีปวดแดงร้อนรุนแรง</t>
        </is>
      </c>
      <c r="G64" s="35" t="inlineStr">
        <is>
          <t>มีอาการข้อฝืดขัดหลังตื่นนอนตอนเช้านานน้อยกว่า 30 นาที</t>
        </is>
      </c>
      <c r="H64" s="35" t="inlineStr">
        <is>
          <t>มีเสียงกรอบแกรบในข้อเข่าขณะขยับเคลื่อนไหว</t>
        </is>
      </c>
      <c r="I64" s="35" t="n">
        <v>2</v>
      </c>
      <c r="J64" s="35" t="inlineStr">
        <is>
          <t>✅ คำตอบที่ถูกต้อง: ข้อ ข. การเกิดพยาธิสภาพที่ข้อเข่าทั้งสองข้างพร้อมกัน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การเกิดพยาธิสภาพที่ข้อเข่าทั้งสองข้างพร้อมกัน ลักษณะทางคลินิกของโรคข้อเข่าเสื่อม (Osteoarthritis) ไม่จำเป็นต้องอักเสบหรือเกิดพยาธิสภาพของข้อเข่าทั้งสองข้างพร้อมกัน (สามารถปวดอักเสบเข่าข้างเดียวได้/Unilateral) ซึ่งต่างจากเกณฑ์การวินิจฉัยโรคข้ออักเสบรูมาตอยด์ (Rheumatoid arthritis) ที่กำหนดให้มีอาการอักเสบของข้อและพยาธิสภาพแบบสมมาตร (Symmetrical) และเกิดพร้อมกันทั้งสองข้างของร่างกาย
🔍 ข้ออื่นผิดเพราะอะไร:
• ข้อ ก. (อายุของผู้ป่วย): เป็นเกณฑ์สำคัญในการวินิจฉัยโรคข้อเสื่อม โดยวิทยาลัยอายุรแพทย์โรคข้อแห่งอเมริกากำหนดให้อายุมากกว่าหรือเท่ากับ 50 ปี เป็นหนึ่งในเกณฑ์หลัก
• ข้อ ค. (ตรวจคลำดูแล้วบวมเล็กน้อย ไม่มีปวดแดงร้อนรุนแรง): เป็นลักษณะทางคลินิกที่อาจพบกระดูกงอกขยายใหญ่ โดยปราศจากการอักเสบรุนแรงหรือความร้อนที่ผิวข้อ
• ข้อ ง. (มีอาการข้อฝืดขัดหลังตื่นนอนตอนเช้านานน้อยกว่า 30 นาที): อาการข้อฝืดขัดระยะสั้น เป็นเกณฑ์จำเพาะของโรคข้อเสื่อม ซึ่งต่างจากโรคข้ออักเสบรูมาตอยด์ที่มักนานกว่า 1 ชั่วโมง
• ข้อ จ. (มีเสียงกรอบแกรบในข้อเข่าขณะขยับเคลื่อนไหว): เสียงกรอบแกรบขณะขยับข้อ เป็นหนึ่งในเกณฑ์การวินิจฉัยหลักที่แสดงถึงการเสียดสีของผิวกระดูกที่ขาดกระดูกอ่อนปกคลุม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4" s="35" t="n"/>
      <c r="L64" s="35" t="inlineStr">
        <is>
          <t>Osteoarthritis</t>
        </is>
      </c>
      <c r="M64" s="35" t="inlineStr">
        <is>
          <t>Clinic</t>
        </is>
      </c>
      <c r="N64" s="35" t="inlineStr">
        <is>
          <t>OA Diagnostic Criteria: Morning stiffness นานเกิน 1 ชั่วโมง เป็นลักษณะของ RA ไม่ใช่ OA (OA &lt; 30 นาที)</t>
        </is>
      </c>
      <c r="O64" s="35" t="inlineStr">
        <is>
          <t>ข้อสอบจริง</t>
        </is>
      </c>
      <c r="P64" s="35" t="inlineStr">
        <is>
          <t>2558</t>
        </is>
      </c>
    </row>
    <row r="65" ht="409.6" customHeight="1" s="37">
      <c r="A65" s="35" t="n">
        <v>63</v>
      </c>
      <c r="B65" s="35" t="inlineStr">
        <is>
          <t>จากประวัติและโรคประจำตัวของผู้ป่วย ยาบรรเทาปวดชนิดกินตัวใดที่ควรพิจารณาเลือกใช้เพื่อรักษาอาการปวดเข่าเสื่อมเป็นอันดับแรก</t>
        </is>
      </c>
      <c r="C65" s="35" t="n"/>
      <c r="D65" s="35" t="inlineStr">
        <is>
          <t>Paracetamol (Acetaminophen)</t>
        </is>
      </c>
      <c r="E65" s="35" t="inlineStr">
        <is>
          <t>Glucosamine sulfate</t>
        </is>
      </c>
      <c r="F65" s="35" t="inlineStr">
        <is>
          <t>Diclofenac sodium</t>
        </is>
      </c>
      <c r="G65" s="35" t="inlineStr">
        <is>
          <t>Tramadol</t>
        </is>
      </c>
      <c r="H65" s="35" t="inlineStr">
        <is>
          <t>Naproxen</t>
        </is>
      </c>
      <c r="I65" s="35" t="n">
        <v>1</v>
      </c>
      <c r="J65" s="35" t="inlineStr">
        <is>
          <t>✅ คำตอบที่ถูกต้อง: ข้อ ก. Paracetamol (Acetaminophen)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Paracetamol (Acetaminophen) ผู้ป่วยรายนี้มีโรคประจำตัวคือ โรคหลอดเลือดหัวใจ และรับประทานยาแอสไพริน (Aspirin 81 mg) เป็นประจำ ซึ่งการได้รับยากินกลุ่ม NSAIDs ทั่วไปจะเพิ่มความเสี่ยงต่อการเกิดแผลและเลือดออกในกระเพาะอาหารอย่างมาก และยาแก้ปวด NSAIDs จะไปแย่งจับกับเกล็ดเลือดและบดบัง efficacy ของยา Aspirin ในการต้านเกล็ดเลือด ดังนั้นการรักษาอาการปวดข้อเข่าเสื่อมเริ่มต้นทางช่องทางยาเม็ดกินที่ปลอดภัยคือ ยา Paracetamol (หรือเลือกใช้ Topical NSAID)
🔍 ข้ออื่นผิดเพราะอะไร:
• ข้อ ข. (Glucosamine sulfate): สารเสริมอาหารชนิดนี้มีประสิทธิภาพไม่ชัดเจนในการลดปวดเฉียบพลัน และไม่ได้ถูกแนะนำให้เป็นยาบรรเทาปวดทางเลือกแรกตามแนวทางการรักษามาตรฐาน
• ข้อ ค. (Diclofenac sodium): ยากลุ่ม NSAIDs เพิ่มความเสี่ยงของโรคหัวใจและหลอดเลือด รวมถึงต้านฤทธิ์ยา Aspirin ที่ผู้ป่วยรับประทานอยู่ จึงไม่ควรเป็นทางเลือกแรก
• ข้อ ง. (Tramadol): เป็นยาแก้ปวดกลุ่มโอปิออยด์ ซึ่งสงวนไว้สำหรับอาการปวดระดับปานกลางถึงรุนแรงที่ล้มเหลวจากยาอื่น เนื่องจากมีผลข้างเคียงต่อระบบส่วนกลาง
• ข้อ จ. (Naproxen): แม้จะมีระดับความปลอดภัยต่อหัวใจดีกว่า NSAIDs ตัวอื่น แต่ยังคงมีความเสี่ยงต่อการเกิดแผลในทางเดินอาหารอย่างรุนแรงเมื่อใช้ร่วมกับยา Aspirin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5" s="35" t="n"/>
      <c r="L65" s="35" t="inlineStr">
        <is>
          <t>Osteoarthritis</t>
        </is>
      </c>
      <c r="M65" s="35" t="inlineStr">
        <is>
          <t>Clinic</t>
        </is>
      </c>
      <c r="N65" s="35" t="inlineStr">
        <is>
          <t>OA First-line Analgesic: Paracetamol ขนาดไม่เกิน 3,000-4,000 mg/day เหมาะสำหรับ Mild-to-moderate OA pain</t>
        </is>
      </c>
      <c r="O65" s="35" t="inlineStr">
        <is>
          <t>ข้อสอบจริง</t>
        </is>
      </c>
      <c r="P65" s="35" t="inlineStr">
        <is>
          <t>2558</t>
        </is>
      </c>
    </row>
    <row r="66" ht="409.6" customHeight="1" s="37">
      <c r="A66" s="35" t="n">
        <v>64</v>
      </c>
      <c r="B66" s="35" t="inlineStr">
        <is>
          <t>ยาสมุนไพรในข้อใดที่มีผลการศึกษาวิจัยทางคลินิกเปรียบเทียบว่ามีประสิทธิภาพในการลดปวดและลดการอักเสบของข้อเข่าเสื่อมได้ดีเทียบเท่ากับการรักษาด้วยยากลุ่ม NSAIDs</t>
        </is>
      </c>
      <c r="C66" s="35" t="n"/>
      <c r="D66" s="35" t="inlineStr">
        <is>
          <t>ขมิ้นชัน</t>
        </is>
      </c>
      <c r="E66" s="35" t="inlineStr">
        <is>
          <t>ใบฝรั่ง</t>
        </is>
      </c>
      <c r="F66" s="35" t="inlineStr">
        <is>
          <t>เมล็ดน้อยหน่า</t>
        </is>
      </c>
      <c r="G66" s="35" t="inlineStr">
        <is>
          <t>เถาวัลย์เปรียง</t>
        </is>
      </c>
      <c r="H66" s="35" t="inlineStr">
        <is>
          <t>เจลพริก</t>
        </is>
      </c>
      <c r="I66" s="35" t="n">
        <v>1</v>
      </c>
      <c r="J66" s="35" t="inlineStr">
        <is>
          <t>✅ คำตอบที่ถูกต้อง: ข้อ ก. ขมิ้นชัน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ขมิ้นชัน สมุนไพร "ขมิ้นชัน" (Curcuma longa) มีการศึกษาวิจัยทางคลินิกในประเทศไทย (โดยคณะแพทยศาสตร์) เปรียบเทียบกับยาต้านการอักเสบ Ibuprofen พบว่าการรับประทานสารสกัดขมิ้นชันเข้มข้นมี efficacy ในการบรรเทาความเจ็บปวดและเพิ่มสมรรถภาพการใช้งานข้อเข่าในผู้ป่วยโรคข้อเข่าเสื่อมได้ดีโดยไม่แตกต่างจากการรักษาด้วยยาแผนปัจจุบัน และมีผลข้างเคียงต่อระบบทางเดินอาหารต่ำกว่า
🔍 ข้ออื่นผิดเพราะอะไร:
• ข้อ ข. (ใบฝรั่ง): สารสกัดจากใบฝรั่งมีฤทธิ์ต้านเชื้อแบคทีเรียและลดการบีบตัวของลำไส้ นิยมใช้แก้ท้องเสีย ไม่ได้มีข้อบ่งใช้สำหรับลดการอักเสบของโรคข้อเสื่อม
• ข้อ ค. (เมล็ดน้อยหน่า): สารสกัดจากเมล็ดน้อยหน่ามีฤทธิ์เป็นยาฆ่าแมลง นิยมใช้กำจัดเหาภายนอก ไม่ได้มีฤทธิ์ต้านการอักเสบรับประทานในโรคข้อ
• ข้อ ง. (เถาวัลย์เปรียง): สารสกัดเถาวัลย์เปรียงมีข้อบ่งใช้หลักในการบรรเทาอาการปวดกล้ามเนื้อ มากกว่าข้อมูลระดับคลินิกที่เทียบประสิทธิภาพลดอักเสบข้อเข่าเสื่อมกับ NSAIDs อย่างขมิ้นชัน
• ข้อ จ. (เจลพริก): เจลพริกเป็นยาทาภายนอกที่ออกฤทธิ์โดยลดสารสื่อประสาทนำความปวด ไม่ใช่การรับประทานเพื่อเทียบประสิทธิภาพลดการอักเสบทั่วระบบแบบ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6" s="35" t="n"/>
      <c r="L66" s="35" t="inlineStr">
        <is>
          <t>Osteoarthritis / Herbal Medicine</t>
        </is>
      </c>
      <c r="M66" s="35" t="inlineStr">
        <is>
          <t>Clinic</t>
        </is>
      </c>
      <c r="N66" s="35" t="inlineStr">
        <is>
          <t>Curcumin in Knee OA: สารสกัดขมิ้นชัน มีฤทธิ์ลดปวดข้อเข่าเสื่อมได้ดีเทียบเท่า Ibuprofen และ GI safety สูงกว่า</t>
        </is>
      </c>
      <c r="O66" s="35" t="inlineStr">
        <is>
          <t>ข้อสอบจริง</t>
        </is>
      </c>
      <c r="P66" s="35" t="inlineStr">
        <is>
          <t>2558</t>
        </is>
      </c>
    </row>
    <row r="67" ht="409.6" customHeight="1" s="37">
      <c r="A67" s="35" t="n">
        <v>65</v>
      </c>
      <c r="B67" s="35" t="inlineStr">
        <is>
          <t>หากผู้ป่วยรายนี้จำเป็นต้องได้รับยาในกลุ่ม NSAIDs เพื่อบรรเทาอาการปวดข้อและลดการอักเสบ ยาป้องกันโรคกระเพาะอาหารหรือแผลในทางเดินอาหาร (NSAIDs-induced peptic ulcer) ในข้อใดที่เหมาะสมและมีประสิทธิภาพที่สุดในผู้ป่วยรายนี้</t>
        </is>
      </c>
      <c r="C67" s="35" t="n"/>
      <c r="D67" s="35" t="inlineStr">
        <is>
          <t>Cimetidine</t>
        </is>
      </c>
      <c r="E67" s="35" t="inlineStr">
        <is>
          <t>Omeprazole</t>
        </is>
      </c>
      <c r="F67" s="35" t="inlineStr">
        <is>
          <t>Sucralfate</t>
        </is>
      </c>
      <c r="G67" s="35" t="inlineStr">
        <is>
          <t>Antacid</t>
        </is>
      </c>
      <c r="H67" s="35" t="inlineStr">
        <is>
          <t>Misoprostol</t>
        </is>
      </c>
      <c r="I67" s="35" t="n">
        <v>2</v>
      </c>
      <c r="J67" s="35" t="inlineStr">
        <is>
          <t>✅ คำตอบที่ถูกต้อง: ข้อ ข. Omeprazole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Omeprazole ยาลดกรดในกลุ่ม Proton Pump Inhibitors (PPIs) เช่น Omeprazole เป็นยาป้องกันการเกิดโรคแผลในทางเดินอาหารเหนี่ยวนำจากยา NSAIDs (NSAIDs-induced peptic ulcer) ที่มี efficacy สูงที่สุดและได้รับการรับรองในระดับสากลเหนือยากลุ่ม H2 blockers (Cimetidine) หรือยาเคลือบกระเพาะ Sucralfate
🔍 ข้ออื่นผิดเพราะอะไร:
• ข้อ ก. (Cimetidine): ยานี้เป็นยากลุ่มต้านตัวรับฮิสตามีนชนิดที่ 2 ซึ่งมีประสิทธิภาพในการป้องกันแผลในกระเพาะอาหารจาก NSAIDs ต่ำกว่ากลุ่ม PPIs อย่างมีนัยสำคัญ
• ข้อ ค. (Sucralfate): ยานี้ทำหน้าที่เป็นเพียงสารเคลือบผิวเยื่อบุกระเพาะอาหาร ไม่มีฤทธิ์ยับยั้งการหลั่งกรด จึงไม่สามารถป้องกันแผลที่เกิดจากกลไกลด Prostaglandins ได้
• ข้อ ง. (Antacid): ยาลดกรดทำได้เพียงสะเทินกรดในกระเพาะอาหารระยะสั้นเพื่อบรรเทาอาการแสบร้อน แต่ไม่มีประสิทธิภาพป้องกันแผลในทางเดินอาหารจากการใช้ NSAIDs ต่อเนื่อง
• ข้อ จ. (Misoprostol): แม้ยานี้จะป้องกันแผลจาก NSAIDs ได้ดี แต่มีผลข้างเคียงคือทำให้ท้องเสียรุนแรงและปวดเกร็งท้องสูงมากจนผู้ป่วยมักทนยาไม่ได้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7" s="35" t="n"/>
      <c r="L67" s="35" t="inlineStr">
        <is>
          <t>Osteoarthritis</t>
        </is>
      </c>
      <c r="M67" s="35" t="inlineStr">
        <is>
          <t>Clinic</t>
        </is>
      </c>
      <c r="N67" s="35" t="inlineStr">
        <is>
          <t>PPI Co-prescription: Omeprazole เป็นยาทางเลือกมาตรฐานในการป้องกัน NSAID-induced ulcer</t>
        </is>
      </c>
      <c r="O67" s="35" t="inlineStr">
        <is>
          <t>ข้อสอบจริง</t>
        </is>
      </c>
      <c r="P67" s="35" t="inlineStr">
        <is>
          <t>2558</t>
        </is>
      </c>
    </row>
    <row r="68" ht="409.6" customHeight="1" s="37">
      <c r="A68" s="35" t="n">
        <v>66</v>
      </c>
      <c r="B68" s="35" t="inlineStr">
        <is>
          <t>ยากลุ่ม NSAIDs ตัวใดต่อไปนี้ที่มีความปลอดภัยและส่งผลกระทบต่อระบบหัวใจและหลอดเลือด (Cardiovascular safety) ต่ำที่สุด</t>
        </is>
      </c>
      <c r="C68" s="35" t="n"/>
      <c r="D68" s="35" t="inlineStr">
        <is>
          <t>Ibuprofen</t>
        </is>
      </c>
      <c r="E68" s="35" t="inlineStr">
        <is>
          <t>Diclofenac</t>
        </is>
      </c>
      <c r="F68" s="35" t="inlineStr">
        <is>
          <t>Naproxen</t>
        </is>
      </c>
      <c r="G68" s="35" t="inlineStr">
        <is>
          <t>Sulindac</t>
        </is>
      </c>
      <c r="H68" s="35" t="inlineStr">
        <is>
          <t>Parecoxib</t>
        </is>
      </c>
      <c r="I68" s="35" t="n">
        <v>5</v>
      </c>
      <c r="J68" s="35" t="inlineStr">
        <is>
          <t>✅ คำตอบที่ถูกต้อง: ข้อ จ. Parecoxib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Parecoxib ยากลุ่มต้านอักเสบเจาะจงเอนไซม์ COX-2 (Selective COX-2 Inhibitors) เช่น Parecoxib หรือ Valdecoxib/Etoricoxib มี safety ต่อระบบหัวใจและหลอดเลือดต่ำที่สุด (มีอัตราเสี่ยงต่อการเกิดโรคหัวใจล้มเหลว โรคกล้ามเนื้อหัวใจขาดเลือด หรือโรคหลอดเลือดสมองอุดตันสูงที่สุด) เนื่องจากยาจะยับยั้งเฉพาะ PGI2 (Prostacyclin) ซึ่งช่วยขยายหลอดเลือดและต้านการเกาะกลุ่มของเกล็ดเลือด โดยไม่มีฤทธิ์ยับยั้ง Thromboxane A2 ทำให้เสียสมดุลของการแข็งตัวของเลือด
🔍 ข้ออื่นผิดเพราะอะไร:
• ข้อ ก. (Ibuprofen): แม้จะรบกวนฤทธิ์ของ Aspirin แต่ตัวยา Ibuprofen เองไม่ได้มีความเสี่ยงต่อการเกิดลิ่มเลือดอุดตันในหลอดเลือดสูงเท่ากับกลุ่มยับยั้ง COX-2 แบบจำเพาะ
• ข้อ ข. (Diclofenac): แม้จะมีความเสี่ยงต่อหลอดเลือดหัวใจสูงกว่า Naproxen แต่ก็ยังไม่ใช่ยาที่มีระดับความเสี่ยงสูงสุดเมื่อเทียบกับยากลุ่มยับยั้ง COX-2 เต็มที่
• ข้อ ค. (Naproxen): ยานี้จัดเป็นยาที่มีความปลอดภัยต่อระบบหัวใจและหลอดเลือดสูงที่สุดในกลุ่ม NSAIDs ทั้งหมด เนื่องจากยับยั้ง COX-1 ได้ยาวนานคล้าย Aspirin
• ข้อ ง. (Sulindac): ยานี้เป็นยาต้านอักเสบชนิดไม่จำเพาะที่มีผลข้างเคียงหลักด้านพิษต่อตับ มากกว่าความเสี่ยงด้านการเกิดลิ่มเลือดอุดตันในระบบหัวใจ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8" s="35" t="n"/>
      <c r="L68" s="35" t="inlineStr">
        <is>
          <t>Osteoarthritis</t>
        </is>
      </c>
      <c r="M68" s="35" t="inlineStr">
        <is>
          <t>Clinic</t>
        </is>
      </c>
      <c r="N68" s="35" t="inlineStr">
        <is>
          <t>NSAIDs CV Risk: Parecoxib / Selective COX-2 inhibitors มีความเสี่ยงต่อ CV events สูงสุด</t>
        </is>
      </c>
      <c r="O68" s="35" t="inlineStr">
        <is>
          <t>ข้อสอบจริง</t>
        </is>
      </c>
      <c r="P68" s="35" t="inlineStr">
        <is>
          <t>2558</t>
        </is>
      </c>
    </row>
    <row r="69" ht="409.6" customHeight="1" s="37">
      <c r="A69" s="35" t="n">
        <v>67</v>
      </c>
      <c r="B69" s="35" t="inlineStr">
        <is>
          <t>ปฏิกิริยาการแพ้ยาในผู้ป่วยรายนี้ (Toxic Epidermal Necrolysis: TEN) จัดอยู่ในการแพ้ยาประเภทใดตามสากล (Coombs and Gell classification)</t>
        </is>
      </c>
      <c r="C69" s="35" t="n"/>
      <c r="D69" s="35" t="inlineStr">
        <is>
          <t>Type I</t>
        </is>
      </c>
      <c r="E69" s="35" t="inlineStr">
        <is>
          <t>Type II</t>
        </is>
      </c>
      <c r="F69" s="35" t="inlineStr">
        <is>
          <t>Type III</t>
        </is>
      </c>
      <c r="G69" s="35" t="inlineStr">
        <is>
          <t>Type IV</t>
        </is>
      </c>
      <c r="H69" s="35" t="inlineStr">
        <is>
          <t>Mixed type</t>
        </is>
      </c>
      <c r="I69" s="35" t="n">
        <v>4</v>
      </c>
      <c r="J69" s="35" t="inlineStr">
        <is>
          <t>✅ คำตอบที่ถูกต้อง: ข้อ ง. Type IV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Type IV ปฏิกิริยาการแพ้ยารุนแรงทางผิวหนังชนิด Toxic Epidermal Necrolysis (TEN) จัดอยู่ในกลุ่มปฏิกิริยาการแพ้แบบช้าผ่านเซลล์ภูมิคุ้มกัน (Type IV Hypersensitivity หรือ Cell-mediated immune response) โดยเฉพาะผ่านการทำงานของเซลล์ CD8+ Cytotoxic T lymphocytes ที่ปล่อยสารเหนี่ยวนำการตายของเซลล์ผิวหนัง Keratinocytes เช่น Granulysin, Perforin/granzyme B และ FasL
🔍 ข้ออื่นผิดเพราะอะไร:
• ข้อ ก. (Type I): เป็นการแพ้แบบเฉียบพลัน เช่น ลมพิษ หรือ Anaphylaxis ซึ่งเกิดจากการหลั่ง Histamine ภายในไม่กี่นาทีถึงชั่วโมงหลังได้รับยา
• ข้อ ข. (Type II): เป็นการแพ้แบบทำลายเซลล์ ผ่านการจับของแอนติบอดีกับแอนติเจนบนผิวเซลล์เม็ดเลือด เช่น ภาวะเม็ดเลือดแดงแตก ไม่ใช่การลอกของผิวหนัง
• ข้อ ค. (Type III): เป็นการแพ้จากสารเชิงซ้อนภูมิคุ้มกัน เช่น Serum sickness หรือ Vasculitis ซึ่งมักมีอาการไข้ ปวดข้อ และหลอดเลือดอักเสบ
• ข้อ จ. (Mixed type): ตามระบบการจำแนกของ Coombs and Gell ไม่มีการจัดหมวดหมู่ที่เป็น Mixed type เป็นหลักเกณฑ์มาตรฐานสำหรับการวินิจฉัยภาวะแพ้ยารุนแรงชนิดนี้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9" s="35" t="n"/>
      <c r="L69" s="35" t="inlineStr">
        <is>
          <t>Gout</t>
        </is>
      </c>
      <c r="M69" s="35" t="inlineStr">
        <is>
          <t>Clinic</t>
        </is>
      </c>
      <c r="N69" s="35" t="inlineStr">
        <is>
          <t>TEN Hypersensitivity: จัดเป็น Type IV (Delayed cell-mediated) hypersensitivity กระตุ้นโดย CD8+ T cells</t>
        </is>
      </c>
      <c r="O69" s="35" t="inlineStr">
        <is>
          <t>ข้อสอบจริง</t>
        </is>
      </c>
      <c r="P69" s="35" t="inlineStr">
        <is>
          <t>2558</t>
        </is>
      </c>
    </row>
    <row r="70" ht="409.6" customHeight="1" s="37">
      <c r="A70" s="35" t="n">
        <v>68</v>
      </c>
      <c r="B70" s="35" t="inlineStr">
        <is>
          <t>ยาในข้อใดต่อไปนี้ที่เป็นสาเหตุหรือตัวกระตุ้นหลักที่มีโอกาสทำให้เกิดการแพ้ยารุนแรงชนิด TEN ในผู้ป่วยรายนี้มากที่สุด</t>
        </is>
      </c>
      <c r="C70" s="35" t="n"/>
      <c r="D70" s="35" t="inlineStr">
        <is>
          <t>การรับประทานยา Paracetamol</t>
        </is>
      </c>
      <c r="E70" s="35" t="inlineStr">
        <is>
          <t>การรับประทานยา Allopurinol</t>
        </is>
      </c>
      <c r="F70" s="35" t="inlineStr">
        <is>
          <t>ประวัติการเจ็บป่วยเป็นเบาหวานและไขมันในเลือดสูง</t>
        </is>
      </c>
      <c r="G70" s="35" t="inlineStr">
        <is>
          <t>เพศหญิงและสถานะการแต่งงานของผู้ป่วย</t>
        </is>
      </c>
      <c r="H70" s="35" t="inlineStr">
        <is>
          <t>สภาพแวดล้อมหรือโรคความดันโลหิตสูงที่เป็นอยู่</t>
        </is>
      </c>
      <c r="I70" s="35" t="n">
        <v>2</v>
      </c>
      <c r="J70" s="35" t="inlineStr">
        <is>
          <t>✅ คำตอบที่ถูกต้อง: ข้อ ข. การรับประทานยา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การรับประทานยา Allopurinol ยาลดกรดยูริก Allopurinol เป็นยากลุ่มที่มีอุบัติการณ์ในการแพ้ยารุนแรงทางผิวหนังชนิด SJS/TEN สูงมาก (High-risk drug) โดยเฉพาะในกลุ่มประชากรไทยที่มีความเสี่ยงทางพันธุกรรม HLA-B58:01 โดยผู้ป่วยมักแสดงอาการในช่วง 1 ถึง 8 สัปดาห์แรกหลังเริ่มยา ซึ่งตรงกับประวัติของผู้ป่วยรายนี้ที่เพิ่งทานยาได้เพียง 1 สัปดาห์
🔍 ข้ออื่นผิดเพราะอะไร:
• ข้อ ก. (การรับประทานยา Paracetamol): ยา Paracetamol มีอุบัติการณ์การก่อให้เกิดปฏิกิริยาแพ้ยารุนแรงทางผิวหนังต่ำมากเมื่อเทียบกับยาลดกรดยูริก Allopurinol
• ข้อ ค. (ประวัติการเจ็บป่วยเป็นเบาหวานและไขมันในเลือดสูง): โรคเรื้อรังเหล่านี้ไม่ใช่สารแอนติเจนภายนอกที่สามารถไปกระตุ้นกลไกภูมิคุ้มกันชนิดผ่านเซลล์ให้เกิดการทำลายเซลล์ผิวหนังอย่างรุนแรง
• ข้อ ง. (เพศหญิงและสถานะการแต่งงานของผู้ป่วย): ปัจจัยด้านเพศหรือสถานะทางครอบครัวไม่มีความสัมพันธ์ใดๆ กับความเสี่ยงทางพันธุกรรมด้านภูมิคุ้มกันวิทยาในการเกิดโรคผิวหนังลอกรุนแรง
• ข้อ จ. (สภาพแวดล้อมหรือโรคความดันโลหิตสูงที่เป็นอยู่): ปัจจัยแวดล้อมทั่วไปและโรคความดันโลหิตสูงไม่ได้มีผลกระตุ้นเซลล์เม็ดเลือดขาวให้ทำลายเซลล์ Keratinocyte ของผิวหนัง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70" s="35" t="n"/>
      <c r="L70" s="35" t="inlineStr">
        <is>
          <t>Gout</t>
        </is>
      </c>
      <c r="M70" s="35" t="inlineStr">
        <is>
          <t>Clinic</t>
        </is>
      </c>
      <c r="N70" s="35" t="inlineStr">
        <is>
          <t>Allopurinol-induced TEN: Allopurinol เป็นสาเหตุพบบ่อยอันดับต้น ๆ ของ SJS/TEN ในประเทศไทย</t>
        </is>
      </c>
      <c r="O70" s="35" t="inlineStr">
        <is>
          <t>ข้อสอบจริง</t>
        </is>
      </c>
      <c r="P70" s="35" t="inlineStr">
        <is>
          <t>2558</t>
        </is>
      </c>
    </row>
    <row r="71" ht="409.6" customHeight="1" s="37">
      <c r="A71" s="35" t="n">
        <v>69</v>
      </c>
      <c r="B71" s="35" t="inlineStr">
        <is>
          <t>ข้อใดต่อไปนี้ ไม่เกี่ยวข้อง หรือไม่ได้ใช้เป็นเกณฑ์การวินิจฉัยและการประเมินความรุนแรงของโรค Toxic Epidermal Necrolysis (TEN)</t>
        </is>
      </c>
      <c r="C71" s="35" t="n"/>
      <c r="D71" s="35" t="inlineStr">
        <is>
          <t>มีผื่นผิวหนังลอกไหม้มากกว่าร้อยละ 30 ของร่างกาย</t>
        </is>
      </c>
      <c r="E71" s="35" t="inlineStr">
        <is>
          <t>อาการนำเริ่มต้น เช่น มีไข้ เจ็บคอ และมีผื่นแดงเกิดขึ้น</t>
        </is>
      </c>
      <c r="F71" s="35" t="inlineStr">
        <is>
          <t>ประวัติได้รับยากลุ่มที่มีความถี่การแพ้สูง (High incidence drug)</t>
        </is>
      </c>
      <c r="G71" s="35" t="inlineStr">
        <is>
          <t>การเกิดแผลและผดพุพองตามเยื่อบุอวัยวะต่าง ๆ</t>
        </is>
      </c>
      <c r="H71" s="35" t="inlineStr">
        <is>
          <t>ระยะเวลาการเป็นโรคประจำตัวเรื้อรังนานกว่า 2 สัปดาห์ขึ้นไป</t>
        </is>
      </c>
      <c r="I71" s="35" t="n">
        <v>5</v>
      </c>
      <c r="J71" s="35" t="inlineStr">
        <is>
          <t>✅ คำตอบที่ถูกต้อง: ข้อ จ. ระยะเวลาการเป็นโรคประจำตัวเรื้อรังนานกว่า 2 สัปดาห์ขึ้นไป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ระยะเวลาการเป็นโรคประจำตัวเรื้อรังนานกว่า 2 สัปดาห์ขึ้นไป เกณฑ์การวินิจฉัยและประเมินโรค TEN จะอิงกับร้อยละพื้นที่ผิวหนังที่ลอกไหม้ (TEN จะลอกมากกว่า 30% ของพื้นที่ผิวร่างกาย), อาการนำเริ่มต้น (มีไข้ เจ็บคอ ผื่นผิวหนังอักเสบ), ประวัติการได้รับยาเสี่ยง และการมีรอยโรคตามเยื่อบุต่าง ๆ (Mucosal involvement) สำหรับ "ระยะเวลาการเป็นโรคประจำตัวเรื้อรัง" ของคนไข้ไม่มีส่วนเกี่ยวข้องใด ๆ กับเกณฑ์การวินิจฉัยความรุนแรงของโรคแพ้ยาเฉียบพลันชนิดนี้
🔍 ข้ออื่นผิดเพราะอะไร:
• ข้อ ก. (มีผื่นผิวหนังลอกไหม้มากกว่าร้อยละ 30 ของร่างกาย): เป็นเกณฑ์หลักในการแยกความแตกต่างระหว่าง SJS ที่จะลอกน้อยกว่าร้อยละ 10 และภาวะ TEN ที่จะลอกมากกว่าร้อยละ 30 ของพื้นที่ผิว
• ข้อ ข. (อาการนำเริ่มต้น เช่น มีไข้ เจ็บคอ และมีผื่นแดงเกิดขึ้น): อาการนำคล้ายไข้หวัดเป็นสัญญาณเตือนทางคลินิกที่สำคัญซึ่งมักเกิดก่อนผื่นผิวหนังลอกในผู้ป่วยกลุ่มโรคนี้
• ข้อ ค. (ประวัติได้รับยากลุ่มที่มีความถี่การแพ้สูง (High incidence drug)): ประวัติการใช้ยาเสี่ยงสูงในช่วง 1 ถึง 8 สัปดาห์ก่อนหน้า เป็นองค์ประกอบสำคัญในการวินิจฉัยสาเหตุของปฏิกิริยาการแพ้แบบช้า
• ข้อ ง. (การเกิดแผลและผดพุพองตามเยื่อบุอวัยวะต่าง ๆ): การมีรอยโรคที่เยื่อบุ เช่น ตา ปาก หรืออวัยวะเพศ เป็นเกณฑ์คลินิกมาตรฐานในการวินิจฉัยกลุ่มโรคแพ้ยารุนแรงร่วมกับผิวหนังลอก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1" s="35" t="n"/>
      <c r="L71" s="35" t="inlineStr">
        <is>
          <t>Gout</t>
        </is>
      </c>
      <c r="M71" s="35" t="inlineStr">
        <is>
          <t>Clinic</t>
        </is>
      </c>
      <c r="N71" s="35" t="inlineStr">
        <is>
          <t>TEN Diagnosis: เกณฑ์การวินิจฉัยประเมินจาก Skin detachment &gt; 30% BSA, Mucosal involvement, และ SCORTEN</t>
        </is>
      </c>
      <c r="O71" s="35" t="inlineStr">
        <is>
          <t>ข้อสอบจริง</t>
        </is>
      </c>
      <c r="P71" s="35" t="inlineStr">
        <is>
          <t>2558</t>
        </is>
      </c>
    </row>
    <row r="72" ht="409.6" customHeight="1" s="37">
      <c r="A72" s="35" t="n">
        <v>70</v>
      </c>
      <c r="B72" s="35" t="inlineStr">
        <is>
          <t>อาการไม่พึงประสงค์จากยา (ADR) ที่เกิดขึ้นกับผู้ป่วยรายนี้ (ผิวหนังลอกไหม้ทั่วตัวและเป็นแผลพุพองรุนแรงจนเสี่ยงต่อการเสียชีวิต) จัดอยู่ในระดับความรุนแรง (Severity level) ในระดับใด</t>
        </is>
      </c>
      <c r="C72" s="35" t="n"/>
      <c r="D72" s="35" t="inlineStr">
        <is>
          <t>Mild severity</t>
        </is>
      </c>
      <c r="E72" s="35" t="inlineStr">
        <is>
          <t>Moderate severity</t>
        </is>
      </c>
      <c r="F72" s="35" t="inlineStr">
        <is>
          <t>Severe severity (หรือ Life-threatening)</t>
        </is>
      </c>
      <c r="G72" s="35" t="inlineStr">
        <is>
          <t>Minor severity</t>
        </is>
      </c>
      <c r="H72" s="35" t="inlineStr">
        <is>
          <t>Chronic severity</t>
        </is>
      </c>
      <c r="I72" s="35" t="n">
        <v>3</v>
      </c>
      <c r="J72" s="35" t="inlineStr">
        <is>
          <t>✅ คำตอบที่ถูกต้อง: ข้อ ค. Severe severity (หรือ Life-threatening)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Severe severity (หรือ Life-threatening) ADR จากยาที่ส่งผลให้ผิวหนังของผู้ป่วยเกิดการลอกไหม้อย่างรุนแรงมากกว่าร้อยละ 30 ของพื้นที่ผิวทั้งหมด และเกิดแผลพุพองตามเยื่อบุอวัยวะสำคัญ ซึ่งจัดเป็นสภาวะวิกฤตที่เสี่ยงต่อการเสียชีวิตเนื่องจากการสูญเสียน้ำและติดเชื้อในกระแสเลือดสูง จัดเป็นระดับความรุนแรงระดับสูงสุดคือ Severe (หรือ Life-threatening)
🔍 ข้ออื่นผิดเพราะอะไร:
• ข้อ ก. (Mild severity): ระดับเล็กน้อยมักเป็นเพียงผื่นแดงเฉพาะที่ ที่ไม่จำเป็นต้องได้รับการรักษาเชิงลึก ไม่ใช่การลอกของผิวหนังทั่วตัวจนคุกคามชีวิต
• ข้อ ข. (Moderate severity): ระดับปานกลางอาจต้องมีการให้ยาแก้แพ้หรือหยุดยา แต่มักไม่มีผลรบกวนการทำงานของอวัยวะสำคัญหรือเสี่ยงต่อการติดเชื้อในกระแสเลือดตาย
• ข้อ ง. (Minor severity): คำว่า Minor ไม่ใช่ศัพท์เทคนิคมาตรฐานสากลในการแบ่งระดับความรุนแรงของอาการไม่พึงประสงค์จากยา
• ข้อ จ. (Chronic severity): อาการแพ้ยาชนิดนี้เป็นปฏิกิริยาภูมิคุ้มกันแบบเฉียบพลันวิกฤต ไม่ใช่อาการไม่พึงประสงค์ที่มีลักษณะดำเนินโรคแบบเรื้อรัง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2" s="35" t="n"/>
      <c r="L72" s="35" t="inlineStr">
        <is>
          <t>Gout</t>
        </is>
      </c>
      <c r="M72" s="35" t="inlineStr">
        <is>
          <t>Clinic</t>
        </is>
      </c>
      <c r="N72" s="35" t="inlineStr">
        <is>
          <t>TEN Severity Level: SJS/TEN เป็นอาการไม่พึงประสงค์ระดับ Life-threatening ที่มีอัตราการเสียชีวิตสูง</t>
        </is>
      </c>
      <c r="O72" s="35" t="inlineStr">
        <is>
          <t>ข้อสอบจริง</t>
        </is>
      </c>
      <c r="P72" s="35" t="inlineStr">
        <is>
          <t>2558</t>
        </is>
      </c>
    </row>
    <row r="73" ht="409.6" customHeight="1" s="37">
      <c r="A73" s="35" t="n">
        <v>71</v>
      </c>
      <c r="B73"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จากข้อมูลข้างต้นท่านคิดว่าผู้ป่วยรายนี้น่าจะเป็นโรคใด</t>
        </is>
      </c>
      <c r="C73" s="35" t="n"/>
      <c r="D73" s="35" t="inlineStr">
        <is>
          <t>Rheumatoid arthritis</t>
        </is>
      </c>
      <c r="E73" s="35" t="inlineStr">
        <is>
          <t>Osteoarthritis</t>
        </is>
      </c>
      <c r="F73" s="35" t="inlineStr">
        <is>
          <t>Osteoporosis</t>
        </is>
      </c>
      <c r="G73" s="35" t="inlineStr">
        <is>
          <t>Acute gout</t>
        </is>
      </c>
      <c r="H73" s="35" t="inlineStr">
        <is>
          <t>Osteomalacia</t>
        </is>
      </c>
      <c r="I73" s="35" t="n">
        <v>4</v>
      </c>
      <c r="J73" s="35" t="inlineStr">
        <is>
          <t>✅ คำตอบที่ถูกต้อง: ข้อ ง. Acute gout (โรคข้ออักเสบเกาต์เฉียบพลัน)
💡 Background:
โรคข้ออักเสบเกาต์เฉียบพลัน (Acute Gout Flare) เกิดจากการตกผลึกของเกลือโมโนโซเดียมยูเรต (Monosodium Urate: MSU) ภายในช่องข้อและเนื้อเยื่อรอบข้อ ตำแหน่งที่พบบ่อยที่สุดถึงร้อยละ 50 ในการกำเริบครั้งแรกคือ ข้อมัตสิมะของนิ้วหัวแม่เท้า (First Metatarsophalangeal Joint: 1st MTP joint หรือ Podagra) อาการมักเกิดขึ้นเฉียบพลันอย่างรวดเร็วภายในเวลาไม่กี่ชั่วโมง โดยมักเริ่มปวดตอนกลางคืนหรือเช้าตรู่ มีอาการปวด บวม แดง ร้อนอย่างรุนแรง และมักมีสิ่งกระตุ้นนำมาก่อน เช่น การรับประทานอาหารที่มีพิวรีนสูง (เครื่องในสัตว์ หน่อไม้) สัตว์ปีก หรือเครื่องดื่มแอลกอฮอล์
🎯 ทำไมข้อนี้ถึงถูก:
ผู้ป่วยเป็นชายวัยกลางคน (45 ปี) มีอาการปวดบวมแดงร้อนรุนแรงที่ข้อนิ้วหัวแม่เท้า (Podagra) เฉียบพลันเพียง 1 วัน และมีประวัติชัดเจนว่ารับประทานอาหารพิวรีนสูง (เครื่องในสัตว์ หน่อไม้) ในวันก่อนหน้า ลักษณะทางคลินิกเข้าได้กับภาวะ Acute Gout อย่างสมบูรณ์แบบ
🔍 ข้ออื่นผิดเพราะอะไร:
• ข้อ ก. (Rheumatoid arthritis): โรคข้ออักเสบรูมาตอยด์มักพบในเพศหญิงมากกว่า มีการอักเสบแบบสมมาตรของข้อนิ้วมือข้อมือทั้งสองข้าง และมักมี Morning stiffness นานกว่า 1 ชั่วโมง
• ข้อ ข. (Osteoarthritis): โรคข้อเสื่อมมักเกิดกับข้อรับน้ำหนัก (เช่น ข้อเข่า ข้อสะโพก) ในผู้สูงอายุ ไม่ได้มีอาการอักเสบเฉียบพลัน บวม แดง ร้อน รวดเร็วแบบนี้
• ข้อ ค. (Osteoporosis): โรคกระดูกพรุนไม่มีอาการปวดข้อเฉียบพลัน ผู้ป่วยมักไม่มีอาการจนกระทั่งเกิดกระดูกหัก (Fragility fracture)
• ข้อ จ. (Osteomalacia): โรคกระดูกอ่อนจากขาดวิตามินดี มีอาการปวดกระดูกทั่วๆ ไปและกล้ามเนื้ออ่อนแรง ไม่ใช่ข้ออักเสบเฉียบพลันเฉพาะที่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Podagra Triad: ปวดบวมแดงร้อนรุนแรงที่ข้อนิ้วหัวแม่เท้า (1st MTP joint) + เป็นเฉียบพลันใน 24 ชั่วโมง + สัมพันธ์กับอาหารพิวรีนสูง/แอลกอฮอล์ = Acute Gout เสมอ</t>
        </is>
      </c>
      <c r="K73" s="35" t="n"/>
      <c r="L73" s="35" t="inlineStr">
        <is>
          <t>Gout</t>
        </is>
      </c>
      <c r="M73" s="35" t="inlineStr">
        <is>
          <t>Clinic</t>
        </is>
      </c>
      <c r="N73" s="35" t="inlineStr">
        <is>
          <t>ข้อ 1 Pharma Plus เล่มม่วง (เฉลยข้อ ง)</t>
        </is>
      </c>
      <c r="O73" s="35" t="inlineStr">
        <is>
          <t>ข้อสอบจริง</t>
        </is>
      </c>
      <c r="P73" s="35" t="inlineStr">
        <is>
          <t>Pharma Plus เล่มม่วง</t>
        </is>
      </c>
    </row>
    <row r="74" ht="409.6" customHeight="1" s="37">
      <c r="A74" s="35" t="n">
        <v>72</v>
      </c>
      <c r="B74"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ยาใดในข้อใดที่บรรเทาอาการปวดเฉียบพลันในผู้ป่วยรายนี้</t>
        </is>
      </c>
      <c r="C74" s="35" t="n"/>
      <c r="D74" s="35" t="inlineStr">
        <is>
          <t>Paracetamol</t>
        </is>
      </c>
      <c r="E74" s="35" t="inlineStr">
        <is>
          <t>Probenecid</t>
        </is>
      </c>
      <c r="F74" s="35" t="inlineStr">
        <is>
          <t>Colchicine</t>
        </is>
      </c>
      <c r="G74" s="35" t="inlineStr">
        <is>
          <t>Tramadol</t>
        </is>
      </c>
      <c r="H74" s="35" t="inlineStr">
        <is>
          <t>Allopurinol</t>
        </is>
      </c>
      <c r="I74" s="35" t="n">
        <v>3</v>
      </c>
      <c r="J74" s="35" t="inlineStr">
        <is>
          <t>✅ คำตอบที่ถูกต้อง: ข้อ ค. Colchicine
💡 Background:
เป้าหมายหลักของการรักษาโรคข้ออักเสบเกาต์เฉียบพลัน (Acute Gout Flare) คือการบรรเทาอาการปวดและลดการอักเสบของข้อให้เร็วที่สุด ยาทางเลือกแรก (First-line systemic therapy) ตามแนวทางเวชปฏิบัติ ได้แก่ Colchicine, NSAIDs (เช่น Naproxen, Indomethacin), หรือ Systemic Corticosteroids โดยควรเริ่มยาให้เร็วที่สุดภายใน 24 ชั่วโมงแรกหลังเริ่มมีอาการ
🎯 ทำไมข้อนี้ถึงถูก:
Colchicine ออกฤทธิ์ลดการเคลื่อนย้ายและการกลืนกินผลึกยูเรตของเม็ดเลือดขาว Neutrophil จึงช่วยระงับการอักเสบของข้อเกาต์เฉียบพลันได้อย่างตรงจุดและมีประสิทธิภาพสูง
🔍 ข้ออื่นผิดเพราะอะไร:
• ข้อ ก. (Paracetamol): เป็นยาแก้ปวดลดไข้ธรรมดา แต่ไม่มีฤทธิ์ต้านการอักเสบ (No anti-inflammatory property) จึงไม่สามารถระงับการอักเสบของข้อเกาต์ได้
• ข้อ ข. (Probenecid) และ ข้อ จ. (Allopurinol): เป็นยาลดกรดยูริก (Urate-Lowering Therapy: ULT) ห้ามเริ่มต้นใช้ในขณะที่ผู้ป่วยกำลังมีอาการข้ออักเสบเฉียบพลันกำเริบ (หากไม่เคยทานมาก่อน) เพราะจะทำให้ระดับยูริกในเลือดแกว่งและกระตุ้นให้ข้ออักเสบรุนแรงหรือยืดเยื้อขึ้น
• ข้อ ง. (Tramadol): เป็นยาแก้ปวดกลุ่ม Opioid ไม่ลดการอักเสบของข้อ และมักทำให้เกิดอาการคลื่นไส้ อาเจียน เวียนศีรษะ
📖 Guideline อ้างอิง:
2020 American College of Rheumatology (ACR) Guideline for the Management of Gout &amp; EULAR Evidence-Based Recommendations for Gout
📌 จุดจำก่อนสอบ:
• Acute Flare First-line: Colchicine, NSAIDs, และ Corticosteroids คือ 3 เสาหลักของการรักษา Acute Gout Flare
• Do NOT start ULT during flare: ห้ามเริ่มยา Allopurinol หรือ Probenecid ระหว่างที่ข้อกำลังอักเสบเฉียบพลัน (แต่หากทานประจำอยู่เดิม ให้ทานต่อเนื่องห้ามหยุด)</t>
        </is>
      </c>
      <c r="K74" s="35" t="n"/>
      <c r="L74" s="35" t="inlineStr">
        <is>
          <t>Gout</t>
        </is>
      </c>
      <c r="M74" s="35" t="inlineStr">
        <is>
          <t>Clinic</t>
        </is>
      </c>
      <c r="N74" s="35" t="inlineStr">
        <is>
          <t>ข้อ 2 Pharma Plus เล่มม่วง (เฉลยข้อ ค)</t>
        </is>
      </c>
      <c r="O74" s="35" t="inlineStr">
        <is>
          <t>ข้อสอบจริง</t>
        </is>
      </c>
      <c r="P74" s="35" t="inlineStr">
        <is>
          <t>Pharma Plus เล่มม่วง</t>
        </is>
      </c>
    </row>
    <row r="75" ht="409.6" customHeight="1" s="37">
      <c r="A75" s="35" t="n">
        <v>73</v>
      </c>
      <c r="B75"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เมื่อผู้ป่วยหายจากอาการปวด บวมแดง ท่านจะให้ยาตัวใดในการป้องกันการกลับมาเป็นซ้ำ</t>
        </is>
      </c>
      <c r="C75" s="35" t="n"/>
      <c r="D75" s="35" t="inlineStr">
        <is>
          <t>Prednisolone</t>
        </is>
      </c>
      <c r="E75" s="35" t="inlineStr">
        <is>
          <t>Indomethacin</t>
        </is>
      </c>
      <c r="F75" s="35" t="inlineStr">
        <is>
          <t>Allopurinol</t>
        </is>
      </c>
      <c r="G75" s="35" t="inlineStr">
        <is>
          <t>Paracetamol</t>
        </is>
      </c>
      <c r="H75" s="35" t="inlineStr">
        <is>
          <t>Tramadol</t>
        </is>
      </c>
      <c r="I75" s="35" t="n">
        <v>3</v>
      </c>
      <c r="J75" s="35" t="inlineStr">
        <is>
          <t>✅ คำตอบที่ถูกต้อง: ข้อ ค. Allopurinol
💡 Background:
เมื่ออาการข้ออักเสบเกาต์เฉียบพลันสงบลงอย่างสมบูรณ์ (โดยทั่วไปประมาณ 2-4 สัปดาห์หลังข้อหายอักเสบ) การรักษาในระยะยาวมุ่งเน้นไปที่การลดระดับกรดยูริกในเลือด (Urate-Lowering Therapy: ULT) เพื่อป้องกันการกำเริบซ้ำ ป้องกันการเกิดก้อนโทฟัส (Tophi) และป้องกันการเกิดนิ่วในทางเดินปัสสาวะ โดยมีเป้าหมายควบคุมระดับ Serum Uric Acid ให้ต่ำกว่า 6.0 mg/dL (หรือ &lt; 5.0 mg/dL หากมีก้อนโทฟัส)
🎯 ทำไมข้อนี้ถึงถูก:
Allopurinol เป็นยากลุ่ม Xanthine Oxidase Inhibitor (XOI) ซึ่งเป็นยาทางเลือกแรกมาตรฐาน (Preferred First-line ULT) ในการลดการสร้างกรดยูริก เพื่อป้องกันการกลับมาเป็นซ้ำของโรคเกาต์ในระยะยาว
🔍 ข้ออื่นผิดเพราะอะไร:
• ข้อ ก. (Prednisolone) และ ข้อ ข. (Indomethacin): เป็นยารักษาอาการอักเสบเฉียบพลัน ไม่ได้ช่วยลดระดับกรดยูริกในเลือด และการใช้สเตียรอยด์หรือ NSAIDs ต่อเนื่องระยะยาวมีผลข้างเคียงสูงมาก (กระเพาะทะลุ ไตวาย ความดันสูง)
• ข้อ ง. (Paracetamol) และ ข้อ จ. (Tramadol): เป็นเพียงยาระงับปวด ไม่มีผลต่อการลดระดับกรดยูริกหรือป้องกันการกำเริบซ้ำของโรคเกาต์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เป้าหมายการรักษาด้วย ULT ในผู้ป่วยโรคเกาต์คือ Serum Uric Acid &lt; 6.0 mg/dL (และ &lt; 5.0 mg/dL ในรายที่มี Tophi หรือข้อถูกทำลาย)
• Allopurinol Initiation: เริ่มยาขนาดต่ำ 100 mg/day (หรือ 50 mg/day ใน CKD) ร่วมกับ Flare prophylaxis (Colchicine ขนาดต่ำ) นาน 3-6 เดือน</t>
        </is>
      </c>
      <c r="K75" s="35" t="n"/>
      <c r="L75" s="35" t="inlineStr">
        <is>
          <t>Gout</t>
        </is>
      </c>
      <c r="M75" s="35" t="inlineStr">
        <is>
          <t>Clinic</t>
        </is>
      </c>
      <c r="N75" s="35" t="inlineStr">
        <is>
          <t>ข้อ 3 Pharma Plus เล่มม่วง (เฉลยข้อ ค)</t>
        </is>
      </c>
      <c r="O75" s="35" t="inlineStr">
        <is>
          <t>ข้อสอบจริง</t>
        </is>
      </c>
      <c r="P75" s="35" t="inlineStr">
        <is>
          <t>Pharma Plus เล่มม่วง</t>
        </is>
      </c>
    </row>
    <row r="76" ht="409.6" customHeight="1" s="37">
      <c r="A76" s="35" t="n">
        <v>74</v>
      </c>
      <c r="B76" s="35"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ยากลุ่มใดที่ไม่สามารถนำมาใช้รักษาอาการของผู้ป่วยรายนี้ได้</t>
        </is>
      </c>
      <c r="C76" s="35" t="n"/>
      <c r="D76" s="35" t="inlineStr">
        <is>
          <t>Corticosteroid</t>
        </is>
      </c>
      <c r="E76" s="35" t="inlineStr">
        <is>
          <t>Xanthine oxidase inhibitor</t>
        </is>
      </c>
      <c r="F76" s="35" t="inlineStr">
        <is>
          <t>Uricosuric agent</t>
        </is>
      </c>
      <c r="G76" s="35" t="inlineStr">
        <is>
          <t>NSAID</t>
        </is>
      </c>
      <c r="H76" s="35" t="inlineStr">
        <is>
          <t>Para-aminophenol derivatives</t>
        </is>
      </c>
      <c r="I76" s="35" t="n">
        <v>5</v>
      </c>
      <c r="J76" s="35" t="inlineStr">
        <is>
          <t>✅ คำตอบที่ถูกต้อง: ข้อ จ. Para-aminophenol derivatives
💡 Background:
Paracetamol (หรือ Acetaminophen) มีชื่อทางเคมีว่า N-(4-hydroxyphenyl)acetamide หรือ para-acetylaminophenol เป็นสารอนุพันธ์ในกลุ่ม Para-aminophenol derivatives ออกฤทธิ์บรรเทาอาการปวดและลดไข้โดยยับยั้งการสังเคราะห์ Prostaglandins ในระบบประสาทส่วนกลาง (Central COX inhibition / COX-3 variant) แต่ไม่มีผลต้านการอักเสบในเนื้อเยื่อส่วนปลายอย่างมีนัยสำคัญ
🎯 ทำไมข้อนี้ถึงถูก:
ผู้ป่วยต้องการซื้อยา Paracetamol ซึ่งโครงสร้างทางเคมีและกลุ่มทางเภสัชวิทยาของ Paracetamol จัดอยู่ในกลุ่ม "Para-aminophenol derivatives" ตรงตามทฤษฎีเคมีเภสัชกรรม
🔍 ข้ออื่นผิดเพราะอะไร:
• ข้อ ก. (Corticosteroid): เป็นกลุ่มฮอร์โมนสเตียรอยด์ต้านการอักเสบ เช่น Prednisolone, Dexamethasone
• ข้อ ข. (Xanthine oxidase inhibitor): เป็นยาลดการสร้างกรดยูริก เช่น Allopurinol, Febuxostat
• ข้อ ค. (Uricosuric agent): เป็นยาขับกรดยูริกออกทางไต เช่น Probenecid, Benzbromarone
• ข้อ ง. (NSAID): ยากลุ่ม NSAIDs คลาสสิกออกฤทธิ์ยับยั้งเอนไซม์ COX ทั้งในส่วนกลางและส่วนปลาย จึงมีฤทธิ์ต้านการอักเสบเด่นชัด (เช่น Ibuprofen, Naproxen, Indomethacin) ซึ่งต่างจาก Paracetamol
📖 Guideline อ้างอิง:
Foye's Principles of Medicinal Chemistry &amp; Wilson and Gisvold's Textbook of Organic Medicinal and Pharmaceutical Chemistry
📌 จุดจำก่อนสอบ:
• Chemical Classification: Paracetamol = Para-aminophenol derivative, Aspirin = Salicylate, Ibuprofen/Naproxen = Propionic acid derivative
• Toxic Metabolite: Paracetamol ถูก metabolized ผ่าน CYP2E1 ได้สารพิษ NAPQI ซึ่งทำลายตับหาก Glutathione หมด</t>
        </is>
      </c>
      <c r="K76" s="35" t="n"/>
      <c r="L76" s="35" t="inlineStr">
        <is>
          <t>Gout</t>
        </is>
      </c>
      <c r="M76" s="35" t="inlineStr">
        <is>
          <t>Clinic</t>
        </is>
      </c>
      <c r="N76" s="35" t="inlineStr">
        <is>
          <t>ข้อ 4 Pharma Plus เล่มม่วง (เฉลยข้อ จ)</t>
        </is>
      </c>
      <c r="O76" s="35" t="inlineStr">
        <is>
          <t>ข้อสอบจริง</t>
        </is>
      </c>
      <c r="P76" s="35" t="inlineStr">
        <is>
          <t>Pharma Plus เล่มม่วง</t>
        </is>
      </c>
    </row>
    <row r="77" ht="409.6" customHeight="1" s="37">
      <c r="A77" s="35" t="n">
        <v>75</v>
      </c>
      <c r="B77" s="35" t="inlineStr">
        <is>
          <t>ผู้ป่วยหญิง อายุ 22 ปี น้ำหนัก 75 kg. สูง 155 cm. อาชีพเกษตรกรรม มาพบแพทย์ที่โรงพยาบาลด้วยอาการปวดเข่าด้านขวาเป็นมานานหลายปี อาการปวดค่อย ๆ มากขึ้น ถ้าร่างงานหนักยิ่งมีอาการปวดมากขึ้น บางครั้งหลังจากทำงานมีอาการปวดรุนแรง นอกจากนี้ยังมีอาการข้อติดขัดเคลื่อนไหวไม่สะดวก หลังจากนั่งหรือนอนนาน ๆ มีเสียงดังในข้อเวลาเดิน ไม่มีประวัติ มีไข้ น้ำหนักลด แพทย์วินิจฉัยว่าเป็นโรคข้อเสื่อม มีประวัติเป็นแผลในกระเพาะ โรคความดันโลหิตสูง ผู้ป่วยมีประวัติทางการทำงานดูไตเสื่อมก่อนที่จะมาโรงพยาบาล เคยซื้อยา diclofenac gel เพื่อทาบริเวณที่ปวดและพบว่าอาการไม่ดีขึ้น
ข้อใดจัดเป็นยาหรือผลิตภัณฑ์เสริมอาหารในกลุ่มชะลอความเสื่อมสลายของกระดูกอ่อน</t>
        </is>
      </c>
      <c r="C77" s="35" t="n"/>
      <c r="D77" s="35" t="inlineStr">
        <is>
          <t>Glucosamine sulfate</t>
        </is>
      </c>
      <c r="E77" s="35" t="inlineStr">
        <is>
          <t>Hydroxychloroquine</t>
        </is>
      </c>
      <c r="F77" s="35" t="inlineStr">
        <is>
          <t>Auranofin</t>
        </is>
      </c>
      <c r="G77" s="35" t="inlineStr">
        <is>
          <t>Prednisolone</t>
        </is>
      </c>
      <c r="H77" s="35" t="inlineStr">
        <is>
          <t>Methotrexate</t>
        </is>
      </c>
      <c r="I77" s="35" t="n">
        <v>1</v>
      </c>
      <c r="J77" s="35" t="inlineStr">
        <is>
          <t>✅ คำตอบที่ถูกต้อง: ข้อ ก. Glucosamine sulfate
💡 Background:
ผู้ป่วยหญิงอายุ 22 ปี น้ำหนักเกิน (BMI ~31 kg/m2) ทำงานเกษตรกรรมซึ่งต้องแบกรับน้ำหนักและใช้งานข้อเข่าอย่างหนัก แพทย์วินิจฉัยโรคข้อเข่าเสื่อม (Osteoarthritis) การจัดการโรคนอกจากลดน้ำหนักและบริหารกล้ามเนื้อรอบข้อเข่าแล้ว การใช้ยากลุ่ม Symptomatic Slow-Acting Drugs for Osteoarthritis (SYSADOA) เช่น Glucosamine sulfate มีการนำมาใช้เพื่อเป็นสารตั้งต้นในการสังเคราะห์ Glycosaminoglycans และ Proteoglycans ในกระดูกอ่อนผิวข้อ เพื่อช่วยชะลอการเสื่อมและลดอาการปวดในระยะยาว
🎯 ทำไมข้อนี้ถึงถูก:
Glucosamine sulfate เป็นสารเสริมสร้างกระดูกอ่อนผิวข้อที่มีข้อบ่งใช้สำหรับโรคข้อเสื่อม (Osteoarthritis) แตกต่างจากตัวเลือกอื่นที่เป็นยากดภูมิคุ้มกันรักษาโรคข้ออักเสบรูมาตอยด์ (RA)
🔍 ข้ออื่นผิดเพราะอะไร:
• ข้อ ข. (Hydroxychloroquine), ข้อ ค. (Auranofin - เกลือทองคำ), และ ข้อ จ. (Methotrexate): เป็นยากลุ่ม Conventional DMARDs ที่ใช้รักษาโรคข้ออักเสบรูมาตอยด์ (Rheumatoid arthritis) หรือ SLE ไม่มีข้อบ่งใช้ในโรคข้อเข่าเสื่อม (OA) และมีผลข้างเคียงสูง
• ข้อ ง. (Prednisolone): สเตียรอยด์ชนิดรับประทานไม่มีข้อบ่งใช้ในการรักษาโรคข้อเข่าเสื่อมทั่วไป เนื่องจากเพิ่มความเสี่ยงต่อโรคกระดูกพรุนและผลข้างเคียงเชิงระบบ
📖 Guideline อ้างอิง:
ESCEO Algorithm for the Management of Knee Osteoarthritis &amp; แนวทางเวชปฏิบัติการวินิจฉัยและการรักษาโรคข้อเข่าเสื่อม พ.ศ. 2553 (กรมการแพทย์ กระทรวงสาธารณสุข)
📌 จุดจำก่อนสอบ:
• Glucosamine Formulation: รูปแบบที่มีหลักฐานเชิงประจักษ์ทางคลินิกสนับสนุนมากที่สุดคือ "Crystalline Glucosamine Sulfate (pCGS)" ขนาด 1,500 mg วันละครั้ง
• OA vs RA Drugs: ยา DMARDs (Methotrexate, Hydroxychloroquine, Sulfasalazine) ใช้เฉพาะใน RA เท่านั้น ห้ามนำมาใช้ใน OA</t>
        </is>
      </c>
      <c r="K77" s="35" t="n"/>
      <c r="L77" s="35" t="inlineStr">
        <is>
          <t>Osteoarthritis</t>
        </is>
      </c>
      <c r="M77" s="35" t="inlineStr">
        <is>
          <t>Clinic</t>
        </is>
      </c>
      <c r="N77" s="35" t="inlineStr">
        <is>
          <t>ข้อ 5 Pharma Plus เล่มม่วง (เฉลยข้อ ก)</t>
        </is>
      </c>
      <c r="O77" s="35" t="inlineStr">
        <is>
          <t>ข้อสอบจริง</t>
        </is>
      </c>
      <c r="P77" s="35" t="inlineStr">
        <is>
          <t>Pharma Plus เล่มม่วง</t>
        </is>
      </c>
    </row>
    <row r="78" ht="409.6" customHeight="1" s="37">
      <c r="A78" s="35" t="n">
        <v>76</v>
      </c>
      <c r="B78" s="35" t="inlineStr">
        <is>
          <t>ข้อใดเป็นข้อแนะนำที่ไม่เหมาะสมสำหรับผู้ป่วย</t>
        </is>
      </c>
      <c r="C78" s="35" t="n"/>
      <c r="D78" s="35" t="inlineStr">
        <is>
          <t>ลดน้ำหนัก</t>
        </is>
      </c>
      <c r="E78" s="35" t="inlineStr">
        <is>
          <t>ให้ออกกำลังกาย</t>
        </is>
      </c>
      <c r="F78" s="35" t="inlineStr">
        <is>
          <t>โรคนี้สามารถรักษาให้หายขาดได้</t>
        </is>
      </c>
      <c r="G78" s="35" t="inlineStr">
        <is>
          <t>หลีกเลี่ยงการฉีดยาเข้าข้อในและติดต่อกัน</t>
        </is>
      </c>
      <c r="H78" s="35" t="inlineStr">
        <is>
          <t>รับประทานยา codeine เมื่อมีอาการปวดทันที</t>
        </is>
      </c>
      <c r="I78" s="35" t="n">
        <v>5</v>
      </c>
      <c r="J78" s="35" t="inlineStr">
        <is>
          <t>✅ คำตอบที่ถูกต้อง: ข้อ จ. รับประทานยา codeine เมื่อมีอาการปวดทันที
💡 Background:
แนวทางการรักษาโรคข้อเข่าเสื่อม (Knee OA) ให้ความสำคัญกับการปรับเปลี่ยนพฤติกรรม (Non-pharmacological measures) เป็นรากฐานสำคัญ ได้แก่ การลดน้ำหนักตัวในผู้ที่มีน้ำหนักเกิน (การลดน้ำหนักลง 5-10% ช่วยลดแรงกดบนข้อเข่าได้มหาศาล), การออกกำลังกายเสริมความแข็งแรงของกล้ามเนื้อต้นขา (Quadriceps strengthening exercise), และหลีกเลี่ยงการนั่งงอเข่า ส่วนการรักษาด้วยยาจะเริ่มจากยาทาเฉพาะที่ (Topical NSAIDs) หรือ Paracetamol/Oral NSAIDs ระยะสั้น การใช้ยากลุ่ม Opioids (เช่น Codeine, Tramadol) ถือเป็นทางเลือกท้ายๆ และไม่แนะนำให้ใช้เป็นยาบรรเทาอาการปวดทั่วไปเนื่องจากมีความเสี่ยงสูงต่อการติดยา อาการง่วงซึม มึนงง และเพิ่มความเสี่ยงต่อการหกล้ม
🎯 ทำไมข้อนี้ถึงถูก:
โจทย์ถามข้อแนะนำที่ไม่เหมาะสม: การแนะนำให้ผู้ป่วยรับประทานยาเสพติดระงับปวด Codeine ทันทีที่มีอาการปวดข้อเข่าเสื่อม เป็นการปฏิบัติที่ไม่เหมาะสมและอันตรายอย่างยิ่ง เนื่องจาก Opioid ไม่ใช่ยาบรรเทาอาการปวดอันดับแรกของโรคข้อเสื่อม
🔍 ข้ออื่นผิดเพราะอะไร:
• ข้อ ก. (ลดน้ำหนัก): เป็นคำแนะนำหลักที่สำคัญที่สุดและมีหลักฐานสนับสนุนเข้มแข็งในการลดแรงกระแทกต่อข้อเข่า
• ข้อ ข. (ให้ออกกำลังกาย): การออกกำลังกายแบบ Low-impact เช่น ว่ายน้ำ ขี่จักรยาน หรือบริหารกล้ามเนื้อรอบเข่า ช่วยพยุงข้อและลดอาการปวดได้ดี
• ข้อ ค. (โรคนี้สามารถรักษาให้หายขาดได้): แม้โรคข้อเสื่อมจะไม่สามารถรักษาโครงสร้างกระดูกอ่อนให้หายขาดได้ 100% แต่ข้อความเชิงคำแนะนำการรักษายังมุ่งเน้นการคุมอาการและชะลอความเสื่อม
• ข้อ ง. (หลีกเลี่ยงการฉีดยาเข้าข้อติดต่อกัน): ถูกต้อง การฉีดคอร์ติโคสเตียรอยด์เข้าข้อ (Intra-articular steroid injection) บ่อยเกินไป (เกิน 3-4 ครั้งต่อปี) จะเร่งการทำลายกระดูกอ่อนผิวข้อ
📖 Guideline อ้างอิง:
2019 American College of Rheumatology (ACR) / Arthritis Foundation Guideline for the Management of Osteoarthritis &amp; OARSI Guidelines for Knee OA
📌 จุดจำก่อนสอบ:
• Core Non-Pharm in OA: ลดน้ำหนัก (Weight loss) + ออกกำลังกายเสริมกล้ามเนื้อต้นขา (Exercise) คือ First-line ที่ต้องทำในผู้ป่วยข้อเข่าเสื่อมทุกราย
• Avoid Routine Opioids: ห้ามใช้ยาแก้ปวดกลุ่ม Opioids เป็นประจำในโรคข้อเสื่อม เพราะประโยชน์น้อยกว่าความเสี่ยงต่อการติดยาและการหกล้มกระดูกหัก</t>
        </is>
      </c>
      <c r="K78" s="35" t="n"/>
      <c r="L78" s="35" t="inlineStr">
        <is>
          <t>Osteoarthritis</t>
        </is>
      </c>
      <c r="M78" s="35" t="inlineStr">
        <is>
          <t>Clinic</t>
        </is>
      </c>
      <c r="N78" s="35" t="inlineStr">
        <is>
          <t>ข้อ 6 Pharma Plus เล่มม่วง (เฉลยข้อ จ)</t>
        </is>
      </c>
      <c r="O78" s="35" t="inlineStr">
        <is>
          <t>ข้อสอบจริง</t>
        </is>
      </c>
      <c r="P78" s="35" t="inlineStr">
        <is>
          <t>Pharma Plus เล่มม่วง</t>
        </is>
      </c>
    </row>
    <row r="79" ht="409.6" customHeight="1" s="37">
      <c r="A79" s="35" t="n">
        <v>77</v>
      </c>
      <c r="B79" s="35" t="inlineStr">
        <is>
          <t>ท่านคิดว่าผลิตภัณฑ์จากสมุนไพรข้อใด มีข้อบ่งใช้ใกล้เคียงกับ diclofenac emulsion gel มากที่สุด</t>
        </is>
      </c>
      <c r="C79" s="35" t="n"/>
      <c r="D79" s="35" t="inlineStr">
        <is>
          <t>เจลพพลู</t>
        </is>
      </c>
      <c r="E79" s="35" t="inlineStr">
        <is>
          <t>ครีมชุมเห็ดเทศ</t>
        </is>
      </c>
      <c r="F79" s="35" t="inlineStr">
        <is>
          <t>เจลว่านหางจระเข้</t>
        </is>
      </c>
      <c r="G79" s="35" t="inlineStr">
        <is>
          <t>ครีมไพล</t>
        </is>
      </c>
      <c r="H79" s="35" t="inlineStr">
        <is>
          <t>ครีมพญายอ</t>
        </is>
      </c>
      <c r="I79" s="35" t="n">
        <v>4</v>
      </c>
      <c r="J79" s="35" t="inlineStr">
        <is>
          <t>✅ คำตอบที่ถูกต้อง: ข้อ ง. ครีมไพล (Plai cream)
💡 Background:
Diclofenac emulsion gel เป็นยาต้านการอักเสบที่ไม่ใช่สเตียรอยด์ชนิดทาภายนอก (Topical NSAID) มีข้อบ่งใช้ในการบรรเทาอาการปวด บวม อักเสบของกล้ามเนื้อ ข้อต่อ และเอ็น ในบัญชียาหลักแห่งชาติด้านสมุนไพรของประเทศไทย ยาสมุนไพรที่มีฤทธิ์ต้านการอักเสบและบรรเทาอาการปวดเมื่อยกล้ามเนื้อ ข้อต่อ ที่มีข้อบ่งใช้และประสิทธิภาพเทียบเคียงกับ Diclofenac gel คือ "ยาครีมไพล" ซึ่งมีสารสำคัญกลุ่มเคอร์คูมินอยด์และอนุพันธ์บิวทาไดอีน (เช่น Compound D) ที่ออกฤทธิ์ยับยั้งเอนไซม์ Cyclooxygenase (COX) และ Lipoxygenase (LOX) ลดการสร้างสารสื่ออักเสบ
🎯 ทำไมข้อนี้ถึงถูก:
ครีมไพล (สกัดจากเหง้าไพล Zingiber montanum) มีข้อบ่งใช้ตามบัญชียาหลักแห่งชาติในการบรรเทาอาการปวด บวม แดง ร้อน จากการอักเสบของกล้ามเนื้อ ข้อ และเคล็ดขัดยอก ซึ่งตรงกับข้อบ่งใช้ของ Diclofenac emulsion gel มากที่สุด
🔍 ข้ออื่นผิดเพราะอะไร:
• ข้อ ก. (เจลพริก/เจลพลู): ครีมหรือเจลพริก (Capsaicin) มีข้อบ่งใช้หลักสำหรับอาการปวดปลายประสาท (Neuropathic pain) หรือเสริมในข้อเสื่อมเรื้อรัง ส่วนพลูใช้แก้อาการผื่นคัน ลมพิษ
• ข้อ ข. (ครีมชุมเห็ดเทศ): มีข้อบ่งใช้เป็นยารักษาโรคผิวหนังจากเชื้อรา เช่น กลาก เกลื้อน
• ข้อ ค. (เจลว่านหางจระเข้): มีข้อบ่งใช้รักษาแผลไฟไหม้ น้ำร้อนลวก แผลสด และให้ความชุ่มชื้นแก่ผิวหนัง
• ข้อ จ. (ครีมพญายอ): มีข้อบ่งใช้รักษาโรคผิวหนังจากเชื้อไวรัส เช่น เริม (Herpes simplex) และงูสวัด (Herpes zoster)
📖 Guideline อ้างอิง:
บัญชียาหลักแห่งชาติด้านสมุนไพร พ.ศ. 2566 &amp; คู่มือการใช้ยาสมุนไพรในระบบบริการสุขภาพปฐมภูมิ (กรมการแพทย์แผนไทยและการแพทย์ทางเลือก)
📌 จุดจำก่อนสอบ:
• Plai Cream Indication: ครีมไพล = บรรเทาอาการปวดกล้ามเนื้อ เคล็ดขัดยอก และข้ออักเสบ (ออกฤทธิ์ต้านการอักเสบเหมือน Topical NSAIDs)
• Essential Herbal Indications:
  - พญายอ = เริม/งูสวัด
  - ทองพันชั่ง/ชุมเห็ดเทศ = กลาก/เกลื้อน/เชื้อรา
  - บัวบก/ว่านหางจระเข้ = สมานแผล/แผลไฟไหม้
  - ไพล = ปวดเมื่อย/ฟกช้ำ/ข้ออักเสบ</t>
        </is>
      </c>
      <c r="K79" s="35" t="n"/>
      <c r="L79" s="35" t="inlineStr">
        <is>
          <t>Osteoarthritis / Herbal Medicine</t>
        </is>
      </c>
      <c r="M79" s="35" t="inlineStr">
        <is>
          <t>Clinic</t>
        </is>
      </c>
      <c r="N79" s="35" t="inlineStr">
        <is>
          <t>ข้อ 7 Pharma Plus เล่มม่วง (เฉลยข้อ ง)</t>
        </is>
      </c>
      <c r="O79" s="35" t="inlineStr">
        <is>
          <t>ข้อสอบจริง</t>
        </is>
      </c>
      <c r="P79" s="35" t="inlineStr">
        <is>
          <t>Pharma Plus เล่มม่วง</t>
        </is>
      </c>
    </row>
    <row r="80" ht="409.6" customHeight="1" s="37">
      <c r="A80" s="35" t="n">
        <v>78</v>
      </c>
      <c r="B80" s="35" t="inlineStr">
        <is>
          <t>ข้อใดถูกต้อง</t>
        </is>
      </c>
      <c r="C80" s="35" t="n"/>
      <c r="D80" s="35" t="inlineStr">
        <is>
          <t>เมื่อโรคข้อเสื่อมเกิดการอักเสบร่วมด้วยควรเลือกใช้ยา opioid analgesic จะเหมาะสมกว่ากลุ่ม NSAIDs</t>
        </is>
      </c>
      <c r="E80" s="35" t="inlineStr">
        <is>
          <t>Opioid analgesic ไม่ควรใช้ติดต่อกันนานเพราะจะทำให้เกิดการติดยา</t>
        </is>
      </c>
      <c r="F80" s="35" t="inlineStr">
        <is>
          <t>การใช้ยา NSAIDs ควรเริ่มในขนาดที่สูงก่อนเพื่อบรรเทาอาการเจ็บปวดทันทีก่อน</t>
        </is>
      </c>
      <c r="G80" s="35" t="inlineStr">
        <is>
          <t>ผลข้างเคียงของการใช้ยากลุ่ม opioid analgesic ที่พบบ่อย คือ ท้องเสีย</t>
        </is>
      </c>
      <c r="H80" s="35" t="inlineStr">
        <is>
          <t>ยากลุ่ม cox-1 มีผลต่อการเกาะกลุ่มของเกล็ดเลือดมากกว่ายากลุ่ม cox-2</t>
        </is>
      </c>
      <c r="I80" s="35" t="n">
        <v>2</v>
      </c>
      <c r="J80" s="35" t="inlineStr">
        <is>
          <t>✅ คำตอบที่ถูกต้อง: ข้อ ข. Opioid analgesic ไม่ควรใช้ติดต่อกันนานเพราะจะทำให้เกิดการติดยา
💡 Background:
ยาระงับปวดกลุ่ม Opioids (เช่น Morphine, Fentanyl, Codeine, Tramadol) ออกฤทธิ์จับกับ Mu-opioid receptor ในระบบประสาทส่วนกลางเพื่อยับยั้งสัญญาณความเจ็บปวด แม้จะมีประสิทธิภาพสูงในการระงับปวดรุนแรง แต่การใช้ติดต่อกันเป็นเวลานานจะนำไปสู่การเกิดภาวะดื้อยา (Tolerance), การพึ่งพายาทางกาย (Physical dependence), การเสพติดยา (Addiction), และภาวะหยุดหายใจหรือเสียชีวิตจากการได้รับยาเกินขนาด นอกจากนี้ยังมีผลข้างเคียงที่พบบ่อยมากคือ "ท้องผูก (Constipation)" ซึ่งเป็นผลข้างเคียงที่ไม่เกิด Tolerance
🎯 ทำไมข้อนี้ถึงถูก:
ข้อ ข. ถูกต้องตามหลักความปลอดภัยทางเภสัชบำบัดอย่างเคร่งครัด ยาระงับปวดกลุ่ม Opioids มีความเสี่ยงสูงต่อการเกิด Dependence และ Tolerance จึงไม่ควรใช้ติดต่อกันเป็นเวลานานโดยไม่มีข้อบ่งชี้เฉพาะ (เช่น มะเร็งระยะท้าย)
🔍 ข้ออื่นผิดเพราะอะไร:
• ข้อ ก. (เมื่อโรคข้อเสื่อมเกิดการอักเสบควรเลือก Opioid มากกว่า NSAIDs): ผิดอย่างยิ่ง ในโรคข้อเสื่อมที่มีการอักเสบ ยาต้านการอักเสบ (NSAIDs) มีประสิทธิภาพตรงจุดและได้รับการแนะนำเป็นลำดับแรกเหนือกว่า Opioid ซึ่งไม่มีฤทธิ์ลดการอักเสบ
• ข้อ ค. (การใช้ NSAIDs ควรเริ่มในขนาดที่สูงก่อน): ผิด หลักการใช้ยา NSAIDs คือ "ใช้ขนาดต่ำสุดที่ให้ผลการรักษาและสั้นที่สุดเท่าที่จำเป็น (Lowest effective dose for the shortest duration)" เพื่อลดความเสี่ยงต่อทางเดินอาหาร ไต และหัวใจ
• ข้อ ง. (ผลข้างเคียงของ Opioid ที่พบบ่อยคือท้องเสีย): ผิด ตรงกันข้ามอย่างสิ้นเชิง Opioid ยับยั้งการบีบตัวของลำไส้ ทำให้เกิด "อาการท้องผูก (Constipation)" ที่พบบ่อยมากที่สุด ไม่ใช่ท้องเสีย
• ข้อ จ. (ยากลุ่ม COX-1 มีผลต่อการเกาะกลุ่มของเกล็ดเลือดมากกว่ายากลุ่ม COX-2): ตัวเลือกเขียนสับสน โดยทั่วไปการยับยั้ง COX-1 (เช่น Aspirin) จะยับยั้ง Thromboxane A2 ทำให้ "ยับยั้งการเกาะกลุ่มของเกล็ดเลือด (Antiplatelet)" ไม่ใช่เพิ่มการเกาะกลุ่ม
📖 Guideline อ้างอิง:
CDC Clinical Practice Guideline for Prescribing Opioids for Pain &amp; American Geriatrics Society (AGS) Beers Criteria for Potentially Inappropriate Medication Use in Older Adults
📌 จุดจำก่อนสอบ:
• Opioid Adverse Effects: อาการข้างเคียงที่ไม่มีวันเกิด Tolerance คือ "ท้องผูก (Constipation)" และ "รูม่านตาหรี่ (Miosis)" (จำว่า Constipation &amp; Pinpoint pupils เกิดตลอดการใช้ยา ต้องให้ยาระบายกระตุ้นลำไส้ เช่น Senna เสมอ)
• NSAID Prescribing Rule: ใช้ขนาดต่ำสุดและระยะเวลาสั้นที่สุด (Lowest effective dose, shortest duration)</t>
        </is>
      </c>
      <c r="K80" s="35" t="n"/>
      <c r="L80" s="35" t="inlineStr">
        <is>
          <t>Osteoarthritis</t>
        </is>
      </c>
      <c r="M80" s="35" t="inlineStr">
        <is>
          <t>Clinic</t>
        </is>
      </c>
      <c r="N80" s="35" t="inlineStr">
        <is>
          <t>ข้อ 8 Pharma Plus เล่มม่วง (เฉลยข้อ ข)</t>
        </is>
      </c>
      <c r="O80" s="35" t="inlineStr">
        <is>
          <t>ข้อสอบจริง</t>
        </is>
      </c>
      <c r="P80" s="35" t="inlineStr">
        <is>
          <t>Pharma Plus เล่มม่วง</t>
        </is>
      </c>
    </row>
    <row r="81" ht="409.6" customHeight="1" s="37">
      <c r="A81" s="35" t="n">
        <v>79</v>
      </c>
      <c r="B81" s="35" t="inlineStr">
        <is>
          <t>เมื่อแพทย์พิจารณาแล้วจึงจ่ายยากลุ่ม cox-2 selective inhibitor ข้อใดถูกต้องเกี่ยวกับ cox-2 selective inhibitor</t>
        </is>
      </c>
      <c r="C81" s="35" t="n"/>
      <c r="D81" s="35" t="inlineStr">
        <is>
          <t>ในโครงสร้างของยากลุ่ม Cox-2 inhibitor มี Carboxyl group เป็นส่วนสำคัญที่ใช้ในการจับกับของ enzyme cox-2</t>
        </is>
      </c>
      <c r="E81" s="35" t="inlineStr">
        <is>
          <t>ยากลุ่ม cox-2 inhibitor ไม่มีผลข้างเคียงต่อกระเพาะอาหาร เนื่องจากยับยั้งเอนไซม์ cox-2 ที่กระเพาะอาหาร</t>
        </is>
      </c>
      <c r="F81" s="35" t="inlineStr">
        <is>
          <t>ยากลุ่ม cox-2 inhibitor แต่ละตัวมี cox-2/cox-1 Selective ratio ที่แตกต่างกัน</t>
        </is>
      </c>
      <c r="G81" s="35" t="inlineStr">
        <is>
          <t>ยากลุ่ม cox-2 inhibitor ทุกตัวไม่สามารถให้ในผู้ป่วยที่แพ้ยากลุ่ม sulfonamide ได้</t>
        </is>
      </c>
      <c r="H81" s="35" t="inlineStr">
        <is>
          <t>ยากลุ่ม cox-2 inhibitor ออกฤทธิ์จับกับ Cox-2 เท่านั้น โดยไม่สามารถจับกับเอนไซม์ cox-1 ได้</t>
        </is>
      </c>
      <c r="I81" s="35" t="n">
        <v>3</v>
      </c>
      <c r="J81" s="35" t="inlineStr">
        <is>
          <t>✅ คำตอบที่ถูกต้อง: ข้อ ค. ยากลุ่ม COX-2 inhibitor แต่ละตัวมี COX-2/COX-1 Selective ratio ที่แตกต่างกัน
💡 Background:
ยาต้านการอักเสบกลุ่ม COX-2 Selective Inhibitors (Coxibs) ได้รับการพัฒนาขึ้นเพื่อมุ่งยับยั้งเอนไซม์ Cyclooxygenase-2 (COX-2) ที่ถูกเหนี่ยวนำให้สร้างขึ้นในบริเวณที่มีการอักเสบ โดยลดการยับยั้งเอนไซม์ Cyclooxygenase-1 (COX-1) ที่ทำหน้าที่สร้าง Prostaglandins ปกป้องเยื่อบุกระเพาะอาหารและควบคุมการทำงานของเกล็ดเลือด ในทางเคมีเภสัชวิทยา ระดับความจำเพาะเจาะจง (Selectivity ratio ของ COX-2 เทียบกับ COX-1) ของยาแต่ละตัวในกลุ่มนี้มีความแตกต่างกันอย่างมาก โดยเรียงลำดับความจำเพาะต่อ COX-2 สูงสุดจากมากไปน้อยได้แก่: Lumiracoxib / Etoricoxib &gt; Rofecoxib &gt; Valdecoxib &gt; Celecoxib
🎯 ทำไมข้อนี้ถึงถูก:
ข้อ ค. ถูกต้อง ชัดเจนตามหลักเภสัชวิทยา ยาแต่ละตัวในกลุ่ม Coxibs มีค่า IC50 ratio หรือความจำเพาะเจาะจงในการยับยั้ง COX-2 เมื่อเทียบกับ COX-1 ที่แตกต่างกันอย่างมีนัยสำคัญ
🔍 ข้ออื่นผิดเพราะอะไร:
• ข้อ ก. (มี Carboxyl group เป็นส่วนสำคัญในการจับกับเอนไซม์ COX-2): ผิด โครงสร้างสำคัญที่ทำให้จับกับช่องกระเปาะด้านข้าง (Side pocket) ของ COX-2 ได้ คือหมู่แทนที่ที่แข็งเกร็ง เช่น Sulfonamide group (ใน Celecoxib) หรือ Methylsulfonyl group (ใน Etoricoxib, Rofecoxib) ไม่ใช่ Carboxyl group
• ข้อ ข. (ไม่มีผลข้างเคียงต่อกระเพาะอาหาร): ผิด แม้จะลดพิษต่อกระเพาะอาหารลงได้มากกว่า Traditional non-selective NSAIDs ประมาณ 50% แต่ยังคงมีความเสี่ยงต่อการเกิดแผลและเลือดออกในทางเดินอาหารได้ โดยเฉพาะเมื่อใช้ขนาดสูงหรือใช้ร่วมกับ Aspirin
• ข้อ ง. (ทุกตัวไม่สามารถให้ในผู้ป่วยที่แพ้ยากลุ่ม Sulfonamide ได้): ผิด เฉพาะ Celecoxib เท่านั้นที่มีหมู่ Sulfonamide (-SO2NH2) ในโครงสร้าง ส่วน Etoricoxib มีหมู่ Methylsulfonyl (-SO2CH3) จึงสามารถใช้ในผู้ป่วยที่แพ้ยากลุ่ม Sulfa ได้อย่างปลอดภัย
• ข้อ จ. (ออกฤทธิ์จับกับ COX-2 เท่านั้น ไม่สามารถจับกับ COX-1 ได้เลย): ผิด คำว่า "Selective" หมายถึงความจำเพาะเจาะจงที่สูงกว่า แต่ไม่ได้เป็น "Specific" 100% หากได้รับยาในขนาดสูงเกินขนาด ยายังคงสามารถไปยับยั้ง COX-1 ได้เช่นกัน
📖 Guideline อ้างอิง:
Goodman &amp; Gilman's: The Pharmacological Basis of Therapeutics (Chapter: Anti-inflammatory, Antipyretic, and Analgesic Agents) &amp; Foye's Principles of Medicinal Chemistry
📌 จุดจำก่อนสอบ:
• Sulfa Allergy in Coxibs: Celecoxib มี Sulfonamide moiety (ห้ามใช้ในคนแพ้ Sulfa) แต่ Etoricoxib และ Parecoxib ปลอดภัยในผู้แพ้ซัลฟา
• Cardiovascular Risk: ยิ่งยามีความจำเพาะต่อ COX-2 สูงมาก (Etoricoxib, Celecoxib ขนาดสูง) ยิ่งเพิ่มความเสี่ยงต่อการเกิดลิ่มเลือดอุดตันในหลอดเลือดหัวใจ (Thrombotic CV events) จากการยับยั้ง PGI2 โดยไม่ยับยั้ง TXA2</t>
        </is>
      </c>
      <c r="K81" s="35" t="n"/>
      <c r="L81" s="35" t="inlineStr">
        <is>
          <t>Osteoarthritis</t>
        </is>
      </c>
      <c r="M81" s="35" t="inlineStr">
        <is>
          <t>Clinic</t>
        </is>
      </c>
      <c r="N81" s="35" t="inlineStr">
        <is>
          <t>ข้อ 9 Pharma Plus เล่มม่วง (เฉลยข้อ ค)</t>
        </is>
      </c>
      <c r="O81" s="35" t="inlineStr">
        <is>
          <t>ข้อสอบจริง</t>
        </is>
      </c>
      <c r="P81" s="35" t="inlineStr">
        <is>
          <t>Pharma Plus เล่มม่วง</t>
        </is>
      </c>
    </row>
    <row r="82" ht="409.6" customHeight="1" s="37">
      <c r="A82" s="35" t="n">
        <v>80</v>
      </c>
      <c r="B82" s="35"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ข้อมูลใดชี้ว่า เป็น gouty arthritis มากที่สุด</t>
        </is>
      </c>
      <c r="C82" s="35" t="n"/>
      <c r="D82" s="35" t="inlineStr">
        <is>
          <t>ปวดบวมข้อที่นิ้วมือและเท้า</t>
        </is>
      </c>
      <c r="E82" s="35" t="inlineStr">
        <is>
          <t>ปวดบวมแดงร้อน</t>
        </is>
      </c>
      <c r="F82" s="35" t="inlineStr">
        <is>
          <t>Uric acid</t>
        </is>
      </c>
      <c r="G82" s="35" t="inlineStr">
        <is>
          <t>Scr</t>
        </is>
      </c>
      <c r="H82" s="35" t="inlineStr">
        <is>
          <t>Synovial crystal</t>
        </is>
      </c>
      <c r="I82" s="35" t="n">
        <v>5</v>
      </c>
      <c r="J82" s="35" t="inlineStr">
        <is>
          <t>✅ คำตอบที่ถูกต้อง: ข้อ จ. การตรวจพบผลึกยูเรตในน้ำไขข้อ (Synovial fluid urate crystal)
💡 Background:
แม้ว่าอาการปวดข้อเฉียบพลันร่วมกับระดับกรดยูริกในเลือดที่สูง (Hyperuricemia) จะช่วยสนับสนุนการวินิจฉัยโรคเกาต์ได้อย่างมาก แต่เกณฑ์มาตรฐานสูงสุดที่เป็นข้อพิสูจน์ยืนยันการวินิจฉัยโรคเกาต์ได้อย่างแน่นอนที่สุด (Definitive Gold Standard Diagnosis) ตามข้อกำหนดของ ACR และ EULAR คือ "การเจาะตรวจน้ำไขข้อ (Arthrocentesis) แล้วส่องตรวจด้วยกล้องจุลทรรศน์โพลาไรซ์ (Polarizing microscope) พบผลึกเกลือ Monosodium Urate (MSU)" ซึ่งมีลักษณะจำเพาะคือ รูปทรงเข็ม (Needle-shaped) และมีคุณสมบัติหักเหแสงแบบขั้วลบ (Strongly negative birefringence)
🎯 ทำไมข้อนี้ถึงถูก:
การตรวจพบผลึก MSU ในน้ำไขข้อ (Synovial crystal) เป็น Gold standard เพียงหนึ่งเดียวที่ใช้ยืนยันการวินิจฉัยโรคเกาต์ได้อย่างเด็ดขาด 100%
🔍 ข้ออื่นผิดเพราะอะไร:
• ข้อ ก. (ปวดบวมข้อที่นิ้วมือและเท้า) และ ข้อ ข. (ปวดบวมแดงร้อน): เป็นเพียงอาการและอาการแสดงทางคลินิก (Clinical manifestations) ซึ่งอาจพบในโรคข้ออักเสบจากการติดเชื้อ (Septic arthritis) หรือข้ออักเสบจากผลึกชนิดอื่น (Pseudogout) ได้เช่นกัน
• ข้อ ค. (ระดับ Uric acid ในเลือด): ระดับกรดยูริกในเลือดสูงไม่ได้แปลว่าเป็นโรคเกาต์เสมอไป (Asymptomatic hyperuricemia) และในทางกลับกัน ในระหว่างที่มีข้ออักเสบเฉียบพลันกำเริบ ระดับกรดยูริกในเลือดของผู้ป่วยโรคเกาต์อาจลดลงมาอยู่ในเกณฑ์ปกติได้ถึง 30% ของผู้ป่วย
• ข้อ ง. (Serum creatinine): เป็นค่าการทำงานของไต ไม่ใช่เกณฑ์วินิจฉัยโรคข้อเกาต์
📖 Guideline อ้างอิง:
2015 ACR/EULAR Gout Classification Criteria &amp; 2020 American College of Rheumatology Guideline for the Management of Gout
📌 จุดจำก่อนสอบ:
• Gold Standard Gout Diagnosis: Synovial fluid analysis พบ Needle-shaped, strongly negatively birefringent MSU crystals
• Serum Uric Acid during Flare: ระดับกรดยูริกในเลือดขณะมี Acute flare อาจมีค่า "ปกติ" ได้ ดังนั้นห้ามตัดการวินิจฉัยโรคเกาต์เพียงเพราะผลเลือดกรดยูริกปกติ</t>
        </is>
      </c>
      <c r="K82" s="35" t="n"/>
      <c r="L82" s="35" t="inlineStr">
        <is>
          <t>Gout</t>
        </is>
      </c>
      <c r="M82" s="35" t="inlineStr">
        <is>
          <t>Clinic</t>
        </is>
      </c>
      <c r="N82" s="35" t="inlineStr">
        <is>
          <t>ข้อ 10 Pharma Plus เล่มม่วง (เฉลยข้อ จ)</t>
        </is>
      </c>
      <c r="O82" s="35" t="inlineStr">
        <is>
          <t>ข้อสอบจริง</t>
        </is>
      </c>
      <c r="P82" s="35" t="inlineStr">
        <is>
          <t>Pharma Plus เล่มม่วง</t>
        </is>
      </c>
    </row>
    <row r="83" ht="409.6" customHeight="1" s="37">
      <c r="A83" s="35" t="n">
        <v>81</v>
      </c>
      <c r="B83" s="35"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ยาใดควรได้รับอันดับแรก</t>
        </is>
      </c>
      <c r="C83" s="35" t="n"/>
      <c r="D83" s="35" t="inlineStr">
        <is>
          <t>Allopurinol</t>
        </is>
      </c>
      <c r="E83" s="35" t="inlineStr">
        <is>
          <t>Aspirin</t>
        </is>
      </c>
      <c r="F83" s="35" t="inlineStr">
        <is>
          <t>Colchicine</t>
        </is>
      </c>
      <c r="G83" s="35" t="inlineStr">
        <is>
          <t>Prednisolone</t>
        </is>
      </c>
      <c r="H83" s="35" t="inlineStr">
        <is>
          <t>Probenecid</t>
        </is>
      </c>
      <c r="I83" s="35" t="n">
        <v>3</v>
      </c>
      <c r="J83" s="35" t="inlineStr">
        <is>
          <t>✅ คำตอบที่ถูกต้อง: ข้อ ค. Colchicine (หรือยาสเตียรอยด์ Prednisolone ในรายที่ข้ออักเสบหลายข้อ)
💡 Background:
ผู้ป่วยชายอายุ 35 ปี มีอาการข้ออักเสบเฉียบพลัน ปวด บวม แดง ร้อน บริเวณข้อนิ้วมือและข้อนิ้วเท้า เป้าหมายเร่งด่วนคือการระงับการอักเสบเฉียบพลันของข้อ การรักษาด้วยยาประกอบด้วย Colchicine, NSAIDs หรือ Systemic Corticosteroids (Prednisolone) ส่วนยาลดกรดยูริก (Allopurinol, Probenecid) และยาแอสไพริน (Aspirin) ห้ามนำมาใช้ระงับอาการปวดเฉียบพลันเด็ดขาด
🎯 ทำไมข้อนี้ถึงถูก:
Colchicine (หรือ Prednisolone) เป็นยาต้านการอักเสบที่มีประสิทธิภาพสูงในการระงับอาการข้ออักเสบเกาต์เฉียบพลัน โดย Colchicine 0.6 mg เม็ดแรกตามด้วย 0.6 mg ในอีก 1 ชั่วโมงถัดมา (Low-dose regimen) ช่วยลดอาการปวดบวมได้อย่างรวดเร็ว
🔍 ข้ออื่นผิดเพราะอะไร:
• ข้อ ก. (Allopurinol) และ ข้อ จ. (Probenecid): เป็นยาลดกรดยูริก (ULT) ห้ามเริ่มต้นใช้ในขณะที่ข้อกำลังอักเสบเฉียบพลัน เพราะจะทำให้ระดับยูริกในกระแสเลือดเปลี่ยนแปลงฉับพลัน เกิดการสลายและละลายของผลึกยูเรตที่ผิวข้อ ส่งผลให้ข้ออักเสบรุนแรงขึ้นและระยะเวลาการปวดยืดเยื้อออกไป
• ข้อ ข. (Aspirin): ในขนาดต่ำ (&lt; 2-3 g/day) แอสไพรินจะไปยับยั้งการขับกรดยูริกที่ท่อไตส่วนปลาย (Inhibit renal tubular uric acid excretion) ส่งผลให้ระดับกรดยูริกในเลือดสูงขึ้นและทำให้อาการเกาต์กำเริบหนักขึ้น จึงเป็นข้อห้ามใช้ในการระงับปวดเกาต์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Aspirin Effect on Uric Acid:
  - Low dose (&lt; 2 g/day) = ยับยั้งการขับยูริก -&gt; กรดยูริกในเลือดสูงขึ้น (ห้ามใช้ในเกาต์)
  - High dose (&gt; 4 g/day) = ขับยูริกออกทางไต (Uricosuric effect) แต่มีความเป็นพิษสูงมากในปัจจุบันจึงไม่ใช้</t>
        </is>
      </c>
      <c r="K83" s="35" t="n"/>
      <c r="L83" s="35" t="inlineStr">
        <is>
          <t>Gout</t>
        </is>
      </c>
      <c r="M83" s="35" t="inlineStr">
        <is>
          <t>Clinic</t>
        </is>
      </c>
      <c r="N83" s="35" t="inlineStr">
        <is>
          <t>ข้อ 11 Pharma Plus เล่มม่วง (เฉลยข้อ ค)</t>
        </is>
      </c>
      <c r="O83" s="35" t="inlineStr">
        <is>
          <t>ข้อสอบจริง</t>
        </is>
      </c>
      <c r="P83" s="35" t="inlineStr">
        <is>
          <t>Pharma Plus เล่มม่วง</t>
        </is>
      </c>
    </row>
    <row r="84" ht="409.6" customHeight="1" s="37">
      <c r="A84" s="35" t="n">
        <v>82</v>
      </c>
      <c r="B84" s="35" t="inlineStr">
        <is>
          <t>ผู้ป่วยประวัติเบาหวาน ความดันโลหิตสูง ไขมันในเลือดสูง ได้รับยา glibenclamide, MFM, simvastatin, HCTZ และซื้อยา ibuprofen กินเมื่อมีอาการปวดข้อ และกินยา CaCO3 เพื่อบำรุงกระดูกประจำ ยาใดทำให้เกิดปัจจัยเสี่ยงการเกิด gouty attack ในผู้ป่วยรายนี้
ยาใดทำให้เกิดปัจจัยเสี่ยงการเกิด gouty attack ในผู้ป่วยรายนี้</t>
        </is>
      </c>
      <c r="C84" s="35" t="n"/>
      <c r="D84" s="35" t="inlineStr">
        <is>
          <t>CaCO3</t>
        </is>
      </c>
      <c r="E84" s="35" t="inlineStr">
        <is>
          <t>HCTZ</t>
        </is>
      </c>
      <c r="F84" s="35" t="inlineStr">
        <is>
          <t>Ibuprofen</t>
        </is>
      </c>
      <c r="G84" s="35" t="inlineStr">
        <is>
          <t>MFM</t>
        </is>
      </c>
      <c r="H84" s="35" t="inlineStr">
        <is>
          <t>Simvastatin</t>
        </is>
      </c>
      <c r="I84" s="35" t="n">
        <v>4</v>
      </c>
      <c r="J84" s="35" t="inlineStr">
        <is>
          <t>✅ คำตอบที่ถูกต้อง: ข้อ ง. HCTZ (Hydrochlorothiazide)
💡 Background:
ภาวะกรดยูริกในเลือดสูง (Hyperuricemia) สามารถถูกชักนำหรือทำให้แย่ลงได้จากการใช้ยาหลายกลุ่ม โดยเฉพาะยาขับปัสสาวะกลุ่ม Thiazides (เช่น HCTZ) และ Loop diuretics (เช่น Furosemide) ซึ่งออกฤทธิ์แย่งชิงการขับออกของกรดยูริกที่ท่อไตส่วนต้น (Compete for organic acid transporter: OAT4 / URAT1) และเหนี่ยวนำให้เกิดภาวะขาดน้ำ (Volume depletion) จนร่างกายดูดกลับกรดยูริกเพิ่มขึ้น
🎯 ทำไมข้อนี้ถึงถูก:
Hydrochlorothiazide (HCTZ) เป็นยาขับปัสสาวะที่มีรายงานอย่างชัดเจนว่าเพิ่มระดับกรดยูริกในเลือด และเป็นปัจจัยกระตุ้นให้เกิดข้ออักเสบเกาต์กำเริบ (Gout attack) บ่อยที่สุดในเวชปฏิบัติ จึงควรระมัดระวังหรือหลีกเลี่ยงในผู้ป่วยโรคเกาต์
🔍 ข้ออื่นผิดเพราะอะไร:
• ข้อ ก. (Allopurinol): เป็นยาลดกรดยูริกในเลือด โดยยับยั้งเอนไซม์ Xanthine oxidase ไม่ใช่ยาที่ทำให้ยูริกสูง
• ข้อ ข. (Colchicine): เป็นยาต้านการอักเสบที่ออกฤทธิ์ยับยั้ง Tubulin polymerization ไม่ส่งผลเพิ่มระดับกรดยูริกในเลือด
• ข้อ ค. (Ibuprofen) และ ข้อ จ. (Naproxen): เป็นยาต้านการอักเสบกลุ่ม NSAIDs ใช้รักษาอาการข้ออักเสบเกาต์เฉียบพลัน ไม่มีผลเพิ่มระดับกรดยูริกในเลือดอย่างมีนัยสำคัญ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Gout-Inducing Drugs: ยาที่ทำให้กรดยูริกในเลือดสูงและกระตุ้นเกาต์ ได้แก่ ยาขับปัสสาวะ (Thiazides, Loop diuretics), Low-dose Aspirin, ยาต้านวัณโรค (Pyrazinamide, Ethambutol), และยากดภูมิ (Cyclosporine, Tacrolimus)
• Diuretic Alternative in HTN with Gout: ยาลดความดันที่แนะนำในผู้ป่วยเกาต์คือ Losartan (มีคุณสมบัติ Uricosuric ช่วยขับกรดยูริก) หรือ Calcium Channel Blockers (Amlodipine)</t>
        </is>
      </c>
      <c r="K84" s="35" t="n"/>
      <c r="L84" s="35" t="inlineStr">
        <is>
          <t>Gout</t>
        </is>
      </c>
      <c r="M84" s="35" t="inlineStr">
        <is>
          <t>Clinic</t>
        </is>
      </c>
      <c r="N84" s="35" t="inlineStr">
        <is>
          <t>ข้อ 12 Pharma Plus เล่มม่วง (เฉลยข้อ ง)</t>
        </is>
      </c>
      <c r="O84" s="35" t="inlineStr">
        <is>
          <t>ข้อสอบจริง</t>
        </is>
      </c>
      <c r="P84" s="35" t="inlineStr">
        <is>
          <t>Pharma Plus เล่มม่วง</t>
        </is>
      </c>
    </row>
    <row r="85" ht="409.6" customHeight="1" s="37">
      <c r="A85" s="35" t="n">
        <v>83</v>
      </c>
      <c r="B85" s="35" t="inlineStr">
        <is>
          <t>ยาใดควรระวังในกลุ่ม sulfonamide</t>
        </is>
      </c>
      <c r="C85" s="35" t="n"/>
      <c r="D85" s="35" t="inlineStr">
        <is>
          <t>Allopurinol</t>
        </is>
      </c>
      <c r="E85" s="35" t="inlineStr">
        <is>
          <t>Colchicine</t>
        </is>
      </c>
      <c r="F85" s="35" t="inlineStr">
        <is>
          <t>HCTZ</t>
        </is>
      </c>
      <c r="G85" s="35" t="inlineStr">
        <is>
          <t>Ibuprofen</t>
        </is>
      </c>
      <c r="H85" s="35" t="inlineStr">
        <is>
          <t>Naproxen</t>
        </is>
      </c>
      <c r="I85" s="35" t="n">
        <v>3</v>
      </c>
      <c r="J85" s="35" t="inlineStr">
        <is>
          <t>✅ คำตอบที่ถูกต้อง: ข้อ ค. HCTZ (Hydrochlorothiazide)
💡 Background:
ยา Hydrochlorothiazide (HCTZ) เป็นยาขับปัสสาวะกลุ่ม Benzothiadiazine ซึ่งมีโครงสร้างทางเคมีเป็นอนุพันธ์ของ Sulfonamide (-SO2NH2) ดังนั้น ผู้ป่วยที่มีประวัติแพ้ยากลุ่ม Sulfa (เช่น Co-trimoxazole, Sulfamethoxazole) จึงมีความเสี่ยงต่อการเกิดปฏิกิริยาการแพ้ข้ามกลุ่ม (Cross-reactivity) ได้ จึงต้องใช้ด้วยความระมัดระวังอย่างยิ่ง
🎯 ทำไมข้อนี้ถึงถูก:
ในบรรดาตัวเลือกที่กำหนด HCTZ เป็นยาตัวเดียวที่มีโครงสร้างโมเลกุลเป็น Sulfonamide derivative จึงเป็นยาที่ควรระวังในผู้ป่วยที่แพ้ยากลุ่ม Sulfonamide
🔍 ข้ออื่นผิดเพราะอะไร:
• ข้อ ก. (Allopurinol): เป็นโครงสร้าง Purine analog (Pyrazolo[3,4-d]pyrimidine) ไม่มีหมู่ Sulfonamide
• ข้อ ข. (Colchicine): เป็นสารอัลคาลอยด์ธรรมชาติจากต้น Colchicum autumnale โครงสร้างเป็น Tricyclic alkaloid ไม่มีหมู่ Sulfa
• ข้อ ง. (Ibuprofen) และ ข้อ จ. (Naproxen): เป็นยากลุ่ม Arylpropionic acid derivatives ไม่มีโครงสร้างของ Sulfonamide
📖 Guideline อ้างอิง:
Goodman &amp; Gilman's: The Pharmacological Basis of Therapeutics (Chapter: Diuretics and Sulfonamide Hypersensitivity) &amp; Joint Task Force on Practice Parameters (AAAAI/ACAAI) Drug Allergy Guideline
📌 จุดจำก่อนสอบ:
• Non-antibiotic Sulfonamides: ยาที่มีโครงสร้าง Sulfa ที่ต้องระวัง ได้แก่ Thiazide diuretics (HCTZ), Loop diuretics (Furosemide), Sulfonylureas (Glipizide), และ Carbonic anhydrase inhibitors (Acetazolamide)
• Structure Alert: ผู้ป่วยแพ้ซัลฟาสามารถใช้ NSAIDs ทั่วไป (Naproxen, Ibuprofen) และ Colchicine ได้อย่างปลอดภัย</t>
        </is>
      </c>
      <c r="K85" s="35" t="n"/>
      <c r="L85" s="35" t="inlineStr">
        <is>
          <t>Gout</t>
        </is>
      </c>
      <c r="M85" s="35" t="inlineStr">
        <is>
          <t>Clinic</t>
        </is>
      </c>
      <c r="N85" s="35" t="inlineStr">
        <is>
          <t>ข้อ 13 Pharma Plus เล่มม่วง (เฉลยข้อ ค)</t>
        </is>
      </c>
      <c r="O85" s="35" t="inlineStr">
        <is>
          <t>ข้อสอบจริง</t>
        </is>
      </c>
      <c r="P85" s="35" t="inlineStr">
        <is>
          <t>Pharma Plus เล่มม่วง</t>
        </is>
      </c>
    </row>
    <row r="86" ht="409.6" customHeight="1" s="37">
      <c r="A86" s="35" t="n">
        <v>84</v>
      </c>
      <c r="B86" s="35" t="inlineStr">
        <is>
          <t>NSAID ที่มีฤทธิ์เปลี่ยนแปลงระดับ uric acid ในเลือด</t>
        </is>
      </c>
      <c r="C86" s="35" t="n"/>
      <c r="D86" s="35" t="inlineStr">
        <is>
          <t>Aspirin</t>
        </is>
      </c>
      <c r="E86" s="35" t="inlineStr">
        <is>
          <t>Celecoxib</t>
        </is>
      </c>
      <c r="F86" s="35" t="inlineStr">
        <is>
          <t>Ibuprofen</t>
        </is>
      </c>
      <c r="G86" s="35" t="inlineStr">
        <is>
          <t>Nimesulide</t>
        </is>
      </c>
      <c r="H86" s="35" t="inlineStr">
        <is>
          <t>Piroxicam</t>
        </is>
      </c>
      <c r="I86" s="35" t="n">
        <v>1</v>
      </c>
      <c r="J86" s="35" t="inlineStr">
        <is>
          <t>✅ คำตอบที่ถูกต้อง: ข้อ ก. Aspirin (Acetylsalicylic acid)
💡 Background:
Aspirin มีผลต่อการขับกรดยูริกทางไตที่แปรผันตามขนาดยา (Biphasic effect on uric acid excretion):
1. Low dose (75-325 mg/day หรือ &lt; 2-3 g/day): แอสไพรินขนาดต่ำจะแย่งชิงการขับกรดยูริกที่ท่อไตส่วนต้น (Inhibit tubular secretion of uric acid) ทำให้ระดับกรดยูริกในเลือด "สูงขึ้น" และกระตุ้นให้อาการเกาต์กำเริบ
2. High dose (&gt; 4-5 g/day): แอสไพรินขนาดสูงจะไปยับยั้งการดูดกลับของกรดยูริก (Inhibit tubular reabsorption of uric acid) ส่งผลให้ขับกรดยูริกออกทางปัสสาวะเพิ่มขึ้น (Uricosuric effect) ทำให้ระดับกรดยูริกในเลือดลดลง
🎯 ทำไมข้อนี้ถึงถูก:
Aspirin เป็นยา NSAID เพียงตัวเดียวที่มีคุณสมบัติเปลี่ยนแปลงระดับกรดยูริกในเลือดอย่างชัดเจนและขึ้นกับขนาดยา (Biphasic effect) ต่างจาก NSAIDs ตัวอื่นๆ ทั่วไป
🔍 ข้ออื่นผิดเพราะอะไร:
• ข้อ ข. (Celecoxib), ข้อ ค. (Ibuprofen), ข้อ ง. (Nimesulide), และ ข้อ จ. (Piroxicam):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
📖 Guideline อ้างอิง:
Goodman &amp; Gilman's: The Pharmacological Basis of Therapeutics (Chapter: Analgesic-Antipyretic and Anti-inflammatory Agents) &amp; 2020 ACR Guideline for Gout
📌 จุดจำก่อนสอบ:
• Biphasic Uric Acid Effect of Aspirin:
  - ขนาดต่ำ (&lt; 2 g/day เช่น เบบี้แอสไพริน 81 mg) = ลดการขับยูริก -&gt; กรดยูริกในเลือดสูงขึ้น (ระวังในเกาต์)
  - ขนาดสูงมาก (&gt; 4 g/day) = ขับยูริกออกทางปัสสาวะ -&gt; กรดยูริกลดลง แต่มีความเป็นพิษต่อกระเพาะและระบบประสาทสูงมาก</t>
        </is>
      </c>
      <c r="K86" s="35" t="n"/>
      <c r="L86" s="35" t="inlineStr">
        <is>
          <t>Gout</t>
        </is>
      </c>
      <c r="M86" s="35" t="inlineStr">
        <is>
          <t>Clinic</t>
        </is>
      </c>
      <c r="N86" s="35" t="inlineStr">
        <is>
          <t>ข้อ 14 Pharma Plus เล่มม่วง (เฉลยข้อ ก)</t>
        </is>
      </c>
      <c r="O86" s="35" t="inlineStr">
        <is>
          <t>ข้อสอบจริง</t>
        </is>
      </c>
      <c r="P86" s="35" t="inlineStr">
        <is>
          <t>Pharma Plus เล่มม่วง</t>
        </is>
      </c>
    </row>
    <row r="87" ht="409.6" customHeight="1" s="37">
      <c r="A87" s="35" t="n">
        <v>85</v>
      </c>
      <c r="B87" s="35"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ข้อใดไม่ใช่ลักษณะหรืออาการของโรคเกาท์</t>
        </is>
      </c>
      <c r="C87" s="35" t="n"/>
      <c r="D87" s="35" t="inlineStr">
        <is>
          <t>เกิดจากการสร้าง uric acid มากเกินไป</t>
        </is>
      </c>
      <c r="E87" s="35" t="inlineStr">
        <is>
          <t>เกิดจากการที่ขับ uric acid ได้น้อยลง</t>
        </is>
      </c>
      <c r="F87" s="35" t="inlineStr">
        <is>
          <t>อาการจะค่อยๆปวด มากขึ้นเรื่อย ๆ</t>
        </is>
      </c>
      <c r="G87" s="35" t="inlineStr">
        <is>
          <t>อาการมักจะเกิดตอนกลางคืนหรือเช้ามืด</t>
        </is>
      </c>
      <c r="H87" s="35" t="inlineStr">
        <is>
          <t>อาจพบนิ่วตกตะกอนที่ไตได้</t>
        </is>
      </c>
      <c r="I87" s="35" t="n">
        <v>3</v>
      </c>
      <c r="J87" s="35" t="inlineStr">
        <is>
          <t>✅ คำตอบที่ถูกต้อง: ข้อ ค. อาการจะค่อยๆ ปวด มากขึ้นเรื่อยๆ (เป็นข้อความที่ผิด)
💡 Background:
ลักษณะทางคลินิกที่จำเพาะเจาะจงของโรคข้ออักเสบเกาต์เฉียบพลัน (Acute Gout Flare) คือ "อาการปวดข้อเกิดขึ้นอย่างรวดเร็วและรุนแรงมากจนถึงจุดสูงสุดภายใน 12 ถึง 24 ชั่วโมงแรก (Rapid onset of severe pain reaching maximal intensity within 12-24 hours)" ไม่ใช่การค่อยๆ ปวดสะสมทีละน้อยเป็นสัปดาห์หรือเป็นเดือน นอกจากนี้การกำเริบมักเกิดขึ้นในเวลากลางคืนหรือเช้ามืดเนื่องจากอุณหภูมิร่างกายที่ลดลงและภาวะขาดน้ำในเวลากลางคืนส่งผลให้ผลึกเกลือยูเรตตกตะกอนได้ง่ายขึ้น
🎯 ทำไมข้อนี้ถึงถูก:
โจทย์ถามว่าข้อใดกล่าวไม่ถูกต้องเกี่ยวกับโรคเกาต์กำเริบ: ข้อ ค. ที่ระบุว่า "อาการจะค่อยๆ ปวดมากขึ้นเรื่อยๆ" นั้นผิด เพราะเกาต์มีลักษณะปวดรุนแรงแบบเฉียบพลันฉับพลัน (Explosive acute attack) ต่างจากโรคข้อเสื่อม (OA) ที่อาการปวดจะค่อยๆ เป็นค่อยๆ ไปตามการใช้งาน
🔍 ข้ออื่นผิดเพราะอะไร:
• ข้อ ก. (เกิดจากการสร้าง uric acid มากเกินไป): ถูกต้อง เป็นหนึ่งในกลไกของโรคเกาต์ (Overproduction ~10%)
• ข้อ ข. (เกิดจากการที่ขับ uric acid ได้น้อยลง): ถูกต้อง เป็นสาเหตุหลักของผู้ป่วยโรคเกาต์ส่วนใหญ่ (Underexcretion ~90%)
• ข้อ ง. (อาการมักจะเกิดตอนกลางคืนหรือเช้ามืด): ถูกต้อง เป็นช่วงเวลาที่พบบ่อยที่สุดของ Gout attack
• ข้อ จ. (อาจพบนิ่วตกตะกอนที่ไตได้): ถูกต้อง กรดยูริกที่ละลายไม่หมดในปัสสาวะที่เป็นกรดสามารถตกผลึกกลายเป็นนิ่วทางเดินปัสสาวะ (Uric acid nephrolithiasis) ได้
📖 Guideline อ้างอิง:
2020 American College of Rheumatology (ACR) Guideline for the Management of Gout &amp; EULAR Recommendations for Gout Diagnosis
📌 จุดจำก่อนสอบ:
• Acute Flare Kinetics: ข้ออักเสบเกาต์ปวดแตะจุดสูงสุด (Peak pain) ภายใน 24 ชั่วโมงแรกเสมอ (มักตื่นมาปวดตอนเช้ามืด) หากปวดตื้อๆ ค่อยๆ เป็นมาหลายสัปดาห์ ต้องนึกถึงโรคข้ออื่น เช่น Osteoarthritis หรือ Chronic Tendinitis</t>
        </is>
      </c>
      <c r="K87" s="35" t="n"/>
      <c r="L87" s="35" t="inlineStr">
        <is>
          <t>Gout</t>
        </is>
      </c>
      <c r="M87" s="35" t="inlineStr">
        <is>
          <t>Clinic</t>
        </is>
      </c>
      <c r="N87" s="35" t="inlineStr">
        <is>
          <t>ข้อ 15 Pharma Plus เล่มม่วง (เฉลยข้อ ค)</t>
        </is>
      </c>
      <c r="O87" s="35" t="inlineStr">
        <is>
          <t>ข้อสอบจริง</t>
        </is>
      </c>
      <c r="P87" s="35" t="inlineStr">
        <is>
          <t>Pharma Plus เล่มม่วง</t>
        </is>
      </c>
    </row>
    <row r="88" ht="409.6" customHeight="1" s="37">
      <c r="A88" s="35" t="n">
        <v>86</v>
      </c>
      <c r="B88" s="35"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ข้อใดผิด</t>
        </is>
      </c>
      <c r="C88" s="35" t="n"/>
      <c r="D88" s="35" t="inlineStr">
        <is>
          <t>โรคที่อาจมีผลทำให้ระดับ uric acid สูงขึ้น ได้แก่ เบาหวาน ความดันโลหิตสูง</t>
        </is>
      </c>
      <c r="E88" s="35" t="inlineStr">
        <is>
          <t>หากผู้ป่วยมีอาการปวดข้อ ข้อบวมควรรีบให้ยาลดระดับ uric acid ในเลือด</t>
        </is>
      </c>
      <c r="F88" s="35" t="inlineStr">
        <is>
          <t>การให้ยา aspirin ในขนาด 3 g ต่อวัน มีผลให้ระดับ uric acid ลดลง</t>
        </is>
      </c>
      <c r="G88" s="35" t="inlineStr">
        <is>
          <t>ยา colchicine จะให้ผลการรักษาที่ดีใน 2 วันแรกของ gout attack</t>
        </is>
      </c>
      <c r="H88" s="35" t="inlineStr">
        <is>
          <t>พันธุกรรม มีผลต่อการเกิดโรค</t>
        </is>
      </c>
      <c r="I88" s="35" t="n">
        <v>2</v>
      </c>
      <c r="J88" s="35" t="inlineStr">
        <is>
          <t>✅ คำตอบที่ถูกต้อง: ข้อ ข. หากผู้ป่วยมีอาการปวดข้อ ข้อบวมควรรีบให้ยาลดระดับ uric acid ในเลือด (เป็นข้อความที่ผิด)
💡 Background:
หลักการสำคัญในการรักษาโรคข้ออักเสบเกาต์คือ การแยกระหว่าง "การรักษาข้ออักเสบเฉียบพลัน (Acute flare management)" และ "การลดระดับกรดยูริกในระยะยาว (Urate-Lowering Therapy: ULT)" ในกรณีที่ผู้ป่วยมีอาการปวดบวมข้อเฉียบพลันและยังไม่เคยได้รับยาลดกรดยูริกมาก่อน "ห้ามเริ่มต้นยาลดกรดยูริก (เช่น Allopurinol, Febuxostat, Probenecid) ทันทีในขณะที่ข้อกำลังอักเสบเฉียบพลัน" ควรรอให้อาการอักเสบสงบลงอย่างน้อย 2-4 สัปดาห์ก่อน จึงเริ่มยา เพราะการลดระดับยูริกอย่างรวดเร็วจะทำให้ผลึกยูเรตแตกตัวและกระตุ้นการอักเสบให้รุนแรงและยืดเยื้อขึ้น
🎯 ทำไมข้อนี้ถึงถูก:
โจทย์ถามข้อความที่ไม่ถูกต้อง: ข้อ ข. ที่ระบุว่า "หากผู้ป่วยมีอาการปวดข้อ ข้อบวมควรรีบให้ยาลดระดับ uric acid" เป็นการจัดการที่ผิดหลักการทางเภสัชบำบัดอย่างร้ายแรง
🔍 ข้ออื่นผิดเพราะอะไร:
• ข้อ ก. (เบาหวาน ความดันโลหิตสูง สัมพันธ์กับกรดยูริกสูง): ถูกต้อง เป็นส่วนหนึ่งของ Metabolic syndrome ซึ่งส่งผลลดการขับกรดยูริกทางไต
• ข้อ ค. (Aspirin ขนาด 3 g/day มีผลให้ระดับ uric acid ลดลง): ถูกต้อง ตามหลักเภสัชวิทยา แอสไพรินขนาดสูงมาก (&gt; 3-4 g/day) มีฤทธิ์ Uricosuric ขับกรดยูริกออกทางไต
• ข้อ ง. (Colchicine ให้ผลการรักษาที่ดีใน 2 วันแรกของ gout attack): ถูกต้อง Colchicine จะได้ผลดีที่สุดเมื่อเริ่มภายใน 24-36 ชั่วโมงแรกหลังเริ่มมีอาการ
• ข้อ จ. (พันธุกรรมมีผลต่อการเกิดโรค): ถูกต้อง ความผิดปกติของยีนตัวขนส่งยูเรต (เช่น SLC2A9, ABCG2) ถ่ายทอดทางพันธุกรรมได้
📖 Guideline อ้างอิง:
2020 American College of Rheumatology (ACR) Guideline for the Management of Gout &amp; EULAR Recommendations for Gout
📌 จุดจำก่อนสอบ:
• Never Start ULT in Acute Flare: หากเป็นผู้ป่วยใหม่ ห้ามเริ่มยาลดกรดยูริก (Allopurinol/Probenecid) ขณะมี Acute flare แต่ถ้าเป็นผู้ป่วยที่ทานยา ULT ประจำอยู่แล้ว ให้ทานยาเดิมต่อเนื่อง ห้ามหยุดยา</t>
        </is>
      </c>
      <c r="K88" s="35" t="n"/>
      <c r="L88" s="35" t="inlineStr">
        <is>
          <t>Gout</t>
        </is>
      </c>
      <c r="M88" s="35" t="inlineStr">
        <is>
          <t>Clinic</t>
        </is>
      </c>
      <c r="N88" s="35" t="inlineStr">
        <is>
          <t>ข้อ 16 Pharma Plus เล่มม่วง (เฉลยข้อ ข)</t>
        </is>
      </c>
      <c r="O88" s="35" t="inlineStr">
        <is>
          <t>ข้อสอบจริง</t>
        </is>
      </c>
      <c r="P88" s="35" t="inlineStr">
        <is>
          <t>Pharma Plus เล่มม่วง</t>
        </is>
      </c>
    </row>
    <row r="89" ht="409.6" customHeight="1" s="37">
      <c r="A89" s="35" t="n">
        <v>87</v>
      </c>
      <c r="B89" s="35"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89" s="35" t="n"/>
      <c r="D89" s="35" t="inlineStr">
        <is>
          <t>Indomethacin</t>
        </is>
      </c>
      <c r="E89" s="35" t="inlineStr">
        <is>
          <t>Colchicine</t>
        </is>
      </c>
      <c r="F89" s="35" t="inlineStr">
        <is>
          <t>Indomethacin + colchicine</t>
        </is>
      </c>
      <c r="G89" s="35" t="inlineStr">
        <is>
          <t>Colchicine + allopurinol</t>
        </is>
      </c>
      <c r="H89" s="35" t="inlineStr">
        <is>
          <t>Indomethacin + colchicine + allopurinol</t>
        </is>
      </c>
      <c r="I89" s="35" t="n">
        <v>1</v>
      </c>
      <c r="J89" s="35" t="inlineStr">
        <is>
          <t>✅ คำตอบที่ถูกต้อง: ข้อ ก. Indomethacin (หรือเพิ่มขนาดยา / ให้ Colchicine เสริม)
💡 Background:
ผู้ป่วยชายอายุ 60 ปี โรคเกาต์กำเริบเฉียบพลันหลังดื่มแอลกอฮอล์และรับประทานอาหารพิวรีนสูง โดยมีประวัติยาเดิมที่เคยใช้ควบคุมอาการปวดอักเสบได้ผลดีคือ Indomethacin ซึ่งเป็นยาต้านการอักเสบกลุ่ม Non-selective NSAID ที่มีประสิทธิภาพสูงมากในการระงับอาการปวดข้อเกาต์เฉียบพลัน การรักษาภาวะกำเริบเฉียบพลันในผู้ป่วยที่ไม่มีข้อห้ามใช้ NSAIDs คือการให้ยากลุ่ม NSAIDs (เช่น Indomethacin 50 mg วันละ 3 ครั้ง) ในระยะสั้นจนกว่าอาการปวดจะทุเลา
🎯 ทำไมข้อนี้ถึงถูก:
Indomethacin เป็นยาต้านการอักเสบที่ตรงจุดและตรงกับประวัติการตอบสนองเดิมของผู้ป่วยรายนี้ โดยให้เดี่ยวๆ ในขนาดเต็มเพื่อระงับการอักเสบเฉียบพลัน
🔍 ข้ออื่นผิดเพราะอะไร:
• ข้อ ข. (Colchicine เดี่ยวๆ): สามารถใช้ได้เช่นกัน แต่ผู้ป่วยเคยได้ผลดีจาก Indomethacin มาก่อน
• ข้อ ค. (Indomethacin + Colchicine): การใช้ยาต้านการอักเสบสองตัวร่วมกันจะพิจารณาเฉพาะในรายที่รุนแรงมาก (Severe polyarticular gout flare) และเพิ่มความเสี่ยงต่อพิษทางเดินอาหาร
• ข้อ ง. (Colchicine + Allopurinol) และ ข้อ จ. (Indomethacin + Colchicine + Allopurinol): มี Allopurinol ร่วมด้วย ซึ่งห้ามเริ่มยา Allopurinol ในขณะที่ข้อกำลังอักเสบเฉียบพลัน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Indomethacin in Acute Gout: ขนาดยามาตรฐานคือ 50 mg วันละ 3 ครั้ง หลังอาหารทันที แล้วค่อยๆ ปรับลดขนาดยาลงเมื่ออาการดีขึ้น
• Contraindications: ระวังการใช้ NSAIDs ในผู้ป่วยโรคไตเรื้อรัง (CKD), โรคแผลในกระเพาะอาหาร (PUD), ภาวะหัวใจล้มเหลว (Heart failure), และผู้ที่ใช้ยา Warfarin</t>
        </is>
      </c>
      <c r="K89" s="35" t="n"/>
      <c r="L89" s="35" t="inlineStr">
        <is>
          <t>Gout</t>
        </is>
      </c>
      <c r="M89" s="35" t="inlineStr">
        <is>
          <t>Clinic</t>
        </is>
      </c>
      <c r="N89" s="35" t="inlineStr">
        <is>
          <t>ข้อ 17 Pharma Plus เล่มม่วง (เฉลยข้อ ก)</t>
        </is>
      </c>
      <c r="O89" s="35" t="inlineStr">
        <is>
          <t>ข้อสอบจริง</t>
        </is>
      </c>
      <c r="P89" s="35" t="inlineStr">
        <is>
          <t>Pharma Plus เล่มม่วง</t>
        </is>
      </c>
    </row>
    <row r="90" ht="396" customHeight="1" s="37">
      <c r="A90" s="35" t="n">
        <v>88</v>
      </c>
      <c r="B90"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จากข้อมูลข้างต้นท่านคิดว่าผู้ป่วยรายนี้ป่วยเป็นโรคใด</t>
        </is>
      </c>
      <c r="C90" s="35" t="n"/>
      <c r="D90" s="35" t="inlineStr">
        <is>
          <t>Rheumatoid arthritis</t>
        </is>
      </c>
      <c r="E90" s="35" t="inlineStr">
        <is>
          <t>Osteoarthritis</t>
        </is>
      </c>
      <c r="F90" s="35" t="inlineStr">
        <is>
          <t>Acute Gout</t>
        </is>
      </c>
      <c r="G90" s="35" t="inlineStr">
        <is>
          <t>Osteoporosis</t>
        </is>
      </c>
      <c r="H90" s="35" t="inlineStr">
        <is>
          <t>Osteomalacia</t>
        </is>
      </c>
      <c r="I90" s="35" t="n">
        <v>3</v>
      </c>
      <c r="J90" s="35" t="inlineStr">
        <is>
          <t>✅ คำตอบที่ถูกต้อง: ข้อ ค. Acute Gout (โรคข้ออักเสบเกาต์เฉียบพลัน)
💡 Background:
อาการปวด บวม แดง ร้อน ฉับพลันที่ข้อนิ้วหัวแม่เท้าข้างซ้าย (Podagra) ภายใน 1 วัน ร่วมกับประวัติการรับประทานอาหารพิวรีนสูงชัดเจน (ซุปหน่อไม้ และต้มเลือดหมู/เกาเหลาเครื่องในหมู) ในชายวัย 45 ปี เป็นอาการทางคลินิกจำเพาะของโรคข้ออักเสบเกาต์เฉียบพลัน (Acute Gout Flare)
🎯 ทำไมข้อนี้ถึงถูก:
ประวัติและอาการแสดงทั้งหมดตรงตามเกณฑ์ทางคลินิกของโรคข้ออักเสบเกาต์เฉียบพลัน (Acute Gout) 100%
🔍 ข้ออื่นผิดเพราะอะไร:
• ข้อ ก. (Rheumatoid arthritis): โรคข้ออักเสบรูมาตอยด์ มีการอักเสบของข้อนิ้วมือแบบสมมาตรสองข้างเรื้อรังและมี Morning stiffness &gt; 1 ชั่วโมง
• ข้อ ข. (Osteoarthritis): โรคข้อเสื่อม ปวดเมื่อใช้งานเรื้อรัง ไม่มีอาการปวดบวมแดงร้อนเฉียบพลัน
• ข้อ ง. (Osteoporosis): กระดูกพรุนไม่ทำให้ปวดข้อเฉียบพลัน
• ข้อ จ. (Osteomalacia): กระดูกอ่อน มีอาการปวดกระดูกทั่วตัวและกล้ามเนื้อล้า
📖 Guideline อ้างอิง:
2020 American College of Rheumatology (ACR) Guideline for the Management of Gout &amp; EULAR Gout Diagnosis Guidelines
📌 จุดจำก่อนสอบ:
• Podagra: อาการปวดบวมแดงร้อนที่ข้อมัตสิมะนิ้วหัวแม่เท้า (1st MTP joint) พบบ่อยที่สุดในเกาต์เฉียบพลัน
• Diet Triggers: เครื่องในสัตว์ ยอดผัก หน่อไม้ สัตว์ปีก เบียร์ และน้ำหวานฟรุกโตส คือตัวกระตุ้นข้ออักเสบเกาต์ที่พบบ่อยในคนไทย</t>
        </is>
      </c>
      <c r="K90" s="35" t="n"/>
      <c r="L90" s="35" t="inlineStr">
        <is>
          <t>Gout</t>
        </is>
      </c>
      <c r="M90" s="35" t="inlineStr">
        <is>
          <t>Clinic</t>
        </is>
      </c>
      <c r="N90" s="35" t="inlineStr">
        <is>
          <t>ข้อ 18 Pharma Plus เล่มม่วง (เฉลยข้อ ค)</t>
        </is>
      </c>
      <c r="O90" s="35" t="inlineStr">
        <is>
          <t>ข้อสอบจริง</t>
        </is>
      </c>
      <c r="P90" s="35" t="inlineStr">
        <is>
          <t>Pharma Plus เล่มม่วง</t>
        </is>
      </c>
    </row>
    <row r="91" ht="409.6" customHeight="1" s="37">
      <c r="A91" s="35" t="n">
        <v>89</v>
      </c>
      <c r="B91"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ข้อใดเป็นสาเหตุของโรคในผู้ป่วยรายนี้</t>
        </is>
      </c>
      <c r="C91" s="35" t="n"/>
      <c r="D91" s="35" t="inlineStr">
        <is>
          <t>เกิดจากการมีภาวะกรดยูริกในเลือดสูง และมีผลึก monosodium glutamate ตกตะกอนในข้อ</t>
        </is>
      </c>
      <c r="E91" s="35" t="inlineStr">
        <is>
          <t>เกิดจากการเสื่อมสภาพของกระดูกอ่อน โดยถูกทำลายจนเกิดการผิดรูปร่างไป</t>
        </is>
      </c>
      <c r="F91" s="35" t="inlineStr">
        <is>
          <t>เกิดจากการอักเสบเรื้อรังของเนื้อเยื่อไขกระดูกและกระดูกอ่อนถูกทำลาย</t>
        </is>
      </c>
      <c r="G91" s="35" t="inlineStr">
        <is>
          <t>เกิดจากโรค autoimmune ทำให้มีปุ่ม tophi เกิดขึ้นบริเวณข้ออักเสบ</t>
        </is>
      </c>
      <c r="H91" s="35" t="inlineStr">
        <is>
          <t>ไม่มีข้อใดถูก</t>
        </is>
      </c>
      <c r="I91" s="35" t="n">
        <v>5</v>
      </c>
      <c r="J91" s="35" t="inlineStr">
        <is>
          <t>✅ คำตอบที่ถูกต้อง: ข้อ จ. ไม่มีข้อใดถูก
💡 Background:
พยาธิกำเนิดที่แท้จริงของโรคเกาต์ (Pathogenesis of Gout) เกิดจากการที่ร่างกายมีระดับกรดยูริกในเลือดสูงเรื้อรัง (Hyperuricemia) จนเกินจุดอิ่มตัว ทำให้เกิดการตกผลึกของเกลือ "โมโนโซเดียมยูเรต (Monosodium Urate: MSU)" ภายในช่องข้อและเนื้อเยื่อรอบข้อ ซึ่งจะกระตุ้นระบบภูมิคุ้มกัน (NLRP3 inflammasome) หลั่งสารสื่ออักเสบ IL-1beta ทำให้เม็ดเลือดขาว Neutrophil เข้ามากัดกินผลึกและปล่อยเอนไซม์ทำลายเนื้อเยื่อข้อ
🎯 ทำไมข้อนี้ถึงถูก:
โจทย์ข้อนี้เป็นข้อสอบดักทาง (Distractor trap): ตัวเลือก ข้อ ก. ระบุว่าเป็นผลึก "Monosodium Glutamate" ซึ่งคือผงชูรส ไม่ใช่ "Monosodium Urate" ดังนั้นตัวเลือก ข้อ ก. จึงผิด และไม่มีตัวเลือกใดในข้อ ก-ง ที่อธิบายสาเหตุของโรคเกาต์ได้อย่างถูกต้อง คำตอบที่ถูกต้องจึงเป็น ข้อ จ. ไม่มีข้อใดถูก
🔍 ข้ออื่นผิดเพราะอะไร:
• ข้อ ก. (ผลึก monosodium glutamate ตกตะกอนในข้อ): ผิด Monosodium Glutamate (MSG) คือผงชูรส ผลึกที่แท้จริงในโรคเกาต์คือ "Monosodium Urate (MSU)"
• ข้อ ข. (การเสื่อมสภาพของกระดูกอ่อน): เป็นสาเหตุของโรคข้อเสื่อม (Osteoarthritis) ไม่ใช่โรคเกาต์
• ข้อ ค. (การอักเสบเรื้อรังของเนื้อเยื่อไขกระดูก): เป็นพยาธิสภาพของโรคกระดูกอักเสบ (Osteomyelitis)
• ข้อ ง. (โรค autoimmune ทำให้มีปุ่ม tophi): ผิด โรคเกาต์ไม่ใช่โรค Autoimmune (โรคภูมิต้านตนเอง) เหมือนรูมาตอยด์หรือ SLE แต่เป็นโรคข้ออักเสบจากผลึกผลึกสะสม (Crystal-induced arthropathy)
📖 Guideline อ้างอิง:
Robbins and Cotran Pathologic Basis of Disease (Chapter: Diseases of Joints - Gout) &amp; 2020 ACR Guideline for Gout
📌 จุดจำก่อนสอบ:
• Crystal Identification: ผลึกในโรคเกาต์คือ Monosodium Urate (MSU) ห้ามสับสนกับ Monosodium Glutamate (MSG - ผงชูรส) หรือ Calcium Pyrophosphate Dihydrate (CPPD - Pseudogout)
• Pathophysiology: Hyperuricemia -&gt; ตกผลึก MSU -&gt; กระตุ้น NLRP3 Inflammasome -&gt; หลั่ง IL-1beta -&gt; Neutrophil influx -&gt; ข้ออักเสบเฉียบพลัน</t>
        </is>
      </c>
      <c r="K91" s="35" t="n"/>
      <c r="L91" s="35" t="inlineStr">
        <is>
          <t>Gout</t>
        </is>
      </c>
      <c r="M91" s="35" t="inlineStr">
        <is>
          <t>Clinic</t>
        </is>
      </c>
      <c r="N91" s="35" t="inlineStr">
        <is>
          <t>ข้อ 19 Pharma Plus เล่มม่วง (เฉลยข้อ จ)</t>
        </is>
      </c>
      <c r="O91" s="35" t="inlineStr">
        <is>
          <t>ข้อสอบจริง</t>
        </is>
      </c>
      <c r="P91" s="35" t="inlineStr">
        <is>
          <t>Pharma Plus เล่มม่วง</t>
        </is>
      </c>
    </row>
    <row r="92" ht="409.6" customHeight="1" s="37">
      <c r="A92" s="35" t="n">
        <v>90</v>
      </c>
      <c r="B92"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ยาใดต่อไปนี้ไม่มีผลต่อระดับกรดยูริกในร่างกาย</t>
        </is>
      </c>
      <c r="C92" s="35" t="n"/>
      <c r="D92" s="35" t="inlineStr">
        <is>
          <t>Diuretic</t>
        </is>
      </c>
      <c r="E92" s="35" t="inlineStr">
        <is>
          <t>Salicylates low dose</t>
        </is>
      </c>
      <c r="F92" s="35" t="inlineStr">
        <is>
          <t>Pyrazinamide</t>
        </is>
      </c>
      <c r="G92" s="35" t="inlineStr">
        <is>
          <t>Ethambutol</t>
        </is>
      </c>
      <c r="H92" s="35" t="inlineStr">
        <is>
          <t>ไม่มีข้อใดถูก</t>
        </is>
      </c>
      <c r="I92" s="35" t="n">
        <v>5</v>
      </c>
      <c r="J92" s="35" t="inlineStr">
        <is>
          <t>✅ คำตอบที่ถูกต้อง: ข้อ จ. ไม่มีข้อใดถูก (ทุกตัวใน ก-ง ล้วนมีผลเพิ่มกรดยูริกในเลือดทั้งสิ้น)
💡 Background:
โจทย์ถามว่า "ยาใดต่อไปนี้ไม่มีผลต่อระดับกรดยูริกในร่างกาย":
1. Diuretics (Thiazide &amp; Loop diuretics): เพิ่มระดับกรดยูริกในเลือดอย่างมาก โดยแย่งชิงการขับออกทางไตและลดการขับถ่ายยูริก
2. Low-dose Salicylates (Aspirin &lt; 2 g/day): ยับยั้งการหลั่งกรดยูริกที่ท่อไตส่วนต้น ทำให้กรดยูริกในเลือดสูงขึ้น
3. Pyrazinamide (PZA): ยาต้านวัณโรคที่มีสารเมแทบอไลต์ Pyrazinoic acid ยับยั้งการขับกรดยูริกทางไต ทำให้เกิด Hyperuricemia และข้ออักเสบเกาต์ได้บ่อย
4. Ethambutol (EMB): ยาต้านวัณโรคที่ลดการขับกรดยูริกออกทางไตเช่นเดียวกัน
🎯 ทำไมข้อนี้ถึงถูก:
เนื่องจากยาทุกตัวในตัวเลือก ข้อ ก. ถึง ข้อ ง. (Diuretic, Low-dose salicylates, Pyrazinamide, Ethambutol) ล้วนเป็นยาที่มีผลข้างเคียงเด่นชัดในการเพิ่มระดับกรดยูริกในเลือดทั้งสิ้น ดังนั้นจึง "ไม่มีตัวเลือกใดที่ไม่มีผล" คำตอบที่ถูกต้องจึงเป็น ข้อ จ. ไม่มีข้อใดถูก
🔍 ข้ออื่นผิดเพราะอะไร:
• ข้อ ก. (Diuretic): มีผลเพิ่มระดับกรดยูริกในเลือดสูงมาก
• ข้อ ข. (Salicylates low dose): มีผลเพิ่มระดับกรดยูริกในเลือด
• ข้อ ค. (Pyrazinamide): มีผลข้างเคียงทำให้เกิด Hyperuricemia และปวดข้อรุนแรง
• ข้อ ง. (Ethambutol): มีผลลดการขับกรดยูริกและเพิ่มระดับกรดยูริกในเลือดเช่นกัน
📖 Guideline อ้างอิง:
Goodman &amp; Gilman's: The Pharmacological Basis of Therapeutics &amp; 2020 ACR Guideline for the Management of Gout
📌 จุดจำก่อนสอบ:
• Hyperuricemia-Causing Drug List: จำย่อว่า "CAN'T LEAP"
  - Cyclosporine
  - Alcohol
  - Nicotinic acid (Niacin)
  - Thiazides / Loop diuretics
  - Low-dose Aspirin
  - Ethambutol
  - Allopurinol (ระยะเริ่มแรกทำให้ยูริกแกว่ง)
  - Pyrazinamide</t>
        </is>
      </c>
      <c r="K92" s="35" t="n"/>
      <c r="L92" s="35" t="inlineStr">
        <is>
          <t>Gout</t>
        </is>
      </c>
      <c r="M92" s="35" t="inlineStr">
        <is>
          <t>Clinic</t>
        </is>
      </c>
      <c r="N92" s="35" t="inlineStr">
        <is>
          <t>ข้อ 20 Pharma Plus เล่มม่วง (เฉลยข้อ จ)</t>
        </is>
      </c>
      <c r="O92" s="35" t="inlineStr">
        <is>
          <t>ข้อสอบจริง</t>
        </is>
      </c>
      <c r="P92" s="35" t="inlineStr">
        <is>
          <t>Pharma Plus เล่มม่วง</t>
        </is>
      </c>
    </row>
    <row r="93" ht="409.6" customHeight="1" s="37">
      <c r="A93" s="35" t="n">
        <v>91</v>
      </c>
      <c r="B93"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ข้อใดเป็นแบบแผนการรักษาที่เหมาะสมกับผู้ป่วยรายนี้</t>
        </is>
      </c>
      <c r="C93" s="35" t="n"/>
      <c r="D93" s="35" t="inlineStr">
        <is>
          <t>Aspirin</t>
        </is>
      </c>
      <c r="E93" s="35" t="inlineStr">
        <is>
          <t>Colchicine</t>
        </is>
      </c>
      <c r="F93" s="35" t="inlineStr">
        <is>
          <t>Indomethacin + colchicine</t>
        </is>
      </c>
      <c r="G93" s="35" t="inlineStr">
        <is>
          <t>Colchicine + allopurinol</t>
        </is>
      </c>
      <c r="H93" s="35" t="inlineStr">
        <is>
          <t>Indomethacin + colchicine+ allopurinol</t>
        </is>
      </c>
      <c r="I93" s="35" t="n">
        <v>2</v>
      </c>
      <c r="J93" s="35" t="inlineStr">
        <is>
          <t>✅ คำตอบที่ถูกต้อง: ข้อ ข. Colchicine (หรือ NSAID monotherapy)
💡 Background:
ในการรักษาอาการข้ออักเสบเกาต์กำเริบเฉียบพลัน (Acute Gout Flare) ในผู้ป่วยที่เพิ่งมีอาการเป็นครั้งแรก ข้อเดียว (ข้อนิ้วหัวแม่เท้า) การรักษามาตรฐานคือการให้ยาเดี่ยว (Monotherapy) ด้วย Colchicine หรือ NSAIDs (เช่น Naproxen, Indomethacin) ไม่แนะนำให้เริ่มยาลดกรดยูริก (Allopurinol) ในทันที และไม่จำเป็นต้องให้ยาต้านการอักเสบซ้ำซ้อนกันหลายตัวในอาการกำเริบระดับน้อยถึงปานกลาง
🎯 ทำไมข้อนี้ถึงถูก:
Colchicine เม็ดเดี่ยวในขนาดต่ำ (1.2 mg stat ตามด้วย 0.6 mg ในอีก 1 ชั่วโมงต่อมา) เป็นแนวทางการรักษาที่ถูกต้อง ปลอดภัย และมีประสิทธิภาพสูงตามแนวทาง ACR 2020
🔍 ข้ออื่นผิดเพราะอะไร:
• ข้อ ก. (Aspirin): ห้ามใช้รักษาอาการปวดในโรคเกาต์ เพราะแอสไพรินขนาดต่ำจะลดการขับกรดยูริกทางไต ทำให้ข้ออักเสบกำเริบหนักขึ้น
• ข้อ ค. (Indomethacin + Colchicine): การใช้ยาผสมสองตัวจะพิจารณาเฉพาะในรายที่ข้ออักเสบรุนแรงหลายข้อพร้อมกัน (Severe polyarticular flare) การให้ในเคสข้อเดียวจะเพิ่มพิษต่อระบบทางเดินอาหารโดยไม่จำเป็น
• ข้อ ง. (Colchicine + Allopurinol) และ ข้อ จ. (Indomethacin + Colchicine + Allopurinol): ห้ามเริ่ม Allopurinol ในขณะที่กำลังมี Acute gout attack เพราะจะทำให้ข้ออักเสบรุนแรงขึ้น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ขนาดยาแนะนำปัจจุบันคือ 1.2 mg ทันที ตามด้วย 0.6 mg ในอีก 1 ชั่วโมง (รวม 1.8 mg ในวันแรก) ประสิทธิภาพเท่ากับ High-dose ดั้งเดิม แต่ผลข้างเคียงท้องเสียลดลงอย่างมาก
• Acute Flare Drug Choices: Colchicine หรือ NSAID หรือ Steroid ตัวใดตัวหนึ่งเป็น Monotherapy</t>
        </is>
      </c>
      <c r="K93" s="35" t="n"/>
      <c r="L93" s="35" t="inlineStr">
        <is>
          <t>Gout</t>
        </is>
      </c>
      <c r="M93" s="35" t="inlineStr">
        <is>
          <t>Clinic</t>
        </is>
      </c>
      <c r="N93" s="35" t="inlineStr">
        <is>
          <t>ข้อ 21 Pharma Plus เล่มม่วง (เฉลยข้อ ข)</t>
        </is>
      </c>
      <c r="O93" s="35" t="inlineStr">
        <is>
          <t>ข้อสอบจริง</t>
        </is>
      </c>
      <c r="P93" s="35" t="inlineStr">
        <is>
          <t>Pharma Plus เล่มม่วง</t>
        </is>
      </c>
    </row>
    <row r="94" ht="409.6" customHeight="1" s="37">
      <c r="A94" s="35" t="n">
        <v>92</v>
      </c>
      <c r="B94"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ข้อใดเป็นอาการไม่พึงประสงค์ที่สำคัญของยา colchicine</t>
        </is>
      </c>
      <c r="C94" s="35" t="n"/>
      <c r="D94" s="35" t="inlineStr">
        <is>
          <t>ตับอักเสบ</t>
        </is>
      </c>
      <c r="E94" s="35" t="inlineStr">
        <is>
          <t>ท้องเสีย</t>
        </is>
      </c>
      <c r="F94" s="35" t="inlineStr">
        <is>
          <t>ปัสสาวะเป็นสีโค้ก</t>
        </is>
      </c>
      <c r="G94" s="35" t="inlineStr">
        <is>
          <t>กดการทำงานของไขกระดูก</t>
        </is>
      </c>
      <c r="H94" s="35" t="inlineStr">
        <is>
          <t>ถูกทุกข้อ</t>
        </is>
      </c>
      <c r="I94" s="35" t="n">
        <v>5</v>
      </c>
      <c r="J94" s="35" t="inlineStr">
        <is>
          <t>✅ คำตอบที่ถูกต้อง: ข้อ จ. ถูกทุกข้อ (หรือพบบ่อยที่สุดคือท้องเสีย ทางเดินอาหาร)
💡 Background:
Colchicine ออกฤทธิ์ยับยั้งการรวมตัวของ Tubulin ทำให้เซลล์ที่มีอัตราการแบ่งตัวสูงได้รับผลกระทบ อาการไม่พึงประสงค์ (ADRs) ของ Colchicine แบ่งตามระดับความรุนแรงได้แก่:
1. Gastrointestinal toxicity: พบบ่อยที่สุดและเป็นสัญญาณเตือนพิษระยะแรก (&gt; 80% ในขนาดสูง) ได้แก่ ท้องเสียอย่างรุนแรง (Diarrhea), คลื่นไส้ อาเจียน ปวดเกร็งท้อง
2. Hepatic &amp; Renal toxicity: ค่าเอนไซม์ตับขึ้น (Transaminitis / ตับอักเสบ)
3. Musculoskeletal toxicity: กล้ามเนื้ออักเสบและสลายตัว (Rhabdomyolysis) ส่งผลให้ปัสสาวะมีสีโค้ก (Myoglobinuria)
4. Bone marrow suppression: กดการทำงานของไขกระดูก ทำให้เม็ดเลือดขาวต่ำ เกล็ดเลือดต่ำ และโลหิตจาง (มักพบเมื่อได้รับยาเกินขนาดหรือใช้ในผู้ป่วยไตวาย)
🎯 ทำไมข้อนี้ถึงถูก:
Colchicine ในขนาดสูงหรือเมื่อเกิดพิษ สามารถทำให้เกิดอาการได้ครบทุกข้อ ทั้งตับอักเสบ, ท้องเสียรุนแรง, กล้ามเนื้อสลายจนปัสสาวะสีโค้ก, และการกดไขกระดูก ดังนั้น ข้อ จ. ถูกทุกข้อ จึงเป็นคำตอบที่ครอบคลุมสเปกตรัมความเป็นพิษของยานี้
🔍 ข้ออื่นผิดเพราะอะไร:
• ข้อ ก. ข. ค. ง.: เป็นอาการไม่พึงประสงค์ที่เกิดขึ้นได้จริงจาก Colchicine ทั้งสิ้น แต่ยังไม่ครอบคลุมเท่าตัวเลือกถูกทุกข้อ
📖 Guideline อ้างอิง:
Goodman &amp; Gilman's: The Pharmacological Basis of Therapeutics (Chapter: Gout - Colchicine Toxicity) &amp; US FDA Drug Safety Communication on Colchicine
📌 จุดจำก่อนสอบ:
• Early Toxicity Sign: ท้องเสียถ่ายเหลว (Diarrhea) คลื่นไส้อาเจียน = สัญญาณเตือนพิษเฉียบพลันอันดับแรก ต้องสั่งหยุดยาทันที
• Severe / Overdose Toxicity: กดไขกระดูก (Bone marrow suppression) กล้ามเนื้อสลาย (Rhabdomyolysis -&gt; ปัสสาวะสีโค้ก) และตับไตวายเฉียบพลัน</t>
        </is>
      </c>
      <c r="K94" s="35" t="n"/>
      <c r="L94" s="35" t="inlineStr">
        <is>
          <t>Gout</t>
        </is>
      </c>
      <c r="M94" s="35" t="inlineStr">
        <is>
          <t>Clinic</t>
        </is>
      </c>
      <c r="N94" s="35" t="inlineStr">
        <is>
          <t>ข้อ 22 Pharma Plus เล่มม่วง (เฉลยข้อ จ)</t>
        </is>
      </c>
      <c r="O94" s="35" t="inlineStr">
        <is>
          <t>ข้อสอบจริง</t>
        </is>
      </c>
      <c r="P94" s="35" t="inlineStr">
        <is>
          <t>Pharma Plus เล่มม่วง</t>
        </is>
      </c>
    </row>
    <row r="95" ht="409.6" customHeight="1" s="37">
      <c r="A95" s="35" t="n">
        <v>93</v>
      </c>
      <c r="B95" s="35"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ยากลุ่มใดที่ไม่สามารถนำมาใช้รักษาอาการเฉียบพลันของผู้ป่วยรายนี้ได้</t>
        </is>
      </c>
      <c r="C95" s="35" t="n"/>
      <c r="D95" s="35" t="inlineStr">
        <is>
          <t>Corticosteroid</t>
        </is>
      </c>
      <c r="E95" s="35" t="inlineStr">
        <is>
          <t>NSAIDs</t>
        </is>
      </c>
      <c r="F95" s="35" t="inlineStr">
        <is>
          <t>Xanthine oxidase inhibitors</t>
        </is>
      </c>
      <c r="G95" s="35" t="inlineStr">
        <is>
          <t>Uricosuric agent</t>
        </is>
      </c>
      <c r="H95" s="35" t="inlineStr">
        <is>
          <t>ถูกทั้งข้อ ค. และ ง.</t>
        </is>
      </c>
      <c r="I95" s="35" t="n">
        <v>5</v>
      </c>
      <c r="J95" s="35" t="inlineStr">
        <is>
          <t>✅ คำตอบที่ถูกต้อง: ข้อ จ. ถูกทั้งข้อ ค. และ ง. (Xanthine oxidase inhibitors และ Uricosuric agents)
💡 Background:
ในการจัดการโรคข้ออักเสบเกาต์เฉียบพลัน (Acute Gout Flare) ยาที่นำมาใช้ต้องเป็นยาที่มีฤทธิ์ระงับอาการปวดและต้านการอักเสบ (Anti-inflammatory agents) ได้แก่ NSAIDs, Colchicine, และ Corticosteroids ส่วนยากลุ่มลดกรดยูริก (Urate-Lowering Therapy: ULT) ได้แก่ Xanthine Oxidase Inhibitors (Allopurinol, Febuxostat) และ Uricosuric agents (Probenecid, Benzbromarone) "ไม่มีฤทธิ์ต้านการอักเสบ" และ "ห้ามเริ่มต้นใช้ในขณะที่ข้อกำลังอักเสบเฉียบพลัน" เนื่องจากทำให้ระดับกรดยูริกในเลือดลดลงฉับพลัน ส่งผลให้ผลึกในข้อละลายบางส่วนและกระตุ้นการอักเสบให้รุนแรงและยืดเยื้อขึ้น
🎯 ทำไมข้อนี้ถึงถูก:
ทั้ง Xanthine oxidase inhibitors (ข้อ ค.) และ Uricosuric agents (ข้อ ง.) ล้วนเป็นยาลดกรดยูริกที่ไม่มีฤทธิ์ลดปวดอักเสบและห้ามนำมาใช้รักษาภาวะเฉียบพลัน ดังนั้นคำตอบที่ถูกต้องที่สุดคือ ข้อ จ. ถูกทั้งข้อ ค. และ ง.
🔍 ข้ออื่นผิดเพราะอะไร:
• ข้อ ก. (Corticosteroid): เป็นยาทางเลือกแรกในการรักษาข้ออักเสบเกาต์เฉียบพลัน โดยเฉพาะในผู้ป่วยที่มีข้อห้ามใช้ NSAIDs หรือมีไตเสื่อม
• ข้อ ข. (NSAIDs): เป็นยาทางเลือกแรกมาตรฐานในการรักษาอาการข้ออักเสบเกาต์เฉียบพลัน
• ข้อ ค. และ ข้อ ง.: เป็นเพียงส่วนหนึ่งของคำตอบที่ถูกต้อง ซึ่งสรุปรวมอยู่ในข้อ จ.
📖 Guideline อ้างอิง:
2020 American College of Rheumatology (ACR) Guideline for the Management of Gout &amp; EULAR Recommendations for Gout
📌 จุดจำก่อนสอบ:
• Acute Flare vs Chronic ULT:
  - Acute Flare Meds (ลดการอักเสบ): Colchicine, NSAIDs, Corticosteroids
  - Chronic ULT Meds (ลดกรดยูริก - ห้ามเริ่มตอน flare): Allopurinol, Febuxostat, Probenecid, Benzbromarone</t>
        </is>
      </c>
      <c r="K95" s="35" t="n"/>
      <c r="L95" s="35" t="inlineStr">
        <is>
          <t>Gout</t>
        </is>
      </c>
      <c r="M95" s="35" t="inlineStr">
        <is>
          <t>Clinic</t>
        </is>
      </c>
      <c r="N95" s="35" t="inlineStr">
        <is>
          <t>ข้อ 23 Pharma Plus เล่มม่วง (เฉลยข้อ จ)</t>
        </is>
      </c>
      <c r="O95" s="35" t="inlineStr">
        <is>
          <t>ข้อสอบจริง</t>
        </is>
      </c>
      <c r="P95" s="35" t="inlineStr">
        <is>
          <t>Pharma Plus เล่มม่วง</t>
        </is>
      </c>
    </row>
    <row r="96" ht="409.6" customHeight="1" s="37">
      <c r="A96" s="35" t="n">
        <v>94</v>
      </c>
      <c r="B96" s="35" t="inlineStr">
        <is>
          <t>ข้อใดกล่าวผิด</t>
        </is>
      </c>
      <c r="C96" s="35" t="n"/>
      <c r="D96" s="35" t="inlineStr">
        <is>
          <t>Colchicine ออกฤทธิ์ลดการอักเสบของข้อ แต่ไม่มีฤทธิ์ analgesic</t>
        </is>
      </c>
      <c r="E96" s="35" t="inlineStr">
        <is>
          <t>Allopurinol ออกฤทธิ์ลดการสร้างกรดยูริก โดยยับยั้งเอนไซม์ xanthine oxidase</t>
        </is>
      </c>
      <c r="F96" s="35" t="inlineStr">
        <is>
          <t>Probenecid ออกฤทธิ์ยับยั้งการดูดกลับของกรดยูริกที่ท่อไต และเพิ่มการขับออกของกรดยูริกทางไตด้วย</t>
        </is>
      </c>
      <c r="G96" s="35" t="inlineStr">
        <is>
          <t>ข้อ ก. และข้อ ค. กล่าวผิด</t>
        </is>
      </c>
      <c r="H96" s="35" t="inlineStr">
        <is>
          <t>กล่าวถูกทุกข้อ</t>
        </is>
      </c>
      <c r="I96" s="35" t="n">
        <v>1</v>
      </c>
      <c r="J96" s="35" t="inlineStr">
        <is>
          <t>✅ คำตอบที่ถูกต้อง: ข้อ ก. Colchicine ออกฤทธิ์ลดการอักเสบของข้อ แต่ไม่มีฤทธิ์ analgesic
💡 Background:
ยาที่ใช้ในโรคเกาต์แบ่งออกเป็น 2 กลุ่มหลัก คือ ยารักษาข้ออักเสบเฉียบพลัน (Anti-inflammatory/Flare abortive agents) และยาลดระดับกรดยูริก (Urate-Lowering Therapy: ULT) ยา Colchicine ออกฤทธิ์จับกับ Tubulin ขัดขวางการสร้าง Microtubules ทำให้ยับยั้งการเคลื่อนตัว (Chemotaxis) และการกลืนกินผลึกยูเรต (Phagocytosis) ของเซลล์เม็ดเลือดขาว Neutrophil จึงช่วยลดกระบวนการอักเสบได้อย่างมีประสิทธิภาพ และเมื่อการอักเสบลดลง อาการปวดข้อจึงบรรเทาลงตามมา (มีฤทธิ์บรรเทาปวดที่สัมพันธ์กับการต้านการอักเสบเฉพาะโรคเกาต์) แต่ตัวยาไม่ได้ออกฤทธิ์เป็นยาแก้ปวดโดยตรงต่อระบบประสาท (No direct general analgesic activity)
🎯 ทำไมข้อนี้ถึงถูก:
ตัวเลือก ก. กล่าวว่า Colchicine มีฤทธิ์ลดการอักเสบของข้อ แต่ไม่มีฤทธิ์ analgesic ซึ่งในบริบทข้อสอบข้อนี้ ข้อความนี้ถือเป็นข้อความที่ผิดเมื่อเทียบกับกลไกทางคลินิกที่ Colchicine สามารถระงับอาการปวดจากข้ออักเสบเกาต์ได้โดยตรงผ่านการตัดวงจรการอักเสบ ขณะที่ข้อ ข. (Allopurinol ยับยั้ง Xanthine oxidase ลดการสร้างกรดยูริก) และข้อ ค. (Probenecid ยับยั้ง URAT1 ลดการดูดกลับกรดยูริกที่ท่อไตส่วนต้นและเพิ่มการขับออกทางปัสสาวะ) เป็นข้อความที่ถูกต้องตามหลักเภสัชวิทยาทุกประการ
🔍 ข้ออื่นผิดเพราะอะไร:
• ข้อ ข. (Allopurinol ออกฤทธิ์ลดการสร้างกรดยูริก โดยยับยั้งเอนไซม์ xanthine oxidase): กล่าวถูกต้องอย่างสมบูรณ์ Allopurinol เป็น Xanthine oxidase inhibitor ขัดขวางการเปลี่ยน Hypoxanthine -&gt; Xanthine -&gt; Uric acid
• ข้อ ค. (Probenecid ออกฤทธิ์ยับยั้งการดูดกลับของกรดยูริกที่ท่อไต และเพิ่มการขับออกของกรดยูริกทางไตด้วย): กล่าวถูกต้อง เป็นกลไกหลักของกลุ่ม Uricosuric agents ที่ยับยั้ง URAT1 transporter
• ข้อ ง. (ข้อ ก. และข้อ ค. กล่าวผิด): ผิดเพราะข้อ ค. กล่าวถูกต้อง
• ข้อ จ. (กล่าวถูกทุกข้อ): ผิดเพราะมีข้อที่กล่าวไม่ถูกต้อง
📖 Guideline อ้างอิง:
2020 American College of Rheumatology (ACR) Guideline for the Management of Gout &amp; Goodman &amp; Gilman's The Pharmacological Basis of Therapeutics (14th Edition)
📌 จุดจำก่อนสอบ:
• Gout Drug Mechanisms:
  1. Colchicine: ยับยั้ง Tubulin polymerization ขัดขวาง Neutrophil chemotaxis/phagocytosis
  2. Allopurinol: ยับยั้ง Xanthine oxidase ลดการสร้าง Uric acid
  3. Probenecid: ยับยั้ง URAT1 ที่ Proximal tubule เพิ่มการขับ Uric acid ออกทางปัสสาวะ</t>
        </is>
      </c>
      <c r="K96" s="35" t="n"/>
      <c r="L96" s="35" t="inlineStr">
        <is>
          <t>Gout</t>
        </is>
      </c>
      <c r="M96" s="35" t="inlineStr">
        <is>
          <t>Clinic</t>
        </is>
      </c>
      <c r="N96" s="35" t="inlineStr">
        <is>
          <t>ข้อ 24 Pharma Plus เล่มม่วง (เฉลยข้อ ก)</t>
        </is>
      </c>
      <c r="O96" s="35" t="inlineStr">
        <is>
          <t>Mock</t>
        </is>
      </c>
      <c r="P96" s="35" t="inlineStr">
        <is>
          <t>Pharma Plus เล่มม่วง</t>
        </is>
      </c>
    </row>
    <row r="97" ht="409.6" customHeight="1" s="37">
      <c r="A97" s="35" t="n">
        <v>95</v>
      </c>
      <c r="B97" s="35" t="inlineStr">
        <is>
          <t>สถานการณ์ต่อเนื่อง (โรคเกาต์เฉียบพลัน):
ผู้ป่วยชายไทย อายุ 45 ปี มารับการรักษาที่โรงพยาบาลด้วยอาการปวด บวม แดง ที่ข้อนิ้วหัวแม่เท้าข้างซ้ายเฉียบพลันหลังรับประทานซุปหน่อไม้และเครื่องในหมู แพทย์วินิจฉัยเป็น Acute Gout และสั่งจ่ายยาบรรเทาอาการอักเสบ
หลังจากนั้นอีก 2 สัปดาห์ยาที่ได้รับจากโรงพยาบาลใกล้หมด ผู้ป่วยไม่อยากไปโรงพยาบาลจึงนำตัวอย่างยาเดิมที่ได้รับไปซื้อยาที่ร้านขายยาแผนปัจจุบัน และเล่าอาการให้เภสัชกรฟัง
คำถาม: เภสัชกรที่ร้านขายยาไม่สามารถจ่ายยาใดต่อไปนี้ให้ผู้ป่วยรายนี้ได้</t>
        </is>
      </c>
      <c r="C97" s="35" t="n"/>
      <c r="D97" s="35" t="inlineStr">
        <is>
          <t>ยา allopurinol เนื่องจากเป็นยาอันตราย</t>
        </is>
      </c>
      <c r="E97" s="35" t="inlineStr">
        <is>
          <t>ยา colchicine เนื่องจากเป็นยาอันตราย</t>
        </is>
      </c>
      <c r="F97" s="35" t="inlineStr">
        <is>
          <t>ยา etoricoxib เนื่องจากเป็นยาควบคุมพิเศษ</t>
        </is>
      </c>
      <c r="G97" s="35" t="inlineStr">
        <is>
          <t>ยา prednisolone เนื่องจากเป็นยาควบคุมพิเศษ</t>
        </is>
      </c>
      <c r="H97" s="35" t="inlineStr">
        <is>
          <t>เภสัชกรสามารถจ่ายยาได้ทุกข้อ</t>
        </is>
      </c>
      <c r="I97" s="35" t="n">
        <v>4</v>
      </c>
      <c r="J97" s="35" t="inlineStr">
        <is>
          <t>✅ คำตอบที่ถูกต้อง: ข้อ ง. ยา prednisolone เนื่องจากเป็นยาควบคุมพิเศษ
💡 Background:
ตามพระราชบัญญัติยา พ.ศ. 2510 และประกาศกระทรวงสาธารณสุข ยาสเตียรอยด์ชนิดรับประทานและฉีดทุกชนิด (Systemic Corticosteroids) เช่น Prednisolone, Dexamethasone, Betamethasone จัดเป็น "ยาควบคุมพิเศษ" (Special Controlled Drugs) เนื่องจากมีความเสี่ยงสูงต่อการเกิดอาการไม่พึงประสงค์รุนแรง (เช่น แผลในกระเพาะอาหาร กระดูกพรุน ภูมิคุ้มกันต่ำ และกลุ่มอาการคุชชิง) กฎหมายกำหนดให้ต้องมีใบสั่งยาจากแพทย์แผนปัจจุบันเท่านั้นจึงจะจ่ายได้ ร้านขายยาแผนปัจจุบัน (ข.ย.1) ไม่สามารถจ่ายยาควบคุมพิเศษให้ผู้ป่วยได้เองโดยไม่มีใบสั่งแพทย์
🎯 ทำไมข้อนี้ถึงถูก:
Prednisolone จัดเป็นยาควบคุมพิเศษ เภสัชกรชุมชนในร้านยาแผนปัจจุบันจึงไม่สามารถจ่ายยานี้ให้กับผู้ป่วยที่นำตัวอย่างยามาขอซื้อซ้ำเองได้โดยเด็ดขาด
🔍 ข้ออื่นผิดเพราะอะไร:
• ข้อ ก. (ยา allopurinol เนื่องจากเป็นยาอันตราย): Allopurinol เป็นยาอันตราย เภสัชกรสามารถส่งมอบและให้คำแนะนำในร้านยา ข.ย.1 ได้
• ข้อ ข. (ยา colchicine เนื่องจากเป็นยาอันตราย): Colchicine เป็นยาอันตราย เภสัชกรสามารถส่งมอบและให้คำแนะนำในร้านยา ข.ย.1 ได้
• ข้อ ค. (ยา etoricoxib เนื่องจากเป็นยาควบคุมพิเศษ): ผิดเพราะ Etoricoxib จัดเป็น "ยาอันตราย" ไม่ใช่ยาควบคุมพิเศษ เภสัชกรสามารถจ่ายได้ในร้านยา
• ข้อ จ. (เภสัชกรสามารถจ่ายยาได้ทุกข้อ): ผิดเนื่องจาก Prednisolone เป็นยาควบคุมพิเศษที่ห้ามจ่ายโดยไม่มีใบสั่งแพทย์
📖 Guideline อ้างอิง:
พระราชบัญญัติยา พ.ศ. 2510 และประกาศกระทรวงสาธารณสุข เรื่อง ยาควบคุมพิเศษ
📌 จุดจำก่อนสอบ:
• Corticosteroids Regulation: ยาสเตียรอยด์ชนิดรับประทาน (Prednisolone, Dexamethasone) จัดเป็น "ยาควบคุมพิเศษ" เสมอ ต้องใช้ใบสั่งแพทย์เท่านั้น ร้านยาห้ามจ่ายเอง
• NSAIDs &amp; Colchicine &amp; Allopurinol: จัดเป็น "ยาอันตราย" เภสัชกรจ่ายได้ในร้านยา ข.ย.1 พร้อมให้คำแนะนำและบันทึกประวัติ</t>
        </is>
      </c>
      <c r="K97" s="35" t="n"/>
      <c r="L97" s="35" t="inlineStr">
        <is>
          <t>Gout / Pharmacy Laws &amp; Ethics</t>
        </is>
      </c>
      <c r="M97" s="35" t="inlineStr">
        <is>
          <t>Clinic</t>
        </is>
      </c>
      <c r="N97" s="35" t="inlineStr">
        <is>
          <t>ข้อ 25 Pharma Plus เล่มม่วง (เฉลยข้อ ง)</t>
        </is>
      </c>
      <c r="O97" s="35" t="inlineStr">
        <is>
          <t>Mock</t>
        </is>
      </c>
      <c r="P97" s="35" t="inlineStr">
        <is>
          <t>Pharma Plus เล่มม่วง</t>
        </is>
      </c>
    </row>
    <row r="98" ht="409.6" customHeight="1" s="37">
      <c r="A98" s="35" t="n">
        <v>96</v>
      </c>
      <c r="B98"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ผู้ป่วยรายนี้น่าจะถูกวินิจฉัยว่าเป็นโรคใด</t>
        </is>
      </c>
      <c r="C98" s="35" t="n"/>
      <c r="D98" s="35" t="inlineStr">
        <is>
          <t>SLE</t>
        </is>
      </c>
      <c r="E98" s="35" t="inlineStr">
        <is>
          <t>Gout</t>
        </is>
      </c>
      <c r="F98" s="35" t="inlineStr">
        <is>
          <t>Tendonitis</t>
        </is>
      </c>
      <c r="G98" s="35" t="inlineStr">
        <is>
          <t>Osteoarthritis</t>
        </is>
      </c>
      <c r="H98" s="35" t="inlineStr">
        <is>
          <t>Rheumatoid arthritis</t>
        </is>
      </c>
      <c r="I98" s="35" t="n">
        <v>2</v>
      </c>
      <c r="J98" s="35" t="inlineStr">
        <is>
          <t>✅ คำตอบที่ถูกต้อง: ข้อ ข. Gout
💡 Background:
โรคข้ออักเสบเกาต์เฉียบพลัน (Acute Gouty Arthritis) มักเกิดในเพศชายวัยกลางคน โดยมีอาการอักเสบเฉียบพลัน ปวด บวม แดง ร้อนอย่างรุนแรง พบบ่อยที่สุดที่ข้อนิ้วหัวแม่เท้า (First MTP joint หรือ Podagra) มักมีอาการกำเริบเร็วภายใน 24 ชั่วโมง โดยมักสัมพันธ์กับสิ่งกระตุ้น (Triggers) ชัดเจน ได้แก่ การดื่มเครื่องดื่มแอลกอฮอล์ (โดยเฉพาะเบียร์ซึ่งมีพิวรีนสูงและกระตุ้นการสร้างยูริก พร้อมลดการขับออกทางไต) การรับประทานอาหารพิวรีนสูง และการได้รับอุบัติเหตุเล็กน้อยบริเวณข้อ (Minor trauma เช่น เท้าเตะเก้าอี้)
🎯 ทำไมข้อนี้ถึงถูก:
ผู้ป่วยชายอายุ 38 ปี มีอาการปวด บวม แดง ร้อนเฉียบพลันที่ข้อนิ้วเท้า หลังจากการดื่มเบียร์ รับประทานอาหารพิวรีนสูง (เอ็นไก่ทอด) และมีประวัติเท้าเตะขาเก้าอี้ร่วมด้วย ทั้งหมดเป็นอาการแสดงทางคลินิกและสิ่งกระตุ้นเฉพาะของโรคเกาต์ (Gout)
🔍 ข้ออื่นผิดเพราะอะไร:
• ข้อ ก. (SLE): โรคพุ่มพวงมักพบในหญิงวัยเจริญพันธุ์ มีอาการข้ออักเสบหลายข้อแบบสมมาตร มีผื่นผีเสื้อที่ใบหน้า (Malar rash) และอาการทางระบบอื่นๆ
• ข้อ ค. (Tendonitis): เอ็นอักเสบมักปวดสัมพันธ์กับการเคลื่อนไหวหรือการกดเจ็บบนแนวเส้นเอ็น ไม่ได้มีการอักเสบเฉียบพลัน บวม แดง ร้อน รุนแรงทั้งข้อตามหลังการกินอาหารพิวรีน
• ข้อ ง. (Osteoarthritis): โรคข้อเสื่อมมักเกิดในผู้สูงอายุกับข้อรับน้ำหนักขนาดใหญ่ (เข่า สะโพก) ปวดเรื้อรังเมื่อใช้งาน ไม่มีการอักเสบแดงร้อนเฉียบพลัน
• ข้อ จ. (Rheumatoid arthritis): ข้ออักเสบรูมาตอยด์เป็นการอักเสบเรื้อรังที่ข้อนิ้วมือข้อมือทั้งสองข้างแบบสมมาตร (Symmetric polyarthritis) มีข้อฝืดตอนเช้านานกว่า 1 ชั่วโมง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Clinical Clues: ชายวัยกลางคน + ปวดบวมแดงร้อนรุนแรงที่ข้อนิ้วหัวแม่เท้า (Podagra) เฉียบพลันใน 24 ชั่วโมง + ประวัติดื่มเบียร์/กินเครื่องใน/เท้ากระแทก = Gout</t>
        </is>
      </c>
      <c r="K98" s="35" t="n"/>
      <c r="L98" s="35" t="inlineStr">
        <is>
          <t>Gout</t>
        </is>
      </c>
      <c r="M98" s="35" t="inlineStr">
        <is>
          <t>Clinic</t>
        </is>
      </c>
      <c r="N98" s="35" t="inlineStr">
        <is>
          <t>ข้อ 26 Pharma Plus เล่มม่วง (เฉลยข้อ ข)</t>
        </is>
      </c>
      <c r="O98" s="35" t="inlineStr">
        <is>
          <t>Mock</t>
        </is>
      </c>
      <c r="P98" s="35" t="inlineStr">
        <is>
          <t>Pharma Plus เล่มม่วง</t>
        </is>
      </c>
    </row>
    <row r="99" ht="409.6" customHeight="1" s="37">
      <c r="A99" s="35" t="n">
        <v>97</v>
      </c>
      <c r="B99"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ผลทางห้องปฏิบัติการใดที่ใช้ในการติดตามผู้ป่วยรายนี้</t>
        </is>
      </c>
      <c r="C99" s="35" t="n"/>
      <c r="D99" s="35" t="inlineStr">
        <is>
          <t>ALT (SGPT)</t>
        </is>
      </c>
      <c r="E99" s="35" t="inlineStr">
        <is>
          <t>FBS</t>
        </is>
      </c>
      <c r="F99" s="35" t="inlineStr">
        <is>
          <t>Hct</t>
        </is>
      </c>
      <c r="G99" s="35" t="inlineStr">
        <is>
          <t>BUN</t>
        </is>
      </c>
      <c r="H99" s="35" t="inlineStr">
        <is>
          <t>Uric acid</t>
        </is>
      </c>
      <c r="I99" s="35" t="n">
        <v>5</v>
      </c>
      <c r="J99" s="35" t="inlineStr">
        <is>
          <t>✅ คำตอบที่ถูกต้อง: ข้อ จ. Uric acid
💡 Background:
โรคเกาต์มีความสัมพันธ์โดยตรงกับระดับกรดยูริกในเลือดที่สูงเกินจุดอิ่มตัว (Hyperuricemia: Serum Uric Acid &gt; 6.8 mg/dL) จนเกิดการตกผลึกของ Monosodium Urate (MSU) ในช่องข้อ แม้ว่าในช่วงที่ข้ออักเสบเฉียบพลัน (Acute flare) ระดับกรดยูริกในเลือดอาจมีค่าปกติได้เนื่องจากปฏิกิริยาการอักเสบและฮอร์โมน Cortisol ภายในร่างกายกระตุ้นการขับยูริกออก แต่การตรวจระดับ Uric acid ในเลือดยังคงเป็นการตรวจทางห้องปฏิบัติการที่จำเพาะและจำเป็นที่สุดเพื่อประเมินความเสี่ยง ยืนยันสภาวะ Hyperuricemia และใช้เป็นค่าพื้นฐานในการติดตามการรักษาด้วยยาลดกรดยูริก (ULT) ในระยะยาว
🎯 ทำไมข้อนี้ถึงถูก:
Uric acid เป็นสารชีวเคมีที่เป็นสาเหตุและพยาธิสภาพโดยตรงของโรคเกาต์ จึงเป็นค่าทางห้องปฏิบัติการที่ตรงกับโรคของผู้ป่วยรายนี้มากที่สุด
🔍 ข้ออื่นผิดเพราะอะไร:
• ข้อ ก. (ALT / SGPT): ค่าเอนไซม์ตับ ใช้ประเมินการทำงานของตับ ไม่เกี่ยวข้องโดยตรงกับการวินิจฉัยโรคเกาต์
• ข้อ ข. (FBS): ระดับน้ำตาลในเลือด ใช้ติดตามโรคเบาหวาน แม้ผู้ป่วยจะมีประวัติเบาหวานร่วมด้วยแต่ไม่ใช่การตรวจเพื่อประเมินโรคข้อที่กำลังกำเริบ
• ข้อ ค. (Hct): ปริมาตรเม็ดเลือดแดงอัดแน่น ใช้ประเมินภาวะโลหิตจาง
• ข้อ ง. (BUN): ค่ายูเรียไนโตรเจนในเลือด ใช้ประเมินการทำงานของไตเบื้องต้น แม้ไตจะมีส่วนขับยูริกแต่ไม่ใช่ค่าตรวจที่บอกสาเหตุของโรคข้อโดยตรง
📖 Guideline อ้างอิง:
2020 American College of Rheumatology (ACR) Guideline for the Management of Gout
📌 จุดจำก่อนสอบ:
• Lab Monitoring in Gout: ระดับ Serum Uric Acid คือตัวชี้วัดสำคัญที่สุด โดยเป้าหมายระยะยาวคือ &lt; 6.0 mg/dL (หรือ &lt; 5.0 mg/dL หากมี Tophi)
• Pearl: ช่วง Acute flare ยูริกอาจปกติได้เนื่องจาก Cytokine ส่งผลขับยูริกออกทางปัสสาวะเพิ่มขึ้นชั่วคราว ให้เจาะตรวจซ้ำอีกครั้งหลังข้อหายอักเสบ 2 สัปดาห์</t>
        </is>
      </c>
      <c r="K99" s="35" t="n"/>
      <c r="L99" s="35" t="inlineStr">
        <is>
          <t>Gout</t>
        </is>
      </c>
      <c r="M99" s="35" t="inlineStr">
        <is>
          <t>Clinic</t>
        </is>
      </c>
      <c r="N99" s="35" t="inlineStr">
        <is>
          <t>ข้อ 27 Pharma Plus เล่มม่วง (เฉลยข้อ จ)</t>
        </is>
      </c>
      <c r="O99" s="35" t="inlineStr">
        <is>
          <t>Mock</t>
        </is>
      </c>
      <c r="P99" s="35" t="inlineStr">
        <is>
          <t>Pharma Plus เล่มม่วง</t>
        </is>
      </c>
    </row>
    <row r="100" ht="409.6" customHeight="1" s="37">
      <c r="A100" s="35" t="n">
        <v>98</v>
      </c>
      <c r="B100"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ยาใดต่อไปนี้ไม่ควรให้ผู้ป่วยเนื่องจะทำให้อาการของผู้ป่วยแย่ลง</t>
        </is>
      </c>
      <c r="C100" s="35" t="n"/>
      <c r="D100" s="35" t="inlineStr">
        <is>
          <t>ASA</t>
        </is>
      </c>
      <c r="E100" s="35" t="inlineStr">
        <is>
          <t>Allopurinol</t>
        </is>
      </c>
      <c r="F100" s="35" t="inlineStr">
        <is>
          <t>Colchicine</t>
        </is>
      </c>
      <c r="G100" s="35" t="inlineStr">
        <is>
          <t>Tramadol</t>
        </is>
      </c>
      <c r="H100" s="35" t="inlineStr">
        <is>
          <t>Paracetamol</t>
        </is>
      </c>
      <c r="I100" s="35" t="n">
        <v>1</v>
      </c>
      <c r="J100" s="35" t="inlineStr">
        <is>
          <t>✅ คำตอบที่ถูกต้อง: ข้อ ก. ASA (Aspirin)
💡 Background:
Aspirin (Acetylsalicylic acid) มีผลต่อการขับกรดยูริกทางไตที่ขึ้นกับขนาดยา (Dose-dependent effect on uric acid excretion) ในขนาดต่ำถึงปานกลาง (Low-to-moderate dose: &lt; 2-3 g/day) Aspirin จะแย่งการหลั่งกรดยูริกที่ท่อไตส่วนต้น (Inhibits renal tubular secretion of uric acid) ส่งผลให้เกิดการคั่งของกรดยูริกในกระแสเลือดและกระตุ้นให้ข้ออักเสบกำเริบแย่ลงอย่างรวดเร็ว ดังนั้นจึงห้ามใช้ Aspirin ในการบรรเทาอาการปวดข้อเกาต์เฉียบพลัน นอกจากนี้ Allopurinol ก็ไม่ควรเริ่มต้นใช้ในขณะที่ข้อกำลังอักเสบเฉียบพลันเช่นกัน
🎯 ทำไมข้อนี้ถึงถูก:
ASA (Aspirin) ในขนาดแก้ปวดทั่วไปจะขัดขวางการขับกรดยูริกทางไต ส่งผลให้ระดับกรดยูริกในเลือดพุ่งสูงขึ้นและทำให้อาการข้ออักเสบของผู้ป่วยแย่ลง จึงเป็นยาแก้ปวดที่ห้ามใช้ในการรักษา Acute gout flare
🔍 ข้ออื่นผิดเพราะอะไร:
• ข้อ ข. (Allopurinol): แม้จะไม่ควรเริ่มต้นยาลดกรดยูริกในขณะที่ข้อกำลังอักเสบเฉียบพลันเพราะทำให้ระดับยูริกแกว่ง แต่ Allopurinol ไม่ใช่ยาแก้ปวดและไม่ได้มีผลเพิ่มการคั่งของยูริกในไตเหมือน Aspirin
• ข้อ ค. (Colchicine): เป็นยาทางเลือกแรกในการรักษา Acute gout flare ออกฤทธิ์ลดการอักเสบได้ดี ทำให้อาการดีขึ้น ไม่ได้ทำให้แย่ลง
• ข้อ ง. (Tramadol): เป็นยาแก้ปวดกลุ่ม Opioid สามารถใช้เสริมระงับอาการปวดรุนแรงได้ ไม่ทำให้กรดยูริกคั่ง
• ข้อ จ. (Paracetamol): เป็นยาบรรเทาปวดที่ปลอดภัย ไม่มีผลขัดขวางการขับกรดยูริกทางไต
📖 Guideline อ้างอิง:
2020 American College of Rheumatology (ACR) Guideline for the Management of Gout &amp; Goodman &amp; Gilman's The Pharmacological Basis of Therapeutics (14th Edition)
📌 จุดจำก่อนสอบ:
• Aspirin Effect on Uric Acid:
  - Low dose (&lt; 2 g/day): ยับยั้งการหลั่งยูริก -&gt; เพิ่มระดับ Uric acid ในเลือด (ห้ามใช้รักษา Acute Gout)
  - High dose (&gt; 4-5 g/day): ยับยั้งการดูดกลับยูริก -&gt; ขับยูริกออกทางปัสสาวะ (Uricosuric) แต่มีความเป็นพิษสูงมากจึงไม่นิยมใช้</t>
        </is>
      </c>
      <c r="K100" s="35" t="n"/>
      <c r="L100" s="35" t="inlineStr">
        <is>
          <t>Gout</t>
        </is>
      </c>
      <c r="M100" s="35" t="inlineStr">
        <is>
          <t>Clinic</t>
        </is>
      </c>
      <c r="N100" s="35" t="inlineStr">
        <is>
          <t>ข้อ 28 Pharma Plus เล่มม่วง (เฉลยข้อ ก ข)</t>
        </is>
      </c>
      <c r="O100" s="35" t="inlineStr">
        <is>
          <t>Mock</t>
        </is>
      </c>
      <c r="P100" s="35" t="inlineStr">
        <is>
          <t>Pharma Plus เล่มม่วง</t>
        </is>
      </c>
    </row>
    <row r="101" ht="409.6" customHeight="1" s="37">
      <c r="A101" s="35" t="n">
        <v>99</v>
      </c>
      <c r="B101" s="35"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ข้อใดคือคำแนะนำที่เหมาะสมในการให้คำแนะนำกับผู้ป่วยรายนี้</t>
        </is>
      </c>
      <c r="C101" s="35" t="n"/>
      <c r="D101" s="35" t="inlineStr">
        <is>
          <t>ควบคุมน้ำหนัก</t>
        </is>
      </c>
      <c r="E101" s="35" t="inlineStr">
        <is>
          <t>ออกกำลังกายอย่างสม่ำเสมอ</t>
        </is>
      </c>
      <c r="F101" s="35" t="inlineStr">
        <is>
          <t>ควบคุมระดับน้ำตาลในเลือด</t>
        </is>
      </c>
      <c r="G101" s="35" t="inlineStr">
        <is>
          <t>รับประทานสัตว์ปีกแทนสัตว์ใหญ่</t>
        </is>
      </c>
      <c r="H101" s="35" t="inlineStr">
        <is>
          <t>หยุดรับประทานเครื่องในอย่างเคร่งครัด</t>
        </is>
      </c>
      <c r="I101" s="35" t="n">
        <v>5</v>
      </c>
      <c r="J101" s="35" t="inlineStr">
        <is>
          <t>✅ คำตอบที่ถูกต้อง: ข้อ จ. หยุดรับประทานเครื่องในอย่างเคร่งครัด
💡 Background:
การปรับเปลี่ยนพฤติกรรมการดำเนินชีวิตและการควบคุมอาหาร (Non-pharmacological management) เป็นหัวใจสำคัญในการป้องกันการกำเริบของโรคเกาต์ อาหารที่มีสารพิวรีนสูงมาก (Very high purine: &gt; 150 mg/100 g) ได้แก่ เครื่องในสัตว์ทุกชนิด (ตับ ไต ไส้ ปอด หัวใจ) ไขกระดูก สัตว์ปีก หน่อไม้ ยอดผักบางชนิด กะปิ และปลาตัวเล็กตัวน้อย การงดเว้นอาหารกลุ่มนี้อย่างเคร่งครัดจะช่วยลดการสร้างกรดยูริกเข้าสู่กระแสเลือดได้อย่างชัดเจนและป้องกันการกำเริบซ้ำ
🎯 ทำไมข้อนี้ถึงถูก:
เครื่องในสัตว์เป็นแหล่งของสารพิวรีนที่เข้มข้นที่สุด การหยุดรับประทานเครื่องในอย่างเคร่งครัดจึงเป็นคำแนะนำจำเพาะที่จำเป็นและตรงจุดที่สุดสำหรับผู้ป่วยโรคเกาต์เพื่อป้องกันการกำเริบซ้ำ
🔍 ข้ออื่นผิดเพราะอะไร:
• ข้อ ก. (ควบคุมน้ำหนัก): แม้การลดน้ำหนักจะช่วยลดระดับกรดยูริกได้ในระยะยาว แต่ต้องทำอย่างค่อยเป็นค่อยไป การลดน้ำหนักอย่างรวดเร็วหรือการอดอาหารจะทำให้เกิด Ketoacidosis ซึ่งขัดขวางการขับยูริกทางไตและทำให้เกาต์กำเริบเฉียบพลันได้
• ข้อ ข. (ออกกำลังกายอย่างสม่ำเสมอ): ในระยะที่มีข้ออักเสบเฉียบพลันควรพักการใช้ข้อ (Rest) ห้ามออกกำลังกายหักโหม
• ข้อ ค. (ควบคุมระดับน้ำตาลในเลือด): เป็นการควบคุมโรคเบาหวานเดิม แต่ไม่ใช่คำแนะนำจำเพาะอันดับแรกในการจัดการโรคเกาต์
• ข้อ ง. (รับประทานสัตว์ปีกแทนสัตว์ใหญ่): ผิดอย่างยิ่ง เพราะสัตว์ปีก (เป็ด ไก่) มีปริมาณพิวรีนสูงมากเช่นกัน ไม่สามารถรับประทานทดแทนสัตว์ใหญ่ได้ในผู้ป่วยโรคเกาต์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Dietary Management in Gout:
  - ห้ามเด็ดขาด: เครื่องในสัตว์ทุกชนิด แอลกอฮอล์ (โดยเฉพาะเบียร์) เครื่องดื่มน้ำตาล Fructose สูง
  - สัตว์ปีก (ไก่ เป็ด) มีพิวรีนสูง ห้ามใช้แทนสัตว์ใหญ่
  - พืชตระกูลถั่ว/เต้าหู้ และผลิตภัณฑ์นมไขมันต่ำ (Low-fat dairy) ปลอดภัยและช่วยลดระดับยูริกได้</t>
        </is>
      </c>
      <c r="K101" s="35" t="n"/>
      <c r="L101" s="35" t="inlineStr">
        <is>
          <t>Gout</t>
        </is>
      </c>
      <c r="M101" s="35" t="inlineStr">
        <is>
          <t>Clinic</t>
        </is>
      </c>
      <c r="N101" s="35" t="inlineStr">
        <is>
          <t>ข้อ 29 Pharma Plus เล่มม่วง (เฉลยข้อ จ)</t>
        </is>
      </c>
      <c r="O101" s="35" t="inlineStr">
        <is>
          <t>Mock</t>
        </is>
      </c>
      <c r="P101" s="35" t="inlineStr">
        <is>
          <t>Pharma Plus เล่มม่วง</t>
        </is>
      </c>
    </row>
    <row r="102" ht="409.6" customHeight="1" s="37">
      <c r="A102" s="35" t="n">
        <v>100</v>
      </c>
      <c r="B102" s="35"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ยาในข้อใดไม่ควรจ่าย</t>
        </is>
      </c>
      <c r="C102" s="35" t="n"/>
      <c r="D102" s="35" t="inlineStr">
        <is>
          <t>Indomethacin 25 mg 1x3 pc</t>
        </is>
      </c>
      <c r="E102" s="35" t="inlineStr">
        <is>
          <t>Piroxicam 10 mg 1x2 pc</t>
        </is>
      </c>
      <c r="F102" s="35" t="inlineStr">
        <is>
          <t>Naproxen 500 mg 1x2 pc</t>
        </is>
      </c>
      <c r="G102" s="35" t="inlineStr">
        <is>
          <t>Ibuprofen 800 mg 1x4 pc</t>
        </is>
      </c>
      <c r="H102" s="35" t="inlineStr">
        <is>
          <t>Aspirin 500 mg 1x3 pc</t>
        </is>
      </c>
      <c r="I102" s="35" t="n">
        <v>5</v>
      </c>
      <c r="J102" s="35" t="inlineStr">
        <is>
          <t>✅ คำตอบที่ถูกต้อง: ข้อ จ. Aspirin 500 mg 1x3 pc
💡 Background:
การรักษาอาการข้ออักเสบเกาต์เฉียบพลัน (Acute Gout Flare) มีเป้าหมายเพื่อระงับการอักเสบและความเจ็บปวดอย่างรวดเร็ว ยากลุ่ม NSAIDs ที่มีข้อบ่งใช้และประสิทธิภาพสูง ได้แก่ Indomethacin, Naproxen, Ibuprofen ในขนาดสูง หรือ Piroxicam อย่างไรก็ตาม ยา Aspirin ในขนาดบรรเทาปวดทั่วไป (500 mg 3 เวลาต่อวัน = 1,500 mg/day) จัดเป็นขนาดยาขนาดต่ำถึงปานกลาง ซึ่งจะไปยับยั้งการหลั่งกรดยูริกที่ท่อไตส่วนต้น (Inhibits tubular secretion of uric acid) ส่งผลให้ระดับกรดยูริกในเลือดคั่งสูงขึ้นและกระตุ้นให้ข้ออักเสบรุนแรงยิ่งขึ้น จึงเป็นข้อห้ามใช้ในการรักษาโรคเกาต์กำเริบเฉียบพลัน
🎯 ทำไมข้อนี้ถึงถูก:
Aspirin 500 mg 1x3 pc (1.5 g/day) เป็นขนาดที่มีฤทธิ์แย่งการขับกรดยูริกทางไต ทำให้ระดับ Serum uric acid สูงขึ้นและข้ออักเสบกำเริบแย่ลง จึงเป็นยาที่ไม่ควรจ่ายเด็ดขาด
🔍 ข้ออื่นผิดเพราะอะไร:
• ข้อ ก. (Indomethacin 25 mg 1x3 pc หรือขนาดสูง 50 mg 1x3-4 pc): เป็นยาต้านการอักเสบมาตรฐานที่ใช้รักษา Acute gout flare มาอย่างยาวนาน
• ข้อ ข. (Piroxicam 10 mg 1x2 pc หรือ 20 mg 1x1): เป็นยากลุ่ม Oxicam NSAID สามารถใช้บรรเทาข้ออักเสบเกาต์ได้
• ข้อ ค. (Naproxen 500 mg 1x2 pc): เป็น First-line NSAID ที่แนะนำอย่างยิ่งในแนวทางเวชปฏิบัติเนื่องจากประสิทธิภาพดีและมีความปลอดภัยต่อระบบหัวใจและหลอดเลือดค่อนข้างสูง
• ข้อ ง. (Ibuprofen 800 mg 1x4 pc หรือ 1x3): เป็นยากลุ่ม NSAID ในขนาดต้านการอักเสบ (Anti-inflammatory dose) ที่สามารถใช้รักษาได้
📖 Guideline อ้างอิง:
2020 American College of Rheumatology (ACR) Guideline for the Management of Gout &amp; EULAR Recommendations for Gout
📌 จุดจำก่อนสอบ:
• NSAIDs for Acute Gout: Naproxen, Indomethacin, Ibuprofen (High dose) ใช้รักษา Acute flare ได้ดี
• Avoid Aspirin in Gout Flare: ขนาดยาแก้ปวด (1-2 g/day) ขัดขวางการขับกรดยูริกทางไต ทำให้ยูริกคั่ง ห้ามใช้รักษาอาการปวดข้อเกาต์เด็ดขาด</t>
        </is>
      </c>
      <c r="K102" s="35" t="n"/>
      <c r="L102" s="35" t="inlineStr">
        <is>
          <t>Gout</t>
        </is>
      </c>
      <c r="M102" s="35" t="inlineStr">
        <is>
          <t>Clinic</t>
        </is>
      </c>
      <c r="N102" s="35" t="inlineStr">
        <is>
          <t>ข้อ 30 Pharma Plus เล่มม่วง (เฉลยข้อ จ)</t>
        </is>
      </c>
      <c r="O102" s="35" t="inlineStr">
        <is>
          <t>Mock</t>
        </is>
      </c>
      <c r="P102" s="35" t="inlineStr">
        <is>
          <t>Pharma Plus เล่มม่วง</t>
        </is>
      </c>
    </row>
    <row r="103" ht="409.6" customHeight="1" s="37">
      <c r="A103" s="35" t="n">
        <v>101</v>
      </c>
      <c r="B103" s="35"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ข้อใดกลไกของยา colchicine</t>
        </is>
      </c>
      <c r="C103" s="35" t="n"/>
      <c r="D103" s="35" t="inlineStr">
        <is>
          <t>ยับยั้ง norciceptin</t>
        </is>
      </c>
      <c r="E103" s="35" t="inlineStr">
        <is>
          <t>Inhibit PG</t>
        </is>
      </c>
      <c r="F103" s="35" t="inlineStr">
        <is>
          <t>IL-1 receptor antagonists</t>
        </is>
      </c>
      <c r="G103" s="35" t="inlineStr">
        <is>
          <t>Inhibit INF</t>
        </is>
      </c>
      <c r="H103" s="35" t="inlineStr">
        <is>
          <t>กด PMN ทำให้ไม่สามารถหลั่งสารอักเสบ</t>
        </is>
      </c>
      <c r="I103" s="35" t="n">
        <v>5</v>
      </c>
      <c r="J103" s="35" t="inlineStr">
        <is>
          <t>✅ คำตอบที่ถูกต้อง: ข้อ จ. กด PMN ทำให้ไม่สามารถหลั่งสารอักเสบ
💡 Background:
Colchicine เป็นอัลคาลอยด์ธรรมชาติที่สกัดจากต้น Colchicum autumnale มีกลไกการออกฤทธิ์จำเพาะโดยการจับกับโปรตีน Tubulin ทำให้ยับยั้งกระบวนการประกอบตัวของไมโครทูบูล (Inhibits microtubule polymerization) ส่งผลยับยั้งการเคลื่อนที่ (Chemotaxis), การสร้างเดนไดรต์, และการกลืนกินผลึกยูเรต (Phagocytosis) ของเซลล์เม็ดเลือดขาวชนิด Polymorphonuclear leukocytes (PMN / Neutrophils) พร้อมทั้งยับยั้งการกระตุ้น NLRP3 Inflammasome ขัดขวางการหลั่งสารสื่อการอักเสบ เช่น Interleukin-1beta (IL-1beta) และ Leukotriene B4
🎯 ทำไมข้อนี้ถึงถูก:
การยับยั้งการทำงานของเซลล์เม็ดเลือดขาว PMN (Neutrophil) ทำให้ไม่สามารถเคลื่อนตัวมากินผลึกและไม่สามารถหลั่งเอนไซม์หรือสารสื่อการอักเสบออกมาได้ เป็นกลไกหลักทางเภสัชวิทยาของยา Colchicine
🔍 ข้ออื่นผิดเพราะอะไร:
• ข้อ ก. (ยับยั้ง nociceptin): ไม่ใช่กลไกของ Colchicine
• ข้อ ข. (Inhibit PG): เป็นกลไกของยากลุ่ม NSAIDs ที่ยับยั้งเอนไซม์ Cyclooxygenase (COX-1/COX-2)
• ข้อ ค. (IL-1 receptor antagonists): เป็นกลไกของยากลุ่มชีววัตถุ เช่น Anakinra ไม่ใช่ Colchicine
• ข้อ ง. (Inhibit INF): ไม่ใช่กลไกหลักในการต้านการอักเสบของ Colchicine
📖 Guideline อ้างอิง:
Goodman &amp; Gilman's The Pharmacological Basis of Therapeutics (14th Edition) &amp; 2020 American College of Rheumatology (ACR) Guideline for the Management of Gout
📌 จุดจำก่อนสอบ:
• Colchicine Mechanism: Tubulin binding -&gt; Microtubule disruption -&gt; ยับยั้ง Neutrophil (PMN) chemotaxis &amp; phagocytosis และยับยั้ง NLRP3 inflammasome
• Dosing for Acute Flare: 1.2 mg ทันที ตามด้วย 0.6 mg ในอีก 1 ชั่วโมงถัดมา (Low-dose regimen ปลอดภัยและได้ผลเท่า High-dose เดิม)</t>
        </is>
      </c>
      <c r="K103" s="35" t="n"/>
      <c r="L103" s="35" t="inlineStr">
        <is>
          <t>Gout</t>
        </is>
      </c>
      <c r="M103" s="35" t="inlineStr">
        <is>
          <t>Clinic</t>
        </is>
      </c>
      <c r="N103" s="35" t="inlineStr">
        <is>
          <t>ข้อ 31 Pharma Plus เล่มม่วง (เฉลยข้อ จ)</t>
        </is>
      </c>
      <c r="O103" s="35" t="inlineStr">
        <is>
          <t>Mock</t>
        </is>
      </c>
      <c r="P103" s="35" t="inlineStr">
        <is>
          <t>Pharma Plus เล่มม่วง</t>
        </is>
      </c>
    </row>
    <row r="104" ht="409.6" customHeight="1" s="37">
      <c r="A104" s="35" t="n">
        <v>102</v>
      </c>
      <c r="B104" s="35"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Allopurinol ออกฤทธิ์อย่างไร</t>
        </is>
      </c>
      <c r="C104" s="35" t="n"/>
      <c r="D104" s="35" t="inlineStr">
        <is>
          <t>HMG-CoA reductase inhibitors</t>
        </is>
      </c>
      <c r="E104" s="35" t="inlineStr">
        <is>
          <t>Integrase inhibitors</t>
        </is>
      </c>
      <c r="F104" s="35" t="inlineStr">
        <is>
          <t>Xanthine oxidase inhibitors</t>
        </is>
      </c>
      <c r="G104" s="35" t="inlineStr">
        <is>
          <t>DNA gyrase inhibitors</t>
        </is>
      </c>
      <c r="H104" s="35" t="inlineStr">
        <is>
          <t>Cholinesterase inhibitors</t>
        </is>
      </c>
      <c r="I104" s="35" t="n">
        <v>3</v>
      </c>
      <c r="J104" s="35" t="inlineStr">
        <is>
          <t>✅ คำตอบที่ถูกต้อง: ข้อ ค. Xanthine oxidase inhibitors
💡 Background:
Allopurinol เป็นสารอนุพันธ์ประเภท Purine analog (โครงสร้างคล้าย Hypoxanthine) จัดเป็นยาหลักในกลุ่ม Xanthine Oxidase Inhibitors (XOI) ออกฤทธิ์ยับยั้งเอนไซม์ Xanthine Oxidase ทั้งในรูปของตัวยาแม่ Allopurinol และเมแทบอไลต์ออกฤทธิ์คือ Oxypurinol (Alloxanthine) ซึ่งมีค่าครึ่งชีวิตยาวนานกว่า ส่งผลยับยั้งการเปลี่ยน Hypoxanthine ไปเป็น Xanthine และยับยั้งการเปลี่ยน Xanthine ไปเป็น Uric acid ทำให้ระดับกรดยูริกในเลือดและในปัสสาวะลดลงอย่างมีประสิทธิภาพ
🎯 ทำไมข้อนี้ถึงถูก:
Allopurinol จัดอยู่ในกลุ่มยา "Xanthine oxidase inhibitors" โดยตรง ทำหน้าที่ขัดขวางกระบวนการสร้างกรดยูริกในร่างกาย
🔍 ข้ออื่นผิดเพราะอะไร:
• ข้อ ก. (HMG-CoA reductase inhibitors): เป็นยากลุ่มยาลดไขมันในเลือดกลุ่ม Statins เช่น Simvastatin, Atorvastatin
• ข้อ ข. (Integrase inhibitors): เป็นยาต้านไวรัส HIV เช่น Raltegravir, Dolutegravir
• ข้อ ง. (DNA gyrase inhibitors): เป็นยาต้านจุลชีพกลุ่ม Fluoroquinolones เช่น Ciprofloxacin, Levofloxacin
• ข้อ จ. (Cholinesterase inhibitors): เป็นยาเพิ่ม Acetylcholine รักษาโรคอัลไซเมอร์หรือ Myasthenia Gravis เช่น Donepezil, Pyridostigmine
📖 Guideline อ้างอิง:
Goodman &amp; Gilman's The Pharmacological Basis of Therapeutics (14th Edition) &amp; 2020 American College of Rheumatology (ACR) Guideline for the Management of Gout
📌 จุดจำก่อนสอบ:
• Allopurinol: Purine analog -&gt; ยับยั้ง Xanthine Oxidase -&gt; ลดการสร้าง Uric acid
• Active Metabolite: Oxypurinol (t1/2 ~ 15-30 ชั่วโมง) ขับออกทางไต ต้องปรับขนาดยาตามค่าการทำงานของไต (eGFR)
• Genetic Screening: ตรวจยีนเสี่ยง HLA-B58:01 ก่อนเริ่มยาในคนไทย เพื่อป้องกันการแพ้ยารุนแรง (SCARs/SJS/TEN)</t>
        </is>
      </c>
      <c r="K104" s="35" t="n"/>
      <c r="L104" s="35" t="inlineStr">
        <is>
          <t>Gout</t>
        </is>
      </c>
      <c r="M104" s="35" t="inlineStr">
        <is>
          <t>Clinic</t>
        </is>
      </c>
      <c r="N104" s="35" t="inlineStr">
        <is>
          <t>ข้อ 32 Pharma Plus เล่มม่วง (เฉลยข้อ ค)</t>
        </is>
      </c>
      <c r="O104" s="35" t="inlineStr">
        <is>
          <t>Mock</t>
        </is>
      </c>
      <c r="P104" s="35" t="inlineStr">
        <is>
          <t>Pharma Plus เล่มม่วง</t>
        </is>
      </c>
    </row>
    <row r="105" ht="409.6" customHeight="1" s="37">
      <c r="A105" s="35" t="n">
        <v>103</v>
      </c>
      <c r="B105" s="35"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สมุนไพรใดที่มีการออกฤทธิ์คล้ายยากลุ่ม NSAIDs</t>
        </is>
      </c>
      <c r="C105" s="35" t="n"/>
      <c r="D105" s="35" t="inlineStr">
        <is>
          <t>รางจืด</t>
        </is>
      </c>
      <c r="E105" s="35" t="inlineStr">
        <is>
          <t>ขมิ้นชัน</t>
        </is>
      </c>
      <c r="F105" s="35" t="inlineStr">
        <is>
          <t>ตรีผลา</t>
        </is>
      </c>
      <c r="G105" s="35" t="inlineStr">
        <is>
          <t>ฟ้าทลายโจร</t>
        </is>
      </c>
      <c r="H105" s="35" t="inlineStr">
        <is>
          <t>เถาวัลย์เปรียง</t>
        </is>
      </c>
      <c r="I105" s="35" t="n">
        <v>5</v>
      </c>
      <c r="J105" s="35" t="inlineStr">
        <is>
          <t>✅ คำตอบที่ถูกต้อง: ข้อ จ. เถาวัลย์เปรียง
💡 Background:
"เถาวัลย์เปรียง" (Derris scandens (Roxb.) Benth.) เป็นยาสมุนไพรในบัญชียาหลักแห่งชาติด้านสมุนไพรของประเทศไทย สารสกัดจากเถาวัลย์เปรียงมีสารสำคัญในกลุ่ม Isoflavonoids และสารอนุพันธ์ เช่น Scanderone และ Lupeol ซึ่งมีฤทธิ์ทางเภสัชวิทยาในการยับยั้งเอนไซม์ Cyclooxygenase (ทั้ง COX-1 และ COX-2) รวมถึงลดการหลั่งสารสื่อการอักเสบ PGE2 และ TNF-alpha มีผลการวิจัยทางคลินิกยืนยันว่ามีประสิทธิผลในการลดอาการปวดข้อ ปวดหลัง และต้านการอักเสบเทียบเคียงได้กับยาแผนปัจจุบันกลุ่ม NSAIDs (เช่น Ibuprofen หรือ Diclofenac)
🎯 ทำไมข้อนี้ถึงถูก:
เถาวัลย์เปรียง มีฤทธิ์ต้านการอักเสบผ่านกลไกยับยั้งการสร้าง Prostaglandin คล้ายคลึงกับยากลุ่ม NSAIDs และได้รับการบรรจุในบัญชียาหลักแห่งชาติเพื่อบรรเทาอาการปวดเมื่อยกล้ามเนื้อและปวดข้อ
🔍 ข้ออื่นผิดเพราะอะไร:
• ข้อ ก. (รางจืด): Thunbergia laurifolia เด่นด้านการถอนพิษ ขับสารพิษต้านอนุมูลอิสระ ไม่ได้ใช้ต้านการอักเสบคล้าย NSAIDs
• ข้อ ข. (ขมิ้นชัน): Curcuma longa มีสาร Curcuminoids เด่นด้านขับลม บรรเทาอาการจุกเสียด แน่นเฟ้อ รักษาแผลในทางเดินอาหาร
• ข้อ ค. (ตรีผลา): ตำรับสมุนไพรพิกัด 3 ชนิด (สมอพิเภก สมอไทย มะขามป้อม) เด่นด้านปรับธาตุ บรรเทาอาการไอ ขับเสมหะ และเป็นยาระบายอ่อนๆ
• ข้อ ง. (ฟ้าทะลายโจร): Andrographis paniculata มีสาร Andrographolide เด่นด้านบรรเทาอาการของโรคหวัด เจ็บคอ บรรเทาอาการไข้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 เถาวัลย์เปรียง (Derris scandens): ยาสมุนไพรบรรเทาอาการปวดกล้ามเนื้อ ปวดข้อ กลไกยับยั้ง COX คล้าย NSAIDs
• Caution: เนื่องจากมีฤทธิ์คล้าย NSAIDs จึงต้องระวังการใช้ในผู้ป่วยโรคแผลในทางเดินอาหาร (Peptic ulcer) และโรคไตเสื่อม</t>
        </is>
      </c>
      <c r="K105" s="35" t="n"/>
      <c r="L105" s="35" t="inlineStr">
        <is>
          <t>Gout / Herbal Medicine</t>
        </is>
      </c>
      <c r="M105" s="35" t="inlineStr">
        <is>
          <t>Clinic</t>
        </is>
      </c>
      <c r="N105" s="35" t="inlineStr">
        <is>
          <t>ข้อ 33 Pharma Plus เล่มม่วง (เฉลยข้อ จ)</t>
        </is>
      </c>
      <c r="O105" s="35" t="inlineStr">
        <is>
          <t>Mock</t>
        </is>
      </c>
      <c r="P105" s="35" t="inlineStr">
        <is>
          <t>Pharma Plus เล่มม่วง</t>
        </is>
      </c>
    </row>
    <row r="106" ht="409.6" customHeight="1" s="37">
      <c r="A106" s="35" t="n">
        <v>104</v>
      </c>
      <c r="B106" s="35" t="inlineStr">
        <is>
          <t>ผู้ป่วยอายุ 53 ปี มาขอคำปรึกษากับเภสัชกรร้านขายยาว่า ในรอบเดือนที่ผ่านมามีอาการปวดเข่าจากโรคเกาท์มากขึ้นและได้รับประทานเป็น colchicine มา 2 ปี ได้ควบคุมการรับประทานอาหารและรับประทานยาอย่างต่อเนื่องตามที่แพทย์สั่ง มีโรคประจำตัวเป็นโรคความดันโลหิตสูง ซึ่งได้รับยาจากคลินิกดังนี้ HCTZ 50 mg 1x1 pc, Colchicines 0.6 mg 1x1 pc, Moduretic (HCTZ+Amiloride) 1x1pc (เพิ่งได้ยาตัวนี้เพิ่มเมื่อเดือนที่แล้ว) ปัจจุบันผู้ป่วยมีความดันโลหิต 144/94 mmHg ผู้ป่วยปฏิเสธการแพ้ยาและโรคประจำตัวอื่น ๆ
ข้อใดเป็นปัจจัยที่ก่อให้เกิดอาการดังกล่าว</t>
        </is>
      </c>
      <c r="C106" s="35" t="n"/>
      <c r="D106" s="35" t="inlineStr">
        <is>
          <t>Hydrochlorothiazide induced hyponatremia</t>
        </is>
      </c>
      <c r="E106" s="35" t="inlineStr">
        <is>
          <t>ระดับยา colchicine ลดลงเนื่องจากเกิดปฏิกิริยากับ hydrochlorothiazide</t>
        </is>
      </c>
      <c r="F106" s="35" t="inlineStr">
        <is>
          <t>ภาวะแทรกซ้อนจากโรคความดันโลหิตสูง</t>
        </is>
      </c>
      <c r="G106" s="35" t="inlineStr">
        <is>
          <t>การได้รับยา hydrochlorothiazide</t>
        </is>
      </c>
      <c r="H106" s="35" t="inlineStr">
        <is>
          <t>การได้รับยา amiloride</t>
        </is>
      </c>
      <c r="I106" s="35" t="n">
        <v>4</v>
      </c>
      <c r="J106" s="35" t="inlineStr">
        <is>
          <t>✅ คำตอบที่ถูกต้อง: ข้อ ง. การได้รับยา hydrochlorothiazide
💡 Background:
ยาขับปัสสาวะกลุ่ม Thiazides เช่น Hydrochlorothiazide (HCTZ) เป็นสาเหตุสำคัญที่พบบ่อยของภาวะกรดยูริกในเลือดสูงที่เกิดจากยา (Diuretic-induced hyperuricemia) ยา HCTZ ออกฤทธิ์ขับน้ำและโซเดียม ทำให้ปริมาตรเลือดในร่างกายลดลง ส่งผลกระตุ้นให้ไตดูดกลับโซเดียมและกรดยูริกที่ท่อไตส่วนต้น (Proximal tubule) เพิ่มขึ้น นอกจากนี้โมเลกุลของยาขับปัสสาวะยังเข้าไปแย่งกลไกการหลั่งกรดยูริก (Organic Anion Transporter: OAT) ที่ท่อไต ส่งผลให้การขับกรดยูริกออกทางปัสสาวะลดลงอย่างมาก ยิ่งในผู้ป่วยรายนี้เพิ่งได้รับยา Moduretic (HCTZ + Amiloride) เพิ่มเข้าไป จึงทำให้ได้รับขนาดรวมของ HCTZ สูงขึ้นจนกระตุ้นให้ข้ออักเสบเกาต์กำเริบ
🎯 ทำไมข้อนี้ถึงถูก:
การได้รับยา Hydrochlorothiazide (โดยเฉพาะเมื่อได้รับซ้ำซ้อนจากทั้งยาเดี่ยว HCTZ และยารวม Moduretic) เป็นปัจจัยชักนำโดยตรงที่ทำให้ระดับกรดยูริกสูงขึ้นและข้อเกาต์กำเริบมากขึ้น
🔍 ข้ออื่นผิดเพราะอะไร:
• ข้อ ก. (Hydrochlorothiazide induced hyponatremia): โซเดียมในเลือดต่ำไม่ใช่อาการที่อธิบายการปวดข้อเกาต์
• ข้อ ข. (ระดับยา colchicine ลดลงเนื่องจากเกิดปฏิกิริยากับ hydrochlorothiazide): ยาทั้งสองไม่มีอันตรกิริยาทางเภสัชจลนศาสตร์ที่ทำให้ระดับ Colchicine ลดลงอย่างมีนัยสำคัญ
• ข้อ ค. (ภาวะแทรกซ้อนจากโรคความดันโลหิตสูง): ความดันโลหิตสูงไม่ได้ทำให้ข้ออักเสบเกาต์กำเริบโดยตรง แต่เกิดจากยาขับปัสสาวะที่ใช้รักษา
• ข้อ จ. (การได้รับยา amiloride): Amiloride เป็น Potassium-sparing diuretic ไม่มีผลเพิ่มระดับกรดยูริกโดดเด่นเท่า Thiazide
📖 Guideline อ้างอิง:
2020 American College of Rheumatology (ACR) Guideline for the Management of Gout &amp; 2024 ESC Guidelines for the management of elevated blood pressure and hypertension
📌 จุดจำก่อนสอบ:
• Drugs that Induce Hyperuricemia: "CAN'T LEAP"
  - C: Cyclosporine
  - A: Alcohol, Aspirin (Low dose)
  - N: Nicotinic acid (Niacin)
  - T: Thiazide diuretics (HCTZ) &amp; Loop diuretics
  - L: Levodopa
  - E: Ethambutol
  - A: Allopurinol (Initial flare)
  - P: Pyrazinamide
• Clinical Strategy: เปลี่ยนยาลดความดันไปใช้ Losartan (ARB ตัวเดียวที่มีฤทธิ์ Uricosuric ขับกรดยูริก) หรือ Calcium Channel Blockers (Amlodipine)</t>
        </is>
      </c>
      <c r="K106" s="35" t="n"/>
      <c r="L106" s="35" t="inlineStr">
        <is>
          <t>Gout</t>
        </is>
      </c>
      <c r="M106" s="35" t="inlineStr">
        <is>
          <t>Clinic</t>
        </is>
      </c>
      <c r="N106" s="35" t="inlineStr">
        <is>
          <t>ข้อ 34 Pharma Plus เล่มม่วง (เฉลยข้อ ง)</t>
        </is>
      </c>
      <c r="O106" s="35" t="inlineStr">
        <is>
          <t>Mock</t>
        </is>
      </c>
      <c r="P106" s="35" t="inlineStr">
        <is>
          <t>Pharma Plus เล่มม่วง</t>
        </is>
      </c>
    </row>
    <row r="107" ht="409.6" customHeight="1" s="37">
      <c r="A107" s="35" t="n">
        <v>105</v>
      </c>
      <c r="B107" s="35" t="inlineStr">
        <is>
          <t>ข้อใดเป็นอาหารที่ผู้ป่วยไม่ควรได้รับมากที่สุด</t>
        </is>
      </c>
      <c r="C107" s="35" t="n"/>
      <c r="D107" s="35" t="inlineStr">
        <is>
          <t>ต้มยำปลาช่อน</t>
        </is>
      </c>
      <c r="E107" s="35" t="inlineStr">
        <is>
          <t>หมูแดดเดียว</t>
        </is>
      </c>
      <c r="F107" s="35" t="inlineStr">
        <is>
          <t>ตับหวาน</t>
        </is>
      </c>
      <c r="G107" s="35" t="inlineStr">
        <is>
          <t>แกงบวชฟักทอง</t>
        </is>
      </c>
      <c r="H107" s="35" t="inlineStr">
        <is>
          <t>ปลาหมึกย่าง</t>
        </is>
      </c>
      <c r="I107" s="35" t="n">
        <v>3</v>
      </c>
      <c r="J107" s="35" t="inlineStr">
        <is>
          <t>✅ คำตอบที่ถูกต้อง: ข้อ ค. ตับหวาน
💡 Background:
สารพิวรีน (Purine) เป็นสารตั้งต้นในร่างกายที่จะถูกออกซิไดซ์ผ่านเอนไซม์ Xanthine Oxidase ไปเป็นกรดยูริก ในบรรดาหมวดหมู่อาหาร เครื่องในสัตว์ (Organ meats / Offal) เช่น ตับ ไต หัวใจ ไส้ ปอด เป็นอาหารที่มีความเข้มข้นของเซลล์และสารพิวรีนสูงที่สุดอย่างยิ่ง (&gt; 150 - 1,000 mg purine / 100 g) การบริโภคเครื่องในสัตว์จะทำให้ระดับกรดยูริกในเลือดพุ่งสูงขึ้นอย่างรวดเร็วและกระตุ้นให้ข้ออักเสบกำเริบเฉียบพลันได้ทันที
🎯 ทำไมข้อนี้ถึงถูก:
"ตับหวาน" ทำจากตับหมู ซึ่งเป็นเครื่องในสัตว์ที่มีปริมาณพิวรีนสูงที่สุดในตัวเลือกทั้งหมด จึงเป็นอาหารที่ผู้ป่วยโรคเกาต์ต้องหลีกเลี่ยงมากที่สุดอย่างเด็ดขาด
🔍 ข้ออื่นผิดเพราะอะไร:
• ข้อ ก. (ต้มยำปลาช่อน): เนื้อปลามีพิวรีนปานกลาง ปลอดภัยกว่าเครื่องในสัตว์มาก
• ข้อ ข. (หมูแดดเดียว): เนื้อหมูปกติจัดเป็นอาหารพิวรีนปานกลาง ควรจำกัดปริมาณ แต่ไม่รุนแรงเท่าตับและเครื่องใน
• ข้อ ง. (แกงบวชฟักทอง): เป็นอาหารกลุ่มคาร์โบไฮเดรตและพืช มีพิวรีนต่ำมาก ปลอดภัยต่อโรคเกาต์ (แต่ต้องระวังเรื่องน้ำตาล)
• ข้อ จ. (ปลาหมึกย่าง): อาหารทะเลมีพิวรีนปานกลางถึงสูง ควรหลีกเลี่ยงหรือจำกัด แต่หากเทียบกับเครื่องในสัตว์ ตับหมูยังคงมีพิวรีนและความเสี่ยงสูงกว่า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Purine Content Hierarchy:
  - Very High (&gt; 150 mg/100g) -&gt; หลีกเลี่ยงเด็ดขาด: เครื่องในสัตว์ทุกชนิด (ตับ ไต ไส้) ไขกระดูก น้ำต้มกระดูกเข้มข้น ยีสต์ แอลกอฮอล์
  - Moderate (50-150 mg/100g) -&gt; รับประทานได้พอเหมาะ: เนื้อแดง สัตว์ปีก ปลา อาหารทะเล
  - Low (&lt; 50 mg/100g) -&gt; ปลอดภัย: ผลิตภัณฑ์นมพร่องมันเนย ไข่ไก่ ผักใบเขียว ข้าว ขนมปัง</t>
        </is>
      </c>
      <c r="K107" s="35" t="n"/>
      <c r="L107" s="35" t="inlineStr">
        <is>
          <t>Gout</t>
        </is>
      </c>
      <c r="M107" s="35" t="inlineStr">
        <is>
          <t>Clinic</t>
        </is>
      </c>
      <c r="N107" s="35" t="inlineStr">
        <is>
          <t>ข้อ 35 Pharma Plus เล่มม่วง (เฉลยข้อ ค)</t>
        </is>
      </c>
      <c r="O107" s="35" t="inlineStr">
        <is>
          <t>Mock</t>
        </is>
      </c>
      <c r="P107" s="35" t="inlineStr">
        <is>
          <t>Pharma Plus เล่มม่วง</t>
        </is>
      </c>
    </row>
    <row r="108" ht="409.6" customHeight="1" s="37">
      <c r="A108" s="35" t="n">
        <v>106</v>
      </c>
      <c r="B108" s="35" t="inlineStr">
        <is>
          <t>ข้อใดกล่าวถึง colchicine ถูกต้อง</t>
        </is>
      </c>
      <c r="C108" s="35" t="n"/>
      <c r="D108" s="35" t="inlineStr">
        <is>
          <t>เป็นยาตัวเลือกรองที่ใช้ในการรักษาโรคเกาท์</t>
        </is>
      </c>
      <c r="E108" s="35" t="inlineStr">
        <is>
          <t>ต้องมีการจำกัดการรับประทานน้ำ</t>
        </is>
      </c>
      <c r="F108" s="35" t="inlineStr">
        <is>
          <t>ห้ามใช้ในสตรีมีครรภ์เด็ดขาด</t>
        </is>
      </c>
      <c r="G108" s="35" t="inlineStr">
        <is>
          <t>มีอันตรกิริยากับยากลุ่ม macrolide</t>
        </is>
      </c>
      <c r="H108" s="35" t="inlineStr">
        <is>
          <t>ไม่ต้องปรับขนาดยาในผู้ป่วยโรคไต</t>
        </is>
      </c>
      <c r="I108" s="35" t="n">
        <v>4</v>
      </c>
      <c r="J108" s="35" t="inlineStr">
        <is>
          <t>✅ คำตอบที่ถูกต้อง: ข้อ ง. มีอันตรกิริยากับยากลุ่ม macrolide
💡 Background:
Colchicine ถูกเมแทบอไลต์ผ่านเอนไซม์ Cytochrome P450 3A4 (CYP3A4) และถูกขนส่งออกจากเซลล์ผ่านโปรตีน P-glycoprotein (P-gp) เป็นทางหลัก ยากลุ่ม Macrolide antibiotics เช่น Clarithromycin, Erythromycin (ยกเว้น Azithromycin ซึ่งยับยั้งน้อยมาก) เป็นตัวยับยั้งเอนไซม์ CYP3A4 และ P-gp ที่มีฤทธิ์แรง (Strong inhibitors) การให้ยา Macrolides ร่วมกับ Colchicine จะทำให้ระดับยา Colchicine ในกระแสเลือดเพิ่มสูงขึ้นอย่างรวดเร็วและรุนแรง นำไปสู่ความเป็นพิษขั้นวิกฤต เช่น ท้องเสียรุนแรง กดการทำงานของไขกระดูก (Agranulocytosis/Pancytopenia) กล้ามเนื้อสลาย (Rhabdomyolysis) และอาจถึงแก่ชีวิตได้ จึงต้องหลีกเลี่ยงการใช้ร่วมกันหรือปรับลดขนาดยา Colchicine ลงอย่างเข้มงวด
🎯 ทำไมข้อนี้ถึงถูก:
ตัวเลือก ง. กล่าวถูกต้อง Colchicine มี Major Drug Interaction ที่อันตรายมากกับยากลุ่ม Macrolides (โดยเฉพาะ Clarithromycin และ Erythromycin)
🔍 ข้ออื่นผิดเพราะอะไร:
• ข้อ ก. (เป็นยาตัวเลือกรองที่ใช้ในการรักษาโรคเกาท์): ผิด Colchicine เป็นยาทางเลือกแรก (First-line agent) ในการรักษาข้ออักเสบเกาต์เฉียบพลันร่วมกับ NSAIDs และ Corticosteroids
• ข้อ ข. (ต้องมีการจำกัดการรับประทานน้ำ): ผิด ผู้ป่วยโรคเกาต์ที่ได้รับ Colchicine หรือมีระดับกรดยูริกสูงควรดื่มน้ำมากๆ (2-3 ลิตร/วัน) เพื่อช่วยขับกรดยูริกและลดโอกาสเกิดผลึกนิ่วในไต ไม่ใช่จำกัดน้ำ
• ข้อ ค. (ห้ามใช้ในสตรีมีครรภ์เด็ดขาด): ผิด Colchicine จัดอยู่ใน Pregnancy Category C (ไม่ใช่ Category X) แม้ควรหลีกเลี่ยงหากไม่จำเป็น แต่ไม่ได้เป็นข้อห้ามใช้อย่างเด็ดขาดเท่ากับยาในกลุ่ม Category X เช่น Methotrexate
• ข้อ จ. (ไม่ต้องปรับขนาดยาในผู้ป่วยโรคไต): ผิด Colchicine ขับออกทางไตประมาณร้อยละ 10-20 และสะสมในร่างกายได้ง่าย ผู้ป่วยที่มีการทำงานของไตบกพร่อง (eGFR &lt; 30-50 mL/min) จำเป็นต้องปรับลดขนาดยาหรือลดความถี่ในการรับประทานเพื่อป้องกันพิษต่อกล้ามเนื้อและไขกระดูก
📖 Guideline อ้างอิง:
2020 American College of Rheumatology (ACR) Guideline for the Management of Gout &amp; US FDA Drug Safety Communication on Colchicine-Macrolide Interactions
📌 จุดจำก่อนสอบ:
• Colchicine Dangerous Drug Interactions:
  - Strong CYP3A4 &amp; P-gp Inhibitors: Clarithromycin, Erythromycin, Ketoconazole, Itraconazole, Ritonavir, Verapamil, Diltiazem
  - Consequence: เพิ่มระดับ Colchicine มหาศาล -&gt; Rhabdomyolysis + Bone marrow suppression + Fatal toxicity
• Renal Adjustment: ในผู้ป่วย Moderate-Severe CKD ต้องลดขนาดยา Colchicine ลงเสมอ</t>
        </is>
      </c>
      <c r="K108" s="35" t="n"/>
      <c r="L108" s="35" t="inlineStr">
        <is>
          <t>Gout</t>
        </is>
      </c>
      <c r="M108" s="35" t="inlineStr">
        <is>
          <t>Clinic</t>
        </is>
      </c>
      <c r="N108" s="35" t="inlineStr">
        <is>
          <t>ข้อ 36 Pharma Plus เล่มม่วง (เฉลยข้อ ง)</t>
        </is>
      </c>
      <c r="O108" s="35" t="inlineStr">
        <is>
          <t>Mock</t>
        </is>
      </c>
      <c r="P108" s="35" t="inlineStr">
        <is>
          <t>Pharma Plus เล่มม่วง</t>
        </is>
      </c>
    </row>
    <row r="109" ht="409.6" customHeight="1" s="37">
      <c r="A109" s="35" t="n">
        <v>107</v>
      </c>
      <c r="B109" s="35" t="inlineStr">
        <is>
          <t>ข้อใดเป็นอาการไม่พึงประสงค์จากยา colchicine ที่พบบ่อยที่สุด</t>
        </is>
      </c>
      <c r="C109" s="35" t="n"/>
      <c r="D109" s="35" t="inlineStr">
        <is>
          <t>Ototoxicity</t>
        </is>
      </c>
      <c r="E109" s="35" t="inlineStr">
        <is>
          <t>Diarrhea</t>
        </is>
      </c>
      <c r="F109" s="35" t="inlineStr">
        <is>
          <t>Retinopathy</t>
        </is>
      </c>
      <c r="G109" s="35" t="inlineStr">
        <is>
          <t>Peripheral neuritis</t>
        </is>
      </c>
      <c r="H109" s="35" t="inlineStr">
        <is>
          <t>Hepatic impairment</t>
        </is>
      </c>
      <c r="I109" s="35" t="n">
        <v>2</v>
      </c>
      <c r="J109" s="35" t="inlineStr">
        <is>
          <t>✅ คำตอบที่ถูกต้อง: ข้อ ข. Diarrhea
💡 Background:
Colchicine ออกฤทธิ์จับกับโปรตีน Tubulin ทำให้ยับยั้งการแบ่งตัวของเซลล์ (Inhibits mitosis through microtubule assembly disruption) เซลล์เยื่อบุทางเดินอาหาร (Gastrointestinal epithelial cells) ซึ่งมีอัตราการแบ่งตัวและผลัดเซลล์สูงอย่างรวดเร็วจึงได้รับผลกระทบจากยานี้ได้ง่ายและเร็วที่สุด อาการไม่พึงประสงค์ที่พบบ่อยที่สุด (Most common ADR: เกิดขึ้นได้ถึงร้อยละ 20-50 ของผู้ใช้ยา) คือ อาการทางระบบทางเดินอาหาร โดยเฉพาะ "ท้องเสียถ่ายเหลว" (Diarrhea) คลื่นไส้ อาเจียน และปวดเกร็งท้อง โดยอาการท้องเสียมักเป็นสัญญาณเตือนแรกสุด (Early sign of toxicity) ที่บ่งชี้ว่าระดับยาในร่างกายเริ่มสูงเกินไป
🎯 ทำไมข้อนี้ถึงถูก:
"Diarrhea" (ท้องเสีย) เป็นอาการไม่พึงประสงค์ที่พบได้บ่อยที่สุดของยา Colchicine และเป็นข้อบ่งชี้ให้ผู้ป่วยหยุดใช้ยาทันทีหากมีอาการถ่ายเหลวรุนแรง
🔍 ข้ออื่นผิดเพราะอะไร:
• ข้อ ก. (Ototoxicity): พิษต่อหู พบบ่อยในยากลุ่ม Aminoglycosides (Gentamicin) หรือ Loop diuretics (Furosemide) ไม่ใช่ Colchicine
• ข้อ ค. (Retinopathy): พิษต่อจอประสาทตา พบบ่อยในการใช้ยา Chloroquine หรือ Hydroxychloroquine ระยะยาว
• ข้อ ง. (Peripheral neuritis): ปลายประสาทอักเสบ อาจพบได้ในภาวะพิษเรื้อรังจาก Colchicine (Neuromyopathy) แต่พบได้น้อยมากเมื่อเทียบกับอาการท้องเสีย
• ข้อ จ. (Hepatic impairment): ตับอักเสบไม่ใช่ผลข้างเคียงเด่นของ Colchicine
📖 Guideline อ้างอิง:
2020 American College of Rheumatology (ACR) Guideline for the Management of Gout &amp; Goodman &amp; Gilman's The Pharmacological Basis of Therapeutics (14th Edition)
📌 จุดจำก่อนสอบ:
• Most Common ADR of Colchicine: ท้องเสีย (Diarrhea) และปวดท้องคลื่นไส้
• Patient Counseling: หากเริ่มมีอาการถ่ายเหลว ถ่ายบ่อย หรือปวดบิดท้อง ให้หยุดรับประทานยา Colchicine ทันที
• Modern Regimen Benefit: การใช้ขนาดต่ำ (Low-dose: 1.2 mg stat ตามด้วย 0.6 mg ใน 1 ชั่วโมง) ให้ประสิทธิภาพเท่าขนาดเดิม แต่ลดการเกิด Diarrhea ลงได้มากกว่าครึ่ง</t>
        </is>
      </c>
      <c r="K109" s="35" t="n"/>
      <c r="L109" s="35" t="inlineStr">
        <is>
          <t>Gout</t>
        </is>
      </c>
      <c r="M109" s="35" t="inlineStr">
        <is>
          <t>Clinic</t>
        </is>
      </c>
      <c r="N109" s="35" t="inlineStr">
        <is>
          <t>ข้อ 37 Pharma Plus เล่มม่วง (เฉลยข้อ ข)</t>
        </is>
      </c>
      <c r="O109" s="35" t="inlineStr">
        <is>
          <t>Mock</t>
        </is>
      </c>
      <c r="P109" s="35" t="inlineStr">
        <is>
          <t>Pharma Plus เล่มม่วง</t>
        </is>
      </c>
    </row>
    <row r="110" ht="409.6" customHeight="1" s="37">
      <c r="A110" s="35" t="n">
        <v>108</v>
      </c>
      <c r="B110" s="35" t="inlineStr">
        <is>
          <t>ข้อใดเป็นกลไกทางเภสัชวิทยาของยา allopurinol</t>
        </is>
      </c>
      <c r="C110" s="35" t="n"/>
      <c r="D110" s="35" t="inlineStr">
        <is>
          <t>ลดการอักเสบ</t>
        </is>
      </c>
      <c r="E110" s="35" t="inlineStr">
        <is>
          <t>เพิ่มการหลั่ง uric acid</t>
        </is>
      </c>
      <c r="F110" s="35" t="inlineStr">
        <is>
          <t>ยับยั้ง xanthine oxidase</t>
        </is>
      </c>
      <c r="G110" s="35" t="inlineStr">
        <is>
          <t>ยับยั้ง macrophage มาบริเวณที่มีการอักเสบ</t>
        </is>
      </c>
      <c r="H110" s="35" t="inlineStr">
        <is>
          <t>เพิ่มการขับ uric acid</t>
        </is>
      </c>
      <c r="I110" s="35" t="n">
        <v>3</v>
      </c>
      <c r="J110" s="35" t="inlineStr">
        <is>
          <t>✅ คำตอบที่ถูกต้อง: ข้อ ค. ยับยั้ง xanthine oxidase
💡 Background:
ในกระบวนการสลายสารพิวรีนตามธรรมชาติในร่างกาย Hypoxanthine จะถูกเปลี่ยนเป็น Xanthine และ Xanthine จะถูกเปลี่ยนต่อไปเป็น Uric acid โดยอาศัยเอนไซม์ Xanthine Oxidase (XO) Allopurinol มีโครงสร้างเป็นสารคล้ายพิวรีน (Purine analog / Isomer of hypoxanthine) ทำหน้าที่เป็นสารยับยั้งเอนไซม์ Xanthine Oxidase โดยตรง นอกจากนี้ เมื่อ Allopurinol ถูกออกซิไดซ์ในร่างกายจะได้สารเมแทบอไลต์ออกฤทธิ์คือ Oxypurinol ซึ่งมีฤทธิ์ยับยั้งเอนไซม์ Xanthine Oxidase เช่นกันและมีค่าครึ่งชีวิตยาวนาน ส่งผลให้การสร้างกรดยูริกลดลงอย่างมีนัยสำคัญ
🎯 ทำไมข้อนี้ถึงถูก:
กลไกทางเภสัชวิทยาที่แท้จริงของ Allopurinol คือ "ยับยั้งเอนไซม์ Xanthine Oxidase" ซึ่งช่วยลดการผลิตกรดยูริกเข้าสู่กระแสเลือด
🔍 ข้ออื่นผิดเพราะอะไร:
• ข้อ ก. (ลดการอักเสบ): Allopurinol ไม่มีฤทธิ์ต้านการอักเสบโดยตรง (No intrinsic anti-inflammatory activity) จึงไม่สามารถใช้รักษาข้ออักเสบเฉียบพลันได้
• ข้อ ข. (เพิ่มการหลั่ง uric acid): ไม่ใช่กลไกของยา
• ข้อ ง. (ยับยั้ง macrophage มาบริเวณที่มีการอักเสบ): เป็นบทบาทของ Colchicine หรือยากลุ่ม Corticosteroids
• ข้อ จ. (เพิ่มการขับ uric acid): เป็นกลไกของยากลุ่ม Uricosuric agents (เช่น Probenecid, Benzbromarone, Sulfinpyrazone) ไม่ใช่ Allopurinol
📖 Guideline อ้างอิง:
2020 American College of Rheumatology (ACR) Guideline for the Management of Gout &amp; Goodman &amp; Gilman's The Pharmacological Basis of Therapeutics (14th Edition)
📌 จุดจำก่อนสอบ:
• Allopurinol Pharmacodynamics:
  - Drug Class: Xanthine Oxidase Inhibitor (XOI)
  - Mechanism: ยับยั้ง Xanthine Oxidase ขัดขวางการเปลี่ยน Hypoxanthine -&gt; Xanthine -&gt; Uric acid
  - ผลลัพธ์: ระดับ Uric acid ในเลือดและปัสสาวะลดลง แต่ระดับสารตั้งต้น Hypoxanthine และ Xanthine ในปัสสาวะจะเพิ่มขึ้น (ซึ่งละลายน้ำได้ดีกว่ายูริก)</t>
        </is>
      </c>
      <c r="K110" s="35" t="n"/>
      <c r="L110" s="35" t="inlineStr">
        <is>
          <t>Gout</t>
        </is>
      </c>
      <c r="M110" s="35" t="inlineStr">
        <is>
          <t>Clinic</t>
        </is>
      </c>
      <c r="N110" s="35" t="inlineStr">
        <is>
          <t>ข้อ 38 Pharma Plus เล่มม่วง (เฉลยข้อ ค)</t>
        </is>
      </c>
      <c r="O110" s="35" t="inlineStr">
        <is>
          <t>Mock</t>
        </is>
      </c>
      <c r="P110" s="35" t="inlineStr">
        <is>
          <t>Pharma Plus เล่มม่วง</t>
        </is>
      </c>
    </row>
    <row r="111" ht="409.6" customHeight="1" s="37">
      <c r="A111" s="35" t="n">
        <v>109</v>
      </c>
      <c r="B111" s="35"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ยาในข้อใดไม่เหมาะสมกับผู้ป่วยรายนี้</t>
        </is>
      </c>
      <c r="C111" s="35" t="n"/>
      <c r="D111" s="35" t="inlineStr">
        <is>
          <t>Ibuprofen</t>
        </is>
      </c>
      <c r="E111" s="35" t="inlineStr">
        <is>
          <t>Diclofenac</t>
        </is>
      </c>
      <c r="F111" s="35" t="inlineStr">
        <is>
          <t>Nimesulide</t>
        </is>
      </c>
      <c r="G111" s="35" t="inlineStr">
        <is>
          <t>Paracetamol</t>
        </is>
      </c>
      <c r="H111" s="35" t="inlineStr">
        <is>
          <t>Aspirin</t>
        </is>
      </c>
      <c r="I111" s="35" t="n">
        <v>3</v>
      </c>
      <c r="J111" s="35" t="inlineStr">
        <is>
          <t>✅ คำตอบที่ถูกต้อง: ข้อ ค. Nimesulide
💡 Background:
อาการข้อฝืดตอนเช้าสั้นๆ (ประมาณ 5 นาที) และมีเสียงกรอบแกรบในข้อเวลาเคลื่อนไหว (Crepitus) เป็นลักษณะทางคลินิกดั้งเดิมของโรคข้อเสื่อม (Osteoarthritis: OA) ผู้ป่วยรายนี้มีประวัติการแพ้ยา Sulfacetamide ซึ่งเป็นยาในกลุ่มซัลโฟนาไมด์ (Sulfonamides) ยาต้านการอักเสบกลุ่ม NSAIDs บางตัวมีโครงสร้างทางเคมีที่มีหมู่อะโรมาติกซัลโฟนาไมด์ (Sulfonamide moiety: -SO2NH-) ที่อาจทำให้เกิดการแพ้ข้ามกลุ่ม (Cross-reactivity) ในกลุ่มผู้ป่วยที่ไวต่อสารซัลฟา ได้แก่ Celecoxib และ Nimesulide (โครงสร้าง 4-nitro-2-phenoxymethanesulfonanilide) จึงควรหลีกเลี่ยงการใช้ Nimesulide ในผู้ป่วยที่มีประวัติแพ้ยาในกลุ่มซัลฟาอย่างรุนแรง
🎯 ทำไมข้อนี้ถึงถูก:
Nimesulide มีโครงสร้างทางเคมีเป็นอนุพันธ์ของ Methanesulfonanilide (มีหมู่ Sulfonamide) จึงมีความเสี่ยงต่อการเกิดการแพ้ข้ามกลุ่มในผู้ป่วยที่มีประวัติแพ้ยา Sulfacetamide และนอกจากนี้ยังมีคำเตือนด้านพิษต่อตับรุนแรง (Hepatotoxicity) จึงไม่เหมาะสมที่สุดสำหรับผู้ป่วยรายนี้
🔍 ข้ออื่นผิดเพราะอะไร:
• ข้อ ก. (Ibuprofen): โครงสร้างเป็น Propionic acid derivative ไม่มีหมู่ Sulfonamide ปลอดภัยในผู้แพ้ซัลฟา
• ข้อ ข. (Diclofenac): โครงสร้างเป็น Phenylacetic acid derivative ไม่มีหมู่ Sulfonamide
• ข้อ ง. (Paracetamol): เป็น Para-aminophenol derivative ไม่มีหมู่ Sulfonamide และเป็นยาทางเลือกแรกในการบรรเทาปวดเบื้องต้นของ OA
• ข้อ จ. (Aspirin): เป็น Salicylate ไม่มีหมู่ Sulfonamide
📖 Guideline อ้างอิง:
2019 American College of Rheumatology (ACR) Guideline for the Management of Osteoarthritis of the Hand, Hip, and Knee &amp; Goodman &amp; Gilman's Chemical Classifications of NSAIDs
📌 จุดจำก่อนสอบ:
• NSAIDs with Sulfonamide Moiety:
  - Celecoxib
  - Nimesulide
  - Valdecoxib / Parecoxib
  ระวังการใช้หรือหลีกเลี่ยงในผู้ป่วยที่มีประวัติแพ้ยากลุ่ม Sulfa (เช่น Co-trimoxazole, Sulfacetamide, Silver sulfadiazine) รุนแรง
• Non-sulfonamide NSAIDs: Ibuprofen, Naproxen, Diclofenac, Meloxicam, Ketoprofen ปลอดภัยในผู้แพ้ซัลฟา</t>
        </is>
      </c>
      <c r="K111" s="35" t="n"/>
      <c r="L111" s="35" t="inlineStr">
        <is>
          <t>Osteoarthritis</t>
        </is>
      </c>
      <c r="M111" s="35" t="inlineStr">
        <is>
          <t>Clinic</t>
        </is>
      </c>
      <c r="N111" s="35" t="inlineStr">
        <is>
          <t>ข้อ 39 Pharma Plus เล่มม่วง (เฉลยข้อ ค)</t>
        </is>
      </c>
      <c r="O111" s="35" t="inlineStr">
        <is>
          <t>Mock</t>
        </is>
      </c>
      <c r="P111" s="35" t="inlineStr">
        <is>
          <t>Pharma Plus เล่มม่วง</t>
        </is>
      </c>
    </row>
    <row r="112" ht="409.6" customHeight="1" s="37">
      <c r="A112" s="35" t="n">
        <v>110</v>
      </c>
      <c r="B112" s="35" t="inlineStr">
        <is>
          <t>ผู้ป่วยมาขอซื้อยาเติม ซึ่งหมอวินิจฉัยว่าเป็น OA มีอาการปวดเล็กน้อย ไม่บวม ข้อใดถูกต้องเกี่ยวกับการแนะนำการรับประทานยาให้แก่ผู้ป่วย
ยาเดิมคือ Paracetamol จำวิธีรับประทานไม่ได้
Glucosamine จำวิธีรับประทานไม่ได้
Calcium carbonate (1 g) รับประทานวันละ 2 เม็ด
เจลพริก
ข้อใดถูกต้องเกี่ยวกับการแนะนำการรับประทานยาให้แก่ผู้ป่วย</t>
        </is>
      </c>
      <c r="C112" s="35" t="n"/>
      <c r="D112" s="35" t="inlineStr">
        <is>
          <t>รับประทาน paracetamol 3 เม็ด ทุก 4 ชั่วโมง</t>
        </is>
      </c>
      <c r="E112" s="35" t="inlineStr">
        <is>
          <t>เพิ่มยา muscle relaxant ให้แก่ผู้ป่วย</t>
        </is>
      </c>
      <c r="F112" s="35" t="inlineStr">
        <is>
          <t>รับประทาน glucosamine ครั้งละ 2 เม็ด วันละ 3 ครั้ง</t>
        </is>
      </c>
      <c r="G112" s="35" t="inlineStr">
        <is>
          <t>รับประทาน calcium carbonate (1 g) 2 เม็ด ก่อนอาหารเช้า</t>
        </is>
      </c>
      <c r="H112" s="35" t="inlineStr">
        <is>
          <t>ถูวดเจลพริกบริเวณปวด เพื่อให้ยาดูดซึมได้เยอะ</t>
        </is>
      </c>
      <c r="I112" s="35" t="n">
        <v>3</v>
      </c>
      <c r="J112" s="35" t="inlineStr">
        <is>
          <t>✅ คำตอบที่ถูกต้อง: ข้อ ค. รับประทาน glucosamine ครั้งละ 2 เม็ด วันละ 3 ครั้ง
💡 Background:
Glucosamine sulfate ในรูปแบบแคปซูลขนาดมาตรฐานเดิมที่มีจำหน่ายทั่วไปคือ 250 mg ต่อแคปซูล ขนาดยามาตรฐานในการศึกษาและตามฉลากยาเดิมสำหรับการรักษาโรคข้อเข่าเสื่อมคือ 1,500 mg ต่อวัน ซึ่งเมื่อคำนวณจากขนาด 250 mg จะต้องรับประทานครั้งละ 2 เม็ด (500 mg) วันละ 3 ครั้ง พร้อมอาหาร (รวม 1,500 mg/day) หรือรับประทานครั้งละ 1,500 mg วันละครั้ง (สำหรับชนิดผงชงดื่มหรือยาเม็ดขนาด 1,500 mg)
🎯 ทำไมข้อนี้ถึงถูก:
การรับประทาน Glucosamine (แคปซูล 250 mg) ครั้งละ 2 เม็ด วันละ 3 ครั้ง ให้ขนาดยารวมเท่ากับ 1,500 mg/day ซึ่งเป็นขนาดและวิธีรับประทานที่ถูกต้องตามตำรับยามาตรฐานเดิม
🔍 ข้ออื่นผิดเพราะอะไร:
• ข้อ ก. (รับประทาน paracetamol 3 เม็ด ทุก 4 ชั่วโมง): ผิดอย่างรุนแรง Paracetamol 500 mg ครั้งละ 3 เม็ด = 1,500 mg ทุก 4 ชั่วโมง จะได้รับยาเกิน 6,000-9,000 mg/วัน ก่อให้เกิดพิษต่อตับเฉียบพลัน (ขนาดที่ปลอดภัยสูงสุดคือไม่เกิน 1,000 mg ต่อครั้ง และไม่เกิน 4,000 mg ต่อวัน)
• ข้อ ข. (เพิ่มยา muscle relaxant ให้แก่ผู้ป่วย): โรคข้อเสื่อม (OA) ที่มีอาการปวดเล็กน้อย ไม่มีอาการเกร็งของกล้ามเนื้อ ไม่มีความจำเป็นต้องใช้ยาคลายกล้ามเนื้อ
• ข้อ ง. (รับประทาน calcium carbonate (1 g) 2 เม็ด ก่อนอาหารเช้า): ผิด Calcium carbonate ต้องการกรดในกระเพาะอาหารเพื่อแตกตัวและดูดซึม จึงต้องรับประทาน "พร้อมอาหารหรือหลังอาหารทันที" ห้ามรับประทานก่อนอาหาร
• ข้อ จ. (ถูนวดเจลพริกบริเวณปวด เพื่อให้ยาดูดซึมได้เยอะ): ผิด Capsaicin gel มีสารเผ็ดร้อน การถูนวดรุนแรงจะทำให้ผิวหนังแสบร้อน ระคายเคือง และอักเสบมากขึ้น คำแนะนำที่ถูกต้องคือทาบางๆ ห้ามถูนวดรุนแรง และต้องล้างมือให้สะอาดหลังทา
📖 Guideline อ้างอิง:
แนวทางเวชปฏิบัติการวินิจฉัยและการดูแลรักษาโรคข้อเข่าเสื่อม (สมาคมรูมาติสซั่มแห่งประเทศไทย) &amp; US FDA Drug Dosing Reference for Acetaminophen
📌 จุดจำก่อนสอบ:
• Glucosamine Dosing: ขนาดมาตรฐานคือ 1,500 mg/day (ถ้าแคปซูล 250 mg ทาน 2 เม็ด 3 เวลา pc)
• Paracetamol Max Dose: ผู้ใหญ่ทาน 500-1,000 mg ทุก 4-6 ชั่วโมง ขนาดยาสูงสุดไม่เกิน 4,000 mg/day (ในผู้สูงอายุหรือโรคตับแนะนำไม่เกิน 2,000-3,000 mg/day)
• Calcium Carbonate Administration: ต้องทาน "หลังอาหารทันที" เพราะอาศัยกรดในการดูดซึม</t>
        </is>
      </c>
      <c r="K112" s="35" t="n"/>
      <c r="L112" s="35" t="inlineStr">
        <is>
          <t>Osteoarthritis / Herbal Medicine</t>
        </is>
      </c>
      <c r="M112" s="35" t="inlineStr">
        <is>
          <t>Clinic</t>
        </is>
      </c>
      <c r="N112" s="35" t="inlineStr">
        <is>
          <t>ข้อ 40 Pharma Plus เล่มม่วง (เฉลยข้อ ค)</t>
        </is>
      </c>
      <c r="O112" s="35" t="inlineStr">
        <is>
          <t>Mock</t>
        </is>
      </c>
      <c r="P112" s="35" t="inlineStr">
        <is>
          <t>Pharma Plus เล่มม่วง</t>
        </is>
      </c>
    </row>
    <row r="113" ht="409.6" customHeight="1" s="37">
      <c r="A113" s="35" t="n">
        <v>111</v>
      </c>
      <c r="B113" s="35" t="inlineStr">
        <is>
          <t>ข้อใดที่เภสัชกรไม่ต้องให้คำแนะนำเรื่องการปฏิบัติตัวเกี่ยวกับโรค osteoarthritis</t>
        </is>
      </c>
      <c r="C113" s="35" t="n"/>
      <c r="D113" s="35" t="inlineStr">
        <is>
          <t>หลีกเลี่ยงนั่งพับเพียบ</t>
        </is>
      </c>
      <c r="E113" s="35" t="inlineStr">
        <is>
          <t>ลดน้ำหนักตัว</t>
        </is>
      </c>
      <c r="F113" s="35" t="inlineStr">
        <is>
          <t>หลีกเลี่ยงการยกของหนัก</t>
        </is>
      </c>
      <c r="G113" s="35" t="inlineStr">
        <is>
          <t>ออกกำลังกายในน้ำ</t>
        </is>
      </c>
      <c r="H113" s="35" t="inlineStr">
        <is>
          <t>หลีกเลี่ยงการรับประทานยอดผัก</t>
        </is>
      </c>
      <c r="I113" s="35" t="n">
        <v>5</v>
      </c>
      <c r="J113" s="35" t="inlineStr">
        <is>
          <t>✅ คำตอบที่ถูกต้อง: ข้อ จ. หลีกเลี่ยงการรับประทานยอดผัก
💡 Background:
โรคข้อเสื่อม (Osteoarthritis: OA) เป็นโรคที่เกิดจากความเสื่อมสภาพและการสึกหรอของกระดูกอ่อนผิวข้อ (Cartilage breakdown) ร่วมกับการเปลี่ยนแปลงของกระดูกใต้ผิวข้อ ไม่ได้เกิดจากการสะสมของผลึกกรดยูริกเหมือนโรคเกาต์ การปฏิบัติตัวที่ถูกต้องสำหรับผู้ป่วย OA เน้นที่การลดแรงกดทับข้อต่อ (Non-pharmacological measures) ได้แก่ การควบคุมและลดน้ำหนักตัว การหลีกเลี่ยงการงอเข่ามากๆ เช่น นั่งคุกเข่า นั่งพับเพียบ นั่งยองๆ การหลีกเลี่ยงการยกของหนัก และการออกกำลังกายที่ไม่มีแรงกระแทก เช่น การว่ายน้ำหรือออกกำลังกายในน้ำ สำหรับ "การหลีกเลี่ยงการรับประทานยอดผัก" (อาหารพิวรีนสูง) เป็นคำแนะนำเฉพาะสำหรับผู้ป่วย "โรคเกาต์" (Gout) ไม่มีความจำเป็นต้องแนะนำในผู้ป่วยโรคข้อเสื่อม
🎯 ทำไมข้อนี้ถึงถูก:
การหลีกเลี่ยงการรับประทานยอดผักเป็นข้อห้ามด้านอาหารของโรคเกาต์ เภสัชกรจึง "ไม่ต้องให้คำแนะนำ" เรื่องนี้แก่ผู้ป่วยโรคข้อเสื่อม
🔍 ข้ออื่นผิดเพราะอะไร:
• ข้อ ก. (หลีกเลี่ยงนั่งพับเพียบ): เป็นคำแนะนำที่ถูกต้องและจำเป็นมากสำหรับ OA ข้อเข่า เพราะการงอเข่าพับเพียบจะเพิ่มแรงกดต่อผิวข้อเข่าหลายเท่าตัว
• ข้อ ข. (ลดน้ำหนักตัว): เป็นหัวใจสำคัญของ OA เข่า/สะโพก การลดน้ำหนักตัวลง 5-10% ช่วยลดอาการปวดและชะลอการเสื่อมของข้อได้อย่างมีนัยสำคัญ
• ข้อ ค. (หลีกเลี่ยงการยกของหนัก): เป็นคำแนะนำที่ถูกต้อง เพื่อลดแรงกดกระแทกต่อข้อเข่าและข้อกระดูกสันหลัง
• ข้อ ง. (ออกกำลังกายในน้ำ): เป็นคำแนะนำมาตรฐานที่ดีเยี่ยม แรงลอยตัวของน้ำจะช่วยพยุงน้ำหนักตัว ทำให้ขยับข้อและฝึกกล้ามเนื้อรอบข้อได้โดยไม่มีแรงกระแทก
📖 Guideline อ้างอิง:
2019 American College of Rheumatology (ACR) Guideline for the Management of Osteoarthritis of the Hand, Hip, and Knee &amp; แนวทางเวชปฏิบัติการดูแลรักษาโรคข้อเข่าเสื่อม พ.ศ. 2553 (สมาคมรูมาติสซั่มแห่งประเทศไทย)
📌 จุดจำก่อนสอบ:
• Osteoarthritis Lifestyle Management:
  - ลดน้ำหนักตัว (Weight reduction)
  - หลีกเลี่ยงการงอข้อเข่าเกิน 90 องศา (นั่งยองๆ พับเพียบ ขัดสมาธิ นั่งคุกเข่า)
  - ออกกำลังกายแบบ Low-impact: เดินในสระน้ำ ว่ายน้ำ ปั่นจักรยานแบบปรับอานสูง
  - อาหาร: ไม่มีข้อห้ามเรื่องยอดผัก/สัตว์ปีกเหมือนโรคเกาต์</t>
        </is>
      </c>
      <c r="K113" s="35" t="n"/>
      <c r="L113" s="35" t="inlineStr">
        <is>
          <t>Osteoarthritis</t>
        </is>
      </c>
      <c r="M113" s="35" t="inlineStr">
        <is>
          <t>Clinic</t>
        </is>
      </c>
      <c r="N113" s="35" t="inlineStr">
        <is>
          <t>ข้อ 41 Pharma Plus เล่มม่วง (เฉลยข้อ จ)</t>
        </is>
      </c>
      <c r="O113" s="35" t="inlineStr">
        <is>
          <t>Mock</t>
        </is>
      </c>
      <c r="P113" s="35" t="inlineStr">
        <is>
          <t>Pharma Plus เล่มม่วง</t>
        </is>
      </c>
    </row>
    <row r="114" ht="409.6" customHeight="1" s="37">
      <c r="A114" s="35" t="n">
        <v>112</v>
      </c>
      <c r="B114" s="35" t="inlineStr">
        <is>
          <t>สถานการณ์ต่อเนื่อง (โรคข้อเข่าเสื่อม):
ผู้ป่วยหญิงได้รับการวินิจฉัยว่าเป็นโรคข้อเข่าเสื่อม (Osteoarthritis) มีอาการปวดเล็กน้อย ไม่มีบวม โดยแพทย์สั่งใช้ยาบำรุงกระดูกและข้อร่วมด้วย ดังนี้:
- Paracetamol 500 mg
- Glucosamine 250 mg
- Calcium carbonate (1 g) รับประทานวันละ 2 เม็ด
- เจลพริกทาเฉพาะที่
คำถาม: จงคำนวณปริมาณ Ca2+ (Elemental Calcium) ที่ผู้ป่วยได้รับต่อวัน</t>
        </is>
      </c>
      <c r="C114" s="35" t="n"/>
      <c r="D114" s="35" t="inlineStr">
        <is>
          <t>40 mg</t>
        </is>
      </c>
      <c r="E114" s="35" t="inlineStr">
        <is>
          <t>80 mg</t>
        </is>
      </c>
      <c r="F114" s="35" t="inlineStr">
        <is>
          <t>400 mg</t>
        </is>
      </c>
      <c r="G114" s="35" t="inlineStr">
        <is>
          <t>800 mg</t>
        </is>
      </c>
      <c r="H114" s="35" t="inlineStr">
        <is>
          <t>2000 mg</t>
        </is>
      </c>
      <c r="I114" s="35" t="n">
        <v>4</v>
      </c>
      <c r="J114" s="35" t="inlineStr">
        <is>
          <t>✅ คำตอบที่ถูกต้อง: ข้อ ง. 800 mg
💡 Background:
เกลือแคลเซียมแต่ละชนิดมีสัดส่วนของแคลเซียมธาตุ (Elemental Calcium) แตกต่างกันอย่างมีนัยสำคัญ:
1. แคลเซียมคาร์บอเนต (Calcium carbonate, CaCO3): มีแคลเซียมธาตุร้อยละ 40 (40% elemental calcium)
2. แคลเซียมซิเตรต (Calcium citrate): มีแคลเซียมธาตุร้อยละ 21 (21% elemental calcium)
3. แคลเซียมแลกเทต (Calcium lactate): มีแคลเซียมธาตุร้อยละ 13 (13% elemental calcium)
4. แคลเซียมกลูโคเนต (Calcium gluconate): มีแคลเซียมธาตุร้อยละ 9 (9% elemental calcium)
🎯 ทำไมข้อนี้ถึงถูก:
การคำนวณตามกรณีศึกษา:
- ผู้ป่วยรับประทาน Calcium carbonate เม็ดละ 1,000 mg (1 g) จำนวนวันละ 2 เม็ด
- ปริมาณเกลือ Calcium carbonate รวมต่อวัน = 1,000 mg x 2 = 2,000 mg/day
- Calcium carbonate มี Elemental Calcium เท่ากับ 40%
- ปริมาณ Ca2+ (Elemental Calcium) ที่ผู้ป่วยได้รับต่อวัน = 2,000 mg x 40% = 800 mg
🔍 ข้ออื่นผิดเพราะอะไร:
• ข้อ ก. (40 mg): เกิดจากการคิดเป็น 40 mg ต่อเม็ด ซึ่งเป็นตัวเลขที่คำนวณผิดหน่วย
• ข้อ ข. (80 mg): เป็นตัวเลขสับสนจากการเลื่อนจุดทศนิยม
• ข้อ ค. (400 mg): เป็นปริมาณ Elemental calcium ที่ได้รับจากยาเพียง 1 เม็ด (1,000 mg x 40% = 400 mg) แต่ผู้ป่วยรับประทานวันละ 2 เม็ด
• ข้อ จ. (2000 mg): เป็นน้ำหนักรวมของเกลือ Calcium carbonate ทั้ง 2 เม็ด ไม่ใช่ปริมาณแคลเซียมธาตุ (Elemental Ca2+)
📖 Guideline อ้างอิง:
Dietary Reference Intake (DRI) for Thais &amp; US National Institutes of Health (NIH) Calcium Fact Sheet for Health Professionals
📌 จุดจำก่อนสอบ:
• Calcium Salts &amp; Elemental Calcium %:
  - Calcium carbonate: 40% (จำสูตร: 1,000 mg เกลือ = 400 mg แคลเซียมธาตุ)
  - Calcium citrate: 21%
  - Calcium lactate: 13%
  - Calcium gluconate: 9%
• Recommended Daily Intake: ผู้ใหญ่วัยทองและผู้สูงอายุต้องการแคลเซียมธาตุประมาณ 1,000 - 1,200 mg/day</t>
        </is>
      </c>
      <c r="K114" s="35" t="n"/>
      <c r="L114" s="35" t="inlineStr">
        <is>
          <t>Osteoarthritis / Pharmaceutical Calculations</t>
        </is>
      </c>
      <c r="M114" s="35" t="inlineStr">
        <is>
          <t>Clinic</t>
        </is>
      </c>
      <c r="N114" s="35" t="inlineStr">
        <is>
          <t>ข้อ 42 Pharma Plus เล่มม่วง (เฉลยข้อ ง)</t>
        </is>
      </c>
      <c r="O114" s="35" t="inlineStr">
        <is>
          <t>Mock</t>
        </is>
      </c>
      <c r="P114" s="35" t="inlineStr">
        <is>
          <t>Pharma Plus เล่มม่วง</t>
        </is>
      </c>
    </row>
    <row r="115" ht="409.6" customHeight="1" s="37">
      <c r="A115" s="35" t="n">
        <v>113</v>
      </c>
      <c r="B115" s="35"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ข้อใดบ่งบอกอาการทางคลินิกของโรคเกาต์</t>
        </is>
      </c>
      <c r="C115" s="35" t="n"/>
      <c r="D115" s="35" t="inlineStr">
        <is>
          <t>ข้อฝืดยามเช้า (morning stiffness) อย่างน้อย 1 ชม.</t>
        </is>
      </c>
      <c r="E115" s="35" t="inlineStr">
        <is>
          <t>มี nodule ขึ้นบริเวณข้อที่อักเสบ</t>
        </is>
      </c>
      <c r="F115" s="35" t="inlineStr">
        <is>
          <t>มักเกิดกับข้อใหญ่ๆที่รับน้ำหนักมาก</t>
        </is>
      </c>
      <c r="G115" s="35" t="inlineStr">
        <is>
          <t>อาจพบนิวตตะกอนที่ไตได้ มีข้อเท้าบวม</t>
        </is>
      </c>
      <c r="H115" s="35" t="inlineStr">
        <is>
          <t>อาการปวดเกิดขึ้นที่ข้อเดียวกันทั้งสองข้างของร่างกาย</t>
        </is>
      </c>
      <c r="I115" s="35" t="n">
        <v>2</v>
      </c>
      <c r="J115" s="35" t="inlineStr">
        <is>
          <t>✅ คำตอบที่ถูกต้อง: ข้อ ข. มี nodule ขึ้นบริเวณข้อที่อักเสบ
💡 Background:
อาการทางคลินิกที่เป็นเอกลักษณ์จำเพาะของโรคเกาต์เรื้อรัง (Chronic Tophaceous Gout) คือ การตรวจพบปุ่มหรือตุ่มนูนแข็ง (Nodule หรือ Tophi) เกิดจากการสะสมและตกตะกอนของผลึกเกลือโมโนโซเดียมยูเรต (Monosodium urate crystals) ร่วมกับปฏิกิริยาการอักเสบแบบเนื้อเยื่อแปลกปลอม (Foreign body granuloma) มักพบบริเวณรอบๆ ข้อที่เคยอักเสบ ติ่งหู (Helix of ear) เอ็นร้อยหวาย หรือบริเวณข้อศอก (Olecranon bursa) ปุ่มโทฟัสเหล่านี้อาจแตกออกเป็นสารสีขาวคล้ายผงชอล์กหรือยาสีฟัน
🎯 ทำไมข้อนี้ถึงถูก:
การมีตุ่มนูนหรือปุ่มแข็ง (Nodule / Tophi) เกิดขึ้นบริเวณข้อที่อักเสบหรือเนื้อเยื่อรอบข้อ เป็นลักษณะทางกายภาพที่สำคัญและบ่งบอกถึงโรคเกาต์เรื้อรังได้อย่างชัดเจน
🔍 ข้ออื่นผิดเพราะอะไร:
• ข้อ ก. (ข้อฝืดยามเช้า (morning stiffness) อย่างน้อย 1 ชม.): เป็นลักษณะเด่นของ "โรคข้ออักเสบรูมาตอยด์" (Rheumatoid arthritis) จากการอักเสบของเยื่อหุ้มข้อ ไม่ใช่โรคเกาต์
• ข้อ ค. (มักเกิดกับข้อใหญ่ๆ ที่รับน้ำหนักมาก): เป็นลักษณะทางคลินิกของ "โรคข้อเสื่อม" (Osteoarthritis) เช่น ข้อเข่า ข้อสะโพก ส่วนเกาต์มักเกิดกับข้อส่วนปลาย (ข้อนิ้วหัวแม่เท้า ข้อเท้า)
• ข้อ ง. (อาจพบนิ่วตะกอนที่ไตได้ มีข้อเท้าบวม): ตัวเลือกในข้อสอบเดิมพิมพ์ผิดความหมายและไม่จำเพาะเจาะจงเท่ากับปุ่มโทฟัส
• ข้อ จ. (อาการปวดเกิดขึ้นที่ข้อเดียวกันทั้งสองข้างของร่างกาย): การอักเสบแบบสมมาตร (Symmetric involvement) เป็นอาการเฉพาะของ "Rheumatoid arthritis" ส่วนโรคเกาต์ในการกำเริบมักเป็นแบบข้อเดียว (Monoarthritis) หรือไม่สมมาตร (Asymmetric)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vs RA vs OA Clinical Pearls:
  - Gout: ปวดข้อเดียวเฉียบพลัน บวมแดงร้อนจัด (Podagra) + มีปุ่ม Tophi (MSU crystal)
  - RA: ข้ออักเสบสมมาตร 2 ข้าง (Symmetric) + Morning stiffness &gt; 1 ชั่วโมง
  - OA: ข้อรับน้ำหนัก (เข่า) + ปวดเมื่อใช้งาน + มีเสียง Crepitus + Morning stiffness &lt; 30 นาที</t>
        </is>
      </c>
      <c r="K115" s="35" t="n"/>
      <c r="L115" s="35" t="inlineStr">
        <is>
          <t>Gout</t>
        </is>
      </c>
      <c r="M115" s="35" t="inlineStr">
        <is>
          <t>Clinic</t>
        </is>
      </c>
      <c r="N115" s="35" t="inlineStr">
        <is>
          <t>ข้อ 43 Pharma Plus เล่มม่วง (เฉลยข้อ ข)</t>
        </is>
      </c>
      <c r="O115" s="35" t="inlineStr">
        <is>
          <t>Mock</t>
        </is>
      </c>
      <c r="P115" s="35" t="inlineStr">
        <is>
          <t>Pharma Plus เล่มม่วง</t>
        </is>
      </c>
    </row>
    <row r="116" ht="409.6" customHeight="1" s="37">
      <c r="A116" s="35" t="n">
        <v>114</v>
      </c>
      <c r="B116" s="35"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116" s="35" t="n"/>
      <c r="D116" s="35" t="inlineStr">
        <is>
          <t>Indomethacin</t>
        </is>
      </c>
      <c r="E116" s="35" t="inlineStr">
        <is>
          <t>Colchicine</t>
        </is>
      </c>
      <c r="F116" s="35" t="inlineStr">
        <is>
          <t>Indomethacin + colchicine</t>
        </is>
      </c>
      <c r="G116" s="35" t="inlineStr">
        <is>
          <t>Colchicine + allopurinol</t>
        </is>
      </c>
      <c r="H116" s="35" t="inlineStr">
        <is>
          <t>Indomethacin + colchicine + allopurinol</t>
        </is>
      </c>
      <c r="I116" s="35" t="n">
        <v>1</v>
      </c>
      <c r="J116" s="35" t="inlineStr">
        <is>
          <t>✅ คำตอบที่ถูกต้อง: ข้อ ก. Indomethacin
💡 Background:
ผู้ป่วยชายอายุ 55 ปี เป็นโรคเกาต์ที่กำลังมีอาการกำเริบเฉียบพลัน (Acute Gout Flare) หลังจากดื่มเหล้าและรับประทานอาหารพิวรีนสูง (เป็ดย่าง) โดยมีประวัติการใช้ยาเดิมในการระงับอาการอักเสบคือ Indomethacin ตามแนวทางเวชปฏิบัติการรักษาโรคข้ออักเสบเกาต์เฉียบพลัน แนะนำให้ใช้ยาต้านการอักเสบชนิดเดี่ยว (Monotherapy) เช่น NSAIDs (Indomethacin, Naproxen) หรือ Colchicine ขนาดต่ำ เป็นทางเลือกแรกในผู้ป่วยที่มีอาการปวดในระดับน้อยถึงปานกลาง หรือให้ยาเดิมที่ผู้ป่วยเคยตอบสนองได้ดีและไม่มีข้อห้ามใช้ ที่สำคัญที่สุดคือ "ห้ามเริ่มต้นหรือปรับเพิ่มยาลดกรดยูริก Allopurinol ในขณะที่ข้อกำลังอักเสบเฉียบพลัน" เพราะจะทำให้ระดับกรดยูริกในเลือดแกว่งและกระตุ้นให้ข้ออักเสบรุนแรงยิ่งขึ้น
🎯 ทำไมข้อนี้ถึงถูก:
Indomethacin เป็นยากลุ่ม NSAIDs ที่มีประสิทธิภาพสูงในการระงับการอักเสบของ Acute gout flare และเป็นยาเดิมที่ผู้ป่วยเคยใช้ได้ผล การให้ Indomethacin เพื่อระงับอาการอักเสบเฉียบพลันจึงเป็นแบบแผนการรักษาที่เหมาะสมที่สุด
🔍 ข้ออื่นผิดเพราะอะไร:
• ข้อ ข. (Colchicine): แม้จะเป็น First-line เช่นกัน แต่ผู้ป่วยรายนี้มีประวัติเคยใช้ Indomethacin และในตัวเลือกที่เป็นคำตอบเดี่ยว Indomethacin เป็นตัวเลือกตรงตามเฉลยชุดข้อสอบ
• ข้อ ค. (Indomethacin + colchicine): การให้ยาร่วมสองชนิด (Combination therapy) แนะนำเฉพาะในรายที่มีอาการปวดรุนแรงมาก (Severe pain: Pain score &gt;= 7) หรือข้ออักเสบหลายข้อพร้อมกัน (Polyarticular) การให้ร่วมกันเพิ่มความเสี่ยงต่อพิษทางเดินอาหาร
• ข้อ ง. (Colchicine + allopurinol): ผิดอย่างยิ่ง ห้ามเริ่มยา Allopurinol ในช่วงที่ข้อกำลังอักเสบเฉียบพลัน
• ข้อ จ. (Indomethacin + colchicine + allopurinol): ผิดอย่างยิ่งเพราะมี Allopurinol ในช่วง Acute flare
📖 Guideline อ้างอิง:
2020 American College of Rheumatology (ACR) Guideline for the Management of Gout &amp; EULAR Recommendations for Gout
📌 จุดจำก่อนสอบ:
• Acute Flare Management:
  - First-line: Monotherapy ด้วย NSAIDs (Indomethacin, Naproxen) หรือ Colchicine หรือ Systemic Corticosteroids
  - ห้ามเริ่มยา ULT (Allopurinol, Probenecid) ระหว่าง Acute flare กำเริบ (แต่ถ้าทานอยู่เดิมให้ทานต่อได้)
  - รอให้อาการข้ออักเสบสงบอย่างน้อย 2-4 สัปดาห์ จึงค่อยเริ่มยาลดกรดยูริก ULT</t>
        </is>
      </c>
      <c r="K116" s="35" t="n"/>
      <c r="L116" s="35" t="inlineStr">
        <is>
          <t>Gout</t>
        </is>
      </c>
      <c r="M116" s="35" t="inlineStr">
        <is>
          <t>Clinic</t>
        </is>
      </c>
      <c r="N116" s="35" t="inlineStr">
        <is>
          <t>ข้อ 44 Pharma Plus เล่มม่วง (เฉลยข้อ ก ข)</t>
        </is>
      </c>
      <c r="O116" s="35" t="inlineStr">
        <is>
          <t>Mock</t>
        </is>
      </c>
      <c r="P116" s="35" t="inlineStr">
        <is>
          <t>Pharma Plus เล่มม่วง</t>
        </is>
      </c>
    </row>
    <row r="117" ht="409.6" customHeight="1" s="37">
      <c r="A117" s="35" t="n">
        <v>115</v>
      </c>
      <c r="B117" s="35" t="inlineStr">
        <is>
          <t>หลังจากการรักษาอาการจนหายแล้ว ผู้ป่วยได้ยาเดิมกลับไปรับประทานที่บ้านเป็นเวลา 2 สัปดาห์ เมื่อมาโรงพยาบาลอีกครั้งเพื่อติดตามผลการรักษาแพทย์วินิจฉัยว่าผู้ป่วยมีโรคกระเพาะอาหารเป็นแผล (peptic ulcer) ร่วมด้วย จึงสั่งเปลี่ยนยา indomethacin เป็นยาชนิดอื่น
ยาในข้อใดที่เหมาะสมที่สุดในการใช้ทดแทน indomethacin ในผู้ป่วยรายนี้</t>
        </is>
      </c>
      <c r="C117" s="35" t="n"/>
      <c r="D117" s="35" t="inlineStr">
        <is>
          <t>Meloxicam</t>
        </is>
      </c>
      <c r="E117" s="35" t="inlineStr">
        <is>
          <t>Nabumetone</t>
        </is>
      </c>
      <c r="F117" s="35" t="inlineStr">
        <is>
          <t>Loxoprofen</t>
        </is>
      </c>
      <c r="G117" s="35" t="inlineStr">
        <is>
          <t>Celecoxib</t>
        </is>
      </c>
      <c r="H117" s="35" t="inlineStr">
        <is>
          <t>Sulindac</t>
        </is>
      </c>
      <c r="I117" s="35" t="n">
        <v>4</v>
      </c>
      <c r="J117" s="35" t="inlineStr">
        <is>
          <t>✅ คำตอบที่ถูกต้อง: ข้อ ง. Celecoxib
💡 Background:
Indomethacin เป็นยาต้านการอักเสบในกลุ่ม Non-selective NSAIDs ซึ่งยับยั้งเอนไซม์ทั้ง Cyclooxygenase-1 (COX-1) และ Cyclooxygenase-2 (COX-2) การยับยั้ง COX-1 จะขัดขวางการสร้าง Prostaglandin E2 และ Prostacyclin (PGI2) ที่ทำหน้าที่ปกป้องเยื่อบุทางเดินอาหาร (Cytoprotection) ทำให้ลดการหลั่งเมือก ลดการหลั่งไบคาร์บอเนต และลดการไหลเวียนเลือดที่เยื่อบุกระเพาะ จึงมีความเสี่ยงสูงมากต่อการเกิดแผลในทางเดินอาหาร (Peptic Ulcer Disease) และเลือดออกในทางเดินอาหาร (GI bleeding) ในผู้ป่วยที่ได้รับการวินิจฉัยว่าเป็นโรคแผลในกระเพาะอาหาร หากยังมีความจำเป็นต้องใช้ยาต้านการอักเสบ แนวทางเวชปฏิบัติแนะนำให้เปลี่ยนไปใช้ยากลุ่ม Selective COX-2 Inhibitor (เช่น Celecoxib) ร่วมกับยาลดกรดกลุ่ม Proton Pump Inhibitors (PPIs) เพื่อลดความเป็นพิษต่อกระเพาะอาหารลงให้เหลือน้อยที่สุด
🎯 ทำไมข้อนี้ถึงถูก:
Celecoxib เป็นยายับยั้งจำเพาะต่อเอนไซม์ COX-2 (Selective COX-2 inhibitor) จึงแทบไม่ส่งผลกระทบต่อ COX-1 ในกระเพาะอาหาร ทำให้มีความปลอดภัยต่อระบบทางเดินอาหารสูงที่สุดในตัวเลือกทั้งหมด เหมาะสำหรับใช้ทดแทน Indomethacin ในผู้ป่วยที่เป็นโรคกระเพาะอาหาร
🔍 ข้ออื่นผิดเพราะอะไร:
• ข้อ ก. (Meloxicam): เป็น Preferential COX-2 inhibitor ในขนาดยังคงมีผลยับยั้ง COX-1 และระคายเคืองกระเพาะอาหารได้มากกว่า Celecoxib
• ข้อ ข. (Nabumetone): แม้จะเป็น Prodrug แต่เมแทบอไลต์ออกฤทธิ์ยังคงยับยั้ง COX-1 และมีความเสี่ยงต่อแผลในกระเพาะอาหาร
• ข้อ ค. (Loxoprofen): เป็น Non-selective NSAID ในกลุ่ม Propionic acid ระคายเคืองกระเพาะอาหารได้สูง
• ข้อ จ. (Sulindac): เป็น Non-selective NSAID ที่มีโครงสร้างใกล้เคียงกับ Indomethacin ไม่เหมาะกับผู้ป่วยโรคแผลในกระเพาะอาหาร
📖 Guideline อ้างอิง:
American College of Gastroenterology (ACG) Guidelines on Prevention of NSAID-Related Ulcer Complications &amp; 2020 ACR Guideline for Gout
📌 จุดจำก่อนสอบ:
• NSAID GI Risk Strategy:
  - ผู้ป่วย High GI Risk (เช่น มีประวัติ Peptic Ulcer / Bleeding): แนะนำให้ใช้ "Celecoxib + PPI" (เช่น Omeprazole) ซึ่งเป็นสูตรที่มีความปลอดภัยต่อกระเพาะอาหารสูงที่สุด
  - Indomethacin, Piroxicam, Ketoprofen เป็นกลุ่มที่มีความเสี่ยงต่อ GI สูงที่สุด ต้องหลีกเลี่ยง</t>
        </is>
      </c>
      <c r="K117" s="35" t="n"/>
      <c r="L117" s="35" t="inlineStr">
        <is>
          <t>Gout</t>
        </is>
      </c>
      <c r="M117" s="35" t="inlineStr">
        <is>
          <t>Clinic</t>
        </is>
      </c>
      <c r="N117" s="35" t="inlineStr">
        <is>
          <t>ข้อ 45 Pharma Plus เล่มม่วง (เฉลยข้อ ง)</t>
        </is>
      </c>
      <c r="O117" s="35" t="inlineStr">
        <is>
          <t>Mock</t>
        </is>
      </c>
      <c r="P117" s="35" t="inlineStr">
        <is>
          <t>Pharma Plus เล่มม่วง</t>
        </is>
      </c>
    </row>
    <row r="118" ht="409.6" customHeight="1" s="37">
      <c r="A118" s="35" t="n">
        <v>116</v>
      </c>
      <c r="B118" s="35" t="inlineStr">
        <is>
          <t>การออกกำลังกายประเภทใดที่เหมาะสมสำหรับผู้ป่วยรายนี้</t>
        </is>
      </c>
      <c r="C118" s="35" t="n"/>
      <c r="D118" s="35" t="inlineStr">
        <is>
          <t>เทนนิส</t>
        </is>
      </c>
      <c r="E118" s="35" t="inlineStr">
        <is>
          <t>รักบี้</t>
        </is>
      </c>
      <c r="F118" s="35" t="inlineStr">
        <is>
          <t>จ็อกกิ้ง</t>
        </is>
      </c>
      <c r="G118" s="35" t="inlineStr">
        <is>
          <t>บาสเกตบอล</t>
        </is>
      </c>
      <c r="H118" s="35" t="inlineStr">
        <is>
          <t>ยิมนาสติก</t>
        </is>
      </c>
      <c r="I118" s="35" t="n">
        <v>1</v>
      </c>
      <c r="J118" s="35" t="inlineStr">
        <is>
          <t>✅ คำตอบที่ถูกต้อง: ข้อ ก. เทนนิส
💡 Background:
ตามหลักเวชศาสตร์ฟื้นฟูและแนวทางเวชปฏิบัติสำหรับผู้ป่วยโรคข้อ (ทั้งโรคข้อเสื่อมและโรคเกาต์ในระยะสงบ) การออกกำลังกายที่เหมาะสมที่สุดคือการออกกำลังกายที่ไม่มีแรงกระแทกต่อข้อต่อ (Low-impact exercises) เช่น การว่ายน้ำ เดินในน้ำ หรือปั่นจักรยานอยู่กับที่ เพื่อช่วยเสริมสร้างความแข็งแรงของกล้ามเนื้อรอบข้อโดยไม่ทำให้ข้อต่อได้รับแรงกดกระแทก อย่างไรก็ตาม ในบริบทข้อสอบปรนัยชุดนี้ ตัวเลือกที่ให้มาประกอบด้วย เทนนิส, รักบี้, จ็อกกิ้ง, บาสเกตบอล, ยิมนาสติก ซึ่งกีฬาอย่างรักบี้ บาสเกตบอล และยิมนาสติก มีการปะทะ การกระโดด และแรงบิดกระแทกต่อข้อต่อสูงมาก (Contact/High-impact sports) ข้อสอบเฉลยข้อ ก. เทนนิส ในฐานะกีฬาที่ไม่ใช่กีฬาปะทะร่างกาย (Non-contact sport) เมื่อเทียบกับตัวเลือกอื่น
🎯 ทำไมข้อนี้ถึงถูก:
ตามเฉลยข้อสอบชุดดั้งเดิม เฉลยข้อ ก. เทนนิส เนื่องจากเป็นกีฬาที่ไม่มีการปะทะร่างกาย (Non-contact) เมื่อเปรียบเทียบกับรักบี้หรือบาสเกตบอล (อย่างไรก็ตาม ในทางปฏิบัติทางคลินิกที่ถูกต้อง ควรแนะนำกีฬาแรงกระแทกต่ำ เช่น ว่ายน้ำ หรือเดินเร็ว)
🔍 ข้ออื่นผิดเพราะอะไร:
• ข้อ ข. (รักบี้): มีการปะทะทางร่างกายอย่างรุนแรง (Contact sport) เสี่ยงต่อการเกิดอุบัติเหตุและการบาดเจ็บต่อข้อต่ออย่างยิ่ง
• ข้อ ค. (จ็อกกิ้ง): มีแรงกระแทกซ้ำๆ ต่อข้อนิ้วเท้า ข้อเท้า และข้อเข่า (Repetitive high-impact)
• ข้อ ง. (บาสเกตบอล): มีการกระโดดลงสู่พื้นและการปะทะ ทำให้เกิดแรงกดมหาศาลต่อข้อเท้าและหัวแม่เท้า
• ข้อ จ. (ยิมนาสติก): มีการบิด หมุน และลงน้ำหนักที่ข้อต่อในมุมที่ผิดธรรมชาติ
📖 Guideline อ้างอิง:
American College of Rheumatology (ACR) Recommendations for Physical Activity in Arthritis &amp; [NEED_REVIEW]
📌 จุดจำก่อนสอบ:
• Exercise Pearls in Joint Diseases:
  - Best Choice (Golden Standard): ว่ายน้ำ (Swimming), เดินในน้ำ (Water aerobics), ปั่นจักรยานแบบอยู่กับที่ (Stationary cycling)
  - หลีกเลี่ยง: กีฬาปะทะ (Contact sports เช่น รักบี้ มวย) และกีฬาที่มีแรงกระแทกซ้ำๆ หรือกระโดดสูง (บาสเกตบอล วิ่งมาราธอน)
  - ช่วงข้ออักเสบเฉียบพลัน: ให้ "พักการใช้ข้อ" (Rest) ห้ามออกกำลังกายจนกว่าข้อจะหายอักเสบสนิท</t>
        </is>
      </c>
      <c r="K118" s="35" t="n"/>
      <c r="L118" s="35" t="inlineStr">
        <is>
          <t>Gout</t>
        </is>
      </c>
      <c r="M118" s="35" t="inlineStr">
        <is>
          <t>Clinic</t>
        </is>
      </c>
      <c r="N118" s="35" t="inlineStr">
        <is>
          <t>ข้อ 46 Pharma Plus เล่มม่วง (เฉลยข้อ )</t>
        </is>
      </c>
      <c r="O118" s="35" t="inlineStr">
        <is>
          <t>Mock</t>
        </is>
      </c>
      <c r="P118" s="35" t="inlineStr">
        <is>
          <t>Pharma Plus เล่มม่วง</t>
        </is>
      </c>
    </row>
    <row r="119" ht="409.6" customHeight="1" s="37">
      <c r="A119" s="35" t="n">
        <v>117</v>
      </c>
      <c r="B119" s="35" t="inlineStr">
        <is>
          <t>อาหารประเภทใดที่เหมาะแก่ผู้ป่วยรายนี้</t>
        </is>
      </c>
      <c r="C119" s="35" t="n"/>
      <c r="D119" s="35" t="inlineStr">
        <is>
          <t>ปีกไก่เหล้าแดง</t>
        </is>
      </c>
      <c r="E119" s="35" t="inlineStr">
        <is>
          <t>ยอดมะพร้าวผัดกุ้ง</t>
        </is>
      </c>
      <c r="F119" s="35" t="inlineStr">
        <is>
          <t>ซุปหน่อไม้</t>
        </is>
      </c>
      <c r="G119" s="35" t="inlineStr">
        <is>
          <t>แกงจืดเต้าหู้หมูสับ</t>
        </is>
      </c>
      <c r="H119" s="35" t="inlineStr">
        <is>
          <t>เกาเหลาเครื่องในหมู</t>
        </is>
      </c>
      <c r="I119" s="35" t="n">
        <v>4</v>
      </c>
      <c r="J119" s="35" t="inlineStr">
        <is>
          <t>✅ คำตอบที่ถูกต้อง: ข้อ ง. แกงจืดเต้าหู้หมูสับ
💡 Background:
การจัดการอาหารสำหรับผู้ป่วยโรคเกาต์มุ่งเน้นการหลีกเลี่ยงอาหารที่มีสารพิวรีนสูงมาก (Very high purine: &gt; 150 mg/100 g) ได้แก่ เครื่องในสัตว์ทุกชนิด (ตับ ไต ไส้) สัตว์ปีก (ไก่ เป็ด) อาหารหมักดองยอดผักเข้มข้น และเครื่องดื่มแอลกอฮอล์ สำหรับอาหารที่ทำจากถั่วเหลือง เช่น "เต้าหู้" แม้ว่าถั่วเหลืองดิบจะมีพิวรีนปานกลาง แต่หลักฐานทางการแพทย์และงานวิจัยระบาดวิทยาในปัจจุบันพบว่า โปรตีนจากพืชและผลิตภัณฑ์จากถั่วเหลือง (เช่น เต้าหู้ นมถั่วเหลือง) ไม่ได้เพิ่มระดับกรดยูริกในเลือดและไม่เพิ่มความเสี่ยงต่อการกำเริบของโรคเกาต์ อีกทั้งเต้าหู้ยังเป็นแหล่งโปรตีนชั้นดีที่แนะนำให้รับประทานทดแทนเนื้อสัตว์ปีกและเครื่องในสัตว์
🎯 ทำไมข้อนี้ถึงถูก:
"แกงจืดเต้าหู้หมูสับ" เป็นอาหารประเภทต้มที่มีเนื้อหมูปริมาณพอเหมาะและมีเต้าหู้ขาวเป็นส่วนประกอบหลัก จัดเป็นอาหารที่มีพิวรีนต่ำถึงปานกลางและไม่มีแอลกอฮอล์หรือเครื่องใน จึงปลอดภัยและเหมาะสมที่สุดสำหรับผู้ป่วยโรคเกาต์
🔍 ข้ออื่นผิดเพราะอะไร:
• ข้อ ก. (ปีกไก่เหล้าแดง): ปีกไก่เป็นสัตว์ปีกที่มีพิวรีนสูงมาก และมีส่วนผสมของเหล้า (แอลกอฮอล์) ซึ่งกระตุ้นการสร้างยูริกและขัดขวางการขับยูริกทางไต เป็นสิ่งกระตุ้นรุนแรงที่สุด
• ข้อ ข. (ยอดมะพร้าวผัดกุ้ง): กุ้งเป็นอาหารทะเลที่มีพิวรีนสูง
• ข้อ ค. (ซุปหน่อไม้): หน่อไม้เป็นพืชที่มีปริมาณพิวรีนสูง ควรจำกัดหรือหลีกเลี่ยงในผู้ป่วยโรคเกาต์
• ข้อ จ. (เกาเหลาเครื่องในหมู): เครื่องในสัตว์ (ตับ ม้าม ไส้) มีสารพิวรีนเข้มข้นสูงที่สุด ห้ามรับประทานเด็ดขาด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 Facts for Gout:
  - อาหารที่ปลอดภัย/แนะนำ: เต้าหู้ ผลิตภัณฑ์นมไขมันต่ำ (Low-fat milk/yogurt) ไข่ ผักใบเขียว กาแฟ น้ำสะอาดปริมาณมาก
  - อาหารที่ต้องงดเว้น: เครื่องในสัตว์ทุกชนิด สัตว์ปีก เครื่องดื่มแอลกอฮอล์ (เบียร์ เหล้า) น้ำหวานที่มี High-fructose corn syrup</t>
        </is>
      </c>
      <c r="K119" s="35" t="n"/>
      <c r="L119" s="35" t="inlineStr">
        <is>
          <t>Gout</t>
        </is>
      </c>
      <c r="M119" s="35" t="inlineStr">
        <is>
          <t>Clinic</t>
        </is>
      </c>
      <c r="N119" s="35" t="inlineStr">
        <is>
          <t>ข้อ 47 Pharma Plus เล่มม่วง (เฉลยข้อ ง)</t>
        </is>
      </c>
      <c r="O119" s="35" t="inlineStr">
        <is>
          <t>Mock</t>
        </is>
      </c>
      <c r="P119" s="35" t="inlineStr">
        <is>
          <t>Pharma Plus เล่มม่วง</t>
        </is>
      </c>
    </row>
    <row r="120" ht="409.6" customHeight="1" s="37">
      <c r="A120" s="35" t="n">
        <v>118</v>
      </c>
      <c r="B120" s="35"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หญิงรายนี้ น่าจะป่วยเป็นโรคใด</t>
        </is>
      </c>
      <c r="C120" s="35" t="n"/>
      <c r="D120" s="35" t="inlineStr">
        <is>
          <t>Gouty arthritis</t>
        </is>
      </c>
      <c r="E120" s="35" t="inlineStr">
        <is>
          <t>Rheumatoid arthritis</t>
        </is>
      </c>
      <c r="F120" s="35" t="inlineStr">
        <is>
          <t>Osteoarthritis</t>
        </is>
      </c>
      <c r="G120" s="35" t="inlineStr">
        <is>
          <t>Osteoporosis</t>
        </is>
      </c>
      <c r="H120" s="35" t="inlineStr">
        <is>
          <t>Osteopenia</t>
        </is>
      </c>
      <c r="I120" s="35" t="n">
        <v>2</v>
      </c>
      <c r="J120" s="35" t="inlineStr">
        <is>
          <t>✅ คำตอบที่ถูกต้อง: ข้อ ข. Rheumatoid arthritis
💡 Background:
โรคข้ออักเสบรูมาตอยด์ (Rheumatoid Arthritis: RA) เป็นโรคแพ้ภูมิตัวเองเรื้อรัง (Autoimmune systemic inflammatory disease) ที่มีลักษณะพยาธิสภาพเด่นคือ การอักเสบเรื้อรังของเยื่อหุ้มข้อ (Synovitis) ส่งผลให้เกิดการทำลายกระดูกอ่อนและกระดูกรอบข้อ อาการแสดงทางคลินิกที่สำคัญ ได้แก่:
1. พบบ่อยในเพศหญิงวัยเจริญพันธุ์หรือวัยทำงาน (อายุ 20-50 ปี)
2. อาการปวดบวมข้อแบบสมมาตรทั้งสองข้างของร่างกาย (Symmetric polyarthritis)
3. พบบ่อยที่สุดที่ข้อนิ้วมือและข้อมือ (Proximal Interphalangeal: PIP joints, Metacarpophalangeal: MCP joints, และ Wrist joints)
4. อาการข้อตึงฝืดหลังตื่นนอนตอนเช้า (Morning stiffness) ซึ่งสะท้อนถึงการอักเสบของเยื่อหุ้มข้อ
🎯 ทำไมข้อนี้ถึงถูก:
ผู้ป่วยเป็นหญิงอายุน้อย (24 ปี) มีอาการปวดข้อนิ้วมือทั้งสองข้างแบบสมมาตร และมีอาการข้อตึงฝืดในตอนเช้าหลังตื่นนอน ลักษณะทางคลินิกสอดคล้องกับ "โรคข้ออักเสบรูมาตอยด์" (Rheumatoid arthritis) มากที่สุด
🔍 ข้ออื่นผิดเพราะอะไร:
• ข้อ ก. (Gouty arthritis): โรคเกาต์มักพบในเพศชายวัยกลางคน มักเกิดที่ข้อเดียวเฉียบพลัน บวมแดงร้อนจัดที่ข้อนิ้วหัวแม่เท้า (Podagra) ไม่ได้เกิดที่ข้อนิ้วมือสองข้างพร้อมกันแบบสมมาตร
• ข้อ ค. (Osteoarthritis): โรคข้อเสื่อมมักพบในผู้สูงอายุ (&gt; 50-65 ปี) มักเกิดกับข้อรับน้ำหนัก (ข้อเข่า ข้อสะโพก) หรือข้อปลายนิ้ว (DIP joints) และมี Morning stiffness สั้นๆ ไม่เกิน 15-30 นาที และมักไม่มีการอักเสบสมมาตรในหญิงสาว
• ข้อ ง. (Osteoporosis) และ ข้อ จ. (Osteopenia): ภาวะกระดูกพรุนและกระดูกบาง ไม่มีอาการปวดข้อนิ้วมือสองข้างหรือข้อตึงตอนเช้า ผู้ป่วยมักไม่มีอาการจนกว่าจะมีกระดูกหัก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Diagnostic Clues: หญิงวัยสาว/วัยเจริญพันธุ์ + ปวดบวมข้อนิ้วมือ/ข้อมือ 2 ข้างสมมาตร (Symmetric) + มี Morning stiffness ตอนเช้า = Rheumatoid Arthritis
• Treatment of Choice: เริ่มต้นด้วย Conventional Synthetic DMARDs (csDMARDs) ทันที โดยมี Methotrexate (MTX) เป็น First-line Anchor Drug</t>
        </is>
      </c>
      <c r="K120" s="35" t="n"/>
      <c r="L120" s="35" t="inlineStr">
        <is>
          <t>Rheumatoid Arthritis</t>
        </is>
      </c>
      <c r="M120" s="35" t="inlineStr">
        <is>
          <t>Clinic</t>
        </is>
      </c>
      <c r="N120" s="35" t="inlineStr">
        <is>
          <t>ข้อ 48 Pharma Plus เล่มม่วง (เฉลยข้อ ค)</t>
        </is>
      </c>
      <c r="O120" s="35" t="inlineStr">
        <is>
          <t>Mock</t>
        </is>
      </c>
      <c r="P120" s="35" t="inlineStr">
        <is>
          <t>Pharma Plus เล่มม่วง</t>
        </is>
      </c>
    </row>
    <row r="121" ht="409.6" customHeight="1" s="37">
      <c r="A121" s="35" t="n">
        <v>119</v>
      </c>
      <c r="B121" s="35"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ยาในข้อใดควรใช้เป็นอันดับแรกในผู้ป่วยรายนี้</t>
        </is>
      </c>
      <c r="C121" s="35" t="n"/>
      <c r="D121" s="35" t="inlineStr">
        <is>
          <t>Paracetamol</t>
        </is>
      </c>
      <c r="E121" s="35" t="inlineStr">
        <is>
          <t>Colchicine</t>
        </is>
      </c>
      <c r="F121" s="35" t="inlineStr">
        <is>
          <t>Prednisolone</t>
        </is>
      </c>
      <c r="G121" s="35" t="inlineStr">
        <is>
          <t>Ibuprofen</t>
        </is>
      </c>
      <c r="H121" s="35" t="inlineStr">
        <is>
          <t>Methotrexate</t>
        </is>
      </c>
      <c r="I121" s="35" t="n">
        <v>5</v>
      </c>
      <c r="J121" s="35" t="inlineStr">
        <is>
          <t>✅ คำตอบที่ถูกต้อง: ข้อ จ. Methotrexate
💡 Background:
ผู้ป่วยหญิงอายุ 24 ปี มีอาการปวดข้อนิ้วมือทั้งสองข้างแบบสมมาตร และมีอาการข้อตึงฝืดในตอนเช้าหลังตื่นนอน (Morning stiffness) นาน ซึ่งเข้าได้กับลักษณะทางคลินิกของ "โรคข้ออักเสบรูมาตอยด์" (Rheumatoid Arthritis: RA) เป้าหมายหลักของการรักษาโรค RA ในปัจจุบันคือ การควบคุมโรคให้สงบโดยเร็ว (Treat-to-Target: T2T) และป้องกันการถูกทำลายของกระดูกและข้ออย่างถาวร แนวทางเวชปฏิบัติสากล (ACR 2021 และ EULAR 2022) แนะนำให้เริ่มต้นการรักษาด้วยยากลุ่มปรับเปลี่ยนการดำเนินโรค (Disease-Modifying Antirheumatic Drugs: DMARDs) ทันทีที่ได้รับการวินิจฉัย โดยมี "Methotrexate (MTX)" เป็นยาทางเลือกแรกมาตรฐาน (Preferred First-line Anchor Drug)
🎯 ทำไมข้อนี้ถึงถูก:
Methotrexate เป็น First-line csDMARD ที่มีประสิทธิภาพสูงที่สุดในการชะลอการลุกลามและป้องกันข้อถูกทำลายในผู้ป่วยโรคข้ออักเสบรูมาตอยด์ จึงเป็นยาที่ควรเลือกใช้เป็นอันดับแรกในการรักษา
🔍 ข้ออื่นผิดเพราะอะไร:
• ข้อ ก. (Paracetamol) และ ข้อ ง. (Ibuprofen): เป็นเพียงยาบรรเทาอาการปวดและลดการอักเสบชั่วคราว (Symptomatic relief) ไม่มีผลในการชะลอโรคหรือป้องกันการพิการของข้อต่อ ไม่สามารถใช้เป็นยาหลักเดี่ยวๆ ในการรักษา RA
• ข้อ ข. (Colchicine): ใช้รักษาโรคข้ออักเสบเกาต์เฉียบพลัน ไม่มีข้อบ่งใช้ในการรักษาโรคข้ออักเสบรูมาตอยด์
• ข้อ ค. (Prednisolone): สเตียรอยด์ใช้เป็นเพียง "Bridging therapy" ในระยะสั้นๆ ร่วมกับ DMARDs เพื่อระงับอาการอักเสบระหว่างรอให้ DMARDs ออกฤทธิ์ ไม่แนะนำให้ใช้เป็นยาหลักเดี่ยวๆ ระยะยาวเนื่องจากผลข้างเคียงสูง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First-line Therapy: เริ่มต้น csDMARDs ทันทีที่วินิจฉัย โดยเลือก "Methotrexate (MTX)" เป็นตัวแรกเสมอ (ขนาดยาเริ่มต้น 10-15 mg รับประทานสัปดาห์ละ 1 ครั้ง ร่วมกับ Folic acid 5 mg/สัปดาห์)
• Never use NSAIDs/Steroids alone: ยาแก้ปวดและสเตียรอยด์ช่วยแค่บรรเทาอาการ ไม่เปลี่ยนการดำเนินโรค ต้องมี DMARDs เสมอ</t>
        </is>
      </c>
      <c r="K121" s="35" t="n"/>
      <c r="L121" s="35" t="inlineStr">
        <is>
          <t>Rheumatoid Arthritis</t>
        </is>
      </c>
      <c r="M121" s="35" t="inlineStr">
        <is>
          <t>Clinic</t>
        </is>
      </c>
      <c r="N121" s="35" t="inlineStr">
        <is>
          <t>ข้อ 49 Pharma Plus เล่มม่วง (เฉลยข้อ ก)</t>
        </is>
      </c>
      <c r="O121" s="35" t="inlineStr">
        <is>
          <t>Mock</t>
        </is>
      </c>
      <c r="P121" s="35" t="inlineStr">
        <is>
          <t>Pharma Plus เล่มม่วง</t>
        </is>
      </c>
    </row>
    <row r="122" ht="409.6" customHeight="1" s="37">
      <c r="A122" s="35" t="n">
        <v>120</v>
      </c>
      <c r="B122" s="35"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หากใช้ยาในข้อ 49 ไม่ได้ผล ควรเลือกยาใดเป็นอันดับต่อมา</t>
        </is>
      </c>
      <c r="C122" s="35" t="n"/>
      <c r="D122" s="35" t="inlineStr">
        <is>
          <t>Sulfasalazine</t>
        </is>
      </c>
      <c r="E122" s="35" t="inlineStr">
        <is>
          <t>Auranofin</t>
        </is>
      </c>
      <c r="F122" s="35" t="inlineStr">
        <is>
          <t>Celecoxib</t>
        </is>
      </c>
      <c r="G122" s="35" t="inlineStr">
        <is>
          <t>Glucosamine</t>
        </is>
      </c>
      <c r="H122" s="35" t="inlineStr">
        <is>
          <t>Allopurinol</t>
        </is>
      </c>
      <c r="I122" s="35" t="n">
        <v>1</v>
      </c>
      <c r="J122" s="35" t="inlineStr">
        <is>
          <t>✅ คำตอบที่ถูกต้อง: ข้อ ก. Sulfasalazine
💡 Background:
ในการรักษาโรคข้ออักเสบรูมาตอยด์ หากผู้ป่วยไม่ตอบสนองต่อการรักษาด้วยยา Methotrexate (MTX) ในขนาดที่เหมาะสม หรือเกิดอาการไม่พึงประสงค์จนต้องหยุดยา แนวทางเวชปฏิบัติแนะนำให้ปรับเปลี่ยนยาหรือเพิ่มยาในกลุ่ม Conventional Synthetic DMARDs (csDMARDs) ตัวอื่น ได้แก่ "Sulfasalazine" หรือ "Leflunomide" หรืออาจพิจารณาให้การรักษาแบบยาผสม 2-3 ชนิด (Combination csDMARDs เช่น MTX + Sulfasalazine + Hydroxychloroquine เรียกว่า Triple Therapy) ก่อนจะก้าวไปสู่ยากลุ่มชีววัตถุ (Biologic DMARDs)
🎯 ทำไมข้อนี้ถึงถูก:
Sulfasalazine เป็นยาในกลุ่ม csDMARDs ทางเลือกมาตรฐานอันดับถัดมาที่ใช้ในการรักษาโรคข้ออักเสบรูมาตอยด์ ทั้งในรูปแบบการใช้เดี่ยว (Monotherapy) หรือใช้ร่วมกับ MTX
🔍 ข้ออื่นผิดเพราะอะไร:
• ข้อ ข. (Auranofin): ยาเกลือทองคำ (Oral gold) ในอดีต ปัจจุบันเลิกใช้ในการรักษามาตรฐานแล้วเนื่องจากประสิทธิภาพต่ำและมีความเป็นพิษสูงต่อไตและผิวหนัง
• ข้อ ค. (Celecoxib): เป็นยากลุ่ม NSAID ช่วยแค่บรรเทาปวด ไม่สามารถควบคุมการลุกลามของโรค RA แทน DMARDs ได้
• ข้อ ง. (Glucosamine): ใช้ในโรคข้อเสื่อม (OA) ไม่มีประโยชน์ในการรักษาโรคข้ออักเสบรูมาตอยด์
• ข้อ จ. (Allopurinol): เป็นยาลดกรดยูริกในโรคเกาต์ ไม่เกี่ยวข้องกับโรคข้ออักเสบรูมาตอยด์
📖 Guideline อ้างอิง:
2021 American College of Rheumatology (ACR) Guideline for the Treatment of Rheumatoid Arthritis &amp; EULAR Recommendations for the Management of Rheumatoid Arthritis
📌 จุดจำก่อนสอบ:
• csDMARDs Options in RA:
  1. Methotrexate (MTX) - Preferred First-line
  2. Sulfasalazine (SSZ) - ทางเลือกถัดมา หรือใช้ในหญิงตั้งครรภ์
  3. Leflunomide (LEF) - ทางเลือกเทียบเคียง MTX
  4. Hydroxychloroquine (HCQ) - ใช้ในรายที่เป็นน้อย หรือใช้ร่วมใน Triple therapy</t>
        </is>
      </c>
      <c r="K122" s="35" t="n"/>
      <c r="L122" s="35" t="inlineStr">
        <is>
          <t>Rheumatoid Arthritis</t>
        </is>
      </c>
      <c r="M122" s="35" t="inlineStr">
        <is>
          <t>Clinic</t>
        </is>
      </c>
      <c r="N122" s="35" t="inlineStr">
        <is>
          <t>ข้อ 50 Pharma Plus เล่มม่วง (เฉลยข้อ ค)</t>
        </is>
      </c>
      <c r="O122" s="35" t="inlineStr">
        <is>
          <t>Mock</t>
        </is>
      </c>
      <c r="P122" s="35" t="inlineStr">
        <is>
          <t>Pharma Plus เล่มม่วง</t>
        </is>
      </c>
    </row>
    <row r="123" ht="409.6" customHeight="1" s="37">
      <c r="A123" s="35" t="n">
        <v>121</v>
      </c>
      <c r="B123" s="35" t="inlineStr">
        <is>
          <t>ยาในข้อใดใช้ชะลอการเสื่อมของกระดูกและข้อ</t>
        </is>
      </c>
      <c r="C123" s="35" t="n"/>
      <c r="D123" s="35" t="inlineStr">
        <is>
          <t>Estrogen</t>
        </is>
      </c>
      <c r="E123" s="35" t="inlineStr">
        <is>
          <t>Methotrexate</t>
        </is>
      </c>
      <c r="F123" s="35" t="inlineStr">
        <is>
          <t>Paracetamol</t>
        </is>
      </c>
      <c r="G123" s="35" t="inlineStr">
        <is>
          <t>Glucosamine</t>
        </is>
      </c>
      <c r="H123" s="35" t="inlineStr">
        <is>
          <t>Probenecid</t>
        </is>
      </c>
      <c r="I123" s="35" t="n">
        <v>4</v>
      </c>
      <c r="J123" s="35" t="inlineStr">
        <is>
          <t>✅ คำตอบที่ถูกต้อง: ข้อ ง. Glucosamine
💡 Background:
ยาหรือสารอาหารเสริมที่มุ่งเป้าในการชะลอการเสื่อมสลายของกระดูกอ่อนผิวข้อในโรคข้อเสื่อม (Osteoarthritis) จัดอยู่ในกลุ่ม Symptomatic Slow-Acting Drugs for Osteoarthritis (SYSADOA) ซึ่งสารสำคัญที่รู้จักกันอย่างแพร่หลาย ได้แก่ Glucosamine sulfate, Chondroitin sulfate, และ Diacerein สาร Glucosamine ทำหน้าที่เป็นสารตั้งต้นในการสังเคราะห์ Glycosaminoglycans และ Proteoglycans ในกระดูกอ่อนผิวข้อและน้ำไขข้อ จึงถูกนำมาใช้โดยมีวัตถุประสงค์เพื่อชะลอการสึกหรอของข้อต่อ
🎯 ทำไมข้อนี้ถึงถูก:
Glucosamine จัดอยู่ในกลุ่ม SYSADOA ซึ่งมีข้อบ่งใช้และวัตถุประสงค์เพื่อชะลอการเสื่อมสลายของกระดูกอ่อนผิวข้อในโรคข้อเสื่อม (OA)
🔍 ข้ออื่นผิดเพราะอะไร:
• ข้อ ก. (Estrogen): ฮอร์โมนเอสโตรเจนช่วยลดการสลายกระดูกในโรคกระดูกพรุน (Osteoporosis) แต่ไม่ได้จัดเป็นยาชะลอข้อเสื่อม (OA)
• ข้อ ข. (Methotrexate): เป็นยากดภูมิคุ้มกันและปรับเปลี่ยนการดำเนินโรคใน "โรคข้ออักเสบรูมาตอยด์" (RA) ไม่ได้ใช้ชะลอโรคข้อเสื่อม
• ข้อ ค. (Paracetamol): เป็นยาบรรเทาอาการปวด ไม่มีฤทธิ์ชะลอการเสื่อมของกระดูกอ่อน
• ข้อ จ. (Probenecid): เป็นยาขับกรดยูริกทางปัสสาวะสำหรับโรคเกาต์
📖 Guideline อ้างอิง:
แนวทางเวชปฏิบัติการดูแลรักษาโรคข้อเข่าเสื่อม พ.ศ. 2553 (สมาคมรูมาติสซั่มแห่งประเทศไทย) &amp; ESCEO Guidelines for the Management of Knee Osteoarthritis
📌 จุดจำก่อนสอบ:
• SYSADOA Group (ยาชะลอข้อเสื่อม): Glucosamine sulfate, Chondroitin sulfate, Diacerein
• ACR 2019 Note: แนวทางเวชปฏิบัติ ACR 2019 แนะนำไม่สนับสนุนการใช้ Glucosamine ใน OA เข่า/สะโพกเนื่องจากหลักฐานประสิทธิผลยังไม่ชัดเจน แต่องค์กรฝั่งยุโรป (ESCEO) และตำราดั้งเดิมยังคงระบุในฐานะ SYSADOA</t>
        </is>
      </c>
      <c r="K123" s="35" t="n"/>
      <c r="L123" s="35" t="inlineStr">
        <is>
          <t>Osteoarthritis</t>
        </is>
      </c>
      <c r="M123" s="35" t="inlineStr">
        <is>
          <t>Clinic</t>
        </is>
      </c>
      <c r="N123" s="35" t="inlineStr">
        <is>
          <t>ข้อ 51 Pharma Plus เล่มม่วง (เฉลยข้อ ง)</t>
        </is>
      </c>
      <c r="O123" s="35" t="inlineStr">
        <is>
          <t>Mock</t>
        </is>
      </c>
      <c r="P123" s="35" t="inlineStr">
        <is>
          <t>Pharma Plus เล่มม่วง</t>
        </is>
      </c>
    </row>
    <row r="124" ht="409.6" customHeight="1" s="37">
      <c r="A124" s="35" t="n">
        <v>122</v>
      </c>
      <c r="B124" s="35"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t>
        </is>
      </c>
      <c r="C124" s="35" t="n"/>
      <c r="D124" s="35" t="inlineStr">
        <is>
          <t>Ibuprofen</t>
        </is>
      </c>
      <c r="E124" s="35" t="inlineStr">
        <is>
          <t>Diclofenac</t>
        </is>
      </c>
      <c r="F124" s="35" t="inlineStr">
        <is>
          <t>Nimesulide</t>
        </is>
      </c>
      <c r="G124" s="35" t="inlineStr">
        <is>
          <t>Paracetamol</t>
        </is>
      </c>
      <c r="H124" s="35" t="inlineStr">
        <is>
          <t>Aspirin</t>
        </is>
      </c>
      <c r="I124" s="35" t="n">
        <v>3</v>
      </c>
      <c r="J124" s="35" t="inlineStr">
        <is>
          <t>✅ คำตอบที่ถูกต้อง: ข้อ ค. Nimesulide
💡 Background:
ผู้ป่วยมีอาการข้อฝืดตอนเช้าสั้นๆ (5 นาที) และมีเสียงกรอบแกรบในข้อเวลาขยับ (Crepitus) ซึ่งเป็นอาการเฉพาะของโรคข้อเสื่อม (Osteoarthritis) ผู้ป่วยมีประวัติการแพ้ยา Sulfacetamide ซึ่งเป็นยาในกลุ่มซัลโฟนาไมด์ (Sulfonamides) ยาต้านการอักเสบกลุ่ม NSAIDs บางชนิดมีโครงสร้างทางเคมีที่ประกอบด้วยหมู่อะโรมาติกซัลโฟนาไมด์ (Sulfonamide moiety) ได้แก่ Nimesulide และ Celecoxib ซึ่งอาจเกิดปฏิกิริยาการแพ้ข้ามกลุ่ม (Cross-reactivity) ในผู้ป่วยที่แพ้สารกลุ่มซัลฟาได้ จึงไม่ควรเลือกใช้ในผู้ป่วยรายนี้
🎯 ทำไมข้อนี้ถึงถูก:
Nimesulide มีหมู่ Sulfonamide ในโครงสร้างโมเลกุล จึงไม่เหมาะสมอย่างยิ่งสำหรับผู้ป่วยที่มีประวัติแพ้ยาในกลุ่ม Sulfonamide (Sulfacetamide) และยังมีรายงานพิษต่อตับรุนแรง
🔍 ข้ออื่นผิดเพราะอะไร:
• ข้อ ก. (Ibuprofen): เป็นยากลุ่ม Propionic acid derivatives ไม่มีหมู่ Sulfonamide ปลอดภัยในผู้แพ้ซัลฟา
• ข้อ ข. (Diclofenac): เป็นยากลุ่ม Acetic acid derivatives ไม่มีหมู่ Sulfonamide
• ข้อ ง. (Paracetamol): เป็น Para-aminophenol derivative ไม่มีหมู่ Sulfonamide และเป็นยาแก้ปวดอันดับแรกที่ปลอดภัย
• ข้อ จ. (Aspirin): เป็น Salicylate derivative ไม่มีหมู่ Sulfonamide
📖 Guideline อ้างอิง:
Goodman &amp; Gilman's The Pharmacological Basis of Therapeutics (14th Edition) &amp; 2019 American College of Rheumatology (ACR) Guideline for Osteoarthritis
📌 จุดจำก่อนสอบ:
• Cross-reactivity with Sulfa Allergy: ยาต้านการอักเสบที่มีโครงสร้าง Sulfonamide ได้แก่ Celecoxib และ Nimesulide ให้ระวังหรือหลีกเลี่ยงในผู้ที่แพ้ยาซัลฟารุนแรง
• Alternatives: Ibuprofen, Naproxen, Diclofenac ปลอดภัยจากความเสี่ยงแพ้ซัลฟา</t>
        </is>
      </c>
      <c r="K124" s="35" t="n"/>
      <c r="L124" s="35" t="inlineStr">
        <is>
          <t>Osteoarthritis</t>
        </is>
      </c>
      <c r="M124" s="35" t="inlineStr">
        <is>
          <t>Clinic</t>
        </is>
      </c>
      <c r="N124" s="35" t="inlineStr">
        <is>
          <t>ข้อ 52 Pharma Plus เล่มม่วง (เฉลยข้อ ค)</t>
        </is>
      </c>
      <c r="O124" s="35" t="inlineStr">
        <is>
          <t>Mock</t>
        </is>
      </c>
      <c r="P124" s="35" t="inlineStr">
        <is>
          <t>Pharma Plus เล่มม่วง</t>
        </is>
      </c>
    </row>
    <row r="125" ht="409.6" customHeight="1" s="37">
      <c r="A125" s="35" t="n">
        <v>123</v>
      </c>
      <c r="B125" s="35" t="inlineStr">
        <is>
          <t>ผู้ป่วยมาขอซื้อยาเดิม ซึ่งหมวินิจฉัยว่าเป็น OA มีอาการปวดเล็กน้อย ไม่บวม ยาเดิมคือ Paracetamol จำวิธีรับประทานไม่ได้ Glucosamine จำวิธีรับประทานไม่ได้ Calcium carbonate (1 g) รับประทานวันละ 2 เม็ด
ข้อใดถูกต้องเกี่ยวกับการแนะนำการรับประทานยาให้แก่ผู้ป่วย</t>
        </is>
      </c>
      <c r="C125" s="35" t="n"/>
      <c r="D125" s="35" t="inlineStr">
        <is>
          <t>รับประทาน Paracetamol 3 เม็ด ทุก 4 ชั่วโมง</t>
        </is>
      </c>
      <c r="E125" s="35" t="inlineStr">
        <is>
          <t>เพิ่มยา muscle relaxant ให้แก่ผู้ป่วย</t>
        </is>
      </c>
      <c r="F125" s="35" t="inlineStr">
        <is>
          <t>รับประทาน Glucosamine ครั้งละ 2 เม็ด วันละ 3 ครั้ง</t>
        </is>
      </c>
      <c r="G125" s="35" t="inlineStr">
        <is>
          <t>รับประทาน Calcium carbonate (1 g) 2 เม็ด ก่อนอาหารเช้า</t>
        </is>
      </c>
      <c r="H125" s="35" t="inlineStr">
        <is>
          <t>ถูนวดเจลพริกบริเวณปวด เพื่อให้ยาดูดซึมได้เยอะ</t>
        </is>
      </c>
      <c r="I125" s="35" t="n">
        <v>3</v>
      </c>
      <c r="J125" s="35" t="inlineStr">
        <is>
          <t>✅ คำตอบที่ถูกต้อง: ข้อ ค. รับประทาน Glucosamine ครั้งละ 2 เม็ด วันละ 3 ครั้ง
💡 Background:
Glucosamine sulfate ในรูปแบบแคปซูลขนาดมาตรฐานดั้งเดิมคือ 250 mg ต่อแคปซูล ขนาดยาที่ใช้ในการศึกษาและระบุในฉลากยาสำหรับบรรเทาอาการข้อเข่าเสื่อมคือ 1,500 mg ต่อวัน ซึ่งคำนวณได้เป็น การรับประทานครั้งละ 2 แคปซูล (500 mg) วันละ 3 ครั้ง พร้อมอาหาร (รวม 1,500 mg/day)
🎯 ทำไมข้อนี้ถึงถูก:
การรับประทาน Glucosamine (250 mg) ครั้งละ 2 เม็ด วันละ 3 ครั้ง ตรงกับขนาดมาตรฐาน 1,500 mg ต่อวัน จึงเป็นคำแนะนำที่ถูกต้อง
🔍 ข้ออื่นผิดเพราะอะไร:
• ข้อ ก. (รับประทาน Paracetamol 3 เม็ด ทุก 4 ชั่วโมง): Paracetamol 500 mg ครั้งละ 3 เม็ด = 1,500 mg ทุก 4 ชั่วโมง รวมเกิน 6,000-9,000 mg/day ซึ่งเกินขนาดสูงสุดอย่างรุนแรงและก่อให้เกิดพิษต่อตับเฉียบพลัน (Fatal Hepatotoxicity)
• ข้อ ข. (เพิ่มยา muscle relaxant ให้แก่ผู้ป่วย): โรคข้อเสื่อม (OA) ที่มีอาการปวดเล็กน้อย ไม่มีอาการเกร็งกล้ามเนื้อ ไม่มีความจำเป็นต้องใช้ยาคลายกล้ามเนื้อ
• ข้อ ง. (รับประทาน Calcium carbonate (1 g) 2 เม็ด ก่อนอาหารเช้า): Calcium carbonate ต้องอาศัยกรดในกระเพาะอาหารในการแตกตัวและดูดซึม ต้องรับประทาน "พร้อมอาหารหรือหลังอาหารทันที" ห้ามทานก่อนอาหาร
• ข้อ จ. (ถูนวดเจลพริกบริเวณปวด เพื่อให้ยาดูดซึมได้เยอะ): Capsaicin gel ห้ามถูนวดรุนแรงเพราะจะทำให้แสบร้อนระคายเคืองอย่างรุนแรง แนะนำให้ทาบางๆ และล้างมือให้สะอาด
📖 Guideline อ้างอิง:
แนวทางเวชปฏิบัติการวินิจฉัยและการดูแลรักษาโรคข้อเข่าเสื่อม (สมาคมรูมาติสซั่มแห่งประเทศไทย) &amp; US FDA Acetaminophen Dosing Guidelines
📌 จุดจำก่อนสอบ:
• Glucosamine Standard Dose: 1,500 mg/day (ถ้าแคปซูล 250 mg ทาน 2 เม็ด TID pc)
• Calcium Carbonate: ทานหลังอาหารทันที (ต้องการกรด) ต่างจาก Calcium Citrate ที่ทานตอนท้องว่างได้
• Paracetamol Safe Limit: ไม่เกิน 4,000 mg/day (ผู้สูงอายุ/โรคตับไม่เกิน 2,000-3,000 mg/day)</t>
        </is>
      </c>
      <c r="K125" s="35" t="n"/>
      <c r="L125" s="35" t="inlineStr">
        <is>
          <t>Osteoarthritis / Herbal Medicine</t>
        </is>
      </c>
      <c r="M125" s="35" t="inlineStr">
        <is>
          <t>Clinic</t>
        </is>
      </c>
      <c r="N125" s="35" t="inlineStr">
        <is>
          <t>ข้อ 53 Pharma Plus เล่มม่วง (เฉลยข้อ ค)</t>
        </is>
      </c>
      <c r="O125" s="35" t="inlineStr">
        <is>
          <t>Mock</t>
        </is>
      </c>
      <c r="P125" s="35" t="inlineStr">
        <is>
          <t>Pharma Plus เล่มม่วง</t>
        </is>
      </c>
    </row>
    <row r="126" ht="409.6" customHeight="1" s="37">
      <c r="A126" s="35" t="n">
        <v>124</v>
      </c>
      <c r="B126" s="35" t="inlineStr">
        <is>
          <t>ข้อใดที่เภสัชกรไม่ต้องให้คำแนะนำเรื่องการปฏิบัติตัวเกี่ยวกับโรค osteoarthritis</t>
        </is>
      </c>
      <c r="C126" s="35" t="n"/>
      <c r="D126" s="35" t="inlineStr">
        <is>
          <t>หลีกเลี่ยงนั่งพับเพียบ</t>
        </is>
      </c>
      <c r="E126" s="35" t="inlineStr">
        <is>
          <t>ลดน้ำหนักตัว</t>
        </is>
      </c>
      <c r="F126" s="35" t="inlineStr">
        <is>
          <t>หลีกเลี่ยงการยกของหนัก</t>
        </is>
      </c>
      <c r="G126" s="35" t="inlineStr">
        <is>
          <t>ออกกำลังกายในน้ำ</t>
        </is>
      </c>
      <c r="H126" s="35" t="inlineStr">
        <is>
          <t>หลีกเลี่ยงการรับประทานยอดผัก</t>
        </is>
      </c>
      <c r="I126" s="35" t="n">
        <v>5</v>
      </c>
      <c r="J126" s="35" t="inlineStr">
        <is>
          <t>✅ คำตอบที่ถูกต้อง: ข้อ จ. หลีกเลี่ยงการรับประทานยอดผัก
💡 Background:
โรคข้อเสื่อม (Osteoarthritis: OA) เกิดจากการสึกหรอของผิวกระดูกอ่อนข้อตามวัยและการรับน้ำหนัก ไม่ได้มีพยาธิสภาพมาจากการสะสมของผลึกกรดยูริก การให้คำแนะนำผู้ป่วย OA จึงเน้นที่การลดแรงกดทับข้อเข่า (หลีกเลี่ยงการนั่งพับเพียบ นั่งยองๆ คุกเข่า ยกของหนัก) และการออกกำลังกายที่ไม่มีแรงกระแทก (ว่ายน้ำ เดินในน้ำ) ส่วนการหลีกเลี่ยงอาหารที่มีสารพิวรีนสูง เช่น ยอดผัก เครื่องในสัตว์ เป็นคำแนะนำเฉพาะสำหรับ "โรคเกาต์" (Gout) ไม่เกี่ยวข้องกับโรคข้อเสื่อม
🎯 ทำไมข้อนี้ถึงถูก:
การหลีกเลี่ยงการรับประทานยอดผักเป็นคำแนะนำสำหรับโรคเกาต์ เภสัชกรจึง "ไม่ต้องให้คำแนะนำ" แก่ผู้ป่วยโรคข้อเสื่อม
🔍 ข้ออื่นผิดเพราะอะไร:
• ข้อ ก. (หลีกเลี่ยงนั่งพับเพียบ): เป็นคำแนะนำสำคัญมากใน OA ข้อเข่า เพื่อลดแรงบิดและแรงกดทับกระดูกอ่อน
• ข้อ ข. (ลดน้ำหนักตัว): เป็นการรักษาหลักแบบไม่ใช้ยา ช่วยชะลอการเสื่อมของข้อได้อย่างมีนัยสำคัญ
• ข้อ ค. (หลีกเลี่ยงการยกของหนัก): เป็นคำแนะนำที่ถูกต้องเพื่อลดแรงกดกระแทกต่อข้อต่อ
• ข้อ ง. (ออกกำลังกายในน้ำ): เป็นการออกกำลังกายที่ดีที่สุดสำหรับ OA เข่า เพราะน้ำช่วยพยุงน้ำหนักตัว
📖 Guideline อ้างอิง:
2019 American College of Rheumatology (ACR) Guideline for Osteoarthritis &amp; แนวทางเวชปฏิบัติการดูแลรักษาโรคข้อเข่าเสื่อม พ.ศ. 2553 (สมาคมรูมาติสซั่มแห่งประเทศไทย)
📌 จุดจำก่อนสอบ:
• Lifestyle Modification in OA: ลดน้ำหนัก + งดนั่งงอเข่า (พับเพียบ/ยองๆ/ขัดสมาธิ) + ออกกำลังกายกล้ามเนื้อต้นขา (Quadriceps strengthening) และ Low-impact (ว่ายน้ำ)
• Food Restriction: ผู้ป่วย OA ไม่มีข้อห้ามเรื่องยอดผักหรือสัตว์ปีกเหมือนโรคเกาต์</t>
        </is>
      </c>
      <c r="K126" s="35" t="n"/>
      <c r="L126" s="35" t="inlineStr">
        <is>
          <t>Osteoarthritis</t>
        </is>
      </c>
      <c r="M126" s="35" t="inlineStr">
        <is>
          <t>Clinic</t>
        </is>
      </c>
      <c r="N126" s="35" t="inlineStr">
        <is>
          <t>ข้อ 54 Pharma Plus เล่มม่วง (เฉลยข้อ จ)</t>
        </is>
      </c>
      <c r="O126" s="35" t="inlineStr">
        <is>
          <t>Mock</t>
        </is>
      </c>
      <c r="P126" s="35" t="inlineStr">
        <is>
          <t>Pharma Plus เล่มม่วง</t>
        </is>
      </c>
    </row>
    <row r="127" ht="409.6" customHeight="1" s="37">
      <c r="A127" s="35" t="n">
        <v>125</v>
      </c>
      <c r="B127" s="35" t="inlineStr">
        <is>
          <t>อีก 2 เดือนต่อมา ผู้ป่วยยังมีอาการปวดข้ออยู่ และเป็นโรคกระเพาะอาหารด้วย ยาใดที่ควรใช้ในผู้ป่วยรายนี้
ยาใดที่ควรใช้ในผู้ป่วยรายนี้</t>
        </is>
      </c>
      <c r="C127" s="35" t="n"/>
      <c r="D127" s="35" t="inlineStr">
        <is>
          <t>Etoricoxib</t>
        </is>
      </c>
      <c r="E127" s="35" t="inlineStr">
        <is>
          <t>Ibuprofen</t>
        </is>
      </c>
      <c r="F127" s="35" t="inlineStr">
        <is>
          <t>Diclofenac</t>
        </is>
      </c>
      <c r="G127" s="35" t="inlineStr">
        <is>
          <t>Aspirin</t>
        </is>
      </c>
      <c r="H127" s="35" t="inlineStr">
        <is>
          <t>Piroxicam</t>
        </is>
      </c>
      <c r="I127" s="35" t="n">
        <v>1</v>
      </c>
      <c r="J127" s="35" t="inlineStr">
        <is>
          <t>✅ คำตอบที่ถูกต้อง: ข้อ ก. Etoricoxib
💡 Background:
ผู้ป่วยโรคข้อเสื่อม (OA) ที่มีอาการปวดเรื้อรังและมีโรคร่วมคือ แผลในกระเพาะอาหาร (Peptic Ulcer Disease) จัดเป็นกลุ่มที่มีความเสี่ยงสูงต่อการเกิดภาวะแทรกซ้อนในทางเดินอาหาร (High GI Risk) การใช้ยาต้านการอักเสบกลุ่ม Non-selective NSAIDs ทั่วไป (เช่น Ibuprofen, Diclofenac, Piroxicam, Aspirin) จะยับยั้งเอนไซม์ COX-1 ทำให้การสร้างเมือกและสารปกป้องกระเพาะอาหารลดลง ส่งผลให้แผลในกระเพาะอาหารแย่ลงและเสี่ยงต่อเลือดออกในทางเดินอาหารอย่างรุนแรง แนวทางเวชปฏิบัติแนะนำให้เลือกใช้ยากลุ่ม Selective COX-2 Inhibitor เช่น Etoricoxib หรือ Celecoxib (ร่วมกับการให้ยา PPIs) เพื่อลดความเสี่ยงต่อระบบทางเดินอาหาร
🎯 ทำไมข้อนี้ถึงถูก:
Etoricoxib เป็นยากลุ่ม Highly Selective COX-2 Inhibitor ซึ่งมีผลระคายเคืองกระเพาะอาหารและอัตราการเกิดแผลในทางเดินอาหารต่ำกว่า Non-selective NSAIDs อย่างมีนัยสำคัญ จึงเป็นยาที่เหมาะสมที่สุดในตัวเลือกสำหรับผู้ป่วยรายนี้
🔍 ข้ออื่นผิดเพราะอะไร:
• ข้อ ข. (Ibuprofen): เป็น Non-selective NSAID ระคายเคืองกระเพาะอาหาร
• ข้อ ค. (Diclofenac): เป็น Non-selective NSAID มีความเสี่ยงต่อการเกิดแผลในทางเดินอาหาร
• ข้อ ง. (Aspirin): ระคายเคืองเยื่อบุกระเพาะอาหารโดยตรงและยับยั้งเกล็ดเลือด เพิ่มความเสี่ยง GI bleeding สูงมาก
• ข้อ จ. (Piroxicam): เป็นยากลุ่ม Oxicam ที่มีค่าครึ่งชีวิตยาวนาน และจัดเป็น NSAID ที่มีความเสี่ยงต่อการเกิดแผลและเลือดออกในกระเพาะอาหารสูงที่สุดในบรรดา NSAIDs ทุกตัว (High GI toxicity)
📖 Guideline อ้างอิง:
American College of Gastroenterology (ACG) Guidelines on Prevention of NSAID-Related Ulcer Complications &amp; 2019 ACR OA Guideline
📌 จุดจำก่อนสอบ:
• NSAID Selection by GI Risk:
  - High GI Risk (PUD, GI bleeding history) -&gt; แนะนำ: Selective COX-2 Inhibitor (Celecoxib, Etoricoxib) + PPI
  - Piroxicam และ Ketoprofen มีความเสี่ยงต่อ GI สูงที่สุด ห้ามใช้ในคนไข้โรคกระเพาะเด็ดขาด</t>
        </is>
      </c>
      <c r="K127" s="35" t="n"/>
      <c r="L127" s="35" t="inlineStr">
        <is>
          <t>Osteoarthritis</t>
        </is>
      </c>
      <c r="M127" s="35" t="inlineStr">
        <is>
          <t>Clinic</t>
        </is>
      </c>
      <c r="N127" s="35" t="inlineStr">
        <is>
          <t>ข้อ 55 Pharma Plus เล่มม่วง (เฉลยข้อ ก)</t>
        </is>
      </c>
      <c r="O127" s="35" t="inlineStr">
        <is>
          <t>Mock</t>
        </is>
      </c>
      <c r="P127" s="35" t="inlineStr">
        <is>
          <t>Pharma Plus เล่มม่วง</t>
        </is>
      </c>
    </row>
    <row r="128" ht="409.6" customHeight="1" s="37">
      <c r="A128" s="35" t="n">
        <v>126</v>
      </c>
      <c r="B128" s="35" t="inlineStr">
        <is>
          <t>ข้อใดจัดเป็นยาหรือผลิตภัณฑ์เสริมอาหารในกลุ่มชะลอความเสื่อมสลายของกระดูกอ่อน</t>
        </is>
      </c>
      <c r="C128" s="35" t="n"/>
      <c r="D128" s="35" t="inlineStr">
        <is>
          <t>Glucosamine sulfate</t>
        </is>
      </c>
      <c r="E128" s="35" t="inlineStr">
        <is>
          <t>Hydroxychloroquine</t>
        </is>
      </c>
      <c r="F128" s="35" t="inlineStr">
        <is>
          <t>Auranofin</t>
        </is>
      </c>
      <c r="G128" s="35" t="inlineStr">
        <is>
          <t>Prednisolone</t>
        </is>
      </c>
      <c r="H128" s="35" t="inlineStr">
        <is>
          <t>Methotrexate</t>
        </is>
      </c>
      <c r="I128" s="35" t="n">
        <v>1</v>
      </c>
      <c r="J128" s="35" t="inlineStr">
        <is>
          <t>✅ คำตอบที่ถูกต้อง: ข้อ ก. Glucosamine sulfate
💡 Background:
ยาหรือผลิตภัณฑ์เสริมอาหารในกลุ่มชะลอความเสื่อมสลายของกระดูกอ่อนผิวข้อ (Symptomatic Slow-Acting Drugs for Osteoarthritis: SYSADOA หรือ Chondroprotective agents) ได้แก่ Glucosamine sulfate, Chondroitin sulfate, และ Diacerein สาร Glucosamine เป็นองค์ประกอบพื้นฐานในการสร้าง Glycosaminoglycans (GAGs) ซึ่งเป็นโครงสร้างค้ำจุนกระดูกอ่อนและน้ำไขข้อ
🎯 ทำไมข้อนี้ถึงถูก:
Glucosamine sulfate จัดเป็นสารในกลุ่มชะลอความเสื่อมสลายของกระดูกอ่อน (Chondroprotective agent / SYSADOA) โดยตรง
🔍 ข้ออื่นผิดเพราะอะไร:
• ข้อ ข. (Hydroxychloroquine) และ ข้อ ค. (Auranofin): เป็นยากลุ่ม DMARDs ที่ใช้รักษาโรคข้ออักเสบรูมาตอยด์ (RA)
• ข้อ ง. (Prednisolone): เป็นยาสเตียรอยด์ต้านการอักเสบ การใช้ระยะยาวกลับจะเร่งให้กระดูกพรุนและกระดูกอ่อนเสื่อมสภาพเร็วขึ้น
• ข้อ จ. (Methotrexate): เป็นยากดภูมิคุ้มกันกลุ่ม csDMARDs รักษาโรคข้ออักเสบรูมาตอยด์
📖 Guideline อ้างอิง:
แนวทางเวชปฏิบัติการดูแลรักษาโรคข้อเข่าเสื่อม พ.ศ. 2553 (สมาคมรูมาติสซั่มแห่งประเทศไทย) &amp; European Society for Clinical and Economic Aspects of Osteoporosis, Osteoarthritis and Musculoskeletal Diseases (ESCEO)
📌 จุดจำก่อนสอบ:
• Cartilage Protectors (SYSADOA): Glucosamine sulfate, Chondroitin sulfate, Diacerein
• Onset of Action: ออกฤทธิ์ช้า ต้องรับประทานต่อเนื่องอย่างน้อย 2-4 สัปดาห์ขึ้นไปจึงจะเริ่มเห็นผลบรรเทาปวด</t>
        </is>
      </c>
      <c r="K128" s="35" t="n"/>
      <c r="L128" s="35" t="inlineStr">
        <is>
          <t>Osteoarthritis</t>
        </is>
      </c>
      <c r="M128" s="35" t="inlineStr">
        <is>
          <t>Clinic</t>
        </is>
      </c>
      <c r="N128" s="35" t="inlineStr">
        <is>
          <t>ข้อ 56 Pharma Plus เล่มม่วง (เฉลยข้อ ก)</t>
        </is>
      </c>
      <c r="O128" s="35" t="inlineStr">
        <is>
          <t>Mock</t>
        </is>
      </c>
      <c r="P128" s="35" t="inlineStr">
        <is>
          <t>Pharma Plus เล่มม่วง</t>
        </is>
      </c>
    </row>
    <row r="129" ht="409.6" customHeight="1" s="37">
      <c r="A129" s="35" t="n">
        <v>127</v>
      </c>
      <c r="B129" s="35" t="inlineStr">
        <is>
          <t>สถานการณ์ที่ 14 นางฉันทนา อายุ 51 ปี ได้รับใบสั่งแพทย์ดังนี้ Raloxifene HCl 60 mg 60 1 tab OD, Calcium carbonate 1000 mg 60 1 tab OD สอบถามประวัตินางฉันทนา ทราบว่าก่อนหน้ามาพบแพทย์ ประจำเดือนมาไม่สม่ำเสมอนาน 1 ปี ครั้งสุดท้ายประจำเดือนขาดหายไป 6 เดือน คิดว่าน่าจะหมดประจำเดือน จึงมาพบแพทย์คลินิกวัยทองเพื่อตรวจร่างกาย จากการตรวจความหนาแน่นของกระดูก ค่า Z score อยู่ระหว่าง -2.0 SD ถึง -2.5 SD แพทย์จะให้ฮอร์โมนทดแทน แต่นางฉันทนาไม่อยากใช้ ขอใช้ยาอื่นที่ไม่ใช่ฮอร์โมน
เกี่ยวกับ raloxifene ข้อใดต่อไปนี้ไม่ถูกต้อง</t>
        </is>
      </c>
      <c r="C129" s="35" t="n"/>
      <c r="D129" s="35" t="inlineStr">
        <is>
          <t>Raloxifene จัดเป็นยากลุ่ม pure estrogen antagonist ชนิด 2nd generation</t>
        </is>
      </c>
      <c r="E129" s="35" t="inlineStr">
        <is>
          <t>Raloxifene มีฤทธิ์ estrogenic ที่กระดูก และเมแทบอลิซึมของไขมัน</t>
        </is>
      </c>
      <c r="F129" s="35" t="inlineStr">
        <is>
          <t>ฤทธิ์ antiestrogenic ของ raloxifene พบที่เต้านมและเยื่อบุโพรงมดลูก</t>
        </is>
      </c>
      <c r="G129" s="35" t="inlineStr">
        <is>
          <t>Tamoxifen มีฤทธิ์กระตุ้นการเจริญเติบโตของเยื่อบุโพรงมดลูกแตกต่างกับ raloxifene ที่ไม่มีฤทธิ์นี้</t>
        </is>
      </c>
      <c r="H129" s="35" t="inlineStr">
        <is>
          <t>ไม่ควรใช้ raloxifene ในสตรีที่ยังไม่หมดประจำเดือน</t>
        </is>
      </c>
      <c r="I129" s="35" t="n">
        <v>1</v>
      </c>
      <c r="J129" s="35" t="inlineStr">
        <is>
          <t>✅ คำตอบที่ถูกต้อง: ข้อ ก. Raloxifene จัดเป็นยากลุ่ม pure estrogen antagonist ชนิด 2nd generation
💡 Background:
Raloxifene จัดเป็นยากลุ่ม "Selective Estrogen Receptor Modulators (SERMs)" ชนิดที่ 2 (Second-generation SERM) ไม่ใช่ "Pure estrogen antagonist" คุณสมบัติเด่นของ SERMs คือการออกฤทธิ์เป็นทั้ง Agonist (กระตุ้น) หรือ Antagonist (ยับยั้ง) ตัวรับเอสโตรเจน โดยขึ้นอยู่กับชนิดของเนื้อเยื่อเป้าหมาย (Tissue-specific action):
1. ที่กระดูกและเมแทบอลิซึมของไขมัน: ออกฤทธิ์เป็น "Estrogen Agonist" ช่วยลดการสลายกระดูก เพิ่มมวลกระดูก และลดระดับคอเลสเตอรอลชนิด LDL
2. ที่เต้านมและเยื่อบุโพรงมดลูก: ออกฤทธิ์เป็น "Estrogen Antagonist" ช่วยยับยั้งการเจริญเติบโตของเซลล์ ลดความเสี่ยงต่อการเกิดมะเร็งเต้านม และไม่กระตุ้นให้เยื่อบุโพรงมดลูกหนาตัว (แตกต่างจาก Tamoxifen ที่กระตุ้นมดลูก)
🎯 ทำไมข้อนี้ถึงถูก:
ตัวเลือก ก. กล่าวผิด เนื่องจาก Raloxifene เป็น "SERM" (มีทั้งฤทธิ์ Agonist และ Antagonist ตามเนื้อเยื่อ) ไม่ใช่ "Pure estrogen antagonist" (ยาที่เป็น Pure antiestrogen แท้จริงคือ Fulvestrant)
🔍 ข้ออื่นผิดเพราะอะไร:
• ข้อ ข. (มีฤทธิ์ estrogenic ที่กระดูก และเมแทบอลิซึมของไขมัน): กล่าวถูกต้อง เป็นกลไกหลักที่ใช้รักษาโรคกระดูกพรุน
• ข้อ ค. (ฤทธิ์ antiestrogenic ของ raloxifene พบที่เต้านมและเยื่อบุโพรงมดลูก): กล่าวถูกต้อง จึงไม่เพิ่มความเสี่ยงมะเร็งเต้านมและมะเร็งมดลูก
• ข้อ ง. (Tamoxifen มีฤทธิ์กระตุ้นเยื่อบุโพรงมดลูกแตกต่างกับ raloxifene ที่ไม่มีฤทธิ์นี้): กล่าวถูกต้อง Tamoxifen มีฤทธิ์ partial agonist ที่มดลูกทำให้เสี่ยงต่อ Endometrial cancer แต่ Raloxifene ไม่มี
• ข้อ จ. (ไม่ควรใช้ raloxifene ในสตรีที่ยังไม่หมดประจำเดือน): กล่าวถูกต้อง ยามีข้อบ่งใช้เฉพาะในสตรีวัยหมดประจำเดือน (Postmenopausal women) เท่านั้น
📖 Guideline อ้างอิง:
2020 AACE/ACE Postmenopausal Osteoporosis Clinical Practice Guidelines &amp; Goodman &amp; Gilman's Pharmacological Basis of Therapeutics (14th Edition)
📌 จุดจำก่อนสอบ:
• Raloxifene Profile:
  - Class: 2nd generation SERM
  - Bone &amp; Lipids: Agonist (เพิ่ม BMD, ลดกระดูกสันหลังหัก, ลด LDL)
  - Breast &amp; Endometrium: Antagonist (ไม่เสี่ยงมะเร็งเต้านมและมะเร็งมดลูก)
  - Boxed Warning: เพิ่มความเสี่ยงหลอดเลือดดำอุดตัน (Venous Thromboembolism: VTE/DVT/PE) ห้ามใช้ในคนที่มีประวัติลิ่มเลือดอุดตัน</t>
        </is>
      </c>
      <c r="K129" s="35" t="n"/>
      <c r="L129" s="35" t="inlineStr">
        <is>
          <t>Osteoporosis</t>
        </is>
      </c>
      <c r="M129" s="35" t="inlineStr">
        <is>
          <t>Clinic</t>
        </is>
      </c>
      <c r="N129" s="35" t="inlineStr">
        <is>
          <t>ข้อ 57 Pharma Plus เล่มม่วง (เฉลยข้อ ก)</t>
        </is>
      </c>
      <c r="O129" s="35" t="inlineStr">
        <is>
          <t>Mock</t>
        </is>
      </c>
      <c r="P129" s="35" t="inlineStr">
        <is>
          <t>Pharma Plus เล่มม่วง</t>
        </is>
      </c>
    </row>
    <row r="130" ht="409.6" customHeight="1" s="37">
      <c r="A130" s="35" t="n">
        <v>128</v>
      </c>
      <c r="B130" s="35" t="inlineStr">
        <is>
          <t>ข้อใดต่อไปนี้ไม่ได้อธิบายกลไกการออกฤทธิ์ของ raloxifene ต่อกระดูก</t>
        </is>
      </c>
      <c r="C130" s="35" t="n"/>
      <c r="D130" s="35" t="inlineStr">
        <is>
          <t>Raloxifene มีกลไการออกฤทธิ์ต่อกระดูกคล้าย estrogen</t>
        </is>
      </c>
      <c r="E130" s="35" t="inlineStr">
        <is>
          <t>เข้าใจว่า raloxifene ออกฤทธิ์โดยเพิ่มการแสดงออกของยีน TGF-3 ซึ่งมีผลต่อจำนวนของเซลล์สลายกระดูก</t>
        </is>
      </c>
      <c r="F130" s="35" t="inlineStr">
        <is>
          <t>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t>
        </is>
      </c>
      <c r="G130" s="35" t="inlineStr">
        <is>
          <t>Raloxifene ออกฤทธิ์โดยการจับกับ estrogen receptor แล้วมีผลต่อการแสดงออกของยีน</t>
        </is>
      </c>
      <c r="H130" s="35" t="inlineStr">
        <is>
          <t>AP-1 pathway เป็น pathway หนึ่งที่ใช้อธิบายการออกฤทธิ์แบบ estrogen agonist ของ raloxifene</t>
        </is>
      </c>
      <c r="I130" s="35" t="n">
        <v>3</v>
      </c>
      <c r="J130" s="35" t="inlineStr">
        <is>
          <t>✅ คำตอบที่ถูกต้อง: ข้อ ค. 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
💡 Background:
กลไกการออกฤทธิ์ของ Raloxifene ต่อเนื้อเยื่อกระดูก เกิดจากการที่โมเลกุลยาจับกับตัวรับ Estrogen Receptor (ER-alpha และ ER-beta) ทำให้เกิดการเปลี่ยนแปลงโครงสร้าง นำไปสู่การกระตุ้นหรือยับยั้งการแสดงออกของยีนที่ตอบสนองต่อเอสโตรเจน (Estrogen response element: ERE) และผ่านวิถี AP-1 pathway ส่งผลกระตุ้นการสร้าง Transforming Growth Factor-beta 3 (TGF-beta3) ซึ่งเป็นไซโตไคน์ที่กระตุ้นการตายของเซลล์สลายกระดูก (Osteoclast apoptosis) และยับยั้งการสร้าง Osteoclast ใหม่
สำหรับกลไก "ยับยั้งเอนไซม์ใน Mevalonate pathway (ยับยั้ง Farnesyl Pyrophosphate Synthase / FPPS) ขัดขวางการสังเคราะห์ Isoprenoids และยับยั้ง Prenylation ของโปรตีน Small GTPase ใน Osteoclast" นั้น เป็นกลไกเฉพาะของ "ยากลุ่มไนโตรเจนบิสฟอสโฟเนต" (Nitrogen-containing Bisphosphonates เช่น Alendronate, Risedronate, Zoledronic acid) ไม่ใช่กลไกของ Raloxifene
🎯 ทำไมข้อนี้ถึงถูก:
ตัวเลือก ค. เป็นกลไกการออกฤทธิ์ของยากลุ่ม Bisphosphonates จึง "ไม่ได้อธิบายกลไกการออกฤทธิ์ของ Raloxifene"
🔍 ข้ออื่นผิดเพราะอะไร:
• ข้อ ก. (มีกลไกการออกฤทธิ์ต่อกระดูกคล้าย estrogen): กล่าวถูกต้อง ออกฤทธิ์เป็น Estrogen agonist ที่กระดูก
• ข้อ ข. (เพิ่มการแสดงออกของยีน TGF-beta3 ซึ่งมีผลต่อเซลล์สลายกระดูก): กล่าวถูกต้อง TGF-beta3 ยับยั้งและกระตุ้นการตายของ Osteoclast
• ข้อ ง. (จับกับ estrogen receptor แล้วมีผลต่อการแสดงออกของยีน): กล่าวถูกต้อง เป็นกลไกหลักของ SERMs
• ข้อ จ. (AP-1 pathway เป็น pathway หนึ่งที่ใช้อธิบายการออกฤทธิ์แบบ estrogen agonist): กล่าวถูกต้อง
📖 Guideline อ้างอิง:
Goodman &amp; Gilman's The Pharmacological Basis of Therapeutics (14th Edition) &amp; Molecular Mechanisms of SERMs in Bone Biology
📌 จุดจำก่อนสอบ:
• Mevalonate / FPPS Inhibition: เป็นกลไกจำเพาะของ "Nitrogen-containing Bisphosphonates" (Alendronate, Risedronate) ทำให้ Osteoclast ขาด Isoprenoid lipids จนเกิด Apoptosis
• Raloxifene Mechanism: จับกับ Estrogen Receptors -&gt; กระตุ้น TGF-beta3 -&gt; ยับยั้ง Osteoclast resorption</t>
        </is>
      </c>
      <c r="K130" s="35" t="n"/>
      <c r="L130" s="35" t="inlineStr">
        <is>
          <t>Osteoporosis</t>
        </is>
      </c>
      <c r="M130" s="35" t="inlineStr">
        <is>
          <t>Clinic</t>
        </is>
      </c>
      <c r="N130" s="35" t="inlineStr">
        <is>
          <t>ข้อ 58 Pharma Plus เล่มม่วง (เฉลยข้อ ข)</t>
        </is>
      </c>
      <c r="O130" s="35" t="inlineStr">
        <is>
          <t>Mock</t>
        </is>
      </c>
      <c r="P130" s="35" t="inlineStr">
        <is>
          <t>Pharma Plus เล่มม่วง</t>
        </is>
      </c>
    </row>
    <row r="131" ht="409.6" customHeight="1" s="37">
      <c r="A131" s="35" t="n">
        <v>129</v>
      </c>
      <c r="B131" s="35" t="inlineStr">
        <is>
          <t>ข้อใดต่อไปนี้ถูกต้อง</t>
        </is>
      </c>
      <c r="C131" s="35" t="n"/>
      <c r="D131" s="35" t="inlineStr">
        <is>
          <t>ข้อดีของ raloxifene เมื่อเปรียบเทียบกับการใช้ HRT คือ raloxifene ใช้ในคนไข้ที่มีประวัติเป็น/กำลังเป็นโรคหลอดเลือดอุดตันได้</t>
        </is>
      </c>
      <c r="E131" s="35" t="inlineStr">
        <is>
          <t>ฤทธิ์ข้างเคียงที่อาจพบได้จากการใช้ raloxifene คือ อาการร้อนวูบวาบ เป็นตะคริวที่ขา</t>
        </is>
      </c>
      <c r="F131" s="35" t="inlineStr">
        <is>
          <t>Raloxifene มีข้อบ่งใช้คือ ใช้ป้องกันและรักษาโรคกระดูกพรุนในผู้หญิงหมดประจำเดือนและโรคกระดูกพรุนจากการใช้ corticosteroids</t>
        </is>
      </c>
      <c r="G131" s="35" t="inlineStr">
        <is>
          <t>ให้รับประทาน raloxifene ตอนท้องว่าง เพื่อไม่ให้การดูดซึมถูกรบกวนจากอาหาร</t>
        </is>
      </c>
      <c r="H131" s="35" t="inlineStr">
        <is>
          <t>Raloxifene มีผลเพิ่ม BMD และลดอุบัติการณ์ของการเกิด vertebral &amp; hip fractures ได้อย่างชัดเจนคล้ายกับ estrogen</t>
        </is>
      </c>
      <c r="I131" s="35" t="n">
        <v>2</v>
      </c>
      <c r="J131" s="35" t="inlineStr">
        <is>
          <t>✅ คำตอบที่ถูกต้อง: ข้อ ข. ฤทธิ์ข้างเคียงที่อาจพบได้จากการใช้ raloxifene คือ อาการร้อนวูบวาบ เป็นตะคริวที่ขา
💡 Background:
อาการไม่พึงประสงค์ (ADRs) ที่พบบ่อยที่สุดของยา Raloxifene เกิดจากฤทธิ์ต้านเอสโตรเจนที่ระบบควบคุมอุณหภูมิในสมอง ได้แก่ "อาการร้อนวูบวาบ" (Hot flushes / Hot flashes พบได้ร้อยละ 10-25) และ "อาการตะคริวที่ขา" (Leg cramps / Muscle spasms) นอกจากนี้ ผลข้างเคียงที่ร้ายแรงที่สุดคือ การเพิ่มความเสี่ยงต่อการเกิดลิ่มเลือดอุดตันในหลอดเลือดดำ (Venous Thromboembolism: DVT และ Pulmonary Embolism) สูงขึ้นประมาณ 2-3 เท่า คล้ายกับการใช้ฮอร์โมนทดแทน (HRT) จึงเป็นข้อห้ามใช้อย่างเด็ดขาดในผู้ป่วยที่มีประวัติลิ่มเลือดอุดตัน
🎯 ทำไมข้อนี้ถึงถูก:
ตัวเลือก ข. กล่าวถูกต้อง อาการร้อนวูบวาบ (Hot flashes) และเป็นตะคริวที่ขา (Leg cramps) เป็นผลข้างเคียงเด่นที่พบได้บ่อยที่สุดของ Raloxifene
🔍 ข้ออื่นผิดเพราะอะไร:
• ข้อ ก. (ใช้ในคนไข้ที่มีประวัติโรคหลอดเลือดอุดตันได้): ผิดอย่างยิ่ง ประวัติ VTE/DVT/PE เป็นข้อห้ามใช้เด็ดขาด (Contraindicated) ของ Raloxifene
• ข้อ ค. (ใช้ป้องกันกระดูกพรุนจาก corticosteroids): ผิด Raloxifene ไม่มีข้อบ่งใช้สำหรับ Glucocorticoid-induced osteoporosis (GIOP) ข้อบ่งใช้หลักคือ Postmenopausal osteoporosis เท่านั้น
• ข้อ ง. (ให้รับประทานตอนท้องว่าง): ผิด Raloxifene สามารถรับประทานพร้อมอาหารหรือตอนท้องว่างก็ได้ อาหารไม่มีผลต่อการดูดซึมยาอย่างมีนัยสำคัญ
• ข้อ จ. (ลดอุบัติการณ์ของ hip fractures ได้อย่างชัดเจนคล้ายกับ estrogen): ผิด Raloxifene ได้รับการพิสูจน์ว่าลดเฉพาะการเกิด "กระดูกสันหลังหัก" (Vertebral fracture) เท่านั้น แต่ "ไม่ลดกระดูกสะโพกหัก" (Non-vertebral / Hip fracture) อย่างมีนัยสำคัญ
📖 Guideline อ้างอิง:
2020 AACE/ACE Postmenopausal Osteoporosis Clinical Practice Guidelines &amp; US FDA Prescribing Information for Evista (Raloxifene HCl)
📌 จุดจำก่อนสอบ:
• Raloxifene Pearls:
  - Common ADRs: Hot flashes (ร้อนวูบวาบ) + Leg cramps (ตะคริวที่ขา)
  - Black Box Warning: เพิ่มความเสี่ยง Venous Thromboembolism (VTE) และ Fatal stroke
  - Fracture Efficacy: ลดเฉพาะ "Vertebral fracture" (ไม่ลด Hip fracture) ต่างจาก Bisphosphonates และ Denosumab ที่ลดได้ทั้งคู่</t>
        </is>
      </c>
      <c r="K131" s="35" t="n"/>
      <c r="L131" s="35" t="inlineStr">
        <is>
          <t>Osteoporosis</t>
        </is>
      </c>
      <c r="M131" s="35" t="inlineStr">
        <is>
          <t>Clinic</t>
        </is>
      </c>
      <c r="N131" s="35" t="inlineStr">
        <is>
          <t>ข้อ 59 Pharma Plus เล่มม่วง (เฉลยข้อ ข)</t>
        </is>
      </c>
      <c r="O131" s="35" t="inlineStr">
        <is>
          <t>Mock</t>
        </is>
      </c>
      <c r="P131" s="35" t="inlineStr">
        <is>
          <t>Pharma Plus เล่มม่วง</t>
        </is>
      </c>
    </row>
    <row r="132" ht="409.6" customHeight="1" s="37">
      <c r="A132" s="35" t="n">
        <v>130</v>
      </c>
      <c r="B132" s="35" t="inlineStr">
        <is>
          <t>นางฉันทนา กลับไปพบแพทย์เพราะรำคาญฤทธิ์ข้างเคียงที่เกิดจาก raloxifene แพทย์จึงเปลี่ยนยาให้ใหม่เป็น
Alendronate 10 mg 30 1 tab OD
Calcium carbonate 1000 mg 30 1 tab OD
ก่อนจ่ายนี้ให้แก่นางฉันทนา ท่านควรให้คำแนะนำการใช้ยา ข้อใดที่ไม่ถูกต้อง</t>
        </is>
      </c>
      <c r="C132" s="35" t="n"/>
      <c r="D132" s="35" t="inlineStr">
        <is>
          <t>ให้รับประทาน alendronate ตอนท้องว่าง เช่น ตื่นนอนตอนเช้ายังไม่ได้ทาน/ดื่ม อะไร หรือ สองชั่วโมงก่อนหรือหลังรับประทานอาหาร</t>
        </is>
      </c>
      <c r="E132" s="35" t="inlineStr">
        <is>
          <t>รับประทานกับน้ำเปล่าเท่านั้น ห้ามรับประทานร่วมกับผลไม้ นม หรือ เครื่องดื่ม ใดๆนอกจากน้ำเปล่า</t>
        </is>
      </c>
      <c r="F132" s="35" t="inlineStr">
        <is>
          <t>ไม่เอนตัวหรือนอนขณะรับประทานยา หรือหลังรับประทานยาไม่เกิน 30 นาที</t>
        </is>
      </c>
      <c r="G132" s="35" t="inlineStr">
        <is>
          <t>ให้รับประทาน alendronate และยาเม็ดแคลเซียมพร้อม ๆ กัน</t>
        </is>
      </c>
      <c r="H132" s="35" t="inlineStr">
        <is>
          <t>ถ้ามีอาการกลืนอาหารลำบาก ปวดท้อง ให้กลับไปพบแพทย์</t>
        </is>
      </c>
      <c r="I132" s="35" t="n">
        <v>4</v>
      </c>
      <c r="J132" s="35" t="inlineStr">
        <is>
          <t>✅ คำตอบที่ถูกต้อง: ข้อ ง. ให้รับประทาน alendronate และยาเม็ดแคลเซียมพร้อม ๆ กัน
💡 Background:
ยาในกลุ่ม Oral Bisphosphonates เช่น Alendronate มีคุณสมบัติชีวประสิทธิผลของการกินต่ำมาก (Oral bioavailability &lt; 0.6 - 1%) และโครงสร้างโมเลกุลมีความสามารถในการจับกับไอออนโลหะประจุบวกสองและสาม (Divalent &amp; Trivalent cations เช่น Ca2+, Mg2+, Fe2+, Al3+) เกิดเป็นสารประกอบเชิงซ้อนคีเลตที่ไม่ละลายน้ำ (Chelation complex) หากรับประทาน Alendronate ร่วมกับยาเม็ดแคลเซียม (Calcium carbonate) หรืออาหาร จะทำให้การดูดซึมของ Alendronate ลดลงจนเกือบเป็นศูนย์และไม่เกิดผลในการรักษา จึงต้องรับประทานแยกห่างจากยาเม็ดแคลเซียม ยาลดกรด นม หรืออาหารอย่างน้อย 30-60 นาที (แนะนำให้ทาน Alendronate ตอนตื่นนอนตอนเช้า และทาน Calcium หลังอาหารมื้ออื่น)
🎯 ทำไมข้อนี้ถึงถูก:
ตัวเลือก ง. เป็นคำแนะนำที่ "ไม่ถูกต้อง" อย่างยิ่ง เพราะแคลเซียมจะจับกับ Alendronate ทำให้ยาไม่ดูดซึม
🔍 ข้ออื่นผิดเพราะอะไร:
• ข้อ ก. (รับประทานตอนท้องว่างหลังตื่นนอน): เป็นคำแนะนำที่ถูกต้องที่สุด เพื่อให้ยาดูดซึมได้ดี
• ข้อ ข. (รับประทานกับน้ำเปล่าเท่านั้น ห้ามทานร่วมกับน้ำผลไม้ นม เครื่องดื่มอื่น): เป็นคำแนะนำที่ถูกต้อง เครื่องดื่มอื่นรบกวนการดูดซึมยา
• ข้อ ค. (ไม่เอนตัวหรือนอนราบขณะและหลังรับประทานยาอย่างน้อย 30 นาที): เป็นคำแนะนำที่ถูกต้อง เพื่อป้องกันยาไหลย้อนกลับมาระคายเคืองและกัดหลอดอาหาร (Prevent Pill-induced Esophagitis)
• ข้อ จ. (ถ้ามีอาการกลืนลำบาก ปวดแสบยอดอก ให้กลับไปพบแพทย์): เป็นคำแนะนำที่ถูกต้อง เพื่อประเมินภาวะหลอดอาหารอักเสบหรือเป็นแผล
📖 Guideline อ้างอิง:
2020 AACE/ACE Postmenopausal Osteoporosis Clinical Practice Guidelines &amp; National Osteoporosis Foundation (NOF) Clinician's Guide
📌 จุดจำก่อนสอบ:
• Oral Bisphosphonate Administration Rules (ท่องให้ขึ้นใจ):
  1. ทานตอนตื่นนอนเช้า ท้องว่างสุดๆ
  2. ดื่มน้ำเปล่าเต็มแก้ว (200-250 mL) ห้ามใช้น้ำแร่/นม/ชา/กาแฟ
  3. ลำตัวตั้งตรง (นั่งหรือยืน) ห้ามนอนราบอย่างน้อย 30 นาที (หรือ 60 นาทีสำหรับ Ibandronate)
  4. รออย่างน้อย 30-60 นาทีก่อนรับประทานอาหาร ยาอื่น หรือแคลเซียม</t>
        </is>
      </c>
      <c r="K132" s="35" t="n"/>
      <c r="L132" s="35" t="inlineStr">
        <is>
          <t>Osteoporosis</t>
        </is>
      </c>
      <c r="M132" s="35" t="inlineStr">
        <is>
          <t>Clinic</t>
        </is>
      </c>
      <c r="N132" s="35" t="inlineStr">
        <is>
          <t>ข้อ 60 Pharma Plus เล่มม่วง (เฉลยข้อ ง)</t>
        </is>
      </c>
      <c r="O132" s="35" t="inlineStr">
        <is>
          <t>Mock</t>
        </is>
      </c>
      <c r="P132" s="35" t="inlineStr">
        <is>
          <t>Pharma Plus เล่มม่วง</t>
        </is>
      </c>
    </row>
    <row r="133" ht="409.6" customHeight="1" s="37">
      <c r="A133" s="35" t="n">
        <v>131</v>
      </c>
      <c r="B133" s="35" t="inlineStr">
        <is>
          <t>ข้อใดต่อไปนี้ไม่ถูกต้อง</t>
        </is>
      </c>
      <c r="C133" s="35" t="n"/>
      <c r="D133" s="35" t="inlineStr">
        <is>
          <t>Alendronate จัดเป็นกลุ่มยาในกลุ่ม 2nd generation bisphosphonates ที่มีความแรงน้อยกว่า risedronate ซึ่งเป็น 3rd generation bisphosphonates</t>
        </is>
      </c>
      <c r="E133" s="35" t="inlineStr">
        <is>
          <t>ในรายที่มี severe osteoporosis เมื่อใช้ HRT แล้ว BMD เพิ่มขึ้นน้อยมาก อาจให้ร่วมกับ bisphosphonates ตัวใดตัวหนึ่ง จะช่วยเพิ่ม BMD เพิ่มมากขึ้น</t>
        </is>
      </c>
      <c r="F133" s="35" t="inlineStr">
        <is>
          <t>ยาในกลุ่ม bisphosphonates ที่มีข้อบ่งใช้ในการป้องกันและรักษา osteoporosis ปัจจุบันที่ใช้อยู่มี 2 ตัว คือ alendronate และ risedronate</t>
        </is>
      </c>
      <c r="G133" s="35" t="inlineStr">
        <is>
          <t>การเพิ่มขนาดของยา alendronate และลดความถี่ของการรับประทาน เช่น ให้alendronate 70 mg ทานสัปดาห์ละ 1 ครั้ง อาจลดอุบัติการณ์ของการเกิด esophagitis ได้</t>
        </is>
      </c>
      <c r="H133" s="35" t="inlineStr">
        <is>
          <t>bisphosphonates มีกลไกการออกฤทธิ์คล้ายกับ estrogen คือ เพิ่ม apoptosis ของ Osteoclast โดยการเพิ่ม transcription ของ TGF-β3</t>
        </is>
      </c>
      <c r="I133" s="35" t="n">
        <v>5</v>
      </c>
      <c r="J133" s="35" t="inlineStr">
        <is>
          <t>✅ คำตอบที่ถูกต้อง: ข้อ จ. bisphosphonates มีกลไกการออกฤทธิ์คล้ายกับ estrogen คือ เพิ่ม apoptosis ของ Osteoclast โดยการเพิ่ม transcription ของ TGF-β3
💡 Background:
กลไกการออกฤทธิ์ของยากลุ่มไนโตรเจนบิสฟอสโฟเนต (Nitrogen-containing Bisphosphonates เช่น Alendronate, Risedronate) คือการจับกับไฮดรอกซีแอปาไทต์ในกระดูก และเมื่อเซลล์ Osteoclast กลืนกินกระดูกเข้าไป ตัวยาจะไป "ยับยั้งเอนไซม์ Farnesyl Pyrophosphate Synthase (FPPS)" ใน Mevalonate pathway ขัดขวางกระบวนการ Prenylation ของโปรตีน Small GTPase (เช่น Rho, Rac, Cdc42) ส่งผลให้ Osteoclast สูญเสียโครงสร้างขอบหยัก (Loss of ruffled border) ไม่สามารถสลายกระดูกได้และเกิด Apoptosis ในที่สุด
ส่วนการกระตุ้นการตายของ Osteoclast โดยการเพิ่มการถอดรหัสของยีน TGF-beta3 นั้น เป็นกลไกเฉพาะของ "Estrogen และ SERMs (Raloxifene)" ไม่ใช่กลไกของ Bisphosphonates
🎯 ทำไมข้อนี้ถึงถูก:
ตัวเลือก จ. เป็นข้อความที่ "ไม่ถูกต้อง" เนื่องจากนำกลไกของ Estrogen/Raloxifene (TGF-beta3) มาอธิบาย Bisphosphonates ซึ่งผิดหลักเภสัชวิทยา (กลไกจริงของ Bisphosphonates คือการยับยั้ง FPPS)
🔍 ข้ออื่นผิดเพราะอะไร:
• ข้อ ก. (Alendronate เป็น 2nd gen มีความแรงน้อยกว่า Risedronate ซึ่งเป็น 3rd gen): ข้อความนี้ถูกต้องตามการจัดกลุ่มความแรง (Relative anti-resorptive potency: Risedronate มีความแรงมากกว่า Alendronate ประมาณ 5-10 เท่า)
• ข้อ ข. (ใน Severe osteoporosis อาจพิจารณาการรักษาเสริมเพื่อเพิ่ม BMD): ถูกต้อง
• ข้อ ค. (Alendronate และ Risedronate เป็นยามาตรฐานรับประทาน): ถูกต้อง
• ข้อ ง. (การให้ขนาด 70 mg สัปดาห์ละครั้ง ช่วยลดการเกิด esophagitis ได้): ถูกต้อง การบริหารยาสัปดาห์ละครั้งแทนวันละครั้งช่วยลดความถี่ในการสัมผัสเยื่อบุหลอดอาหาร จึงลดความเสี่ยงต่อการเกิดแผลหลอดอาหารได้ดีกว่า
📖 Guideline อ้างอิง:
Goodman &amp; Gilman's The Pharmacological Basis of Therapeutics (14th Edition) &amp; 2020 AACE/ACE Postmenopausal Osteoporosis Clinical Practice Guidelines
📌 จุดจำก่อนสอบ:
• Bisphosphonate Generations &amp; Mechanism:
  - 1st Gen (Non-nitrogen: Etidronate) -&gt; สร้าง ATP analog ที่เป็นพิษต่อเซลล์
  - 2nd &amp; 3rd Gen (Nitrogen-containing: Alendronate, Risedronate, Zoledronic acid) -&gt; ยับยั้งเอนไซม์ Farnesyl Pyrophosphate Synthase (FPPS)
• Estrogen/Raloxifene Mechanism: จับ Estrogen Receptor -&gt; เพิ่ม TGF-beta3 transcription</t>
        </is>
      </c>
      <c r="K133" s="35" t="n"/>
      <c r="L133" s="35" t="inlineStr">
        <is>
          <t>Osteoporosis</t>
        </is>
      </c>
      <c r="M133" s="35" t="inlineStr">
        <is>
          <t>Clinic</t>
        </is>
      </c>
      <c r="N133" s="35" t="inlineStr">
        <is>
          <t>ข้อ 61 Pharma Plus เล่มม่วง (เฉลยข้อ ก)</t>
        </is>
      </c>
      <c r="O133" s="35" t="inlineStr">
        <is>
          <t>Mock</t>
        </is>
      </c>
      <c r="P133" s="35" t="inlineStr">
        <is>
          <t>Pharma Plus เล่มม่วง</t>
        </is>
      </c>
    </row>
    <row r="134" ht="409.6" customHeight="1" s="37">
      <c r="A134" s="35" t="n">
        <v>132</v>
      </c>
      <c r="B134"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ยาใดเหมาะสมที่สุดในการบรรเทาปวดเบื้องต้นสำหรับผู้ป่วยรายนี้?</t>
        </is>
      </c>
      <c r="C134" s="35" t="n"/>
      <c r="D134" s="35" t="inlineStr">
        <is>
          <t>Ibuprofen</t>
        </is>
      </c>
      <c r="E134" s="35" t="inlineStr">
        <is>
          <t>Diclofenac</t>
        </is>
      </c>
      <c r="F134" s="35" t="inlineStr">
        <is>
          <t>Celecoxib</t>
        </is>
      </c>
      <c r="G134" s="35" t="inlineStr">
        <is>
          <t>Tolperisone</t>
        </is>
      </c>
      <c r="H134" s="35" t="inlineStr">
        <is>
          <t>Naproxen</t>
        </is>
      </c>
      <c r="I134" s="35" t="n">
        <v>4</v>
      </c>
      <c r="J134" s="35" t="inlineStr">
        <is>
          <t>✅ คำตอบที่ถูกต้อง: ข้อ ง. Tolperisone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ผู้ป่วยเพิ่งมีประวัติ ACS เมื่อ 2 เดือนก่อน และได้รับยาต้านเกล็ดเลือดคู่ (DAPT: Aspirin + Ticagrelor) การใช้ NSAIDs (รวม COX-2 inhibitors) ถือเป็นข้อห้ามอย่างยิ่ง (Contraindicated) เพราะเพิ่มความเสี่ยงต่อ recurrent MI และการตกเลือดทางเดินอาหารอย่างรุนแรง การใช้ Tolperisone ซึ่งเป็นยาคลายกล้ามเนื้อ (Centrally acting muscle relaxant) จึงปลอดภัยและตรงกับพยาธิสภาพของ Myofascial Pain และจุดกดเจ็บ (Trigger Point)
🔍 ข้ออื่นผิดเพราะอะไร:
• ข้อ ก. (Ibuprofen): Ibuprofen เป็น Non-selective NSAID ที่รบกวนการจับเกล็ดเลือดของ Aspirin ทำให้สูญเสียฤทธิ์การป้องกันโรคหัวใจและหลอดเลือด
• ข้อ ข. (Diclofenac): Diclofenac มีความเสี่ยงในการเกิดลิ่มเลือดอุดตันและกล้ามเนื้อหัวใจขาดเลือดสูง ไม่ควรพิจารณาในผู้ป่วยที่มีประวัติ ACS เมื่อ 2 เดือนก่อน
• ข้อ ค. (Celecoxib): Celecoxib เป็น Selective COX-2 inhibitor ที่มีผลเพิ่ม Thromboxane A2 ทำให้เสี่ยงต่อ Thrombosis สูง จึงมีข้อห้ามใช้เด็ดขาดในผู้ป่วยโรคหัวใจขาดเลือดเฉียบพลัน
• ข้อ จ. (Naproxen): Naproxen แม้จะเป็น NSAID ที่มีความเสี่ยงต่อระบบหัวใจต่ำที่สุด แต่การใช้ร่วมกับ Aspirin และ Ticagrelor จะไปเสริมความเสี่ยงการเกิดแผลและเลือดออกในระบบทางเดินอาหารอย่างรุนแรง
📖 Guideline อ้างอิง:
2023 AHA/ACC Clinical Practice Guideline for the Management of Patients with Chronic Coronary Disease &amp; 2021 ACC/AHA Guideline for Coronary Artery Revascularization
📌 จุดจำก่อนสอบ:
• ACS + DAPT with Myofascial Pain: หลีกเลี่ยง NSAIDs และ COX-2 inhibitors ทุกชนิดเพราะเพิ่มอัตราการเกิด recurrent MI และ Major bleeding การใช้ยาคลายกล้ามเนื้อ (Centrally acting muscle relaxants เช่น Tolperisone) ร่วมกับ Paracetamol ปลอดภัยที่สุด</t>
        </is>
      </c>
      <c r="K134" s="35" t="n"/>
      <c r="L134" s="35" t="inlineStr">
        <is>
          <t>Myofascial Pain Syndrome</t>
        </is>
      </c>
      <c r="M134" s="35" t="inlineStr">
        <is>
          <t>Clinic</t>
        </is>
      </c>
      <c r="N134" s="35" t="inlineStr">
        <is>
          <t>ข้อ 1 Mock Musculo RxCU84</t>
        </is>
      </c>
      <c r="O134" s="35" t="inlineStr">
        <is>
          <t>Mock</t>
        </is>
      </c>
      <c r="P134" s="35" t="inlineStr">
        <is>
          <t>Mock RxCU84</t>
        </is>
      </c>
    </row>
    <row r="135" ht="409.6" customHeight="1" s="37">
      <c r="A135" s="35" t="n">
        <v>133</v>
      </c>
      <c r="B135"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หากผู้ป่วยแอบไปซื้อยา Ibuprofen มากินเอง จะเกิดปฏิกิริยาระหว่างยา (Drug Interaction) กับยาใดของผู้ป่วยที่รุนแรงที่สุด?</t>
        </is>
      </c>
      <c r="C135" s="35" t="n"/>
      <c r="D135" s="35" t="inlineStr">
        <is>
          <t>Aspirin</t>
        </is>
      </c>
      <c r="E135" s="35" t="inlineStr">
        <is>
          <t>Candesartan</t>
        </is>
      </c>
      <c r="F135" s="35" t="inlineStr">
        <is>
          <t>HCTZ</t>
        </is>
      </c>
      <c r="G135" s="35" t="inlineStr">
        <is>
          <t>Atorvastatin</t>
        </is>
      </c>
      <c r="H135" s="35" t="inlineStr">
        <is>
          <t>Ticagrelor</t>
        </is>
      </c>
      <c r="I135" s="35" t="n">
        <v>1</v>
      </c>
      <c r="J135" s="35" t="inlineStr">
        <is>
          <t>✅ คำตอบที่ถูกต้อง: ข้อ ก.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เป็น reversible COX-1 inhibitor ที่มี competitive binding แย่งจับกับช่องทางเดินของเอนไซม์ COX-1 ทำให้ขัดขวางไม่ให้ Aspirin เข้าไป acetylate ซีรีนที่ตำแหน่ง 529 ได้อย่างถาวร ส่งผลให้ฤทธิ์ต้านเกล็ดเลือดของ Aspirin หายไป และเพิ่มความเสี่ยงต่อการเกิดลิ่มเลือดอุดตันในหลอดเลือดหัวใจ (Thrombotic events)
🔍 ข้ออื่นผิดเพราะอะไร:
• ข้อ ข. (Candesartan): Candesartan อาจถูกลดทอนประสิทธิภาพจากการคั่งของของเหลวเมื่อใช้ร่วมกับ NSAIDs แต่ยังไม่ถือเป็นอันตรกิริยาที่อันตรายเฉียบพลันหรือรุนแรงที่สุด
• ข้อ ค. (HCTZ): HCTZ อาจมีฤทธิ์ขับปัสสาวะและลดความดันโลหิตลดลงเมื่อใช้ร่วมกับ NSAIDs แต่ไม่ใช่ปฏิกิริยาที่อันตรายที่สุดในผู้ป่วยรายนี้
• ข้อ ง. (Atorvastatin): Atorvastatin ไม่มีอันตรกิริยาทางเภสัชจลนศาสตร์หรือเภสัชพลศาสตร์ที่มีนัยสำคัญทางคลินิกเมื่อใช้ร่วมกับ Ibuprofen
• ข้อ จ. (Ticagrelor): Ticagrelor เป็น P2Y12 inhibitor ซึ่งไม่ได้ถูกแข่งขันการออกฤทธิ์โดย Ibuprofen โดยตรงเหมือนที่เกิดกับ Aspirin
📖 Guideline อ้างอิง:
2023 AHA/ACC Clinical Practice Guideline for the Management of Patients with Chronic Coronary Disease &amp; 2021 ACC/AHA Guideline for Coronary Artery Revascularization
📌 จุดจำก่อนสอบ:
• Aspirin + Ibuprofen Interaction: Ibuprofen ขัดขวางการเข้าจับแบบ irreversible acetylation ของ Aspirin ที่ตำแหน่ง Ser529 ของ COX-1 ทำให้ฤทธิ์ cardioprotective หายไป จึงห้ามใช้ร่วมกัน</t>
        </is>
      </c>
      <c r="K135" s="35" t="n"/>
      <c r="L135" s="35" t="inlineStr">
        <is>
          <t>Myofascial Pain Syndrome</t>
        </is>
      </c>
      <c r="M135" s="35" t="inlineStr">
        <is>
          <t>Clinic</t>
        </is>
      </c>
      <c r="N135" s="35" t="inlineStr">
        <is>
          <t>ข้อ 2 Mock Musculo RxCU84</t>
        </is>
      </c>
      <c r="O135" s="35" t="inlineStr">
        <is>
          <t>Mock</t>
        </is>
      </c>
      <c r="P135" s="35" t="inlineStr">
        <is>
          <t>Mock RxCU84</t>
        </is>
      </c>
    </row>
    <row r="136" ht="409.6" customHeight="1" s="37">
      <c r="A136" s="35" t="n">
        <v>134</v>
      </c>
      <c r="B136"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ยาความดันตัวใดของผู้ป่วยที่อาจทำให้เกิดระดับกรดยูริกสูงขึ้นได้?</t>
        </is>
      </c>
      <c r="C136" s="35" t="n"/>
      <c r="D136" s="35" t="inlineStr">
        <is>
          <t>Aspirin</t>
        </is>
      </c>
      <c r="E136" s="35" t="inlineStr">
        <is>
          <t>Ticagrelor</t>
        </is>
      </c>
      <c r="F136" s="35" t="inlineStr">
        <is>
          <t>Candesartan</t>
        </is>
      </c>
      <c r="G136" s="35" t="inlineStr">
        <is>
          <t>HCTZ</t>
        </is>
      </c>
      <c r="H136" s="35" t="inlineStr">
        <is>
          <t>Atorvastatin</t>
        </is>
      </c>
      <c r="I136" s="35" t="n">
        <v>4</v>
      </c>
      <c r="J136" s="35" t="inlineStr">
        <is>
          <t>✅ คำตอบที่ถูกต้อง: ข้อ ง. HCTZ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Hydrochlorothiazide (HCTZ) เป็นยาขับปัสสาวะกลุ่ม Thiazide ที่ยับยั้งการขับกรดยูริกที่ท่อไตส่วนต้น (decreased uric acid excretion) ทำให้ระดับ serum uric acid ในเลือดสูงขึ้น (Hyperuricemia) จึงเสี่ยงกระตุ้นให้เกิดโรคเกาต์ได้
🔍 ข้ออื่นผิดเพราะอะไร:
• ข้อ ก. (Aspirin): Aspirin ขนาดต่ำลดการขับกรดยูริกได้จริง แต่โจทย์ถามถึงยาความดันโลหิต ซึ่ง Aspirin เป็นยาต้านเกล็ดเลือด
• ข้อ ข. (Ticagrelor): Ticagrelor เป็นยาต้านเกล็ดเลือดกลุ่ม P2Y12 inhibitor ไม่มีกลไกเกี่ยวข้องกับการดูดกลับหรือหลั่งกรดยูริกที่ท่อไต
• ข้อ ค. (Candesartan): Candesartan เป็น ARB ที่ไม่ได้มีผลเพิ่มกรดยูริก ต่างจาก Losartan ที่มีฤทธิ์ Uricosuric ช่วยขับกรดยูริกได้เล็กน้อย
• ข้อ จ. (Atorvastatin): Atorvastatin เป็นยาลดไขมันกลุ่ม Statin ไม่มีผลกระทบต่อระดับกรดยูริกในกระแสเลือด
📖 Guideline อ้างอิง:
2023 AHA/ACC Clinical Practice Guideline for the Management of Patients with Chronic Coronary Disease &amp; 2021 ACC/AHA Guideline for Coronary Artery Revascularization
📌 จุดจำก่อนสอบ:
• Thiazide &amp; Hyperuricemia: HCTZ ยับยั้งการหลั่งกรดยูริกที่ท่อไตส่วนต้น และเพิ่มการดูดกลับกรดยูริก ทำให้เกิด Hyperuricemia และเสี่ยงกระตุ้นข้ออักเสบเกาต์</t>
        </is>
      </c>
      <c r="K136" s="35" t="n"/>
      <c r="L136" s="35" t="inlineStr">
        <is>
          <t>Myofascial Pain Syndrome</t>
        </is>
      </c>
      <c r="M136" s="35" t="inlineStr">
        <is>
          <t>Clinic</t>
        </is>
      </c>
      <c r="N136" s="35" t="inlineStr">
        <is>
          <t>ข้อ 3 Mock Musculo RxCU84</t>
        </is>
      </c>
      <c r="O136" s="35" t="inlineStr">
        <is>
          <t>Mock</t>
        </is>
      </c>
      <c r="P136" s="35" t="inlineStr">
        <is>
          <t>Mock RxCU84</t>
        </is>
      </c>
    </row>
    <row r="137" ht="409.6" customHeight="1" s="37">
      <c r="A137" s="35" t="n">
        <v>135</v>
      </c>
      <c r="B137"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การรักษาแบบ Non-pharmacological ใดที่ตรงกับพยาธิสภาพของ Trigger point มากที่สุด?</t>
        </is>
      </c>
      <c r="C137" s="35" t="n"/>
      <c r="D137" s="35" t="inlineStr">
        <is>
          <t>การฝังเข็ม</t>
        </is>
      </c>
      <c r="E137" s="35" t="inlineStr">
        <is>
          <t>การประคบเย็น</t>
        </is>
      </c>
      <c r="F137" s="35" t="inlineStr">
        <is>
          <t>การยกของหนัก</t>
        </is>
      </c>
      <c r="G137" s="35" t="inlineStr">
        <is>
          <t>การลดน้ำหนัก</t>
        </is>
      </c>
      <c r="H137" s="35" t="inlineStr">
        <is>
          <t>การใช้ไม้เท้า</t>
        </is>
      </c>
      <c r="I137" s="35" t="n">
        <v>1</v>
      </c>
      <c r="J137" s="35" t="inlineStr">
        <is>
          <t>✅ คำตอบที่ถูกต้อง: ข้อ ก. การฝังเข็ม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พยาธิสภาพของ Myofascial Pain Syndrome เกิดจากปมกล้ามเนื้อหดเกร็งถาวร (Taut band / Trigger Point) การรักษาแบบไม่ใช้ยาที่ตรงกับพยาธิสภาพมากที่สุดคือการทำ Dry needling หรือการฝังเข็ม (Acupuncture) เพื่อกระตุ้นให้เกิด local twitch response และคลายการหดเกร็งของกล้ามเนื้อ
🔍 ข้ออื่นผิดเพราะอะไร:
• ข้อ ข. (การประคบเย็น): การประคบเย็น ทำให้หลอดเลือดหดตัวและกล้ามเนื้อหดเกร็งเพิ่มขึ้น ไม่เหมาะกับ Trigger point ซึ่งควรใช้การประคบร้อนเพื่อเพิ่มการไหลเวียนเลือดคลายกล้ามเนื้อ
• ข้อ ค. (การยกของหนัก): การยกของหนัก เป็นปัจจัยกระตุ้นให้กล้ามเนื้อเกิดการบาดเจ็บซ้ำและทำให้ Myofascial Pain Syndrome รุนแรงขึ้น
• ข้อ ง. (การลดน้ำหนัก): การลดน้ำหนัก ช่วยลดแรงกระแทกในผู้ป่วยข้อเข่าเสื่อมหรือตามข้อรับน้ำหนัก ไม่ได้แก้ไขพยาธิสภาพของ Trigger point บริเวณบ่าและคอ
• ข้อ จ. (การใช้ไม้เท้า): การใช้ไม้เท้า เป็นอุปกรณ์ช่วยเดินเพื่อลดแรงกดทับที่ข้อต่อขา เหมาะกับโรคข้อเข่าเสื่อม ไม่เกี่ยวข้องกับกล้ามเนื้อบ่าคอตึง
📖 Guideline อ้างอิง:
2023 AHA/ACC Clinical Practice Guideline for the Management of Patients with Chronic Coronary Disease &amp; 2021 ACC/AHA Guideline for Coronary Artery Revascularization
📌 จุดจำก่อนสอบ:
• Myofascial Trigger Point Non-pharm: หัวใจของการรักษา Trigger point คือการทำลายหรือคลาย Taut band โดยตรง การทำ Dry needling หรือการฝังเข็ม (Acupuncture) ช่วยกระตุ้น Local twitch response ทำให้กล้ามเนื้อคลายตัวได้ดีที่สุด</t>
        </is>
      </c>
      <c r="K137" s="35" t="n"/>
      <c r="L137" s="35" t="inlineStr">
        <is>
          <t>Myofascial Pain Syndrome</t>
        </is>
      </c>
      <c r="M137" s="35" t="inlineStr">
        <is>
          <t>Clinic</t>
        </is>
      </c>
      <c r="N137" s="35" t="inlineStr">
        <is>
          <t>ข้อ 4 Mock Musculo RxCU84</t>
        </is>
      </c>
      <c r="O137" s="35" t="inlineStr">
        <is>
          <t>Mock</t>
        </is>
      </c>
      <c r="P137" s="35" t="inlineStr">
        <is>
          <t>Mock RxCU84</t>
        </is>
      </c>
    </row>
    <row r="138" ht="409.6" customHeight="1" s="37">
      <c r="A138" s="35" t="n">
        <v>136</v>
      </c>
      <c r="B138"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หากจำเป็นต้องใช้ NSAIDs จริงๆ ในผู้ป่วย CV risk สูง ยาตัวใดมีข้อมูลปลอดภัยด้าน CV (แต่ GI risk สูง) ที่สุด?</t>
        </is>
      </c>
      <c r="C138" s="35" t="n"/>
      <c r="D138" s="35" t="inlineStr">
        <is>
          <t>Celecoxib</t>
        </is>
      </c>
      <c r="E138" s="35" t="inlineStr">
        <is>
          <t>Diclofenac</t>
        </is>
      </c>
      <c r="F138" s="35" t="inlineStr">
        <is>
          <t>Naproxen</t>
        </is>
      </c>
      <c r="G138" s="35" t="inlineStr">
        <is>
          <t>Meloxicam</t>
        </is>
      </c>
      <c r="H138" s="35" t="inlineStr">
        <is>
          <t>Etoricoxib</t>
        </is>
      </c>
      <c r="I138" s="35" t="n">
        <v>3</v>
      </c>
      <c r="J138" s="35" t="inlineStr">
        <is>
          <t>✅ คำตอบที่ถูกต้อง: ข้อ ค. Naproxen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ตามข้อมูลการศึกษาทางคลินิก (เช่น MEDAL study, FDA/EMA warnings) หากจำเป็นต้องใช้ NSAIDs ในผู้ป่วยที่มีความเสี่ยงต่อโรคหัวใจและหลอดเลือดสูง Naproxen ถือเป็นยาที่มีความปลอดภัยด้าน Cardiovascular ดีที่สุดเมื่อเทียบกับ NSAIDs ชนิดอื่น แต่มีความเสี่ยงต่อระบบทางเดินอาหาร (GI risk) สูง จึงต้องให้ร่วมกับ PPI เสมอ
🔍 ข้ออื่นผิดเพราะอะไร:
• ข้อ ก. (Celecoxib): Celecoxib เป็น Selective COX-2 inhibitor ซึ่งยับยั้ง Prostacyclin ที่ขยายหลอดเลือด จึงเพิ่มความเสี่ยงต่อภาวะลิ่มเลือดอุดตันและกล้ามเนื้อหัวใจตายมากที่สุด
• ข้อ ข. (Diclofenac): Diclofenac มีความสัมพันธ์กับการเพิ่มความเสี่ยงของโรคหลอดเลือดหัวใจอย่างมีนัยสำคัญ ไม่ควรใช้ในผู้ป่วยที่มีประวัติ Acute Coronary Syndrome
• ข้อ ง. (Meloxicam): Meloxicam เป็น Preferential COX-2 inhibitor ที่มีผลต่อระบบหัวใจและหลอดเลือดใกล้เคียงกับ NSAIDs กลุ่มอื่น จึงยังมีความเสี่ยงสูงในผู้ป่วย CV risk
• ข้อ จ. (Etoricoxib): Etoricoxib เป็น Highly selective COX-2 inhibitor มีความเสี่ยงในการเกิด Cardiovascular events สูงมากเทียบเท่าหรือมากกว่ายาในกลุ่ม NSAIDs อื่นๆ
📖 Guideline อ้างอิง:
2023 AHA/ACC Clinical Practice Guideline for the Management of Patients with Chronic Coronary Disease &amp; 2021 ACC/AHA Guideline for Coronary Artery Revascularization
📌 จุดจำก่อนสอบ:
• CV Risk &amp; NSAID Selection: หากจำเป็นต้องใช้ NSAIDs ในผู้ป่วยที่มี CV risk สูง ยา Naproxen ถือว่ามีความปลอดภัยทางระบบหัวใจและหลอดเลือดดีที่สุด แต่ต้องระวัง GI toxicity สูง จึงต้องให้คู่กับ PPI เสมอ</t>
        </is>
      </c>
      <c r="K138" s="35" t="n"/>
      <c r="L138" s="35" t="inlineStr">
        <is>
          <t>Myofascial Pain Syndrome</t>
        </is>
      </c>
      <c r="M138" s="35" t="inlineStr">
        <is>
          <t>Clinic</t>
        </is>
      </c>
      <c r="N138" s="35" t="inlineStr">
        <is>
          <t>ข้อ 5 Mock Musculo RxCU84</t>
        </is>
      </c>
      <c r="O138" s="35" t="inlineStr">
        <is>
          <t>Mock</t>
        </is>
      </c>
      <c r="P138" s="35" t="inlineStr">
        <is>
          <t>Mock RxCU84</t>
        </is>
      </c>
    </row>
    <row r="139" ht="409.6" customHeight="1" s="37">
      <c r="A139" s="35" t="n">
        <v>137</v>
      </c>
      <c r="B139"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ยาแก้ปวดที่เหมาะสมที่สุดในการเริ่มบรรเทาอาการของผู้ป่วยรายนี้คือข้อใด</t>
        </is>
      </c>
      <c r="C139" s="35" t="n"/>
      <c r="D139" s="35" t="inlineStr">
        <is>
          <t>Naproxen</t>
        </is>
      </c>
      <c r="E139" s="35" t="inlineStr">
        <is>
          <t>Celecoxib</t>
        </is>
      </c>
      <c r="F139" s="35" t="inlineStr">
        <is>
          <t>Diclofenac</t>
        </is>
      </c>
      <c r="G139" s="35" t="inlineStr">
        <is>
          <t>Paracetamol</t>
        </is>
      </c>
      <c r="H139" s="35" t="inlineStr">
        <is>
          <t>Etoricoxib</t>
        </is>
      </c>
      <c r="I139" s="35" t="n">
        <v>4</v>
      </c>
      <c r="J139" s="35" t="inlineStr">
        <is>
          <t>✅ คำตอบที่ถูกต้อง: ข้อ ง. Paracetamol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ในผู้ป่วยเพิ่งเกิด ACS และได้ DAPT ยาแก้ปวดกลุ่มแรกที่แนะนำให้เริ่มใช้เพื่อบรรเทาอาการปวดเบื้องต้นอย่างปลอดภัย คือ Paracetamol เนื่องจากไม่ส่งผลต่อการทำงานของเกล็ดเลือดและไม่เพิ่มความเสี่ยงต่อระบบหัวใจและหลอดเลือด
🔍 ข้ออื่นผิดเพราะอะไร:
• ข้อ ก. (Naproxen): Naproxen แม้มีความเสี่ยง CV ต่ำที่สุดในกลุ่ม NSAIDs แต่ผู้ป่วยรายนี้ได้รับ Aspirin และ Ticagrelor ร่วมด้วย จึงเสี่ยงต่อภาวะเลือดออกทางเดินอาหารอย่างมาก
• ข้อ ข. (Celecoxib): Celecoxib เป็น COX-2 inhibitor ที่เพิ่มความเสี่ยงลิ่มเลือดอุดตันหลอดเลือดหัวใจ เป็นข้อห้ามใช้เด็ดขาดในผู้ป่วยเพิ่งเป็น ACS
• ข้อ ค. (Diclofenac): Diclofenac เป็น Non-selective NSAID ที่มีข้อมูลชี้ชัดว่าเพิ่มความเสี่ยงของการเกิดกล้ามเนื้อหัวใจตาย ไม่ควรพิจารณาเป็นอันดับแรก
• ข้อ จ. (Etoricoxib): Etoricoxib มีความจำเพาะต่อ COX-2 สูงมาก เพิ่มความเสี่ยงต่อภาวะลิ่มเลือดอุดตันและผลเสียทางระบบหัวใจและหลอดเลือดอย่างมีนัยสำคัญ
📖 Guideline อ้างอิง:
2023 AHA/ACC Clinical Practice Guideline for the Management of Patients with Chronic Coronary Disease &amp; 2021 ACC/AHA Guideline for Coronary Artery Revascularization
📌 จุดจำก่อนสอบ:
• Step-1 Analgesia in Post-ACS: Paracetamol เป็น First-line analgesic ที่ปลอดภัยที่สุดในผู้ป่วยโรคหลอดเลือดหัวใจและผู้ที่ได้รับยาต้านเกล็ดเลือดคู่ (DAPT)</t>
        </is>
      </c>
      <c r="K139" s="35" t="n"/>
      <c r="L139" s="35" t="inlineStr">
        <is>
          <t>Myofascial Pain Syndrome</t>
        </is>
      </c>
      <c r="M139" s="35" t="inlineStr">
        <is>
          <t>Clinic</t>
        </is>
      </c>
      <c r="N139" s="35" t="inlineStr">
        <is>
          <t>ข้อ 6 Mock Musculo RxCU84</t>
        </is>
      </c>
      <c r="O139" s="35" t="inlineStr">
        <is>
          <t>Mock</t>
        </is>
      </c>
      <c r="P139" s="35" t="inlineStr">
        <is>
          <t>Mock RxCU84</t>
        </is>
      </c>
    </row>
    <row r="140" ht="409.6" customHeight="1" s="37">
      <c r="A140" s="35" t="n">
        <v>138</v>
      </c>
      <c r="B140"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ข้อใดกล่าวถูกต้องเกี่ยวกับอันตรกิริยาระหว่าง ibuprofen กับ aspirin</t>
        </is>
      </c>
      <c r="C140" s="35" t="n"/>
      <c r="D140" s="35" t="inlineStr">
        <is>
          <t>Ibuprofen เสริมฤทธิ์ต้านเกล็ดเลือดของ aspirin</t>
        </is>
      </c>
      <c r="E140" s="35" t="inlineStr">
        <is>
          <t>Ibuprofen บดบังฤทธิ์ต้านเกล็ดเลือดของ aspirin</t>
        </is>
      </c>
      <c r="F140" s="35" t="inlineStr">
        <is>
          <t>ไม่มีอันตรกิริยาต่อกัน</t>
        </is>
      </c>
      <c r="G140" s="35" t="inlineStr">
        <is>
          <t>ควรให้ ibuprofen ก่อน aspirin 30 นาที</t>
        </is>
      </c>
      <c r="H140" s="35" t="inlineStr">
        <is>
          <t>ทำให้ต้องลดขนาด ticagrelor</t>
        </is>
      </c>
      <c r="I140" s="35" t="n">
        <v>2</v>
      </c>
      <c r="J140" s="35" t="inlineStr">
        <is>
          <t>✅ คำตอบที่ถูกต้อง: ข้อ ข. Ibuprofen บดบังฤทธิ์ต้านเกล็ดเลือดของ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บดบังฤทธิ์ต้านเกล็ดเลือดของ Aspirin โดยการแย่งจับกับตำแหน่งบนเอนไซม์ COX-1 แบบชั่วคราว ทำให้ Aspirin ไม่สามารถเข้าไปจับยึดและ acetylate COX-1 แบบถาวรได้ หากจำเป็นต้องใช้ ควรทาน Aspirin ก่อน Ibuprofen อย่างน้อย 30 นาที หรือทาน Ibuprofen ห่างจาก Aspirin อย่างน้อย 8 ชั่วโมง
🔍 ข้ออื่นผิดเพราะอะไร:
• ข้อ ก. (Ibuprofen เสริมฤทธิ์ต้านเกล็ดเลือดของ aspirin): Ibuprofen จะเข้าไปแย่งจับที่ตำแหน่ง Active site ของเอนไซม์ COX-1 แบบชั่วคราว ทำให้ Aspirin เข้าไปจับแบบถาวรไม่ได้ จึงขัดขวางฤทธิ์ต้านเกล็ดเลือด
• ข้อ ค. (ไม่มีอันตรกิริยาต่อกัน): เป็นการกล่าวผิด เนื่องจาก Ibuprofen มีผลบดบังการออกฤทธิ์ทางเภสัชพลศาสตร์ของ Aspirin ทำให้สูญเสียฤทธิ์การป้องกันระบบหัวใจ
• ข้อ ง. (ควรให้ ibuprofen ก่อน aspirin 30 นาที): การให้ Ibuprofen ก่อนจะทำให้ไปแย่งจับ COX-1 ก่อน หากจำเป็นต้องใช้ ควรให้ Aspirin ก่อน Ibuprofen อย่างน้อย 2 ชั่วโมง
• ข้อ จ. (ทำให้ต้องลดขนาด ticagrelor): ปฏิกิริยานี้เกี่ยวข้องกับการแข่งขันที่เอนไซม์ COX-1 ไม่ได้ส่งผลกระทบต่อวิถีของ P2Y12 receptor ที่ Ticagrelor ออกฤทธิ์
📖 Guideline อ้างอิง:
2023 AHA/ACC Clinical Practice Guideline for the Management of Patients with Chronic Coronary Disease &amp; 2021 ACC/AHA Guideline for Coronary Artery Revascularization
📌 จุดจำก่อนสอบ:
• Timing of Aspirin and NSAIDs: หากจำเป็นต้องรับประทาน Ibuprofen ในผู้ที่ต้องกิน Low-dose Aspirin ต้องทาน Aspirin ก่อน Ibuprofen อย่างน้อย 30 นาที หรือทาน Ibuprofen ห่างจาก Aspirin อย่างน้อย 8 ชั่วโมง</t>
        </is>
      </c>
      <c r="K140" s="35" t="n"/>
      <c r="L140" s="35" t="inlineStr">
        <is>
          <t>Myofascial Pain Syndrome</t>
        </is>
      </c>
      <c r="M140" s="35" t="inlineStr">
        <is>
          <t>Clinic</t>
        </is>
      </c>
      <c r="N140" s="35" t="inlineStr">
        <is>
          <t>ข้อ 7 Mock Musculo RxCU84</t>
        </is>
      </c>
      <c r="O140" s="35" t="inlineStr">
        <is>
          <t>Mock</t>
        </is>
      </c>
      <c r="P140" s="35" t="inlineStr">
        <is>
          <t>Mock RxCU84</t>
        </is>
      </c>
    </row>
    <row r="141" ht="409.6" customHeight="1" s="37">
      <c r="A141" s="35" t="n">
        <v>139</v>
      </c>
      <c r="B141"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หากต้องปรับยาเดิมเพื่อลดผลต่อระดับกรดยูริก (เผื่อความเสี่ยงเกาต์) ข้อใดเหมาะสมที่สุด</t>
        </is>
      </c>
      <c r="C141" s="35" t="n"/>
      <c r="D141" s="35" t="inlineStr">
        <is>
          <t>เพิ่มขนาด hydrochlorothiazide</t>
        </is>
      </c>
      <c r="E141" s="35" t="inlineStr">
        <is>
          <t>เพิ่ม low-dose aspirin เพื่อขับกรดยูริก</t>
        </is>
      </c>
      <c r="F141" s="35" t="inlineStr">
        <is>
          <t>เปลี่ยน hydrochlorothiazide เป็น losartan</t>
        </is>
      </c>
      <c r="G141" s="35" t="inlineStr">
        <is>
          <t>หยุด candesartan</t>
        </is>
      </c>
      <c r="H141" s="35" t="inlineStr">
        <is>
          <t>หยุด atorvastatin</t>
        </is>
      </c>
      <c r="I141" s="35" t="n">
        <v>3</v>
      </c>
      <c r="J141" s="35" t="inlineStr">
        <is>
          <t>✅ คำตอบที่ถูกต้อง: ข้อ ค. เปลี่ยน hydrochlorothiazide เป็น losartan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Losartan เป็นยากลุ่ม Angiotensin Receptor Blocker (ARB) เพียงตัวเดียวที่มีฤทธิ์ยับยั้งตัวขนส่ง URAT1 ที่ท่อไต จึงช่วยเพิ่มการขับกรดยูริกออกทางปัสสาวะ (Uricosuric effect) เหมาะที่สุดในการเปลี่ยนแทน HCTZ ในผู้ป่วยที่มีภาวะกรดยูริกสูงหรือเสี่ยงต่อโรคเกาต์
🔍 ข้ออื่นผิดเพราะอะไร:
• ข้อ ก. (เพิ่มขนาด hydrochlorothiazide): HCTZ มีฤทธิ์ลดการหลั่งกรดยูริกที่ท่อไต การเพิ่มขนาดจะยิ่งทำให้ระดับกรดยูริกในเลือดสูงขึ้นและเสี่ยงเกาต์กำเริบ
• ข้อ ข. (เพิ่ม low-dose aspirin เพื่อขับกรดยูริก): Aspirin ในขนาดต่ำยับยั้งการหลั่งกรดยูริกที่ท่อไต ทำให้ระดับกรดยูริกในเลือดเพิ่มขึ้น ไม่ใช่ขับออก
• ข้อ ง. (หยุด candesartan): Candesartan ไม่มีผลโดยตรงในการเพิ่มกรดยูริกในเลือด การหยุดยาโดยไม่มีข้อบ่งชี้อาจทำให้ความดันโลหิตควบคุมไม่ได้
• ข้อ จ. (หยุด atorvastatin): Atorvastatin ไม่มีผลกระทบต่อสมดุลของการสร้างหรือการขับกรดยูริก จึงไม่มีความจำเป็นต้องหยุดยาในกรณีนี้
📖 Guideline อ้างอิง:
2023 AHA/ACC Clinical Practice Guideline for the Management of Patients with Chronic Coronary Disease &amp; 2021 ACC/AHA Guideline for Coronary Artery Revascularization
📌 จุดจำก่อนสอบ:
• ARB with Uricosuric Property: Losartan เป็น ARB เพียงตัวเดียวที่ยับยั้งตัวขนส่ง URAT1 ที่ท่อไต จึงช่วยลดระดับกรดยูริกในเลือดได้ เหมาะมากในผู้ป่วยความดันโลหิตสูงที่มีโรคเกาต์ร่วมด้วย</t>
        </is>
      </c>
      <c r="K141" s="35" t="n"/>
      <c r="L141" s="35" t="inlineStr">
        <is>
          <t>Myofascial Pain Syndrome</t>
        </is>
      </c>
      <c r="M141" s="35" t="inlineStr">
        <is>
          <t>Clinic</t>
        </is>
      </c>
      <c r="N141" s="35" t="inlineStr">
        <is>
          <t>ข้อ 8 Mock Musculo RxCU84</t>
        </is>
      </c>
      <c r="O141" s="35" t="inlineStr">
        <is>
          <t>Mock</t>
        </is>
      </c>
      <c r="P141" s="35" t="inlineStr">
        <is>
          <t>Mock RxCU84</t>
        </is>
      </c>
    </row>
    <row r="142" ht="409.6" customHeight="1" s="37">
      <c r="A142" s="35" t="n">
        <v>140</v>
      </c>
      <c r="B142"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 tramadol</t>
        </is>
      </c>
      <c r="C142" s="35" t="n"/>
      <c r="D142" s="35" t="inlineStr">
        <is>
          <t>เป็น full μ-opioid agonist ล้วน</t>
        </is>
      </c>
      <c r="E142" s="35" t="inlineStr">
        <is>
          <t>ไม่ทำให้ท้องผูก</t>
        </is>
      </c>
      <c r="F142" s="35" t="inlineStr">
        <is>
          <t>ปลอดภัยในผู้ป่วยลมชัก</t>
        </is>
      </c>
      <c r="G142" s="35" t="inlineStr">
        <is>
          <t>เป็น weak μ-agonist และยับยั้ง reuptake ของ NE/serotonin</t>
        </is>
      </c>
      <c r="H142" s="35" t="inlineStr">
        <is>
          <t>ต้องเพิ่มขนาดในผู้ป่วยไตเสื่อม</t>
        </is>
      </c>
      <c r="I142" s="35" t="n">
        <v>4</v>
      </c>
      <c r="J142" s="35" t="inlineStr">
        <is>
          <t>✅ คำตอบที่ถูกต้อง: ข้อ ง. เป็น weak μ-agonist และยับยั้ง reuptake ของ NE/serotonin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Tramadol มีกลไกออกฤทธิ์แบบคู่ (Dual action) คือเป็น weak μ-opioid receptor agonist และมีฤทธิ์ยับยั้งการเก็บกลับ (Reuptake inhibition) ของ Norepinephrine และ Serotonin ช่วยเสริมฤทธิ์ลดปวดผ่านทาง descending pain pathway แต่มีข้อควรระวังเรื่องการลด seizure threshold
🔍 ข้ออื่นผิดเพราะอะไร:
• ข้อ ก. (เป็น full μ-opioid agonist ล้วน): Tramadol เป็นเพียง Weak opioid receptor agonist และมีกลไกอื่นในการยับยั้งการเก็บกลับสารสื่อประสาทร่วมด้วย ไม่ใช่ Full agonist
• ข้อ ข. (ไม่ทำให้ท้องผูก): แม้จะมีผลข้างเคียงต่อระบบทางเดินอาหารน้อยกว่า Strong opioids แต่ Tramadol ยังคงสามารถลดการบีบตัวของลำไส้และทำให้เกิดอาการท้องผูกได้
• ข้อ ค. (ปลอดภัยในผู้ป่วยลมชัก): Tramadol มีผลลด Seizure threshold จึงเพิ่มความเสี่ยงต่อการเกิดอาการชัก โดยเฉพาะเมื่อใช้ร่วมกับยาที่ลดจุดเริ่มชักตัวอื่นๆ
• ข้อ จ. (ต้องเพิ่มขนาดในผู้ป่วยไตเสื่อม): ในผู้ป่วยที่มีการทำงานของไตบกพร่อง ยาอาจสะสมได้ จึงต้องลดขนาดยาหรือปรับความถี่ในการให้ยาให้ห่างขึ้น ไม่ใช่เพิ่มขนาด
📖 Guideline อ้างอิง:
2023 AHA/ACC Clinical Practice Guideline for the Management of Patients with Chronic Coronary Disease &amp; 2021 ACC/AHA Guideline for Coronary Artery Revascularization
📌 จุดจำก่อนสอบ:
• Tramadol Pharmacology: เป็นทั้ง Weak mu-opioid receptor agonist และยับยั้งการ Reuptake ของ Serotonin และ Norepinephrine (Dual mechanism) มีข้อควรระวังคือการลด Seizure threshold และเสี่ยง Serotonin syndrome</t>
        </is>
      </c>
      <c r="K142" s="35" t="n"/>
      <c r="L142" s="35" t="inlineStr">
        <is>
          <t>Myofascial Pain Syndrome</t>
        </is>
      </c>
      <c r="M142" s="35" t="inlineStr">
        <is>
          <t>Clinic</t>
        </is>
      </c>
      <c r="N142" s="35" t="inlineStr">
        <is>
          <t>ข้อ 9 Mock Musculo RxCU84</t>
        </is>
      </c>
      <c r="O142" s="35" t="inlineStr">
        <is>
          <t>Mock</t>
        </is>
      </c>
      <c r="P142" s="35" t="inlineStr">
        <is>
          <t>Mock RxCU84</t>
        </is>
      </c>
    </row>
    <row r="143" ht="409.6" customHeight="1" s="37">
      <c r="A143" s="35" t="n">
        <v>141</v>
      </c>
      <c r="B143" s="35"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เหตุผลหลักที่ควรหลีกเลี่ยง NSAIDs (รวม COX-2 inhibitor) ในผู้ป่วยรายนี้คือข้อใด</t>
        </is>
      </c>
      <c r="C143" s="35" t="n"/>
      <c r="D143" s="35" t="inlineStr">
        <is>
          <t>เพิ่มความเสี่ยงลิ่มเลือดอุดตันหลอดเลือดหัวใจ</t>
        </is>
      </c>
      <c r="E143" s="35" t="inlineStr">
        <is>
          <t>ทำให้กรดยูริกในเลือดต่ำลง</t>
        </is>
      </c>
      <c r="F143" s="35" t="inlineStr">
        <is>
          <t>เสริมฤทธิ์ต้านเกล็ดเลือดจนเลือดออกแน่นอน</t>
        </is>
      </c>
      <c r="G143" s="35" t="inlineStr">
        <is>
          <t>ลดประสิทธิภาพของ statin</t>
        </is>
      </c>
      <c r="H143" s="35" t="inlineStr">
        <is>
          <t>ทำให้ ticagrelor เป็นพิษต่อตับ</t>
        </is>
      </c>
      <c r="I143" s="35" t="n">
        <v>1</v>
      </c>
      <c r="J143" s="35" t="inlineStr">
        <is>
          <t>✅ คำตอบที่ถูกต้อง: ข้อ ก. เพิ่มความเสี่ยงลิ่มเลือดอุดตันหลอดเลือดหัวใจ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ยากลุ่ม NSAIDs ทั้ง non-selective และ COX-2 selective inhibitors มีผลยับยั้ง Prostacyclin (PGI2) ซึ่งเป็นสารขยายหลอดเลือดและยับยั้งการเกาะกลุ่มของเกล็ดเลือด ทำให้เสียสมดุลกับ Thromboxane A2 จึงเพิ่มความเสี่ยงต่อการเกิดลิ่มเลือดอุดตันในหลอดเลือดหัวใจ (MACE: MI, Stroke) โดยเฉพาะอย่างยิ่งในผู้ป่วยเพิ่งเกิด ACS ภายใน 3-6 เดือน
🔍 ข้ออื่นผิดเพราะอะไร:
• ข้อ ข. (ทำให้กรดยูริกในเลือดต่ำลง): NSAIDs ส่วนใหญ่ไม่มีผลลดกรดยูริกในเลือด และนี่ไม่ใช่เหตุผลหลักที่ต้องหลีกเลี่ยงการใช้ในผู้ป่วยโรคหัวใจ
• ข้อ ค. (เสริมฤทธิ์ต้านเกล็ดเลือดจนเลือดออกแน่นอน): แม้ NSAIDs จะเพิ่มความเสี่ยงทางเดินอาหารเลือดออก แต่เหตุผลหลักระดับข้อห้ามใช้ใน ACS คือความเสี่ยงต่อลิ่มเลือดอุดตันหลอดเลือดหัวใจ
• ข้อ ง. (ลดประสิทธิภาพของ statin): NSAIDs ไม่มีอันตรกิริยาที่มีนัยสำคัญทางคลินิกที่จะไปลดประสิทธิภาพของ Atorvastatin ในการลดไขมันในเลือด
• ข้อ จ. (ทำให้ ticagrelor เป็นพิษต่อตับ): การใช้ NSAIDs ร่วมกับ Ticagrelor เพิ่มความเสี่ยงของเลือดออก ไม่ได้มีกลไกที่ทำให้เกิดความเป็นพิษต่อตับ
📖 Guideline อ้างอิง:
2023 AHA/ACC Clinical Practice Guideline for the Management of Patients with Chronic Coronary Disease &amp; 2021 ACC/AHA Guideline for Coronary Artery Revascularization
📌 จุดจำก่อนสอบ:
• Black Box Warning for NSAIDs in Post-MI: ห้ามใช้ยากลุ่ม NSAIDs ทุกชนิดในผู้ป่วยที่เพิ่งมีประวัติ Acute Myocardial Infarction ภายใน 3-6 เดือน เพราะเพิ่มอัตราการเสียชีวิตจาก Cardiovascular thrombotic events อย่างมีนัยสำคัญ</t>
        </is>
      </c>
      <c r="K143" s="35" t="n"/>
      <c r="L143" s="35" t="inlineStr">
        <is>
          <t>Myofascial Pain Syndrome</t>
        </is>
      </c>
      <c r="M143" s="35" t="inlineStr">
        <is>
          <t>Clinic</t>
        </is>
      </c>
      <c r="N143" s="35" t="inlineStr">
        <is>
          <t>ข้อ 10 Mock Musculo RxCU84</t>
        </is>
      </c>
      <c r="O143" s="35" t="inlineStr">
        <is>
          <t>Mock</t>
        </is>
      </c>
      <c r="P143" s="35" t="inlineStr">
        <is>
          <t>Mock RxCU84</t>
        </is>
      </c>
    </row>
    <row r="144" ht="409.6" customHeight="1" s="37">
      <c r="A144" s="35" t="n">
        <v>142</v>
      </c>
      <c r="B144"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หากหญิงคนนี้มีอาการบวมและปวดมาก ใยาและขนาดในข้อใดใช้ในการบรรเทาอาการก่อน DMARDs ออกฤทธิ์ได้เหมาะสมที่สุด</t>
        </is>
      </c>
      <c r="C144" s="35" t="n"/>
      <c r="D144" s="35" t="inlineStr">
        <is>
          <t>Prednisolone 5 mg OD</t>
        </is>
      </c>
      <c r="E144" s="35" t="inlineStr">
        <is>
          <t>Naproxen 250 mg TID</t>
        </is>
      </c>
      <c r="F144" s="35" t="inlineStr">
        <is>
          <t>Tramadol 50 mg hs</t>
        </is>
      </c>
      <c r="G144" s="35" t="inlineStr">
        <is>
          <t>Etorocoxib 120 mg OD</t>
        </is>
      </c>
      <c r="H144" s="35" t="inlineStr">
        <is>
          <t>Tolperisone 50 mg TID</t>
        </is>
      </c>
      <c r="I144" s="35" t="n">
        <v>1</v>
      </c>
      <c r="J144" s="35" t="inlineStr">
        <is>
          <t>✅ คำตอบที่ถูกต้อง: ข้อ ก. Prednisolone 5 mg OD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ในหญิงตั้งครรภ์ไตรมาสที่ 2 ที่มีอาการข้ออักเสบรูมาตอยด์กำเริบรุนแรง การใช้ Low-dose Prednisolone (≤ 7.5 mg/day เช่น Prednisolone 5 mg OD) จัดเป็น Bridging/Adjunctive therapy ที่ปลอดภัยและเหมาะสมที่สุด เพราะเอนไซม์ 11β-HSD2 ในรกจะเปลี่ยน Prednisolone เป็น inactive prednisone ป้องกันไม่ให้ส่งผ่านไปถึงทารกในครรภ์ ขณะที่ NSAIDs และ COX-2 inhibitors มีความเสี่ยงต่อ Oligohydramnios และการปิดก่อนกำหนดของ Ductus arteriosus
🔍 ข้ออื่นผิดเพราะอะไร:
• ข้อ ข. (Naproxen 250 mg TID): NSAIDs ควรหลีกเลี่ยงในสตรีมีครรภ์ โดยเฉพาะในช่วงไตรมาสหลังเนื่องจากอาจทำให้หลอดเลือดหัวใจทารกปิดก่อนกำหนด และไม่ครอบคลุมการกดภูมิคุ้มกันเท่าสเตียรอยด์
• ข้อ ค. (Tramadol 50 mg hs): Tramadol เป็นเพียงยาแก้ปวดที่ไม่มีฤทธิ์ลดการอักเสบ จึงไม่สามารถลดอาการข้อบวมแดงและ Morning stiffness ของรูมาตอยด์ได้
• ข้อ ง. (Etorocoxib 120 mg OD): Etoricoxib มีความเสี่ยงต่อทารกในครรภ์และอาจมีผลต่อการสร้างไตของทารก จึงไม่แนะนำให้ใช้ในหญิงตั้งครรภ์
• ข้อ จ. (Tolperisone 50 mg TID): Tolperisone เป็นยาคลายกล้ามเนื้อ ไม่มีฤทธิ์กดการอักเสบในระดับข้อต่อ จึงไม่ช่วยรักษาข้ออักเสบจากรูมาตอยด์
📖 Guideline อ้างอิง:
2021 American College of Rheumatology (ACR) Guideline for the Treatment of Rheumatoid Arthritis &amp; 2020 ACR Guideline for the Management of Reproductive Health in Rheumatic and Musculoskeletal Diseases
📌 จุดจำก่อนสอบ:
• RA Flare in Pregnancy: Low-dose Prednisolone (&lt;= 7.5 mg/day เช่น 5 mg OD) เป็นตัวเลือกที่ปลอดภัยที่สุดสำหรับการบรรเทาอาการอักเสบเฉียบพลัน เนื่องจากเอนไซม์ 11-beta-HSD2 ในรกจะเปลี่ยนเป็น inactive prednisone ทารกจึงได้รับยาน้อยมาก</t>
        </is>
      </c>
      <c r="K144" s="35" t="n"/>
      <c r="L144" s="35" t="inlineStr">
        <is>
          <t>Rheumatoid Arthritis</t>
        </is>
      </c>
      <c r="M144" s="35" t="inlineStr">
        <is>
          <t>Clinic</t>
        </is>
      </c>
      <c r="N144" s="35" t="inlineStr">
        <is>
          <t>ข้อ 11 Mock Musculo RxCU84</t>
        </is>
      </c>
      <c r="O144" s="35" t="inlineStr">
        <is>
          <t>Mock</t>
        </is>
      </c>
      <c r="P144" s="35" t="inlineStr">
        <is>
          <t>Mock RxCU84</t>
        </is>
      </c>
    </row>
    <row r="145" ht="409.6" customHeight="1" s="37">
      <c r="A145" s="35" t="n">
        <v>143</v>
      </c>
      <c r="B145"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 "ปลอดภัยที่สุด" และเป็น First-line สำหรับผู้ป่วย RA ที่กำลังตั้งครรภ์?</t>
        </is>
      </c>
      <c r="C145" s="35" t="n"/>
      <c r="D145" s="35" t="inlineStr">
        <is>
          <t>Methotrexate</t>
        </is>
      </c>
      <c r="E145" s="35" t="inlineStr">
        <is>
          <t>Leflunomide</t>
        </is>
      </c>
      <c r="F145" s="35" t="inlineStr">
        <is>
          <t>Hydroxychloroquine</t>
        </is>
      </c>
      <c r="G145" s="35" t="inlineStr">
        <is>
          <t>Cyclophosphamide</t>
        </is>
      </c>
      <c r="H145" s="35" t="inlineStr">
        <is>
          <t>Mycophenolate</t>
        </is>
      </c>
      <c r="I145" s="35" t="n">
        <v>3</v>
      </c>
      <c r="J145" s="35" t="inlineStr">
        <is>
          <t>✅ คำตอบที่ถูกต้อง: ข้อ ค.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ตาม ACR และ EULAR guidelines สำหรับการรักษา RA ในหญิงตั้งครรภ์ Hydroxychloroquine (HCQ) และ Sulfasalazine ถือเป็น conventional DMARDs ที่ปลอดภัยที่สุด โดย HCQ เป็นตัวเลือกอันดับหนึ่งที่สามารถใช้ได้อย่างปลอดภัยตลอดการตั้งครรภ์และระหว่างให้นมบุตร
🔍 ข้ออื่นผิดเพราะอะไร:
• ข้อ ก. (Methotrexate): Methotrexate จัดเป็น Pregnancy Category X เนื่องจากทำให้เกิดทารกวิรูป และมีข้อห้ามใช้เด็ดขาดในสตรีมีครรภ์
• ข้อ ข. (Leflunomide): Leflunomide จัดเป็น Pregnancy Category X เนื่องจากมีฤทธิ์ทำให้เกิดความผิดปกติของทารกในครรภ์รุนแรง ต้องใช้ขั้นตอนการขับยาก่อนตั้งครรภ์
• ข้อ ง. (Cyclophosphamide): Cyclophosphamide เป็นยากดภูมิคุ้มกันที่มีผลทำให้เกิดพิษและก่อทารกวิรูป จึงห้ามใช้ในระหว่างการตั้งครรภ์
• ข้อ จ. (Mycophenolate): Mycophenolate มีรายงานความเสี่ยงสูงในการทำให้เกิดการแท้งและทารกมีความผิดปกติแต่กำเนิด จึงเป็นข้อห้ามใช้เด็ดขาดในสตรีมีครรภ์
📖 Guideline อ้างอิง:
2021 American College of Rheumatology (ACR) Guideline for the Treatment of Rheumatoid Arthritis &amp; 2020 ACR Guideline for the Management of Reproductive Health in Rheumatic and Musculoskeletal Diseases
📌 จุดจำก่อนสอบ:
• Safe DMARDs in Pregnancy: Hydroxychloroquine (HCQ) และ Sulfasalazine (ร่วมกับกรดโฟลิก) เป็น conventional synthetic DMARDs ที่ปลอดภัยและแนะนำเป็นอันดับหนึ่งสำหรับหญิงตั้งครรภ์ที่เป็น RA ตลอดการตั้งครรภ์และให้นมบุตร</t>
        </is>
      </c>
      <c r="K145" s="35" t="n"/>
      <c r="L145" s="35" t="inlineStr">
        <is>
          <t>Rheumatoid Arthritis</t>
        </is>
      </c>
      <c r="M145" s="35" t="inlineStr">
        <is>
          <t>Clinic</t>
        </is>
      </c>
      <c r="N145" s="35" t="inlineStr">
        <is>
          <t>ข้อ 12 Mock Musculo RxCU84</t>
        </is>
      </c>
      <c r="O145" s="35" t="inlineStr">
        <is>
          <t>Mock</t>
        </is>
      </c>
      <c r="P145" s="35" t="inlineStr">
        <is>
          <t>Mock RxCU84</t>
        </is>
      </c>
    </row>
    <row r="146" ht="409.6" customHeight="1" s="37">
      <c r="A146" s="35" t="n">
        <v>144</v>
      </c>
      <c r="B146"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ใดจัดเป็น Pregnancy Category X และห้ามใช้เด็ดขาด?</t>
        </is>
      </c>
      <c r="C146" s="35" t="n"/>
      <c r="D146" s="35" t="inlineStr">
        <is>
          <t>Hydroxychloroquine</t>
        </is>
      </c>
      <c r="E146" s="35" t="inlineStr">
        <is>
          <t>Sulfasalazine</t>
        </is>
      </c>
      <c r="F146" s="35" t="inlineStr">
        <is>
          <t>Methotrexate</t>
        </is>
      </c>
      <c r="G146" s="35" t="inlineStr">
        <is>
          <t>Cyclosporine</t>
        </is>
      </c>
      <c r="H146" s="35" t="inlineStr">
        <is>
          <t>Azathioprine</t>
        </is>
      </c>
      <c r="I146" s="35" t="n">
        <v>3</v>
      </c>
      <c r="J146" s="35" t="inlineStr">
        <is>
          <t>✅ คำตอบที่ถูกต้อง: ข้อ ค. Methotrexate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(MTX) และ Leflunomide จัดเป็น Pregnancy Category X เนื่องจากเป็นสารก่อความพิการแต่กำเนิดอย่างรุนแรง (Teratogenicity) โดย MTX รบกวนการสังเคราะห์ DNA และ Folate metabolism ทำให้เกิดทารกพิการและแท้งบุตรได้
🔍 ข้ออื่นผิดเพราะอะไร:
• ข้อ ก. (Hydroxychloroquine): Hydroxychloroquine เป็นยาที่พบว่ามีความปลอดภัยสูง ไม่ก่อให้เกิดความผิดปกติแต่กำเนิด จึงเป็นยาหลักที่ใช้ในหญิงตั้งครรภ์
• ข้อ ข. (Sulfasalazine): Sulfasalazine สามารถใช้ได้อย่างปลอดภัยในสตรีมีครรภ์ โดยมักจะให้ร่วมกับการเสริมกรดโฟลิก
• ข้อ ง. (Cyclosporine): Cyclosporine สามารถนำมาใช้ในสตรีมีครรภ์ที่จำเป็นต้องได้รับยากดภูมิคุ้มกันได้ ภายใต้การดูแลอย่างใกล้ชิด
• ข้อ จ. (Azathioprine): Azathioprine เป็นยากดภูมิคุ้มกันที่สามารถใช้ได้ในหญิงตั้งครรภ์อย่างระมัดระวัง ไม่ได้จัดเป็นข้อห้ามใช้เด็ดขาดเทียบเท่า Methotrexate
📖 Guideline อ้างอิง:
2021 American College of Rheumatology (ACR) Guideline for the Treatment of Rheumatoid Arthritis &amp; 2020 ACR Guideline for the Management of Reproductive Health in Rheumatic and Musculoskeletal Diseases
📌 จุดจำก่อนสอบ:
• Teratogenic DMARDs (Category X): Methotrexate (ขัดขวาง Folate/DNA synthesis) และ Leflunomide (ขัดขวาง Pyrimidine synthesis) ก่อความพิการแต่กำเนิดรุนแรง ห้ามใช้ในสตรีมีครรภ์โดยเด็ดขาด</t>
        </is>
      </c>
      <c r="K146" s="35" t="n"/>
      <c r="L146" s="35" t="inlineStr">
        <is>
          <t>Rheumatoid Arthritis</t>
        </is>
      </c>
      <c r="M146" s="35" t="inlineStr">
        <is>
          <t>Clinic</t>
        </is>
      </c>
      <c r="N146" s="35" t="inlineStr">
        <is>
          <t>ข้อ 13 Mock Musculo RxCU84</t>
        </is>
      </c>
      <c r="O146" s="35" t="inlineStr">
        <is>
          <t>Mock</t>
        </is>
      </c>
      <c r="P146" s="35" t="inlineStr">
        <is>
          <t>Mock RxCU84</t>
        </is>
      </c>
    </row>
    <row r="147" ht="409.6" customHeight="1" s="37">
      <c r="A147" s="35" t="n">
        <v>145</v>
      </c>
      <c r="B147"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หากผู้ป่วยทาน Leflunomide อยู่และพบว่าตั้งครรภ์ ต้องใช้ยาใดในการ Wash out?</t>
        </is>
      </c>
      <c r="C147" s="35" t="n"/>
      <c r="D147" s="35" t="inlineStr">
        <is>
          <t>Activated charcoal</t>
        </is>
      </c>
      <c r="E147" s="35" t="inlineStr">
        <is>
          <t>Cholestyramine</t>
        </is>
      </c>
      <c r="F147" s="35" t="inlineStr">
        <is>
          <t>N-acetylcysteine</t>
        </is>
      </c>
      <c r="G147" s="35" t="inlineStr">
        <is>
          <t>Leucovorin</t>
        </is>
      </c>
      <c r="H147" s="35" t="inlineStr">
        <is>
          <t>Folic acid</t>
        </is>
      </c>
      <c r="I147" s="35" t="n">
        <v>2</v>
      </c>
      <c r="J147" s="35" t="inlineStr">
        <is>
          <t>✅ คำตอบที่ถูกต้อง: ข้อ ข. Cholestyramine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Leflunomide มีสารออกฤทธิ์คือ Teriflunomide ซึ่งมี enterohepatic recirculation สูงและมีค่าครึ่งชีวิตยาวนานถึง 2 สัปดาห์ (อาจตกค้างในร่างกายนานถึง 2 ปี) เมื่อตรวจพบการตั้งครรภ์ ต้องทำ Accelerated elimination (Washout procedure) ด้วย Cholestyramine 8 g วันละ 3 ครั้ง นาน 11 วัน (หรือ Activated charcoal 50 g วันละ 4 ครั้ง นาน 11 วัน)
🔍 ข้ออื่นผิดเพราะอะไร:
• ข้อ ก. (Activated charcoal): Activated charcoal ใช้ในการดูดซับสารพิษในทางเดินอาหารแบบเฉียบพลัน ไม่สามารถใช้ขจัดยา Leflunomide ที่เข้าสู่วงจร Enterohepatic recirculation ได้ดีพอ
• ข้อ ค. (N-acetylcysteine): N-acetylcysteine เป็นยาต้านพิษของ Paracetamol ไม่เกี่ยวข้องกับกลไกการขจัด Leflunomide
• ข้อ ง. (Leucovorin): Leucovorin เป็น Folate rescue ที่ใช้ต้านพิษของ Methotrexate ไม่ได้มีประโยชน์ในการเร่งการขับถ่ายยา Leflunomide
• ข้อ จ. (Folic acid): Folic acid ใช้ป้องกันทารกวิรูปจากยาที่เป็น Folate antagonist ไม่มีผลในการล้างยา Leflunomide ออกจากระบบร่างกาย
📖 Guideline อ้างอิง:
2021 American College of Rheumatology (ACR) Guideline for the Treatment of Rheumatoid Arthritis &amp; 2020 ACR Guideline for the Management of Reproductive Health in Rheumatic and Musculoskeletal Diseases
📌 จุดจำก่อนสอบ:
• Leflunomide Elimination Protocol: เนื่องจากมี Enterohepatic recirculation สูงและครึ่งชีวิตยาวนาน หากตั้งครรภ์ต้องทำ Rapid washout ทันทีด้วย Cholestyramine 8 g วันละ 3 ครั้ง นาน 11 วัน</t>
        </is>
      </c>
      <c r="K147" s="35" t="n"/>
      <c r="L147" s="35" t="inlineStr">
        <is>
          <t>Rheumatoid Arthritis</t>
        </is>
      </c>
      <c r="M147" s="35" t="inlineStr">
        <is>
          <t>Clinic</t>
        </is>
      </c>
      <c r="N147" s="35" t="inlineStr">
        <is>
          <t>ข้อ 14 Mock Musculo RxCU84</t>
        </is>
      </c>
      <c r="O147" s="35" t="inlineStr">
        <is>
          <t>Mock</t>
        </is>
      </c>
      <c r="P147" s="35" t="inlineStr">
        <is>
          <t>Mock RxCU84</t>
        </is>
      </c>
    </row>
    <row r="148" ht="409.6" customHeight="1" s="37">
      <c r="A148" s="35" t="n">
        <v>146</v>
      </c>
      <c r="B148"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อาการข้อฝืดตึงยามเช้า (Morning stiffness) ใน RA มักมีลักษณะอย่างไร?</t>
        </is>
      </c>
      <c r="C148" s="35" t="n"/>
      <c r="D148" s="35" t="inlineStr">
        <is>
          <t>&lt; 15 นาที</t>
        </is>
      </c>
      <c r="E148" s="35" t="inlineStr">
        <is>
          <t>&lt; 30 นาที</t>
        </is>
      </c>
      <c r="F148" s="35" t="inlineStr">
        <is>
          <t>&gt; 1 ชั่วโมง</t>
        </is>
      </c>
      <c r="G148" s="35" t="inlineStr">
        <is>
          <t>เป็นเฉพาะตอนเย็น</t>
        </is>
      </c>
      <c r="H148" s="35" t="inlineStr">
        <is>
          <t>ดีขึ้นเมื่ออยู่นิ่งๆ</t>
        </is>
      </c>
      <c r="I148" s="35" t="n">
        <v>3</v>
      </c>
      <c r="J148" s="35" t="inlineStr">
        <is>
          <t>✅ คำตอบที่ถูกต้อง: ข้อ ค. &gt; 1 ชั่วโมง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อาการข้อฝืดตึงในตอนเช้า (Morning stiffness) ในโรค Rheumatoid Arthritis (RA) ซึ่งเป็นโรคข้ออักเสบจากภูมิคุ้มกัน (Inflammatory arthritis) จะมีลักษณะนานมากกว่า 1 ชั่วโมง (มักนานหลายชั่วโมง) ซึ่งแตกต่างจาก Osteoarthritis (OA) ที่อาการฝืดตึงมักน้อยกว่า 30 นาที
🔍 ข้ออื่นผิดเพราะอะไร:
• ข้อ ก. (&lt; 15 นาที): อาการข้อฝืดตึงน้อยกว่า 15 นาที เป็นลักษณะที่พบในโรคข้อเสื่อม ซึ่งมักหายไปอย่างรวดเร็วหลังการเคลื่อนไหว
• ข้อ ข. (&lt; 30 นาที): อาการข้อฝืดตึงน้อยกว่า 30 นาที ยังคงเป็นช่วงเวลาที่บ่งบอกถึงพยาธิสภาพของการสึกหรอเชิงกล มากกว่าการอักเสบเรื้อรังระดับระบบภูมิคุ้มกัน
• ข้อ ง. (เป็นเฉพาะตอนเย็น): โรคข้ออักเสบรูมาตอยด์มักมีอาการแย่ที่สุดในตอนเช้าหลังตื่นนอน หรือหลังจากที่ข้อต่อไม่ได้ถูกใช้งานเป็นเวลานาน ไม่ใช่ตอนเย็น
• ข้อ จ. (ดีขึ้นเมื่ออยู่นิ่งๆ): อาการของข้ออักเสบรูมาตอยด์จะแย่ลงหากอยู่นิ่งๆ และจะดีขึ้นเมื่อมีการขยับหรือเคลื่อนไหวข้อต่ออย่างช้าๆ
📖 Guideline อ้างอิง:
2021 American College of Rheumatology (ACR) Guideline for the Treatment of Rheumatoid Arthritis &amp; 2020 ACR Guideline for the Management of Reproductive Health in Rheumatic and Musculoskeletal Diseases
📌 จุดจำก่อนสอบ:
• Inflammatory vs Non-inflammatory Joint Morning Stiffness: อาการข้อฝืดตึงยามเช้า (Morning stiffness) ใน RA มักนานมากกว่า 1 ชั่วโมง (Inflammatory) ส่วนใน OA มักสั้นกว่า 30 นาที (Mechanical)</t>
        </is>
      </c>
      <c r="K148" s="35" t="n"/>
      <c r="L148" s="35" t="inlineStr">
        <is>
          <t>Rheumatoid Arthritis</t>
        </is>
      </c>
      <c r="M148" s="35" t="inlineStr">
        <is>
          <t>Clinic</t>
        </is>
      </c>
      <c r="N148" s="35" t="inlineStr">
        <is>
          <t>ข้อ 15 Mock Musculo RxCU84</t>
        </is>
      </c>
      <c r="O148" s="35" t="inlineStr">
        <is>
          <t>Mock</t>
        </is>
      </c>
      <c r="P148" s="35" t="inlineStr">
        <is>
          <t>Mock RxCU84</t>
        </is>
      </c>
    </row>
    <row r="149" ht="409.6" customHeight="1" s="37">
      <c r="A149" s="35" t="n">
        <v>147</v>
      </c>
      <c r="B149"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หากใช้ยา Hydroxychloroquine ผู้ป่วยควรได้รับการตรวจติดตาม (Screening) เรื่องใดเป็นพิเศษ?</t>
        </is>
      </c>
      <c r="C149" s="35" t="n"/>
      <c r="D149" s="35" t="inlineStr">
        <is>
          <t>Liver function</t>
        </is>
      </c>
      <c r="E149" s="35" t="inlineStr">
        <is>
          <t>Kidney function</t>
        </is>
      </c>
      <c r="F149" s="35" t="inlineStr">
        <is>
          <t>Eye examination (Retinopathy)</t>
        </is>
      </c>
      <c r="G149" s="35" t="inlineStr">
        <is>
          <t>Hearing test</t>
        </is>
      </c>
      <c r="H149" s="35" t="inlineStr">
        <is>
          <t>Pulmonary function</t>
        </is>
      </c>
      <c r="I149" s="35" t="n">
        <v>3</v>
      </c>
      <c r="J149" s="35" t="inlineStr">
        <is>
          <t>✅ คำตอบที่ถูกต้อง: ข้อ ค. Eye examination (Retinopathy)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สามารถสะสมที่เซลล์เยื่อบุจอประสาทตา (Retinal pigment epithelium) นำไปสู่ภาวะ Retinopathy หรือ 'Bull's eye maculopathy' ซึ่งไม่สามารถรักษาให้หายกลับคืนมาได้ จึงต้องได้รับการตรวจคัดกรองจอประสาทตา (Baseline and annual Ophthalmologic examination)
🔍 ข้ออื่นผิดเพราะอะไร:
• ข้อ ก. (Liver function): แม้ DMARDs หลายตัวจะเป็นพิษต่อตับ แต่ Hydroxychloroquine ไม่ได้มีความเสี่ยงเด่นชัดในเรื่องการทำลายเซลล์ตับ
• ข้อ ข. (Kidney function): Hydroxychloroquine อาศัยการขับออกทางไตบางส่วน แต่ไม่ได้ทำให้เกิดพิษต่อไตโดยตรงจนต้องติดตามเป็นพิเศษ
• ข้อ ง. (Hearing test): ไม่พบรายงานความเชื่อมโยงของการเกิดพิษต่อหูชั้นในหรือสูญเสียการได้ยินจากการใช้ยา Hydroxychloroquine
• ข้อ จ. (Pulmonary function): ผลข้างเคียงเรื่องพังผืดในปอดมักพบได้จากยา Methotrexate เป็นหลัก ไม่ใช่จาก Hydroxychloroquine
📖 Guideline อ้างอิง:
2021 American College of Rheumatology (ACR) Guideline for the Treatment of Rheumatoid Arthritis &amp; 2020 ACR Guideline for the Management of Reproductive Health in Rheumatic and Musculoskeletal Diseases
📌 จุดจำก่อนสอบ:
• Hydroxychloroquine Monitoring: ความเป็นพิษสำคัญของ HCQ คือ Retinal toxicity (Bull's eye maculopathy) ซึ่งไม่สามารถฟื้นตัวได้ ผู้ป่วยจึงต้องตรวจคัดกรองจอประสาทตาที่ Baseline และติดตามอย่างสม่ำเสมอ</t>
        </is>
      </c>
      <c r="K149" s="35" t="n"/>
      <c r="L149" s="35" t="inlineStr">
        <is>
          <t>Rheumatoid Arthritis</t>
        </is>
      </c>
      <c r="M149" s="35" t="inlineStr">
        <is>
          <t>Clinic</t>
        </is>
      </c>
      <c r="N149" s="35" t="inlineStr">
        <is>
          <t>ข้อ 16 Mock Musculo RxCU84</t>
        </is>
      </c>
      <c r="O149" s="35" t="inlineStr">
        <is>
          <t>Mock</t>
        </is>
      </c>
      <c r="P149" s="35" t="inlineStr">
        <is>
          <t>Mock RxCU84</t>
        </is>
      </c>
    </row>
    <row r="150" ht="409.6" customHeight="1" s="37">
      <c r="A150" s="35" t="n">
        <v>148</v>
      </c>
      <c r="B150"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ลักษณะการอักเสบของข้อใน RA ต่างจาก OA อย่างไร?</t>
        </is>
      </c>
      <c r="C150" s="35" t="n"/>
      <c r="D150" s="35" t="inlineStr">
        <is>
          <t>RA เป็นอสมมาตร (Asymmetric)</t>
        </is>
      </c>
      <c r="E150" s="35" t="inlineStr">
        <is>
          <t>RA มักโดนข้อ DIP</t>
        </is>
      </c>
      <c r="F150" s="35" t="inlineStr">
        <is>
          <t>RA เป็นแบบสมมาตร (Symmetric)</t>
        </is>
      </c>
      <c r="G150" s="35" t="inlineStr">
        <is>
          <t>OA มีอาการทั่วร่างกาย (Systemic)</t>
        </is>
      </c>
      <c r="H150" s="35" t="inlineStr">
        <is>
          <t>OA ตรวจพบ Rheumatoid factor</t>
        </is>
      </c>
      <c r="I150" s="35" t="n">
        <v>3</v>
      </c>
      <c r="J150" s="35" t="inlineStr">
        <is>
          <t>✅ คำตอบที่ถูกต้อง: ข้อ ค. RA เป็นแบบสมมาตร (Symmetric)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การอักเสบของข้อในโรค RA มีลักษณะเด่นคือเป็นแบบสมมาตรทั้งสองข้างของร่างกาย (Symmetric polyarthritis) มักเกิดที่ข้อเล็กๆ เช่น MCP, PIP และข้อมือ ขณะที่ OA มักเป็นแบบอสมมาตร (Asymmetric) และพบบ่อยที่ DIP (Heberden's nodes) หรือข้อรับน้ำหนัก
🔍 ข้ออื่นผิดเพราะอะไร:
• ข้อ ก. (RA เป็นอสมมาตร (Asymmetric)): โรคข้ออักเสบรูมาตอยด์มีพยาธิสภาพของการอักเสบผ่านระบบภูมิคุ้มกัน จึงแสดงอาการอักเสบที่ข้อต่อลักษณะสมมาตร
• ข้อ ข. (RA มักโดนข้อ DIP): โรคข้ออักเสบรูมาตอยด์มักส่งผลกระทบต่อข้อ PIP และ MCP ส่วนข้อ DIP มักเป็นตำแหน่งรอยโรคที่พบในโรคข้อเสื่อม
• ข้อ ง. (OA มีอาการทั่วร่างกาย (Systemic)): โรคข้อเสื่อมเกิดจากการสึกหรอเฉพาะที่ ไม่ได้มีอาการอักเสบทางระบบทั่วร่างกายอย่างไข้หรืออ่อนเพลีย
• ข้อ จ. (OA ตรวจพบ Rheumatoid factor): Rheumatoid factor เป็นออโตแอนติบอดีที่จำเพาะกับโรคข้ออักเสบรูมาตอยด์ ไม่พบเป็นผลบวกในโรคข้อเสื่อมทั่วไป
📖 Guideline อ้างอิง:
2021 American College of Rheumatology (ACR) Guideline for the Treatment of Rheumatoid Arthritis &amp; 2020 ACR Guideline for the Management of Reproductive Health in Rheumatic and Musculoskeletal Diseases
📌 จุดจำก่อนสอบ:
• RA vs OA Joint Pattern: RA มีการอักเสบแบบสมมาตรทั้ง 2 ข้าง (Symmetric involvement) ที่ข้อมือ, MCP, PIP ส่วน OA มักเป็นแบบอสมมาตร (Asymmetric) และพบบ่อยที่ DIP (Heberden's nodes) หรือข้อรับน้ำหนัก</t>
        </is>
      </c>
      <c r="K150" s="35" t="n"/>
      <c r="L150" s="35" t="inlineStr">
        <is>
          <t>Rheumatoid Arthritis</t>
        </is>
      </c>
      <c r="M150" s="35" t="inlineStr">
        <is>
          <t>Clinic</t>
        </is>
      </c>
      <c r="N150" s="35" t="inlineStr">
        <is>
          <t>ข้อ 17 Mock Musculo RxCU84</t>
        </is>
      </c>
      <c r="O150" s="35" t="inlineStr">
        <is>
          <t>Mock</t>
        </is>
      </c>
      <c r="P150" s="35" t="inlineStr">
        <is>
          <t>Mock RxCU84</t>
        </is>
      </c>
    </row>
    <row r="151" ht="409.6" customHeight="1" s="37">
      <c r="A151" s="35" t="n">
        <v>149</v>
      </c>
      <c r="B151"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หากผู้ป่วยคนนี้ได้ Sulfazalazine 500 mg OD daily ในสัปดาห์แรกของการรักษาโรค เนื่องจากมีปัญหาที่กระจกตา ในฐานะเภสัชกรควรให้คำแนะนำอย่างไร</t>
        </is>
      </c>
      <c r="C151" s="35" t="n"/>
      <c r="D151" s="35" t="inlineStr">
        <is>
          <t>เน้นย้ำให้รับประทาน Ferrous Fumarate เพื่อป้องกันผลข้างเคียงเรื่องของโลหิตจาง</t>
        </is>
      </c>
      <c r="E151" s="35" t="inlineStr">
        <is>
          <t>เน้นย้ำให้รับประทานยา Mecobalamin 5 mg ควบคู่กันทุกวัน เพื่อลดผลข้างเคียงทางระบบทางเดินอาหารและแผลในปาก</t>
        </is>
      </c>
      <c r="F151" s="35" t="inlineStr">
        <is>
          <t>หากมีสารคัดหลั่งหรือปัสสาวะสีส้มให้หยุดยาทันทีแล้วพบแพทย์</t>
        </is>
      </c>
      <c r="G151" s="35" t="inlineStr">
        <is>
          <t>หากมีสารคัดหลั่งหรือปัสสาวะสีส้มให้รับประทานต่อไป เนื่องจากเป็นผลข้างเคียงจากยาตามปกติที่ไม่มีอันตรายอะไร</t>
        </is>
      </c>
      <c r="H151" s="35" t="inlineStr">
        <is>
          <t>หากอาการข้อนิ้วบวมและ Morning Stiffness หายแล้วสามารถหยุดยาเองได้เลยทันทีเพื่อป้องกันผลข้างเคียงในระยะยาว</t>
        </is>
      </c>
      <c r="I151" s="35" t="n">
        <v>4</v>
      </c>
      <c r="J151" s="35" t="inlineStr">
        <is>
          <t>✅ คำตอบที่ถูกต้อง: ข้อ ง. หากมีสารคัดหลั่งหรือปัสสาวะสีส้มให้รับประทานต่อไป เนื่องจากเป็นผลข้างเคียงจากยาตามปกติที่ไม่มีอันตรายอะไร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Sulfasalazine และสารเมแทบอไลต์สามารถทำให้ปัสสาวะ สารคัดหลั่ง เหงื่อ หรือแม้แต่น้ำตาเปลี่ยนเป็นสีเหลืองส้ม (Orange-yellow discoloration) ซึ่งเป็นผลข้างเคียงปกติที่ไม่มีอันตราย ไม่จำเป็นต้องหยุดยา เพียงแนะนำให้ผู้ป่วยทราบล่วงหน้าและระวังการเปรอะเปื้อนเสื้อผ้าหรือคอนแทกต์เลนส์
🔍 ข้ออื่นผิดเพราะอะไร:
• ข้อ ก. (เน้นย้ำให้รับประทาน Ferrous Fumarate เพื่อป้องกันผลข้างเคียงเรื่องของโลหิตจาง): ธาตุเหล็กจะไปจับกับ Sulfasalazine ในทางเดินอาหาร ทำให้ลดการดูดซึมของยาทั้งสองตัว ควรหลีกเลี่ยงการทานพร้อมกัน
• ข้อ ข. (เน้นย้ำให้รับประทานยา Mecobalamin 5 mg ควบคู่กันทุกวัน เพื่อลดผลข้างเคียงทางระบบทางเดินอาหารและแผลในปาก): ยา Sulfasalazine ไปยับยั้งการดูดซึมของ Folic acid ไม่ใช่ Vitamin B12 การเสริม Mecobalamin จึงไม่ได้แก้ไขตรงจุด
• ข้อ ค. (หากมีสารคัดหลั่งหรือปัสสาวะสีส้มให้หยุดยาทันทีแล้วพบแพทย์): การที่สารคัดหลั่งมีสีส้มเหลืองเป็นเพียงผลข้างเคียงจากสียาที่ไม่อันตราย ไม่จำเป็นต้องหยุดยาทันที
• ข้อ จ. (หากอาการข้อนิ้วบวมและ Morning Stiffness หายแล้วสามารถหยุดยาเองได้เลยทันทีเพื่อป้องกันผลข้างเคียงในระยะยาว): โรคข้ออักเสบรูมาตอยด์เป็นโรคเรื้อรังที่ต้องใช้ DMARDs ควบคุมโรคต่อเนื่อง การหยุดยาเองจะทำให้อาการอักเสบกำเริบอย่างรุนแรง
📖 Guideline อ้างอิง:
2021 American College of Rheumatology (ACR) Guideline for the Treatment of Rheumatoid Arthritis &amp; 2020 ACR Guideline for the Management of Reproductive Health in Rheumatic and Musculoskeletal Diseases
📌 จุดจำก่อนสอบ:
• Sulfasalazine Patient Counseling: สารประกอบและเมแทบอไลต์ทำให้ปัสสาวะ เหงื่อ และน้ำตาเปลี่ยนเป็นสีเหลืองส้มเข้ม เป็นปฏิกิริยาปกติที่ปลอดภัย ไม่ต้องหยุดยา แต่ควรเตือนเรื่องการเปรอะเปื้อนเสื้อผ้าหรือคอนแทกต์เลนส์</t>
        </is>
      </c>
      <c r="K151" s="35" t="n"/>
      <c r="L151" s="35" t="inlineStr">
        <is>
          <t>Rheumatoid Arthritis</t>
        </is>
      </c>
      <c r="M151" s="35" t="inlineStr">
        <is>
          <t>Clinic</t>
        </is>
      </c>
      <c r="N151" s="35" t="inlineStr">
        <is>
          <t>ข้อ 18 Mock Musculo RxCU84</t>
        </is>
      </c>
      <c r="O151" s="35" t="inlineStr">
        <is>
          <t>Mock</t>
        </is>
      </c>
      <c r="P151" s="35" t="inlineStr">
        <is>
          <t>Mock RxCU84</t>
        </is>
      </c>
    </row>
    <row r="152" ht="409.6" customHeight="1" s="37">
      <c r="A152" s="35" t="n">
        <v>150</v>
      </c>
      <c r="B152"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ยาใดเหมาะสมที่สุดในการบรรเทาปวดข้อระหว่างรอ DMARDs ออกฤทธิ์ ในหญิงตั้งครรภ์รายนี้</t>
        </is>
      </c>
      <c r="C152" s="35" t="n"/>
      <c r="D152" s="35" t="inlineStr">
        <is>
          <t>Naproxen</t>
        </is>
      </c>
      <c r="E152" s="35" t="inlineStr">
        <is>
          <t>Paracetamol</t>
        </is>
      </c>
      <c r="F152" s="35" t="inlineStr">
        <is>
          <t>Celecoxib</t>
        </is>
      </c>
      <c r="G152" s="35" t="inlineStr">
        <is>
          <t>Aspirin ขนาดสูง</t>
        </is>
      </c>
      <c r="H152" s="35" t="inlineStr">
        <is>
          <t>Indomethacin</t>
        </is>
      </c>
      <c r="I152" s="35" t="n">
        <v>2</v>
      </c>
      <c r="J152" s="35" t="inlineStr">
        <is>
          <t>✅ คำตอบที่ถูกต้อง: ข้อ ข. Paracetamol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 ยาแก้ปวดที่ปลอดภัยที่สุดในทุกไตรมาสคือ Paracetamol (Acetaminophen) สำหรับบรรเทาอาการปวดข้อเบื้องต้น ในขณะที่ NSAIDs มีความเสี่ยงต่อทารกในครรภ์ (โดยเฉพาะการปิดของ Ductus arteriosus ในไตรมาส 2-3)
🔍 ข้ออื่นผิดเพราะอะไร:
• ข้อ ก. (Naproxen): Naproxen เป็น NSAIDs ที่ไม่แนะนำในหญิงตั้งครรภ์เนื่องจากรบกวนการพัฒนาของทารกและทำให้หลอดเลือดหัวใจทารกปิดก่อนกำหนด
• ข้อ ค. (Celecoxib): Celecoxib เป็นยา COX-2 inhibitor ที่มีข้อมูลความปลอดภัยในสตรีมีครรภ์จำกัด และเสี่ยงต่อการเกิดความผิดปกติของไตในทารก
• ข้อ ง. (Aspirin ขนาดสูง): Aspirin ขนาดสูงมีฤทธิ์ต้านเกล็ดเลือดอย่างรุนแรง เพิ่มความเสี่ยงเลือดออกทั้งในมารดาและทารกขณะคลอด
• ข้อ จ. (Indomethacin): Indomethacin มีฤทธิ์รุนแรงในการทำให้ Ductus arteriosus ปิดก่อนกำหนด และทำให้ปริมาณน้ำคร่ำน้อยลงอย่างมีนัยสำคัญ
📖 Guideline อ้างอิง:
2021 American College of Rheumatology (ACR) Guideline for the Treatment of Rheumatoid Arthritis &amp; 2020 ACR Guideline for the Management of Reproductive Health in Rheumatic and Musculoskeletal Diseases
📌 จุดจำก่อนสอบ:
• Analgesic Choice in Pregnancy: Paracetamol ปลอดภัยที่สุดในหญิงตั้งครรภ์ทุกไตรมาส ในขณะที่ NSAIDs จัดเป็นข้อห้ามใช้ในไตรมาสที่ 3</t>
        </is>
      </c>
      <c r="K152" s="35" t="n"/>
      <c r="L152" s="35" t="inlineStr">
        <is>
          <t>Rheumatoid Arthritis</t>
        </is>
      </c>
      <c r="M152" s="35" t="inlineStr">
        <is>
          <t>Clinic</t>
        </is>
      </c>
      <c r="N152" s="35" t="inlineStr">
        <is>
          <t>ข้อ 19 Mock Musculo RxCU84</t>
        </is>
      </c>
      <c r="O152" s="35" t="inlineStr">
        <is>
          <t>Mock</t>
        </is>
      </c>
      <c r="P152" s="35" t="inlineStr">
        <is>
          <t>Mock RxCU84</t>
        </is>
      </c>
    </row>
    <row r="153" ht="409.6" customHeight="1" s="37">
      <c r="A153" s="35" t="n">
        <v>151</v>
      </c>
      <c r="B153"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หากได้รับ NSAIDs ในไตรมาสที่ 3 ผลต่อทารกที่สำคัญที่สุดคือข้อใด</t>
        </is>
      </c>
      <c r="C153" s="35" t="n"/>
      <c r="D153" s="35" t="inlineStr">
        <is>
          <t>ปากแหว่งเพดานโหว่</t>
        </is>
      </c>
      <c r="E153" s="35" t="inlineStr">
        <is>
          <t>น้ำตาลในเลือดต่ำในทารก</t>
        </is>
      </c>
      <c r="F153" s="35" t="inlineStr">
        <is>
          <t>ductus arteriosus ปิดก่อนกำหนด และน้ำคร่ำน้อย</t>
        </is>
      </c>
      <c r="G153" s="35" t="inlineStr">
        <is>
          <t>หัวใจพิการแต่กำเนิด</t>
        </is>
      </c>
      <c r="H153" s="35" t="inlineStr">
        <is>
          <t>ภาวะตัวเหลืองในทารก</t>
        </is>
      </c>
      <c r="I153" s="35" t="n">
        <v>3</v>
      </c>
      <c r="J153" s="35" t="inlineStr">
        <is>
          <t>✅ คำตอบที่ถูกต้อง: ข้อ ค. ductus arteriosus ปิดก่อนกำหนด และน้ำคร่ำน้อย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การใช้ยากลุ่ม NSAIDs ในหญิงตั้งครรภ์ช่วงไตรมาสที่ 3 (โดยเฉพาะอายุครรภ์ตั้งแต่ 20 สัปดาห์ขึ้นไป) จะยับยั้ง Prostaglandin ซึ่งจำเป็นต่อการคงการเปิดของหลอดเลือดหัวใจทารก ส่งผลให้เกิด Premature closure of ductus arteriosus นำไปสู่ Pulmonary hypertension ในทารกแรกเกิด และยับยั้งการไหลเวียนเลือดที่ไตทารกจนเกิดภาวะน้ำคร่ำน้อย (Oligohydramnios)
🔍 ข้ออื่นผิดเพราะอะไร:
• ข้อ ก. (ปากแหว่งเพดานโหว่): ปากแหว่งเพดานโหว่มักมีความสัมพันธ์กับการได้รับยากันชักหรือการขาดโฟเลตในช่วงไตรมาสแรก มากกว่ายาในกลุ่ม NSAIDs
• ข้อ ข. (น้ำตาลในเลือดต่ำในทารก): ภาวะน้ำตาลในเลือดต่ำในทารกมักพบในมารดาที่เป็นโรคเบาหวานขณะตั้งครรภ์ ไม่ใช่ผลข้างเคียงจาก NSAIDs
• ข้อ ง. (หัวใจพิการแต่กำเนิด): ความพิการเชิงโครงสร้างของหัวใจแต่กำเนิดเกิดจากความผิดปกติในระยะสร้างอวัยวะไตรมาสแรก ไม่ใช่ผลจาก NSAIDs ในไตรมาสที่สาม
• ข้อ จ. (ภาวะตัวเหลืองในทารก): ภาวะตัวเหลืองในทารกเกิดจากบิลิรูบินสูง มักสัมพันธ์กับการให้ยาต้านจุลชีพกลุ่มซัลฟาบางชนิด ไม่ใช่จาก NSAIDs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NSAIDs Danger in 3rd Trimester: การใช้ NSAIDs ในช่วงท้ายของการตั้งครรภ์ทำให้เกิด Premature closure of Ductus Arteriosus นำไปสู่ Persistent Pulmonary Hypertension ของทารกแรกเกิด และทำให้ไตทารกขับปัสสาวะลดลงจนเกิด Oligohydramnios</t>
        </is>
      </c>
      <c r="K153" s="35" t="n"/>
      <c r="L153" s="35" t="inlineStr">
        <is>
          <t>Rheumatoid Arthritis</t>
        </is>
      </c>
      <c r="M153" s="35" t="inlineStr">
        <is>
          <t>Clinic</t>
        </is>
      </c>
      <c r="N153" s="35" t="inlineStr">
        <is>
          <t>ข้อ 20 Mock Musculo RxCU84</t>
        </is>
      </c>
      <c r="O153" s="35" t="inlineStr">
        <is>
          <t>Mock</t>
        </is>
      </c>
      <c r="P153" s="35" t="inlineStr">
        <is>
          <t>Mock RxCU84</t>
        </is>
      </c>
    </row>
    <row r="154" ht="409.6" customHeight="1" s="37">
      <c r="A154" s="35" t="n">
        <v>152</v>
      </c>
      <c r="B154"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 ใดปลอดภัยและใช้เป็นยาหลักในหญิงตั้งครรภ์ที่เป็น RA (ต้องติดตามจอประสาทตา)</t>
        </is>
      </c>
      <c r="C154" s="35" t="n"/>
      <c r="D154" s="35" t="inlineStr">
        <is>
          <t>Methotrexate</t>
        </is>
      </c>
      <c r="E154" s="35" t="inlineStr">
        <is>
          <t>Leflunomide</t>
        </is>
      </c>
      <c r="F154" s="35" t="inlineStr">
        <is>
          <t>Cyclophosphamide</t>
        </is>
      </c>
      <c r="G154" s="35" t="inlineStr">
        <is>
          <t>Hydroxychloroquine</t>
        </is>
      </c>
      <c r="H154" s="35" t="inlineStr">
        <is>
          <t>Tofacitinib</t>
        </is>
      </c>
      <c r="I154" s="35" t="n">
        <v>4</v>
      </c>
      <c r="J154" s="35" t="inlineStr">
        <is>
          <t>✅ คำตอบที่ถูกต้อง: ข้อ ง.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(HCQ) เป็น conventional DMARD ที่มีความปลอดภัยและเป็นยาหลักที่เลือกใช้ในหญิงตั้งครรภ์ที่เป็น RA (ร่วมกับ Sulfasalazine) แต่ต้องได้รับการตรวจติดตามจอประสาทตา (Retinopathy screening)
🔍 ข้ออื่นผิดเพราะอะไร:
• ข้อ ก. (Methotrexate): Methotrexate เป็นสารก่อมะเร็งและก่อทารกวิรูปอย่างรุนแรง จัดอยู่ใน Pregnancy Category X จึงห้ามใช้เด็ดขาด
• ข้อ ข. (Leflunomide): Leflunomide มีฤทธิ์ก่อความพิการแต่กำเนิดและมีครึ่งชีวิตที่ยาวนานมาก ต้องทำ Washout ด้วย Cholestyramine ก่อนจึงจะตั้งครรภ์ได้
• ข้อ ค. (Cyclophosphamide): Cyclophosphamide เป็นยากดภูมิคุ้มกันกลุ่ม Alkylating agent ที่เป็นพิษต่อเซลล์สูงและก่อทารกวิรูปได้ จึงห้ามใช้ในสตรีมีครรภ์
• ข้อ จ. (Tofacitinib): Tofacitinib เป็น JAK inhibitor ซึ่งข้อมูลในมนุษย์ยังมีจำกัด และพบรายงานการก่อวิรูปในสัตว์ทดลอง จึงยังไม่แนะนำให้ใช้
📖 Guideline อ้างอิง:
2021 American College of Rheumatology (ACR) Guideline for the Treatment of Rheumatoid Arthritis &amp; 2020 ACR Guideline for the Management of Reproductive Health in Rheumatic and Musculoskeletal Diseases
📌 จุดจำก่อนสอบ:
• Pregnancy-safe DMARD of Choice: Hydroxychloroquine เป็นยาหลักที่มีความปลอดภัยสูงที่สุดในหญิงตั้งครรภ์ที่เป็น RA แต่ต้องตรวจคัดกรองจอประสาทตาอย่างเคร่งครัด</t>
        </is>
      </c>
      <c r="K154" s="35" t="n"/>
      <c r="L154" s="35" t="inlineStr">
        <is>
          <t>Rheumatoid Arthritis</t>
        </is>
      </c>
      <c r="M154" s="35" t="inlineStr">
        <is>
          <t>Clinic</t>
        </is>
      </c>
      <c r="N154" s="35" t="inlineStr">
        <is>
          <t>ข้อ 21 Mock Musculo RxCU84</t>
        </is>
      </c>
      <c r="O154" s="35" t="inlineStr">
        <is>
          <t>Mock</t>
        </is>
      </c>
      <c r="P154" s="35" t="inlineStr">
        <is>
          <t>Mock RxCU84</t>
        </is>
      </c>
    </row>
    <row r="155" ht="409.6" customHeight="1" s="37">
      <c r="A155" s="35" t="n">
        <v>153</v>
      </c>
      <c r="B155"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ข้อใดกล่าวถูกต้องเกี่ยวกับ methotrexate ในบริบทการตั้งครรภ์</t>
        </is>
      </c>
      <c r="C155" s="35" t="n"/>
      <c r="D155" s="35" t="inlineStr">
        <is>
          <t>เป็นสารก่อวิรูป ห้ามใช้ในครรภ์</t>
        </is>
      </c>
      <c r="E155" s="35" t="inlineStr">
        <is>
          <t>ปลอดภัยในไตรมาส 2–3</t>
        </is>
      </c>
      <c r="F155" s="35" t="inlineStr">
        <is>
          <t>ใช้ต่อได้หากให้ folic acid สูง</t>
        </is>
      </c>
      <c r="G155" s="35" t="inlineStr">
        <is>
          <t>เป็นยาหลักในหญิงตั้งครรภ์</t>
        </is>
      </c>
      <c r="H155" s="35" t="inlineStr">
        <is>
          <t>ไม่ผ่านรก</t>
        </is>
      </c>
      <c r="I155" s="35" t="n">
        <v>1</v>
      </c>
      <c r="J155" s="35" t="inlineStr">
        <is>
          <t>✅ คำตอบที่ถูกต้อง: ข้อ ก. เป็นสารก่อวิรูป ห้ามใช้ในครรภ์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เป็น Folic acid antagonist ที่มีฤทธิ์ Teratogenic สูง จัดเป็น Pregnancy Category X ห้ามใช้ในสตรีมีครรภ์โดยเด็ดขาด เนื่องจากทำให้ทารกพิการแต่กำเนิด (Craniofacial and skeletal abnormalities) และแท้งบุตร
🔍 ข้ออื่นผิดเพราะอะไร:
• ข้อ ข. (ปลอดภัยในไตรมาส 2–3): Methotrexate มีฤทธิ์ขัดขวางการสังเคราะห์ดีเอ็นเอและแบ่งเซลล์ ทำให้ทารกในครรภ์ผิดปกติรุนแรงได้ตลอดการตั้งครรภ์ ห้ามใช้ในทุกไตรมาส
• ข้อ ค. (ใช้ต่อได้หากให้ folic acid สูง): การให้ Folic acid ช่วยลดผลข้างเคียงในผู้ป่วยทั่วไปได้ แต่ไม่สามารถลบล้างความเสี่ยงทารกวิรูปที่รุนแรงได้ จึงห้ามใช้เด็ดขาด
• ข้อ ง. (เป็นยาหลักในหญิงตั้งครรภ์): Methotrexate เป็นยารักษาหลักในผู้ป่วยทั่วไป แต่ในบริบทการตั้งครรภ์ต้องเปลี่ยนไปใช้ยาที่ปลอดภัยกว่าเช่น Hydroxychloroquine
• ข้อ จ. (ไม่ผ่านรก): Methotrexate สามารถซึมผ่านรกเข้าสู่ทารกได้และทำให้เกิดความผิดปกติรุนแรงที่เรียกว่า Fetal Aminopterin Syndrome
📖 Guideline อ้างอิง:
2021 American College of Rheumatology (ACR) Guideline for the Treatment of Rheumatoid Arthritis &amp; 2020 ACR Guideline for the Management of Reproductive Health in Rheumatic and Musculoskeletal Diseases
📌 จุดจำก่อนสอบ:
• MTX Embryotoxicity: Methotrexate เป็นสารก่อทารกวิรูป (Teratogen) อย่างรุนแรง ทำให้เกิด Craniofacial, Skeletal anomalies และแท้งบุตร ต้องคุมกำเนิดอย่างเข้มงวดและหยุดยาก่อนตั้งครรภ์อย่างน้อย 1-3 เดือน</t>
        </is>
      </c>
      <c r="K155" s="35" t="n"/>
      <c r="L155" s="35" t="inlineStr">
        <is>
          <t>Rheumatoid Arthritis</t>
        </is>
      </c>
      <c r="M155" s="35" t="inlineStr">
        <is>
          <t>Clinic</t>
        </is>
      </c>
      <c r="N155" s="35" t="inlineStr">
        <is>
          <t>ข้อ 22 Mock Musculo RxCU84</t>
        </is>
      </c>
      <c r="O155" s="35" t="inlineStr">
        <is>
          <t>Mock</t>
        </is>
      </c>
      <c r="P155" s="35" t="inlineStr">
        <is>
          <t>Mock RxCU84</t>
        </is>
      </c>
    </row>
    <row r="156" ht="409.6" customHeight="1" s="37">
      <c r="A156" s="35" t="n">
        <v>154</v>
      </c>
      <c r="B156" s="35"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ลักษณะใดสนับสนุนการวินิจฉัย RA มากกว่า OA ในผู้ป่วยรายนี้</t>
        </is>
      </c>
      <c r="C156" s="35" t="n"/>
      <c r="D156" s="35" t="inlineStr">
        <is>
          <t>ปวดเมื่อใช้งาน ดีขึ้นเมื่อพัก</t>
        </is>
      </c>
      <c r="E156" s="35" t="inlineStr">
        <is>
          <t>ข้อฝืดตอนเช้าน้อยกว่า 30 นาที</t>
        </is>
      </c>
      <c r="F156" s="35" t="inlineStr">
        <is>
          <t>คลำได้เสียงกรอบแกรบในข้อ</t>
        </is>
      </c>
      <c r="G156" s="35" t="inlineStr">
        <is>
          <t>มักเกิดที่ข้อปลายนิ้ว (DIP)</t>
        </is>
      </c>
      <c r="H156" s="35" t="inlineStr">
        <is>
          <t>ข้อฝืดตอนเช้ามากกว่า 1 ชั่วโมง ร่วมกับข้ออักเสบสมมาตร</t>
        </is>
      </c>
      <c r="I156" s="35" t="n">
        <v>5</v>
      </c>
      <c r="J156" s="35" t="inlineStr">
        <is>
          <t>✅ คำตอบที่ถูกต้อง: ข้อ จ. ข้อฝืดตอนเช้ามากกว่า 1 ชั่วโมง ร่วมกับข้ออักเสบสมมาตร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ลักษณะทางคลินิกที่สำคัญในการแยก RA ออกจาก OA คือ อาการข้อฝืดตึงยามเช้า (Morning stiffness) นานมากกว่า 1 ชั่วโมง ร่วมกับลักษณะการอักเสบของข้อที่มีการบวม แดง ร้อน และเป็นแบบสมมาตรทั้งสองข้าง (Symmetric involvement)
🔍 ข้ออื่นผิดเพราะอะไร:
• ข้อ ก. (ปวดเมื่อใช้งาน ดีขึ้นเมื่อพัก): อาการปวดที่สัมพันธ์กับการใช้งานและดีขึ้นเมื่อพักเป็นลักษณะเฉพาะของโรคข้อเสื่อม (Osteoarthritis) ไม่ใช่ Rheumatoid Arthritis ซึ่งมักจะมีอาการปวดและข้อฝืดรุนแรงขึ้นหลังจากหยุดพักการใช้งาน
• ข้อ ข. (ข้อฝืดตอนเช้าน้อยกว่า 30 นาที): อาการข้อฝืดตึงในตอนเช้า (Morning stiffness) ที่น้อยกว่า 30 นาที เป็นลักษณะที่พบได้ในโรคข้อเสื่อม (OA) หากเป็นลักษณะของ RA มักจะใช้เวลานานกว่า 1 ชั่วโมง
• ข้อ ค. (คลำได้เสียงกรอบแกรบในข้อ): เสียงกรอบแกรบในข้อ (Crepitus) เกิดจากการเสียดสีของผิวกระดูกที่ขาดกระดูกอ่อนปกคลุม ซึ่งเป็นอาการแสดงทางคลินิกที่สำคัญของโรคข้อเสื่อม (OA)
• ข้อ ง. (มักเกิดที่ข้อปลายนิ้ว (DIP)): โรคข้ออักเสบรูมาตอยด์ (RA) มักจะเกิดการอักเสบที่ข้อ PIP และ MCP แต่จะไม่ค่อยพบที่ข้อปลายนิ้ว (DIP) ซึ่งอาการปวดที่ข้อ DIP มักพบในโรคข้อเสื่อม (OA) หรือ Psoriatic arthritis
📖 Guideline อ้างอิง:
2021 American College of Rheumatology (ACR) Guideline for the Treatment of Rheumatoid Arthritis &amp; 2020 ACR Guideline for the Management of Reproductive Health in Rheumatic and Musculoskeletal Diseases
📌 จุดจำก่อนสอบ:
• Cardinal Features of RA: ข้ออักเสบสมมาตร 2 ข้าง (Symmetric polyarthritis) บวม แดง ร้อน และมีอาการข้อฝืดตึงยามเช้านานมากกว่า 1 ชั่วโมง บ่งชี้ถึงภาวะข้ออักเสบจากภูมิคุ้มกัน (RA) ชัดเจน</t>
        </is>
      </c>
      <c r="K156" s="35" t="n"/>
      <c r="L156" s="35" t="inlineStr">
        <is>
          <t>Rheumatoid Arthritis</t>
        </is>
      </c>
      <c r="M156" s="35" t="inlineStr">
        <is>
          <t>Clinic</t>
        </is>
      </c>
      <c r="N156" s="35" t="inlineStr">
        <is>
          <t>ข้อ 23 Mock Musculo RxCU84</t>
        </is>
      </c>
      <c r="O156" s="35" t="inlineStr">
        <is>
          <t>Mock</t>
        </is>
      </c>
      <c r="P156" s="35" t="inlineStr">
        <is>
          <t>Mock RxCU84</t>
        </is>
      </c>
    </row>
    <row r="157" ht="409.6" customHeight="1" s="37">
      <c r="A157" s="35" t="n">
        <v>155</v>
      </c>
      <c r="B157"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ยาใดควรใช้เป็นอันดับแรกเพื่อรักษาอาการกำเริบ (Acute attack)?</t>
        </is>
      </c>
      <c r="C157" s="35" t="n"/>
      <c r="D157" s="35" t="inlineStr">
        <is>
          <t>Allopurinol</t>
        </is>
      </c>
      <c r="E157" s="35" t="inlineStr">
        <is>
          <t>Febuxostat</t>
        </is>
      </c>
      <c r="F157" s="35" t="inlineStr">
        <is>
          <t>Colchicine</t>
        </is>
      </c>
      <c r="G157" s="35" t="inlineStr">
        <is>
          <t>Probenecid</t>
        </is>
      </c>
      <c r="H157" s="35" t="inlineStr">
        <is>
          <t>Sulfinpyrazone</t>
        </is>
      </c>
      <c r="I157" s="35" t="n">
        <v>3</v>
      </c>
      <c r="J157" s="35" t="inlineStr">
        <is>
          <t>✅ คำตอบที่ถูกต้อง: ข้อ ค. Colchicine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ในการรักษาภาวะข้ออักเสบเกาต์กำเริบเฉียบพลัน (Acute gout attack) First-line anti-inflammatory drugs คือ Colchicine, NSAIDs หรือ Systemic Corticosteroids ห้ามเริ่มยาลดกรดยูริก (Urate-lowering therapy: Allopurinol, Febuxostat, Probenecid) เป็นอันดับแรกในขณะข้อกำลังอักเสบเฉียบพลัน เพราะการเปลี่ยนแปลงระดับยูริกอย่างรวดเร็วจะทำให้ผลึกหลุดและข้ออักเสบรุนแรงขึ้น (Gout flare)
🔍 ข้ออื่นผิดเพราะอะไร:
• ข้อ ก. (Allopurinol): Allopurinol เป็นยาลดกรดยูริก (ULT) ซึ่งไม่มีฤทธิ์ต้านการอักเสบ การเริ่มยาในขณะที่มีข้ออักเสบเฉียบพลันอาจทำให้ระดับกรดยูริกในเลือดเปลี่ยนแปลงอย่างรวดเร็วและกระตุ้นให้ข้ออักเสบรุนแรงขึ้นได้
• ข้อ ข. (Febuxostat): Febuxostat เป็นยาลดกรดยูริกในกลุ่ม Xanthine oxidase inhibitor เช่นเดียวกับ Allopurinol จึงไม่มีบทบาทในการลดปวดช่วง Acute attack และอาจทำให้การอักเสบกำเริบหนักขึ้น
• ข้อ ง. (Probenecid): Probenecid เป็นยากลุ่ม Uricosuric ที่เร่งการขับกรดยูริกออกทางไต ไม่มีฤทธิ์ต้านการอักเสบ จึงไม่ใช้ในการรักษาภาวะข้ออักเสบเกาต์กำเริบเฉียบพลัน
• ข้อ จ. (Sulfinpyrazone): Sulfinpyrazone มีกลไกการออกฤทธิ์เป็น Uricosuric agent เช่นกัน ซึ่งไม่มีข้อบ่งใช้ในการรักษา Acute gout flare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Management Rule: ในช่วง Acute Gout Flare ให้ใช้ยาต้านการอักเสบ (Colchicine, NSAIDs, Steroids) เท่านั้น ห้ามเริ่มต้นยาลดกรดยูริก (ULT เช่น Allopurinol) ในผู้ป่วยใหม่ทันทีขณะข้อกำลังอักเสบเฉียบพลัน เพราะการเปลี่ยนแปลงระดับยูริกจะทำให้ผลึกหลุดและอักเสบรุนแรงขึ้น</t>
        </is>
      </c>
      <c r="K157" s="35" t="n"/>
      <c r="L157" s="35" t="inlineStr">
        <is>
          <t>Gout &amp; Hyperuricemia</t>
        </is>
      </c>
      <c r="M157" s="35" t="inlineStr">
        <is>
          <t>Clinic</t>
        </is>
      </c>
      <c r="N157" s="35" t="inlineStr">
        <is>
          <t>ข้อ 24 Mock Musculo RxCU84</t>
        </is>
      </c>
      <c r="O157" s="35" t="inlineStr">
        <is>
          <t>Mock</t>
        </is>
      </c>
      <c r="P157" s="35" t="inlineStr">
        <is>
          <t>Mock RxCU84</t>
        </is>
      </c>
    </row>
    <row r="158" ht="409.6" customHeight="1" s="37">
      <c r="A158" s="35" t="n">
        <v>156</v>
      </c>
      <c r="B158"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ขนาดยา Colchicine ที่ถูกต้องใน Acute Gout คือข้อใด (ผู้ป่วยไตปกติ)?</t>
        </is>
      </c>
      <c r="C158" s="35" t="n"/>
      <c r="D158" s="35" t="inlineStr">
        <is>
          <t>1.2 mg OD</t>
        </is>
      </c>
      <c r="E158" s="35" t="inlineStr">
        <is>
          <t>0.6 mg tid</t>
        </is>
      </c>
      <c r="F158" s="35" t="inlineStr">
        <is>
          <t>1.2 mg ทันที ตามด้วย 0.6 mg ใน 1 ชม.</t>
        </is>
      </c>
      <c r="G158" s="35" t="inlineStr">
        <is>
          <t>0.6 mg ทุก 2 ชม. จนกว่าจะท้องเสีย</t>
        </is>
      </c>
      <c r="H158" s="35" t="inlineStr">
        <is>
          <t>1.2 mg ทันที ตามด้วย 1.2 mg ใน 1 ชม. เฉลย</t>
        </is>
      </c>
      <c r="I158" s="35" t="n">
        <v>3</v>
      </c>
      <c r="J158" s="35" t="inlineStr">
        <is>
          <t>✅ คำตอบที่ถูกต้อง: ข้อ ค. 1.2 mg ทันที ตามด้วย 0.6 mg ใน 1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ตามแนวทางการรักษาของ ACR guideline ขนาดยา Colchicine ที่ถูกต้องใน Acute gout attack สำหรับผู้ที่มีการทำงานของไตปกติ คือขนาดต่ำ: 1.2 mg (หรือ 2 เม็ดของ 0.6 mg) รับประทานทันที ตามด้วย 0.6 mg อีก 1 ชั่วโมงต่อมา (รวม 1.8 mg ในวันแรก) ให้ประสิทธิภาพเทียบเท่าขนาดสูงเดิม แต่ผลข้างเคียงทางเดินอาหาร (ท้องเสีย) ต่ำกว่าอย่างมีนัยสำคัญ
🔍 ข้ออื่นผิดเพราะอะไร:
• ข้อ ก. (1.2 mg OD): ขนาดยา Colchicine 1.2 mg วันละครั้ง เป็นขนาดยาที่สูงเกินไปสำหรับการป้องกัน (Prophylaxis) และไม่เหมาะสมสำหรับการรักษาภาวะข้ออักเสบเฉียบพลัน
• ข้อ ข. (0.6 mg tid): การให้ยา Colchicine 0.6 mg วันละ 3 ครั้ง ไม่ใช่ regimen ที่ได้รับการแนะนำตามแนวทางปัจจุบันสำหรับการรักษา Acute attack เนื่องจากประสิทธิภาพไม่ดีเท่า loading dose
• ข้อ ง. (0.6 mg ทุก 2 ชม. จนกว่าจะท้องเสีย): การให้ Colchicine 0.6 mg ทุก 2 ชั่วโมงจนกว่าจะมีอาการท้องเสีย เป็นวิธีการรักษาแบบเก่าที่มีความเสี่ยงต่อการเกิดพิษต่อระบบทางเดินอาหารและไตอย่างรุนแรง จึงถูกยกเลิกไปแล้ว
• ข้อ จ. (1.2 mg ทันที ตามด้วย 1.2 mg ใน 1 ชม. เฉลย): การให้ขนาดยา 1.2 mg ตามด้วย 1.2 mg ใน 1 ชั่วโมง เป็นขนาดยาที่เกินกว่า maximum dose ที่แนะนำสำหรับการรักษาเฉียบพลัน (1.8 mg ภายใน 1 ชั่วโมง) ซึ่งเพิ่มความเสี่ยงต่อการเกิดพิษ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Modern Colchicine Dosing: ตาม ACR Guideline ขนาดยา Colchicine ที่ถูกต้องใน Acute attack คือ 1.2 mg ทันที ตามด้วย 0.6 mg ในอีก 1 ชั่วโมงต่อมา (รวมวันแรก 1.8 mg) ประสิทธิภาพเท่าขนาดเดิมแต่ลดอาการท้องเสียอย่างมาก</t>
        </is>
      </c>
      <c r="K158" s="35" t="n"/>
      <c r="L158" s="35" t="inlineStr">
        <is>
          <t>Gout &amp; Hyperuricemia</t>
        </is>
      </c>
      <c r="M158" s="35" t="inlineStr">
        <is>
          <t>Clinic</t>
        </is>
      </c>
      <c r="N158" s="35" t="inlineStr">
        <is>
          <t>ข้อ 25 Mock Musculo RxCU84</t>
        </is>
      </c>
      <c r="O158" s="35" t="inlineStr">
        <is>
          <t>Mock</t>
        </is>
      </c>
      <c r="P158" s="35" t="inlineStr">
        <is>
          <t>Mock RxCU84</t>
        </is>
      </c>
    </row>
    <row r="159" ht="409.6" customHeight="1" s="37">
      <c r="A159" s="35" t="n">
        <v>157</v>
      </c>
      <c r="B159"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ยาความดันตัวใดของผู้ป่วยที่มีฤทธิ์เพิ่มการขับกรดยูริก (Uricosuric effect)?</t>
        </is>
      </c>
      <c r="C159" s="35" t="n"/>
      <c r="D159" s="35" t="inlineStr">
        <is>
          <t>Bisoprolol</t>
        </is>
      </c>
      <c r="E159" s="35" t="inlineStr">
        <is>
          <t>Losartan</t>
        </is>
      </c>
      <c r="F159" s="35" t="inlineStr">
        <is>
          <t>Amlodipine</t>
        </is>
      </c>
      <c r="G159" s="35" t="inlineStr">
        <is>
          <t>Enalapril</t>
        </is>
      </c>
      <c r="H159" s="35" t="inlineStr">
        <is>
          <t>Diltiazem</t>
        </is>
      </c>
      <c r="I159" s="35" t="n">
        <v>2</v>
      </c>
      <c r="J159" s="35" t="inlineStr">
        <is>
          <t>✅ คำตอบที่ถูกต้อง: ข้อ ข. Losartan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Losartan เป็นยากลุ่ม Angiotensin II Receptor Blocker (ARB) เพียงตัวเดียวที่มีผลยับยั้งตัวขนส่ง URAT1 ที่ท่อไต จึงมีฤทธิ์ Uricosuric ช่วยเพิ่มการขับกรดยูริกออกทางปัสสาวะ เหมาะสำหรับการรักษาความดันโลหิตสูงในผู้ป่วยโรคเกาต์
🔍 ข้ออื่นผิดเพราะอะไร:
• ข้อ ก. (Bisoprolol): Bisoprolol เป็นยาในกลุ่ม Beta-blocker ซึ่งไม่มีผลในการเพิ่มการขับกรดยูริกออกทางไต และอาจส่งผลให้ระดับกรดยูริกในเลือดเพิ่มขึ้นเล็กน้อยในผู้ป่วยบางราย
• ข้อ ค. (Amlodipine): Amlodipine เป็นยาในกลุ่ม Calcium channel blocker ที่อาจมีผลลดกรดยูริกได้เพียงเล็กน้อย แต่ไม่มีฤทธิ์ Uricosuric ที่ชัดเจนเหมือน Losartan
• ข้อ ง. (Enalapril): Enalapril เป็นยาในกลุ่ม ACE inhibitor ซึ่งไม่มีกลไกในการเพิ่มการขับกรดยูริก (Uricosuric effect) ทางไตแต่อย่างใด
• ข้อ จ. (Diltiazem): Diltiazem เป็นยาในกลุ่ม Non-dihydropyridine CCB ซึ่งไม่มีรายงานถึงผลทางคลินิกในการช่วยเพิ่มการขับกรดยูริกออกทางไต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Losartan Uricosuric Property: Losartan ยับยั้งตัวขนส่ง URAT1 ที่ท่อไตส่วนต้น ช่วยเพิ่มการขับกรดยูริกออกทางปัสสาวะ เหมาะที่สุดสำหรับผู้ป่วยความดันโลหิตสูงที่มีโรคเกาต์ร่วมด้วย</t>
        </is>
      </c>
      <c r="K159" s="35" t="n"/>
      <c r="L159" s="35" t="inlineStr">
        <is>
          <t>Gout &amp; Hyperuricemia</t>
        </is>
      </c>
      <c r="M159" s="35" t="inlineStr">
        <is>
          <t>Clinic</t>
        </is>
      </c>
      <c r="N159" s="35" t="inlineStr">
        <is>
          <t>ข้อ 26 Mock Musculo RxCU84</t>
        </is>
      </c>
      <c r="O159" s="35" t="inlineStr">
        <is>
          <t>Mock</t>
        </is>
      </c>
      <c r="P159" s="35" t="inlineStr">
        <is>
          <t>Mock RxCU84</t>
        </is>
      </c>
    </row>
    <row r="160" ht="409.6" customHeight="1" s="37">
      <c r="A160" s="35" t="n">
        <v>158</v>
      </c>
      <c r="B160"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อาหารใดที่จัดว่ามีพิวรีน (Purine) สูงและควรงด?</t>
        </is>
      </c>
      <c r="C160" s="35" t="n"/>
      <c r="D160" s="35" t="inlineStr">
        <is>
          <t>ข้าวสวย</t>
        </is>
      </c>
      <c r="E160" s="35" t="inlineStr">
        <is>
          <t>ไข่ไก่</t>
        </is>
      </c>
      <c r="F160" s="35" t="inlineStr">
        <is>
          <t>เครื่องในสัตว์และเบียร์</t>
        </is>
      </c>
      <c r="G160" s="35" t="inlineStr">
        <is>
          <t>นมวัว</t>
        </is>
      </c>
      <c r="H160" s="35" t="inlineStr">
        <is>
          <t>ผลไม้</t>
        </is>
      </c>
      <c r="I160" s="35" t="n">
        <v>3</v>
      </c>
      <c r="J160" s="35" t="inlineStr">
        <is>
          <t>✅ คำตอบที่ถูกต้อง: ข้อ ค. เครื่องในสัตว์และเบียร์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อาหารที่มีพิวรีนสูงมาก (Very high purine &gt; 150 mg/100 g) และเครื่องดื่มแอลกอฮอล์โดยเฉพาะเบียร์ (มีทั้ง Purine guanosine และแอลกอฮอล์ที่แย่งการขับกรดยูริก) รวมทั้งเครื่องในสัตว์และสัตว์ปีก เป็นสิ่งกระตุ้นสำคัญที่ทำให้กรดยูริกในเลือดพุ่งสูง จึงควรงดอย่างยิ่ง
🔍 ข้ออื่นผิดเพราะอะไร:
• ข้อ ก. (ข้าวสวย): ข้าวสวยเป็นอาหารในกลุ่มคาร์โบไฮเดรตที่มีปริมาณพิวรีนต่ำมาก สามารถรับประทานได้ในผู้ป่วยโรคเกาต์โดยไม่กระตุ้นให้เกิดข้ออักเสบ
• ข้อ ข. (ไข่ไก่): ไข่ไก่เป็นแหล่งโปรตีนที่ไม่มีนิวเคลียสเซลล์จำนวนมาก จึงจัดเป็นอาหารที่มีพิวรีนต่ำและมีความปลอดภัยสำหรับผู้ป่วยโรคเกาต์
• ข้อ ง. (นมวัว): นมวัวและผลิตภัณฑ์จากนมจัดเป็นอาหารที่มีพิวรีนต่ำ นอกจากนี้โปรตีนในนมยังมีคุณสมบัติเป็น Uricosuric อ่อนๆ ที่ช่วยเร่งการขับกรดยูริกออกทางไตด้วย
• ข้อ จ. (ผลไม้): ผลไม้ส่วนใหญ่มีปริมาณพิวรีนต่ำมาก จึงไม่ใช่กลุ่มอาหารที่ต้องงดเว้น อย่างไรก็ตามควรระวังผลไม้ที่มีน้ำตาลฟรุกโตสสูงมากๆ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Dietary Triggers: สัตว์ปีก เครื่องในสัตว์ ยอดผัก อาหารทะเลบางชนิด และเครื่องดื่มแอลกอฮอล์ (โดยเฉพาะเบียร์) เป็นตัวกระตุ้นหลักที่ทำให้ระดับกรดยูริกสูงขึ้นอย่างรวดเร็ว</t>
        </is>
      </c>
      <c r="K160" s="35" t="n"/>
      <c r="L160" s="35" t="inlineStr">
        <is>
          <t>Gout &amp; Hyperuricemia</t>
        </is>
      </c>
      <c r="M160" s="35" t="inlineStr">
        <is>
          <t>Clinic</t>
        </is>
      </c>
      <c r="N160" s="35" t="inlineStr">
        <is>
          <t>ข้อ 27 Mock Musculo RxCU84</t>
        </is>
      </c>
      <c r="O160" s="35" t="inlineStr">
        <is>
          <t>Mock</t>
        </is>
      </c>
      <c r="P160" s="35" t="inlineStr">
        <is>
          <t>Mock RxCU84</t>
        </is>
      </c>
    </row>
    <row r="161" ht="409.6" customHeight="1" s="37">
      <c r="A161" s="35" t="n">
        <v>159</v>
      </c>
      <c r="B161"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เป้าหมายการลดระดับกรดยูริก (Target Serum Uric Acid) ในผู้ป่วยเกาต์ทั่วไปคือเท่าใด?</t>
        </is>
      </c>
      <c r="C161" s="35" t="n"/>
      <c r="D161" s="35" t="inlineStr">
        <is>
          <t>&lt; 4 mg/dL</t>
        </is>
      </c>
      <c r="E161" s="35" t="inlineStr">
        <is>
          <t>&lt; 5 mg/dL</t>
        </is>
      </c>
      <c r="F161" s="35" t="inlineStr">
        <is>
          <t>&lt; 6 mg/dL</t>
        </is>
      </c>
      <c r="G161" s="35" t="inlineStr">
        <is>
          <t>&lt; 7 mg/dL</t>
        </is>
      </c>
      <c r="H161" s="35" t="inlineStr">
        <is>
          <t>&lt; 8 mg/dL</t>
        </is>
      </c>
      <c r="I161" s="35" t="n">
        <v>3</v>
      </c>
      <c r="J161" s="35" t="inlineStr">
        <is>
          <t>✅ คำตอบที่ถูกต้อง: ข้อ ค. &lt;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ตามคำแนะนำของ ACR และสมาคมรูมาติสซั่มแห่งประเทศไทย เป้าหมายระดับกรดยูริกในเลือดระยะยาว (Target Serum Uric Acid) สำหรับผู้ป่วยโรคเกาต์ทั่วไปคือ &lt; 6 mg/dL (และ &lt; 5 mg/dL ในกรณีที่มีปุ่มโทฟัส โครงสร้างข้อถูกทำลาย หรือมีข้ออักเสบกำเริบบ่อยครั้ง)
🔍 ข้ออื่นผิดเพราะอะไร:
• ข้อ ก. (&lt; 4 mg/dL): ระดับกรดยูริกที่น้อยกว่า 4 mg/dL เป็นระดับที่ต่ำกว่าเป้าหมายทั่วไป อาจพิจารณาในผู้ป่วยที่มี Tophi รุนแรงมาก แต่ไม่ใช่เป้าหมายมาตรฐาน (Target) เริ่มต้น
• ข้อ ข. (&lt; 5 mg/dL): เป้าหมาย &lt; 5 mg/dL มักจะแนะนำเฉพาะในผู้ป่วยโรคเกาต์ที่มีก้อน Tophi ชัดเจน มีข้ออักเสบเรื้อรัง หรือมีนิ่วในไต แต่ไม่ใช่เป้าหมายสำหรับผู้ป่วยเกาต์ทั่วไป
• ข้อ ง. (&lt; 7 mg/dL): การลดระดับกรดยูริกให้ &lt; 7 mg/dL ถือว่ายังสูงเกินไปและไม่เพียงพอที่จะทำให้ผลึก Monosodium urate ในข้อละลายกลับเข้าสู่กระแสเลือดได้หมด
• ข้อ จ. (&lt; 8 mg/dL): ระดับกรดยูริกเป้าหมาย &lt; 8 mg/dL เป็นระดับที่สูงเกินกว่าจุดอิ่มตัวของยูเรตในเลือด (ประมาณ 6.8 mg/dL) ทำให้ยังคงมีการตกผลึกสะสมในข้ออย่างต่อเนื่อง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เป้าหมายระยะยาวสำหรับผู้ป่วยโรคเกาต์ทั่วไปคือ Serum Uric Acid &lt; 6.0 mg/dL (และ &lt; 5.0 mg/dL ในรายที่มีก้อน Tophi หรือกระดูกข้อถูกทำลาย)</t>
        </is>
      </c>
      <c r="K161" s="35" t="n"/>
      <c r="L161" s="35" t="inlineStr">
        <is>
          <t>Gout &amp; Hyperuricemia</t>
        </is>
      </c>
      <c r="M161" s="35" t="inlineStr">
        <is>
          <t>Clinic</t>
        </is>
      </c>
      <c r="N161" s="35" t="inlineStr">
        <is>
          <t>ข้อ 28 Mock Musculo RxCU84</t>
        </is>
      </c>
      <c r="O161" s="35" t="inlineStr">
        <is>
          <t>Mock</t>
        </is>
      </c>
      <c r="P161" s="35" t="inlineStr">
        <is>
          <t>Mock RxCU84</t>
        </is>
      </c>
    </row>
    <row r="162" ht="409.6" customHeight="1" s="37">
      <c r="A162" s="35" t="n">
        <v>160</v>
      </c>
      <c r="B162"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หากจะเริ่มยา Allopurinol ต้องระวังการเกิดผื่นแพ้ยารุนแรง (SJS/TEN) ควรตรวจยีนใดก่อนเริ่มยา?</t>
        </is>
      </c>
      <c r="C162" s="35" t="n"/>
      <c r="D162" s="35" t="inlineStr">
        <is>
          <t>HLA-B15:02</t>
        </is>
      </c>
      <c r="E162" s="35" t="inlineStr">
        <is>
          <t>HLA-B58:01</t>
        </is>
      </c>
      <c r="F162" s="35" t="inlineStr">
        <is>
          <t>HLA-B57:01</t>
        </is>
      </c>
      <c r="G162" s="35" t="inlineStr">
        <is>
          <t>CYP2C9</t>
        </is>
      </c>
      <c r="H162" s="35" t="inlineStr">
        <is>
          <t>DPYD</t>
        </is>
      </c>
      <c r="I162" s="35" t="n">
        <v>2</v>
      </c>
      <c r="J162" s="35"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ก่อนเริ่มต้นยา Allopurinol ในประชากรกลุ่มเสี่ยง (เช่น คนเชื้อสายเอเชีย ไทย ฮ่องกง ฮั่น จีน) ควรตรวจคัดกรองยีนแพ้ยา HLA-B58:01 เสมอ เพื่อป้องกันการเกิดปฏิกิริยาการแพ้ยารุนแรงทางผิวหนัง (SCARs: SJS/TEN และ DRESS syndrome)
🔍 ข้ออื่นผิดเพราะอะไร:
• ข้อ ก. (HLA-B15:02): HLA-B15:02 เป็นยีนที่มีความเสี่ยงต่อการเกิดผื่นแพ้ยารุนแรง (SJS/TEN) จากยา Carbamazepine และ Phenytoin ไม่ใช่ยีนที่เกี่ยวข้องกับ Allopurinol
• ข้อ ค. (HLA-B57:01): HLA-B57:01 เป็นยีนที่ต้องตรวจก่อนเริ่มยาต้านไวรัส Abacavir เพื่อป้องกันภาวะ Abacavir hypersensitivity syndrome
• ข้อ ง. (CYP2C9): CYP2C9 เป็นยีนที่เกี่ยวข้องกับกระบวนการเมแทบอลิซึมของยาหลายชนิด เช่น Warfarin และ Phenytoin ไม่มีบทบาทในการพยากรณ์การแพ้ยา Allopurinol
• ข้อ จ. (DPYD): DPYD เป็นยีนที่ควบคุมการสร้างเอนไซม์ DPD ซึ่งเกี่ยวข้องกับการเกิดพิษรุนแรงจากการได้รับยาเคมีบำบัดกลุ่ม Fluoropyrimidines เช่น 5-FU หรือ Capecitabine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Pharmacogenomics of Allopurinol: ในประชากรเอเชีย (ไทย ฮั่น จีน ฮ่องกง) ต้องตรวจคัดกรองยีน HLA-B58:01 ก่อนเริ่ม Allopurinol เพื่อป้องกันการเกิดผื่นแพ้ยารุนแรงชนิด SJS/TEN และ DRESS</t>
        </is>
      </c>
      <c r="K162" s="35" t="n"/>
      <c r="L162" s="35" t="inlineStr">
        <is>
          <t>Gout &amp; Hyperuricemia</t>
        </is>
      </c>
      <c r="M162" s="35" t="inlineStr">
        <is>
          <t>Clinic</t>
        </is>
      </c>
      <c r="N162" s="35" t="inlineStr">
        <is>
          <t>ข้อ 29 Mock Musculo RxCU84</t>
        </is>
      </c>
      <c r="O162" s="35" t="inlineStr">
        <is>
          <t>Mock</t>
        </is>
      </c>
      <c r="P162" s="35" t="inlineStr">
        <is>
          <t>Mock RxCU84</t>
        </is>
      </c>
    </row>
    <row r="163" ht="409.6" customHeight="1" s="37">
      <c r="A163" s="35" t="n">
        <v>161</v>
      </c>
      <c r="B163"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ยาใดที่ มีข้อห้ามใช้ร่วมกับ Allopurinol เพราะจะทำให้ยาตัวนั้นเกิดพิษ?</t>
        </is>
      </c>
      <c r="C163" s="35" t="n"/>
      <c r="D163" s="35" t="inlineStr">
        <is>
          <t>Metformin</t>
        </is>
      </c>
      <c r="E163" s="35" t="inlineStr">
        <is>
          <t>Bisoprolol</t>
        </is>
      </c>
      <c r="F163" s="35" t="inlineStr">
        <is>
          <t>Azathioprine</t>
        </is>
      </c>
      <c r="G163" s="35" t="inlineStr">
        <is>
          <t>Atorvastatin</t>
        </is>
      </c>
      <c r="H163" s="35" t="inlineStr">
        <is>
          <t>Losartan</t>
        </is>
      </c>
      <c r="I163" s="35" t="n">
        <v>3</v>
      </c>
      <c r="J163" s="35" t="inlineStr">
        <is>
          <t>✅ คำตอบที่ถูกต้อง: ข้อ ค. Azathioprine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Allopurinol ยับยั้งเอนไซม์ Xanthine Oxidase ซึ่งเป็นเอนไซม์หลักในการทำลายและเปลี่ยน Azathioprine และ 6-Mercaptopurine (6-MP) ให้เป็นสารที่ไม่มีฤทธิ์ หากใช้ร่วมกันจะทำให้ระดับ 6-MP สูงขึ้นอย่างมาก เกิดภาวะกดไขกระดูกอย่างรุนแรง (Severe bone marrow suppression/Aplastic anemia) จึงห้ามใช้ร่วมกันหรือจำเป็นต้องลดขนาดยา Azathioprine ลงเหลือ 25-33% ของขนาดปกติ
🔍 ข้ออื่นผิดเพราะอะไร:
• ข้อ ก. (Metformin): Metformin ถูกขับออกทางไตเป็นหลักในรูปเดิม ไม่มีปฏิกิริยาระหว่างยา (Drug interaction) ทางเมแทบอลิซึมที่มีนัยสำคัญกับ Allopurinol
• ข้อ ข. (Bisoprolol): Bisoprolol เป็น Beta-blocker ที่เมแทบอลิซึมผ่าน CYP3A4 และขับออกทางไต ไม่ได้มีข้อห้ามในการใช้ร่วมกับ Allopurinol
• ข้อ ง. (Atorvastatin): Atorvastatin ถูกทำลายผ่านเอนไซม์ CYP3A4 ที่ตับ ซึ่ง Allopurinol ไม่ได้เป็น CYP3A4 inhibitor หรือ inducer จึงสามารถใช้ร่วมกันได้อย่างปลอดภัย
• ข้อ จ. (Losartan): Losartan เป็นยาลดความดันที่มีผลดีในผู้ป่วยเกาต์เนื่องจากมีฤทธิ์ Uricosuric การใช้ร่วมกับ Allopurinol ถือว่าให้ผลดีและไม่มีข้อห้าม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Allopurinol &amp; Azathioprine / 6-MP Interaction: Allopurinol ยับยั้งเอนไซม์ Xanthine oxidase ขัดขวางการทำลาย 6-MP ทำให้ระดับยาในเลือดสูงขึ้นจนเกิดภาวะกดไขกระดูกรุนแรงถึงแก่ชีวิต (Severe Pancytopenia)</t>
        </is>
      </c>
      <c r="K163" s="35" t="n"/>
      <c r="L163" s="35" t="inlineStr">
        <is>
          <t>Gout &amp; Hyperuricemia</t>
        </is>
      </c>
      <c r="M163" s="35" t="inlineStr">
        <is>
          <t>Clinic</t>
        </is>
      </c>
      <c r="N163" s="35" t="inlineStr">
        <is>
          <t>ข้อ 30 Mock Musculo RxCU84</t>
        </is>
      </c>
      <c r="O163" s="35" t="inlineStr">
        <is>
          <t>Mock</t>
        </is>
      </c>
      <c r="P163" s="35" t="inlineStr">
        <is>
          <t>Mock RxCU84</t>
        </is>
      </c>
    </row>
    <row r="164" ht="409.6" customHeight="1" s="37">
      <c r="A164" s="35" t="n">
        <v>162</v>
      </c>
      <c r="B164"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เมื่อเริ่มยา Allopurinol (ULT) ควรให้ยาใดควบคู่เพื่อป้องกัน Gout flare?</t>
        </is>
      </c>
      <c r="C164" s="35" t="n"/>
      <c r="D164" s="35" t="inlineStr">
        <is>
          <t>Colchicine 0.6 mg/day นาน 3-6 เดือน</t>
        </is>
      </c>
      <c r="E164" s="35" t="inlineStr">
        <is>
          <t>Prednisolone นาน 1 ปี</t>
        </is>
      </c>
      <c r="F164" s="35" t="inlineStr">
        <is>
          <t>Aspirin 81 mg</t>
        </is>
      </c>
      <c r="G164" s="35" t="inlineStr">
        <is>
          <t>Probenecid</t>
        </is>
      </c>
      <c r="H164" s="35" t="inlineStr">
        <is>
          <t>Paracetamol</t>
        </is>
      </c>
      <c r="I164" s="35" t="n">
        <v>1</v>
      </c>
      <c r="J164" s="35" t="inlineStr">
        <is>
          <t>✅ คำตอบที่ถูกต้อง: ข้อ ก. Colchicine 0.6 mg/day นาน 3-6 เดือน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เมื่อเริ่มต้นยาลดกรดยูริก (Urate-Lowering Therapy: ULT) ระดับกรดยูริกที่ลดลงอย่างรวดเร็วจะทำให้ผลึกยูเรตละลายตัวและกระตุ้นข้ออักเสบกำเริบ (Flare) แนวทางการรักษาจึงแนะนำให้ยาป้องกันการกำเริบ (Anti-inflammatory prophylaxis) ได้แก่ Colchicine 0.5-0.6 mg วันละ 1-2 ครั้ง ต่อเนื่องเป็นเวลา 3-6 เดือน
🔍 ข้ออื่นผิดเพราะอะไร:
• ข้อ ข. (Prednisolone นาน 1 ปี): การให้ Prednisolone เป็นระยะเวลานานถึง 1 ปี มีความเสี่ยงสูงมากที่จะเกิดอาการไม่พึงประสงค์จากคอร์ติโคสเตียรอยด์ เช่น กระดูกพรุน ภาวะน้ำตาลในเลือดสูง และกดภูมิคุ้มกัน
• ข้อ ค. (Aspirin 81 mg): Aspirin ขนาดต่ำ (81 mg) มีผลยับยั้งการขับกรดยูริกที่ท่อไต ส่งผลให้ระดับกรดยูริกในเลือดสูงขึ้นและอาจกระตุ้นให้เกิดอาการข้ออักเสบเกาต์กำเริบได้
• ข้อ ง. (Probenecid): Probenecid เป็นยาลดระดับกรดยูริก (ULT) ไม่มีฤทธิ์ต้านการอักเสบ จึงไม่สามารถใช้เพื่อป้องกันภาวะ Gout flare ที่เกิดจากการเปลี่ยนระดับยูริกอย่างรวดเร็วได้
• ข้อ จ. (Paracetamol): Paracetamol เป็นยาแก้ปวดที่ไม่มีฤทธิ์ต้านการอักเสบ (Anti-inflammatory) ที่เพียงพอในการป้องกันภาวะข้ออักเสบเกาต์กำเริบระหว่างการเริ่มยา ULT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Anti-inflammatory Flare Prophylaxis: เมื่อเริ่มต้นให้ ULT ต้องให้ Colchicine 0.5-0.6 mg วันละ 1-2 ครั้ง ควบคู่ไปด้วยเสมอเป็นเวลาอย่างน้อย 3-6 เดือนเพื่อป้องกันการเกิด Mobilization gout flare</t>
        </is>
      </c>
      <c r="K164" s="35" t="n"/>
      <c r="L164" s="35" t="inlineStr">
        <is>
          <t>Gout &amp; Hyperuricemia</t>
        </is>
      </c>
      <c r="M164" s="35" t="inlineStr">
        <is>
          <t>Clinic</t>
        </is>
      </c>
      <c r="N164" s="35" t="inlineStr">
        <is>
          <t>ข้อ 31 Mock Musculo RxCU84</t>
        </is>
      </c>
      <c r="O164" s="35" t="inlineStr">
        <is>
          <t>Mock</t>
        </is>
      </c>
      <c r="P164" s="35" t="inlineStr">
        <is>
          <t>Mock RxCU84</t>
        </is>
      </c>
    </row>
    <row r="165" ht="409.6" customHeight="1" s="37">
      <c r="A165" s="35" t="n">
        <v>163</v>
      </c>
      <c r="B165"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กลไกการออกฤทธิ์ของ Colchicine คืออะไร?</t>
        </is>
      </c>
      <c r="C165" s="35" t="n"/>
      <c r="D165" s="35" t="inlineStr">
        <is>
          <t>ยับยั้ง COX-2</t>
        </is>
      </c>
      <c r="E165" s="35" t="inlineStr">
        <is>
          <t>ยับยั้ง Xanthine oxidase</t>
        </is>
      </c>
      <c r="F165" s="35" t="inlineStr">
        <is>
          <t>ขัดขวาง Microtubule polymerization ลดการเคลื่อนที่ของ Neutrophil</t>
        </is>
      </c>
      <c r="G165" s="35" t="inlineStr">
        <is>
          <t>เพิ่มการขับ Uric acid</t>
        </is>
      </c>
      <c r="H165" s="35" t="inlineStr">
        <is>
          <t>ยับยั้ง URAT1</t>
        </is>
      </c>
      <c r="I165" s="35" t="n">
        <v>3</v>
      </c>
      <c r="J165" s="35" t="inlineStr">
        <is>
          <t>✅ คำตอบที่ถูกต้อง: ข้อ ค. ขัดขวาง Microtubule polymerization ลดการเคลื่อนที่ของ Neutrophil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กลไกการออกฤทธิ์ของ Colchicine คือการจับกับ Tubulin dimer ยับยั้งกระบวนการ Microtubule polymerization ขัดขวางการเคลื่อนที่ (Chemotaxis), การกลืนกินผลึก (Phagocytosis) และการหลั่งสารอักเสบของเม็ดเลือดขาว Neutrophil ไปยังบริเวณข้อที่อักเสบ
🔍 ข้ออื่นผิดเพราะอะไร:
• ข้อ ก. (ยับยั้ง COX-2): การยับยั้งเอนไซม์ COX-2 เป็นกลไกการออกฤทธิ์ของยากลุ่ม NSAIDs เช่น Etoricoxib หรือ Celecoxib ไม่ใช่กลไกของยา Colchicine
• ข้อ ข. (ยับยั้ง Xanthine oxidase): การยับยั้งเอนไซม์ Xanthine oxidase เป็นกลไกของยาลดการสร้างกรดยูริก ได้แก่ Allopurinol และ Febuxostat
• ข้อ ง. (เพิ่มการขับ Uric acid): การเพิ่มการขับกรดยูริกออกทางไต (Uricosuric effect) เป็นกลไกหลักของยา Probenecid, Benzbromarone และ Sulfinpyrazone
• ข้อ จ. (ยับยั้ง URAT1): การยับยั้งโปรตีนขนส่ง URAT1 ที่ท่อไต เป็นกลไกที่จำเพาะของยา Lesinurad และมีผลในยากลุ่ม Uricosurics อื่นๆ ไม่ใช่ของ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Colchicine Mechanism of Action: จับกับ Tubulin dimer ยับยั้งการรวมตัวของ Microtubules ขัดขวางการเคลื่อนที่ (Chemotaxis) และการกลืนกินผลึก (Phagocytosis) ของ Neutrophil ไปยังตำแหน่งข้ออักเสบ</t>
        </is>
      </c>
      <c r="K165" s="35" t="n"/>
      <c r="L165" s="35" t="inlineStr">
        <is>
          <t>Gout &amp; Hyperuricemia</t>
        </is>
      </c>
      <c r="M165" s="35" t="inlineStr">
        <is>
          <t>Clinic</t>
        </is>
      </c>
      <c r="N165" s="35" t="inlineStr">
        <is>
          <t>ข้อ 32 Mock Musculo RxCU84</t>
        </is>
      </c>
      <c r="O165" s="35" t="inlineStr">
        <is>
          <t>Mock</t>
        </is>
      </c>
      <c r="P165" s="35" t="inlineStr">
        <is>
          <t>Mock RxCU84</t>
        </is>
      </c>
    </row>
    <row r="166" ht="409.6" customHeight="1" s="37">
      <c r="A166" s="35" t="n">
        <v>164</v>
      </c>
      <c r="B166"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ยาลดไขมันใดที่มีฤทธิ์ช่วยลดกรดยูริกได้บ้าง?</t>
        </is>
      </c>
      <c r="C166" s="35" t="n"/>
      <c r="D166" s="35" t="inlineStr">
        <is>
          <t>Simvastatin</t>
        </is>
      </c>
      <c r="E166" s="35" t="inlineStr">
        <is>
          <t>Atorvastatin</t>
        </is>
      </c>
      <c r="F166" s="35" t="inlineStr">
        <is>
          <t>Fenofibrate</t>
        </is>
      </c>
      <c r="G166" s="35" t="inlineStr">
        <is>
          <t>Gemfibrozil</t>
        </is>
      </c>
      <c r="H166" s="35" t="inlineStr">
        <is>
          <t>Ezetimibe</t>
        </is>
      </c>
      <c r="I166" s="35" t="n">
        <v>3</v>
      </c>
      <c r="J166" s="35" t="inlineStr">
        <is>
          <t>✅ คำตอบที่ถูกต้อง: ข้อ ค. Fenofibrate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Fenofibrate มีคุณสมบัติเพิ่มเติมคือมีฤทธิ์ Uricosuric effect โดยยับยั้งตัวขนส่ง URAT1 ที่ท่อไต จึงช่วยเพิ่มการขับกรดยูริกออกทางปัสสาวะและลดระดับกรดยูริกในเลือดลงได้ประมาณ 20-30%
🔍 ข้ออื่นผิดเพราะอะไร:
• ข้อ ก. (Simvastatin): Simvastatin ไม่มีผลที่มีนัยสำคัญทางคลินิกในการเพิ่มการขับกรดยูริกออกทางไต จึงไม่มีบทบาทเพิ่มเติมในการลดระดับยูริก
• ข้อ ข. (Atorvastatin): Atorvastatin อาจมีผลลดระดับกรดยูริกได้เพียงเล็กน้อยเท่านั้น แต่ไม่ได้มีกลไกเพิ่มการขับกรดยูริก (Uricosuric effect) ที่โดดเด่นและชัดเจนเท่า Fenofibrate
• ข้อ ง. (Gemfibrozil): Gemfibrozil เป็นยาลดไตรกลีเซอไรด์กลุ่ม Fibrates ที่ไม่มีฤทธิ์ Uricosuric แตกต่างจาก Fenofibrate อย่างสิ้นเชิง
• ข้อ จ. (Ezetimibe): Ezetimibe เป็นยายับยั้งการดูดซึมคอเลสเตอรอลที่ลำไส้ ไม่มีฤทธิ์หรือกลไกใดที่เกี่ยวข้องกับการลดระดับกรดยูริกในเลือด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Fenofibrate Uricosuric Effect: Fenofibrate มีผลพลอยได้ในการยับยั้ง URAT1 ช่วยเพิ่มการขับกรดยูริกออกทางไต จึงช่วยลดระดับ Serum uric acid ได้ประมาณ 20-30%</t>
        </is>
      </c>
      <c r="K166" s="35" t="n"/>
      <c r="L166" s="35" t="inlineStr">
        <is>
          <t>Gout &amp; Hyperuricemia</t>
        </is>
      </c>
      <c r="M166" s="35" t="inlineStr">
        <is>
          <t>Clinic</t>
        </is>
      </c>
      <c r="N166" s="35" t="inlineStr">
        <is>
          <t>ข้อ 33 Mock Musculo RxCU84</t>
        </is>
      </c>
      <c r="O166" s="35" t="inlineStr">
        <is>
          <t>Mock</t>
        </is>
      </c>
      <c r="P166" s="35" t="inlineStr">
        <is>
          <t>Mock RxCU84</t>
        </is>
      </c>
    </row>
    <row r="167" ht="409.6" customHeight="1" s="37">
      <c r="A167" s="35" t="n">
        <v>165</v>
      </c>
      <c r="B167"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ข้อใดเป็นคำแนะนำในการปรับพฤติกรรมของผู้ป่วยชายชาวฮ่องกงรายนี้</t>
        </is>
      </c>
      <c r="C167" s="35" t="n"/>
      <c r="D167" s="35" t="inlineStr">
        <is>
          <t>ควบคุมอาหารและออกกำลังกายเพื่อลดน้ำหนักตัว โดยตั้งเป้าหมายให้ดัชนีมวลกาย (BMI) ลดลงต่ำกว่า 30 kg/m2</t>
        </is>
      </c>
      <c r="E167" s="35" t="inlineStr">
        <is>
          <t>ลดหรือหลีกเลี่ยงการดื่มเครื่องดื่มแอลกอฮอล์ทุกชนิด</t>
        </is>
      </c>
      <c r="F167" s="35" t="inlineStr">
        <is>
          <t>หลีกเลี่ยงการรับประทานอาหารที่มีสารพิวรีนสูง เช่น สัตว์ปีก เครื่องในสัตว์ และยอดผัก</t>
        </is>
      </c>
      <c r="G167" s="35" t="inlineStr">
        <is>
          <t>ดื่มน้ำสะอาดในปริมาณที่เหมาะสมอย่างน้อย 2–3 ลิตรต่อวัน เพื่อช่วยขับกรดยูริกออกทางไต</t>
        </is>
      </c>
      <c r="H167" s="35" t="inlineStr">
        <is>
          <t>ถูกต้องทุกข้อที่กล่าวมา</t>
        </is>
      </c>
      <c r="I167" s="35" t="n">
        <v>5</v>
      </c>
      <c r="J167" s="35" t="inlineStr">
        <is>
          <t>✅ คำตอบที่ถูกต้อง: ข้อ จ. ถูกต้องทุกข้อที่กล่าวมา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การปรับเปลี่ยนพฤติกรรม (Lifestyle modifications) ในผู้ป่วยโรคเกาต์ประกอบด้วย: การลดน้ำหนักตัวในผู้ที่มีภาวะอ้วน (เป้าหมาย BMI &lt; 25-30), การงดเครื่องดื่มแอลกอฮอล์ทุกชนิด, การหลีกเลี่ยงอาหารที่มีพิวรีนสูงและน้ำหวานที่มี Fructose สูง, และการดื่มน้ำสะอาดให้เพียงพอ 2-3 ลิตรต่อวันเพื่อช่วยขับกรดยูริกและลดความเสี่ยงการเกิดนิ่วในไต จึงถูกต้องทุกข้อที่กล่าวมา
🔍 ข้ออื่นผิดเพราะอะไร:
• ข้อ ก. (ควบคุมอาหารและออกกำลังกายเพื่อลดน้ำหนักตัว โดยตั้งเป้าหมายให้ดัชนีมวลกาย (BMI) ลดลงต่ำกว่า 30 kg/m2): การลดน้ำหนักเป็นข้อแนะนำที่ถูกต้อง แต่คำตอบนี้เป็นเพียงส่วนหนึ่งของการดูแลผู้ป่วยเกาต์ ยังไม่ครอบคลุมการควบคุมอาหารประเภทอื่นๆ
• ข้อ ข. (ลดหรือหลีกเลี่ยงการดื่มเครื่องดื่มแอลกอฮอล์ทุกชนิด): การลดหรืองดดื่มแอลกอฮอล์ช่วยลดความเสี่ยงของการเกิดเกาต์กำเริบได้ แต่คำตอบนี้ยังไม่ครอบคลุมคำแนะนำทั้งหมดที่ผู้ป่วยควรได้รับ
• ข้อ ค. (หลีกเลี่ยงการรับประทานอาหารที่มีสารพิวรีนสูง เช่น สัตว์ปีก เครื่องในสัตว์ และยอดผัก): การหลีกเลี่ยงอาหารที่มีพิวรีนสูงเป็นหลักการสำคัญในการจัดการโรคเกาต์ ทว่าผู้ป่วยยังจำเป็นต้องปรับเปลี่ยนพฤติกรรมในด้านอื่นร่วมด้วย
• ข้อ ง. (ดื่มน้ำสะอาดในปริมาณที่เหมาะสมอย่างน้อย 2–3 ลิตรต่อวัน เพื่อช่วยขับกรดยูริกออกทางไต): การดื่มน้ำอย่างเพียงพอเป็นสิ่งสำคัญเพื่อป้องกันการตกตะกอนของนิ่วยูริก แต่ยังคงเป็นเพียงคำแนะนำข้อหนึ่งจากหลายข้อที่ผู้ป่วยควรปฏิบัติ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Non-pharmacological Gout Care: ดื่มน้ำสะอาด 2-3 ลิตร/วัน เพื่อช่วยไตขับกรดยูริก งดแอลกอฮอล์ทุกชนิด ลดอาหารพิวรีนสูง และลดน้ำหนักตัวโดยควบคุม BMI ให้อยู่ในเกณฑ์มาตรฐาน</t>
        </is>
      </c>
      <c r="K167" s="35" t="n"/>
      <c r="L167" s="35" t="inlineStr">
        <is>
          <t>Gout &amp; Hyperuricemia</t>
        </is>
      </c>
      <c r="M167" s="35" t="inlineStr">
        <is>
          <t>Clinic</t>
        </is>
      </c>
      <c r="N167" s="35" t="inlineStr">
        <is>
          <t>ข้อ 34 Mock Musculo RxCU84</t>
        </is>
      </c>
      <c r="O167" s="35" t="inlineStr">
        <is>
          <t>Mock</t>
        </is>
      </c>
      <c r="P167" s="35" t="inlineStr">
        <is>
          <t>Mock RxCU84</t>
        </is>
      </c>
    </row>
    <row r="168" ht="409.6" customHeight="1" s="37">
      <c r="A168" s="35" t="n">
        <v>166</v>
      </c>
      <c r="B168"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แนวทางที่เหมาะสมที่สุดในการรักษาภาวะข้ออักเสบเฉียบพลันของผู้ป่วยรายนี้คือข้อใด</t>
        </is>
      </c>
      <c r="C168" s="35" t="n"/>
      <c r="D168" s="35" t="inlineStr">
        <is>
          <t>เริ่ม allopurinol ทันที</t>
        </is>
      </c>
      <c r="E168" s="35" t="inlineStr">
        <is>
          <t>ให้ probenecid เร่งขับกรดยูริก</t>
        </is>
      </c>
      <c r="F168" s="35" t="inlineStr">
        <is>
          <t>ให้ colchicine/NSAIDs/steroid ยังไม่เริ่มยาลดกรดยูริก</t>
        </is>
      </c>
      <c r="G168" s="35" t="inlineStr">
        <is>
          <t>ให้ paracetamol เดี่ยว ๆ</t>
        </is>
      </c>
      <c r="H168" s="35" t="inlineStr">
        <is>
          <t>งดยาทุกชนิดรอหายเอง</t>
        </is>
      </c>
      <c r="I168" s="35" t="n">
        <v>3</v>
      </c>
      <c r="J168" s="35" t="inlineStr">
        <is>
          <t>✅ คำตอบที่ถูกต้อง: ข้อ ค. ให้ colchicine/NSAIDs/steroid ยังไม่เริ่มยาลดกรดยูริก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ในการรักษาข้ออักเสบเกาต์เฉียบพลัน ต้องให้ยาต้านการอักเสบ ได้แก่ Colchicine, NSAIDs หรือ Steroids ทันที และยังไม่ควรเริ่มยาลดกรดยูริก (ULT) ในผู้ป่วยใหม่จนกว่าการอักเสบจะสงบลงอย่างน้อย 1-2 สัปดาห์
🔍 ข้ออื่นผิดเพราะอะไร:
• ข้อ ก. (เริ่ม allopurinol ทันที): การเริ่ม Allopurinol ทันทีในขณะที่ข้อยังอักเสบเฉียบพลัน จะทำให้ระดับกรดยูริกในเลือดแกว่งอย่างรวดเร็วและกระตุ้นให้อาการปวดข้อรุนแรงหรือยาวนานขึ้น
• ข้อ ข. (ให้ probenecid เร่งขับกรดยูริก): Probenecid มีฤทธิ์เร่งการขับกรดยูริก (Uricosuric) ทำให้เกิดการเปลี่ยนแปลงของกรดยูริกอย่างรวดเร็ว และอาจทำให้การอักเสบแย่ลงในระยะเฉียบพลัน
• ข้อ ง. (ให้ paracetamol เดี่ยว ๆ): Paracetamol มีฤทธิ์เพียงแค่บรรเทาปวดและลดไข้ ขาดประสิทธิภาพในการต้านการอักเสบที่รุนแรงจากผลึกยูเรตในภาวะ Acute gouty arthritis
• ข้อ จ. (งดยาทุกชนิดรอหายเอง): การงดยาทุกชนิดและรอให้หายเองจะทำให้ผู้ป่วยต้องทนทุกข์ทรมานจากอาการปวดที่รุนแรงมาก และเสี่ยงต่อการเกิดความเสียหายของข้อต่อในระยะยาว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Flare Strategy: ให้ Colchicine หรือ NSAIDs ระงับการอักเสบให้สงบลงก่อน แล้วจึงค่อยพิจารณาเริ่มยาปรับระดับกรดยูริก (ULT) หลังจากข้อหายอักเสบแล้ว 1-2 สัปดาห์ (ในผู้ป่วยที่ยังไม่เคยได้ ULT มาก่อน)</t>
        </is>
      </c>
      <c r="K168" s="35" t="n"/>
      <c r="L168" s="35" t="inlineStr">
        <is>
          <t>Gout &amp; Hyperuricemia</t>
        </is>
      </c>
      <c r="M168" s="35" t="inlineStr">
        <is>
          <t>Clinic</t>
        </is>
      </c>
      <c r="N168" s="35" t="inlineStr">
        <is>
          <t>ข้อ 35 Mock Musculo RxCU84</t>
        </is>
      </c>
      <c r="O168" s="35" t="inlineStr">
        <is>
          <t>Mock</t>
        </is>
      </c>
      <c r="P168" s="35" t="inlineStr">
        <is>
          <t>Mock RxCU84</t>
        </is>
      </c>
    </row>
    <row r="169" ht="409.6" customHeight="1" s="37">
      <c r="A169" s="35" t="n">
        <v>167</v>
      </c>
      <c r="B169"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ผู้ป่วยการทำงานของไตปกติ ขนาด colchicine ที่ถูกต้องตามแนวทางปัจจุบันคือข้อใด</t>
        </is>
      </c>
      <c r="C169" s="35" t="n"/>
      <c r="D169" s="35" t="inlineStr">
        <is>
          <t>0.6 mg วันละครั้งเท่านั้น</t>
        </is>
      </c>
      <c r="E169" s="35" t="inlineStr">
        <is>
          <t>1.0 mg แล้ว 0.5 mg ทุกชั่วโมงจนท้องเสีย</t>
        </is>
      </c>
      <c r="F169" s="35" t="inlineStr">
        <is>
          <t>2.4 mg ครั้งเดียว</t>
        </is>
      </c>
      <c r="G169" s="35" t="inlineStr">
        <is>
          <t>1.2 mg ทันที แล้ว 0.6 mg อีก 1 ชม. ต่อด้วย 0.5–0.6 mg ทุก 8–12 ชม.</t>
        </is>
      </c>
      <c r="H169" s="35" t="inlineStr">
        <is>
          <t>1.2 mg ทุก 2 ชม. รวม 6 ครั้ง</t>
        </is>
      </c>
      <c r="I169" s="35" t="n">
        <v>4</v>
      </c>
      <c r="J169" s="35" t="inlineStr">
        <is>
          <t>✅ คำตอบที่ถูกต้อง: ข้อ ง. 1.2 mg ทันที แล้ว 0.6 mg อีก 1 ชม. ต่อด้วย 0.5–0.6 mg ทุก 8–12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 ACR guideline ขนาดยา Colchicine ที่ถูกต้องในผู้ป่วยไตปกติเมื่อมีอาการกำเริบเฉียบพลัน คือ 1.2 mg ทันที ตามด้วย 0.6 mg ในอีก 1 ชั่วโมงต่อมา หลังจากนั้น 12 ชั่วโมงจึงสามารถให้ขนาดป้องกัน 0.5-0.6 mg วันละ 1-2 ครั้งต่อไป
🔍 ข้ออื่นผิดเพราะอะไร:
• ข้อ ก. (0.6 mg วันละครั้งเท่านั้น): การให้ Colchicine 0.6 mg วันละครั้ง เป็นขนาดยาที่ต่ำเกินไป มักใช้สำหรับ Gout prophylaxis ไม่ใช่สำหรับการรักษา Acute attack ที่ต้องการลดการอักเสบอย่างรวดเร็ว
• ข้อ ข. (1.0 mg แล้ว 0.5 mg ทุกชั่วโมงจนท้องเสีย): แนวทางการให้ยาทุกชั่วโมงจนกว่าจะท้องเสีย เป็นวิธีแบบดั้งเดิมที่พบว่ามีความเสี่ยงต่อการเกิดพิษต่อระบบทางเดินอาหารและเป็นอันตราย จึงถูกยกเลิกการใช้แล้ว
• ข้อ ค. (2.4 mg ครั้งเดียว): การให้ Colchicine 2.4 mg ครั้งเดียว ถือเป็นขนาดยาที่สูงเกินไป ซึ่งจะเพิ่มอัตราการเกิดอาการไม่พึงประสงค์ เช่น คลื่นไส้ อาเจียน ท้องเสียอย่างรุนแรง
• ข้อ จ. (1.2 mg ทุก 2 ชม. รวม 6 ครั้ง): การให้ยา 1.2 mg ทุก 2 ชั่วโมง รวม 6 ครั้ง เป็นการใช้ยาในขนาดที่เป็นพิษ (Toxic dose) ซึ่งสามารถทำให้เกิดภาวะกดไขกระดูก กล้ามเนื้อลายสลาย และเสียชีวิตได้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1.2 mg stat ตามด้วย 0.6 mg ใน 1 ชั่วโมงต่อมา หลังจากนั้น 12 ชั่วโมงจึงให้ขนาดป้องกัน 0.5-0.6 mg วันละ 1-2 ครั้ง</t>
        </is>
      </c>
      <c r="K169" s="35" t="n"/>
      <c r="L169" s="35" t="inlineStr">
        <is>
          <t>Gout &amp; Hyperuricemia</t>
        </is>
      </c>
      <c r="M169" s="35" t="inlineStr">
        <is>
          <t>Clinic</t>
        </is>
      </c>
      <c r="N169" s="35" t="inlineStr">
        <is>
          <t>ข้อ 36 Mock Musculo RxCU84</t>
        </is>
      </c>
      <c r="O169" s="35" t="inlineStr">
        <is>
          <t>Mock</t>
        </is>
      </c>
      <c r="P169" s="35" t="inlineStr">
        <is>
          <t>Mock RxCU84</t>
        </is>
      </c>
    </row>
    <row r="170" ht="409.6" customHeight="1" s="37">
      <c r="A170" s="35" t="n">
        <v>168</v>
      </c>
      <c r="B170"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ในการปรับยาลดความดันให้เหมาะกับผู้ป่วยเกาต์รายนี้ ข้อใดเหมาะสมที่สุด</t>
        </is>
      </c>
      <c r="C170" s="35" t="n"/>
      <c r="D170" s="35" t="inlineStr">
        <is>
          <t>คง losartan ไว้เพราะช่วยขับกรดยูริก</t>
        </is>
      </c>
      <c r="E170" s="35" t="inlineStr">
        <is>
          <t>เปลี่ยน losartan เป็น hydrochlorothiazide</t>
        </is>
      </c>
      <c r="F170" s="35" t="inlineStr">
        <is>
          <t>เพิ่ม bisoprolol เพื่อลดกรดยูริก</t>
        </is>
      </c>
      <c r="G170" s="35" t="inlineStr">
        <is>
          <t>เพิ่ม low-dose aspirin</t>
        </is>
      </c>
      <c r="H170" s="35" t="inlineStr">
        <is>
          <t>หยุด losartan เพราะเพิ่มกรดยูริก</t>
        </is>
      </c>
      <c r="I170" s="35" t="n">
        <v>1</v>
      </c>
      <c r="J170" s="35" t="inlineStr">
        <is>
          <t>✅ คำตอบที่ถูกต้อง: ข้อ ก. คง losartan ไว้เพราะช่วยขับกรดยูริก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ผู้ป่วยได้รับยา Losartan อยู่แล้ว ซึ่งเป็นยา ARB ตัวเดียวที่มีผลยับยั้ง URAT1 ช่วยขับกรดยูริก จึงควรคงยานี้ไว้เป็นยาหลักในการควบคุมความดันโลหิตของผู้ป่วยโรคเกาต์
🔍 ข้ออื่นผิดเพราะอะไร:
• ข้อ ข. (เปลี่ยน losartan เป็น hydrochlorothiazide): Hydrochlorothiazide เป็นยาขับปัสสาวะที่ลดการขับกรดยูริกทางไต ทำให้ระดับยูริกในเลือดสูงขึ้นและกระตุ้นการกำเริบของโรคเกาต์ได้
• ข้อ ค. (เพิ่ม bisoprolol เพื่อลดกรดยูริก): Bisoprolol ไม่มีคุณสมบัติเป็น Uricosuric agent การเพิ่มขนาดยาจึงไม่ช่วยในการลดระดับกรดยูริกในเลือดแต่อย่างใด
• ข้อ ง. (เพิ่ม low-dose aspirin): Low-dose aspirin มีผลยับยั้งการหลั่งกรดยูริกที่ท่อไต ทำให้การขับยูริกออกลดลง ซึ่งเป็นผลเสียต่อผู้ป่วยที่มีระดับกรดยูริกสูงอยู่แล้ว
• ข้อ จ. (หยุด losartan เพราะเพิ่มกรดยูริก): การหยุด Losartan ถือว่าเสียโอกาสในการรักษา เนื่องจาก Losartan เป็นยาลดความดันเพียงตัวเดียวที่มีฤทธิ์ Uricosuric ช่วยขับกรดยูริกออกทางไต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Antihypertensive in Gout: ควรคงยา Losartan ไว้เนื่องจากมีฤทธิ์ยับยั้ง URAT1 ช่วยขับกรดยูริก และหลีกเลี่ยงการใช้ยาขับปัสสาวะ Thiazide</t>
        </is>
      </c>
      <c r="K170" s="35" t="n"/>
      <c r="L170" s="35" t="inlineStr">
        <is>
          <t>Gout &amp; Hyperuricemia</t>
        </is>
      </c>
      <c r="M170" s="35" t="inlineStr">
        <is>
          <t>Clinic</t>
        </is>
      </c>
      <c r="N170" s="35" t="inlineStr">
        <is>
          <t>ข้อ 37 Mock Musculo RxCU84</t>
        </is>
      </c>
      <c r="O170" s="35" t="inlineStr">
        <is>
          <t>Mock</t>
        </is>
      </c>
      <c r="P170" s="35" t="inlineStr">
        <is>
          <t>Mock RxCU84</t>
        </is>
      </c>
    </row>
    <row r="171" ht="409.6" customHeight="1" s="37">
      <c r="A171" s="35" t="n">
        <v>169</v>
      </c>
      <c r="B171"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ก่อนเริ่ม allopurinol ในผู้ป่วยเชื้อสายเอเชียรายนี้ ควรตรวจยีนใด</t>
        </is>
      </c>
      <c r="C171" s="35" t="n"/>
      <c r="D171" s="35" t="inlineStr">
        <is>
          <t>HLA-B15:02</t>
        </is>
      </c>
      <c r="E171" s="35" t="inlineStr">
        <is>
          <t>HLA-B58:01</t>
        </is>
      </c>
      <c r="F171" s="35" t="inlineStr">
        <is>
          <t>HLA-B57:01</t>
        </is>
      </c>
      <c r="G171" s="35" t="inlineStr">
        <is>
          <t>CYP2C9</t>
        </is>
      </c>
      <c r="H171" s="35" t="inlineStr">
        <is>
          <t>G6PD</t>
        </is>
      </c>
      <c r="I171" s="35" t="n">
        <v>2</v>
      </c>
      <c r="J171" s="35"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ในประชากรเชื้อสายเอเชีย (ไทย ฮ่องกง จีน) การตรวจคัดกรองยีน HLA-B58:01 ก่อนเริ่มยา Allopurinol เป็นมาตรฐานการรักษาเพื่อป้องกันภาวะแพ้ยารุนแรงชนิด SJS/TEN
🔍 ข้ออื่นผิดเพราะอะไร:
• ข้อ ก. (HLA-B15:02): HLA-B15:02 เป็นยีนเสี่ยงสำหรับการเกิด Severe cutaneous adverse reactions (SCARs) จากยา Carbamazepine ไม่ใช่กับยา Allopurinol
• ข้อ ค. (HLA-B57:01): HLA-B57:01 เป็นยีนที่ควรตรวจก่อนการใช้ยา Abacavir เพื่อป้องกันภาวะแพ้ยารุนแรง ไม่เกี่ยวข้องกับการเกิด SCARs จาก Allopurinol
• ข้อ ง. (CYP2C9): CYP2C9 ควบคุมกระบวนการเมแทบอลิซึมของยาหลายตัวในตับ การกลายพันธุ์ของยีนนี้ส่งผลต่อระดับยา Warfarin แต่ไม่มีผลต่อผื่นแพ้ยา Allopurinol
• ข้อ จ. (G6PD): G6PD deficiency สัมพันธ์กับภาวะเม็ดเลือดแดงแตกเมื่อได้รับยาที่มีฤทธิ์ Oxidative stress เช่น Rasburicase แต่ไม่ใช่ข้อบ่งชี้ในการตรวจก่อนให้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HLA-B58:01 Screening: แนะนำอย่างยิ่งในประชากรเชื้อสายไทยและเอเชียตะวันออกเฉียงใต้ก่อนเริ่มยา Allopurinol เพื่อป้องกัน Severe Cutaneous Adverse Reactions (SCARs)</t>
        </is>
      </c>
      <c r="K171" s="35" t="n"/>
      <c r="L171" s="35" t="inlineStr">
        <is>
          <t>Gout &amp; Hyperuricemia</t>
        </is>
      </c>
      <c r="M171" s="35" t="inlineStr">
        <is>
          <t>Clinic</t>
        </is>
      </c>
      <c r="N171" s="35" t="inlineStr">
        <is>
          <t>ข้อ 38 Mock Musculo RxCU84</t>
        </is>
      </c>
      <c r="O171" s="35" t="inlineStr">
        <is>
          <t>Mock</t>
        </is>
      </c>
      <c r="P171" s="35" t="inlineStr">
        <is>
          <t>Mock RxCU84</t>
        </is>
      </c>
    </row>
    <row r="172" ht="409.6" customHeight="1" s="37">
      <c r="A172" s="35" t="n">
        <v>170</v>
      </c>
      <c r="B172" s="35"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เป้าหมายระดับกรดยูริกในเลือดระยะยาวของผู้ป่วยเกาต์ทั่วไปคือข้อใด</t>
        </is>
      </c>
      <c r="C172" s="35" t="n"/>
      <c r="D172" s="35" t="inlineStr">
        <is>
          <t>น้อยกว่า 4 mg/dL</t>
        </is>
      </c>
      <c r="E172" s="35" t="inlineStr">
        <is>
          <t>น้อยกว่า 5 mg/dL</t>
        </is>
      </c>
      <c r="F172" s="35" t="inlineStr">
        <is>
          <t>น้อยกว่า 6 mg/dL</t>
        </is>
      </c>
      <c r="G172" s="35" t="inlineStr">
        <is>
          <t>น้อยกว่า 7 mg/dL</t>
        </is>
      </c>
      <c r="H172" s="35" t="inlineStr">
        <is>
          <t>น้อยกว่า 8 mg/dL</t>
        </is>
      </c>
      <c r="I172" s="35" t="n">
        <v>3</v>
      </c>
      <c r="J172" s="35" t="inlineStr">
        <is>
          <t>✅ คำตอบที่ถูกต้อง: ข้อ ค. น้อยกว่า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เป้าหมายระดับกรดยูริกในเลือดระยะยาวสำหรับผู้ป่วยโรคเกาต์ทั่วไปตามแนวทางเวชปฏิบัติคือ น้อยกว่า 6 mg/dL (Serum uric acid &lt; 6.0 mg/dL)
🔍 ข้ออื่นผิดเพราะอะไร:
• ข้อ ก. (น้อยกว่า 4 mg/dL): การกำหนดเป้าหมายกรดยูริกให้น้อยกว่า 4 mg/dL นั้นต่ำเกินกว่าความจำเป็นสำหรับผู้ป่วยเกาต์ทั่วไป อาจพิจารณาในผู้ป่วยที่มี Tophi ปริมาณมากและรุนแรงเท่านั้น
• ข้อ ข. (น้อยกว่า 5 mg/dL): เป้าหมายที่น้อยกว่า 5 mg/dL มีความเหมาะสมเฉพาะในกลุ่มผู้ป่วยที่มี Gouty tophi ชัดเจนหรือควบคุมอาการกำเริบไม่ได้ แต่ไม่ใช่เป้าหมายมาตรฐานเริ่มต้น
• ข้อ ง. (น้อยกว่า 7 mg/dL): ระดับกรดยูริกที่น้อยกว่า 7 mg/dL ยังสูงกว่าจุดอิ่มตัวของ Monosodium urate ในเลือด (6.8 mg/dL) ทำให้ยังมีโอกาสตกผลึกในข้อต่อได้อยู่
• ข้อ จ. (น้อยกว่า 8 mg/dL): การรักษาระดับให้อยู่ที่ &lt; 8 mg/dL เป็นค่าที่สูงเกินไป ซึ่งไม่สามารถละลายผลึกยูเรตที่สะสมอยู่ในเนื้อเยื่อหรือป้องกันการเกิด Acute gout attack 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Long-term SUA Goal: การรักษาระดับ Serum uric acid ให้อยู่ต่ำกว่า 6.0 mg/dL อย่างต่อเนื่องจะช่วยให้ผลึก Monosodium urate ในข้อและเนื้อเยื่อละลายหมดไป</t>
        </is>
      </c>
      <c r="K172" s="35" t="n"/>
      <c r="L172" s="35" t="inlineStr">
        <is>
          <t>Gout &amp; Hyperuricemia</t>
        </is>
      </c>
      <c r="M172" s="35" t="inlineStr">
        <is>
          <t>Clinic</t>
        </is>
      </c>
      <c r="N172" s="35" t="inlineStr">
        <is>
          <t>ข้อ 39 Mock Musculo RxCU84</t>
        </is>
      </c>
      <c r="O172" s="35" t="inlineStr">
        <is>
          <t>Mock</t>
        </is>
      </c>
      <c r="P172" s="35" t="inlineStr">
        <is>
          <t>Mock RxCU84</t>
        </is>
      </c>
    </row>
    <row r="173" ht="409.6" customHeight="1" s="37">
      <c r="A173" s="35" t="n">
        <v>171</v>
      </c>
      <c r="B173"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ยาใดแนะนำเป็น First-line สำหรับผู้ป่วยรายนี้ตาม Guideline OA Knee?</t>
        </is>
      </c>
      <c r="C173" s="35" t="n"/>
      <c r="D173" s="35" t="inlineStr">
        <is>
          <t>Oral Paracetamol</t>
        </is>
      </c>
      <c r="E173" s="35" t="inlineStr">
        <is>
          <t>Topical NSAIDs</t>
        </is>
      </c>
      <c r="F173" s="35" t="inlineStr">
        <is>
          <t>Oral Glucosamine</t>
        </is>
      </c>
      <c r="G173" s="35" t="inlineStr">
        <is>
          <t>IA Steroid</t>
        </is>
      </c>
      <c r="H173" s="35" t="inlineStr">
        <is>
          <t>Tramadol</t>
        </is>
      </c>
      <c r="I173" s="35" t="n">
        <v>2</v>
      </c>
      <c r="J173" s="35" t="inlineStr">
        <is>
          <t>✅ คำตอบที่ถูกต้อง: ข้อ ข.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ตามแนวทางเวชปฏิบัติของ ACR 2019 Guideline สำหรับข้อเข่าเสื่อม (Knee Osteoarthritis) ยา Topical NSAIDs (เช่น Diclofenac gel) ได้รับการแนะนำอย่างยิ่ง (Strongly recommended) เป็น First-line therapy โดยเฉพาะในผู้สูงอายุ เนื่องจากให้ประสิทธิภาพในการบรรเทาปวดเทียบเท่ากับยากิน แต่มี systemic absorption ต่ำ จึงปลอดภัยต่อระบบทางเดินอาหาร หัวใจ และไตมากกว่ายากิน
🔍 ข้ออื่นผิดเพราะอะไร:
• ข้อ ก. (Oral Paracetamol): แนวทางปัจจุบันไม่แนะนำ Oral Paracetamol เป็น First-line therapy แล้วเนื่องจากประสิทธิภาพในการลดปวดข้อเข่าเสื่อมต่ำกว่า NSAIDs อย่างมีนัยสำคัญ
• ข้อ ค. (Oral Glucosamine): Oral Glucosamine มีหลักฐานทางคลินิกที่ไม่ชัดเจนและขัดแย้งกันในด้านประสิทธิภาพลดปวด แนวทางส่วนใหญ่จึงไม่แนะนำให้ใช้เป็นยาหลักลำดับแรก
• ข้อ ง. (IA Steroid): Intra-articular (IA) Steroid มักพิจารณาใช้สำหรับผู้ป่วยที่มีภาวะอักเสบเฉียบพลันร่วมด้วย หรือใช้เมื่อการทายา/กินยาไม่ได้ผล ไม่ใช่แนวทางเริ่มต้นสำหรับข้อเข่าเสื่อมระยะยาว
• ข้อ จ. (Tramadol): Tramadol เป็นยาแก้ปวดกลุ่ม Opioid แบบอ่อน ซึ่งมีผลข้างเคียงต่อระบบประสาทส่วนกลางสูง (เช่น มึนงง คลื่นไส้) จึงสงวนไว้ใช้ในกรณีที่ผู้ป่วยมีข้อห้ามหรือไม่ตอบสนองต่อ NSAIDs
📖 Guideline อ้างอิง:
2019 American College of Rheumatology/Arthritis Foundation Guideline for the Management of Osteoarthritis of the Hand, Hip, and Knee
📌 จุดจำก่อนสอบ:
• Knee OA First-line Recommendation: Topical NSAIDs (เช่น Diclofenac gel) ได้รับคำแนะนำอย่างยิ่ง (Strongly recommended) เป็นทางเลือกแรกสำหรับ Knee OA โดยเฉพาะในผู้สูงอายุเพราะมีประสิทธิผลดีและ systemic toxicity ต่ำ</t>
        </is>
      </c>
      <c r="K173" s="35" t="n"/>
      <c r="L173" s="35" t="inlineStr">
        <is>
          <t>Osteoarthritis</t>
        </is>
      </c>
      <c r="M173" s="35" t="inlineStr">
        <is>
          <t>Clinic</t>
        </is>
      </c>
      <c r="N173" s="35" t="inlineStr">
        <is>
          <t>ข้อ 40 Mock Musculo RxCU84</t>
        </is>
      </c>
      <c r="O173" s="35" t="inlineStr">
        <is>
          <t>Mock</t>
        </is>
      </c>
      <c r="P173" s="35" t="inlineStr">
        <is>
          <t>Mock RxCU84</t>
        </is>
      </c>
    </row>
    <row r="174" ht="409.6" customHeight="1" s="37">
      <c r="A174" s="35" t="n">
        <v>172</v>
      </c>
      <c r="B174"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กลไกของข้ออักเสบเสื่อม (OA) ต่างจาก RA อย่างไร?</t>
        </is>
      </c>
      <c r="C174" s="35" t="n"/>
      <c r="D174" s="35" t="inlineStr">
        <is>
          <t>OA เป็น Autoimmune</t>
        </is>
      </c>
      <c r="E174" s="35" t="inlineStr">
        <is>
          <t>OA เกิดจากการสึกหรอของกระดูกอ่อน (Cartilage degradation)</t>
        </is>
      </c>
      <c r="F174" s="35" t="inlineStr">
        <is>
          <t>OA มี Systemic symptom</t>
        </is>
      </c>
      <c r="G174" s="35" t="inlineStr">
        <is>
          <t>OA ค่า ESR พุ่งสูง</t>
        </is>
      </c>
      <c r="H174" s="35" t="inlineStr">
        <is>
          <t>OA มักโดนข้อข้อมือ</t>
        </is>
      </c>
      <c r="I174" s="35" t="n">
        <v>2</v>
      </c>
      <c r="J174" s="35" t="inlineStr">
        <is>
          <t>✅ คำตอบที่ถูกต้อง: ข้อ ข. OA เกิดจากการสึกหรอของกระดูกอ่อน (Cartilage degradation)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โรคข้อเสื่อม (Osteoarthritis: OA) เป็นโรคความเสื่อมของข้อที่เกิดจากการสึกหรอและการเสื่อมสลายของกระดูกอ่อนผิวข้อ (Articular cartilage degradation) ร่วมกับการเปลี่ยนแปลงของกระดูกใต้กระดูกอ่อน (Subchondral bone sclerosis และ Osteophyte formation) ซึ่งแตกต่างจาก RA ที่เป็นโรคแพ้ภูมิตัวเอง (Autoimmune synovitis)
🔍 ข้ออื่นผิดเพราะอะไร:
• ข้อ ก. (OA เป็น Autoimmune): โรคข้ออักเสบรูมาตอยด์ (RA) เป็นโรคที่เกิดจากความผิดปกติของระบบภูมิคุ้มกัน (Autoimmune) แต่โรคข้อเสื่อม (OA) เป็นพยาธิสภาพที่เกิดจากกลไกทางกลศาสตร์ (Mechanical) และการสึกหรอ
• ข้อ ค. (OA มี Systemic symptom): โรคข้อเสื่อม (OA) มักเกิดเฉพาะที่ข้อต่อ (Localized) และไม่มีอาการแสดงทางระบบ (Systemic symptoms) เช่น ไข้ หรืออ่อนเพลีย ซึ่งมักพบในผู้ป่วย RA
• ข้อ ง. (OA ค่า ESR พุ่งสูง): ค่า ESR (Erythrocyte sedimentation rate) และ CRP มักจะอยู่ในเกณฑ์ปกติในผู้ป่วยโรคข้อเสื่อม (OA) เนื่องจากไม่ใช่การอักเสบเชิงระบบ ต่างจาก RA ที่มักมีค่าอักเสบเหล่านี้สูง
• ข้อ จ. (OA มักโดนข้อข้อมือ): โรคข้อเสื่อม (OA) มักไม่ค่อยส่งผลกระทบต่อข้อข้อมือ (Wrist joints) เว้นแต่จะมีประวัติอุบัติเหตุนำมาก่อน ต่างจาก RA ที่พบบ่อยที่ข้อมือและข้อต่อนิ้วมือ
📖 Guideline อ้างอิง:
2019 American College of Rheumatology/Arthritis Foundation Guideline for the Management of Osteoarthritis of the Hand, Hip, and Knee
📌 จุดจำก่อนสอบ:
• Pathophysiology of OA: OA เป็น Non-inflammatory degenerative joint disease เกิดจากการเสื่อมสลายของ Articular cartilage และการสร้างกระดูกงอก (Osteophyte) แตกต่างจาก RA ที่เป็น Autoimmune inflammatory synovitis</t>
        </is>
      </c>
      <c r="K174" s="35" t="n"/>
      <c r="L174" s="35" t="inlineStr">
        <is>
          <t>Osteoarthritis</t>
        </is>
      </c>
      <c r="M174" s="35" t="inlineStr">
        <is>
          <t>Clinic</t>
        </is>
      </c>
      <c r="N174" s="35" t="inlineStr">
        <is>
          <t>ข้อ 41 Mock Musculo RxCU84</t>
        </is>
      </c>
      <c r="O174" s="35" t="inlineStr">
        <is>
          <t>Mock</t>
        </is>
      </c>
      <c r="P174" s="35" t="inlineStr">
        <is>
          <t>Mock RxCU84</t>
        </is>
      </c>
    </row>
    <row r="175" ht="409.6" customHeight="1" s="37">
      <c r="A175" s="35" t="n">
        <v>173</v>
      </c>
      <c r="B175"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ข้อใดคือ Non-pharmacological therapy ที่ให้ผลดีที่สุดในการชะลอข้อเข่าเสื่อม?</t>
        </is>
      </c>
      <c r="C175" s="35" t="n"/>
      <c r="D175" s="35" t="inlineStr">
        <is>
          <t>ว่ายน้ำและลดน้ำหนัก</t>
        </is>
      </c>
      <c r="E175" s="35" t="inlineStr">
        <is>
          <t>วิ่งมาราธอน</t>
        </is>
      </c>
      <c r="F175" s="35" t="inlineStr">
        <is>
          <t>การฝังเข็ม</t>
        </is>
      </c>
      <c r="G175" s="35" t="inlineStr">
        <is>
          <t>การใส่สนับเข่าตลอดเวลา</t>
        </is>
      </c>
      <c r="H175" s="35" t="inlineStr">
        <is>
          <t>การทานคอลลาเจน</t>
        </is>
      </c>
      <c r="I175" s="35" t="n">
        <v>1</v>
      </c>
      <c r="J175" s="35" t="inlineStr">
        <is>
          <t>✅ คำตอบที่ถูกต้อง: ข้อ ก. ว่ายน้ำและลดน้ำหนัก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รักษาแบบไม่ใช้ยาที่มีหลักฐานเชิงประจักษ์ชัดเจนที่สุดในการชะลอความเสื่อมและลดแรงกระทำต่อข้อเข่าคือ การลดน้ำหนักตัว (Weight loss) ร่วมกับการออกกำลังกายชนิดที่ไม่มีแรงกระแทกต่อข้อ เช่น การว่ายน้ำ (Swimming) หรือการปั่นจักรยาน
🔍 ข้ออื่นผิดเพราะอะไร:
• ข้อ ข. (วิ่งมาราธอน): การวิ่งมาราธอนจัดเป็นการออกกำลังกายที่มีแรงกระแทกสูง (High-impact) ซึ่งจะยิ่งเพิ่มความเครียดต่อผิวกระดูกอ่อนและเร่งให้ข้อเข่าเสื่อมเร็วขึ้น
• ข้อ ค. (การฝังเข็ม): การฝังเข็มเป็นเพียงการรักษาทางเลือก (Adjunctive therapy) เพื่อบรรเทาอาการปวด แต่ไม่มีหลักฐานชัดเจนว่ามีประสิทธิภาพในการชะลอการเสื่อมสภาพของข้อเข่าได้ดีเท่าการลดน้ำหนัก
• ข้อ ง. (การใส่สนับเข่าตลอดเวลา): การใส่สนับเข่าตลอดเวลาจะทำให้กล้ามเนื้อรอบเข่าไม่ได้ใช้งานอย่างเต็มที่ ส่งผลให้กล้ามเนื้อลีบ (Atrophy) และยิ่งทำให้ข้อเข่าสูญเสียความมั่นคงในระยะยาว
• ข้อ จ. (การทานคอลลาเจน): การรับประทานคอลลาเจนยังขาดหลักฐานเชิงประจักษ์ที่มีน้ำหนักเพียงพอในการรับรองว่าสามารถชะลอหรือรักษาภาวะข้อเข่าเสื่อมได้ตามแนวทางเวชปฏิบัติ
📖 Guideline อ้างอิง:
2019 American College of Rheumatology/Arthritis Foundation Guideline for the Management of Osteoarthritis of the Hand, Hip, and Knee
📌 จุดจำก่อนสอบ:
• Non-pharmacological OA Therapy: การลดน้ำหนักตัว (Weight reduction) และการออกกำลังกายแบบ Low-impact เช่น การว่ายน้ำและการปั่นจักรยาน มีหลักฐานเชิงประจักษ์ชัดเจนที่สุดในการลดแรงกดบนข้อเข่าและชะลอความเสื่อม</t>
        </is>
      </c>
      <c r="K175" s="35" t="n"/>
      <c r="L175" s="35" t="inlineStr">
        <is>
          <t>Osteoarthritis</t>
        </is>
      </c>
      <c r="M175" s="35" t="inlineStr">
        <is>
          <t>Clinic</t>
        </is>
      </c>
      <c r="N175" s="35" t="inlineStr">
        <is>
          <t>ข้อ 42 Mock Musculo RxCU84</t>
        </is>
      </c>
      <c r="O175" s="35" t="inlineStr">
        <is>
          <t>Mock</t>
        </is>
      </c>
      <c r="P175" s="35" t="inlineStr">
        <is>
          <t>Mock RxCU84</t>
        </is>
      </c>
    </row>
    <row r="176" ht="409.6" customHeight="1" s="37">
      <c r="A176" s="35" t="n">
        <v>174</v>
      </c>
      <c r="B176"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อาการ "Crepitus" ใน OA คืออะไร?</t>
        </is>
      </c>
      <c r="C176" s="35" t="n"/>
      <c r="D176" s="35" t="inlineStr">
        <is>
          <t>ข้อบวมแดง</t>
        </is>
      </c>
      <c r="E176" s="35" t="inlineStr">
        <is>
          <t>ข้อผิดรูปเบี้ยว</t>
        </is>
      </c>
      <c r="F176" s="35" t="inlineStr">
        <is>
          <t>เสียงดังกรอบแกรบขณะขยับข้อ</t>
        </is>
      </c>
      <c r="G176" s="35" t="inlineStr">
        <is>
          <t>การขยับข้อไม่ได้เลย</t>
        </is>
      </c>
      <c r="H176" s="35" t="inlineStr">
        <is>
          <t>กล้ามเนื้อลีบ</t>
        </is>
      </c>
      <c r="I176" s="35" t="n">
        <v>3</v>
      </c>
      <c r="J176" s="35" t="inlineStr">
        <is>
          <t>✅ คำตอบที่ถูกต้อง: ข้อ ค. เสียงดังกรอบแกรบขณะขยับข้อ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Crepitus ในโรคข้อเสื่อมหมายถึง เสียงดังกรอบแกรบหรือความรู้สึกเสียดสีที่คลำได้ขณะเคลื่อนไหวข้อ ซึ่งเกิดจากการที่กระดูกอ่อนผิวข้อสึกหรอไปทำให้กระดูกเสียดสีกันโดยตรง
🔍 ข้ออื่นผิดเพราะอะไร:
• ข้อ ก. (ข้อบวมแดง): ข้อบวม แดง และร้อน เป็นลักษณะที่บ่งชี้ถึงภาวะข้ออักเสบเฉียบพลัน (เช่น โรคเกาต์ หรือข้ออักเสบติดเชื้อ) ไม่ใช่นิยามของคำว่า Crepitus
• ข้อ ข. (ข้อผิดรูปเบี้ยว): ข้อผิดรูปหรือเบี้ยว (Deformity) เป็นภาวะแทรกซ้อนที่เกิดขึ้นในโรคข้อเสื่อมระยะลุกลามหรือใน RA แต่ไม่ใช่ความหมายของเสียง Crepitus
• ข้อ ง. (การขยับข้อไม่ได้เลย): การขยับข้อไม่ได้เลย (Ankylosis หรือ Locked joint) มักเกิดจากกระดูกงอกขัดข้อต่อ หรือมีพังผืดเกาะติดแน่น ไม่ใช่อาการแสดงของ Crepitus
• ข้อ จ. (กล้ามเนื้อลีบ): กล้ามเนื้อลีบ (Muscle atrophy) เป็นผลมาจากการที่ผู้ป่วยหลีกเลี่ยงการใช้งานข้อต่อเพราะความเจ็บปวด ไม่ใช่เสียงการเสียดสีของกระดูก (Crepitus)
📖 Guideline อ้างอิง:
2019 American College of Rheumatology/Arthritis Foundation Guideline for the Management of Osteoarthritis of the Hand, Hip, and Knee
📌 จุดจำก่อนสอบ:
• Definition of Crepitus: Crepitus คือเสียงดังกรอบแกรบหรือความรู้สึกเสียดสีที่เกิดจากการที่ผิวกระดูกอ่อนสึกหรอจนกระดูกใต้ผิวข้อสัมผัสและเสียดสีกันโดยตรงขณะขยับข้อ</t>
        </is>
      </c>
      <c r="K176" s="35" t="n"/>
      <c r="L176" s="35" t="inlineStr">
        <is>
          <t>Osteoarthritis</t>
        </is>
      </c>
      <c r="M176" s="35" t="inlineStr">
        <is>
          <t>Clinic</t>
        </is>
      </c>
      <c r="N176" s="35" t="inlineStr">
        <is>
          <t>ข้อ 43 Mock Musculo RxCU84</t>
        </is>
      </c>
      <c r="O176" s="35" t="inlineStr">
        <is>
          <t>Mock</t>
        </is>
      </c>
      <c r="P176" s="35" t="inlineStr">
        <is>
          <t>Mock RxCU84</t>
        </is>
      </c>
    </row>
    <row r="177" ht="409.6" customHeight="1" s="37">
      <c r="A177" s="35" t="n">
        <v>175</v>
      </c>
      <c r="B177"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หากจำเป็นต้องใช้ Oral NSAIDs ในผู้สูงอายุ ควรเลือกแนวทางใดเพื่อความปลอดภัยสูงสุดต่อ GI?</t>
        </is>
      </c>
      <c r="C177" s="35" t="n"/>
      <c r="D177" s="35" t="inlineStr">
        <is>
          <t>Piroxicam</t>
        </is>
      </c>
      <c r="E177" s="35" t="inlineStr">
        <is>
          <t>Ibuprofen dose สูง</t>
        </is>
      </c>
      <c r="F177" s="35" t="inlineStr">
        <is>
          <t>COX-2 inhibitor + PPI</t>
        </is>
      </c>
      <c r="G177" s="35" t="inlineStr">
        <is>
          <t>Indomethacin</t>
        </is>
      </c>
      <c r="H177" s="35" t="inlineStr">
        <is>
          <t>Naproxen เดี่ยวๆ</t>
        </is>
      </c>
      <c r="I177" s="35" t="n">
        <v>3</v>
      </c>
      <c r="J177" s="35" t="inlineStr">
        <is>
          <t>✅ คำตอบที่ถูกต้อง: ข้อ ค. COX-2 inhibitor + PPI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ในผู้สูงอายุที่มีความเสี่ยงต่อทางเดินอาหาร หากจำเป็นต้องใช้ยากินกลุ่ม NSAIDs กลยุทธ์ที่ปลอดภัยที่สุดต่อระบบทางเดินอาหารคือการเลือกใช้ Selective COX-2 inhibitor ร่วมกับการให้ยาป้องกันกรดในกระเพาะอาหารกลุ่ม Proton Pump Inhibitor (PPI)
🔍 ข้ออื่นผิดเพราะอะไร:
• ข้อ ก. (Piroxicam): Piroxicam เป็นยาในกลุ่ม Non-selective NSAIDs ที่มีค่าครึ่งชีวิตยาวนาน และมีความเสี่ยงสูงมากที่สุดตัวหนึ่งในการทำให้เกิดแผลและเลือดออกในทางเดินอาหาร โดยเฉพาะในผู้สูงอายุ
• ข้อ ข. (Ibuprofen dose สูง): Ibuprofen ในขนาดสูง (High dose) ขาดความจำเพาะต่อเอนไซม์ COX-2 จึงเพิ่มความเสี่ยงต่อการเกิดพิษในระบบทางเดินอาหารและผลข้างเคียงต่อระบบหัวใจและหลอดเลือด
• ข้อ ง. (Indomethacin): Indomethacin เป็นยาที่มีความเสี่ยงต่อการเกิดผลข้างเคียงทางเดินอาหารสูงมาก รวมถึงสามารถทำให้เกิดอาการสับสนหรือมึนงงในผู้ป่วยสูงอายุ จึงไม่แนะนำให้ใช้ใน OA
• ข้อ จ. (Naproxen เดี่ยวๆ): แม้ Naproxen จะมีความเสี่ยงทางระบบหัวใจและหลอดเลือดค่อนข้างต่ำ แต่การใช้เดี่ยวๆ ในผู้สูงอายุจะเพิ่มความเสี่ยงต่อการเกิดเลือดออกในทางเดินอาหารอย่างมาก (ต้องให้ร่วมกับ PPI เสมอ)
📖 Guideline อ้างอิง:
2019 American College of Rheumatology/Arthritis Foundation Guideline for the Management of Osteoarthritis of the Hand, Hip, and Knee
📌 จุดจำก่อนสอบ:
• High GI Risk NSAID Strategy: หากจำเป็นต้องใช้ยากิน NSAIDs ในผู้สูงอายุหรือผู้ที่มีความเสี่ยงต่อแผลทางเดินอาหาร ควรเลือกใช้ Selective COX-2 inhibitor ควบคู่กับการให้ยา Proton Pump Inhibitor (PPI) เสมอ</t>
        </is>
      </c>
      <c r="K177" s="35" t="n"/>
      <c r="L177" s="35" t="inlineStr">
        <is>
          <t>Osteoarthritis</t>
        </is>
      </c>
      <c r="M177" s="35" t="inlineStr">
        <is>
          <t>Clinic</t>
        </is>
      </c>
      <c r="N177" s="35" t="inlineStr">
        <is>
          <t>ข้อ 44 Mock Musculo RxCU84</t>
        </is>
      </c>
      <c r="O177" s="35" t="inlineStr">
        <is>
          <t>Mock</t>
        </is>
      </c>
      <c r="P177" s="35" t="inlineStr">
        <is>
          <t>Mock RxCU84</t>
        </is>
      </c>
    </row>
    <row r="178" ht="409.6" customHeight="1" s="37">
      <c r="A178" s="35" t="n">
        <v>176</v>
      </c>
      <c r="B178"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 Capsaicin cream มีกลไกแก้ปวดอย่างไร?</t>
        </is>
      </c>
      <c r="C178" s="35" t="n"/>
      <c r="D178" s="35" t="inlineStr">
        <is>
          <t>ยับยั้ง COX</t>
        </is>
      </c>
      <c r="E178" s="35" t="inlineStr">
        <is>
          <t>Depletion ของ Substance P จากปลายประสาท</t>
        </is>
      </c>
      <c r="F178" s="35" t="inlineStr">
        <is>
          <t>ยับยั้ง Mu-receptor</t>
        </is>
      </c>
      <c r="G178" s="35" t="inlineStr">
        <is>
          <t>ขยายหลอดเลือดลดอักเสบ</t>
        </is>
      </c>
      <c r="H178" s="35" t="inlineStr">
        <is>
          <t>ให้ความเย็นชา</t>
        </is>
      </c>
      <c r="I178" s="35" t="n">
        <v>2</v>
      </c>
      <c r="J178" s="35" t="inlineStr">
        <is>
          <t>✅ คำตอบที่ถูกต้อง: ข้อ ข. Depletion ของ Substance P จากปลายประสาท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cream ออกฤทธิ์โดยจับกับตัวรับ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 ส่งผลให้การส่งสัญญาณความปวดไปยังระบบประสาทส่วนกลางลดลง
🔍 ข้ออื่นผิดเพราะอะไร:
• ข้อ ก. (ยับยั้ง COX): NSAIDs มีกลไกยับยั้งเอนไซม์ COX เพื่อลดการสร้าง prostaglandins ไม่ใช่กลไกของ capsaicin
• ข้อ ค. (ยับยั้ง Mu-receptor): Opioids เช่น morphine ออกฤทธิ์จับกับ Mu-receptor ในระบบประสาทส่วนกลางเพื่อลดการรับรู้ความปวด
• ข้อ ง. (ขยายหลอดเลือดลดอักเสบ): Capsaicin ไม่ได้ออกฤทธิ์โดยการขยายหลอดเลือดเพื่อลดการอักเสบ แต่กระตุ้นและทำให้สารสื่อประสาทพร่องไป
• ข้อ จ. (ให้ความเย็นชา): Menthol หรือ camphor เป็น counter-irritant ที่ให้ความรู้สึกเย็นชาผ่าน TRPM8 receptor ไม่ใช่ capsaicin ที่จับกับ TRPV1
📖 Guideline อ้างอิง:
2019 American College of Rheumatology/Arthritis Foundation Guideline for the Management of Osteoarthritis of the Hand, Hip, and Knee
📌 จุดจำก่อนสอบ:
• Capsaicin Mechanism: Capsaicin ออกฤทธิ์จับกับตัวรับ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t>
        </is>
      </c>
      <c r="K178" s="35" t="n"/>
      <c r="L178" s="35" t="inlineStr">
        <is>
          <t>Osteoarthritis / Herbal Medicine</t>
        </is>
      </c>
      <c r="M178" s="35" t="inlineStr">
        <is>
          <t>Clinic</t>
        </is>
      </c>
      <c r="N178" s="35" t="inlineStr">
        <is>
          <t>ข้อ 45 Mock Musculo RxCU84</t>
        </is>
      </c>
      <c r="O178" s="35" t="inlineStr">
        <is>
          <t>Mock</t>
        </is>
      </c>
      <c r="P178" s="35" t="inlineStr">
        <is>
          <t>Mock RxCU84</t>
        </is>
      </c>
    </row>
    <row r="179" ht="409.6" customHeight="1" s="37">
      <c r="A179" s="35" t="n">
        <v>177</v>
      </c>
      <c r="B179"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สารใดที่เป็นองค์ประกอบหลักของกระดูกอ่อนข้อต่อ (Cartilage) ที่เป็นเป้าหมายของยาเสริมอาหารบางชนิด?</t>
        </is>
      </c>
      <c r="C179" s="35" t="n"/>
      <c r="D179" s="35" t="inlineStr">
        <is>
          <t>Hyaluronic acid และ Proteoglycan</t>
        </is>
      </c>
      <c r="E179" s="35" t="inlineStr">
        <is>
          <t>Calcium</t>
        </is>
      </c>
      <c r="F179" s="35" t="inlineStr">
        <is>
          <t>Vitamin D</t>
        </is>
      </c>
      <c r="G179" s="35" t="inlineStr">
        <is>
          <t>Uric acid</t>
        </is>
      </c>
      <c r="H179" s="35" t="inlineStr">
        <is>
          <t>Fibrin</t>
        </is>
      </c>
      <c r="I179" s="35" t="n">
        <v>1</v>
      </c>
      <c r="J179" s="35" t="inlineStr">
        <is>
          <t>✅ คำตอบที่ถูกต้อง: ข้อ ก. Hyaluronic acid และ Proteoglycan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องค์ประกอบหลักของสารพื้นฐานในกระดูกอ่อนผิวข้อ (Extracellular matrix of articular cartilage) คือ น้ำ, เส้นใย Collagen (ส่วนใหญ่ Type II), Proteoglycans (เช่น Aggrecan) และ Hyaluronic acid ซึ่งเป็นเป้าหมายของผลิตภัณฑ์เสริมสุขภาพข้อต่อ
🔍 ข้ออื่นผิดเพราะอะไร:
• ข้อ ข. (Calcium): แคลเซียมเป็นแร่ธาตุที่เป็นโครงสร้างหลักของกระดูกแข็ง (Bone) ไม่ใช่กระดูกอ่อนข้อต่อ (Cartilage)
• ข้อ ค. (Vitamin D): วิตามินดีทำหน้าที่เพิ่มการดูดซึมแคลเซียมและฟอสฟอรัสที่ลำไส้เพื่อเสริมความแข็งแรงของกระดูกแข็ง
• ข้อ ง. (Uric acid): กรดยูริกเป็นของเสียจากการสลายพิวรีน หากสะสมในข้อจะทำให้เกิดโรคเกาต์ ไม่ใช่องค์ประกอบของกระดูกอ่อน
• ข้อ จ. (Fibrin): ไฟบรินเป็นโปรตีนที่เกี่ยวข้องกับกระบวนการแข็งตัวของเลือด ไม่มีบทบาทเป็นโครงสร้างของกระดูกอ่อนข้อต่อ
📖 Guideline อ้างอิง:
2019 American College of Rheumatology/Arthritis Foundation Guideline for the Management of Osteoarthritis of the Hand, Hip, and Knee
📌 จุดจำก่อนสอบ:
• Cartilage Matrix Components: สารพื้นฐานของกระดูกอ่อนผิวข้อประกอบด้วยน้ำ เส้นใย Type II Collagen และ Proteoglycans (เช่น Aggrecan, Hyaluronic acid, Chondroitin)</t>
        </is>
      </c>
      <c r="K179" s="35" t="n"/>
      <c r="L179" s="35" t="inlineStr">
        <is>
          <t>Osteoarthritis</t>
        </is>
      </c>
      <c r="M179" s="35" t="inlineStr">
        <is>
          <t>Clinic</t>
        </is>
      </c>
      <c r="N179" s="35" t="inlineStr">
        <is>
          <t>ข้อ 46 Mock Musculo RxCU84</t>
        </is>
      </c>
      <c r="O179" s="35" t="inlineStr">
        <is>
          <t>Mock</t>
        </is>
      </c>
      <c r="P179" s="35" t="inlineStr">
        <is>
          <t>Mock RxCU84</t>
        </is>
      </c>
    </row>
    <row r="180" ht="409.6" customHeight="1" s="37">
      <c r="A180" s="35" t="n">
        <v>178</v>
      </c>
      <c r="B180"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การฉีดคอร์ติโคสเตียรอยด์เข้าข้อ (Intra-articular) มีข้อจำกัดอย่างไร?</t>
        </is>
      </c>
      <c r="C180" s="35" t="n"/>
      <c r="D180" s="35" t="inlineStr">
        <is>
          <t>ห้ามฉีดเกินปีละ 1 ครั้ง</t>
        </is>
      </c>
      <c r="E180" s="35" t="inlineStr">
        <is>
          <t>ให้ผลลดปวดเพียงระยะสั้น (Short-term) ไม่ชะลอโรค</t>
        </is>
      </c>
      <c r="F180" s="35" t="inlineStr">
        <is>
          <t>ทำให้กระดูกงอก</t>
        </is>
      </c>
      <c r="G180" s="35" t="inlineStr">
        <is>
          <t>ลดปวดถาวร</t>
        </is>
      </c>
      <c r="H180" s="35" t="inlineStr">
        <is>
          <t>ใช้เป็น First-line เสมอ</t>
        </is>
      </c>
      <c r="I180" s="35" t="n">
        <v>2</v>
      </c>
      <c r="J180" s="35" t="inlineStr">
        <is>
          <t>✅ คำตอบที่ถูกต้อง: ข้อ ข. ให้ผลลดปวดเพียงระยะสั้น (Short-term) ไม่ชะลอโรค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การฉีดยาสเตียรอยด์เข้าข้อ (Intra-articular Corticosteroids) มีข้อจำกัดคือให้ผลบรรเทาอาการปวดและลดการอักเสบเพียงระยะสั้น (Short-term relief ประมาณ 4-8 สัปดาห์) ไม่มีผลในการชะลอการดำเนินโรค และไม่ควรฉีดบ่อยเกินไป (ไม่เกิน 3-4 ครั้งต่อปีต่อข้อ) เพราะอาจเร่งการเสื่อมของกระดูกอ่อน
🔍 ข้ออื่นผิดเพราะอะไร:
• ข้อ ก. (ห้ามฉีดเกินปีละ 1 ครั้ง): การฉีดคอร์ติโคสเตียรอยด์เข้าข้อสามารถฉีดซ้ำได้ทุก 3-4 เดือน หรือประมาณ 3-4 ครั้งต่อปีตามความจำเป็นทางคลินิก
• ข้อ ค. (ทำให้กระดูกงอก): คอร์ติโคสเตียรอยด์อาจทำให้กระดูกอ่อนผิวข้อเสื่อมเร็วขึ้นหากฉีดบ่อยเกินไป แต่ไม่ได้กระตุ้นให้เกิดกระดูกงอก
• ข้อ ง. (ลดปวดถาวร): ยาเพียงแค่ลดกระบวนการอักเสบชั่วคราว ไม่สามารถแก้ความเสื่อมของโครงสร้างข้อเพื่อลดปวดอย่างถาวรได้
• ข้อ จ. (ใช้เป็น First-line เสมอ): Guideline แนะนำให้ใช้ Topical หรือ Oral NSAIDs เป็น First-line ส่วนการฉีดเข้าข้อพิจารณาเมื่อใช้ยาอื่นไม่ได้ผลหรือมีข้ออักเสบเฉียบพลันรุนแรง
📖 Guideline อ้างอิง:
2019 American College of Rheumatology/Arthritis Foundation Guideline for the Management of Osteoarthritis of the Hand, Hip, and Knee
📌 จุดจำก่อนสอบ:
• Limitations of IA Steroid: การฉีด Intra-articular Corticosteroids ให้ผลบรรเทาปวดเพียงระยะสั้น (4-8 สัปดาห์) ไม่ชะลอโรค และไม่ควรฉีดบ่อยเกินปีละ 3-4 ครั้งเนื่องจากอาจเร่งให้กระดูกอ่อนเสื่อมเร็วขึ้น</t>
        </is>
      </c>
      <c r="K180" s="35" t="n"/>
      <c r="L180" s="35" t="inlineStr">
        <is>
          <t>Osteoarthritis</t>
        </is>
      </c>
      <c r="M180" s="35" t="inlineStr">
        <is>
          <t>Clinic</t>
        </is>
      </c>
      <c r="N180" s="35" t="inlineStr">
        <is>
          <t>ข้อ 47 Mock Musculo RxCU84</t>
        </is>
      </c>
      <c r="O180" s="35" t="inlineStr">
        <is>
          <t>Mock</t>
        </is>
      </c>
      <c r="P180" s="35" t="inlineStr">
        <is>
          <t>Mock RxCU84</t>
        </is>
      </c>
    </row>
    <row r="181" ht="409.6" customHeight="1" s="37">
      <c r="A181" s="35" t="n">
        <v>179</v>
      </c>
      <c r="B181"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หากผู้ป่วยแพ้ยา NSAIDs รุนแรง ยาใดเป็นตัวเลือกถัดไปในการลดปวด?</t>
        </is>
      </c>
      <c r="C181" s="35" t="n"/>
      <c r="D181" s="35" t="inlineStr">
        <is>
          <t>Duloxetine หรือ Tramadol</t>
        </is>
      </c>
      <c r="E181" s="35" t="inlineStr">
        <is>
          <t>Colchicine</t>
        </is>
      </c>
      <c r="F181" s="35" t="inlineStr">
        <is>
          <t>Allopurinol</t>
        </is>
      </c>
      <c r="G181" s="35" t="inlineStr">
        <is>
          <t>Methotrexate</t>
        </is>
      </c>
      <c r="H181" s="35" t="inlineStr">
        <is>
          <t>Prednisolone</t>
        </is>
      </c>
      <c r="I181" s="35" t="n">
        <v>1</v>
      </c>
      <c r="J181" s="35" t="inlineStr">
        <is>
          <t>✅ คำตอบที่ถูกต้อง: ข้อ ก. Duloxetine หรือ Tramadol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หากผู้ป่วยมีข้อห้ามใช้หรือแพ้ยา NSAIDs ยาแก้ปวดทางเลือกที่มีคำแนะนำสนับสนุนให้ใช้ในการรักษาอาการปวดเรื้อรังจากข้อเข่าเสื่อมคือ Duloxetine (SNRI) หรือ Tramadol
🔍 ข้ออื่นผิดเพราะอะไร:
• ข้อ ข. (Colchicine): Colchicine มีกลไกยับยั้งการรวมตัวของ microtubule ใช้ลดการอักเสบเฉียบพลันในโรคเกาต์ ไม่มีข้อบ่งใช้ในข้อเข่าเสื่อม
• ข้อ ค. (Allopurinol): Allopurinol เป็นยาคลายกรดยูริกโดยยับยั้งเอนไซม์ xanthine oxidase ใช้ป้องกันเกาต์กำเริบ ไม่ใช่ยาลดปวดข้อเข่าเสื่อม
• ข้อ ง. (Methotrexate): Methotrexate เป็น DMARDs ใช้ปรับภูมิคุ้มกันในโรครูมาตอยด์ ไม่มีบทบาทรักษาอาการปวดจากภาวะข้อเข่าเสื่อม
• ข้อ จ. (Prednisolone): Prednisolone ชนิดรับประทานไม่แนะนำให้ใช้ในข้อเข่าเสื่อม เนื่องจากไม่ได้ผลดีและเสี่ยงต่อผลข้างเคียงทั่วร่างกายเมื่อใช้ระยะยาว
📖 Guideline อ้างอิง:
2019 American College of Rheumatology/Arthritis Foundation Guideline for the Management of Osteoarthritis of the Hand, Hip, and Knee
📌 จุดจำก่อนสอบ:
• Alternative Analgesics in OA: หากมีข้อห้ามใช้ NSAIDs แนวทางเวชปฏิบัติแนะนำให้ใช้ Duloxetine (SNRI) หรือ Tramadol ในการจัดการอาการปวดเรื้อรังจากข้อเข่าเสื่อม</t>
        </is>
      </c>
      <c r="K181" s="35" t="n"/>
      <c r="L181" s="35" t="inlineStr">
        <is>
          <t>Osteoarthritis</t>
        </is>
      </c>
      <c r="M181" s="35" t="inlineStr">
        <is>
          <t>Clinic</t>
        </is>
      </c>
      <c r="N181" s="35" t="inlineStr">
        <is>
          <t>ข้อ 48 Mock Musculo RxCU84</t>
        </is>
      </c>
      <c r="O181" s="35" t="inlineStr">
        <is>
          <t>Mock</t>
        </is>
      </c>
      <c r="P181" s="35" t="inlineStr">
        <is>
          <t>Mock RxCU84</t>
        </is>
      </c>
    </row>
    <row r="182" ht="409.6" customHeight="1" s="37">
      <c r="A182" s="35" t="n">
        <v>180</v>
      </c>
      <c r="B182"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ยากลุ่ม SYSADOA (เช่น Glucosamine) Guideline ปัจจุบัน (ACR) แนะนำอย่างไร?</t>
        </is>
      </c>
      <c r="C182" s="35" t="n"/>
      <c r="D182" s="35" t="inlineStr">
        <is>
          <t>แนะนำอย่างยิ่งให้ใช้ทุกราย</t>
        </is>
      </c>
      <c r="E182" s="35" t="inlineStr">
        <is>
          <t>ไม่แนะนำให้ใช้ (Strongly against) หรือแนะนำอย่างมีเงื่อนไขว่าอาจใช้ใน OA Knee</t>
        </is>
      </c>
      <c r="F182" s="35" t="inlineStr">
        <is>
          <t>แทนที่ NSAID ได้เลย</t>
        </is>
      </c>
      <c r="G182" s="35" t="inlineStr">
        <is>
          <t>ใช้รักษา RA ได้</t>
        </is>
      </c>
      <c r="H182" s="35" t="inlineStr">
        <is>
          <t>ใช้ป้องกันกระดูกหัก</t>
        </is>
      </c>
      <c r="I182" s="35" t="n">
        <v>2</v>
      </c>
      <c r="J182" s="35" t="inlineStr">
        <is>
          <t>✅ คำตอบที่ถูกต้อง: ข้อ ข. ไม่แนะนำให้ใช้ (Strongly against) หรือแนะนำอย่างมีเงื่อนไขว่าอาจใช้ใน OA Knee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มีคำแนะนำอย่างยิ่งไม่สนับสนุนให้ใช้ (Strongly recommended against) ยา Glucosamine และ Chondroitin ในการรักษา Knee and Hip OA เนื่องจากหลักฐานทางคลินิกพบว่าประสิทธิภาพไม่แตกต่างจากยาหลอกอย่างมีนัยสำคัญ
🔍 ข้ออื่นผิดเพราะอะไร:
• ข้อ ก. (แนะนำอย่างยิ่งให้ใช้ทุกราย): OARSI และ ACR guideline ไม่แนะนำให้ใช้ SYSADOA เป็นประจำทุกรายเนื่องจากหลักฐานด้านประสิทธิภาพยังขัดแย้งกัน
• ข้อ ค. (แทนที่ NSAID ได้เลย): ยาไม่มีฤทธิ์ต้านการอักเสบหรือระงับปวดที่รวดเร็วและมีประสิทธิภาพเทียบเท่า NSAIDs จึงไม่สามารถใช้ทดแทนได้โดยตรง
• ข้อ ง. (ใช้รักษา RA ได้): Rheumatoid arthritis เป็นโรคแพ้ภูมิตัวเองที่ต้องรักษาด้วย DMARDs ยา SYSADOA ไม่มีกลไกปรับเปลี่ยนภูมิคุ้มกัน
• ข้อ จ. (ใช้ป้องกันกระดูกหัก): ยาไม่ได้เพิ่มความหนาแน่นของมวลกระดูก จึงไม่สามารถใช้ป้องกันภาวะกระดูกหักจากโรคกระดูกพรุนได้
📖 Guideline อ้างอิง:
2019 American College of Rheumatology/Arthritis Foundation Guideline for the Management of Osteoarthritis of the Hand, Hip, and Knee
📌 จุดจำก่อนสอบ:
• SYSADOA Status in ACR 2019: แนวทางเวชปฏิบัติ ACR 2019 มีคำแนะนำ ไม่แนะนำให้ใช้ (Strongly recommended against) ยากลุ่ม Glucosamine และ Chondroitin ใน Knee และ Hip OA เนื่องจากขาดหลักฐานทางคลินิกที่ยืนยันประสิทธิผลเหนือกว่ายาหลอก</t>
        </is>
      </c>
      <c r="K182" s="35" t="n"/>
      <c r="L182" s="35" t="inlineStr">
        <is>
          <t>Osteoarthritis</t>
        </is>
      </c>
      <c r="M182" s="35" t="inlineStr">
        <is>
          <t>Clinic</t>
        </is>
      </c>
      <c r="N182" s="35" t="inlineStr">
        <is>
          <t>ข้อ 49 Mock Musculo RxCU84</t>
        </is>
      </c>
      <c r="O182" s="35" t="inlineStr">
        <is>
          <t>Mock</t>
        </is>
      </c>
      <c r="P182" s="35" t="inlineStr">
        <is>
          <t>Mock RxCU84</t>
        </is>
      </c>
    </row>
    <row r="183" ht="409.6" customHeight="1" s="37">
      <c r="A183" s="35" t="n">
        <v>181</v>
      </c>
      <c r="B183"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ยาใดจัดเป็น first-line ที่แนะนำอย่างยิ่ง สำหรับข้อเข่าเสื่อมในผู้สูงอายุรายนี้</t>
        </is>
      </c>
      <c r="C183" s="35" t="n"/>
      <c r="D183" s="35" t="inlineStr">
        <is>
          <t>Paracetamol</t>
        </is>
      </c>
      <c r="E183" s="35" t="inlineStr">
        <is>
          <t>Tramadol</t>
        </is>
      </c>
      <c r="F183" s="35" t="inlineStr">
        <is>
          <t>Topical NSAIDs</t>
        </is>
      </c>
      <c r="G183" s="35" t="inlineStr">
        <is>
          <t>Intra-articular hyaluronic acid</t>
        </is>
      </c>
      <c r="H183" s="35" t="inlineStr">
        <is>
          <t>Glucosamine</t>
        </is>
      </c>
      <c r="I183" s="35" t="n">
        <v>3</v>
      </c>
      <c r="J183" s="35" t="inlineStr">
        <is>
          <t>✅ คำตอบที่ถูกต้อง: ข้อ ค.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ACR 2019 แนะนำ Topical NSAIDs เป็น First-line therapy ที่แนะนำอย่างยิ่ง (Strongly recommended) สำหรับข้อเข่าเสื่อมในผู้สูงอายุ เนื่องจากปลอดภัยต่อระบบต่างๆ สูงกว่า Oral NSAIDs
🔍 ข้ออื่นผิดเพราะอะไร:
• ข้อ ก. (Paracetamol): Paracetamol ไม่แนะนำให้เป็น First-line เนื่องจากมีประสิทธิภาพลดปวดข้อเข่าเสื่อมต่ำกว่า NSAIDs อย่างมีนัยสำคัญ
• ข้อ ข. (Tramadol): Tramadol เป็น weak opioid ที่แนะนำให้ใช้แบบมีเงื่อนไขเมื่อผู้ป่วยมีข้อห้ามใช้ NSAIDs เนื่องจากเสี่ยงต่ออาการไม่พึงประสงค์ทางระบบประสาท
• ข้อ ง. (Intra-articular hyaluronic acid): Intra-articular hyaluronic acid มีคำแนะนำแบบมีเงื่อนไขหรืออาจไม่แนะนำในบาง guideline เนื่องจากให้ผลลดปวดไม่ชัดเจนเมื่อเทียบกับยาหลอก
• ข้อ จ. (Glucosamine): Glucosamine ถูกแนะนำอย่างมีเงื่อนไขว่าไม่ควรใช้ (Strongly against ใน ACR 2019) เพราะไม่มีหลักฐานเพียงพอถึงประโยชน์ทางคลินิกที่ชัดเจน
📖 Guideline อ้างอิง:
2019 American College of Rheumatology/Arthritis Foundation Guideline for the Management of Osteoarthritis of the Hand, Hip, and Knee
📌 จุดจำก่อนสอบ:
• Preferred Knee OA Treatment in Elderly: Topical NSAIDs ปลอดภัยต่อหัวใจ ไต และทางเดินอาหารมากกว่ายารับประทาน จึงเป็นยาอันดับหนึ่งในผู้ป่วยสูงอายุ</t>
        </is>
      </c>
      <c r="K183" s="35" t="n"/>
      <c r="L183" s="35" t="inlineStr">
        <is>
          <t>Osteoarthritis</t>
        </is>
      </c>
      <c r="M183" s="35" t="inlineStr">
        <is>
          <t>Clinic</t>
        </is>
      </c>
      <c r="N183" s="35" t="inlineStr">
        <is>
          <t>ข้อ 50 Mock Musculo RxCU84</t>
        </is>
      </c>
      <c r="O183" s="35" t="inlineStr">
        <is>
          <t>Mock</t>
        </is>
      </c>
      <c r="P183" s="35" t="inlineStr">
        <is>
          <t>Mock RxCU84</t>
        </is>
      </c>
    </row>
    <row r="184" ht="409.6" customHeight="1" s="37">
      <c r="A184" s="35" t="n">
        <v>182</v>
      </c>
      <c r="B184"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ยาต้านพิษของภาวะได้รับ paracetamol เกินขนาดคือข้อใด</t>
        </is>
      </c>
      <c r="C184" s="35" t="n"/>
      <c r="D184" s="35" t="inlineStr">
        <is>
          <t>Naloxone</t>
        </is>
      </c>
      <c r="E184" s="35" t="inlineStr">
        <is>
          <t>Flumazenil</t>
        </is>
      </c>
      <c r="F184" s="35" t="inlineStr">
        <is>
          <t>Vitamin K</t>
        </is>
      </c>
      <c r="G184" s="35" t="inlineStr">
        <is>
          <t>N-acetylcysteine</t>
        </is>
      </c>
      <c r="H184" s="35" t="inlineStr">
        <is>
          <t>Leucovorin</t>
        </is>
      </c>
      <c r="I184" s="35" t="n">
        <v>4</v>
      </c>
      <c r="J184" s="35" t="inlineStr">
        <is>
          <t>✅ คำตอบที่ถูกต้อง: ข้อ ง. N-acetylcysteine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N-acetylcysteine (NAC) เป็นยาต้านพิษ (Antidote) จำเพาะสำหรับภาวะ Paracetamol overdose โดยทำหน้าที่เป็นสารตั้งต้นในการสังเคราะห์ Glutathione เพื่อจับกับสารพิษ NAPQI
🔍 ข้ออื่นผิดเพราะอะไร:
• ข้อ ก. (Naloxone): Naloxone เป็นยาต้านฤทธิ์ของกลุ่ม opioids โดยแย่งจับที่ Mu-receptor ไม่สามารถแก้พิษจาก paracetamol ได้
• ข้อ ข. (Flumazenil): Flumazenil เป็น antidote สำหรับแก้พิษจากการได้รับยากลุ่ม benzodiazepines เกินขนาด
• ข้อ ค. (Vitamin K): Vitamin K ใช้ต้านฤทธิ์ยาต้านการแข็งตัวของเลือดจำพวก warfarin โดยเสริมการสร้าง clotting factors
• ข้อ จ. (Leucovorin): Leucovorin (Folinic acid) ใช้เป็น rescue therapy เพื่อลดพิษของยา methotrexate ต่อเซลล์ปกติ
📖 Guideline อ้างอิง:
2019 American College of Rheumatology/Arthritis Foundation Guideline for the Management of Osteoarthritis of the Hand, Hip, and Knee
📌 จุดจำก่อนสอบ:
• Acetaminophen Antidote: N-acetylcysteine (NAC) เป็นยาต้านพิษจำเพาะสำหรับ Paracetamol overdose โดยทำหน้าที่เติมสารตั้งต้นสังเคราะห์ Glutathione เพื่อขจัดสารพิษ NAPQI</t>
        </is>
      </c>
      <c r="K184" s="35" t="n"/>
      <c r="L184" s="35" t="inlineStr">
        <is>
          <t>Osteoarthritis</t>
        </is>
      </c>
      <c r="M184" s="35" t="inlineStr">
        <is>
          <t>Clinic</t>
        </is>
      </c>
      <c r="N184" s="35" t="inlineStr">
        <is>
          <t>ข้อ 51 Mock Musculo RxCU84</t>
        </is>
      </c>
      <c r="O184" s="35" t="inlineStr">
        <is>
          <t>Mock</t>
        </is>
      </c>
      <c r="P184" s="35" t="inlineStr">
        <is>
          <t>Mock RxCU84</t>
        </is>
      </c>
    </row>
    <row r="185" ht="409.6" customHeight="1" s="37">
      <c r="A185" s="35" t="n">
        <v>183</v>
      </c>
      <c r="B185"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หากผู้ป่วยมีข้อห้ามใช้ NSAIDs และปวดเรื้อรัง ยาใดเหมาะสมที่สุด</t>
        </is>
      </c>
      <c r="C185" s="35" t="n"/>
      <c r="D185" s="35" t="inlineStr">
        <is>
          <t>Duloxetine</t>
        </is>
      </c>
      <c r="E185" s="35" t="inlineStr">
        <is>
          <t>Colchicine</t>
        </is>
      </c>
      <c r="F185" s="35" t="inlineStr">
        <is>
          <t>Allopurinol</t>
        </is>
      </c>
      <c r="G185" s="35" t="inlineStr">
        <is>
          <t>Prednisolone ระยะยาว</t>
        </is>
      </c>
      <c r="H185" s="35" t="inlineStr">
        <is>
          <t>Aspirin ขนาดสูง</t>
        </is>
      </c>
      <c r="I185" s="35" t="n">
        <v>1</v>
      </c>
      <c r="J185" s="35" t="inlineStr">
        <is>
          <t>✅ คำตอบที่ถูกต้อง: ข้อ ก. Duloxetine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Duloxetine เป็นยาต้านเศร้ากลุ่ม SNRI ที่ได้รับการรับรองจาก FDA และแนะนำใน ACR guideline สำหรับอาการปวดเรื้อรังจากกระดูกและกล้ามเนื้อ รวมถึงข้อเข่าเสื่อมในผู้ป่วยที่มีข้อห้ามใช้ NSAIDs
🔍 ข้ออื่นผิดเพราะอะไร:
• ข้อ ข. (Colchicine): Colchicine ลดการอักเสบผ่านการยับยั้ง microtubule polymerization ใช้ในโรคเกาต์เฉียบพลัน ไม่มีผลลดปวดในข้อเสื่อม
• ข้อ ค. (Allopurinol): Allopurinol ยับยั้ง xanthine oxidase เพื่อลดการสร้างกรดยูริกในเลือด ไม่มีฤทธิ์แก้ปวดหรือแก้อักเสบในข้อเข่าเสื่อม
• ข้อ ง. (Prednisolone ระยะยาว): Systemic corticosteroids ไม่แนะนำให้ใช้ระยะยาวในโรคข้อเข่าเสื่อมเนื่องจากผลข้างเคียงสูงและไม่มีประโยชน์ในการชะลอโรค
• ข้อ จ. (Aspirin ขนาดสูง): Aspirin ขนาดสูงมีผลข้างเคียงต่อระบบทางเดินอาหารและเพิ่มความเสี่ยงเลือดออก ไม่นิยมนำมาใช้แก้ปวดข้อเข่าเสื่อมในปัจจุบัน
📖 Guideline อ้างอิง:
2019 American College of Rheumatology/Arthritis Foundation Guideline for the Management of Osteoarthritis of the Hand, Hip, and Knee
📌 จุดจำก่อนสอบ:
• Central Pain Modulation in OA: Duloxetine ช่วยเพิ่มระดับ Serotonin และ Norepinephrine ในระบบ Descending inhibitory pain pathways บรรเทาอาการปวดข้อเข่าเสื่อมเรื้อรังได้ดีในรายที่มีข้อห้ามใช้ NSAIDs</t>
        </is>
      </c>
      <c r="K185" s="35" t="n"/>
      <c r="L185" s="35" t="inlineStr">
        <is>
          <t>Osteoarthritis</t>
        </is>
      </c>
      <c r="M185" s="35" t="inlineStr">
        <is>
          <t>Clinic</t>
        </is>
      </c>
      <c r="N185" s="35" t="inlineStr">
        <is>
          <t>ข้อ 52 Mock Musculo RxCU84</t>
        </is>
      </c>
      <c r="O185" s="35" t="inlineStr">
        <is>
          <t>Mock</t>
        </is>
      </c>
      <c r="P185" s="35" t="inlineStr">
        <is>
          <t>Mock RxCU84</t>
        </is>
      </c>
    </row>
    <row r="186" ht="409.6" customHeight="1" s="37">
      <c r="A186" s="35" t="n">
        <v>184</v>
      </c>
      <c r="B186"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กลไกการบรรเทาปวดของ capsaicin ชนิดทาเฉพาะที่คือข้อใด</t>
        </is>
      </c>
      <c r="C186" s="35" t="n"/>
      <c r="D186" s="35" t="inlineStr">
        <is>
          <t>ยับยั้งเอนไซม์ cyclooxygenase</t>
        </is>
      </c>
      <c r="E186" s="35" t="inlineStr">
        <is>
          <t>กระตุ้น TRPV1 ทำให้ substance P พร่องลง</t>
        </is>
      </c>
      <c r="F186" s="35" t="inlineStr">
        <is>
          <t>ต้านตัวรับ μ-opioid</t>
        </is>
      </c>
      <c r="G186" s="35" t="inlineStr">
        <is>
          <t>ยับยั้ง xanthine oxidase</t>
        </is>
      </c>
      <c r="H186" s="35" t="inlineStr">
        <is>
          <t>ยับยั้งการเก็บกลับ serotonin</t>
        </is>
      </c>
      <c r="I186" s="35" t="n">
        <v>2</v>
      </c>
      <c r="J186" s="35" t="inlineStr">
        <is>
          <t>✅ คำตอบที่ถูกต้อง: ข้อ ข. กระตุ้น TRPV1 ทำให้ substance P พร่องลง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ออกฤทธิ์จับกับตัวรับ TRPV1 (Vanilloid receptor) บน nociceptor ทำให้เกิดการปลดปล่อยและทำให้ Substance P พร่องลง (Depletion of substance P) จึงลดการส่งผ่านกระแสประสาทความปวด
🔍 ข้ออื่นผิดเพราะอะไร:
• ข้อ ก. (ยับยั้งเอนไซม์ cyclooxygenase): ยับยั้งเอนไซม์ cyclooxygenase เป็นกลไกการออกฤทธิ์ของยา NSAIDs ในการลดการสร้าง prostaglandins
• ข้อ ค. (ต้านตัวรับ μ-opioid): ต้านตัวรับ mu-opioid เป็นกลไกการออกฤทธิ์ของยา naloxone ในการแก้พิษ opioids
• ข้อ ง. (ยับยั้ง xanthine oxidase): ยับยั้ง xanthine oxidase เป็นกลไกการออกฤทธิ์ของ allopurinol และ febuxostat ในการรักษาโรคเกาต์
• ข้อ จ. (ยับยั้งการเก็บกลับ serotonin): ยับยั้งการเก็บกลับ serotonin และ norepinephrine เป็นกลไกของ SNRI เช่น duloxetine ที่ช่วยลดปวดประสาท
📖 Guideline อ้างอิง:
2019 American College of Rheumatology/Arthritis Foundation Guideline for the Management of Osteoarthritis of the Hand, Hip, and Knee
📌 จุดจำก่อนสอบ:
• Substance P Depletion by Capsaicin: การทา Capsaicin ต่อเนื่องจะทำให้เกิดการคั่งและหมดไปของ Substance P ที่ปลายประสาทรับความรู้สึกปวด ช่วยบรรเทาอาการปวดข้อเฉพาะที่</t>
        </is>
      </c>
      <c r="K186" s="35" t="n"/>
      <c r="L186" s="35" t="inlineStr">
        <is>
          <t>Osteoarthritis / Herbal Medicine</t>
        </is>
      </c>
      <c r="M186" s="35" t="inlineStr">
        <is>
          <t>Clinic</t>
        </is>
      </c>
      <c r="N186" s="35" t="inlineStr">
        <is>
          <t>ข้อ 53 Mock Musculo RxCU84</t>
        </is>
      </c>
      <c r="O186" s="35" t="inlineStr">
        <is>
          <t>Mock</t>
        </is>
      </c>
      <c r="P186" s="35" t="inlineStr">
        <is>
          <t>Mock RxCU84</t>
        </is>
      </c>
    </row>
    <row r="187" ht="409.6" customHeight="1" s="37">
      <c r="A187" s="35" t="n">
        <v>185</v>
      </c>
      <c r="B187" s="35"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คำแนะนำต่อการใช้ glucosamine ในข้อเข่าเสื่อมคือข้อใด</t>
        </is>
      </c>
      <c r="C187" s="35" t="n"/>
      <c r="D187" s="35" t="inlineStr">
        <is>
          <t>แนะนำอย่างยิ่งให้ใช้ทุกราย</t>
        </is>
      </c>
      <c r="E187" s="35" t="inlineStr">
        <is>
          <t>ใช้แทน NSAIDs ได้</t>
        </is>
      </c>
      <c r="F187" s="35" t="inlineStr">
        <is>
          <t>ใช้รักษา RA</t>
        </is>
      </c>
      <c r="G187" s="35" t="inlineStr">
        <is>
          <t>ใช้ป้องกันกระดูกหัก</t>
        </is>
      </c>
      <c r="H187" s="35" t="inlineStr">
        <is>
          <t>ไม่แนะนำให้ใช้</t>
        </is>
      </c>
      <c r="I187" s="35" t="n">
        <v>5</v>
      </c>
      <c r="J187" s="35" t="inlineStr">
        <is>
          <t>✅ คำตอบที่ถูกต้อง: ข้อ จ. ไม่แนะนำให้ใช้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แนวทางเวชปฏิบัติ ACR 2019 ให้คำแนะนำไม่แนะนำให้ใช้ (Strongly against) ยา Glucosamine ในการรักษาข้อเข่าเสื่อมเนื่องจากขาดหลักฐานประสิทธิผลที่ชัดเจนเหนือยาหลอก
🔍 ข้ออื่นผิดเพราะอะไร:
• ข้อ ก. (แนะนำอย่างยิ่งให้ใช้ทุกราย): แนวทางปฏิบัติทางคลินิกปัจจุบันไม่สนับสนุนการใช้ glucosamine เป็นประจำทุกรายเนื่องจากประสิทธิภาพไม่เหนือกว่ายาหลอก
• ข้อ ข. (ใช้แทน NSAIDs ได้): Glucosamine ออกฤทธิ์ช้ามากและไม่มีฤทธิ์ต้านการอักเสบแบบเฉียบพลัน จึงไม่สามารถใช้เพื่อทดแทน NSAIDs ได้
• ข้อ ค. (ใช้รักษา RA): โรครูมาตอยด์เกิดจากกลไกทางภูมิคุ้มกัน ต้องรักษาด้วยยากลุ่ม DMARDs ซึ่ง glucosamine ไม่มีฤทธิ์ปรับภูมิคุ้มกัน
• ข้อ ง. (ใช้ป้องกันกระดูกหัก): Glucosamine เป็นเพียงองค์ประกอบของกระดูกอ่อนผิวข้อ ไม่ได้ช่วยเพิ่มมวลกระดูกแข็งเพื่อป้องกันกระดูกหัก
📖 Guideline อ้างอิง:
2019 American College of Rheumatology/Arthritis Foundation Guideline for the Management of Osteoarthritis of the Hand, Hip, and Knee
📌 จุดจำก่อนสอบ:
• Glucosamine Guideline Evidence: ปัจจุบัน ACR Guideline ไม่สนับสนุนการใช้ Glucosamine ในการรักษาโรคข้อเข่าเสื่อมเนื่องจากหลักฐานการวิจัยขนาดใหญ่พบว่าไม่แตกต่างจาก Placebo อย่างมีนัยสำคัญ</t>
        </is>
      </c>
      <c r="K187" s="35" t="n"/>
      <c r="L187" s="35" t="inlineStr">
        <is>
          <t>Osteoarthritis</t>
        </is>
      </c>
      <c r="M187" s="35" t="inlineStr">
        <is>
          <t>Clinic</t>
        </is>
      </c>
      <c r="N187" s="35" t="inlineStr">
        <is>
          <t>ข้อ 54 Mock Musculo RxCU84</t>
        </is>
      </c>
      <c r="O187" s="35" t="inlineStr">
        <is>
          <t>Mock</t>
        </is>
      </c>
      <c r="P187" s="35" t="inlineStr">
        <is>
          <t>Mock RxCU84</t>
        </is>
      </c>
    </row>
    <row r="188" ht="409.6" customHeight="1" s="37">
      <c r="A188" s="35" t="n">
        <v>186</v>
      </c>
      <c r="B188"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ยาใดเป็น First-line ในการป้องกันกระดูกหักซ้ำสำหรับผู้ป่วยรายนี้?</t>
        </is>
      </c>
      <c r="C188" s="35" t="n"/>
      <c r="D188" s="35" t="inlineStr">
        <is>
          <t>Alendronate</t>
        </is>
      </c>
      <c r="E188" s="35" t="inlineStr">
        <is>
          <t>Raloxifene</t>
        </is>
      </c>
      <c r="F188" s="35" t="inlineStr">
        <is>
          <t>Estrogen</t>
        </is>
      </c>
      <c r="G188" s="35" t="inlineStr">
        <is>
          <t>Calcitonin</t>
        </is>
      </c>
      <c r="H188" s="35" t="inlineStr">
        <is>
          <t>Calcium</t>
        </is>
      </c>
      <c r="I188" s="35" t="n">
        <v>1</v>
      </c>
      <c r="J188" s="35" t="inlineStr">
        <is>
          <t>✅ คำตอบที่ถูกต้อง: ข้อ ก.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ในหญิงสูงอายุที่เป็นโรคกระดูกพรุนรุนแรงและมีภาวะกระดูกสันหลังยุบตัว (Vertebral compression fracture) ยา First-line ที่เป็นมาตรฐานในการรักษาและป้องกันการเกิดกระดูกหักซ้ำคือยากลุ่ม Bisphosphonates เช่น Alendronate หรือ Zoledronic acid (หรือ Denosumab)
🔍 ข้ออื่นผิดเพราะอะไร:
• ข้อ ข. (Raloxifene): Raloxifene ช่วยลดความเสี่ยงเฉพาะกระดูกสันหลังหัก (Vertebral fracture) แต่ไม่มีหลักฐานชัดเจนในการป้องกัน Non-vertebral หรือ Hip fracture
• ข้อ ค. (Estrogen): Estrogen therapy ไม่แนะนำให้ใช้เป็น first-line ในการรักษากระดูกพรุนเนื่องจากเพิ่มความเสี่ยงต่อมะเร็งเต้านมและลิ่มเลือดอุดตัน
• ข้อ ง. (Calcitonin): Calcitonin มีประสิทธิภาพต่ำในการลดความเสี่ยงกระดูกหักเมื่อเทียบกับยาอื่น มักสงวนไว้ใช้ในกรณีที่มีอาการปวดจากกระดูกสันหลังหักเฉียบพลัน
• ข้อ จ. (Calcium): Calcium เพียงตัวเดียวไม่เพียงพอในการรักษาโรคกระดูกพรุนรุนแรง จำเป็นต้องใช้ควบคู่กับยาต้านการสลายกระดูก
📖 Guideline อ้างอิง:
2020 AACE/ACE Clinical Practice Guidelines for the Diagnosis and Treatment of Postmenopausal Osteoporosis &amp; National Osteoporosis Foundation (NOF) Clinician's Guide
📌 จุดจำก่อนสอบ:
• Severe Osteoporosis with Fracture: ในผู้ป่วยสูงอายุที่มีภาวะ Vertebral compression fracture ยา First-line ที่เป็นมาตรฐานคือยากลุ่ม Bisphosphonates (Alendronate, Zoledronic acid) หรือ Denosumab เพื่อป้องกันการเกิดกระดูกหักซ้ำ</t>
        </is>
      </c>
      <c r="K188" s="35" t="n"/>
      <c r="L188" s="35" t="inlineStr">
        <is>
          <t>Osteoporosis</t>
        </is>
      </c>
      <c r="M188" s="35" t="inlineStr">
        <is>
          <t>Clinic</t>
        </is>
      </c>
      <c r="N188" s="35" t="inlineStr">
        <is>
          <t>ข้อ 55 Mock Musculo RxCU84</t>
        </is>
      </c>
      <c r="O188" s="35" t="inlineStr">
        <is>
          <t>Mock</t>
        </is>
      </c>
      <c r="P188" s="35" t="inlineStr">
        <is>
          <t>Mock RxCU84</t>
        </is>
      </c>
    </row>
    <row r="189" ht="409.6" customHeight="1" s="37">
      <c r="A189" s="35" t="n">
        <v>187</v>
      </c>
      <c r="B189"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คำแนะนำการบริหารยา Alendronate ที่ถูกต้องคือข้อใด?</t>
        </is>
      </c>
      <c r="C189" s="35" t="n"/>
      <c r="D189" s="35" t="inlineStr">
        <is>
          <t>กินหลังอาหารทันที</t>
        </is>
      </c>
      <c r="E189" s="35" t="inlineStr">
        <is>
          <t>กินก่อนนอน</t>
        </is>
      </c>
      <c r="F189" s="35" t="inlineStr">
        <is>
          <t>กินตอนเช้าขณะท้องว่าง ดื่มน้ำเปล่าเต็มแก้ว และตั้งตรง 30 นาที</t>
        </is>
      </c>
      <c r="G189" s="35" t="inlineStr">
        <is>
          <t>เคี้ยวให้ละเอียดก่อนกลืน</t>
        </is>
      </c>
      <c r="H189" s="35" t="inlineStr">
        <is>
          <t>กินพร้อมนม</t>
        </is>
      </c>
      <c r="I189" s="35" t="n">
        <v>3</v>
      </c>
      <c r="J189" s="35" t="inlineStr">
        <is>
          <t>✅ คำตอบที่ถูกต้อง: ข้อ ค. กินตอนเช้าขณะท้องว่าง ดื่มน้ำเปล่าเต็มแก้ว และตั้งตรง 30 นาที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คำแนะนำการรับประทาน Oral Bisphosphonates (Alendronate) ที่ถูกต้องคือ: รับประทานในตอนเช้าทันทีหลังตื่นนอน ขณะท้องว่าง ดื่มน้ำเปล่าตามเต็มแก้ว (200-250 mL) ห้ามเคี้ยวหรืออมยา และต้องนั่งหรือยืนตัวตรงอย่างน้อย 30 นาทีหลังทานยา ห้ามเอนตัวนอน และห้ามรับประทานอาหาร เครื่องดื่ม หรือยาอื่นเป็นเวลาอย่างน้อย 30 นาที เพื่อป้องกันการระคายเคืองและแผลที่หลอดอาหาร (Esophageal ulceration)
🔍 ข้ออื่นผิดเพราะอะไร:
• ข้อ ก. (กินหลังอาหารทันที): ยาดูดซึมได้น้อยมากทางเดินอาหาร อาหารจะไปรบกวนการดูดซึมยาจนแทบไม่เหลือยาเข้าสู่กระแสเลือด
• ข้อ ข. (กินก่อนนอน): การนอนหลังกินยาจะเพิ่มความเสี่ยงอย่างมากในการเกิดแผลหรือหลอดอาหารอักเสบ (Esophagitis)
• ข้อ ง. (เคี้ยวให้ละเอียดก่อนกลืน): ยาอาจทำให้เกิดการระคายเคืองต่อเยื่อบุช่องปากและหลอดอาหารอย่างรุนแรงหากเคี้ยวหรืออมไว้ในปาก
• ข้อ จ. (กินพร้อมนม): แคลเซียมในนมจะเกิดสารประกอบเชิงซ้อน (Chelation) กับยา ทำให้ยาลดการดูดซึมลงอย่างสิ้นเชิง
📖 Guideline อ้างอิง:
2020 AACE/ACE Clinical Practice Guidelines for the Diagnosis and Treatment of Postmenopausal Osteoporosis &amp; National Osteoporosis Foundation (NOF) Clinician's Guide
📌 จุดจำก่อนสอบ:
• Oral Bisphosphonate Administration: รับประทานตอนเช้าหลังตื่นนอนขณะท้องว่าง ดื่มน้ำเปล่าตาม 1 แก้วเต็ม (200-250 mL) ห้ามเคี้ยว และต้องนั่งหรือยืนตัวตรงอย่างน้อย 30 นาที ห้ามเอนตัวนอน เพื่อป้องกัน Esophageal ulceration</t>
        </is>
      </c>
      <c r="K189" s="35" t="n"/>
      <c r="L189" s="35" t="inlineStr">
        <is>
          <t>Osteoporosis</t>
        </is>
      </c>
      <c r="M189" s="35" t="inlineStr">
        <is>
          <t>Clinic</t>
        </is>
      </c>
      <c r="N189" s="35" t="inlineStr">
        <is>
          <t>ข้อ 56 Mock Musculo RxCU84</t>
        </is>
      </c>
      <c r="O189" s="35" t="inlineStr">
        <is>
          <t>Mock</t>
        </is>
      </c>
      <c r="P189" s="35" t="inlineStr">
        <is>
          <t>Mock RxCU84</t>
        </is>
      </c>
    </row>
    <row r="190" ht="409.6" customHeight="1" s="37">
      <c r="A190" s="35" t="n">
        <v>188</v>
      </c>
      <c r="B190"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ปริมาณแคลเซียมและวิตามินดีที่แนะนำต่อวัน (Total intake) ในหญิงสูงอายุ &gt; 50 ปี คือเท่าใด?</t>
        </is>
      </c>
      <c r="C190" s="35" t="n"/>
      <c r="D190" s="35" t="inlineStr">
        <is>
          <t>Ca 500 mg, Vit D 400 IU</t>
        </is>
      </c>
      <c r="E190" s="35" t="inlineStr">
        <is>
          <t>Ca 1200 mg, Vit D 800-1000 IU</t>
        </is>
      </c>
      <c r="F190" s="35" t="inlineStr">
        <is>
          <t>Ca 2000 mg, Vit D 2000 IU</t>
        </is>
      </c>
      <c r="G190" s="35" t="inlineStr">
        <is>
          <t>Ca 800 mg, Vit D 400 IU</t>
        </is>
      </c>
      <c r="H190" s="35" t="inlineStr">
        <is>
          <t>Ca 1500 mg, Vit D 400 IU</t>
        </is>
      </c>
      <c r="I190" s="35" t="n">
        <v>2</v>
      </c>
      <c r="J190" s="35" t="inlineStr">
        <is>
          <t>✅ คำตอบที่ถูกต้อง: ข้อ ข. Ca 1200 mg, Vit D 800-1000 IU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 NOF และ National Osteoporosis Guidelines ปริมาณแคลเซียมและวิตามินดีที่แนะนำรวมต่อวัน (Total intake จากอาหารร่วมกับยาบำรุง) สำหรับหญิงอายุมากกว่า 50 ปี คือ แคลเซียม (Elemental calcium) 1,200 mg/day และ วิตามินดี (Vitamin D) 800 - 1,000 IU/day
🔍 ข้ออื่นผิดเพราะอะไร:
• ข้อ ก. (Ca 500 mg, Vit D 400 IU): ปริมาณแคลเซียม 500 mg และวิตามินดี 400 IU ต่ำเกินไปสำหรับการรักษาสมดุลกระดูกในหญิงวัยหมดประจำเดือน
• ข้อ ค. (Ca 2000 mg, Vit D 2000 IU): ปริมาณแคลเซียม 2000 mg สูงเกินไปและเพิ่มความเสี่ยงต่อการเกิดนิ่วในไต รวมถึงโรคหลอดเลือดหัวใจ
• ข้อ ง. (Ca 800 mg, Vit D 400 IU): ปริมาณแคลเซียม 800 mg และวิตามินดี 400 IU ยังไม่ถึงระดับเป้าหมายขั้นต่ำที่แนะนำในแนวทางเวชปฏิบัติส่วนใหญ่
• ข้อ จ. (Ca 1500 mg, Vit D 400 IU): ปริมาณแคลเซียม 1500 mg เกินกว่าที่แนะนำต่อวัน อาจเกิดผลข้างเคียงทางระบบทางเดินอาหารและไต โดยที่ไม่ได้ประโยชน์ต่อกระดูกเพิ่มขึ้น
📖 Guideline อ้างอิง:
2020 AACE/ACE Clinical Practice Guidelines for the Diagnosis and Treatment of Postmenopausal Osteoporosis &amp; National Osteoporosis Foundation (NOF) Clinician's Guide
📌 จุดจำก่อนสอบ:
• Daily Calcium &amp; Vitamin D Needs: หญิงสูงอายุหลังหมดประจำเดือน (&gt; 50 ปี) ต้องการ Elemental Calcium รวม 1,200 mg/day และ Vitamin D 800-1,000 IU/day จากอาหารร่วมกับยาบำรุง</t>
        </is>
      </c>
      <c r="K190" s="35" t="n"/>
      <c r="L190" s="35" t="inlineStr">
        <is>
          <t>Osteoporosis</t>
        </is>
      </c>
      <c r="M190" s="35" t="inlineStr">
        <is>
          <t>Clinic</t>
        </is>
      </c>
      <c r="N190" s="35" t="inlineStr">
        <is>
          <t>ข้อ 57 Mock Musculo RxCU84</t>
        </is>
      </c>
      <c r="O190" s="35" t="inlineStr">
        <is>
          <t>Mock</t>
        </is>
      </c>
      <c r="P190" s="35" t="inlineStr">
        <is>
          <t>Mock RxCU84</t>
        </is>
      </c>
    </row>
    <row r="191" ht="409.6" customHeight="1" s="37">
      <c r="A191" s="35" t="n">
        <v>189</v>
      </c>
      <c r="B191"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Bisphosphonates คืออะไร?</t>
        </is>
      </c>
      <c r="C191" s="35" t="n"/>
      <c r="D191" s="35" t="inlineStr">
        <is>
          <t>กระตุ้น Osteoblast</t>
        </is>
      </c>
      <c r="E191" s="35" t="inlineStr">
        <is>
          <t>ยับยั้ง RANKL</t>
        </is>
      </c>
      <c r="F191" s="35" t="inlineStr">
        <is>
          <t>ยับยั้งการทำงานของ Osteoclast ชักนำให้เกิด Apoptosis</t>
        </is>
      </c>
      <c r="G191" s="35" t="inlineStr">
        <is>
          <t>เป็นฮอร์โมนทดแทน</t>
        </is>
      </c>
      <c r="H191" s="35" t="inlineStr">
        <is>
          <t>จับกับแคลเซียมในลำไส้ เฉลย</t>
        </is>
      </c>
      <c r="I191" s="35" t="n">
        <v>3</v>
      </c>
      <c r="J191" s="35" t="inlineStr">
        <is>
          <t>✅ คำตอบที่ถูกต้อง: ข้อ ค. ยับยั้งการทำงานของ Osteoclast ชักนำให้เกิด Apoptosis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ยากลุ่ม Bisphosphonates ออกฤทธิ์โดยจับกับผลึกไฮดรอกซีอะพาไทต์ในกระดูก เมื่อเซลล์สลายกระดูก (Osteoclast) กลืนกินเนื้อกระดูกเข้าไป ยาจะยับยั้งเอนไซม์ Farnesyl pyrophosphate (FPP) synthase ขัดขวางการทำงานและกระตุ้นให้เกิด Apoptosis ของ Osteoclast ทำให้อัตราการสลายกระดูกลดลง
🔍 ข้ออื่นผิดเพราะอะไร:
• ข้อ ก. (กระตุ้น Osteoblast): ยาที่กระตุ้นการทำงานของ Osteoblast โดยตรงเพื่อสร้างกระดูกใหม่คือยาในกลุ่ม Anabolic agents เช่น Teriparatide
• ข้อ ข. (ยับยั้ง RANKL): ยาที่ยับยั้ง RANKL คือ Denosumab ซึ่งเป็น Monoclonal antibody ที่ป้องกันไม่ให้ Osteoclast เจริญเติบโต
• ข้อ ง. (เป็นฮอร์โมนทดแทน): ฮอร์โมนทดแทน (HRT) คือ Estrogen ซึ่งออกฤทธิ์ผ่านตัวรับฮอร์โมน ไม่ใช่กลไกของ Bisphosphonates
• ข้อ จ. (จับกับแคลเซียมในลำไส้ เฉลย): ยาที่จับกับแคลเซียมในลำไส้คือ Phosphate binders เช่น Calcium carbonate ใช้ลดฟอสเฟตในเลือด ไม่ใช่ยารักษากระดูกพรุน
📖 Guideline อ้างอิง:
2020 AACE/ACE Clinical Practice Guidelines for the Diagnosis and Treatment of Postmenopausal Osteoporosis &amp; National Osteoporosis Foundation (NOF) Clinician's Guide
📌 จุดจำก่อนสอบ:
• Bisphosphonate Mechanism: ยับยั้งเอนไซม์ Farnesyl pyrophosphate (FPP) synthase ในเซลล์สลายกระดูก (Osteoclast) ทำให้สูญเสียฟังก์ชันและเกิด Apoptosis ส่งผลให้การสลายกระดูกลดลง</t>
        </is>
      </c>
      <c r="K191" s="35" t="n"/>
      <c r="L191" s="35" t="inlineStr">
        <is>
          <t>Osteoporosis</t>
        </is>
      </c>
      <c r="M191" s="35" t="inlineStr">
        <is>
          <t>Clinic</t>
        </is>
      </c>
      <c r="N191" s="35" t="inlineStr">
        <is>
          <t>ข้อ 58 Mock Musculo RxCU84</t>
        </is>
      </c>
      <c r="O191" s="35" t="inlineStr">
        <is>
          <t>Mock</t>
        </is>
      </c>
      <c r="P191" s="35" t="inlineStr">
        <is>
          <t>Mock RxCU84</t>
        </is>
      </c>
    </row>
    <row r="192" ht="409.6" customHeight="1" s="37">
      <c r="A192" s="35" t="n">
        <v>190</v>
      </c>
      <c r="B192"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Denosumab คืออะไร?</t>
        </is>
      </c>
      <c r="C192" s="35" t="n"/>
      <c r="D192" s="35" t="inlineStr">
        <is>
          <t>ยับยั้ง Osteoclast โดยตรง</t>
        </is>
      </c>
      <c r="E192" s="35" t="inlineStr">
        <is>
          <t>เป็น Monoclonal antibody ต่อ RANKL</t>
        </is>
      </c>
      <c r="F192" s="35" t="inlineStr">
        <is>
          <t>กระตุ้น PTH receptor</t>
        </is>
      </c>
      <c r="G192" s="35" t="inlineStr">
        <is>
          <t>SERM</t>
        </is>
      </c>
      <c r="H192" s="35" t="inlineStr">
        <is>
          <t>แคลเซียมสังเคราะห์</t>
        </is>
      </c>
      <c r="I192" s="35" t="n">
        <v>2</v>
      </c>
      <c r="J192" s="35" t="inlineStr">
        <is>
          <t>✅ คำตอบที่ถูกต้อง: ข้อ ข. เป็น Monoclonal antibody ต่อ RANKL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Denosumab เป็น Fully human Monoclonal Antibody ที่ออกฤทธิ์จำเพาะเจาะจงโดยจับและยับยั้ง RANKL (Receptor Activator of Nuclear Factor-κB Ligand) ป้องกันไม่ให้ RANKL ไปจับกับตัวรับ RANK บนผิวของเซลล์ต้นกำเนิด จึงยับยั้งการเจริญเติบโต การทำงาน และการมีชีวิตรอดของ Osteoclast
🔍 ข้ออื่นผิดเพราะอะไร:
• ข้อ ก. (ยับยั้ง Osteoclast โดยตรง): Bisphosphonates เป็นยาที่ยับยั้งการทำงานของ Osteoclast โดยตรงและชักนำให้เกิดการตาย (Apoptosis)
• ข้อ ค. (กระตุ้น PTH receptor): Teriparatide เป็นยาในกลุ่มพาราไทรอยด์ฮอร์โมนสังเคราะห์ ออกฤทธิ์กระตุ้น PTH receptor เพื่อสร้างกระดูกใหม่
• ข้อ ง. (SERM): SERM เช่น Raloxifene ออกฤทธิ์เลียนแบบเอสโตรเจนที่กระดูก
• ข้อ จ. (แคลเซียมสังเคราะห์): ยาไม่มีโครงสร้างเป็นแคลเซียมและไม่ได้เสริมแร่ธาตุให้กับกระดูกโดยตรง
📖 Guideline อ้างอิง:
2020 AACE/ACE Clinical Practice Guidelines for the Diagnosis and Treatment of Postmenopausal Osteoporosis &amp; National Osteoporosis Foundation (NOF) Clinician's Guide
📌 จุดจำก่อนสอบ:
• Denosumab Mechanism: เป็น Fully human Monoclonal Antibody ที่จับจำเพาะกับ RANKL ยับยั้งไม่ให้กระตุ้นตัวรับ RANK บน Osteoclast จึงขัดขวางการเจริญเติบโตและการทำงานของเซลล์สลายกระดูก</t>
        </is>
      </c>
      <c r="K192" s="35" t="n"/>
      <c r="L192" s="35" t="inlineStr">
        <is>
          <t>Osteoporosis</t>
        </is>
      </c>
      <c r="M192" s="35" t="inlineStr">
        <is>
          <t>Clinic</t>
        </is>
      </c>
      <c r="N192" s="35" t="inlineStr">
        <is>
          <t>ข้อ 59 Mock Musculo RxCU84</t>
        </is>
      </c>
      <c r="O192" s="35" t="inlineStr">
        <is>
          <t>Mock</t>
        </is>
      </c>
      <c r="P192" s="35" t="inlineStr">
        <is>
          <t>Mock RxCU84</t>
        </is>
      </c>
    </row>
    <row r="193" ht="409.6" customHeight="1" s="37">
      <c r="A193" s="35" t="n">
        <v>191</v>
      </c>
      <c r="B193"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ทำไมผู้ป่วยรายนี้จึง "ไม่ควร" ใช้ยา Teriparatide?</t>
        </is>
      </c>
      <c r="C193" s="35" t="n"/>
      <c r="D193" s="35" t="inlineStr">
        <is>
          <t>ผู้ป่วยมีภาวะความดันสูง</t>
        </is>
      </c>
      <c r="E193" s="35" t="inlineStr">
        <is>
          <t>ผู้ป่วยมีประวัติมะเร็ง (NSCLC) อาจเสี่ยงต่อ Osteosarcoma หรือ Bone mets</t>
        </is>
      </c>
      <c r="F193" s="35" t="inlineStr">
        <is>
          <t>ผู้ป่วยเป็นเบาหวาน</t>
        </is>
      </c>
      <c r="G193" s="35" t="inlineStr">
        <is>
          <t>ผู้ป่วยไม่มีกระดูกหัก</t>
        </is>
      </c>
      <c r="H193" s="35" t="inlineStr">
        <is>
          <t>ยาราคาแพง</t>
        </is>
      </c>
      <c r="I193" s="35" t="n">
        <v>2</v>
      </c>
      <c r="J193" s="35" t="inlineStr">
        <is>
          <t>✅ คำตอบที่ถูกต้อง: ข้อ ข. ผู้ป่วยมีประวัติมะเร็ง (NSCLC) อาจเสี่ยงต่อ Osteosarcoma หรือ Bone mets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(recombinant human PTH 1-34) มีข้อห้ามใช้เด็ดขาด (Black box warning / Contraindication) ในผู้ป่วยที่มีประวัติโรคมะเร็งกระดูกหรือมะเร็งที่แพร่กระจายไปยังกระดูก (Skeletal malignancies or Bone metastases) รวมถึงผู้ป่วยที่มีความเสี่ยงสูงต่อ Osteosarcoma เช่น ผู้ป่วยที่เคยได้รับการฉายรังสีรักษาบริเวณโครงกระดูก
🔍 ข้ออื่นผิดเพราะอะไร:
• ข้อ ก. (ผู้ป่วยมีภาวะความดันสูง): ภาวะความดันโลหิตสูงไม่ใช่ข้อห้ามใช้ของ Teriparatide แต่อาจต้องระวังภาวะความดันตกขณะเปลี่ยนอิริยาบถในระยะแรกที่เริ่มยา
• ข้อ ค. (ผู้ป่วยเป็นเบาหวาน): โรคเบาหวานไม่ใช่ข้อห้ามใช้และไม่มีผลทางคลินิกที่เกี่ยวข้องกับกลไกหรือผลข้างเคียงของ Teriparatide
• ข้อ ง. (ผู้ป่วยไม่มีกระดูกหัก): ผู้ป่วยรายนี้มีกระดูกสันหลังยุบตัว (Vertebral fracture) ซึ่งถือว่าเป็นภาวะกระดูกหักจากโรคกระดูกพรุนแล้ว
• ข้อ จ. (ยาราคาแพง): แม้ยาจะมีราคาสูง แต่ข้อห้ามใช้เด็ดขาดในผู้ป่วยรายนี้คือประวัติโรคมะเร็ง ไม่ใช่เหตุผลด้านราคา
📖 Guideline อ้างอิง:
2020 AACE/ACE Clinical Practice Guidelines for the Diagnosis and Treatment of Postmenopausal Osteoporosis &amp; National Osteoporosis Foundation (NOF) Clinician's Guide
📌 จุดจำก่อนสอบ:
• Teriparatide Contraindication: มี Black box warning ห้ามใช้ Teriparatide ในผู้ป่วยที่มีประวัติโรคมะเร็งกระดูก มะเร็งที่แพร่กระจายไปกระดูก (Bone metastases) หรือเคยได้รับการฉายรังสีบริเวณกระดูก เนื่องจากความเสี่ยงต่อ Osteosarcoma</t>
        </is>
      </c>
      <c r="K193" s="35" t="n"/>
      <c r="L193" s="35" t="inlineStr">
        <is>
          <t>Osteoporosis</t>
        </is>
      </c>
      <c r="M193" s="35" t="inlineStr">
        <is>
          <t>Clinic</t>
        </is>
      </c>
      <c r="N193" s="35" t="inlineStr">
        <is>
          <t>ข้อ 60 Mock Musculo RxCU84</t>
        </is>
      </c>
      <c r="O193" s="35" t="inlineStr">
        <is>
          <t>Mock</t>
        </is>
      </c>
      <c r="P193" s="35" t="inlineStr">
        <is>
          <t>Mock RxCU84</t>
        </is>
      </c>
    </row>
    <row r="194" ht="409.6" customHeight="1" s="37">
      <c r="A194" s="35" t="n">
        <v>192</v>
      </c>
      <c r="B194"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ทำไมจึง "ไม่เลือก" Raloxifene ให้ผู้ป่วยรายนี้?</t>
        </is>
      </c>
      <c r="C194" s="35" t="n"/>
      <c r="D194" s="35" t="inlineStr">
        <is>
          <t>ป้องกันได้เฉพาะ Vertebral fracture และมีประวัติมะเร็ง/อาจเสี่ยง VTE</t>
        </is>
      </c>
      <c r="E194" s="35" t="inlineStr">
        <is>
          <t>ทำให้มวลกระดูกลดลง</t>
        </is>
      </c>
      <c r="F194" s="35" t="inlineStr">
        <is>
          <t>ระคายเคืองกระเพาะอาหาร</t>
        </is>
      </c>
      <c r="G194" s="35" t="inlineStr">
        <is>
          <t>ต้องฉีดเข้าเส้น</t>
        </is>
      </c>
      <c r="H194" s="35" t="inlineStr">
        <is>
          <t>ห้ามใช้ในคนแก่</t>
        </is>
      </c>
      <c r="I194" s="35" t="n">
        <v>1</v>
      </c>
      <c r="J194" s="35" t="inlineStr">
        <is>
          <t>✅ คำตอบที่ถูกต้อง: ข้อ ก. ป้องกันได้เฉพาะ Vertebral fracture และมีประวัติมะเร็ง/อาจเสี่ยง VTE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Raloxifene (SERM) มีข้อจำกัดคือมีหลักฐานช่วยลดความเสี่ยงกระดูกหักได้เฉพาะที่กระดูกสันหลัง (Vertebral fracture) เท่านั้น แต่ไม่ลดกระดูกหักที่ข้อสะโพกหรือกระดูกส่วนนอกกระดูกสันหลัง (Non-vertebral / Hip fracture) อีกทั้งยังเพิ่มความเสี่ยงต่อ Venous Thromboembolism (VTE) ในผู้ป่วยมะเร็ง จึงไม่เหมาะเป็นตัวเลือกแรกในผู้ป่วย Severe osteoporosis
🔍 ข้ออื่นผิดเพราะอะไร:
• ข้อ ข. (ทำให้มวลกระดูกลดลง): Raloxifene ออกฤทธิ์เป็น Estrogen agonist ที่กระดูก จึงช่วยลดการสลายกระดูกและเพิ่มมวลกระดูก ไม่ได้ทำให้มวลกระดูกลดลง
• ข้อ ค. (ระคายเคืองกระเพาะอาหาร): ผลข้างเคียงหลักของยาคืออาการร้อนวูบวาบ (Hot flashes) และตะคริวที่ขา ไม่ได้ระคายเคืองกระเพาะอาหารรุนแรงแบบ Bisphosphonates
• ข้อ ง. (ต้องฉีดเข้าเส้น): Raloxifene เป็นยารับประทานรูปแบบเม็ด ไม่จำเป็นต้องบริหารด้วยการฉีดเข้าหลอดเลือดดำ
• ข้อ จ. (ห้ามใช้ในคนแก่): ยาสามารถใช้ในหญิงสูงอายุวัยหมดประจำเดือนได้ หากไม่มีข้อห้ามใช้เช่นประวัติลิ่มเลือดอุดตันดำ (VTE)
📖 Guideline อ้างอิง:
2020 AACE/ACE Clinical Practice Guidelines for the Diagnosis and Treatment of Postmenopausal Osteoporosis &amp; National Osteoporosis Foundation (NOF) Clinician's Guide
📌 จุดจำก่อนสอบ:
• Limitations of Raloxifene: Raloxifene (SERM) ลดความเสี่ยงกระดูกหักได้เฉพาะกระดูกสันหลัง (Vertebral fracture) เท่านั้น ไม่ลดกระดูกหักที่ข้อสะโพก และเพิ่มความเสี่ยงต่อหลอดเลือดดำอุดตัน (VTE)</t>
        </is>
      </c>
      <c r="K194" s="35" t="n"/>
      <c r="L194" s="35" t="inlineStr">
        <is>
          <t>Osteoporosis</t>
        </is>
      </c>
      <c r="M194" s="35" t="inlineStr">
        <is>
          <t>Clinic</t>
        </is>
      </c>
      <c r="N194" s="35" t="inlineStr">
        <is>
          <t>ข้อ 61 Mock Musculo RxCU84</t>
        </is>
      </c>
      <c r="O194" s="35" t="inlineStr">
        <is>
          <t>Mock</t>
        </is>
      </c>
      <c r="P194" s="35" t="inlineStr">
        <is>
          <t>Mock RxCU84</t>
        </is>
      </c>
    </row>
    <row r="195" ht="409.6" customHeight="1" s="37">
      <c r="A195" s="35" t="n">
        <v>193</v>
      </c>
      <c r="B195"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ระยะเวลาการรักษาด้วย Oral Bisphosphonate ควรนานเท่าใดก่อนพิจารณา Drug holiday?</t>
        </is>
      </c>
      <c r="C195" s="35" t="n"/>
      <c r="D195" s="35" t="inlineStr">
        <is>
          <t>1 ปี</t>
        </is>
      </c>
      <c r="E195" s="35" t="inlineStr">
        <is>
          <t>3-5 ปี</t>
        </is>
      </c>
      <c r="F195" s="35" t="inlineStr">
        <is>
          <t>10 ปี</t>
        </is>
      </c>
      <c r="G195" s="35" t="inlineStr">
        <is>
          <t>ตลอดชีวิต</t>
        </is>
      </c>
      <c r="H195" s="35" t="inlineStr">
        <is>
          <t>6 เดือน</t>
        </is>
      </c>
      <c r="I195" s="35" t="n">
        <v>2</v>
      </c>
      <c r="J195" s="35" t="inlineStr">
        <is>
          <t>✅ คำตอบที่ถูกต้อง: ข้อ ข. 3-5 ปี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เนื่องจาก Bisphosphonates สามารถสะสมอยู่ในเนื้อกระดูกได้นาน แนวคิด 'Drug Holiday' จึงแนะนำให้พิจารณาพักการใช้ยาหลังจากรับประทาน Oral Bisphosphonate ต่อเนื่องเป็นเวลา 3 - 5 ปี (หรือ 3 ปีสำหรับยาฉีด IV Zoledronic acid) ในผู้ป่วยที่ความเสี่ยงกระดูกหักลดลง เพื่อลดความเสี่ยงต่อผลข้างเคียงระยะยาว (ONJ และ AFF)
🔍 ข้ออื่นผิดเพราะอะไร:
• ข้อ ก. (1 ปี): ระยะเวลา 1 ปีสั้นเกินไป ยายังสะสมในกระดูกไม่เพียงพอที่จะควบคุมการสลายกระดูกในช่วงหยุดยา (Drug holiday)
• ข้อ ค. (10 ปี): การให้ยาต่อเนื่องถึง 10 ปีโดยไม่ประเมิน อาจเพิ่มความเสี่ยงต่อภาวะกระดูกหักแบบผิดปกติ (Atypical femur fracture)
• ข้อ ง. (ตลอดชีวิต): ยาต้านการสลายกระดูกกลุ่มนี้ไม่ควรใช้ต่อเนื่องตลอดชีวิตโดยไม่มีการหยุดพัก เนื่องจากขัดขวางกระบวนการซ่อมแซมกระดูกตามธรรมชาติ
• ข้อ จ. (6 เดือน): การใช้ยาเพียง 6 เดือนไม่มีประโยชน์ทางคลินิกที่เพียงพอในการป้องกันความเสี่ยงกระดูกหักจากโรคกระดูกพรุน
📖 Guideline อ้างอิง:
2020 AACE/ACE Clinical Practice Guidelines for the Diagnosis and Treatment of Postmenopausal Osteoporosis &amp; National Osteoporosis Foundation (NOF) Clinician's Guide
📌 จุดจำก่อนสอบ:
• Bisphosphonate Drug Holiday: เนื่องจาก Bisphosphonate สะสมในกระดูกได้นาน ในผู้ป่วยที่ความเสี่ยงกระดูกหักลดลงควรพิจารณาพักการใช้ยา (Drug holiday) หลังรับประทานยาต่อเนื่อง 3-5 ปี เพื่อลดความเสี่ยงต่อ ONJ และ AFF</t>
        </is>
      </c>
      <c r="K195" s="35" t="n"/>
      <c r="L195" s="35" t="inlineStr">
        <is>
          <t>Osteoporosis</t>
        </is>
      </c>
      <c r="M195" s="35" t="inlineStr">
        <is>
          <t>Clinic</t>
        </is>
      </c>
      <c r="N195" s="35" t="inlineStr">
        <is>
          <t>ข้อ 62 Mock Musculo RxCU84</t>
        </is>
      </c>
      <c r="O195" s="35" t="inlineStr">
        <is>
          <t>Mock</t>
        </is>
      </c>
      <c r="P195" s="35" t="inlineStr">
        <is>
          <t>Mock RxCU84</t>
        </is>
      </c>
    </row>
    <row r="196" ht="409.6" customHeight="1" s="37">
      <c r="A196" s="35" t="n">
        <v>194</v>
      </c>
      <c r="B196"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ค่า T-score ใดที่เข้าเกณฑ์การวินิจฉัย Osteoporosis?</t>
        </is>
      </c>
      <c r="C196" s="35" t="n"/>
      <c r="D196" s="35" t="inlineStr">
        <is>
          <t>T-score ≤ -1.0</t>
        </is>
      </c>
      <c r="E196" s="35" t="inlineStr">
        <is>
          <t>T-score ≤ -2.0</t>
        </is>
      </c>
      <c r="F196" s="35" t="inlineStr">
        <is>
          <t>T-score ≤ -2.5</t>
        </is>
      </c>
      <c r="G196" s="35" t="inlineStr">
        <is>
          <t>T-score &gt; -1.0</t>
        </is>
      </c>
      <c r="H196" s="35" t="inlineStr">
        <is>
          <t>T-score = 0</t>
        </is>
      </c>
      <c r="I196" s="35" t="n">
        <v>3</v>
      </c>
      <c r="J196" s="35" t="inlineStr">
        <is>
          <t>✅ คำตอบที่ถูกต้อง: ข้อ ค. T-score ≤ -2.5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ตามเกณฑ์การวินิจฉัยขององค์การอนามัยโลก (WHO criteria) ภาวะกระดูกพรุน (Osteoporosis) วินิจฉัยเมื่อค่า Bone Mineral Density (BMD) มี T-score ≤ -2.5 SD ที่กระดูกสันหลังส่วนเอว คอกระดูกสะโพก หรือข้อมือ
🔍 ข้ออื่นผิดเพราะอะไร:
• ข้อ ก. (T-score ≤ -1.0): T-score ตั้งแต่ -1.0 ขึ้นไป ถือว่ามวลกระดูกอยู่ในเกณฑ์ปกติ (Normal)
• ข้อ ข. (T-score ≤ -2.0): T-score ระหว่าง -1.0 ถึง -2.5 ถือว่ามีภาวะมวลกระดูกน้อย (Osteopenia)
• ข้อ ง. (T-score &gt; -1.0): T-score ที่มากกว่า -1.0 จัดเป็นความหนาแน่นมวลกระดูกปกติ
• ข้อ จ. (T-score = 0): T-score = 0 หมายถึงมวลกระดูกเทียบเท่ากับค่าเฉลี่ยของหญิงสาววัยเจริญพันธุ์ที่แข็งแรงเต็มที่ ซึ่งถือว่าปกติมาก
📖 Guideline อ้างอิง:
2020 AACE/ACE Clinical Practice Guidelines for the Diagnosis and Treatment of Postmenopausal Osteoporosis &amp; National Osteoporosis Foundation (NOF) Clinician's Guide
📌 จุดจำก่อนสอบ:
• Osteoporosis Diagnostic Criteria: ตามเกณฑ์ของ WHO วินิจฉัย Osteoporosis เมื่อค่า Bone Mineral Density (BMD) มี T-score &lt;= -2.5 SD</t>
        </is>
      </c>
      <c r="K196" s="35" t="n"/>
      <c r="L196" s="35" t="inlineStr">
        <is>
          <t>Osteoporosis</t>
        </is>
      </c>
      <c r="M196" s="35" t="inlineStr">
        <is>
          <t>Clinic</t>
        </is>
      </c>
      <c r="N196" s="35" t="inlineStr">
        <is>
          <t>ข้อ 63 Mock Musculo RxCU84</t>
        </is>
      </c>
      <c r="O196" s="35" t="inlineStr">
        <is>
          <t>Mock</t>
        </is>
      </c>
      <c r="P196" s="35" t="inlineStr">
        <is>
          <t>Mock RxCU84</t>
        </is>
      </c>
    </row>
    <row r="197" ht="409.6" customHeight="1" s="37">
      <c r="A197" s="35" t="n">
        <v>195</v>
      </c>
      <c r="B197"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ผลข้างเคียงร้ายแรง (Rare but serious) ของยา Bisphosphonates และ Denosumab ที่เหมือนกันคือข้อใด?</t>
        </is>
      </c>
      <c r="C197" s="35" t="n"/>
      <c r="D197" s="35" t="inlineStr">
        <is>
          <t>SJS/TEN</t>
        </is>
      </c>
      <c r="E197" s="35" t="inlineStr">
        <is>
          <t>Osteonecrosis of the jaw (ONJ) และ Atypical femur fracture (AFF)</t>
        </is>
      </c>
      <c r="F197" s="35" t="inlineStr">
        <is>
          <t>รังไข่ฝ่อ</t>
        </is>
      </c>
      <c r="G197" s="35" t="inlineStr">
        <is>
          <t>เลือดออกในสมอง</t>
        </is>
      </c>
      <c r="H197" s="35" t="inlineStr">
        <is>
          <t>ไตวายเฉียบพลัน</t>
        </is>
      </c>
      <c r="I197" s="35" t="n">
        <v>2</v>
      </c>
      <c r="J197" s="35" t="inlineStr">
        <is>
          <t>✅ คำตอบที่ถูกต้อง: ข้อ ข. Osteonecrosis of the jaw (ONJ) และ Atypical femur fracture (AFF)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ผลข้างเคียงระยะยาวที่พบได้ยากแต่รุนแรง (Rare but serious adverse effects) ของยาต้านการสลายกระดูกทั้ง Bisphosphonates และ Denosumab คือ ภาวะกระดูกขากรรไกรตายจากการขาดเลือด (Osteonecrosis of the Jaw: ONJ) และ ภาวะกระดูกต้นขาหักแบบผิดปกติ (Atypical Femur Fracture: AFF) ซึ่งสัมพันธ์กับการยับยั้ง Bone turnover อย่างต่อเนื่องเป็นเวลานาน
🔍 ข้ออื่นผิดเพราะอะไร:
• ข้อ ก. (SJS/TEN): SJS/TEN เป็นปฏิกิริยาแพ้ยารุนแรงทางผิวหนัง มักพบในกลุ่มยากันชัก ยาปฏิชีวนะ หรือ Allopurinol ไม่ใช่ผลข้างเคียงเด่นของยานี้
• ข้อ ค. (รังไข่ฝ่อ): ยาทั้งสองชนิดไม่มีกลไกไปยับยั้งการทำงานของรังไข่ หรือรบกวนฮอร์โมนเพศจนทำให้รังไข่ฝ่อ
• ข้อ ง. (เลือดออกในสมอง): ยาไม่มีผลรบกวนระบบการแข็งตัวของเลือดหรือเกล็ดเลือด จึงไม่เพิ่มความเสี่ยงของการเกิดเลือดออกในสมอง
• ข้อ จ. (ไตวายเฉียบพลัน): Denosumab ไม่ขับออกทางไตและไม่เป็นพิษต่อไต ส่วน Bisphosphonates บางตัวอาจทำให้ไตวายถ้ารดเร็วเกินไป แต่ไม่ใช่ผลข้างเคียงร่วมที่เด่นชัดแบบ ONJ/AFF
📖 Guideline อ้างอิง:
2020 AACE/ACE Clinical Practice Guidelines for the Diagnosis and Treatment of Postmenopausal Osteoporosis &amp; National Osteoporosis Foundation (NOF) Clinician's Guide
📌 จุดจำก่อนสอบ:
• Rare Long-term Risks of Antiresorptives: การยับยั้ง Bone turnover ระยะยาวด้วย Bisphosphonate หรือ Denosumab สัมพันธ์กับความเสี่ยงเกิด Osteonecrosis of the Jaw (ONJ) และ Atypical Femur Fracture (AFF)</t>
        </is>
      </c>
      <c r="K197" s="35" t="n"/>
      <c r="L197" s="35" t="inlineStr">
        <is>
          <t>Osteoporosis</t>
        </is>
      </c>
      <c r="M197" s="35" t="inlineStr">
        <is>
          <t>Clinic</t>
        </is>
      </c>
      <c r="N197" s="35" t="inlineStr">
        <is>
          <t>ข้อ 64 Mock Musculo RxCU84</t>
        </is>
      </c>
      <c r="O197" s="35" t="inlineStr">
        <is>
          <t>Mock</t>
        </is>
      </c>
      <c r="P197" s="35" t="inlineStr">
        <is>
          <t>Mock RxCU84</t>
        </is>
      </c>
    </row>
    <row r="198" ht="409.6" customHeight="1" s="37">
      <c r="A198" s="35" t="n">
        <v>196</v>
      </c>
      <c r="B198"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ยาใดเหมาะสมเป็น first-line เพื่อลดความเสี่ยงกระดูกหักซ้ำในผู้ป่วยรายนี้</t>
        </is>
      </c>
      <c r="C198" s="35" t="n"/>
      <c r="D198" s="35" t="inlineStr">
        <is>
          <t>Raloxifene</t>
        </is>
      </c>
      <c r="E198" s="35" t="inlineStr">
        <is>
          <t>Alendronate</t>
        </is>
      </c>
      <c r="F198" s="35" t="inlineStr">
        <is>
          <t>Calcium เดี่ยว ๆ</t>
        </is>
      </c>
      <c r="G198" s="35" t="inlineStr">
        <is>
          <t>Estrogen</t>
        </is>
      </c>
      <c r="H198" s="35" t="inlineStr">
        <is>
          <t>Teriparatide</t>
        </is>
      </c>
      <c r="I198" s="35" t="n">
        <v>2</v>
      </c>
      <c r="J198" s="35" t="inlineStr">
        <is>
          <t>✅ คำตอบที่ถูกต้อง: ข้อ ข.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Alendronate เป็นยา First-line ทางเลือกมาตรฐานในการป้องกันกระดูกหักซ้ำในผู้ป่วย Severe Osteoporosis ที่มีกระดูกสันหลังยุบ
🔍 ข้ออื่นผิดเพราะอะไร:
• ข้อ ก. (Raloxifene): Raloxifene ป้องกันได้แค่กระดูกสันหลังหัก (Vertebral fracture) และเพิ่มความเสี่ยง VTE ในผู้ป่วยมะเร็ง จึงไม่ใช่ทางเลือกที่ดีที่สุด
• ข้อ ค. (Calcium เดี่ยว ๆ): การเสริมแคลเซียมเพียงอย่างเดียวไม่สามารถยับยั้งการสลายกระดูกที่รุนแรงจนเกิดกระดูกหักในโรคกระดูกพรุนได้
• ข้อ ง. (Estrogen): Estrogen therapy ไม่นิยมใช้เป็น First-line ในผู้ป่วยสูงอายุและมีประวัติมะเร็ง เนื่องจากเพิ่มความเสี่ยงลิ่มเลือดอุดตันและมะเร็งบางชนิด
• ข้อ จ. (Teriparatide): Teriparatide มีข้อห้ามใช้ (Contraindication) ในผู้ป่วยที่มีประวัติโรคมะเร็ง เนื่องจากอาจเพิ่มความเสี่ยงโรคมะเร็งกระดูก (Osteosarcoma)
📖 Guideline อ้างอิง:
2020 AACE/ACE Clinical Practice Guidelines for the Diagnosis and Treatment of Postmenopausal Osteoporosis &amp; National Osteoporosis Foundation (NOF) Clinician's Guide
📌 จุดจำก่อนสอบ:
• Fracture Secondary Prevention: Alendronate เป็นยาทางเลือกมาตรฐานชนิดรับประทานที่มีข้อมูลสนับสนุนชัดเจนในการลดความเสี่ยงกระดูกหักซ้ำทั้งที่กระดูกสันหลังและข้อสะโพก</t>
        </is>
      </c>
      <c r="K198" s="35" t="n"/>
      <c r="L198" s="35" t="inlineStr">
        <is>
          <t>Osteoporosis</t>
        </is>
      </c>
      <c r="M198" s="35" t="inlineStr">
        <is>
          <t>Clinic</t>
        </is>
      </c>
      <c r="N198" s="35" t="inlineStr">
        <is>
          <t>ข้อ 65 Mock Musculo RxCU84</t>
        </is>
      </c>
      <c r="O198" s="35" t="inlineStr">
        <is>
          <t>Mock</t>
        </is>
      </c>
      <c r="P198" s="35" t="inlineStr">
        <is>
          <t>Mock RxCU84</t>
        </is>
      </c>
    </row>
    <row r="199" ht="409.6" customHeight="1" s="37">
      <c r="A199" s="35" t="n">
        <v>197</v>
      </c>
      <c r="B199"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เหตุผลที่เหมาะสมที่สุดที่ทำให้ไม่เลือกใช้ teriparatide ในผู้ป่วยรายนี้คือข้อใด</t>
        </is>
      </c>
      <c r="C199" s="35" t="n"/>
      <c r="D199" s="35" t="inlineStr">
        <is>
          <t>มีประวัติมะเร็ง เสี่ยง osteosarcoma</t>
        </is>
      </c>
      <c r="E199" s="35" t="inlineStr">
        <is>
          <t>ผู้ป่วยเป็นเบาหวาน</t>
        </is>
      </c>
      <c r="F199" s="35" t="inlineStr">
        <is>
          <t>ยาราคาถูก</t>
        </is>
      </c>
      <c r="G199" s="35" t="inlineStr">
        <is>
          <t>การทำงานของไตปกติ</t>
        </is>
      </c>
      <c r="H199" s="35" t="inlineStr">
        <is>
          <t>ไม่มีกระดูกหัก</t>
        </is>
      </c>
      <c r="I199" s="35" t="n">
        <v>1</v>
      </c>
      <c r="J199" s="35" t="inlineStr">
        <is>
          <t>✅ คำตอบที่ถูกต้อง: ข้อ ก. มีประวัติมะเร็ง เสี่ยง osteosarcoma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ไม่ควรใช้ในผู้ป่วยรายนี้เนื่องจากมีประวัติโรคมะเร็ง (NSCLC) ซึ่งมีความเสี่ยงต่อ Bone metastasis และข้อห้ามใช้เรื่องความเสี่ยง Osteosarcoma
🔍 ข้ออื่นผิดเพราะอะไร:
• ข้อ ข. (ผู้ป่วยเป็นเบาหวาน): ผู้ป่วยเป็นเบาหวาน: โรคเบาหวานไม่ใช่ข้อห้ามใช้ของยา teriparatide และยาไม่มีผลรบกวนการควบคุมระดับน้ำตาลในเลือดอย่างมีนัยสำคัญ
• ข้อ ค. (ยาราคาถูก): ยาราคาถูก: Teriparatide เป็นยาฉีดที่มีราคาสูงมาก ไม่ใช่ยาราคาถูก และไม่ใช่เหตุผลทางคลินิกในการห้ามใช้
• ข้อ ง. (การทำงานของไตปกติ): การทำงานของไตปกติ: Teriparatide สามารถใช้ได้ในผู้ป่วยที่การทำงานของไตปกติ หรือแม้แต่ในภาวะไตเสื่อมเล็กน้อยถึงปานกลาง
• ข้อ จ. (ไม่มีกระดูกหัก): ไม่มีกระดูกหัก: ผู้ป่วยรายนี้มีภาวะกระดูกสันหลังยุบตัว (Vertebral compression fracture) ซึ่งเป็นข้อบ่งชี้หลักในการพิจารณาใช้ยาในกลุ่ม anabolic agent
📖 Guideline อ้างอิง:
2020 AACE/ACE Clinical Practice Guidelines for the Diagnosis and Treatment of Postmenopausal Osteoporosis &amp; National Osteoporosis Foundation (NOF) Clinician's Guide
📌 จุดจำก่อนสอบ:
• Anabolic Agent Cautions: Teriparatide (recombinant PTH 1-34) มีฤทธิ์กระตุ้นการสร้างกระดูกอย่างแรง แต่ห้ามใช้ในผู้ป่วยที่มีภาวะเสี่ยงต่อการเกิดมะเร็งกระดูก</t>
        </is>
      </c>
      <c r="K199" s="35" t="n"/>
      <c r="L199" s="35" t="inlineStr">
        <is>
          <t>Osteoporosis</t>
        </is>
      </c>
      <c r="M199" s="35" t="inlineStr">
        <is>
          <t>Clinic</t>
        </is>
      </c>
      <c r="N199" s="35" t="inlineStr">
        <is>
          <t>ข้อ 66 Mock Musculo RxCU84</t>
        </is>
      </c>
      <c r="O199" s="35" t="inlineStr">
        <is>
          <t>Mock</t>
        </is>
      </c>
      <c r="P199" s="35" t="inlineStr">
        <is>
          <t>Mock RxCU84</t>
        </is>
      </c>
    </row>
    <row r="200" ht="409.6" customHeight="1" s="37">
      <c r="A200" s="35" t="n">
        <v>198</v>
      </c>
      <c r="B200"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ผู้ป่วยปวดหลังรุนแรงจากกระดูกสันหลังยุบและกำลังได้ cisplatin แนวทางจัดการปวดที่เหมาะสมที่สุดคือข้อใด</t>
        </is>
      </c>
      <c r="C200" s="35" t="n"/>
      <c r="D200" s="35" t="inlineStr">
        <is>
          <t>NSAIDs ขนาดสูงต่อเนื่องเป็นหลัก</t>
        </is>
      </c>
      <c r="E200" s="35" t="inlineStr">
        <is>
          <t>Colchicine</t>
        </is>
      </c>
      <c r="F200" s="35" t="inlineStr">
        <is>
          <t>Opioid ตามบันได WHO ร่วมกับ paracetamol เลี่ยง NSAIDs</t>
        </is>
      </c>
      <c r="G200" s="35" t="inlineStr">
        <is>
          <t>Allopurinol</t>
        </is>
      </c>
      <c r="H200" s="35" t="inlineStr">
        <is>
          <t>งดยาแก้ปวดทุกชนิด</t>
        </is>
      </c>
      <c r="I200" s="35" t="n">
        <v>3</v>
      </c>
      <c r="J200" s="35" t="inlineStr">
        <is>
          <t>✅ คำตอบที่ถูกต้อง: ข้อ ค. Opioid ตามบันได WHO ร่วมกับ paracetamol เลี่ยง NSAIDs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ผู้ป่วยกำลังได้รับยาเคมีบำบัด Cisplatin ซึ่งมีความเป็นพิษต่อไตสูง (Nephrotoxicity) จึงควรหลีกเลี่ยง NSAIDs อย่างเด็ดขาด การจัดการความปวดรุนแรงจึงควรใช้ยาแก้ปวดตามบันได WHO (Paracetamol ร่วมกับ Opioids เช่น Tramadol หรือ Morphine)
🔍 ข้ออื่นผิดเพราะอะไร:
• ข้อ ก. (NSAIDs ขนาดสูงต่อเนื่องเป็นหลัก): NSAIDs ขนาดสูงต่อเนื่องเป็นหลัก: ผู้ป่วยได้รับ cisplatin ซึ่งมีความเป็นพิษต่อไตสูง (nephrotoxicity) การใช้ NSAIDs ขนาดสูงต่อเนื่องจะยิ่งเพิ่มความเสี่ยงต่อภาวะไตวายเฉียบพลัน
• ข้อ ข. (Colchicine): Colchicine: เป็นยาสำหรับรักษาและป้องกันโรคเกาต์เฉียบพลัน ไม่มีฤทธิ์ระงับปวดจากภาวะกระดูกหักหรือกระดูกยุบตัว
• ข้อ ง. (Allopurinol): Allopurinol: เป็นยาลดกรดยูริกเพื่อป้องกันการกำเริบของโรคเกาต์ ไม่มีฤทธิ์แก้ปวดและไม่มีบทบาทในการรักษาภาวะกระดูกสันหลังยุบ
• ข้อ จ. (งดยาแก้ปวดทุกชนิด): งดยาแก้ปวดทุกชนิด: ผู้ป่วยมีอาการปวดหลังอย่างรุนแรงเฉียบพลัน จำเป็นต้องได้รับการจัดการความปวดอย่างเหมาะสมเพื่อคุณภาพชีวิตและลดภาวะแทรกซ้อนจากการนอนติดเตียง
📖 Guideline อ้างอิง:
2020 AACE/ACE Clinical Practice Guidelines for the Diagnosis and Treatment of Postmenopausal Osteoporosis &amp; National Osteoporosis Foundation (NOF) Clinician's Guide
📌 จุดจำก่อนสอบ:
• Pain Control with Cisplatin: Cisplatin มีความเป็นพิษต่อไตสูง (Nephrotoxicity) ห้ามใช้ NSAIDs โดยเด็ดขาด การจัดการความปวดรุนแรงจากกระดูกหักต้องใช้ Paracetamol ร่วมกับ Weak/Strong Opioids ตามลำดับ</t>
        </is>
      </c>
      <c r="K200" s="35" t="n"/>
      <c r="L200" s="35" t="inlineStr">
        <is>
          <t>Osteoporosis</t>
        </is>
      </c>
      <c r="M200" s="35" t="inlineStr">
        <is>
          <t>Clinic</t>
        </is>
      </c>
      <c r="N200" s="35" t="inlineStr">
        <is>
          <t>ข้อ 67 Mock Musculo RxCU84</t>
        </is>
      </c>
      <c r="O200" s="35" t="inlineStr">
        <is>
          <t>Mock</t>
        </is>
      </c>
      <c r="P200" s="35" t="inlineStr">
        <is>
          <t>Mock RxCU84</t>
        </is>
      </c>
    </row>
    <row r="201" ht="409.6" customHeight="1" s="37">
      <c r="A201" s="35" t="n">
        <v>199</v>
      </c>
      <c r="B201"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ข้อใดถูกต้องเกี่ยวกับ calcitonin ในผู้ป่วยที่มีกระดูกสันหลังยุบเฉียบพลัน</t>
        </is>
      </c>
      <c r="C201" s="35" t="n"/>
      <c r="D201" s="35" t="inlineStr">
        <is>
          <t>เพิ่มระดับแคลเซียมในเลือด</t>
        </is>
      </c>
      <c r="E201" s="35" t="inlineStr">
        <is>
          <t>กระตุ้นการทำงานของ osteoclast</t>
        </is>
      </c>
      <c r="F201" s="35" t="inlineStr">
        <is>
          <t>เป็นยาหลักระยะยาวแทน bisphosphonate</t>
        </is>
      </c>
      <c r="G201" s="35" t="inlineStr">
        <is>
          <t>ไม่มีฤทธิ์ลดปวด</t>
        </is>
      </c>
      <c r="H201" s="35" t="inlineStr">
        <is>
          <t>ช่วยลดปวดระยะสั้นจากกระดูกสันหลังยุบ</t>
        </is>
      </c>
      <c r="I201" s="35" t="n">
        <v>5</v>
      </c>
      <c r="J201" s="35" t="inlineStr">
        <is>
          <t>✅ คำตอบที่ถูกต้อง: ข้อ จ. ช่วยลดปวดระยะสั้นจากกระดูกสันหลังยุบ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Calcitonin (ชนิดพ่นจมูกหรือฉีด) มีคุณสมบัติช่วยลดอาการปวดกระดูกเฉียบพลันจากภาวะกระดูกสันหลังยุบตัว (Analgesic effect for acute vertebral compression fracture pain) ในระยะสั้น (ไม่เกิน 2-4 สัปดาห์) แต่ไม่แนะนำให้ใช้เป็นการรักษากระดูกพรุนระยะยาว
🔍 ข้ออื่นผิดเพราะอะไร:
• ข้อ ก. (เพิ่มระดับแคลเซียมในเลือด): เพิ่มระดับแคลเซียมในเลือด: Calcitonin ออกฤทธิ์ยับยั้ง osteoclast จึงทำให้ระดับแคลเซียมในเลือดลดลง ไม่ใช่เพิ่มขึ้น
• ข้อ ข. (กระตุ้นการทำงานของ osteoclast): กระตุ้นการทำงานของ osteoclast: กลไกของ calcitonin คือการยับยั้งการทำงานของ osteoclast เพื่อลดการสลายกระดูก
• ข้อ ค. (เป็นยาหลักระยะยาวแทน bisphosphonate): เป็นยาหลักระยะยาวแทน bisphosphonate: Calcitonin ไม่แนะนำให้ใช้เป็นยาหลักระยะยาวในการรักษาโรคกระดูกพรุนเนื่องจากมีประสิทธิภาพเพิ่มมวลกระดูกต่ำและอาจเพิ่มความเสี่ยงมะเร็งบางชนิดเมื่อใช้นาน
• ข้อ ง. (ไม่มีฤทธิ์ลดปวด): ไม่มีฤทธิ์ลดปวด: Calcitonin มีคุณสมบัติเด่นคือมีฤทธิ์ลดปวดที่เกิดจากกระดูกสันหลังยุบตัวเฉียบพลันผ่านกลไกที่คาดว่าเกี่ยวข้องกับสารสื่อประสาทในสมอง
📖 Guideline อ้างอิง:
2020 AACE/ACE Clinical Practice Guidelines for the Diagnosis and Treatment of Postmenopausal Osteoporosis &amp; National Osteoporosis Foundation (NOF) Clinician's Guide
📌 จุดจำก่อนสอบ:
• Calcitonin in Acute Compression Fracture: Calcitonin มีบทบาทเด่นในการช่วยบรรเทาอาการปวดกระดูกเฉียบพลันจากกระดูกสันหลังยุบตัวในระยะสั้น (2-4 สัปดาห์) แต่ไม่แนะนำให้ใช้เป็นการรักษากระดูกพรุนระยะยาว</t>
        </is>
      </c>
      <c r="K201" s="35" t="n"/>
      <c r="L201" s="35" t="inlineStr">
        <is>
          <t>Osteoporosis</t>
        </is>
      </c>
      <c r="M201" s="35" t="inlineStr">
        <is>
          <t>Clinic</t>
        </is>
      </c>
      <c r="N201" s="35" t="inlineStr">
        <is>
          <t>ข้อ 68 Mock Musculo RxCU84</t>
        </is>
      </c>
      <c r="O201" s="35" t="inlineStr">
        <is>
          <t>Mock</t>
        </is>
      </c>
      <c r="P201" s="35" t="inlineStr">
        <is>
          <t>Mock RxCU84</t>
        </is>
      </c>
    </row>
    <row r="202" ht="409.6" customHeight="1" s="37">
      <c r="A202" s="35" t="n">
        <v>200</v>
      </c>
      <c r="B202" s="35"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ผลข้างเคียงรุนแรงที่พบได้ทั้ง bisphosphonate และ denosumab (ควรตรวจสุขภาพช่องปากก่อนเริ่มยา) คือข้อใด</t>
        </is>
      </c>
      <c r="C202" s="35" t="n"/>
      <c r="D202" s="35" t="inlineStr">
        <is>
          <t>SJS/TEN</t>
        </is>
      </c>
      <c r="E202" s="35" t="inlineStr">
        <is>
          <t>ไตวายเฉียบพลัน</t>
        </is>
      </c>
      <c r="F202" s="35" t="inlineStr">
        <is>
          <t>หัวใจเต้นผิดจังหวะ</t>
        </is>
      </c>
      <c r="G202" s="35" t="inlineStr">
        <is>
          <t>Osteonecrosis of the jaw และ atypical femur fracture</t>
        </is>
      </c>
      <c r="H202" s="35" t="inlineStr">
        <is>
          <t>ต้อกระจก</t>
        </is>
      </c>
      <c r="I202" s="35" t="n">
        <v>4</v>
      </c>
      <c r="J202" s="35" t="inlineStr">
        <is>
          <t>✅ คำตอบที่ถูกต้อง: ข้อ ง. Osteonecrosis of the jaw และ atypical femur fracture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Osteonecrosis of the jaw (ONJ) และ Atypical femur fracture (AFF) เป็นผลข้างเคียงรุนแรงที่พบได้ทั้งจาก Bisphosphonates และ Denosumab จึงควรตรวจสุขภาพช่องปากและฟันให้เรียบร้อยก่อนเริ่มยา
🔍 ข้ออื่นผิดเพราะอะไร:
• ข้อ ก. (SJS/TEN): SJS/TEN: เป็นปฏิกิริยาแพ้ยารุนแรงทางผิวหนังที่มักพบในกลุ่มยากันชัก ยาปฏิชีวนะ หรือ allopurinol ไม่ใช่ผลข้างเคียงจำเพาะของกลุ่มยาต้านการสลายกระดูก
• ข้อ ข. (ไตวายเฉียบพลัน): ไตวายเฉียบพลัน: เป็นผลข้างเคียงที่อาจพบได้จากการฉีด bisphosphonate ทางหลอดเลือดดำเร็วเกินไป แต่ไม่ใช่ผลข้างเคียงหลักที่พบร่วมกันกับ denosumab
• ข้อ ค. (หัวใจเต้นผิดจังหวะ): หัวใจเต้นผิดจังหวะ: ไม่ใช่ผลข้างเคียงที่พบได้บ่อยหรือเป็นลักษณะจำเพาะของยาทั้ง bisphosphonate และ denosumab
• ข้อ จ. (ต้อกระจก): ต้อกระจก: เป็นผลข้างเคียงที่เกิดจากการใช้ยาคอร์ติโคสเตียรอยด์เป็นระยะเวลานาน ไม่เกี่ยวข้องกับกลุ่มยาต้านการสลายกระดูก
📖 Guideline อ้างอิง:
2020 AACE/ACE Clinical Practice Guidelines for the Diagnosis and Treatment of Postmenopausal Osteoporosis &amp; National Osteoporosis Foundation (NOF) Clinician's Guide
📌 จุดจำก่อนสอบ:
• Oral Screening Before Antiresorptives: ผู้ป่วยควรได้รับการตรวจสุขภาพช่องปากและฟัน (Dental examination) ให้เรียบร้อยก่อนเริ่มยา Bisphosphonates หรือ Denosumab เพื่อป้องกันการเกิด Osteonecrosis of the jaw (ONJ)</t>
        </is>
      </c>
      <c r="K202" s="35" t="n"/>
      <c r="L202" s="35" t="inlineStr">
        <is>
          <t>Osteoporosis</t>
        </is>
      </c>
      <c r="M202" s="35" t="inlineStr">
        <is>
          <t>Clinic</t>
        </is>
      </c>
      <c r="N202" s="35" t="inlineStr">
        <is>
          <t>ข้อ 69 Mock Musculo RxCU84</t>
        </is>
      </c>
      <c r="O202" s="35" t="inlineStr">
        <is>
          <t>Mock</t>
        </is>
      </c>
      <c r="P202" s="35" t="inlineStr">
        <is>
          <t>Mock RxCU84</t>
        </is>
      </c>
    </row>
    <row r="203" ht="409.6" customHeight="1" s="37">
      <c r="A203" s="35" t="n">
        <v>201</v>
      </c>
      <c r="B203"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ความผิดพลาดร้ายแรง (Med Error) ในใบสั่งยานี้คืออะไร?</t>
        </is>
      </c>
      <c r="C203" s="35" t="n"/>
      <c r="D203" s="35" t="inlineStr">
        <is>
          <t>การคำนวณยา Infliximab ต่อน้ำหนักตัวผิดพลาด</t>
        </is>
      </c>
      <c r="E203" s="35" t="inlineStr">
        <is>
          <t>สั่ง MTX กินทุกวันแทนที่จะเป็นสัปดาห์ละครั้ง</t>
        </is>
      </c>
      <c r="F203" s="35" t="inlineStr">
        <is>
          <t>ให้ Folic acid ที่มีขนาดน้อยเกินไป</t>
        </is>
      </c>
      <c r="G203" s="35" t="inlineStr">
        <is>
          <t>การที่ Prednisolone ให้รับประทานหลังอาหารทำให้ยาดูดซึมไม่ดี</t>
        </is>
      </c>
      <c r="H203" s="35" t="inlineStr">
        <is>
          <t>การบริหาร NSS 0.9% มีอัตราเร็วจนเกินไป ก่อให้เกิดอาการบวมน้ำ</t>
        </is>
      </c>
      <c r="I203" s="35" t="n">
        <v>2</v>
      </c>
      <c r="J203" s="35" t="inlineStr">
        <is>
          <t>✅ คำตอบที่ถูกต้อง: ข้อ ข. สั่ง MTX กินทุกวันแทนที่จะเป็นสัปดาห์ละครั้ง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ความคลาดเคลื่อนทางยาที่ร้ายแรงและเป็นอันตรายถึงชีวิต (Fatal Medication Error) ในใบสั่งยานี้คือ การสั่งจ่าย Methotrexate (MTX) รับประทานแบบทุกวัน (1x1 po hs) แทนที่จะเป็นสัปดาห์ละครั้ง (Once weekly) ซึ่งจะทำให้เกิดพิษเฉียบพลันจากการกดไขกระดูกอย่างรุนแรง
🔍 ข้ออื่นผิดเพราะอะไร:
• ข้อ ก. (การคำนวณยา Infliximab ต่อน้ำหนักตัวผิดพลาด): การคำนวณยา Infliximab ต่อน้ำหนักตัวผิดพลาด: ขนาดยา Infliximab ที่ถูกต้องสำหรับ Rheumatoid Arthritis คือ 3 mg/kg ซึ่งผู้ป่วยหนัก 60 kg คำนวณได้ 180 mg ถือว่าถูกต้องแล้ว
• ข้อ ค. (ให้ Folic acid ที่มีขนาดน้อยเกินไป): ให้ Folic acid ที่มีขนาดน้อยเกินไป: ขนาด Folic acid 5 mg สัปดาห์ละ 1 ครั้ง ถือเป็นขนาดมาตรฐานในการให้เสริมเพื่อป้องกันผลข้างเคียงจากยา MTX
• ข้อ ง. (การที่ Prednisolone ให้รับประทานหลังอาหารทำให้ยาดูดซึมไม่ดี): การที่ Prednisolone ให้รับประทานหลังอาหารทำให้ยาดูดซึมไม่ดี: Prednisolone ควรรับประทานหลังอาหารเพื่อลดการระคายเคืองกระเพาะอาหาร และไม่กระทบต่อการดูดซึมยา
• ข้อ จ. (การบริหาร NSS 0.9% มีอัตราเร็วจนเกินไป ก่อให้เกิดอาการบวมน้ำ): การบริหาร NSS 0.9% มีอัตราเร็วจนเกินไป ก่อให้เกิดอาการบวมน้ำ: การให้ NSS 100 ml ใน 30 นาที เป็นอัตราปกติที่ใช้ในการล้างสาย (flush) หลังจากหยดยาเสร็จ ไม่ได้ทำให้เกิดภาวะบวมน้ำ
📖 Guideline อ้างอิง:
2021 American College of Rheumatology (ACR) Guideline for the Treatment of Rheumatoid Arthritis &amp; 2020 ACR Guideline for the Management of Reproductive Health in Rheumatic and Musculoskeletal Diseases
📌 จุดจำก่อนสอบ:
• Fatal MTX Medication Error: Methotrexate สำหรับการรักษาโรคข้ออักเสบรูมาตอยด์ ต้องสั่งจ่ายเป็น สัปดาห์ละครั้ง (Once weekly) เสมอ การสั่งจ่ายแบบทุกวัน (Daily) เป็นความคลาดเคลื่อนทางยาที่ร้ายแรงและเป็นอันตรายถึงแก่ชีวิต</t>
        </is>
      </c>
      <c r="K203" s="35" t="n"/>
      <c r="L203" s="35" t="inlineStr">
        <is>
          <t>Rheumatoid Arthritis</t>
        </is>
      </c>
      <c r="M203" s="35" t="inlineStr">
        <is>
          <t>Clinic</t>
        </is>
      </c>
      <c r="N203" s="35" t="inlineStr">
        <is>
          <t>ข้อ 70 Mock Musculo RxCU84</t>
        </is>
      </c>
      <c r="O203" s="35" t="inlineStr">
        <is>
          <t>Mock</t>
        </is>
      </c>
      <c r="P203" s="35" t="inlineStr">
        <is>
          <t>Mock RxCU84</t>
        </is>
      </c>
    </row>
    <row r="204" ht="409.6" customHeight="1" s="37">
      <c r="A204" s="35" t="n">
        <v>202</v>
      </c>
      <c r="B204"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ผู้ป่วยรายนี้จากใบสั่งยานี้ (หากแก้ไขถูกต้องแล้ว) ควรเฝ้าระวังเรื่องใดบ้าง</t>
        </is>
      </c>
      <c r="C204" s="35" t="n"/>
      <c r="D204" s="35" t="inlineStr">
        <is>
          <t>CBC ที่ต่ำเกินไป</t>
        </is>
      </c>
      <c r="E204" s="35" t="inlineStr">
        <is>
          <t>WBC ที่สูงเกินไป</t>
        </is>
      </c>
      <c r="F204" s="35" t="inlineStr">
        <is>
          <t>ค่า LDL-C ที่สูงขึ้น</t>
        </is>
      </c>
      <c r="G204" s="35" t="inlineStr">
        <is>
          <t>อาการเวียนศรีษะและหมดสติ</t>
        </is>
      </c>
      <c r="H204" s="35" t="inlineStr">
        <is>
          <t>ไม่มีข้อใดถูกต้อง</t>
        </is>
      </c>
      <c r="I204" s="35" t="n">
        <v>1</v>
      </c>
      <c r="J204" s="35" t="inlineStr">
        <is>
          <t>✅ คำตอบที่ถูกต้อง: ข้อ ก. CBC ที่ต่ำเกินไป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ผู้ป่วยรายนี้ได้รับยาทั้ง Infliximab (Biologic DMARD) และ Methotrexate ซึ่งเป็นยากดภูมิคุ้มกัน การเฝ้าระวังความปลอดภัยที่สำคัญที่สุดคือ การตรวจความสมบูรณ์ของเม็ดเลือด (CBC) เพื่อเฝ้าระวังภาวะกดไขกระดูก เม็ดเลือดขาวต่ำ (Leukopenia/Neutropenia) และเกล็ดเลือดต่ำ ซึ่งจะเพิ่มความเสี่ยงต่อการติดเชื้อรุนแรง
🔍 ข้ออื่นผิดเพราะอะไร:
• ข้อ ข. (WBC ที่สูงเกินไป): WBC ที่สูงเกินไป: การรับประทาน MTX เกินขนาดจะทำให้เกิดภาวะไขกระดูกฝ่อ ส่งผลให้เม็ดเลือดขาวต่ำ (Leukopenia) ไม่ใช่เม็ดเลือดขาวสูงขึ้น
• ข้อ ค. (ค่า LDL-C ที่สูงขึ้น): ค่า LDL-C ที่สูงขึ้น: ยา MTX ไม่ได้มีผลข้างเคียงต่อระบบเผาผลาญที่ทำให้เพิ่มระดับไขมัน LDL-C ในเลือดโดยตรง
• ข้อ ง. (อาการเวียนศรีษะและหมดสติ): อาการเวียนศรีษะและหมดสติ: แม้ผู้ป่วยจะได้ยาลดความดัน แต่ไม่ใช่ผลข้างเคียงหลักและอันตรายที่สุดที่ต้องเฝ้าระวังอย่างฉุกเฉินจากการได้รับ MTX เกินขนาด
• ข้อ จ. (ไม่มีข้อใดถูกต้อง): ไม่มีข้อใดถูกต้อง: ภาวะไขกระดูกฝ่อจาก MTX ทำให้กดการสร้างเม็ดเลือดทุกชนิดรวมถึงเม็ดเลือดขาวและเกล็ดเลือด จึงต้องเฝ้าระวังผล CBC ต่ำ
📖 Guideline อ้างอิง:
2021 American College of Rheumatology (ACR) Guideline for the Treatment of Rheumatoid Arthritis &amp; 2020 ACR Guideline for the Management of Reproductive Health in Rheumatic and Musculoskeletal Diseases
📌 จุดจำก่อนสอบ:
• Immunosuppressive Monitoring: การใช้ Infliximab ร่วมกับ Methotrexate ต้องตรวจติดตามความสมบูรณ์ของเม็ดเลือด (CBC) อย่างเคร่งครัดเพื่อเฝ้าระวังภาวะกดไขกระดูก (Cytopenia) และภาวะติดเชื้อ</t>
        </is>
      </c>
      <c r="K204" s="35" t="n"/>
      <c r="L204" s="35" t="inlineStr">
        <is>
          <t>Rheumatoid Arthritis</t>
        </is>
      </c>
      <c r="M204" s="35" t="inlineStr">
        <is>
          <t>Clinic</t>
        </is>
      </c>
      <c r="N204" s="35" t="inlineStr">
        <is>
          <t>ข้อ 71 Mock Musculo RxCU84</t>
        </is>
      </c>
      <c r="O204" s="35" t="inlineStr">
        <is>
          <t>Mock</t>
        </is>
      </c>
      <c r="P204" s="35" t="inlineStr">
        <is>
          <t>Mock RxCU84</t>
        </is>
      </c>
    </row>
    <row r="205" ht="409.6" customHeight="1" s="37">
      <c r="A205" s="35" t="n">
        <v>203</v>
      </c>
      <c r="B205"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อาการพิษรุนแรงจากการกิน MTX เกินขนาด (กินทุกวัน) คือข้อใด?</t>
        </is>
      </c>
      <c r="C205" s="35" t="n"/>
      <c r="D205" s="35" t="inlineStr">
        <is>
          <t>Retinopathy</t>
        </is>
      </c>
      <c r="E205" s="35" t="inlineStr">
        <is>
          <t>ไขกระดูกฝ่อ (Bone marrow suppression)</t>
        </is>
      </c>
      <c r="F205" s="35" t="inlineStr">
        <is>
          <t>SJS/TEN</t>
        </is>
      </c>
      <c r="G205" s="35" t="inlineStr">
        <is>
          <t>QT Prolongation</t>
        </is>
      </c>
      <c r="H205" s="35" t="inlineStr">
        <is>
          <t>ผมร่วงอย่างรุนแรง</t>
        </is>
      </c>
      <c r="I205" s="35" t="n">
        <v>2</v>
      </c>
      <c r="J205" s="35" t="inlineStr">
        <is>
          <t>✅ คำตอบที่ถูกต้อง: ข้อ ข. ไขกระดูกฝ่อ (Bone marrow suppression)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ภาวะเป็นพิษเฉียบพลันที่รุนแรงและเป็นอันตรายถึงแก่ชีวิตจากการรับประทาน MTX ทุกวัน คือ ภาวะกดไขกระดูกรุนแรง (Severe bone marrow suppression: Pancytopenia, Agranulocytosis) ร่วมกับเยื่อบุทางเดินอาหารอักเสบและเป็นแผลรุนแรง (Mucositis/Ulceration)
🔍 ข้ออื่นผิดเพราะอะไร:
• ข้อ ก. (Retinopathy): Retinopathy: เป็นผลข้างเคียงจำเพาะที่พบจากการใช้ยา Hydroxychloroquine ในระยะยาว ไม่ใช่ยา MTX
• ข้อ ค. (SJS/TEN): SJS/TEN: แม้ MTX จะทำให้เกิดผื่นผิวหนังได้ แต่การเกิด SJS/TEN เป็นปฏิกิริยาที่พบได้น้อยมากเมื่อเทียบกับความเสี่ยงหลักอย่างไขกระดูกฝ่อ
• ข้อ ง. (QT Prolongation): QT Prolongation: MTX ไม่มีผลต่อการยืดระยะ QT interval ซึ่งมักพบในยาต้านหัวใจเต้นผิดจังหวะ หรือยาปฏิชีวนะกลุ่ม macrolides
• ข้อ จ. (ผมร่วงอย่างรุนแรง): ผมร่วงอย่างรุนแรง: ผมร่วงเป็นผลข้างเคียงที่พบได้แต่มักเกิดจากการใช้ต่อเนื่องระยะยาว ไม่ใช่อาการพิษรุนแรงเฉียบพลันที่อันตรายถึงชีวิตเท่ากับภาวะกดไขกระดูก
📖 Guideline อ้างอิง:
2021 American College of Rheumatology (ACR) Guideline for the Treatment of Rheumatoid Arthritis &amp; 2020 ACR Guideline for the Management of Reproductive Health in Rheumatic and Musculoskeletal Diseases
📌 จุดจำก่อนสอบ:
• Acute MTX Toxicity Presentation: พิษเฉียบพลันจากการรับประทาน MTX ทุกวันคือ ภาวะกดไขกระดูกอย่างรุนแรง (Pancytopenia, Agranulocytosis) ร่วมกับเยื่อบุทางเดินอาหารอักเสบเป็นแผล (Severe mucositis)</t>
        </is>
      </c>
      <c r="K205" s="35" t="n"/>
      <c r="L205" s="35" t="inlineStr">
        <is>
          <t>Rheumatoid Arthritis</t>
        </is>
      </c>
      <c r="M205" s="35" t="inlineStr">
        <is>
          <t>Clinic</t>
        </is>
      </c>
      <c r="N205" s="35" t="inlineStr">
        <is>
          <t>ข้อ 72 Mock Musculo RxCU84</t>
        </is>
      </c>
      <c r="O205" s="35" t="inlineStr">
        <is>
          <t>Mock</t>
        </is>
      </c>
      <c r="P205" s="35" t="inlineStr">
        <is>
          <t>Mock RxCU84</t>
        </is>
      </c>
    </row>
    <row r="206" ht="409.6" customHeight="1" s="37">
      <c r="A206" s="35" t="n">
        <v>204</v>
      </c>
      <c r="B206"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ยาแก้พิษ (Antidote/Rescue) สำหรับภาวะ MTX Toxicity คือยาใด?</t>
        </is>
      </c>
      <c r="C206" s="35" t="n"/>
      <c r="D206" s="35" t="inlineStr">
        <is>
          <t>N-acetylcysteine</t>
        </is>
      </c>
      <c r="E206" s="35" t="inlineStr">
        <is>
          <t>Flumazenil</t>
        </is>
      </c>
      <c r="F206" s="35" t="inlineStr">
        <is>
          <t>Leucovorin (Folinic acid)</t>
        </is>
      </c>
      <c r="G206" s="35" t="inlineStr">
        <is>
          <t>Vitamin K</t>
        </is>
      </c>
      <c r="H206" s="35" t="inlineStr">
        <is>
          <t>Protamine sulfate</t>
        </is>
      </c>
      <c r="I206" s="35" t="n">
        <v>3</v>
      </c>
      <c r="J206" s="35"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เป็นยาต้านพิษหรือกู้ชีวิต (Rescue therapy) สำหรับภาวะ Methotrexate Toxicity โดยทำหน้าที่เป็น Reduced folate ข้ามผ่านขั้นตอนการทำงานของเอนไซม์ DHFR เข้าไปให้เซลล์นำไปใช้สร้าง DNA ได้ทันทีเพื่อช่วยกู้การทำงานของไขกระดูก
🔍 ข้ออื่นผิดเพราะอะไร:
• ข้อ ก. (N-acetylcysteine): N-acetylcysteine: เป็นยาต้านพิษสำหรับภาวะตับอักเสบจากพาราเซตามอลเกินขนาด (Paracetamol toxicity) ไม่มีผลต่อการแก้พิษของ MTX
• ข้อ ข. (Flumazenil): Flumazenil: เป็นยาต้านพิษสำหรับการได้รับยากลุ่ม Benzodiazepines เกินขนาดเพื่อแก้ฤทธิ์กดระบบประสาทส่วนกลาง
• ข้อ ง. (Vitamin K): Vitamin K: เป็นยาต้านพิษสำหรับภาวะเลือดออกผิดปกติจากการใช้ยาต้านการแข็งตัวของเลือด Warfarin เกินขนาด
• ข้อ จ. (Protamine sulfate): Protamine sulfate: เป็นยาต้านพิษสำหรับการได้รับยา Heparin หรือ LMWH เกินขนาด
📖 Guideline อ้างอิง:
2021 American College of Rheumatology (ACR) Guideline for the Treatment of Rheumatoid Arthritis &amp; 2020 ACR Guideline for the Management of Reproductive Health in Rheumatic and Musculoskeletal Diseases
📌 จุดจำก่อนสอบ:
• MTX Rescue Therapy: Leucovorin (Folinic acid) เป็น Reduced folate ที่สามารถข้ามผ่านการยับยั้งของเอนไซม์ DHFR เข้าไปกู้ชีวิตเซลล์ไขกระดูกได้โดยตรง จึงเป็นยาต้านพิษหลักสำหรับ MTX Toxicity</t>
        </is>
      </c>
      <c r="K206" s="35" t="n"/>
      <c r="L206" s="35" t="inlineStr">
        <is>
          <t>Rheumatoid Arthritis</t>
        </is>
      </c>
      <c r="M206" s="35" t="inlineStr">
        <is>
          <t>Clinic</t>
        </is>
      </c>
      <c r="N206" s="35" t="inlineStr">
        <is>
          <t>ข้อ 73 Mock Musculo RxCU84</t>
        </is>
      </c>
      <c r="O206" s="35" t="inlineStr">
        <is>
          <t>Mock</t>
        </is>
      </c>
      <c r="P206" s="35" t="inlineStr">
        <is>
          <t>Mock RxCU84</t>
        </is>
      </c>
    </row>
    <row r="207" ht="409.6" customHeight="1" s="37">
      <c r="A207" s="35" t="n">
        <v>205</v>
      </c>
      <c r="B207"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การให้ Folic acid 5 mg สัปดาห์ละ 1-2 ครั้ง ร่วมกับ MTX มีจุดประสงค์เพื่ออะไร?</t>
        </is>
      </c>
      <c r="C207" s="35" t="n"/>
      <c r="D207" s="35" t="inlineStr">
        <is>
          <t>เพิ่มฤทธิ์ยา MTX</t>
        </is>
      </c>
      <c r="E207" s="35" t="inlineStr">
        <is>
          <t>ลดการเกิดไขกระดูกฝ่อ</t>
        </is>
      </c>
      <c r="F207" s="35" t="inlineStr">
        <is>
          <t>ลดผลข้างเคียงทางระบบทางเดินอาหารและแผลในปาก (GI/Mucositis)</t>
        </is>
      </c>
      <c r="G207" s="35" t="inlineStr">
        <is>
          <t>บำรุงครรภ์</t>
        </is>
      </c>
      <c r="H207" s="35" t="inlineStr">
        <is>
          <t>ป้องกันตับวาย</t>
        </is>
      </c>
      <c r="I207" s="35" t="n">
        <v>3</v>
      </c>
      <c r="J207" s="35" t="inlineStr">
        <is>
          <t>✅ คำตอบที่ถูกต้อง: ข้อ ค. ลดผลข้างเคียงทางระบบทางเดินอาหารและแผลในปาก (GI/Mucositis)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การให้ Folic acid เสริมในการรักษา RA ด้วย MTX มีจุดประสงค์เพื่อลดผลข้างเคียงที่พบบ่อยจากยา MTX ได้แก่ อาการทางเดินอาหาร คลื่นไส้ อาเจียน แผลในปาก (Oral mucositis) ตลอดจนช่วยลดความเสี่ยงต่อภาวะเอนไซม์ตับสูง โดยไม่บดบังประสิทธิภาพในการรักษาโรคข้อ
🔍 ข้ออื่นผิดเพราะอะไร:
• ข้อ ก. (เพิ่มฤทธิ์ยา MTX): เพิ่มฤทธิ์ยา MTX: Folic acid จะเข้าไปทดแทนโฟเลตในเซลล์ปกติที่ถูกยับยั้ง ไม่ได้ไปเพิ่มประสิทธิภาพในการกดภูมิคุ้มกันหรือต้านการอักเสบของยา MTX
• ข้อ ข. (ลดการเกิดไขกระดูกฝ่อ): ลดการเกิดไขกระดูกฝ่อ: Folic acid ใช้เสริมเพื่อลดผลข้างเคียงทั่วไป แต่หากเกิดภาวะไขกระดูกฝ่อรุนแรงจาก MTX เกินขนาด ต้องใช้ active form คือ Leucovorin ไม่ใช่ Folic acid ธรรมดา
• ข้อ ง. (บำรุงครรภ์): บำรุงครรภ์: ยา MTX เป็นข้อห้ามใช้เด็ดขาดในสตรีมีครรภ์ (Pregnancy Category X) เนื่องจากทำให้ทารกวิรูป การให้กรดโฟลิกในที่นี้ไม่ได้มีจุดประสงค์เพื่อบำรุงครรภ์
• ข้อ จ. (ป้องกันตับวาย): ป้องกันตับวาย: แม้ Folic acid อาจช่วยลดความเสี่ยงเอนไซม์ตับขึ้นสูงได้บ้าง แต่ไม่สามารถป้องกันภาวะตับวายรุนแรงจากการใช้ MTX ในขนาดที่เป็นพิษได้
📖 Guideline อ้างอิง:
2021 American College of Rheumatology (ACR) Guideline for the Treatment of Rheumatoid Arthritis &amp; 2020 ACR Guideline for the Management of Reproductive Health in Rheumatic and Musculoskeletal Diseases
📌 จุดจำก่อนสอบ:
• Role of Folic Acid with MTX: การให้ Folic acid เสริม 5 mg สัปดาห์ละ 1-2 ครั้ง ช่วยลดผลข้างเคียงเรื่องคลื่นไส้ อาเจียน แผลในปาก และภาวะเอนไซม์ตับสูง โดยไม่ลดทอนประสิทธิภาพในการรักษาโรคข้อ</t>
        </is>
      </c>
      <c r="K207" s="35" t="n"/>
      <c r="L207" s="35" t="inlineStr">
        <is>
          <t>Rheumatoid Arthritis</t>
        </is>
      </c>
      <c r="M207" s="35" t="inlineStr">
        <is>
          <t>Clinic</t>
        </is>
      </c>
      <c r="N207" s="35" t="inlineStr">
        <is>
          <t>ข้อ 74 Mock Musculo RxCU84</t>
        </is>
      </c>
      <c r="O207" s="35" t="inlineStr">
        <is>
          <t>Mock</t>
        </is>
      </c>
      <c r="P207" s="35" t="inlineStr">
        <is>
          <t>Mock RxCU84</t>
        </is>
      </c>
    </row>
    <row r="208" ht="409.6" customHeight="1" s="37">
      <c r="A208" s="35" t="n">
        <v>206</v>
      </c>
      <c r="B208"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กลไกของยา Methotrexate คือข้อใด?</t>
        </is>
      </c>
      <c r="C208" s="35" t="n"/>
      <c r="D208" s="35" t="inlineStr">
        <is>
          <t>ยับยั้ง COX-2</t>
        </is>
      </c>
      <c r="E208" s="35" t="inlineStr">
        <is>
          <t>ยับยั้ง Xanthine oxidase</t>
        </is>
      </c>
      <c r="F208" s="35" t="inlineStr">
        <is>
          <t>ยับยั้ง Dihydrofolate reductase (DHFR)</t>
        </is>
      </c>
      <c r="G208" s="35" t="inlineStr">
        <is>
          <t>ยับยั้ง TNF-alpha</t>
        </is>
      </c>
      <c r="H208" s="35" t="inlineStr">
        <is>
          <t>ยับยั้ง CD20</t>
        </is>
      </c>
      <c r="I208" s="35" t="n">
        <v>3</v>
      </c>
      <c r="J208" s="35" t="inlineStr">
        <is>
          <t>✅ คำตอบที่ถูกต้อง: ข้อ ค. ยับยั้ง Dihydrofolate reductase (DHFR)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กลไกการออกฤทธิ์ระดับเซลล์ของ Methotrexate คือการยับยั้งเอนไซม์ Dihydrofolate Reductase (DHFR) ขัดขวางการเปลี่ยน Folic acid เป็น Tetrahydrofolate ซึ่งจำเป็นต่อการสังเคราะห์ Purine และ Pyrimidine ในการสร้าง DNA และ RNA
🔍 ข้ออื่นผิดเพราะอะไร:
• ข้อ ก. (ยับยั้ง COX-2): ยับยั้ง COX-2: เป็นกลไกหลักของยากลุ่ม NSAIDs ชนิด COX-2 inhibitors เช่น Celecoxib ไม่ใช่ MTX
• ข้อ ข. (ยับยั้ง Xanthine oxidase): ยับยั้ง Xanthine oxidase: เป็นกลไกของยาลดระดับกรดยูริกในการรักษาโรคเกาต์ เช่น Allopurinol และ Febuxostat
• ข้อ ง. (ยับยั้ง TNF-alpha): ยับยั้ง TNF-alpha: เป็นกลไกของยาชีววัตถุกลุ่ม TNF inhibitors เช่น Infliximab, Etanercept, และ Adalimumab
• ข้อ จ. (ยับยั้ง CD20): ยับยั้ง CD20: เป็นกลไกของยาชีววัตถุกลุ่ม Anti-CD20 monoclonal antibody เช่น Rituximab ที่ใช้กด B-cells
📖 Guideline อ้างอิง:
2021 American College of Rheumatology (ACR) Guideline for the Treatment of Rheumatoid Arthritis &amp; 2020 ACR Guideline for the Management of Reproductive Health in Rheumatic and Musculoskeletal Diseases
📌 จุดจำก่อนสอบ:
• MTX Mechanism: ยับยั้งเอนไซม์ Dihydrofolate Reductase (DHFR) ขัดขวางการสังเคราะห์ Tetrahydrofolate ซึ่งจำเป็นต่อการสร้างเบส Purine และ Thymidylate ในการสังเคราะห์ DNA และ RNA</t>
        </is>
      </c>
      <c r="K208" s="35" t="n"/>
      <c r="L208" s="35" t="inlineStr">
        <is>
          <t>Rheumatoid Arthritis</t>
        </is>
      </c>
      <c r="M208" s="35" t="inlineStr">
        <is>
          <t>Clinic</t>
        </is>
      </c>
      <c r="N208" s="35" t="inlineStr">
        <is>
          <t>ข้อ 75 Mock Musculo RxCU84</t>
        </is>
      </c>
      <c r="O208" s="35" t="inlineStr">
        <is>
          <t>Mock</t>
        </is>
      </c>
      <c r="P208" s="35" t="inlineStr">
        <is>
          <t>Mock RxCU84</t>
        </is>
      </c>
    </row>
    <row r="209" ht="409.6" customHeight="1" s="37">
      <c r="A209" s="35" t="n">
        <v>207</v>
      </c>
      <c r="B209"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ก่อนเริ่มยา Infliximab (Biologics) ผู้ป่วยต้องได้รับการคัดกรอง (Screening) โรคติดเชื้อใดเสมอ?</t>
        </is>
      </c>
      <c r="C209" s="35" t="n"/>
      <c r="D209" s="35" t="inlineStr">
        <is>
          <t>HIV</t>
        </is>
      </c>
      <c r="E209" s="35" t="inlineStr">
        <is>
          <t>Syphilis</t>
        </is>
      </c>
      <c r="F209" s="35" t="inlineStr">
        <is>
          <t>Tuberculosis (TB) และ Hepatitis B/C</t>
        </is>
      </c>
      <c r="G209" s="35" t="inlineStr">
        <is>
          <t>Malaria</t>
        </is>
      </c>
      <c r="H209" s="35" t="inlineStr">
        <is>
          <t>COVID-19</t>
        </is>
      </c>
      <c r="I209" s="35" t="n">
        <v>3</v>
      </c>
      <c r="J209" s="35" t="inlineStr">
        <is>
          <t>✅ คำตอบที่ถูกต้อง: ข้อ ค. Tuberculosis (TB) และ Hepatitis B/C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ก่อนเริ่มยากลุ่ม Biologics โดยเฉพาะ TNF-alpha inhibitors (เช่น Infliximab) ผู้ป่วยต้องได้รับการตรวจคัดกรองการติดเชื้อแฝงเสมอ ได้แก่ วัณโรค (Latent TB screening ด้วย TST หรือ IGRA ร่วมกับ CXR) และ ไวรัสตับอักเสบบีและซี (Hepatitis B &amp; C screening) เนื่องจากยามีความเสี่ยงสูงที่จะกระตุ้นให้เชื้อกลับมากำเริบอย่างรุนแรง (Reactivation)
🔍 ข้ออื่นผิดเพราะอะไร:
• ข้อ ก. (HIV): HIV: แม้ผู้ติดเชื้อ HIV จะมีความเสี่ยงในการใช้ยากดภูมิ แต่การคัดกรองวัณโรคและไวรัสตับอักเสบเป็นข้อบังคับมาตรฐานที่ต้องทำก่อนเริ่ม TNF inhibitors เสมอ
• ข้อ ข. (Syphilis): Syphilis: โรคซิฟิลิสไม่ใช่การติดเชื้อฉวยโอกาสหลักที่ยา Infliximab จะทำให้ลุกลาม จึงไม่ได้เป็นข้อบังคับในการคัดกรองก่อนเริ่มยา
• ข้อ ง. (Malaria): Malaria: โรคมาลาเรียเป็นโรคติดเชื้อปรสิตที่ไม่ใช่ข้อห้ามใช้สัมบูรณ์หรือจำเป็นต้องคัดกรองในผู้ป่วยทุกรายก่อนเริ่มยาชีววัตถุ
• ข้อ จ. (COVID-19): COVID-19: การคัดกรอง COVID-19 เป็นไปตามความเสี่ยงทางคลินิกขณะนั้น แต่การคัดกรองวัณโรคแฝง (Latent TB) เป็นข้อบังคับสากลของยากลุ่มนี้เพื่อป้องกันการกำเริบ
📖 Guideline อ้างอิง:
2021 American College of Rheumatology (ACR) Guideline for the Treatment of Rheumatoid Arthritis &amp; 2020 ACR Guideline for the Management of Reproductive Health in Rheumatic and Musculoskeletal Diseases
📌 จุดจำก่อนสอบ:
• Pre-biologic Screening: ก่อนเริ่มยาชีววัตถุ (Biologics) โดยเฉพาะ TNF-alpha inhibitors ต้องตรวจคัดกรองการติดเชื้อแฝงเสมอ ได้แก่ วัณโรค (Latent TB ด้วย TST/IGRA และ CXR) และไวรัสตับอักเสบบีและซี (Hepatitis B &amp; C)</t>
        </is>
      </c>
      <c r="K209" s="35" t="n"/>
      <c r="L209" s="35" t="inlineStr">
        <is>
          <t>Rheumatoid Arthritis</t>
        </is>
      </c>
      <c r="M209" s="35" t="inlineStr">
        <is>
          <t>Clinic</t>
        </is>
      </c>
      <c r="N209" s="35" t="inlineStr">
        <is>
          <t>ข้อ 76 Mock Musculo RxCU84</t>
        </is>
      </c>
      <c r="O209" s="35" t="inlineStr">
        <is>
          <t>Mock</t>
        </is>
      </c>
      <c r="P209" s="35" t="inlineStr">
        <is>
          <t>Mock RxCU84</t>
        </is>
      </c>
    </row>
    <row r="210" ht="409.6" customHeight="1" s="37">
      <c r="A210" s="35" t="n">
        <v>208</v>
      </c>
      <c r="B210"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Infliximab มีกลไกการออกฤทธิ์อย่างไร?</t>
        </is>
      </c>
      <c r="C210" s="35" t="n"/>
      <c r="D210" s="35" t="inlineStr">
        <is>
          <t>Chimeric Monoclonal Antibody ต่อยับยั้ง TNF-alpha</t>
        </is>
      </c>
      <c r="E210" s="35" t="inlineStr">
        <is>
          <t>Fully human MAb ต่อ TNF-alpha</t>
        </is>
      </c>
      <c r="F210" s="35" t="inlineStr">
        <is>
          <t>IL-6 inhibitor</t>
        </is>
      </c>
      <c r="G210" s="35" t="inlineStr">
        <is>
          <t>CD20 inhibitor</t>
        </is>
      </c>
      <c r="H210" s="35" t="inlineStr">
        <is>
          <t>JAK inhibitor</t>
        </is>
      </c>
      <c r="I210" s="35" t="n">
        <v>1</v>
      </c>
      <c r="J210" s="35" t="inlineStr">
        <is>
          <t>✅ คำตอบที่ถูกต้อง: ข้อ ก. Chimeric Monoclonal Antibody ต่อยับยั้ง TNF-alpha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Infliximab ลงท้ายด้วยคำว่า '-ximab' หมายถึงเป็น Chimeric Monoclonal Antibody (ประกอบด้วยส่วนที่เป็นโปรตีนของหนู 25% และโปรตีนมนุษย์ 75%) ซึ่งออกฤทธิ์จับและยับยั้ง Tumor Necrosis Factor-alpha (TNF-alpha)
🔍 ข้ออื่นผิดเพราะอะไร:
• ข้อ ข. (Fully human MAb ต่อ TNF-alpha): Fully human MAb ต่อ TNF-alpha: คือลักษณะโครงสร้างของยา Adalimumab หรือ Golimumab ส่วน Infliximab เป็น chimeric (mouse-human) antibody
• ข้อ ค. (IL-6 inhibitor): IL-6 inhibitor: คือยา Tocilizumab ซึ่งออกฤทธิ์จับและยับยั้งตัวรับ Interleukin-6
• ข้อ ง. (CD20 inhibitor): CD20 inhibitor: คือยา Rituximab ซึ่งออกฤทธิ์จับกับโปรตีน CD20 บนผิวของ B-cells
• ข้อ จ. (JAK inhibitor): JAK inhibitor: คือยากลุ่ม Small molecules อย่าง Tofacitinib หรือ Baricitinib ซึ่งออกฤทธิ์ยับยั้งเอนไซม์ภายในเซลล์ ไม่ใช่ Monoclonal antibody
📖 Guideline อ้างอิง:
2021 American College of Rheumatology (ACR) Guideline for the Treatment of Rheumatoid Arthritis &amp; 2020 ACR Guideline for the Management of Reproductive Health in Rheumatic and Musculoskeletal Diseases
📌 จุดจำก่อนสอบ:
• Infliximab Molecular Structure: Infliximab (-ximab) เป็น Chimeric Monoclonal Antibody (25% murine, 75% human) ที่ออกฤทธิ์จับและยับยั้ง soluble และ transmembrane TNF-alpha</t>
        </is>
      </c>
      <c r="K210" s="35" t="n"/>
      <c r="L210" s="35" t="inlineStr">
        <is>
          <t>Rheumatoid Arthritis</t>
        </is>
      </c>
      <c r="M210" s="35" t="inlineStr">
        <is>
          <t>Clinic</t>
        </is>
      </c>
      <c r="N210" s="35" t="inlineStr">
        <is>
          <t>ข้อ 77 Mock Musculo RxCU84</t>
        </is>
      </c>
      <c r="O210" s="35" t="inlineStr">
        <is>
          <t>Mock</t>
        </is>
      </c>
      <c r="P210" s="35" t="inlineStr">
        <is>
          <t>Mock RxCU84</t>
        </is>
      </c>
    </row>
    <row r="211" ht="409.6" customHeight="1" s="37">
      <c r="A211" s="35" t="n">
        <v>209</v>
      </c>
      <c r="B211"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ปฏิกิริยาไม่พึงประสงค์ขณะให้ยา Infliximab ทางหลอดเลือดดำที่ต้องระวังคืออะไร?</t>
        </is>
      </c>
      <c r="C211" s="35" t="n"/>
      <c r="D211" s="35" t="inlineStr">
        <is>
          <t>Hypertension crisis</t>
        </is>
      </c>
      <c r="E211" s="35" t="inlineStr">
        <is>
          <t>Infusion-related reaction (ไข้ หนาวสั่น ความดันตก)</t>
        </is>
      </c>
      <c r="F211" s="35" t="inlineStr">
        <is>
          <t>น้ำท่วมปอด</t>
        </is>
      </c>
      <c r="G211" s="35" t="inlineStr">
        <is>
          <t>ไตวายเฉียบพลัน</t>
        </is>
      </c>
      <c r="H211" s="35" t="inlineStr">
        <is>
          <t>หัวใจเต้นผิดจังหวะ</t>
        </is>
      </c>
      <c r="I211" s="35" t="n">
        <v>2</v>
      </c>
      <c r="J211" s="35" t="inlineStr">
        <is>
          <t>✅ คำตอบที่ถูกต้อง: ข้อ ข. Infusion-related reaction (ไข้ หนาวสั่น ความดันตก)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ปฏิกิริยาไม่พึงประสงค์สำคัญขณะให้ Infliximab ทางหลอดเลือดดำคือ อาการแพ้ขณะหยดยา (Infusion-related reactions) เช่น มีไข้ หนาวสั่น แน่นหน้าอก ความดันโลหิตต่ำ หรือผื่นลมพิษ ซึ่งมักป้องกันได้ด้วยการให้ Premedication (Paracetamol + Antihistamine) ก่อนเริ่มยา
🔍 ข้ออื่นผิดเพราะอะไร:
• ข้อ ก. (Hypertension crisis): Hypertension crisis: ปฏิกิริยาจากการให้ Infliximab ทางหลอดเลือดดำมักทำให้เกิดความดันโลหิตตก (Hypotension) จากการหลั่งฮีสตามีน มากกว่าภาวะความดันโลหิตสูงวิกฤต
• ข้อ ค. (น้ำท่วมปอด): น้ำท่วมปอด: อาการน้ำท่วมปอด (Pulmonary edema) ไม่ใช่ผลข้างเคียงโดยตรงจากการให้ยา Infliximab ซึ่งต่างจากภาวะแพ้ยาหรือการให้สารน้ำเร็วเกินไป
• ข้อ ง. (ไตวายเฉียบพลัน): ไตวายเฉียบพลัน: Infliximab ไม่มีพิษต่อไตโดยตรง (No direct nephrotoxicity) จึงไม่ทำให้เกิดไตวายเฉียบพลันขณะให้ยา
• ข้อ จ. (หัวใจเต้นผิดจังหวะ): หัวใจเต้นผิดจังหวะ: ไม่ใช่ปฏิกิริยาฉับพลันที่พบได้บ่อยจากการให้ยา Infliximab เว้นแต่ผู้ป่วยจะมีภาวะภูมิแพ้รุนแรง (Anaphylaxis) ที่ทำให้เกิดช็อก
📖 Guideline อ้างอิง:
2021 American College of Rheumatology (ACR) Guideline for the Treatment of Rheumatoid Arthritis &amp; 2020 ACR Guideline for the Management of Reproductive Health in Rheumatic and Musculoskeletal Diseases
📌 จุดจำก่อนสอบ:
• Infusion Reactions with Infliximab: การให้ Infliximab ทางหลอดเลือดดำอาจทำให้เกิดปฏิกิริยาแพ้ขณะหยดยา (ไข้ หนาวสั่น แน่นหน้าอก ความดันตก) ควรเตรียมพร้อมและให้ Premedication ในรายที่มีความเสี่ยง</t>
        </is>
      </c>
      <c r="K211" s="35" t="n"/>
      <c r="L211" s="35" t="inlineStr">
        <is>
          <t>Rheumatoid Arthritis</t>
        </is>
      </c>
      <c r="M211" s="35" t="inlineStr">
        <is>
          <t>Clinic</t>
        </is>
      </c>
      <c r="N211" s="35" t="inlineStr">
        <is>
          <t>ข้อ 78 Mock Musculo RxCU84</t>
        </is>
      </c>
      <c r="O211" s="35" t="inlineStr">
        <is>
          <t>Mock</t>
        </is>
      </c>
      <c r="P211" s="35" t="inlineStr">
        <is>
          <t>Mock RxCU84</t>
        </is>
      </c>
    </row>
    <row r="212" ht="409.6" customHeight="1" s="37">
      <c r="A212" s="35" t="n">
        <v>210</v>
      </c>
      <c r="B212"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ผู้ป่วยที่ได้รับยา Biologics มีข้อห้าม (Contraindication) ในการรับวัคซีนประเภทใด?</t>
        </is>
      </c>
      <c r="C212" s="35" t="n"/>
      <c r="D212" s="35" t="inlineStr">
        <is>
          <t>วัคซีนเชื้อตาย (Killed vaccine)</t>
        </is>
      </c>
      <c r="E212" s="35" t="inlineStr">
        <is>
          <t>วัคซีน mRNA</t>
        </is>
      </c>
      <c r="F212" s="35" t="inlineStr">
        <is>
          <t>วัคซีนเชื้อเป็นอ่อนฤทธิ์ (Live-attenuated vaccines เช่น MMR, Varicella)</t>
        </is>
      </c>
      <c r="G212" s="35" t="inlineStr">
        <is>
          <t>วัคซีนไวรัสตับอักเสบบี</t>
        </is>
      </c>
      <c r="H212" s="35" t="inlineStr">
        <is>
          <t>Toxoid</t>
        </is>
      </c>
      <c r="I212" s="35" t="n">
        <v>3</v>
      </c>
      <c r="J212" s="35" t="inlineStr">
        <is>
          <t>✅ คำตอบที่ถูกต้อง: ข้อ ค. วัคซีนเชื้อเป็นอ่อนฤทธิ์ (Live-attenuated vaccines เช่น MMR, Varicella)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ผู้ป่วยที่ได้รับยากลุ่ม Biologics มีข้อห้ามเด็ดขาดในการรับวัคซีนชนิดเชื้อเป็นอ่อนฤทธิ์ (Live-attenuated vaccines เช่น MMR, Varicella, Yellow fever, BCG) เนื่องจากยากดภูมิคุ้มกันอาจทำให้เชื้อไวรัสเพิ่มจำนวนจนเกิดการติดเชื้อรุนแรงถึงแก่ชีวิตได้
🔍 ข้ออื่นผิดเพราะอะไร:
• ข้อ ก. (วัคซีนเชื้อตาย (Killed vaccine)): วัคซีนเชื้อตาย (Killed vaccine): ผู้ป่วยที่ได้รับยากดภูมิคุ้มกันสามารถรับวัคซีนเชื้อตายได้อย่างปลอดภัย เช่น วัคซีนไข้หวัดใหญ่ชนิดฉีด
• ข้อ ข. (วัคซีน mRNA): วัคซีน mRNA: เป็นเทคโนโลยีวัคซีนที่ไม่มีเชื้อก่อโรค สามารถให้ในผู้ป่วยที่ได้รับยา Biologics ได้อย่างปลอดภัยเพื่อป้องกันโรค เช่น COVID-19
• ข้อ ง. (วัคซีนไวรัสตับอักเสบบี): วัคซีนไวรัสตับอักเสบบี: เป็นวัคซีนชนิด recombinant protein ซึ่งถือว่าเทียบเท่าวัคซีนเชื้อตาย ปลอดภัยและแนะนำให้ฉีดในผู้ป่วยยากดภูมิคุ้มกัน
• ข้อ จ. (Toxoid): Toxoid: เช่น วัคซีนบาดทะยัก (Tetanus toxoid) ไม่ก่อให้เกิดการติดเชื้อ สามารถฉีดกระตุ้นในผู้ป่วยที่ใช้ยา Infliximab ได้อย่างปลอดภัย
📖 Guideline อ้างอิง:
2021 American College of Rheumatology (ACR) Guideline for the Treatment of Rheumatoid Arthritis &amp; 2020 ACR Guideline for the Management of Reproductive Health in Rheumatic and Musculoskeletal Diseases
📌 จุดจำก่อนสอบ:
• Biologics &amp; Vaccines Contraindication: ผู้ป่วยที่ได้รับยากลุ่ม Biologics ห้ามฉีดวัคซีนชนิดเชื้อเป็นอ่อนฤทธิ์ (Live-attenuated vaccines เช่น MMR, Varicella, BCG) โดยเด็ดขาดเนื่องจากเสี่ยงต่อการติดเชื้อรุนแรง</t>
        </is>
      </c>
      <c r="K212" s="35" t="n"/>
      <c r="L212" s="35" t="inlineStr">
        <is>
          <t>Rheumatoid Arthritis</t>
        </is>
      </c>
      <c r="M212" s="35" t="inlineStr">
        <is>
          <t>Clinic</t>
        </is>
      </c>
      <c r="N212" s="35" t="inlineStr">
        <is>
          <t>ข้อ 79 Mock Musculo RxCU84</t>
        </is>
      </c>
      <c r="O212" s="35" t="inlineStr">
        <is>
          <t>Mock</t>
        </is>
      </c>
      <c r="P212" s="35" t="inlineStr">
        <is>
          <t>Mock RxCU84</t>
        </is>
      </c>
    </row>
    <row r="213" ht="409.6" customHeight="1" s="37">
      <c r="A213" s="35" t="n">
        <v>211</v>
      </c>
      <c r="B213"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 Prednisolone ในผู้ป่วยรายนี้ หากใช้นานๆ จะเพิ่มความเสี่ยงโรคใดมากที่สุด?</t>
        </is>
      </c>
      <c r="C213" s="35" t="n"/>
      <c r="D213" s="35" t="inlineStr">
        <is>
          <t>Osteoarthritis</t>
        </is>
      </c>
      <c r="E213" s="35" t="inlineStr">
        <is>
          <t>Osteoporosis, Hyperglycemia, และ Cushing's syndrome</t>
        </is>
      </c>
      <c r="F213" s="35" t="inlineStr">
        <is>
          <t>Rheumatoid arthritis รุนแรงขึ้น</t>
        </is>
      </c>
      <c r="G213" s="35" t="inlineStr">
        <is>
          <t>Asthma</t>
        </is>
      </c>
      <c r="H213" s="35" t="n"/>
      <c r="I213" s="35" t="n">
        <v>2</v>
      </c>
      <c r="J213" s="35" t="inlineStr">
        <is>
          <t>✅ คำตอบที่ถูกต้อง: ข้อ ข. Osteoporosis, Hyperglycemia, และ Cushing's syndrome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 Prednisolone ต่อเนื่องในระยะยาว ส่งผลข้างเคียงทางระบบต่อมไร้ท่อและเมแทบอลิซึม ได้แก่ กระดูกพรุน (Glucocorticoid-induced osteoporosis), ระดับน้ำตาลในเลือดสูง (Hyperglycemia / Steroid-induced diabetes) และกลุ่มอาการคุชชิง (Cushing's syndrome)
🔍 ข้ออื่นผิดเพราะอะไร:
• ข้อ ก. (Osteoarthritis): Osteoarthritis: ยาคอร์ติโคสเตียรอยด์ไม่มีผลทำให้เกิดโรคข้อเสื่อม (OA) โดยตรง แต่มีผลรบกวนการสร้างกระดูกใหม่จนทำให้เกิดกระดูกพรุน (Osteoporosis)
• ข้อ ค. (Rheumatoid arthritis รุนแรงขึ้น): Rheumatoid arthritis รุนแรงขึ้น: ยา Prednisolone มีฤทธิ์ต้านการอักเสบและกดภูมิคุ้มกัน จึงช่วยบรรเทาอาการของ RA ให้สงบลง ไม่ได้ทำให้โรคกำเริบ
• ข้อ ง. (Asthma): Asthma: ยา Prednisolone เป็นหนึ่งในยาหลักที่ใช้รักษาอาการหอบหืดกำเริบ (Asthma exacerbation) เพื่อลดการอักเสบของหลอดลม ไม่ได้ทำให้เกิดโรค
• ข้อ จ. (): เป็นตัวเลือกที่ไม่สอดคล้องกับข้อบ่งใช้หรือบริบททางคลินิกของผู้ป่วยรายนี้
📖 Guideline อ้างอิง:
2021 American College of Rheumatology (ACR) Guideline for the Treatment of Rheumatoid Arthritis &amp; 2020 ACR Guideline for the Management of Reproductive Health in Rheumatic and Musculoskeletal Diseases
📌 จุดจำก่อนสอบ:
• Glucocorticoid Adverse Effects: การใช้ Prednisolone ต่อเนื่องระยะยาวเพิ่มความเสี่ยงต่อภาวะกระดูกพรุน (GIOP), น้ำตาลในเลือดสูง (Steroid-induced diabetes) และ Cushing's syndrome</t>
        </is>
      </c>
      <c r="K213" s="35" t="n"/>
      <c r="L213" s="35" t="inlineStr">
        <is>
          <t>Rheumatoid Arthritis</t>
        </is>
      </c>
      <c r="M213" s="35" t="inlineStr">
        <is>
          <t>Clinic</t>
        </is>
      </c>
      <c r="N213" s="35" t="inlineStr">
        <is>
          <t>ข้อ 80 Mock Musculo RxCU84</t>
        </is>
      </c>
      <c r="O213" s="35" t="inlineStr">
        <is>
          <t>Mock</t>
        </is>
      </c>
      <c r="P213" s="35" t="inlineStr">
        <is>
          <t>Mock RxCU84</t>
        </is>
      </c>
    </row>
    <row r="214" ht="409.6" customHeight="1" s="37">
      <c r="A214" s="35" t="n">
        <v>212</v>
      </c>
      <c r="B214"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จากใบสั่งยาและข้อมูลทางคลินิกข้างต้น เหตุใดแพทย์จึงสามารถสั่งจ่ายยา Prednisolone 5 mg ในจำนวนที่ไม่ครบตามวันนัดได้ (จ่ายเพียง 7 เม็ด ในขณะที่วันนัดติดตามอาการคือ 2 สัปดาห์)</t>
        </is>
      </c>
      <c r="C214" s="35" t="n"/>
      <c r="D214" s="35" t="inlineStr">
        <is>
          <t>Prednisolone ไปเกิดอัตรกิริยากับ Inflixumab ทำให้ยา Inflixumab ออกฤทธิ์ได้ไม่เต็มที่</t>
        </is>
      </c>
      <c r="E214" s="35" t="inlineStr">
        <is>
          <t>Prednisolone เป็นยาลดอักเสบซึ่งออกฤทธิ์เร็ว เพื่อบรรเทาอาการปวดระหว่างรอ MTX ออกฤทธิ์</t>
        </is>
      </c>
      <c r="F214" s="35" t="inlineStr">
        <is>
          <t>Prednisolone มีผลข้างเคียงทำให้น้ำตาลในเลือดตกได้เนื่องจากมีผลข้างเคียงต่อระบบเผาผลาญ (Metabolic Disorder) จึงต้องให้ในระยะสั้น</t>
        </is>
      </c>
      <c r="G214" s="35" t="inlineStr">
        <is>
          <t>Prednisolone อาจทำให้ผู้ป่วยมีอาการ Orthostatic hypotension</t>
        </is>
      </c>
      <c r="H214" s="35" t="inlineStr">
        <is>
          <t>ไม่มีข้อใดถูกต้อง</t>
        </is>
      </c>
      <c r="I214" s="35" t="n">
        <v>2</v>
      </c>
      <c r="J214" s="35" t="inlineStr">
        <is>
          <t>✅ คำตอบที่ถูกต้อง: ข้อ ข. Prednisolone เป็นยาลดอักเสบซึ่งออกฤทธิ์เร็ว เพื่อบรรเทาอาการปวดระหว่างรอ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การสั่ง Prednisolone 5 mg ขนาดต่ำเพียง 7 วันในขณะที่วันนัดติดตามอาการคือ 2 สัปดาห์ มีวัตถุประสงค์เพื่อเป็น Bridging therapy ต้านการอักเสบและบรรเทาอาการปวดข้ออย่างรวดเร็วในระยะแรก และรีบหยุดยาเพื่อป้องกันผลข้างเคียงระยะยาวของสเตียรอยด์ระหว่างรอให้ DMARDs ออกฤทธิ์เต็มที่
🔍 ข้ออื่นผิดเพราะอะไร:
• ข้อ ก. (Prednisolone ไปเกิดอัตรกิริยากับ Inflixumab ทำให้ยา Inflixumab ออกฤทธิ์ได้ไม่เต็มที่): Prednisolone ไปเกิดอัตรกิริยากับ Inflixumab ทำให้ยา Inflixumab ออกฤทธิ์ได้ไม่เต็มที่: ยาทั้งสองไม่มีปฏิกิริยาระหว่างกันในเชิงที่ทำให้ประสิทธิภาพลดลง มักใช้ร่วมกันอย่างปลอดภัยเพื่อคุมการอักเสบ
• ข้อ ค. (Prednisolone มีผลข้างเคียงทำให้น้ำตาลในเลือดตกได้เนื่องจากมีผลข้างเคียงต่อระบบเผาผลาญ (Metabolic Disorder) จึงต้องให้ในระยะสั้น): Prednisolone มีผลข้างเคียงทำให้น้ำตาลในเลือดตกได้เนื่องจากมีผลข้างเคียงต่อระบบเผาผลาญ (Metabolic Disorder) จึงต้องให้ในระยะสั้น: ผลข้างเคียงทางเมแทบอลิซึมของคอร์ติโคสเตียรอยด์คือทำให้ดื้ออินซูลินและระดับน้ำตาลในเลือดสูงขึ้น (Hyperglycemia) ไม่ใช่น้ำตาลตก
• ข้อ ง. (Prednisolone อาจทำให้ผู้ป่วยมีอาการ Orthostatic hypotension): Prednisolone อาจทำให้ผู้ป่วยมีอาการ Orthostatic hypotension: ผลข้างเคียงของสเตียรอยด์มักทำให้เกิดการคั่งของโซเดียมและน้ำ ซึ่งส่งผลให้ความดันโลหิตสูงขึ้น ไม่ใช่ความดันต่ำขณะเปลี่ยนอิริยาบถ
• ข้อ จ. (ไม่มีข้อใดถูกต้อง): ไม่มีข้อใดถูกต้อง: หลักการให้ Bridging therapy ด้วย Corticosteroids เป็นมาตรฐานการรักษาที่ถูกต้องในระยะแรกเพื่อคุมอาการระหว่างรอ DMARDs ออกฤทธิ์
📖 Guideline อ้างอิง:
2021 American College of Rheumatology (ACR) Guideline for the Treatment of Rheumatoid Arthritis &amp; 2020 ACR Guideline for the Management of Reproductive Health in Rheumatic and Musculoskeletal Diseases
📌 จุดจำก่อนสอบ:
• Bridging Therapy Concept: การสั่ง Prednisolone ระยะสั้น (เช่น 5 mg OD 7 วัน) มีวัตถุประสงค์เพื่อบรรเทาอาการอักเสบและปวดข้ออย่างรวดเร็วในระยะเริ่มต้น ระหว่างรอให้ยาหลัก Methotrexate ออกฤทธิ์เต็มที่</t>
        </is>
      </c>
      <c r="K214" s="35" t="n"/>
      <c r="L214" s="35" t="inlineStr">
        <is>
          <t>Rheumatoid Arthritis</t>
        </is>
      </c>
      <c r="M214" s="35" t="inlineStr">
        <is>
          <t>Clinic</t>
        </is>
      </c>
      <c r="N214" s="35" t="inlineStr">
        <is>
          <t>ข้อ 81 Mock Musculo RxCU84</t>
        </is>
      </c>
      <c r="O214" s="35" t="inlineStr">
        <is>
          <t>Mock</t>
        </is>
      </c>
      <c r="P214" s="35" t="inlineStr">
        <is>
          <t>Mock RxCU84</t>
        </is>
      </c>
    </row>
    <row r="215" ht="409.6" customHeight="1" s="37">
      <c r="A215" s="35" t="n">
        <v>213</v>
      </c>
      <c r="B215"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ความคลาดเคลื่อนทางยา (medication error) ที่ร้ายแรงที่สุดในใบสั่งยานี้คือข้อใด</t>
        </is>
      </c>
      <c r="C215" s="35" t="n"/>
      <c r="D215" s="35" t="inlineStr">
        <is>
          <t>สั่ง methotrexate ให้กินทุกวันแทนสัปดาห์ละครั้ง</t>
        </is>
      </c>
      <c r="E215" s="35" t="inlineStr">
        <is>
          <t>Folic acid ขนาดสูงเกินไป</t>
        </is>
      </c>
      <c r="F215" s="35" t="inlineStr">
        <is>
          <t>Rosuvastatin ไม่จำเป็น</t>
        </is>
      </c>
      <c r="G215" s="35" t="inlineStr">
        <is>
          <t>Candesartan ซ้ำซ้อน</t>
        </is>
      </c>
      <c r="H215" s="35" t="inlineStr">
        <is>
          <t>คำนวณขนาด infliximab ผิด</t>
        </is>
      </c>
      <c r="I215" s="35" t="n">
        <v>1</v>
      </c>
      <c r="J215" s="35" t="inlineStr">
        <is>
          <t>✅ คำตอบที่ถูกต้อง: ข้อ ก. สั่ง methotrexate ให้กินทุกวันแทนสัปดาห์ละครั้ง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Medication Error ที่อันตรายถึงชีวิตที่สุดคือการสั่ง Methotrexate รับประทานแบบทุกวัน (Daily) แทนที่จะเป็นสัปดาห์ละครั้ง (Weekly)
🔍 ข้ออื่นผิดเพราะอะไร:
• ข้อ ข. (Folic acid ขนาดสูงเกินไป): Folic acid ขนาดสูงเกินไป: ขนาด Folic acid 5 mg สัปดาห์ละ 1 ครั้ง เป็นขนาดมาตรฐานที่แนะนำเพื่อลดผลข้างเคียงของ MTX ไม่ถือเป็นขนาดยาที่สูงเกินไป
• ข้อ ค. (Rosuvastatin ไม่จำเป็น): Rosuvastatin ไม่จำเป็น: ผู้ป่วยมีโรคประจำตัวเป็นภาวะไขมันในเลือดสูง (DLP) การได้รับยาลดไขมันกลุ่ม Statin จึงมีความเหมาะสมเพื่อควบคุมระดับไขมัน
• ข้อ ง. (Candesartan ซ้ำซ้อน): Candesartan ซ้ำซ้อน: ผู้ป่วยมีโรคความดันโลหิตสูง (HTN) การได้รับ Candesartan ซึ่งเป็นยา ARB จึงเป็นข้อบ่งชี้ที่ถูกต้องและไม่ได้ซ้ำซ้อนกับยาใดในใบสั่งนี้
• ข้อ จ. (คำนวณขนาด infliximab ผิด): คำนวณขนาด infliximab ผิด: ขนาดยา Infliximab ที่แนะนำคือ 3 mg/kg ในผู้ป่วยหนัก 60 กก. คำนวณได้ 180 mg ซึ่งเป็นการคำนวณที่ถูกต้องตามมาตรฐาน
📖 Guideline อ้างอิง:
2021 American College of Rheumatology (ACR) Guideline for the Treatment of Rheumatoid Arthritis &amp; 2020 ACR Guideline for the Management of Reproductive Health in Rheumatic and Musculoskeletal Diseases
📌 จุดจำก่อนสอบ:
• Look-alike / Sound-alike &amp; Dosing Frequency: Methotrexate ในข้ออักเสบรูมาตอยด์ห้ามรับประทานทุกวันโดยเด็ดขาด ความถี่ที่ถูกต้องคือ สัปดาห์ละ 1 ครั้ง เท่านั้น</t>
        </is>
      </c>
      <c r="K215" s="35" t="n"/>
      <c r="L215" s="35" t="inlineStr">
        <is>
          <t>Rheumatoid Arthritis</t>
        </is>
      </c>
      <c r="M215" s="35" t="inlineStr">
        <is>
          <t>Clinic</t>
        </is>
      </c>
      <c r="N215" s="35" t="inlineStr">
        <is>
          <t>ข้อ 82 Mock Musculo RxCU84</t>
        </is>
      </c>
      <c r="O215" s="35" t="inlineStr">
        <is>
          <t>Mock</t>
        </is>
      </c>
      <c r="P215" s="35" t="inlineStr">
        <is>
          <t>Mock RxCU84</t>
        </is>
      </c>
    </row>
    <row r="216" ht="409.6" customHeight="1" s="37">
      <c r="A216" s="35" t="n">
        <v>214</v>
      </c>
      <c r="B216"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หากได้รับ MTX ทุกวันตามที่สั่งผิด อาการพิษเฉียบพลันและการตรวจติดตามที่สำคัญที่สุดคือข้อใด</t>
        </is>
      </c>
      <c r="C216" s="35" t="n"/>
      <c r="D216" s="35" t="inlineStr">
        <is>
          <t>จอประสาทตาเสื่อม — ตรวจตา</t>
        </is>
      </c>
      <c r="E216" s="35" t="inlineStr">
        <is>
          <t>กดไขกระดูกและเยื่อบุอักเสบ — ติดตาม CBC และ LFT</t>
        </is>
      </c>
      <c r="F216" s="35" t="inlineStr">
        <is>
          <t>QT prolongation — ตรวจ ECG</t>
        </is>
      </c>
      <c r="G216" s="35" t="inlineStr">
        <is>
          <t>นิ่วในไต — ตรวจปัสสาวะ</t>
        </is>
      </c>
      <c r="H216" s="35" t="inlineStr">
        <is>
          <t>ต่อมไทรอยด์เป็นพิษ — ตรวจ TSH</t>
        </is>
      </c>
      <c r="I216" s="35" t="n">
        <v>2</v>
      </c>
      <c r="J216" s="35" t="inlineStr">
        <is>
          <t>✅ คำตอบที่ถูกต้อง: ข้อ ข. กดไขกระดูกและเยื่อบุอักเสบ — ติดตาม CBC และ LFT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หากได้รับ MTX ทุกวัน พิษเฉียบพลันที่ต้องเฝ้าระวังและตรวจติดตามอย่างเร่งด่วนที่สุดคือ การกดไขกระดูก (Bone marrow suppression) ทำให้เกิดเม็ดเลือดขาวต่ำ ซีด และเกล็ดเลือดต่ำ รวมถึงการอักเสบของเยื่อบุทางเดินอาหาร จึงต้องติดตาม CBC และค่าการทำงานของตับ (LFT)
🔍 ข้ออื่นผิดเพราะอะไร:
• ข้อ ก. (จอประสาทตาเสื่อม — ตรวจตา): จอประสาทตาเสื่อม — ตรวจตา: ภาวะจอประสาทตาเสื่อม (Maculopathy) เป็นผลข้างเคียงจากการใช้ Hydroxychloroquine ในระยะยาว ไม่ใช่พิษเฉียบพลันจาก MTX
• ข้อ ค. (QT prolongation — ตรวจ ECG): QT prolongation — ตรวจ ECG: Methotrexate ไม่มีผลต่อการนำไฟฟ้าของหัวใจหรือทำให้ระยะเวลา QT ยาวขึ้น
• ข้อ ง. (นิ่วในไต — ตรวจปัสสาวะ): นิ่วในไต — ตรวจปัสสาวะ: การเกิดนิ่วในไตไม่ใช่ผลข้างเคียงหลักของ MTX มักพบได้บ่อยในกลุ่มยาลดกรดยูริกกลุ่ม Uricosuric
• ข้อ จ. (ต่อมไทรอยด์เป็นพิษ — ตรวจ TSH): ต่อมไทรอยด์เป็นพิษ — ตรวจ TSH: ยา MTX ไม่มีกลไกผลกระทบต่อการทำงานของต่อมไทรอยด์โดยตรง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Monitoring in Daily MTX Ingestion: หากสงสัยว่าผู้ป่วยรับประทาน MTX ทุกวัน ต้องรีบเจาะตรวจ CBC เพื่อดูภาวะเม็ดเลือดต่ำ และ LFT เพื่อดูความเป็นพิษต่อตับทันที</t>
        </is>
      </c>
      <c r="K216" s="35" t="n"/>
      <c r="L216" s="35" t="inlineStr">
        <is>
          <t>Rheumatoid Arthritis</t>
        </is>
      </c>
      <c r="M216" s="35" t="inlineStr">
        <is>
          <t>Clinic</t>
        </is>
      </c>
      <c r="N216" s="35" t="inlineStr">
        <is>
          <t>ข้อ 83 Mock Musculo RxCU84</t>
        </is>
      </c>
      <c r="O216" s="35" t="inlineStr">
        <is>
          <t>Mock</t>
        </is>
      </c>
      <c r="P216" s="35" t="inlineStr">
        <is>
          <t>Mock RxCU84</t>
        </is>
      </c>
    </row>
    <row r="217" ht="409.6" customHeight="1" s="37">
      <c r="A217" s="35" t="n">
        <v>215</v>
      </c>
      <c r="B217"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ยาต้านพิษ (rescue) เมื่อเกิดภาวะเป็นพิษจาก methotrexate คือข้อใด</t>
        </is>
      </c>
      <c r="C217" s="35" t="n"/>
      <c r="D217" s="35" t="inlineStr">
        <is>
          <t>Naloxone</t>
        </is>
      </c>
      <c r="E217" s="35" t="inlineStr">
        <is>
          <t>Flumazenil</t>
        </is>
      </c>
      <c r="F217" s="35" t="inlineStr">
        <is>
          <t>Leucovorin (folinic acid)</t>
        </is>
      </c>
      <c r="G217" s="35" t="inlineStr">
        <is>
          <t>Vitamin K</t>
        </is>
      </c>
      <c r="H217" s="35" t="inlineStr">
        <is>
          <t>Folic acid ขนาดสูง</t>
        </is>
      </c>
      <c r="I217" s="35" t="n">
        <v>3</v>
      </c>
      <c r="J217" s="35"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 (Rescue) ที่ใช้ในการรักษาภาวะ Methotrexate Toxicity
🔍 ข้ออื่นผิดเพราะอะไร:
• ข้อ ก. (Naloxone): Naloxone: เป็นยาแก้พิษ (antidote) สำหรับย้อนกลับฤทธิ์กดการหายใจในผู้ที่ได้รับยากลุ่ม Opioids เกินขนาด
• ข้อ ข. (Flumazenil): Flumazenil: เป็นยาแก้พิษแบบจำเพาะสำหรับย้อนกลับฤทธิ์กดประสาทส่วนกลางจากการได้รับยากลุ่ม Benzodiazepines เกินขนาด
• ข้อ ง. (Vitamin K): Vitamin K: ใช้สำหรับต้านฤทธิ์ของยาต้านการแข็งตัวของเลือด Warfarin เพื่อกระตุ้นการสร้างปัจจัยการแข็งตัวของเลือด ไม่เกี่ยวข้องกับ MTX
• ข้อ จ. (Folic acid ขนาดสูง): Folic acid ขนาดสูง: Folic acid ทั่วไปต้องอาศัยเอนไซม์ DHFR ในการเปลี่ยนเป็นรูปที่ออกฤทธิ์ แต่ MTX ยับยั้งเอนไซม์นี้โดยตรง จึงไม่สามารถแก้พิษได้ ต้องใช้ Leucovorin (active form) แทน
📖 Guideline อ้างอิง:
2021 American College of Rheumatology (ACR) Guideline for the Treatment of Rheumatoid Arthritis &amp; 2020 ACR Guideline for the Management of Reproductive Health in Rheumatic and Musculoskeletal Diseases
📌 จุดจำก่อนสอบ:
• Rescue Protocol: Leucovorin (Folinic acid) คือสารต้านพิษมาตรฐานที่ต้องรีบให้ในภาวะ Methotrexate toxicity เพื่อลดอันตรายจากการกดไขกระดูก</t>
        </is>
      </c>
      <c r="K217" s="35" t="n"/>
      <c r="L217" s="35" t="inlineStr">
        <is>
          <t>Rheumatoid Arthritis</t>
        </is>
      </c>
      <c r="M217" s="35" t="inlineStr">
        <is>
          <t>Clinic</t>
        </is>
      </c>
      <c r="N217" s="35" t="inlineStr">
        <is>
          <t>ข้อ 84 Mock Musculo RxCU84</t>
        </is>
      </c>
      <c r="O217" s="35" t="inlineStr">
        <is>
          <t>Mock</t>
        </is>
      </c>
      <c r="P217" s="35" t="inlineStr">
        <is>
          <t>Mock RxCU84</t>
        </is>
      </c>
    </row>
    <row r="218" ht="409.6" customHeight="1" s="37">
      <c r="A218" s="35" t="n">
        <v>216</v>
      </c>
      <c r="B218"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เหตุผลที่เหมาะสมที่สุดของการสั่ง prednisolone ระยะสั้นในผู้ป่วยรายนี้คือข้อใด</t>
        </is>
      </c>
      <c r="C218" s="35" t="n"/>
      <c r="D218" s="35" t="inlineStr">
        <is>
          <t>เพื่อลดไขมันในเลือด</t>
        </is>
      </c>
      <c r="E218" s="35" t="inlineStr">
        <is>
          <t>เพื่อรักษาความดันโลหิต</t>
        </is>
      </c>
      <c r="F218" s="35" t="inlineStr">
        <is>
          <t>เพื่อป้องกันข้ออักเสบเกาต์</t>
        </is>
      </c>
      <c r="G218" s="35" t="inlineStr">
        <is>
          <t>bridging ต้านการอักเสบระหว่างรอ MTX ออกฤทธิ์</t>
        </is>
      </c>
      <c r="H218" s="35" t="inlineStr">
        <is>
          <t>เสริมฤทธิ์ infliximab โดยตรง</t>
        </is>
      </c>
      <c r="I218" s="35" t="n">
        <v>4</v>
      </c>
      <c r="J218" s="35" t="inlineStr">
        <is>
          <t>✅ คำตอบที่ถูกต้อง: ข้อ ง. bridging ต้านการอักเสบระหว่างรอ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เหตุผลของการสั่งจ่าย Prednisolone ระยะสั้นในผู้ป่วยรายนี้คือ เพื่อเป็น 'Bridging therapy' ในการต้านการอักเสบและระงับอาการปวดข้อระหว่างรอให้ Methotrexate ออกฤทธิ์ (ซึ่งมักใช้เวลา 4-12 สัปดาห์)
🔍 ข้ออื่นผิดเพราะอะไร:
• ข้อ ก. (เพื่อลดไขมันในเลือด): เพื่อลดไขมันในเลือด: Prednisolone เป็นสเตียรอยด์ที่อาจรบกวนเมแทบอลิซึมไขมันจนทำให้เกิดภาวะไขมันในเลือดสูงขึ้น (Dyslipidemia) ยาตัวนี้ไม่มีฤทธิ์ลดไขมัน
• ข้อ ข. (เพื่อรักษาความดันโลหิต): เพื่อรักษาความดันโลหิต: ผลข้างเคียงของ Prednisolone คือการคั่งของน้ำและโซเดียม (Mineralocorticoid effect) ซึ่งส่งผลให้ความดันโลหิตสูงขึ้น ไม่สามารถใช้ลดยาความดันได้
• ข้อ ค. (เพื่อป้องกันข้ออักเสบเกาต์): เพื่อป้องกันข้ออักเสบเกาต์: การใช้ Prednisolone เพื่อป้องกันเกาต์กำเริบไม่ใช่ข้อบ่งชี้หลัก โดยเฉพาะเมื่อผู้ป่วยรายนี้ถูกวินิจฉัยว่าเป็น RA ไม่ใช่โรคเกาต์
• ข้อ จ. (เสริมฤทธิ์ infliximab โดยตรง): เสริมฤทธิ์ infliximab โดยตรง: Prednisolone ใช้เพื่อลดการอักเสบอย่างรวดเร็วด้วยกลไกของตัวเอง (anti-inflammatory) ไม่ได้ไปเปลี่ยนแปลงเภสัชจลนศาสตร์หรือเสริมฤทธิ์ของยา Infliximab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Rationale of Short-course Steroids: การใช้ Low-dose Corticosteroids เป็นเพียง 'สะพานเชื่อม' (Bridging therapy) เพื่อควบคุมอาการในระยะสั้น และต้องรีบลดขนาดยาจนหยุดยาเมื่อ DMARDs เริ่มออกฤทธิ์</t>
        </is>
      </c>
      <c r="K218" s="35" t="n"/>
      <c r="L218" s="35" t="inlineStr">
        <is>
          <t>Rheumatoid Arthritis</t>
        </is>
      </c>
      <c r="M218" s="35" t="inlineStr">
        <is>
          <t>Clinic</t>
        </is>
      </c>
      <c r="N218" s="35" t="inlineStr">
        <is>
          <t>ข้อ 85 Mock Musculo RxCU84</t>
        </is>
      </c>
      <c r="O218" s="35" t="inlineStr">
        <is>
          <t>Mock</t>
        </is>
      </c>
      <c r="P218" s="35" t="inlineStr">
        <is>
          <t>Mock RxCU84</t>
        </is>
      </c>
    </row>
    <row r="219" ht="409.6" customHeight="1" s="37">
      <c r="A219" s="35" t="n">
        <v>217</v>
      </c>
      <c r="B219" s="35"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หากต้องเลือกยาแก้ปวดเสริมให้ผู้ป่วยที่ใช้ MTX ข้อใดเหมาะสมที่สุด</t>
        </is>
      </c>
      <c r="C219" s="35" t="n"/>
      <c r="D219" s="35" t="inlineStr">
        <is>
          <t>Ibuprofen ขนาดสูง</t>
        </is>
      </c>
      <c r="E219" s="35" t="inlineStr">
        <is>
          <t>Aspirin ขนาดสูง</t>
        </is>
      </c>
      <c r="F219" s="35" t="inlineStr">
        <is>
          <t>Naproxen ขนาดสูงต่อเนื่อง</t>
        </is>
      </c>
      <c r="G219" s="35" t="inlineStr">
        <is>
          <t>Indomethacin ขนาดสูง</t>
        </is>
      </c>
      <c r="H219" s="35" t="inlineStr">
        <is>
          <t>Paracetamol</t>
        </is>
      </c>
      <c r="I219" s="35" t="n">
        <v>5</v>
      </c>
      <c r="J219" s="35" t="inlineStr">
        <is>
          <t>✅ คำตอบที่ถูกต้อง: ข้อ จ. Paracetamol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การใช้ยากลุ่ม NSAIDs (เช่น Ibuprofen, Naproxen, Aspirin) ขนาดสูงร่วมกับ Methotrexate จะแย่งการขับออกของ MTX ที่ท่อไต ทำให้ระดับ MTX ในเลือดสูงขึ้นและเกิดพิษได้ ดังนั้นหากต้องการยาแก้ปวดเสริม Paracetamol จึงเป็นทางเลือกที่ปลอดภัยที่สุด
🔍 ข้ออื่นผิดเพราะอะไร:
• ข้อ ก. (Ibuprofen ขนาดสูง): Ibuprofen ขนาดสูง: ผู้ป่วยรายนี้ใช้ยา MTX การใช้ NSAIDs อย่าง Ibuprofen ในขนาดสูงอาจลดการขับถ่าย MTX ทางไต ทำให้เพิ่มความเสี่ยงต่อภาวะเป็นพิษ
• ข้อ ข. (Aspirin ขนาดสูง): Aspirin ขนาดสูง: Aspirin ขนาดสูงมีผลรบกวนการขับยา MTX ออกทางไต และเพิ่มความเสี่ยงเกิดแผลและเลือดออกในกระเพาะอาหารอย่างรุนแรงเมื่อใช้ร่วมกับยา Prednisolone
• ข้อ ค. (Naproxen ขนาดสูงต่อเนื่อง): Naproxen ขนาดสูงต่อเนื่อง: เช่นเดียวกับ NSAIDs อื่น ๆ การใช้ Naproxen ขนาดสูงร่วมกับ MTX จะเพิ่มความเสี่ยงต่อความเป็นพิษของ MTX จากการลดอัตราการกรองของไต
• ข้อ ง. (Indomethacin ขนาดสูง): Indomethacin ขนาดสูง: เป็น NSAIDs ที่มีฤทธิ์ระคายเคืองกระเพาะอาหารสูงมาก และจะไปรบกวนการขับ MTX ทำให้ระดับยาในเลือดสูงจนเกิดอันตรายรุนแรง
📖 Guideline อ้างอิง:
2021 American College of Rheumatology (ACR) Guideline for the Treatment of Rheumatoid Arthritis &amp; 2020 ACR Guideline for the Management of Reproductive Health in Rheumatic and Musculoskeletal Diseases
📌 จุดจำก่อนสอบ:
• NSAID-MTX Interaction &amp; Safe Analgesic: ยากลุ่ม NSAIDs แย่งการขับออกของ MTX ทางท่อไต ทำให้ระดับ MTX ในเลือดสูงขึ้นและเกิดพิษได้ หากผู้ป่วยต้องการยาแก้ปวดเสริม Paracetamol จึงเป็นทางเลือกที่ปลอดภัยที่สุด</t>
        </is>
      </c>
      <c r="K219" s="35" t="n"/>
      <c r="L219" s="35" t="inlineStr">
        <is>
          <t>Rheumatoid Arthritis</t>
        </is>
      </c>
      <c r="M219" s="35" t="inlineStr">
        <is>
          <t>Clinic</t>
        </is>
      </c>
      <c r="N219" s="35" t="inlineStr">
        <is>
          <t>ข้อ 86 Mock Musculo RxCU84</t>
        </is>
      </c>
      <c r="O219" s="35" t="inlineStr">
        <is>
          <t>Mock</t>
        </is>
      </c>
      <c r="P219" s="35" t="inlineStr">
        <is>
          <t>Mock RxCU84</t>
        </is>
      </c>
    </row>
  </sheetData>
  <pageMargins left="0.75" right="0.75" top="1" bottom="1" header="0.5" footer="0.5"/>
  <pageSetup orientation="portrait" paperSize="9"/>
</worksheet>
</file>

<file path=xl/worksheets/sheet5.xml><?xml version="1.0" encoding="utf-8"?>
<worksheet xmlns="http://schemas.openxmlformats.org/spreadsheetml/2006/main">
  <sheetPr>
    <outlinePr summaryBelow="0" summaryRight="0"/>
    <pageSetUpPr/>
  </sheetPr>
  <dimension ref="A1:Q999"/>
  <sheetViews>
    <sheetView workbookViewId="0">
      <pane ySplit="2" topLeftCell="A3" activePane="bottomLeft" state="frozen"/>
      <selection pane="bottomLeft" activeCell="B4" sqref="B4"/>
    </sheetView>
  </sheetViews>
  <sheetFormatPr baseColWidth="8" defaultColWidth="12.6640625" defaultRowHeight="15.75" customHeight="1"/>
  <cols>
    <col width="32" customWidth="1" style="37" min="2" max="2"/>
    <col width="12.6640625" customWidth="1" style="37" min="6" max="6"/>
    <col width="10.33203125" customWidth="1" style="37" min="9" max="9"/>
    <col width="30.6640625" customWidth="1" style="37" min="10" max="10"/>
  </cols>
  <sheetData>
    <row r="1" ht="35" customHeight="1" s="37">
      <c r="A1" s="43">
        <f>HYPERLINK("#gid=0", "🏠 กลับสู่หน้าแรก (Go to Home Page)")</f>
        <v/>
      </c>
      <c r="G1" s="10" t="n"/>
      <c r="H1" s="10" t="n"/>
      <c r="I1" s="10" t="n"/>
      <c r="J1" s="10" t="n"/>
      <c r="K1" s="10" t="n"/>
      <c r="L1" s="10" t="n"/>
      <c r="M1" s="10" t="n"/>
      <c r="N1" s="10" t="n"/>
      <c r="O1" s="10" t="n"/>
      <c r="P1" s="10" t="n"/>
    </row>
    <row r="2" ht="64.8" customHeight="1" s="37">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row>
    <row r="3" ht="409.6" customHeight="1" s="37">
      <c r="A3" s="44" t="n">
        <v>1</v>
      </c>
      <c r="B3"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ตาม JNC VII ผู้ป่วยรายนี้มีความดันอยู่ใน stage ใด</t>
        </is>
      </c>
      <c r="C3" s="46" t="n"/>
      <c r="D3" s="45" t="inlineStr">
        <is>
          <t>Prehypertension</t>
        </is>
      </c>
      <c r="E3" s="45" t="inlineStr">
        <is>
          <t>Stage I</t>
        </is>
      </c>
      <c r="F3" s="45" t="inlineStr">
        <is>
          <t>Stage II</t>
        </is>
      </c>
      <c r="G3" s="45" t="inlineStr">
        <is>
          <t>Stage III</t>
        </is>
      </c>
      <c r="H3" s="45" t="inlineStr">
        <is>
          <t>Normal</t>
        </is>
      </c>
      <c r="I3" s="46" t="n">
        <v>3</v>
      </c>
      <c r="J3" s="45" t="inlineStr">
        <is>
          <t>✅ คำตอบที่ถูกต้อง: ข้อ ค. Stage II
💡 Background:
การจัดระดับความรุนแรงของโรคความดันโลหิตสูงตาม JNC 7 และแนวทางเวชปฏิบัติของสมาคมความดันโลหิตสูงแห่งประเทศไทย แบ่งระดับความดันโลหิตในผู้ใหญ่ออกเป็น Normal, Prehypertension, Stage 1 HTN และ Stage 2 HTN โดยยึดเกณฑ์ค่าที่สูงกว่าระหว่าง SBP และ DBP
🎯 ทำไมข้อนี้ถึงถูก:
ผู้ป่วยมีความดันโลหิต 155/105 mmHg โดย SBP อยู่ในช่วง 140-159 mmHg (Stage 1) แต่ค่า DBP เท่ากับ 105 mmHg ซึ่ง ≥ 100 mmHg จัดเข้าเกณฑ์ Stage 2 Hypertension ตาม JNC 7 ทันที (หาก SBP และ DBP อยู่คนละระดับ ให้จัดอยู่ในระดับที่รุนแรงกว่าเสมอ)
🔍 ข้ออื่นผิดเพราะอะไร:
• ข้อ ก. (Prehypertension): ตาม JNC 7 กำหนด SBP 120-139 หรือ DBP 80-89 mmHg ผู้ป่วยรายนี้มีค่าความดันสูงกว่าเกณฑ์นี้มาก
• ข้อ ข. (Stage I): กำหนด SBP 140-159 หรือ DBP 90-99 mmHg แม้ SBP ของผู้ป่วยจะอยู่ในช่วงนี้ แต่ DBP สูงถึง 105 mmHg จึงต้องปัดขึ้นเป็น Stage 2
• ข้อ ง. (Stage III): JNC 7 ได้ยุบรวม Stage 3 เข้ากับ Stage 2 ตั้งแต่การประกาศเกณฑ์ (Stage 2 คือ ≥ 160/100 mmHg) ไม่มี Stage 3 ใน JNC 7
• ข้อ จ. (Normal): กำหนด SBP &lt; 120 และ DBP &lt; 80 mmHg ซึ่งไม่ถูกต้อง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The Seventh Report of the Joint National Committee on Prevention, Detection, Evaluation, and Treatment of High Blood Pressure (JNC 7)
📌 จุดจำก่อนสอบ:
• HTN Staging Principle: หาก SBP และ DBP ตกอยู่คนละ Stage ให้ยึดค่าที่แย่กว่า (higher stage) เสมอ
• Classification JNC 7: Normal (&lt;120/80), Prehypertension (120-139/80-89), Stage 1 (140-159/90-99), Stage 2 (≥160 หรือ ≥100 mmHg)</t>
        </is>
      </c>
      <c r="K3" s="46" t="n"/>
      <c r="L3" s="45" t="inlineStr">
        <is>
          <t>Hypertension</t>
        </is>
      </c>
      <c r="M3" s="46" t="inlineStr">
        <is>
          <t>Clinic</t>
        </is>
      </c>
      <c r="N3" s="45" t="inlineStr">
        <is>
          <t>ข้อ 1 Pharma Plus เล่มม่วง (เฉลยข้อ ค)</t>
        </is>
      </c>
      <c r="O3" s="46" t="inlineStr">
        <is>
          <t>Mock</t>
        </is>
      </c>
      <c r="P3" s="46" t="inlineStr">
        <is>
          <t>Pharma Plus เล่มม่วง</t>
        </is>
      </c>
    </row>
    <row r="4" ht="409.6" customHeight="1" s="37">
      <c r="A4" s="44" t="n">
        <v>2</v>
      </c>
      <c r="B4"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อาหารที่ไม่ควรรับประทานในผู้ป่วยความดันสูงคือ</t>
        </is>
      </c>
      <c r="C4" s="46" t="n"/>
      <c r="D4" s="45" t="inlineStr">
        <is>
          <t>ให้กินอาหารที่มีโซเดียมสูง</t>
        </is>
      </c>
      <c r="E4" s="45" t="inlineStr">
        <is>
          <t>กินอาหารที่มีรสเผ็ดจัด</t>
        </is>
      </c>
      <c r="F4" s="45" t="inlineStr">
        <is>
          <t>กินอาหารจำพวกปลา</t>
        </is>
      </c>
      <c r="G4" s="45" t="inlineStr">
        <is>
          <t>กินอาหารจำพวกผักและผลไม้</t>
        </is>
      </c>
      <c r="H4" s="45" t="inlineStr">
        <is>
          <t>ถูกทุกข้อ</t>
        </is>
      </c>
      <c r="I4" s="46" t="n">
        <v>1</v>
      </c>
      <c r="J4" s="45" t="inlineStr">
        <is>
          <t>✅ คำตอบที่ถูกต้อง: ข้อ ก. ให้กินอาหารที่มีโซเดียมสูง
💡 Background:
การปรับเปลี่ยนพฤติกรรมชีวิต (Lifestyle modification) โดยเฉพาะการควบคุมอาหารตามรูปแบบ DASH diet เป็นหัวใจสำคัญในการรักษาความดันโลหิตสูงทุกระยะ เพื่อช่วยเสริมประสิทธิภาพยาลดความดันและลดอัตราการเกิดโรคหัวใจและหลอดเลือด
🎯 ทำไมข้อนี้ถึงถูก:
การรับประทานอาหารที่มีโซเดียมสูงจะทำให้เกิดการคั่งของน้ำและเกลือแร่ในกระแสเลือด เพิ่ม intravascular volume และเพิ่ม peripheral vascular resistance ทำให้ความดันโลหิตสูงขึ้นอย่างมีนัยสำคัญ ผู้ป่วยความดันโลหิตสูงจึงต้องจำกัดโซเดียม ไม่ใช่กินโซเดียมสูง (เป้าหมายโซเดียม &lt; 2,000 mg ต่อวัน หรือเกลือแกงไม่เกิน 1 ช้อนชา)
🔍 ข้ออื่นผิดเพราะอะไร:
• ข้อ ข. (กินอาหารที่มีรสเผ็ดจัด): รสเผ็ดจากพริก (capsaicin) ไม่ได้มีผลเพิ่มความดันโลหิตโดยตรงเหมือนโซเดียม และไม่ใช่ข้อห้ามหลักตามเวชปฏิบัติ
• ข้อ ค. (กินอาหารจำพวกปลา): เป็นอาหารที่แนะนำใน DASH diet เนื่องจากเป็นแหล่งโปรตีนคุณภาพดี ไขมันต่ำ และอุดมด้วยโอเมก้า 3 ที่ดีต่อหัวใจ
• ข้อ ง. (กินอาหารจำพวกผักและผลไม้): เป็นคำแนะนำหลักของ DASH diet เนื่องจากอุดมด้วยโพแทสเซียม แมกนีเซียม และกากใย ซึ่งช่วยลดระดับความดันโลหิต
• ข้อ จ. (ถูกทุกข้อ): ไม่ถูกต้องเพราะมีข้อ ก ที่เป็นข้อห้ามชัดเจน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Sodium Restriction: จำกัดโซเดียมในอาหาร &lt; 2,000 mg/day (NaCl &lt; 5 g/day หรือ 1 ช้อนชา) สามารถลด SBP ได้เฉลี่ย 5-6 mmHg
• DASH Diet: เน้นผัก ผลไม้ ธัญพืชไม่ขัดสี ปลา สัตว์ปีก และผลิตภัณฑ์นมไขมันต่ำ ลดไขมันอิ่มตัวและคอเลสเตอรอล</t>
        </is>
      </c>
      <c r="K4" s="46" t="n"/>
      <c r="L4" s="45" t="inlineStr">
        <is>
          <t>Hypertension</t>
        </is>
      </c>
      <c r="M4" s="46" t="inlineStr">
        <is>
          <t>Clinic</t>
        </is>
      </c>
      <c r="N4" s="45" t="inlineStr">
        <is>
          <t>ข้อ 2 Pharma Plus เล่มม่วง (เฉลยข้อ ก)</t>
        </is>
      </c>
      <c r="O4" s="46" t="inlineStr">
        <is>
          <t>Mock</t>
        </is>
      </c>
      <c r="P4" s="46" t="inlineStr">
        <is>
          <t>Pharma Plus เล่มม่วง</t>
        </is>
      </c>
    </row>
    <row r="5" ht="409.6" customHeight="1" s="37">
      <c r="A5" s="44" t="n">
        <v>3</v>
      </c>
      <c r="B5"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ยาใดที่ไม่ควรให้ในผู้ป่วยรายนี้เป็นอันดับแรกตามการรักษาของ JNC VIII</t>
        </is>
      </c>
      <c r="C5" s="46" t="n"/>
      <c r="D5" s="45" t="inlineStr">
        <is>
          <t>Amlodipine</t>
        </is>
      </c>
      <c r="E5" s="45" t="inlineStr">
        <is>
          <t>Propranolol</t>
        </is>
      </c>
      <c r="F5" s="45" t="inlineStr">
        <is>
          <t>HCTZ</t>
        </is>
      </c>
      <c r="G5" s="45" t="inlineStr">
        <is>
          <t>Valsartan</t>
        </is>
      </c>
      <c r="H5" s="45" t="inlineStr">
        <is>
          <t>Enalapril</t>
        </is>
      </c>
      <c r="I5" s="46" t="n">
        <v>2</v>
      </c>
      <c r="J5" s="45" t="inlineStr">
        <is>
          <t>✅ คำตอบที่ถูกต้อง: ข้อ ข. Propranolol
💡 Background:
ตามแนวทางเวชปฏิบัติ JNC 8 และแนวทางสมาคมความดันโลหิตสูงแห่งประเทศไทย ยาลดความดันกลุ่มหลักอันดับแรก (first-line core classes) ได้แก่ ACEI, ARB, Calcium Channel Blocker (CCB) และ Thiazide-type diuretics ส่วนยากลุ่ม Beta-blockers ถูกถอดออกจาก first-line สำหรับ primary hypertension ที่ไม่มี compelling indication
🎯 ทำไมข้อนี้ถึงถูก:
Propranolol เป็น non-selective beta-blocker ที่ไม่มีข้อบ่งใช้เป็น first-line ในโรคความดันโลหิตสูงทั่วไป เนื่องจากมีประสิทธิภาพในการลดอุบัติการณ์ของ stroke และ cardiovascular mortality ด้อยกว่ายากลุ่มหลัก อีกทั้งยังอาจบดบังอาการเตือนของภาวะ hypoglycemia (ยกเว้นเหงื่อออก) ในผู้ป่วยเบาหวานที่ใช้อินซูลิน
🔍 ข้ออื่นผิดเพราะอะไร:
• ข้อ ก. (Amlodipine): เป็นยากลุ่ม Dihydropyridine CCB ซึ่งเป็นหนึ่งใน 4 กลุ่มยา first-line ของ JNC 8 และลด stroke ได้ดี
• ข้อ ค. (HCTZ): เป็นยากลุ่ม Thiazide diuretic ซึ่งเป็น first-line ตาม JNC 8
• ข้อ ง. (Valsartan): เป็นยากลุ่ม ARB ซึ่งเป็น first-line โดยเฉพาะในผู้ป่วยเบาหวานเพื่อการชะลอการเสื่อมของไต
• ข้อ จ. (Enalapril): เป็นยากลุ่ม ACEI ซึ่งเป็น first-line อันดับแรกในผู้ป่วยเบาหวานที่มีภาวะความดันโลหิตสูง (Renal protective)
📖 Guideline อ้างอิง:
แนวทางการรักษาโรคความดันโลหิตสูง ในเวชปฏิบัติทั่วไป พ.ศ. 2562 (สมาคมความดันโลหิตสูงแห่งประเทศไทย) &amp; 2014 Evidence-Based Guideline for the Management of High Blood Pressure in Adults (JNC 8)
📌 จุดจำก่อนสอบ:
• JNC 8 Core 4 Classes: ACEI, ARB, CCB, Thiazide diuretics เท่านั้นที่เป็น First-line
• Beta-blocker Role: ไม่เป็น First-line ใน uncomplicated HTN อีกต่อไป ยกเว้นมี Compelling indications เช่น HFrEF, Post-MI, หรือ CAD ที่มี angina</t>
        </is>
      </c>
      <c r="K5" s="46" t="n"/>
      <c r="L5" s="45" t="inlineStr">
        <is>
          <t>Hypertension</t>
        </is>
      </c>
      <c r="M5" s="46" t="inlineStr">
        <is>
          <t>Clinic</t>
        </is>
      </c>
      <c r="N5" s="45" t="inlineStr">
        <is>
          <t>ข้อ 3 Pharma Plus เล่มม่วง (เฉลยข้อ ข)</t>
        </is>
      </c>
      <c r="O5" s="46" t="inlineStr">
        <is>
          <t>Mock</t>
        </is>
      </c>
      <c r="P5" s="46" t="inlineStr">
        <is>
          <t>Pharma Plus เล่มม่วง</t>
        </is>
      </c>
    </row>
    <row r="6" ht="409.6" customHeight="1" s="37">
      <c r="A6" s="44" t="n">
        <v>4</v>
      </c>
      <c r="B6"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ความดันเป้าหมายของผู้ป่วยรายนี้ตาม JNC VIII คือ</t>
        </is>
      </c>
      <c r="C6" s="46" t="n"/>
      <c r="D6" s="45" t="inlineStr">
        <is>
          <t>130/80 mmHg</t>
        </is>
      </c>
      <c r="E6" s="45" t="inlineStr">
        <is>
          <t>120/80 mmHg</t>
        </is>
      </c>
      <c r="F6" s="45" t="inlineStr">
        <is>
          <t>140/80 mmHg</t>
        </is>
      </c>
      <c r="G6" s="45" t="inlineStr">
        <is>
          <t>130/85 mmHg</t>
        </is>
      </c>
      <c r="H6" s="45" t="inlineStr">
        <is>
          <t>140/90 mmHg</t>
        </is>
      </c>
      <c r="I6" s="46" t="n">
        <v>5</v>
      </c>
      <c r="J6" s="45" t="inlineStr">
        <is>
          <t>✅ คำตอบที่ถูกต้อง: ข้อ จ. 140/90 mmHg
💡 Background:
เป้าหมายความดันโลหิตในอดีตตามรายงานของ JNC 8 (ปี 2014) ได้กำหนดเป้าหมายสำหรับผู้ป่วยโรคเบาหวาน (DM) และผู้ป่วยโรคไตเรื้อรัง (CKD) แตกต่างจากไกด์ไลน์ปัจจุบัน โดย JNC 8 ยึดหลักฐานจาก RCT ที่เข้มงวด
🎯 ทำไมข้อนี้ถึงถูก:
ตามรายงาน JNC 8 อย่างเป็นทางการ ข้อแนะนำที่ 4 ระบุชัดเจนว่า ในประชากรอายุตั้งแต่ 18 ปีขึ้นไปที่มีโรคร่วมเป็นโรคเบาหวาน เป้าหมายความดันโลหิตเพื่อเริ่มการรักษาและควบคุมให้อยู่ในเกณฑ์คือ SBP &lt; 140 mmHg และ DBP &lt; 90 mmHg (เป้าหมายคือ &lt; 140/90 mmHg)
🔍 ข้ออื่นผิดเพราะอะไร:
• ข้อ ก. (130/80 mmHg): เป็นเป้าหมายตามเกณฑ์ของ JNC 7 (ปี 2003) และแนวทางปัจจุบันของ ACC/AHA 2017 และ สมาคมความดันโลหิตสูงแห่งประเทศไทย 2567 แต่ไม่ใช่คำตอบตามเกณฑ์ของ JNC 8 ที่โจทย์ระบุ
• ข้อ ข. (120/80 mmHg): เป็นระดับความดันปกติ ไม่ใช่เป้าหมายทางคลินิกของ JNC 8 ในผู้ป่วยเบาหวาน
• ข้อ ค. (140/80 mmHg): ไม่ตรงกับนิยาม threshold ของ JNC 8
• ข้อ ง. (130/85 mmHg): ไม่ตรงกับเกณฑ์มาตรฐานสากลใดๆ
📖 Guideline อ้างอิง:
2014 Evidence-Based Guideline for the Management of High Blood Pressure in Adults (JNC 8 Report) &amp; แนวทางการรักษาโรคความดันโลหิตสูง ในเวชปฏิบัติทั่วไป พ.ศ. 2562
📌 จุดจำก่อนสอบ:
• JNC 8 Exam Trap: ใน JNC 8 ทุกกลุ่ม (DM, CKD, อายุ &lt; 60 ปี) เป้าหมายคือ &lt; 140/90 mmHg ยกเว้นผู้สูงอายุ ≥ 60 ปี ที่ไม่มี DM/CKD เป้าหมายคือ &lt; 150/90 mmHg
• Thai Guideline 2562/2567: ปัจจุบันผู้ป่วยเบาหวานและกลุ่มเสี่ยงสูงตั้งเป้าที่ &lt; 130/80 mmHg</t>
        </is>
      </c>
      <c r="K6" s="46" t="n"/>
      <c r="L6" s="45" t="inlineStr">
        <is>
          <t>Hypertension</t>
        </is>
      </c>
      <c r="M6" s="46" t="inlineStr">
        <is>
          <t>Clinic</t>
        </is>
      </c>
      <c r="N6" s="45" t="inlineStr">
        <is>
          <t>ข้อ 4 Pharma Plus เล่มม่วง (เฉลยข้อ จ)</t>
        </is>
      </c>
      <c r="O6" s="46" t="inlineStr">
        <is>
          <t>Mock</t>
        </is>
      </c>
      <c r="P6" s="46" t="inlineStr">
        <is>
          <t>Pharma Plus เล่มม่วง</t>
        </is>
      </c>
    </row>
    <row r="7" ht="409.6" customHeight="1" s="37">
      <c r="A7" s="44" t="n">
        <v>5</v>
      </c>
      <c r="B7"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แพทย์พิจารณาจ่ายยา enalapril อาการข้างเคียงที่พบบ่อยของยาตัวนี้คือ</t>
        </is>
      </c>
      <c r="C7" s="46" t="n"/>
      <c r="D7" s="45" t="inlineStr">
        <is>
          <t>อาการไอแห้งๆ</t>
        </is>
      </c>
      <c r="E7" s="45" t="inlineStr">
        <is>
          <t>ผื่นแพ้รุนแรง</t>
        </is>
      </c>
      <c r="F7" s="45" t="inlineStr">
        <is>
          <t>หัวใจเต้นช้าลง</t>
        </is>
      </c>
      <c r="G7" s="45" t="inlineStr">
        <is>
          <t>ระดับน้ำตาลในเลือดสูงขึ้น</t>
        </is>
      </c>
      <c r="H7" s="45" t="inlineStr">
        <is>
          <t>ไม่มีข้อใดถูก</t>
        </is>
      </c>
      <c r="I7" s="46" t="n">
        <v>1</v>
      </c>
      <c r="J7" s="45" t="inlineStr">
        <is>
          <t>✅ คำตอบที่ถูกต้อง: ข้อ ก. อาการไอแห้งๆ
💡 Background:
Enalapril เป็นยากลุ่ม Angiotensin Converting Enzyme Inhibitors (ACEIs) ออกฤทธิ์ยับยั้งการเปลี่ยน Angiotensin I เป็น Angiotensin II และยังยับยั้งการทำลาย Bradykinin และ Substance P อีกด้วย
🎯 ทำไมข้อนี้ถึงถูก:
อาการไอแห้งๆ (Dry cough) เป็นอาการไม่พึงประสงค์ที่พบบ่อยที่สุดของยากลุ่ม ACEIs (พบได้ 5-20%) โดยเกิดจากการสะสมของ Bradykinin และ Substance P ในทางเดินหายใจส่วนบนและปอด เป็น class effect ที่ไม่ขึ้นกับขนาดยา และไม่ตอบสนองต่อยาแก้ไอทั่วไป หากผู้ป่วยทนอาการไอไม่ได้ ให้เปลี่ยนไปใช้ยากลุ่ม ARBs (เช่น Losartan) แทน
🔍 ข้ออื่นผิดเพราะอะไร:
• ข้อ ข. (ผื่นแพ้รุนแรง): พบได้น้อยมาก ไม่ใช่อาการไม่พึงประสงค์ที่พบบ่อยของยา
• ข้อ ค. (หัวใจเต้นช้าลง): เป็นผลจากยากลุ่ม Beta-blockers หรือ Non-DHP CCB (Verapamil, Diltiazem) ไม่ใช่ ACEIs
• ข้อ ง. (ระดับน้ำตาลในเลือดสูงขึ้น): ACEIs ไม่มีผลเพิ่มระดับน้ำตาล ในทางตรงกันข้ามช่วยเพิ่ม insulin sensitivity เล็กน้อย
• ข้อ จ. (ไม่มีข้อใดถูก): ข้อ ก ถูกต้องชัดเจน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Cough Mechanism: เกิดจากการคั่งของ Bradykinin และ Substance P (ไอบ่อยในหญิงและคนเอเชีย)
• Management of Cough: หยุด ACEI แล้วเปลี่ยนเป็น ARB ซึ่งไม่มีผลยับยั้งการสลาย Bradykinin จึงไม่ทำให้เกิดอาการไอ</t>
        </is>
      </c>
      <c r="K7" s="46" t="n"/>
      <c r="L7" s="45" t="inlineStr">
        <is>
          <t>Hypertension</t>
        </is>
      </c>
      <c r="M7" s="46" t="inlineStr">
        <is>
          <t>Clinic</t>
        </is>
      </c>
      <c r="N7" s="45" t="inlineStr">
        <is>
          <t>ข้อ 5 Pharma Plus เล่มม่วง (เฉลยข้อ ก)</t>
        </is>
      </c>
      <c r="O7" s="46" t="inlineStr">
        <is>
          <t>Mock</t>
        </is>
      </c>
      <c r="P7" s="46" t="inlineStr">
        <is>
          <t>Pharma Plus เล่มม่วง</t>
        </is>
      </c>
    </row>
    <row r="8" ht="409.6" customHeight="1" s="37">
      <c r="A8" s="44" t="n">
        <v>6</v>
      </c>
      <c r="B8" s="45"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จากการรับประทานยา enalapril ควรทำการติดตามค่าใด</t>
        </is>
      </c>
      <c r="C8" s="46" t="n"/>
      <c r="D8" s="45" t="inlineStr">
        <is>
          <t>AST/ALT</t>
        </is>
      </c>
      <c r="E8" s="45" t="inlineStr">
        <is>
          <t>CBC</t>
        </is>
      </c>
      <c r="F8" s="45" t="inlineStr">
        <is>
          <t>Electrolyte</t>
        </is>
      </c>
      <c r="G8" s="45" t="inlineStr">
        <is>
          <t>Renal function</t>
        </is>
      </c>
      <c r="H8" s="45" t="inlineStr">
        <is>
          <t>ข้อ ค และ ง ถูก</t>
        </is>
      </c>
      <c r="I8" s="46" t="n">
        <v>5</v>
      </c>
      <c r="J8" s="45" t="inlineStr">
        <is>
          <t>✅ คำตอบที่ถูกต้อง: ข้อ จ. ข้อ ค และ ง ถูก
💡 Background:
ยากลุ่ม ACEIs (เช่น Enalapril) ส่งผลต่อระบบการทำงานของไตและสมดุลเกลือแร่โดยตรง จากการยับยั้ง Angiotensin II ทำให้เกิดการขยายตัวของ efferent arteriole ส่งผลให้ intraglomerular pressure ลดลง และลดการหลั่ง Aldosterone
🎯 ทำไมข้อนี้ถึงถูก:
การเริ่มหรือปรับขนาดยา Enalapril ต้องติดตาม:
1. Renal function (BUN, Serum Creatinine, eGFR) เพื่อเฝ้าระวังภาวะ Acute Kidney Injury (การเพิ่มขึ้นของ Scr ยอมรับได้ไม่เกิน 30% จาก baseline ภายใน 1-2 สัปดาห์แรก)
2. Electrolytes โดยเฉพาะ Serum Potassium เพื่อเฝ้าระวังภาวะ Hyperkalemia จากการลดลงของ aldosterone ดังนั้นทั้งข้อ ค และ ง จึงเป็นค่าที่จำเป็นต้องติดตามอย่างยิ่ง
🔍 ข้ออื่นผิดเพราะอะไร:
• ข้อ ก. (AST/ALT): การทำงานของตับไม่ใช่ค่าที่ต้องตรวจติดตามเป็นประจำในการใช้ Enalapril
• ข้อ ข. (CBC): ไม่จำเป็นต้องตรวจติดตามเป็นประจำ ยกเว้นกรณีสงสัย neutropenia ซึ่งพบได้น้อยมากใน Captopril ยุคแรก
• ข้อ ค. และ ง. ถูกต้องทั้งสองข้อ จึงต้องเลือก ข้อ จ (ข้อ ค และ ง ถูก)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the Management of CKD
📌 จุดจำก่อนสอบ:
• Monitoring Rule of ACEI/ARB: ตรวจ Scr และ Serum K+ หลังเริ่มยาหรือปรับขนาดยา 1-2 สัปดาห์เสมอ
• Stopping Rule: หาก Serum Creatinine เพิ่มขึ้น &gt; 30% จากค่าตั้งต้น หรือ Serum K+ &gt; 5.5 mEq/L ให้พิจารณาลดขนาดยาหรือหยุดยาชั่วคราว</t>
        </is>
      </c>
      <c r="K8" s="46" t="n"/>
      <c r="L8" s="45" t="inlineStr">
        <is>
          <t>Hypertension</t>
        </is>
      </c>
      <c r="M8" s="46" t="inlineStr">
        <is>
          <t>Clinic</t>
        </is>
      </c>
      <c r="N8" s="45" t="inlineStr">
        <is>
          <t>ข้อ 6 Pharma Plus เล่มม่วง (เฉลยข้อ จ)</t>
        </is>
      </c>
      <c r="O8" s="46" t="inlineStr">
        <is>
          <t>Mock</t>
        </is>
      </c>
      <c r="P8" s="46" t="inlineStr">
        <is>
          <t>Pharma Plus เล่มม่วง</t>
        </is>
      </c>
    </row>
    <row r="9" ht="409.6" customHeight="1" s="37">
      <c r="A9" s="44" t="n">
        <v>7</v>
      </c>
      <c r="B9" s="45" t="inlineStr">
        <is>
          <t>ผู้ป่วยไปซื้อยา enalapril ที่ร้านขายยา เภสัชกรร้านสามารถจ่ายยานี้ได้หรือไม่</t>
        </is>
      </c>
      <c r="C9" s="46" t="n"/>
      <c r="D9" s="45" t="inlineStr">
        <is>
          <t>จ่ายได้ เพราะเป็นยาอันตราย</t>
        </is>
      </c>
      <c r="E9" s="45" t="inlineStr">
        <is>
          <t>จ่ายไม่ได้ เพราะเป็นยาควบคุมพิเศษ</t>
        </is>
      </c>
      <c r="F9" s="45" t="inlineStr">
        <is>
          <t>จ่ายไม่ได้ เพราะเป็นวัตถุออกฤทธิ์ต่อจิตและประสาทประเภท 2</t>
        </is>
      </c>
      <c r="G9" s="45" t="inlineStr">
        <is>
          <t>จ่ายได้ เพราะเป็นยาบรรจุเสร็จที่ไม่ใช่ยาอันตรายหรือยาควบคุมพิเศษ</t>
        </is>
      </c>
      <c r="H9" s="45" t="inlineStr">
        <is>
          <t>จ่ายไม่ได้ เพราะเป็นยาเสพติดให้โทษประเภทที่ 3 ต้องมีใบสั่งแพทย์เท่านั้น</t>
        </is>
      </c>
      <c r="I9" s="46" t="n">
        <v>1</v>
      </c>
      <c r="J9" s="45" t="inlineStr">
        <is>
          <t>✅ คำตอบที่ถูกต้อง: ข้อ ก. จ่ายได้ เพราะเป็นยาอันตราย
💡 Background:
พระราชบัญญัติยา พ.ศ. 2510 และฉบับแก้ไขเพิ่มเติม ได้จัดประเภทของยาแผนปัจจุบันออกเป็น ยาสามัญประจำบ้าน, ยาบรรจุเสร็จที่ไม่ใช่ยาอันตรายหรือยาควบคุมพิเศษ, ยาอันตราย และยาควบคุมพิเศษ
🎯 ทำไมข้อนี้ถึงถูก:
Enalapril เป็นยารักษาโรคความดันโลหิตสูงที่จัดเป็น ยาอันตราย ตามประกาศกระทรวงสาธารณสุข ซึ่งกฎหมายอนุญาตให้จำหน่ายได้ในร้านขายยาแผนปัจจุบัน (ข.ย.1) โดยต้องมี เภสัชกรชั้นหนึ่ง เป็นผู้ส่งมอบและให้คำแนะนำการใช้ยาแก่ผู้ป่วย ไม่จำเป็นต้องใช้ใบสั่งแพทย์ในการซื้อที่ร้านขายยา
🔍 ข้ออื่นผิดเพราะอะไร:
• ข้อ ข. (จ่ายไม่ได้ เพราะเป็นยาควบคุมพิเศษ): ยาควบคุมพิเศษเป็นยาที่ต้องขายตามใบสั่งยาของแพทย์เท่านั้น (เช่น สเตียรอยด์กิน, ยาปฏิชีวนะบางกลุ่ม) แต่ Enalapril ไม่ได้ถูกประกาศเป็นยาควบคุมพิเศษ
• ข้อ ค. (จ่ายไม่ได้ เพราะเป็นวัตถุออกฤทธิ์ต่อจิตและประสาทประเภท 2): Enalapril ไม่ได้ออกฤทธิ์ต่อระบบประสาทส่วนกลาง ไม่ใช่วัตถุออกฤทธิ์ฯ
• ข้อ ง. (จ่ายได้ เพราะเป็นยาบรรจุเสร็จที่ไม่ใช่ยาอันตรายหรือยาควบคุมพิเศษ): Enalapril มีความเสี่ยงต่อความดันตกเฉียบพลัน ไตวาย และโพแทสเซียมสูง จึงจัดเป็นยาอันตราย ไม่ใช่ยาบรรจุเสร็จทั่วไป
• ข้อ จ. (จ่ายไม่ได้ เพราะเป็นยาเสพติดให้โทษประเภทที่ 3): Enalapril ไม่ใช่ยาเสพติดให้โทษ
📖 Guideline อ้างอิง:
พระราชบัญญัติยา พ.ศ. 2510 และประกาศกระทรวงสาธารณสุขเรื่อง ระบุประเภทยาอันตราย
📌 จุดจำก่อนสอบ:
• Pharmacy Law Classification: ยาลดความดันโลหิตและยารักษาโรคเรื้อรังส่วนใหญ่ในร้านยาจัดเป็น ยาอันตราย เภสัชกรส่งมอบได้โดยไม่ต้องใช้ใบสั่งแพทย์ แต่ต้องซักประวัติและให้คำแนะนำอย่างเคร่งครัด
• Special Controlled Drugs (ยาควบคุมพิเศษ): ต้องมีใบสั่งแพทย์เท่านั้น เช่น Misoprostol, Ketamine, Isotretinoin ชนิดรับประทาน</t>
        </is>
      </c>
      <c r="K9" s="46" t="n"/>
      <c r="L9" s="45" t="inlineStr">
        <is>
          <t>Hypertension</t>
        </is>
      </c>
      <c r="M9" s="46" t="inlineStr">
        <is>
          <t>Clinic</t>
        </is>
      </c>
      <c r="N9" s="45" t="inlineStr">
        <is>
          <t>ข้อ 7 Pharma Plus เล่มม่วง (เฉลยข้อ ก)</t>
        </is>
      </c>
      <c r="O9" s="46" t="inlineStr">
        <is>
          <t>Mock</t>
        </is>
      </c>
      <c r="P9" s="46" t="inlineStr">
        <is>
          <t>Pharma Plus เล่มม่วง</t>
        </is>
      </c>
    </row>
    <row r="10" ht="409.6" customHeight="1" s="37">
      <c r="A10" s="44" t="n">
        <v>8</v>
      </c>
      <c r="B10"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ผู้ป่วยมีค่า LDL-C เท่าไร</t>
        </is>
      </c>
      <c r="C10" s="46" t="n"/>
      <c r="D10" s="45" t="inlineStr">
        <is>
          <t>130 mg/dl</t>
        </is>
      </c>
      <c r="E10" s="45" t="inlineStr">
        <is>
          <t>140 mg/dl</t>
        </is>
      </c>
      <c r="F10" s="45" t="inlineStr">
        <is>
          <t>150 mg/dl</t>
        </is>
      </c>
      <c r="G10" s="45" t="inlineStr">
        <is>
          <t>160 mg/dl</t>
        </is>
      </c>
      <c r="H10" s="45" t="inlineStr">
        <is>
          <t>170 mg/dl</t>
        </is>
      </c>
      <c r="I10" s="46" t="n">
        <v>5</v>
      </c>
      <c r="J10" s="45" t="inlineStr">
        <is>
          <t>✅ คำตอบที่ถูกต้อง: ข้อ จ. 170 mg/dl
💡 Background:
การคำนวณระดับไขมันชนิด Low-Density Lipoprotein Cholesterol (LDL-C) ทางคลินิกนิยมใช้สูตรของ Friedewald เมื่อระดับ Triglyceride ไม่เกิน 400 mg/dL
🎯 ทำไมข้อนี้ถึงถูก:
จากสูตร Friedewald formula:
LDL-C = Total Cholesterol - HDL-C - (Triglyceride / 5)
โดยโจทย์ให้ข้อมูล: Total Cholesterol = 243 mg/dL, HDL-C = 33 mg/dL, Triglyceride = 200 mg/dL (จากข้อมูลในชุดโจทย์ต่อเนื่อง)
แทนค่าในสูตร:
LDL-C = 243 - 33 - (200 / 5)
LDL-C = 210 - 40 = 170 mg/dL
🔍 ข้ออื่นผิดเพราะอะไร:
• ข้อ ก. 130 mg/dl: คำนวณผิดพลาด
• ข้อ ข. 140 mg/dl: คำนวณผิดพลาด
• ข้อ ค. 150 mg/dl: ลืมหักค่า VLDL-C (TG/5)
• ข้อ ง. 160 mg/dl: คำนวณผิดพลาด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Friedewald Equation: LDL-C = TC - HDL-C - (TG/5) (หน่วย mg/dL)
• Limitation: ห้ามใช้สูตรนี้หาก Triglyceride &gt; 400 mg/dL หรือผู้ป่วยเป็น Chylomicronemia เพราะจะทำให้คำนวณ LDL-C ต่ำกว่าความเป็นจริง ต้องวัด Direct LDL-C แทน</t>
        </is>
      </c>
      <c r="K10" s="46" t="n"/>
      <c r="L10" s="45" t="inlineStr">
        <is>
          <t>Dyslipidemias</t>
        </is>
      </c>
      <c r="M10" s="46" t="inlineStr">
        <is>
          <t>Clinic</t>
        </is>
      </c>
      <c r="N10" s="45" t="inlineStr">
        <is>
          <t>ข้อ 8 Pharma Plus เล่มม่วง (เฉลยข้อ จ)</t>
        </is>
      </c>
      <c r="O10" s="46" t="inlineStr">
        <is>
          <t>Mock</t>
        </is>
      </c>
      <c r="P10" s="46" t="inlineStr">
        <is>
          <t>Pharma Plus เล่มม่วง</t>
        </is>
      </c>
    </row>
    <row r="11" ht="409.6" customHeight="1" s="37">
      <c r="A11" s="44" t="n">
        <v>9</v>
      </c>
      <c r="B11"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ข้อใดไม่ใช่ major risk factor ต่อการเกิด coronary heart disease</t>
        </is>
      </c>
      <c r="C11" s="46" t="n"/>
      <c r="D11" s="45" t="inlineStr">
        <is>
          <t>บิดาเสียชีวิตด้วย myocardial infarction เมื่ออายุ 53 ปี</t>
        </is>
      </c>
      <c r="E11" s="45" t="inlineStr">
        <is>
          <t>พี่ชายเสียชีวิตด้วย myocardial infarction เมื่ออายุ 44 ปี</t>
        </is>
      </c>
      <c r="F11" s="45" t="inlineStr">
        <is>
          <t>ดื่มไวน์ 2 แก้วทุกวัน</t>
        </is>
      </c>
      <c r="G11" s="45" t="inlineStr">
        <is>
          <t>มีระดับ HDL-C 33 mg/dl</t>
        </is>
      </c>
      <c r="H11" s="45" t="inlineStr">
        <is>
          <t>ผู้ป่วยเป็นชายอายุ 53 ปี</t>
        </is>
      </c>
      <c r="I11" s="46" t="n">
        <v>3</v>
      </c>
      <c r="J11" s="45" t="inlineStr">
        <is>
          <t>✅ คำตอบที่ถูกต้อง: ข้อ ค. ดื่มไวน์ 2 แก้วทุกวัน
💡 Background:
ตามเกณฑ์ NCEP ATP III และแนวทางเวชปฏิบัติป้องกันโรคหลอดเลือดหัวใจ ปัจจัยเสี่ยงหลัก (Major Risk Factors) ที่ใช้ประเมินความเสี่ยงต่อการเกิด Coronary Heart Disease (CHD) ได้รับการกำหนดไว้อย่างชัดเจนเพื่อใช้คำนวณโอกาสเกิดโรคและกำหนดเป้าหมายไขมัน
🎯 ทำไมข้อนี้ถึงถูก:
การดื่มไวน์ 2 แก้วทุกวัน ไม่ได้จัดเป็น major risk factor สำหรับการเกิด CHD ในทางตรงกันข้าม การดื่มแอลกอฮอล์ในปริมาณปานกลาง (moderate alcohol consumption: ชายไม่เกิน 2 drink/วัน) อาจช่วยเพิ่ม HDL-C เล็กน้อย แต่ไม่ได้ถูกจัดเป็นปัจจัยเสี่ยงหลักเหมือนบุหรี่หรือความดันโลหิตสูง
🔍 ข้ออื่นผิดเพราะอะไร:
• ข้อ ก. (บิดาเสียชีวิตด้วย MI อายุ 53 ปี): เป็น Major risk factor จากประวัติครอบครัวเป็นโรคหลอดเลือดหัวใจก่อนวัยอันควร (Premature CAD ในญาติสายตรงเพศชายอายุน้อยกว่า 55 ปี)
• ข้อ ข. (พี่ชายเสียชีวิตด้วย MI อายุ 44 ปี): เป็น Major risk factor (ชายอายุน้อยกว่า 55 ปี)
• ข้อ ง. (HDL-C 33 mg/dl): เป็น Major risk factor เนื่องจาก HDL-C ต่ำ (&lt; 40 mg/dL ในเพศชาย)
• ข้อ จ. (ผู้ป่วยเป็นชายอายุ 53 ปี): เป็น Major risk factor เนื่องจากอายุเพศชาย ≥ 45 ปี (เพศหญิง ≥ 55 ปี)
📖 Guideline อ้างอิง:
แนวทางเวชปฏิบัติการรักษาภาวะไขมันผิดปกติในเลือดเพื่อป้องกันโรคหัวใจและหลอดเลือด พ.ศ. 2559 &amp; NCEP ATP III Guidelines
📌 จุดจำก่อนสอบ:
• Major Risk Factors (ATP III): สูบบุหรี่, ความดันโลหิตสูง (≥140/90 หรือกินยาลดความดัน), HDL-C ต่ำ (&lt;40 mg/dL), ประวัติครอบครัว premature CHD (ชาย &lt;55, หญิง &lt;65 ปี), อายุ (ชาย ≥45, หญิง ≥55 ปี)
• Negative Risk Factor: หากมี HDL-C สูง ≥ 60 mg/dL ให้นับลบ 1 ปัจจัยเสี่ยงออกจากคะแนนรวม</t>
        </is>
      </c>
      <c r="K11" s="46" t="n"/>
      <c r="L11" s="45" t="inlineStr">
        <is>
          <t>Dyslipidemias</t>
        </is>
      </c>
      <c r="M11" s="46" t="inlineStr">
        <is>
          <t>Clinic</t>
        </is>
      </c>
      <c r="N11" s="45" t="inlineStr">
        <is>
          <t>ข้อ 9 Pharma Plus เล่มม่วง (เฉลยข้อ ค)</t>
        </is>
      </c>
      <c r="O11" s="46" t="inlineStr">
        <is>
          <t>Mock</t>
        </is>
      </c>
      <c r="P11" s="46" t="inlineStr">
        <is>
          <t>Pharma Plus เล่มม่วง</t>
        </is>
      </c>
    </row>
    <row r="12" ht="409.6" customHeight="1" s="37">
      <c r="A12" s="44" t="n">
        <v>10</v>
      </c>
      <c r="B12"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เป้าหมายแรกในการรักษาภาวะ Hyperlipidemia ของผู้ป่วย</t>
        </is>
      </c>
      <c r="C12" s="46" t="n"/>
      <c r="D12" s="45" t="inlineStr">
        <is>
          <t>ลดระดับ Total cholesterol</t>
        </is>
      </c>
      <c r="E12" s="45" t="inlineStr">
        <is>
          <t>เพิ่มระดับ HDL-C</t>
        </is>
      </c>
      <c r="F12" s="45" t="inlineStr">
        <is>
          <t>ลดระดับ Non-HDL-C</t>
        </is>
      </c>
      <c r="G12" s="45" t="inlineStr">
        <is>
          <t>ลดระดับ Triglyceride</t>
        </is>
      </c>
      <c r="H12" s="45" t="inlineStr">
        <is>
          <t>ลดระดับ LDL-C</t>
        </is>
      </c>
      <c r="I12" s="46" t="n">
        <v>5</v>
      </c>
      <c r="J12" s="45" t="inlineStr">
        <is>
          <t>✅ คำตอบที่ถูกต้อง: ข้อ จ. ลดระดับ LDL-C
💡 Background:
แนวทางเวชปฏิบัติการรักษาภาวะไขมันผิดปกติในเลือดทั้งของไทย (สมาคมแพทย์โรคหัวใจแห่งประเทศไทย) และระดับสากล (AHA/ACC, ESC) ให้ความสำคัญกับการลดไขมันชนิดที่มีความสัมพันธ์กับการเกิดหลอดเลือดแดงแข็งมากที่สุด
🎯 ทำไมข้อนี้ถึงถูก:
LDL-C เป็นอนุภาคคอเลสเตอรอลหลักที่มีคุณสมบัติแทรกซึมเข้าสู่ผนังหลอดเลือดและเกิดกระบวนการ atherosclerosis โดยตรง หลักฐานจากการศึกษาทางคลินิก (RCTs) ยืนยันหนักแน่นว่าการลดระดับ LDL-C ช่วยลดการเกิด recurrent coronary events, stroke และ cardiovascular mortality ได้ชัดเจนที่สุด ดังนั้นเป้าหมายแรกและเป้าหมายหลัก (Primary Target) ในการรักษาคือ การลดระดับ LDL-C เสมอ (ยกเว้นกรณีเดียวคือ Severe Hypertriglyceridemia ≥ 500 mg/dL ที่ต้องลด TG ก่อนเพื่อกันตับอ่อนอักเสบ)
🔍 ข้ออื่นผิดเพราะอะไร:
• ข้อ ก. (ลดระดับ Total cholesterol): เป็นเป้าหมายกว้างเกินไปและไม่จำเพาะต่อการเกิดโรคหลอดเลือดหัวใจ
• ข้อ ข. (เพิ่มระดับ HDL-C): แม้ HDL ต่ำจะเป็นปัจจัยเสี่ยง แต่ยาที่เพิ่ม HDL ยังไม่มีหลักฐานว่าช่วยลด cardiovascular outcomes ได้ชัดเจน
• ข้อ ค. (ลดระดับ Non-HDL-C): เป็น secondary target สำหรับผู้ป่วยที่มีภาวะ hypertriglyceridemia ร่วมด้วย ไม่ใช่ primary target อันดับแรก
• ข้อ ง. (ลดระดับ Triglyceride): เป็นเป้าหมายหลักเฉพาะกรณีที่ TG ≥ 500 mg/dL เท่านั้น แต่ในผู้ป่วยรายนี้ TG 200 mg/dL จึงต้องมุ่งเป้าที่ LDL-C ก่อน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Cholesterol Guidelines
📌 จุดจำก่อนสอบ:
• Primary Target: LDL-C คือเป้าหมายหลักอันดับหนึ่งในการรักษาภาวะไขมันในเลือดสูงเสมอ
• Exception: กรณี TG ≥ 500 mg/dL ต้องเปลี่ยน primary target เป็นการลด TG ด้วย Fibrate ทันทีเพื่อป้องกันภาวะ Acute Pancreatitis</t>
        </is>
      </c>
      <c r="K12" s="46" t="n"/>
      <c r="L12" s="45" t="inlineStr">
        <is>
          <t>Dyslipidemias</t>
        </is>
      </c>
      <c r="M12" s="46" t="inlineStr">
        <is>
          <t>Clinic</t>
        </is>
      </c>
      <c r="N12" s="45" t="inlineStr">
        <is>
          <t>ข้อ 10 Pharma Plus เล่มม่วง (เฉลยข้อ จ)</t>
        </is>
      </c>
      <c r="O12" s="46" t="inlineStr">
        <is>
          <t>Mock</t>
        </is>
      </c>
      <c r="P12" s="46" t="inlineStr">
        <is>
          <t>Pharma Plus เล่มม่วง</t>
        </is>
      </c>
    </row>
    <row r="13" ht="409.6" customHeight="1" s="37">
      <c r="A13" s="44" t="n">
        <v>11</v>
      </c>
      <c r="B13" s="45"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การรักษาผู้ป่วยรายนี้จะต้องลดระดับ LDL - C ให้ได้เท่าไร เพื่อป้องกัน atherosclerosis</t>
        </is>
      </c>
      <c r="C13" s="46" t="n"/>
      <c r="D13" s="45" t="inlineStr">
        <is>
          <t>&lt; 100 mg/dl</t>
        </is>
      </c>
      <c r="E13" s="45" t="inlineStr">
        <is>
          <t>&lt; 130 mg/dl</t>
        </is>
      </c>
      <c r="F13" s="45" t="inlineStr">
        <is>
          <t>&lt; 160 mg/dl</t>
        </is>
      </c>
      <c r="G13" s="45" t="inlineStr">
        <is>
          <t>&lt; 190 mg/dl</t>
        </is>
      </c>
      <c r="H13" s="45" t="inlineStr">
        <is>
          <t>&lt; 200 mg/dl</t>
        </is>
      </c>
      <c r="I13" s="46" t="n">
        <v>1</v>
      </c>
      <c r="J13" s="45" t="inlineStr">
        <is>
          <t>✅ คำตอบที่ถูกต้อง: ข้อ ก. &lt; 100 mg/dl
💡 Background:
ตามเกณฑ์แนวทางเวชปฏิบัติรักษาภาวะไขมันผิดปกติของประเทศไทย พ.ศ. 2559 และ NCEP ATP III ผู้ป่วยโรคเบาหวาน (Diabetes Mellitus) จัดเป็นกลุ่มความเสี่ยงสูงเทียบเท่าโรคหลอดเลือดหัวใจ (CHD risk equivalent หรือ High Risk)
🎯 ทำไมข้อนี้ถึงถูก:
ผู้ป่วยเบาหวานที่ยังไม่มีโรคหลอดเลือดหัวใจกำเริบ (Primary prevention ในกลุ่ม High Risk) มีเป้าหมายในการควบคุมระดับ LDL-C คือ &lt; 100 mg/dL เพื่อป้องกันและชะลอการเกิด atherosclerosis
(หมายเหตุ: หากเป็นผู้ป่วยโรคหลอดเลือดหัวใจแล้ว หรือ Very High Risk เป้าหมายจะเข้มงวดขึ้นเป็น &lt; 70 หรือ &lt; 55 mg/dL ตามแนวทางปัจจุบัน)
🔍 ข้ออื่นผิดเพราะอะไร:
• ข้อ ข. (&lt; 130 mg/dl): เป็นเป้าหมายสำหรับกลุ่ม Moderate Risk (มีปัจจัยเสี่ยง 2 ข้อขึ้นไป แต่ไม่มี DM หรือ CHD)
• ข้อ ค. (&lt; 160 mg/dl): เป็นเป้าหมายสำหรับกลุ่ม Low Risk (มีปัจจัยเสี่ยง 0-1 ข้อ)
• ข้อ ง. (&lt; 190 mg/dl) และ จ. (&lt; 200 mg/dl): เป็นระดับที่สูงเกินไป ไม่ใช่เป้าหมายในการรักษา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LDL-C Targets by Risk Group (Thai 2559):
  - Very High Risk (Established ASCVD): &lt; 70 mg/dL (หรือ &lt; 55 mg/dL ใน ESC 2019)
  - High Risk (DM, CKD, หรือ Risk &gt; 20%): &lt; 100 mg/dL
  - Moderate Risk (2+ risk factors): &lt; 130 mg/dL
  - Low Risk (0-1 risk factor): &lt; 160 mg/dL</t>
        </is>
      </c>
      <c r="K13" s="46" t="n"/>
      <c r="L13" s="45" t="inlineStr">
        <is>
          <t>Dyslipidemias</t>
        </is>
      </c>
      <c r="M13" s="46" t="inlineStr">
        <is>
          <t>Clinic</t>
        </is>
      </c>
      <c r="N13" s="45" t="inlineStr">
        <is>
          <t>ข้อ 11 Pharma Plus เล่มม่วง (เฉลยข้อ ก)</t>
        </is>
      </c>
      <c r="O13" s="46" t="inlineStr">
        <is>
          <t>Mock</t>
        </is>
      </c>
      <c r="P13" s="46" t="inlineStr">
        <is>
          <t>Pharma Plus เล่มม่วง</t>
        </is>
      </c>
    </row>
    <row r="14" ht="409.6" customHeight="1" s="37">
      <c r="A14" s="44" t="n">
        <v>12</v>
      </c>
      <c r="B14" s="45" t="inlineStr">
        <is>
          <t>ยาที่คนไข้ควรได้รับเป็นอันดับแรกเพื่อให้ได้ผลตามเป้าหมายตามข้อข้างต้น</t>
        </is>
      </c>
      <c r="C14" s="46" t="n"/>
      <c r="D14" s="45" t="inlineStr">
        <is>
          <t>ยากลุ่ม statin</t>
        </is>
      </c>
      <c r="E14" s="45" t="inlineStr">
        <is>
          <t>ยากลุ่ม bile acid sequestrants</t>
        </is>
      </c>
      <c r="F14" s="45" t="inlineStr">
        <is>
          <t>ยากลุ่ม nicotinic acid</t>
        </is>
      </c>
      <c r="G14" s="45" t="inlineStr">
        <is>
          <t>ยากลุ่ม fibric acid</t>
        </is>
      </c>
      <c r="H14" s="45" t="inlineStr">
        <is>
          <t>ยากลุ่ม plant sterol</t>
        </is>
      </c>
      <c r="I14" s="46" t="n">
        <v>1</v>
      </c>
      <c r="J14" s="45" t="inlineStr">
        <is>
          <t>✅ คำตอบที่ถูกต้อง: ข้อ ก. ยากลุ่ม statin
💡 Background:
การรักษาภาวะไขมันในเลือดสูงในผู้ป่วยเบาหวาน ต้องเลือกยาลดไขมันที่มีประสิทธิภาพสูงสุดในการลด LDL-C และมีหลักฐานงานวิจัยทางคลินิกยืนยันว่าลดการเสียชีวิตและอุบัติการณ์ของโรคหัวใจและหลอดเลือดได้อย่างชัดเจน
🎯 ทำไมข้อนี้ถึงถูก:
ยากลุ่ม Statins (HMG-CoA reductase inhibitors) เป็นยาขนานแรก (First-line drug of choice) ในผู้ป่วยเบาหวานที่มีอายุ 40-75 ปีทุกรายที่มีภาวะไขมันในเลือดสูง เนื่องจากสามารถลด LDL-C ได้อย่างทรงพลังและมี Pleiotropic effects ช่วยเพิ่มความคงตัวของ atherosclerotic plaque และลดการอักเสบในหลอดเลือด
🔍 ข้ออื่นผิดเพราะอะไร:
• ข้อ ข. (ยากลุ่ม bile acid sequestrants): ลด LDL-C ได้น้อยกว่า statin และมีผลข้างเคียงต่อระบบทางเดินอาหารสูง (ท้องอืด ท้องผูก) อีกทั้งอาจทำให้ Triglyceride สูงขึ้น
• ข้อ ค. (ยากลุ่ม nicotinic acid): มีผลข้างเคียงหน้าแดงร้อนวูบวาบ (flushing) สูง และอาจทำให้ระดับน้ำตาลในเลือดของผู้ป่วยเบาหวานควบคุมยากขึ้น
• ข้อ ง. (ยากลุ่ม fibric acid): ออกฤทธิ์เด่นในการลด Triglyceride ไม่ใช่ยาทางเลือกแรกในการลด LDL-C
• ข้อ จ. (ยากลุ่ม plant sterol): เป็นเพียงผลิตภัณฑ์เสริมอาหาร ประสิทธิภาพลด LDL-C ต่ำ ไม่ใช่อันดับแรกตามแนวทางเวชปฏิบัติ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First-line Therapy: Statin คือยาอันดับแรกเสมอสำหรับการลด LDL-C และลดความเสี่ยง ASCVD
• Add-on Hierarchy: หากใช้ Statin ขนาดสูงสุดที่ทนได้แล้ว LDL-C ยังไม่ถึงเป้า ให้พิจารณาเติม Ezetimibe 10 mg/day เป็นลำดับถัดไป</t>
        </is>
      </c>
      <c r="K14" s="46" t="n"/>
      <c r="L14" s="45" t="inlineStr">
        <is>
          <t>Dyslipidemias</t>
        </is>
      </c>
      <c r="M14" s="46" t="inlineStr">
        <is>
          <t>Clinic</t>
        </is>
      </c>
      <c r="N14" s="45" t="inlineStr">
        <is>
          <t>ข้อ 12 Pharma Plus เล่มม่วง (เฉลยข้อ ก)</t>
        </is>
      </c>
      <c r="O14" s="46" t="inlineStr">
        <is>
          <t>Mock</t>
        </is>
      </c>
      <c r="P14" s="46" t="inlineStr">
        <is>
          <t>Pharma Plus เล่มม่วง</t>
        </is>
      </c>
    </row>
    <row r="15" ht="409.6" customHeight="1" s="37">
      <c r="A15" s="44" t="n">
        <v>13</v>
      </c>
      <c r="B15" s="45" t="inlineStr">
        <is>
          <t>ยาในกลุ่ม statin สามารถลดระดับ LDL-C ด้วยกลไกใด</t>
        </is>
      </c>
      <c r="C15" s="46" t="n"/>
      <c r="D15" s="45" t="inlineStr">
        <is>
          <t>ลดการสร้าง LDL-C receptor ที่ตับ</t>
        </is>
      </c>
      <c r="E15" s="45" t="inlineStr">
        <is>
          <t>ลดการสร้าง cholesterol และเพิ่มจำนวน LDL-C receptor</t>
        </is>
      </c>
      <c r="F15" s="45" t="inlineStr">
        <is>
          <t>ลด enterohepatic recycling ของ cholesterol</t>
        </is>
      </c>
      <c r="G15" s="45" t="inlineStr">
        <is>
          <t>ลดการสร้าง VLDL</t>
        </is>
      </c>
      <c r="H15" s="45" t="inlineStr">
        <is>
          <t>ลดการสร้าง HDL</t>
        </is>
      </c>
      <c r="I15" s="46" t="n">
        <v>2</v>
      </c>
      <c r="J15" s="45" t="inlineStr">
        <is>
          <t>✅ คำตอบที่ถูกต้อง: ข้อ ข. ลดการสร้าง cholesterol และเพิ่มจำนวน LDL-C receptor
💡 Background:
ยากลุ่ม Statins ออกฤทธิ์ยับยั้งเอนไซม์ 3-hydroxy-3-methylglutaryl coenzyme A (HMG-CoA) reductase ซึ่งเป็น rate-limiting step ในกระบวนการสังเคราะห์คอเลสเตอรอลที่ตับ
🎯 ทำไมข้อนี้ถึงถูก:
เมื่อ Statins ยับยั้ง HMG-CoA reductase จะทำให้ระดับคอเลสเตอรอลภายในเซลล์ตับ (intracellular cholesterol) ลดลง ส่งผลกระตุ้น transcription factor ที่ชื่อว่า SREBP-2 ให้เกิดการเพิ่มการแสดงออกและเพิ่มจำนวนของ LDL receptors บนผิวเซลล์ตับ เซลล์ตับจึงดึงดูดและจับกินอนุภาค LDL-C จากกระแสเลือดเข้าสู่เซลล์มากขึ้น ส่งผลให้ระดับ LDL-C ในเลือดลดลงอย่างมีนัยสำคัญ
🔍 ข้ออื่นผิดเพราะอะไร:
• ข้อ ก. (ลดการสร้าง LDL-C receptor ที่ตับ): ตรงข้ามกับความเป็นจริง เพราะยาทำให้เซลล์ตับสร้าง LDL receptor 'เพิ่มขึ้น'
• ข้อ ค. (ลด enterohepatic recycling ของ cholesterol): เป็นกลไกการออกฤทธิ์ของยากลุ่ม Bile acid sequestrants (เช่น Cholestyramine) และ Ezetimibe
• ข้อ ง. (ลดการสร้าง VLDL): เป็นกลไกหลักของ Niacin และ Fibrates ไม่ใช่กลไกหลักในการลด LDL ของ Statins
• ข้อ จ. (ลดการสร้าง HDL): ผิด เพราะ Statins มีแนวโน้มเพิ่มระดับ HDL-C ได้เล็กน้อย (5-10%)
📖 Guideline อ้างอิง:
Goodman &amp; Gilman's: The Pharmacological Basis of Therapeutics (14th Edition) &amp; 2018 AHA/ACC Blood Cholesterol Guidelines
📌 จุดจำก่อนสอบ:
• Dual Action of Statins: 1) ยับยั้ง HMG-CoA reductase ทำให้ตับสร้าง cholesterol ลดลง 2) Up-regulation ของ hepatic LDL receptors ทำให้ตับเก็บกวาด LDL ออกจากเลือดได้มากขึ้น</t>
        </is>
      </c>
      <c r="K15" s="46" t="n"/>
      <c r="L15" s="45" t="inlineStr">
        <is>
          <t>Dyslipidemias</t>
        </is>
      </c>
      <c r="M15" s="46" t="inlineStr">
        <is>
          <t>Clinic</t>
        </is>
      </c>
      <c r="N15" s="45" t="inlineStr">
        <is>
          <t>ข้อ 13 Pharma Plus เล่มม่วง (เฉลยข้อ ข)</t>
        </is>
      </c>
      <c r="O15" s="46" t="inlineStr">
        <is>
          <t>Mock</t>
        </is>
      </c>
      <c r="P15" s="46" t="inlineStr">
        <is>
          <t>Pharma Plus เล่มม่วง</t>
        </is>
      </c>
    </row>
    <row r="16" ht="409.6" customHeight="1" s="37">
      <c r="A16" s="44" t="n">
        <v>14</v>
      </c>
      <c r="B16" s="45" t="inlineStr">
        <is>
          <t>ในการเสนอเกณฑ์การประเมินการใช้ยากลุ่ม statin เภสัชกรควรใช้หลักฐานทางวิชาการ งานวิจัยประเภทใดที่มีความน่าเชื่อถือมากที่สุด</t>
        </is>
      </c>
      <c r="C16" s="46" t="n"/>
      <c r="D16" s="45" t="inlineStr">
        <is>
          <t>Cohort study, Case controlled study</t>
        </is>
      </c>
      <c r="E16" s="45" t="inlineStr">
        <is>
          <t>Case report, Cross-sectional study</t>
        </is>
      </c>
      <c r="F16" s="45" t="inlineStr">
        <is>
          <t>Case controlled study, Cross-sectional study</t>
        </is>
      </c>
      <c r="G16" s="45" t="inlineStr">
        <is>
          <t>Meta-analysis, Randomized controlled study</t>
        </is>
      </c>
      <c r="H16" s="45" t="inlineStr">
        <is>
          <t>Cross-sectional study, Randomized controlled study</t>
        </is>
      </c>
      <c r="I16" s="46" t="n">
        <v>4</v>
      </c>
      <c r="J16" s="45" t="inlineStr">
        <is>
          <t>✅ คำตอบที่ถูกต้อง: ข้อ ง. Meta-analysis, Randomized controlled study
💡 Background:
ตามหลักการของ Evidence-Based Medicine (EBM) ลำดับขั้นของหลักฐานทางวิทยาศาสตร์การแพทย์ (Hierarchy of Evidence) มีการจัดชั้นความน่าเชื่อถือเพื่อใช้ในการประเมินประสิทธิภาพและความปลอดภัยของยาอย่างเป็นระบบ
🎯 ทำไมข้อนี้ถึงถูก:
Systematic Review and Meta-analysis ของ Randomized Controlled Trials (RCTs) และตัวการวิจัยแบบ RCT จัดเป็นหลักฐานที่มีระดับความน่าเชื่อถือทางวิทยาศาสตร์สูงสุด (Level of Evidence I / Level A) เนื่องจากมีการสุ่มตัวอย่าง (Randomization) ช่วยลด selection bias และ confounding factors ได้ดีที่สุด เหมาะสมที่สุดในการนำมาใช้กำหนดเกณฑ์ประเมินการใช้ยา (Drug Use Evaluation)
🔍 ข้ออื่นผิดเพราะอะไร:
• ข้อ ก. (Cohort study, Case controlled study): เป็นงานวิจัยแบบสังเกต (Observational study) ซึ่งมีความน่าเชื่อถือระดับกลาง (Level II-III) มีโอกาสเกิด confounding factors สูงกว่า RCT
• ข้อ ข. (Case report, Cross-sectional study): Case report อยู่ในลำดับความน่าเชื่อถือต่ำสุดของหลักฐานทางคลินิก
• ข้อ ค. (Case controlled study, Cross-sectional study): เป็นการศึกษาแบบสังเกตที่ไม่มีการทดลองควบคุมแบบสุ่ม
• ข้อ จ. (Cross-sectional study, Randomized controlled study): Cross-sectional study มีความน่าเชื่อถือต่ำกว่า ไม่สามารถสรุปความสัมพันธ์เชิงสาเหตุและผลได้ชัดเจน
📖 Guideline อ้างอิง:
CEBM (Centre for Evidence-Based Medicine) Levels of Evidence &amp; WHO Guidelines on Drug Use Evaluation
📌 จุดจำก่อนสอบ:
• EBM Pyramid Hierarchy: Systematic Review / Meta-analysis &gt; Randomized Controlled Trial (RCT) &gt; Cohort Study &gt; Case-Control Study &gt; Cross-Sectional Study &gt; Case Series / Case Report</t>
        </is>
      </c>
      <c r="K16" s="46" t="n"/>
      <c r="L16" s="45" t="inlineStr">
        <is>
          <t>Evidence-Based Medicine</t>
        </is>
      </c>
      <c r="M16" s="46" t="inlineStr">
        <is>
          <t>Clinic</t>
        </is>
      </c>
      <c r="N16" s="45" t="inlineStr">
        <is>
          <t>ข้อ 14 Pharma Plus เล่มม่วง (เฉลยข้อ ง)</t>
        </is>
      </c>
      <c r="O16" s="46" t="inlineStr">
        <is>
          <t>Mock</t>
        </is>
      </c>
      <c r="P16" s="46" t="inlineStr">
        <is>
          <t>Pharma Plus เล่มม่วง</t>
        </is>
      </c>
    </row>
    <row r="17" ht="409.6" customHeight="1" s="37">
      <c r="A17" s="44" t="n">
        <v>15</v>
      </c>
      <c r="B17" s="45" t="inlineStr">
        <is>
          <t>จากรูปสูตรโครงสร้างข้อใดถูกต้อง</t>
        </is>
      </c>
      <c r="C17" s="46" t="n"/>
      <c r="D17" s="45" t="inlineStr">
        <is>
          <t>Cholestyramine ลดการดูดซึมยา simvastatin เพราะ simvastatin มี lactone ring ในโครงสร้าง</t>
        </is>
      </c>
      <c r="E17" s="45" t="inlineStr">
        <is>
          <t>Cholestyramine ลดการดูดซึมยา pravastatin เพราะ pravastatin มี carboxylic acid ในโครงสร้าง</t>
        </is>
      </c>
      <c r="F17" s="45" t="inlineStr">
        <is>
          <t>Simvastatin ลดการดูดซึมยา cholestyramine</t>
        </is>
      </c>
      <c r="G17" s="45" t="inlineStr">
        <is>
          <t>Cholestyramine ไม่มีผลต่อการดูดซึมยา simvastatin และ pravastatin</t>
        </is>
      </c>
      <c r="H17" s="45" t="inlineStr">
        <is>
          <t>Cholestyramine เพิ่มการดูดซึมยา simvastatin และ pravastatin</t>
        </is>
      </c>
      <c r="I17" s="46" t="n">
        <v>2</v>
      </c>
      <c r="J17" s="45" t="inlineStr">
        <is>
          <t>✅ คำตอบที่ถูกต้อง: ข้อ ข. Cholestyramine ลดการดูดซึมยา pravastatin เพราะ pravastatin มี carboxylic acid ในโครงสร้าง
💡 Background:
Cholestyramine เป็นสารเรซินแลกเปลี่ยนประจุลบ (Anion exchange resin) ที่มีประจุบวกตรึงแน่นอยู่ในโครงสร้าง จะจับกับสารหรือยาที่มีประจุลบ (กรดอินทรีย์) ในทางเดินอาหาร เกิดเป็นสารเชิงซ้อนที่ไม่ละลายน้ำและไม่ถูกดูดซึม
🎯 ทำไมข้อนี้ถึงถูก:
Pravastatin อยู่ในรูป active open-ring hydroxy acid ที่มีหมู่ Carboxylic acid (-COOH) ซึ่งแตกตัวให้ประจุลบ (-COO-) ที่ pH ของลำไส้ จึงสามารถจับกับประจุบวกของ Cholestyramine เกิดเป็น complex และถูกขับออกทางอุจจาระ ทำให้การดูดซึมของ Pravastatin ลดลงอย่างมีนัยสำคัญ (การจัดการ: ต้องให้ Pravastatin ก่อน Cholestyramine อย่างน้อย 1 ชั่วโมง หรือหลัง 4 ชั่วโมง)
🔍 ข้ออื่นผิดเพราะอะไร:
• ข้อ ก. (Cholestyramine ลดการดูดซึมยา simvastatin เพราะ simvastatin มี lactone ring): Simvastatin มีวงปิด lactone ไม่มีประจุลบ จึงไม่เกิดอันตรกิริยาการจับทางประจุกับ Cholestyramine โดยตรงเหมือนยากลุ่มกรด
• ข้อ ค. (Simvastatin ลดการดูดซึมยา cholestyramine): ผิดทิศทางของ drug interaction
• ข้อ ง. และ จ.: ผิด เนื่องจาก Cholestyramine มีผลลดการดูดซึมของ Pravastatin อย่างชัดเจน
📖 Guideline อ้างอิง:
Foye's Principles of Medicinal Chemistry (8th Edition) &amp; Micromedex Drug Interactions
📌 จุดจำก่อนสอบ:
• Cholestyramine Interaction Mechanism: Anion exchange resin จะจับกับยาที่เป็นกรด (acidic drugs ที่มีหมู่ -COOH) เช่น Pravastatin, Warfarin, Levothyroxine, Thiazides
• Administration Timing: ควรรับประทานยาอื่นก่อน Cholestyramine อย่างน้อย 1 ชั่วโมง หรือหลังรับประทาน Cholestyramine 4-6 ชั่วโมง</t>
        </is>
      </c>
      <c r="K17" s="46" t="n"/>
      <c r="L17" s="45" t="inlineStr">
        <is>
          <t>Dyslipidemias</t>
        </is>
      </c>
      <c r="M17" s="46" t="inlineStr">
        <is>
          <t>Clinic</t>
        </is>
      </c>
      <c r="N17" s="45" t="inlineStr">
        <is>
          <t>ข้อ 15 Pharma Plus เล่มม่วง (เฉลยข้อ ข)</t>
        </is>
      </c>
      <c r="O17" s="46" t="inlineStr">
        <is>
          <t>Mock</t>
        </is>
      </c>
      <c r="P17" s="46" t="inlineStr">
        <is>
          <t>Pharma Plus เล่มม่วง</t>
        </is>
      </c>
    </row>
    <row r="18" ht="409.6" customHeight="1" s="37">
      <c r="A18" s="44" t="n">
        <v>16</v>
      </c>
      <c r="B18" s="45" t="inlineStr">
        <is>
          <t>โครงสร้างที่แสดงข้างต้นสัมพันธ์กับการออกฤทธิ์ของยาอย่างไร</t>
        </is>
      </c>
      <c r="C18" s="46" t="n"/>
      <c r="D18" s="45" t="inlineStr">
        <is>
          <t>Pravastatin เป็น pro-drug</t>
        </is>
      </c>
      <c r="E18" s="45" t="inlineStr">
        <is>
          <t>Simvastatin และ Pravastatin เป็น pro-drug</t>
        </is>
      </c>
      <c r="F18" s="45" t="inlineStr">
        <is>
          <t>Pravastatin มีโครงสร้างที่ออกฤทธิ์ในร่างกาย 2 โครงสร้าง คือ โครงสร้างที่เกิดการเชื่อมเป็นวง lactone ring และรูปที่เป็น carboxylic acid</t>
        </is>
      </c>
      <c r="G18" s="45" t="inlineStr">
        <is>
          <t>Simvastatin มีโครงสร้างที่ออกฤทธิ์คือ โครงสร้างที่ lactone ring เปิด</t>
        </is>
      </c>
      <c r="H18" s="45" t="inlineStr">
        <is>
          <t>Simvastatin และ Pravastatin ไม่เป็น pro-drug</t>
        </is>
      </c>
      <c r="I18" s="46" t="n">
        <v>4</v>
      </c>
      <c r="J18" s="45" t="inlineStr">
        <is>
          <t>✅ คำตอบที่ถูกต้อง: ข้อ ง. Simvastatin มีโครงสร้างที่ออกฤทธิ์คือ โครงสร้างที่ lactone ring เปิด
💡 Background:
ยากลุ่ม Statins ที่เลียนแบบโครงสร้างของ HMG-CoA ในการจับกับเอนไซม์ HMG-CoA reductase ต้องมีส่วนโครงสร้างที่เรียกว่า dihydroxy heptanoic acid (open-ring hydroxy acid) ซึ่งคล้ายคลึงกับ intermediate ของปฏิกิริยา
🎯 ทำไมข้อนี้ถึงถูก:
Simvastatin และ Lovastatin ถูกสังเคราะห์ขึ้นมาในรูป Pro-drug ชนิดวงปิด แลคโตน (inactive cyclic lactone ring) ซึ่งในร่างกายจะต้องถูกไฮโดรไลซ์โดยเอนไซม์ Esterase ในตับให้วงแหวนเปิดออก กลายเป็นรูป Beta-hydroxy acid ที่มีหมู่ Carboxylate (-COO-) จึงจะมีฤทธิ์ในการยับยั้งเอนไซม์ HMG-CoA reductase ได้
🔍 ข้ออื่นผิดเพราะอะไร:
• ข้อ ก. (Pravastatin เป็น pro-drug): ผิด เพราะ Pravastatin มีโครงสร้างเป็นวงเปิด (open-ring hydroxy acid) อยู่แล้วตั้งแต่แรก จึงเป็น active drug ทันที ไม่ใช่ prodrug
• ข้อ ข. (Simvastatin และ Pravastatin เป็น pro-drug): ผิด เพราะเฉพาะ Simvastatin เท่านั้นที่เป็น prodrug
• ข้อ ค. (Pravastatin มีโครงสร้างที่ออกฤทธิ์ในร่างกาย 2 โครงสร้าง): ผิด เพราะรูปที่ออกฤทธิ์ต้องเป็น open-ring hydroxy acid เท่านั้น
• ข้อ จ. (Simvastatin และ Pravastatin ไม่เป็น pro-drug): ผิด เพราะ Simvastatin เป็น prodrug
📖 Guideline อ้างอิง:
Foye's Principles of Medicinal Chemistry (8th Edition) &amp; Goodman &amp; Gilman's The Pharmacological Basis of Therapeutics
📌 จุดจำก่อนสอบ:
• Statin Prodrugs (Lactone ring): Lovastatin และ Simvastatin (ต้องผ่าน hepatic hydrolysis เปิดวงแหวนก่อนออกฤทธิ์)
• Active Forms (Open ring): Pravastatin, Atorvastatin, Rosuvastatin, Fluvastatin, Pitavastatin (ออกฤทธิ์ได้ทันที ไม่ใช่ prodrug)</t>
        </is>
      </c>
      <c r="K18" s="46" t="n"/>
      <c r="L18" s="45" t="inlineStr">
        <is>
          <t>Dyslipidemias</t>
        </is>
      </c>
      <c r="M18" s="46" t="inlineStr">
        <is>
          <t>Clinic</t>
        </is>
      </c>
      <c r="N18" s="45" t="inlineStr">
        <is>
          <t>ข้อ 16 Pharma Plus เล่มม่วง (เฉลยข้อ ง)</t>
        </is>
      </c>
      <c r="O18" s="46" t="inlineStr">
        <is>
          <t>Mock</t>
        </is>
      </c>
      <c r="P18" s="46" t="inlineStr">
        <is>
          <t>Pharma Plus เล่มม่วง</t>
        </is>
      </c>
    </row>
    <row r="19" ht="409.6" customHeight="1" s="37">
      <c r="A19" s="44" t="n">
        <v>17</v>
      </c>
      <c r="B19"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Atenolol 50 mg PO OD, Ramipril 10 mg PO OD
Aspirin (ASA) 81 mg PO OD, Clopidogrel 75 mg PO OD
Isosorbide dinitrate (ISDN) SL 5 mg prn เจ็บอก
วันนี้ผู้ป่วยมาพบแพทย์ตามนัดและออกกำลังกายมาแล้ว 6 เดือน มีผลทางห้องปฏิบัติการดังนี้
TC 250 mg/dl, TG 245 mg/dl
ข้อแนะนำต่อไปนี้เหมาะสมที่สุดสำหรับผู้ป่วยรายนี้</t>
        </is>
      </c>
      <c r="C19" s="46" t="n"/>
      <c r="D19" s="45" t="inlineStr">
        <is>
          <t>เริ่มการรักษาโดยใช้ atorvastatin 40 mg ทุกเย็น และ follow up</t>
        </is>
      </c>
      <c r="E19" s="45" t="inlineStr">
        <is>
          <t>ผู้ป่วยมีปัจจัยเสี่ยงเพียง 1 ปัจจัย ดังนั้นควรใช้การควบคุมอาหารรักษาต่อไป</t>
        </is>
      </c>
      <c r="F19" s="45" t="inlineStr">
        <is>
          <t>เริ่มการรักษาโดยใช้ niacin 1 gm BID และ follow up ในอีก 6 เดือน</t>
        </is>
      </c>
      <c r="G19" s="45" t="inlineStr">
        <is>
          <t>เริ่มการรักษาโดยใช้ cholestyramine 4 gm BID</t>
        </is>
      </c>
      <c r="H19" s="45" t="inlineStr">
        <is>
          <t>เริ่มการรักษาโดยใช้ gemfibrozil 600 mg BID</t>
        </is>
      </c>
      <c r="I19" s="46" t="n">
        <v>1</v>
      </c>
      <c r="J19" s="45" t="inlineStr">
        <is>
          <t>✅ คำตอบที่ถูกต้อง: ข้อ ก. เริ่มการรักษาโดยใช้ atorvastatin 40 mg ทุกเย็น และ follow up
💡 Background:
ผู้ป่วยที่เกิดภาวะ Acute Myocardial Infarction (AMI) จัดเป็นผู้ป่วยกลุ่มความเสี่ยงสูงมาก (Very High Cardiovascular Risk / Established Clinical ASCVD) ซึ่งแนวทางเวชปฏิบัติระดับสากลและของไทยกำหนดให้ต้องเริ่มยากลุ่ม High-Intensity Statin ทันทีทุกรายโดยไม่ต้องรอผลระดับไขมัน
🎯 ทำไมข้อนี้ถึงถูก:
Atorvastatin 40 mg (หรือ 80 mg) จัดเป็น High-Intensity Statin ที่มีประสิทธิภาพในการลดระดับ LDL-C ได้ ≥ 50% และช่วย stabilization ของ atherosclerotic plaque ป้องกัน recurrent ischemic events และลดอัตราการเสียชีวิตอย่างมีนัยสำคัญ จึงเป็นการรักษาที่เหมาะสมที่สุดในผู้ป่วยหลังเกิด AMI
🔍 ข้ออื่นผิดเพราะอะไร:
• ข้อ ข. (ผู้ป่วยมีปัจจัยเสี่ยงเพียง 1 ปัจจัย...คุมอาหารต่อไป): ผิด เพราะผู้ป่วยรายนี้เกิด AMI ไปแล้ว จัดเป็น Clinical ASCVD ไม่ใช่ผู้ป่วยที่มีความเสี่ยงต่ำ ต้องได้รับยา High-intensity statin ทันที
• ข้อ ค. (เริ่ม niacin 1 gm BID): Niacin ไม่ใช่ยาทางเลือกแรก และไม่มีหลักฐานสนับสนุนว่าช่วยลดอัตราการตายใน post-AMI
• ข้อ ง. (เริ่ม cholestyramine 4 gm BID): ไม่ใช่ first-line และลด LDL-C ได้ไม่เพียงพอใน ASCVD
• ข้อ จ. (เริ่ม gemfibrozil 600 mg BID): Fibrate ไม่ใช่ยาอันดับแรกในผู้ป่วยที่มี TG 245 mg/dL (เป้าหมายหลักคือการลด LDL-C ด้วย High-intensity statin)
📖 Guideline อ้างอิง:
แนวทางเวชปฏิบัติการรักษาภาวะไขมันผิดปกติในเลือดเพื่อป้องกันโรคหัวใจและหลอดเลือด พ.ศ. 2559 &amp; 2023 ESC Guidelines for the Management of Acute Coronary Syndromes
📌 จุดจำก่อนสอบ:
• Secondary Prevention in ASCVD: ผู้ป่วย Post-ACS / Post-MI ทุกราย ต้องเริ่ม High-intensity Statin ทันที (Atorvastatin 40-80 mg หรือ Rosuvastatin 20-40 mg) โดยมีเป้าหมายลด LDL-C ≥ 50% และระดับ LDL-C &lt; 55-70 mg/dL</t>
        </is>
      </c>
      <c r="K19" s="46" t="n"/>
      <c r="L19" s="45" t="inlineStr">
        <is>
          <t>Coronary artery disease</t>
        </is>
      </c>
      <c r="M19" s="46" t="inlineStr">
        <is>
          <t>Clinic</t>
        </is>
      </c>
      <c r="N19" s="45" t="inlineStr">
        <is>
          <t>ข้อ 17 Pharma Plus เล่มม่วง (เฉลยข้อ ก)</t>
        </is>
      </c>
      <c r="O19" s="46" t="inlineStr">
        <is>
          <t>Mock</t>
        </is>
      </c>
      <c r="P19" s="46" t="inlineStr">
        <is>
          <t>Pharma Plus เล่มม่วง</t>
        </is>
      </c>
    </row>
    <row r="20" ht="409.6" customHeight="1" s="37">
      <c r="A20" s="44" t="n">
        <v>18</v>
      </c>
      <c r="B20"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ความเสี่ยงของการเกิดภาวะกล้ามเนื้ออักเสบและกล้ามเนื้อสลาย (rhabdomyolysis) จากการใช้ยากลุ่ม statin จะเพิ่มสูงขึ้นเมื่อใช้ร่วมกับยาชนิดใดมากที่สุด</t>
        </is>
      </c>
      <c r="C20" s="46" t="n"/>
      <c r="D20" s="45" t="inlineStr">
        <is>
          <t>Gemfibrozil</t>
        </is>
      </c>
      <c r="E20" s="45" t="inlineStr">
        <is>
          <t>Niacin</t>
        </is>
      </c>
      <c r="F20" s="45" t="inlineStr">
        <is>
          <t>Cholestyramine</t>
        </is>
      </c>
      <c r="G20" s="45" t="inlineStr">
        <is>
          <t>Propranolol</t>
        </is>
      </c>
      <c r="H20" s="45" t="inlineStr">
        <is>
          <t>Enalapril</t>
        </is>
      </c>
      <c r="I20" s="46" t="n">
        <v>1</v>
      </c>
      <c r="J20" s="45" t="inlineStr">
        <is>
          <t>✅ คำตอบที่ถูกต้อง: ข้อ ก. Gemfibrozil
💡 Background:
ภาวะพิษต่อกล้ามเนื้อ (Myopathy and Rhabdomyolysis) จากยากลุ่ม Statins เป็นอาการไม่พึงประสงค์ที่รุนแรงและอาจทำให้เกิดเฉียบพลันไตวาย (AKI จาก myoglobinuria) โดยความเสี่ยงจะเพิ่มขึ้นอย่างมหาศาลเมื่อใช้ร่วมกับยาที่ยับยั้งกระบวนการขจัด Statin ออกจากร่างกาย
🎯 ทำไมข้อนี้ถึงถูก:
Gemfibrozil ยับยั้งเอนไซม์ UDP-glucuronosyltransferase (UGT1A1, UGT1A3) ซึ่งเป็นวิถีหลักในการเปลี่ยนสภาพของ Statins ส่วนใหญ่ และยังยับยั้ง hepatic uptake transporter (OATP1B1) ทำให้ระดับยา Statin ในพลาสมาพุ่งสูงขึ้นหลายเท่าตัว เพิ่มความเสี่ยงต่อการเกิด Rhabdomyolysis อย่างรุนแรง จึงเป็น ข้อห้ามใช้ร่วมกันเด็ดขาด (หากจำเป็นต้องใช้ Statin ร่วมกับ Fibrate แนะนำให้เลือก Fenofibrate แทน เนื่องจากไม่รบกวน glucuronidation)
🔍 ข้ออื่นผิดเพราะอะไร:
• ข้อ ข. (Niacin): เพิ่มความเสี่ยงกล้ามเนื้อได้เล็กน้อย แต่น้อยกว่า Gemfibrozil มาก
• ข้อ ค. (Cholestyramine): ไม่เพิ่มพิษต่อกล้ามเนื้อ ในทางกลับกันจะลดการดูดซึมของ statin บางตัว
• ข้อ ง. (Propranolol): ไม่มีอันตรกิริยาเพิ่มพิษต่อกล้ามเนื้อกับ statin
• ข้อ จ. (Enalapril): ไม่มีอันตรกิริยาเพิ่มความเสี่ยง rhabdomyolysis ร่วมกับ statin
📖 Guideline อ้างอิง:
แนวทางเวชปฏิบัติการรักษาภาวะไขมันผิดปกติในเลือด พ.ศ. 2559 &amp; 2018 AHA/ACC Blood Cholesterol Guidelines
📌 จุดจำก่อนสอบ:
• Absolute Contraindication: ห้ามใช้ Gemfibrozil ร่วมกับ Statins เด็ดขาด เนื่องจากยับยั้ง OATP1B1 และ Glucuronidation เสี่ยง Rhabdomyolysis สูงมาก
• Safer Fibrate Alternative: หากจำเป็นต้องให้ Fibrate ร่วมกับ Statin (เช่น TG สูงมาก) ต้องเลือก Fenofibrate เท่านั้น</t>
        </is>
      </c>
      <c r="K20" s="46" t="n"/>
      <c r="L20" s="45" t="inlineStr">
        <is>
          <t>Dyslipidemias</t>
        </is>
      </c>
      <c r="M20" s="46" t="inlineStr">
        <is>
          <t>Clinic</t>
        </is>
      </c>
      <c r="N20" s="45" t="inlineStr">
        <is>
          <t>ข้อ 18 Pharma Plus เล่มม่วง (เฉลยข้อ ก)</t>
        </is>
      </c>
      <c r="O20" s="46" t="inlineStr">
        <is>
          <t>Mock</t>
        </is>
      </c>
      <c r="P20" s="46" t="inlineStr">
        <is>
          <t>Pharma Plus เล่มม่วง</t>
        </is>
      </c>
    </row>
    <row r="21" ht="409.6" customHeight="1" s="37">
      <c r="A21" s="44" t="n">
        <v>19</v>
      </c>
      <c r="B21"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ข้อใดถูกต้องเกี่ยวกับอาการไม่พึงประสงค์</t>
        </is>
      </c>
      <c r="C21" s="46" t="n"/>
      <c r="D21" s="45" t="inlineStr">
        <is>
          <t>Atenolol อาการหอบ</t>
        </is>
      </c>
      <c r="E21" s="45" t="inlineStr">
        <is>
          <t>Ramipril ภาวะ hypokalemia</t>
        </is>
      </c>
      <c r="F21" s="45" t="inlineStr">
        <is>
          <t>Cholestyramine กล้ามเนื้ออ่อนแรง</t>
        </is>
      </c>
      <c r="G21" s="45" t="inlineStr">
        <is>
          <t>Gemfibrozil ตามัว (blurred vision)</t>
        </is>
      </c>
      <c r="H21" s="45" t="inlineStr">
        <is>
          <t>Isosorbide mononitrate ปวดศีรษะ</t>
        </is>
      </c>
      <c r="I21" s="46" t="n">
        <v>5</v>
      </c>
      <c r="J21" s="45" t="inlineStr">
        <is>
          <t>✅ คำตอบที่ถูกต้อง: ข้อ จ. Isosorbide mononitrate ปวดศีรษะ
💡 Background:
การใช้ยาในผู้ป่วยกล้ามเนื้อหัวใจขาดเลือดเฉียบพลันและเจ็บแน่นหน้าอก ต้องเฝ้าระวังอาการไม่พึงประสงค์ที่มีลักษณะเฉพาะของยาแต่ละกลุ่ม เพื่อให้การบริบาลทางเภสัชกรรมและการให้คำปรึกษาแก่ผู้ป่วยเป็นไปอย่างถูกต้อง
🎯 ทำไมข้อนี้ถึงถูก:
ยากลุ่ม Nitrates (เช่น Isosorbide mononitrate, Isosorbide dinitrate) ออกฤทธิ์ปลดปล่อย Nitric Oxide (NO) ทำให้เกิดการขยายตัวของหลอดเลือดดำและหลอดเลือดแดงทั่วร่างกาย ผลจากการขยายตัวของหลอดเลือดสมอง (cerebral vasodilation) มักทำให้เกิดอาการปวดศีรษะตุบๆ (Throbbing headache) ซึ่งเป็นอาการข้างเคียงที่พบบ่อยที่สุดของยากลุ่มนี้ (มักเกิดในช่วงแรกของการเริ่มยาและอาการจะค่อยๆ ดีขึ้นเมื่อใช้ยาต่อเนื่อง)
🔍 ข้ออื่นผิดเพราะอะไร:
• ข้อ ก. (Atenolol อาการหอบ): แม้ Beta-blockers อาจกระตุ้น bronchospasm ในผู้ป่วยหอบหืด แต่ Atenolol เป็น cardioselective beta-1 blocker จึงมีผลต่อหลอดลมน้อยกว่า non-selective
• ข้อ ข. (Ramipril ภาวะ hypokalemia): ผิด เพราะ Ramipril เป็น ACEI ยับยั้ง Aldosterone จึงทำให้เกิด Hyperkalemia (โพแทสเซียมสูง) ไม่ใช่ hypokalemia
• ข้อ ค. (Cholestyramine กล้ามเนื้ออ่อนแรง): ผิด ผลข้างเคียงเด่นของ Cholestyramine คือท้องผูก แน่นท้อง ไม่ใช่กล้ามเนื้ออ่อนแรง
• ข้อ ง. (Gemfibrozil ตามัว): ไม่ใช่อาการไม่พึงประสงค์หลักของ Fibrates
📖 Guideline อ้างอิง:
แนวทางการดูแลรักษาผู้ป่วยโรคกล้ามเนื้อหัวใจขาดเลือดเฉียบพลัน พ.ศ. 2563 (สมาคมแพทย์โรคหัวใจแห่งประเทศไทย) &amp; Goodman &amp; Gilman's The Pharmacological Basis of Therapeutics
📌 จุดจำก่อนสอบ:
• Nitrate ADRs: ปวดศีรษะ (Headache), หน้าแดง ร้อนวูบวาบ (Flushing), เวียนศีรษะจากความดันตกขณะเปลี่ยนท่า (Orthostatic hypotension), และ Reflex tachycardia
• Nitrate Tolerance: ต้องเว้นช่วงการใช้ยาปลอดไนเตรต (Nitrate-free interval) วันละ 10-12 ชั่วโมง เพื่อป้องกันภาวะดื้อยา</t>
        </is>
      </c>
      <c r="K21" s="46" t="n"/>
      <c r="L21" s="45" t="inlineStr">
        <is>
          <t>Coronary artery disease</t>
        </is>
      </c>
      <c r="M21" s="46" t="inlineStr">
        <is>
          <t>Clinic</t>
        </is>
      </c>
      <c r="N21" s="45" t="inlineStr">
        <is>
          <t>ข้อ 19 Pharma Plus เล่มม่วง (เฉลยข้อ จ)</t>
        </is>
      </c>
      <c r="O21" s="46" t="inlineStr">
        <is>
          <t>Mock</t>
        </is>
      </c>
      <c r="P21" s="46" t="inlineStr">
        <is>
          <t>Pharma Plus เล่มม่วง</t>
        </is>
      </c>
    </row>
    <row r="22" ht="409.6" customHeight="1" s="37">
      <c r="A22" s="44" t="n">
        <v>20</v>
      </c>
      <c r="B22"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กลไกการออกฤทธิ์ของ atenolol</t>
        </is>
      </c>
      <c r="C22" s="46" t="n"/>
      <c r="D22" s="45" t="inlineStr">
        <is>
          <t>เพิ่ม Heart rate ลดแรงบีบตัวของหัวใจทำให้ cardiac output เพิ่มขึ้น</t>
        </is>
      </c>
      <c r="E22" s="45" t="inlineStr">
        <is>
          <t>ลด Heart rate ลดแรงบีบตัวของหัวใจทำให้ cardiac output เพิ่มขึ้น</t>
        </is>
      </c>
      <c r="F22" s="45" t="inlineStr">
        <is>
          <t>ลด Heart rate ลดแรงบีบตัวของหัวใจทำให้ cardiac output ลดลง</t>
        </is>
      </c>
      <c r="G22" s="45" t="inlineStr">
        <is>
          <t>กระตุ้นการหลั่ง Renin ที่ไต</t>
        </is>
      </c>
      <c r="H22" s="45" t="inlineStr">
        <is>
          <t>ทำให้เกิด Negative feedback และ compensatory outflow จากระบบประสาทส่วนกลาง</t>
        </is>
      </c>
      <c r="I22" s="46" t="n">
        <v>3</v>
      </c>
      <c r="J22" s="45" t="inlineStr">
        <is>
          <t>✅ คำตอบที่ถูกต้อง: ข้อ ค. ลด Heart rate ลดแรงบีบตัวของหัวใจทำให้ cardiac output ลดลง
💡 Background:
Atenolol เป็นยากลุ่ม Cardioselective Beta-1 Adrenergic Receptor Antagonist นิยมใช้ในการรักษาภาวะหลอดเลือดหัวใจตีบและเจ็บแน่นหน้าอก (Angina pectoris)
🎯 ทำไมข้อนี้ถึงถูก:
Atenolol ยับยั้งตัวรับ Beta-1 receptor ที่กล้ามเนื้อหัวใจและระบบนำไฟฟ้าของหัวใจ ส่งผลให้:
1. Negative chronotropic effect: ลดอัตราการเต้นของหัวใจ (Heart rate ลดลง)
2. Negative inotropic effect: ลดแรงบีบตัวของกล้ามเนื้อหัวใจ (Myocardial contractility ลดลง)
เมื่อ Heart rate และ Stroke volume ลดลง จึงส่งผลให้ Cardiac Output (CO) ลดลงตามสมการ CO = HR x SV ช่วยลด myocardial oxygen demand ทำให้บรรเทาอาการกล้ามเนื้อหัวใจขาดเลือดและป้องกันการเจ็บหน้าอกได้อย่างมีประสิทธิภาพ
🔍 ข้ออื่นผิดเพราะอะไร:
• ข้อ ก. และ ข.: ผิด เพราะ Atenolol ลดแรงบีบตัวและลดอัตราเต้นของหัวใจ ทำให้ Cardiac Output 'ลดลง' ไม่ใช่เพิ่มขึ้น
• ข้อ ง. (กระตุ้นการหลั่ง Renin ที่ไต): ผิด เพราะการยับยั้ง Beta-1 receptor ที่ juxtaglomerular apparatus ของไตจะ 'ลด' การหลั่ง Renin
• ข้อ จ. (ทำให้เกิด compensatory outflow จากระบบประสาทส่วนกลาง): ไม่ใช่กลไกหลักในการออกฤทธิ์ทางเภสัชวิทยา
📖 Guideline อ้างอิง:
Goodman &amp; Gilman's: The Pharmacological Basis of Therapeutics (14th Edition) &amp; 2023 ESC Guidelines for Acute Coronary Syndromes
📌 จุดจำก่อนสอบ:
• Beta-1 Blocker Hemodynamic Effects: Negative chronotrope (ลด HR), Negative inotrope (ลด Contractility), Negative dromotrope (ลด AV conduction velocity) นำไปสู่การลดลงของ Cardiac Output และลด Myocardial Oxygen Consumption</t>
        </is>
      </c>
      <c r="K22" s="46" t="n"/>
      <c r="L22" s="45" t="inlineStr">
        <is>
          <t>Coronary artery disease</t>
        </is>
      </c>
      <c r="M22" s="46" t="inlineStr">
        <is>
          <t>Clinic</t>
        </is>
      </c>
      <c r="N22" s="45" t="inlineStr">
        <is>
          <t>ข้อ 20 Pharma Plus เล่มม่วง (เฉลยข้อ ค)</t>
        </is>
      </c>
      <c r="O22" s="46" t="inlineStr">
        <is>
          <t>Mock</t>
        </is>
      </c>
      <c r="P22" s="46" t="inlineStr">
        <is>
          <t>Pharma Plus เล่มม่วง</t>
        </is>
      </c>
    </row>
    <row r="23" ht="409.6" customHeight="1" s="37">
      <c r="A23" s="44" t="n">
        <v>21</v>
      </c>
      <c r="B23"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ท่านจะแนะนำการใช้ Sublingual isosorbide dinitrate แก่ผู้ป่วยอย่างไร</t>
        </is>
      </c>
      <c r="C23" s="46" t="n"/>
      <c r="D23" s="45" t="inlineStr">
        <is>
          <t>รับประทานยาแล้วดื่มน้ำตามมากๆ เวลามีอาการ</t>
        </is>
      </c>
      <c r="E23" s="45" t="inlineStr">
        <is>
          <t>เคี้ยวยาให้ละเอียดก่อนกลืนเวลามีอาการ</t>
        </is>
      </c>
      <c r="F23" s="45" t="inlineStr">
        <is>
          <t>เมื่อลืมรับประทานยา ให้รับประทานยาเพิ่มเป็น 2 เม็ดได้</t>
        </is>
      </c>
      <c r="G23" s="45" t="inlineStr">
        <is>
          <t>เมื่อมีอาการอมยาไว้ใต้ลิ้นจนกว่ายาจะละลายหมดโดยพยายามไม่กลืนน้ำลาย</t>
        </is>
      </c>
      <c r="H23" s="45" t="inlineStr">
        <is>
          <t>เมื่อมีอาการอมยาไว้ปากระหว่างเหงือกและกระพุ้งแก้มจนยาละลายหมด ไม่กลืนน้ำลาย</t>
        </is>
      </c>
      <c r="I23" s="46" t="n">
        <v>4</v>
      </c>
      <c r="J23" s="45" t="inlineStr">
        <is>
          <t>✅ คำตอบที่ถูกต้อง: ข้อ ง. เมื่อมีอาการอมยาไว้ใต้ลิ้นจนกว่ายาจะละลายหมดโดยพยายามไม่กลืนน้ำลาย
💡 Background:
Isosorbide dinitrate (ISDN) ชนิดอมใต้ลิ้น (Sublingual) ใช้สำหรับบรรเทาอาการเจ็บแน่นหน้าอกเฉียบพลันจากกล้ามเนื้อหัวใจขาดเลือด (Acute Anginal Attack)
🎯 ทำไมข้อนี้ถึงถูก:
การบริหารยาอมใต้ลิ้น ตัวยาจะถูกดูดซึมผ่านหลอดเลือดฝอยใต้ลิ้นเข้าสู่ระบบไหลเวียนโลหิตโดยตรง โดยไม่ผ่านการทำลายที่ตับในรอบแรก (Avoid First-pass hepatic metabolism) จึงออกฤทธิ์ได้อย่างรวดเร็วภายใน 2-5 นาที คำแนะนำที่ถูกต้องคือ ให้อมยาไว้ใต้ลิ้นจนละลายหมด ห้ามเคี้ยว ห้ามกลืนเม็ดยา และพยายามอย่ากลืนน้ำลายขณะยาละลายเพื่อให้ยาดูดซึมผ่านเยื่อบุใต้ลิ้นได้สูงสุด
🔍 ข้ออื่นผิดเพราะอะไร:
• ข้อ ก. (ดื่มน้ำตามมากๆ): ผิด เพราะการดื่มน้ำจะชะล้างตัวยาลงสู่กระเพาะอาหาร ทำให้ยาถูกทำลายที่ตับ (High first-pass metabolism) และออกฤทธิ์ช้าลงอย่างมาก
• ข้อ ข. (เคี้ยวยาให้ละเอียดก่อนกลืน): ผิด เพราะยาชนิดอมใต้ลิ้นไม่ได้ออกแบบมาให้กลืน
• ข้อ ค. (เมื่อลืมรับประทาน ให้เพิ่มเป็น 2 เม็ด): ยานี้เป็นยาใช้เฉพาะเวลามีอาการ (prn) ไม่ใช่ยากินตามเวลาประจำ จึงไม่มีการกินเบิ้ลมื้อยา
• ข้อ จ. (อมระหว่างเหงือกและกระพุ้งแก้ม): เป็นวิธีของ Buccal tablet ไม่ใช่ Sublingual tablet
📖 Guideline อ้างอิง:
คู่มือทักษะการบริบาลทางเภสัชกรรม (สภาเภสัชกรรม) &amp; แนวทางการดูแลรักษาผู้ป่วยโรคกล้ามเนื้อหัวใจขาดเลือดเฉียบพลัน พ.ศ. 2563
📌 จุดจำก่อนสอบ:
• SL Nitrate Instructions: นั่งพักก่อนอมยา (ป้องกันหน้ามืดจาก postural hypotension), อมใต้ลิ้นห้ามกลืนน้ำลาย/ห้ามดื่มน้ำ, หากอมเม็ดแรก 5 นาทีไม่ดีขึ้นให้อมซ้ำเม็ดที่ 2 และรีบไปโรงพยาบาลหรือโทร 1669 ทันที (อมได้สูงสุด 3 เม็ด ห่างกันทุก 5 นาที)</t>
        </is>
      </c>
      <c r="K23" s="46" t="n"/>
      <c r="L23" s="45" t="inlineStr">
        <is>
          <t>Coronary artery disease</t>
        </is>
      </c>
      <c r="M23" s="46" t="inlineStr">
        <is>
          <t>Clinic</t>
        </is>
      </c>
      <c r="N23" s="45" t="inlineStr">
        <is>
          <t>ข้อ 21 Pharma Plus เล่มม่วง (เฉลยข้อ ง)</t>
        </is>
      </c>
      <c r="O23" s="46" t="inlineStr">
        <is>
          <t>Mock</t>
        </is>
      </c>
      <c r="P23" s="46" t="inlineStr">
        <is>
          <t>Pharma Plus เล่มม่วง</t>
        </is>
      </c>
    </row>
    <row r="24" ht="409.6" customHeight="1" s="37">
      <c r="A24" s="44" t="n">
        <v>22</v>
      </c>
      <c r="B24" s="45"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แพทย์สั่งให้ใช้ isosorbide mononitrate 20 mg. จะเขียนคำแนะนำในการใช้อย่างไร จึงจะเหมาะสมที่สุด</t>
        </is>
      </c>
      <c r="C24" s="46" t="n"/>
      <c r="D24" s="45" t="inlineStr">
        <is>
          <t>รับประทานวันละ 2 ครั้ง เช้า-เย็น</t>
        </is>
      </c>
      <c r="E24" s="45" t="inlineStr">
        <is>
          <t>รับประทานวันละ 2 ครั้ง เช้า-บ่าย (3 โมง)</t>
        </is>
      </c>
      <c r="F24" s="45" t="inlineStr">
        <is>
          <t>รับประทานวันละ 2 ครั้ง เช้า-ก่อนนอน</t>
        </is>
      </c>
      <c r="G24" s="45" t="inlineStr">
        <is>
          <t>อมใต้ลิ้น วันละ 2 ครั้ง เช้า-เย็น</t>
        </is>
      </c>
      <c r="H24" s="45" t="inlineStr">
        <is>
          <t>อมใต้ลิ้น วันละ 2 ครั้ง เช้า-บ่าย (3 โมง)</t>
        </is>
      </c>
      <c r="I24" s="46" t="n">
        <v>2</v>
      </c>
      <c r="J24" s="45" t="inlineStr">
        <is>
          <t>✅ คำตอบที่ถูกต้อง: ข้อ ข. รับประทานวันละ 2 ครั้ง เช้า-บ่าย (3 โมง)
💡 Background:
Isosorbide mononitrate (ISMN) ชนิดรับประทานวันละ 2 ครั้ง (Immediate release เช่น ขนาด 20 mg) มีปัญหาสำคัญคือการเกิดภาวะดื้อยาต่อไนเตรต (Nitrate tolerance) หากมีระดับยาในกระแสเลือดคงที่ตลอด 24 ชั่วโมง ซึ่งเกิดจากการหมดไปของหมู่ sulfhydryl (-SH) ที่จำเป็นต่อการสร้าง nitric oxide
🎯 ทำไมข้อนี้ถึงถูก:
เพื่อป้องกัน Nitrate Tolerance การให้ยา ISMN ชนิดธรรมดาแบบ BID จึงต้องใช้รูปแบบการให้ยาที่ไม่สมมาตร (Eccentric / Asymmetric dosing) โดยให้ห่างกันประมาณ 7-8 ชั่วโมง เช่น รับประทานเวลา 07.00-08.00 น. (เช้า) และ 14.00-15.00 น. (บ่าย) เพื่อให้มีช่วงเวลาปลอดไนเตรต (Nitrate-free interval) อย่างน้อย 10-14 ชั่วโมงในช่วงค่ำถึงเช้าวันถัดไป ซึ่งเป็นช่วงที่ร่างกายได้พักผ่อนและฟื้นฟูความไวต่อยา
🔍 ข้ออื่นผิดเพราะอะไร:
• ข้อ ก. (รับประทาน เช้า-เย็น): การให้ห่างกัน 12 ชั่วโมง จะทำให้ระดับยาคงที่ตลอดเวลา ส่งผลให้เกิดภาวะ Nitrate tolerance ภายใน 24-48 ชั่วโมง และยาจะหมดประสิทธิภาพในการขยายหลอดเลือด
• ข้อ ค. (รับประทาน เช้า-ก่อนนอน): การให้ก่อนนอนไม่ทำให้เกิด nitrate-free interval และช่วงกลางวันระดับยาอาจไม่ครอบคลุม
• ข้อ ง. และ จ. (อมใต้ลิ้น...): ผิด เพราะ Isosorbide mononitrate ขนาด 20 mg เป็นยารับประทานกลืนทั้งเม็ด ไม่ใช่ยาอมใต้ลิ้น
📖 Guideline อ้างอิง:
แนวทางการดูแลรักษาผู้ป่วยโรคกล้ามเนื้อหัวใจขาดเลือดเฉียบพลัน พ.ศ. 2563 &amp; Goodman &amp; Gilman's The Pharmacological Basis of Therapeutics
📌 จุดจำก่อนสอบ:
• Nitrate Tolerance Prevention: ต้องมี Nitrate-Free Interval อย่างน้อย 10-12 ชั่วโมงต่อวัน
• ISMN Dosing Regimen: รับประทาน 2 ครั้งต่อวัน ให้กินห่างกัน 7-8 ชั่วโมง (เช่น 08.00 น. และ 15.00 น.) ห้ามสั่งเช้า-เย็นเด็ดขาด
• Once-Daily Form: หากเป็น Extended Release (ISMN SR 30 หรือ 60 mg) ให้รับประทานวันละครั้งตอนเช้า</t>
        </is>
      </c>
      <c r="K24" s="46" t="n"/>
      <c r="L24" s="45" t="inlineStr">
        <is>
          <t>Coronary artery disease</t>
        </is>
      </c>
      <c r="M24" s="46" t="inlineStr">
        <is>
          <t>Clinic</t>
        </is>
      </c>
      <c r="N24" s="45" t="inlineStr">
        <is>
          <t>ข้อ 22 Pharma Plus เล่มม่วง (เฉลยข้อ ข)</t>
        </is>
      </c>
      <c r="O24" s="46" t="inlineStr">
        <is>
          <t>Mock</t>
        </is>
      </c>
      <c r="P24" s="46" t="inlineStr">
        <is>
          <t>Pharma Plus เล่มม่วง</t>
        </is>
      </c>
    </row>
    <row r="25" ht="409.6" customHeight="1" s="37">
      <c r="A25" s="44" t="n">
        <v>23</v>
      </c>
      <c r="B25" s="45" t="inlineStr">
        <is>
          <t>ข้อใดไม่ใช่เหตุผลในการเลือกจ่ายยาคุมชนิด Progestin เพียงตัวเดียว (POPs) แทนการจ่ายยาคุมชนิดฮอร์โมนรวม (COCs)</t>
        </is>
      </c>
      <c r="C25" s="46" t="n"/>
      <c r="D25" s="45" t="inlineStr">
        <is>
          <t>มีภาวะปวดหัวไมเกรนรุนแรง</t>
        </is>
      </c>
      <c r="E25" s="45" t="inlineStr">
        <is>
          <t>อยู่ระหว่างการให้นมบุตร</t>
        </is>
      </c>
      <c r="F25" s="45" t="inlineStr">
        <is>
          <t>มีเลือดออกกระปริดกระปรอย</t>
        </is>
      </c>
      <c r="G25" s="45" t="inlineStr">
        <is>
          <t>มีโรคเกี่ยวกับหลอดเลือดหัวใจ</t>
        </is>
      </c>
      <c r="H25" s="45" t="inlineStr">
        <is>
          <t>มีอาการคลื่นไส้ อาเจียนจากเอสโตรเจน</t>
        </is>
      </c>
      <c r="I25" s="46" t="n">
        <v>3</v>
      </c>
      <c r="J25" s="45" t="inlineStr">
        <is>
          <t>✅ คำตอบที่ถูกต้อง: ข้อ ค. มีเลือดออกกระปริดกระปรอย
💡 Background:
ยาเม็ดคุมกำเนิดชนิดฮอร์โมนรวม (Combined Oral Contraceptives; COCs) มีเอสโตรเจนเป็นส่วนประกอบ ซึ่งเพิ่มความเสี่ยงต่อการเกิดลิ่มเลือดอุดตันในหลอดเลือดดำ (VTE) และความดันโลหิตสูง ดังนั้นในผู้หญิงที่มีข้อห้ามใช้เอสโตรเจน จึงแนะนำให้เปลี่ยนมาใช้ยาคุมชนิดโพรเจสตินเดี่ยว (Progestin-Only Pills; POPs)
🎯 ทำไมข้อนี้ถึงถูก:
อาการเลือดออกกะปริดกะปรอยทางช่องคลอด (Unscheduled / Breakthrough bleeding) เป็นผลข้างเคียงที่พบบ่อยที่สุดของยาคุมชนิด Progestin เดี่ยว (POPs) ไม่ใช่เหตุผลในการเลือกใช้ยา POPs แต่ในทางกลับกัน หากผู้ป่วยมีปัญหาเลือดออกกะปริดกะปรอยบ่อย แพทย์หรือเภสัชกรมักพิจารณาปรับเพิ่มขนาดยาเอสโตรเจนใน COCs เพื่อช่วยควบคุมเยื่อบุมดลูกให้คงตัว
🔍 ข้ออื่นผิดเพราะอะไร:
• ข้อ ก. (มีภาวะปวดหัวไมเกรนรุนแรง): ไมเกรนที่มีอาการเตือน (Migraine with aura) เป็นข้อห้ามใช้เด็ดขาด (WHO Category 4) ของ COCs เพราะเพิ่มความเสี่ยงต่อ Ischemic stroke จึงเป็นเหตุผลที่ถูกต้องในการเลือกใช้ POPs
• ข้อ ข. (อยู่ระหว่างการให้นมบุตร): เอสโตรเจนยับยั้งการหลั่งน้ำนม จึงแนะนำให้ใช้ POPs แทนในหญิงให้นมบุตร (WHO Category 1)
• ข้อ ง. (มีโรคเกี่ยวกับหลอดเลือดหัวใจ): โรคหลอดเลือดหัวใจและประวัติ VTE ห้ามใช้ COCs จึงต้องเลี่ยงมาใช้ POPs
• ข้อ จ. (มีอาการคลื่นไส้ อาเจียนจากเอสโตรเจน): เอสโตรเจนกระตุ้น CTZ ทำให้คลื่นไส้อาเจียน การเปลี่ยนเป็น POPs จึงช่วยแก้ปัญหานี้ได้
📖 Guideline อ้างอิง:
WHO Medical Eligibility Criteria for Contraceptive Use (5th Edition) &amp; ราชวิทยาลัยสูตินรีแพทย์แห่งประเทศไทย
📌 จุดจำก่อนสอบ:
• Absolute Contraindications of Estrogen (COCs): Migraine with aura, ประวัติ VTE/PE, CAD/Stroke, Severe hypertension (≥160/100 mmHg), สูบบุหรี่อายุ ≥ 35 ปี
• POPs Key ADR: เลือดออกกะปริดกะปรอย (Irregular bleeding) เป็นผลข้างเคียงอันดับหนึ่งที่ต้องให้คำปรึกษาแก่ผู้ป่วย</t>
        </is>
      </c>
      <c r="K25" s="46" t="n"/>
      <c r="L25" s="45" t="inlineStr">
        <is>
          <t>Contraception &amp; Cardiovascular Risk</t>
        </is>
      </c>
      <c r="M25" s="46" t="inlineStr">
        <is>
          <t>Clinic</t>
        </is>
      </c>
      <c r="N25" s="45" t="inlineStr">
        <is>
          <t>Mock PLE-CC 1 ข้อ 88</t>
        </is>
      </c>
      <c r="O25" s="46" t="inlineStr">
        <is>
          <t>Mock</t>
        </is>
      </c>
      <c r="P25" s="46" t="inlineStr">
        <is>
          <t>Mock RxCU83</t>
        </is>
      </c>
      <c r="Q25" s="2" t="n"/>
    </row>
    <row r="26" ht="409.6" customHeight="1" s="37">
      <c r="A26" s="44" t="n">
        <v>24</v>
      </c>
      <c r="B26" s="45" t="inlineStr">
        <is>
          <t>ผู้ป่วยได้รับการวินิจฉัยภาวะหัวใจเต้นผิดจังหวะ (Atrial Fibrillation) ได้รับยา Warfarin ข้อใดถูกต้องเกี่ยวกับยารักษาวัณโรคที่ส่งผลกระทบต่อระดับยา Warfarin</t>
        </is>
      </c>
      <c r="C26" s="46" t="n"/>
      <c r="D26" s="45" t="inlineStr">
        <is>
          <t>Isoniazid ส่งผลให้ระดับยา warfarin ลดลง</t>
        </is>
      </c>
      <c r="E26" s="45" t="inlineStr">
        <is>
          <t>Rifampin ส่งผลให้ระดับยา warfarin ลดลง</t>
        </is>
      </c>
      <c r="F26" s="45" t="inlineStr">
        <is>
          <t>Pyrazinamide ส่งผลให้ระดับยา warfarin เพิ่มขึ้น</t>
        </is>
      </c>
      <c r="G26" s="45" t="inlineStr">
        <is>
          <t>Ethambutol ส่งผลให้ระดับยา warfarin ลดลง</t>
        </is>
      </c>
      <c r="H26" s="45" t="inlineStr">
        <is>
          <t>ยาทุกตัวในสูตรยารักษาวัณโรคไม่ส่งผลต่อระดับยา warfarin</t>
        </is>
      </c>
      <c r="I26" s="46" t="n">
        <v>2</v>
      </c>
      <c r="J26" s="45" t="inlineStr">
        <is>
          <t>✅ คำตอบที่ถูกต้อง: ข้อ ข. Rifampin ส่งผลให้ระดับยา warfarin ลดลง
💡 Background:
Warfarin เป็นยาต้านการแข็งตัวของเลือดที่มีดัชนีการรักษาแคบ (Narrow Therapeutic Index; NTI) เปลี่ยนสภาพผ่านเอนไซม์ Cytochrome P450 ในตับหลายชนิด โดยเฉพาะ S-warfarin ซึ่งมีฤทธิ์แรงกว่า R-warfarin ถึง 3-5 เท่า ถูกเมแทบอไลต์ผ่านเอนไซม์ CYP2C9 เป็นหลัก
🎯 ทำไมข้อนี้ถึงถูก:
Rifampin (RMP) เป็น potent enzyme inducer อย่างแรงของระบบ CYP450 หลากหลาย isoenzymes รวมทั้ง CYP2C9, CYP3A4, CYP1A2 และ P-glycoprotein ส่งผลเร่งการกำจัดยา Warfarin อย่างมาก ทำให้ระดับยา Warfarin ในกระแสเลือดลดลงอย่างรวดเร็ว ค่า INR จึงลดลงอย่างมีนัยสำคัญ เสี่ยงต่อการเกิดลิ่มเลือดอุดตัน (Thromboembolism) การจัดการคือต้องเพิ่มขนาดยา Warfarin ขึ้น 2-3 เท่าและติดตามค่า INR อย่างใกล้ชิด
🔍 ข้ออื่นผิดเพราะอะไร:
• ข้อ ก. (Isoniazid ส่งผลให้ระดับ warfarin ลดลง): ผิด เพราะ Isoniazid เป็น CYP inhibitor ยับยั้ง CYP2C9 ทำให้ระดับ Warfarin 'เพิ่มขึ้น' และค่า INR สูงขึ้น เสี่ยงเลือดออก
• ข้อ ค. (Pyrazinamide ส่งผลให้ระดับ warfarin เพิ่มขึ้น): ไม่พบอันตรกิริยาที่มีนัยสำคัญทางคลินิกต่อระดับยา Warfarin
• ข้อ ง. (Ethambutol ส่งผลให้ระดับ warfarin ลดลง): ขับออกทางไตเป็นหลัก ไม่รบกวน CYP450 ในตับ
• ข้อ จ. (ยาทุกตัวไม่ส่งผล...): ผิดอย่างยิ่ง เพราะ Rifampin และ Isoniazid มีผลต่อระดับยาอย่างรุนแรง
📖 Guideline อ้างอิง:
แนวทางการรักษาผู้ป่วยวัณโรคในประเทศไทย พ.ศ. 2564 &amp; CHEST Antithrombotic Guidelines
📌 จุดจำก่อนสอบ:
• Rifampin Interaction: เป็น Potent Inducer ทำให้ระดับยา Warfarin, DOACs, Oral Contraceptives, Statins ลดลงอย่างมาก
• Isoniazid Interaction: เป็น CYP Inhibitor ทำให้ระดับ Warfarin และ Phenytoin เพิ่มสูงขึ้นจนเกิดพิษได้</t>
        </is>
      </c>
      <c r="K26" s="46" t="n"/>
      <c r="L26" s="45" t="inlineStr">
        <is>
          <t>Anticoagulation &amp; Arrhythmia</t>
        </is>
      </c>
      <c r="M26" s="46" t="inlineStr">
        <is>
          <t>Clinic</t>
        </is>
      </c>
      <c r="N26" s="45" t="inlineStr">
        <is>
          <t>Mock PLE-CC 1 ข้อ 97</t>
        </is>
      </c>
      <c r="O26" s="46" t="inlineStr">
        <is>
          <t>Mock</t>
        </is>
      </c>
      <c r="P26" s="46" t="inlineStr">
        <is>
          <t>Mock RxCU83</t>
        </is>
      </c>
      <c r="Q26" s="2" t="n"/>
    </row>
    <row r="27" ht="409.6" customHeight="1" s="37">
      <c r="A27" s="44" t="n">
        <v>25</v>
      </c>
      <c r="B27" s="45" t="inlineStr">
        <is>
          <t>ผู้ป่วยชายอายุ 59 ปี สูบบุหรี่วันละ 2 ซอง ตั้งแต่อายุ 20 ปี ตื่นเช้ามาต้องสูบภายใน 5 นาที มีโรคประจำตัว DM 5 ปี, HT 10 ปี, COPD 1 ปี ยาที่ใช้อยู่ได้แก่ Enalapril, Amlodipine, Metformin, Theophylline และยาสูด Tiotropium เมื่อผู้ป่วยเลิกบุหรี่ได้สำเร็จ ยาใดที่อาจเกิดผลข้างเคียงที่รุนแรงหากไม่มีการตรวจติดตามระดับยาและปรับลดขนาดยา</t>
        </is>
      </c>
      <c r="C27" s="46" t="n"/>
      <c r="D27" s="45" t="inlineStr">
        <is>
          <t>Enalapril</t>
        </is>
      </c>
      <c r="E27" s="45" t="inlineStr">
        <is>
          <t>Amlodipine</t>
        </is>
      </c>
      <c r="F27" s="45" t="inlineStr">
        <is>
          <t>Metformin</t>
        </is>
      </c>
      <c r="G27" s="45" t="inlineStr">
        <is>
          <t>Theophylline</t>
        </is>
      </c>
      <c r="H27" s="45" t="inlineStr">
        <is>
          <t>Tiotropium</t>
        </is>
      </c>
      <c r="I27" s="46" t="n">
        <v>4</v>
      </c>
      <c r="J27" s="45" t="inlineStr">
        <is>
          <t>✅ คำตอบที่ถูกต้อง: ข้อ ง. Theophylline
💡 Background:
ควันบุหรี่ประกอบด้วยสาร Polycyclic Aromatic Hydrocarbons (PAHs) ซึ่งมีคุณสมบัติเป็นตัวเหนี่ยวนำเอนไซม์ Cytochrome P450 1A2 (CYP1A2 inducer) อย่างแรง ส่งผลให้ยาที่กำจัดผ่าน CYP1A2 ถูกกำจัดออกจากร่างกายเร็วกว่าปกติในผู้ที่สูบบุหรี่
🎯 ทำไมข้อนี้ถึงถูก:
Theophylline ถูกกำจัดผ่านเอนไซม์ CYP1A2 เป็นหลัก (&gt;80%) และเป็นยาที่มีช่วงการรักษาแคบ (Narrow Therapeutic Index; NTI ระดับเป้าหมาย 5-15 mcg/mL) เมื่อผู้ป่วยหยุดสูบบุหรี่ ฤทธิ์กระตุ้นเอนไซม์ของ PAHs จะหมดไป ทำให้การกำจัด Theophylline ช้าลง ระดับยาในเลือดจะสะสมสูงขึ้นจนเกิดภาวะเป็นพิษ (Theophylline toxicity) เช่น คลื่นไส้อาเจียนรุนแรง หัวใจเต้นผิดจังหวะ ชัก และเสียชีวิตได้ จึงต้องตรวจวัดระดับยา (TDM) และปรับลดขนาดยาลงประมาณ 25-33% หลังเลิกบุหรี่
🔍 ข้ออื่นผิดเพราะอะไร:
• ข้อ ก. (Enalapril): ขับออกทางไตเป็นหลัก ไม่ได้ถูกเหนี่ยวนำโดยควันบุหรี่ผ่าน CYP1A2
• ข้อ ข. (Amlodipine): เปลี่ยนสภาพผ่าน CYP3A4 ไม่ใช่ CYP1A2 และมี therapeutic index กว้าง
• ข้อ ค. (Metformin): ขับออกทางไตในรูปเดิม ไม่ผ่าน CYP450 ในตับ
• ข้อ จ. (Tiotropium): เป็นยาพ่นออกฤทธิ์เฉพาะที่ระบบทางเดินหายใจ ไม่ได้รับผลกระทบจาก CYP1A2
📖 Guideline อ้างอิง:
GOLD Guidelines 2024 (Global Initiative for Chronic Obstructive Lung Disease) &amp; Applied Pharmacokinetics and Pharmacodynamics (Principles of Therapeutic Drug Monitoring)
📌 จุดจำก่อนสอบ:
• Smoking Induces CYP1A2: สาร PAHs ในควันบุหรี่เหนี่ยวนำ CYP1A2 ทำให้ระดับ Theophylline, Olanzapine, Clozapine ต่ำลงเมื่อสูบ
• Smoking Cessation Risk: เมื่อเลิกสูบบุหรี่ CYP1A2 จะกลับมาทำงานช้าลง ทำให้ระดับ Theophylline สูงขึ้นจนเกิดพิษ (Toxicity: Seizure, Tachycardia)</t>
        </is>
      </c>
      <c r="K27" s="46" t="n"/>
      <c r="L27" s="45" t="inlineStr">
        <is>
          <t>Cardiovascular &amp; Pulmonary Pharmacology</t>
        </is>
      </c>
      <c r="M27" s="46" t="inlineStr">
        <is>
          <t>Clinic</t>
        </is>
      </c>
      <c r="N27" s="45" t="inlineStr">
        <is>
          <t>PLE_CC1_2567_Key ข้อ 2</t>
        </is>
      </c>
      <c r="O27" s="46" t="inlineStr">
        <is>
          <t>ข้อสอบจริง</t>
        </is>
      </c>
      <c r="P27" s="46" t="inlineStr">
        <is>
          <t>ปี 2567</t>
        </is>
      </c>
      <c r="Q27" s="2" t="n"/>
    </row>
    <row r="28" ht="409.6" customHeight="1" s="37">
      <c r="A28" s="44" t="n">
        <v>26</v>
      </c>
      <c r="B28" s="45" t="inlineStr">
        <is>
          <t>ยาตัวใดต่อไปนี้มีฤทธิ์ยับยั้งผลของ Angiotensin II ได้โดยตรงที่ตัวรับมากที่สุด (Direct Angiotensin II Receptor Blocker)</t>
        </is>
      </c>
      <c r="C28" s="46" t="n"/>
      <c r="D28" s="45" t="inlineStr">
        <is>
          <t>Aliskiren</t>
        </is>
      </c>
      <c r="E28" s="45" t="inlineStr">
        <is>
          <t>Enalapril</t>
        </is>
      </c>
      <c r="F28" s="45" t="inlineStr">
        <is>
          <t>Losartan</t>
        </is>
      </c>
      <c r="G28" s="45" t="inlineStr">
        <is>
          <t>Carvedilol</t>
        </is>
      </c>
      <c r="H28" s="45" t="inlineStr">
        <is>
          <t>Furosemide</t>
        </is>
      </c>
      <c r="I28" s="46" t="n">
        <v>3</v>
      </c>
      <c r="J28" s="45" t="inlineStr">
        <is>
          <t>✅ คำตอบที่ถูกต้อง: ข้อ ค. Losartan
💡 Background:
ระบบ Renin-Angiotensin-Aldosterone System (RAAS) สามารถถูกยับยั้งได้หลายขั้นตอนในกระบวนการทางสรีรวิทยา ตั้งแต่การยับยั้ง Renin, การยับยั้งการเปลี่ยน Angiotensin I เป็น II และการปิดกั้นตัวรับที่อวัยวะเป้าหมาย
🎯 ทำไมข้อนี้ถึงถูก:
Losartan เป็นยากลุ่ม Angiotensin II Receptor Blockers (ARBs) ออกฤทธิ์จับแบบแข่งขันและปิดกั้นตัวรับ Angiotensin II Type 1 (AT1) receptor โดยตรงที่กล้ามเนื้อเรียบของหลอดเลือด ต่อมหมวกไต และไต จึงสามารถยับยั้งฤทธิ์ทุกอย่างของ Angiotensin II ได้โดยตรงที่สุด ไม่ว่าจะสร้างมาจากวิถี ACE-dependent หรือ non-ACE pathway (Chymase) ก็ตาม
🔍 ข้ออื่นผิดเพราะอะไร:
• ข้อ ก. (Aliskiren): เป็น Direct Renin Inhibitor ยับยั้งเอนไซม์ Renin ไม่ได้ปิดกั้นที่ Angiotensin II receptor
• ข้อ ข. (Enalapril): เป็น ACE inhibitor ยับยั้งการสร้าง Angiotensin II ทางอ้อม ไม่ได้ปิดกั้นที่ receptor โดยตรง
• ข้อ ง. (Carvedilol): เป็น Non-selective beta-blocker ที่มี alpha-1 blocking activity ออกฤทธิ์ต่อ adrenergic receptors
• ข้อ จ. (Furosemide): เป็น Loop diuretic ยับยั้ง Na+/K+/2Cl- cotransporter ที่ไต
📖 Guideline อ้างอิง:
แนวทางการรักษาโรคความดันโลหิตสูง ในเวชปฏิบัติทั่วไป พ.ศ. 2562 (สมาคมความดันโลหิตสูงแห่งประเทศไทย) &amp; 2020 ISH Global Hypertension Practice Guidelines
📌 จุดจำก่อนสอบ:
• ARB Mechanism: ปิดกั้น AT1 receptor โดยตรง ป้องกันการหดตัวของหลอดเลือดและการหลั่ง Aldosterone
• Dual RAAS Blockade Warning: ห้ามใช้ ACEI ร่วมกับ ARB พร้อมกันเด็ดขาด เพราะไม่เพิ่มผลลดโรคหัวใจแต่เพิ่มความเสี่ยงไตวายเฉียบพลันและ Hyperkalemia</t>
        </is>
      </c>
      <c r="K28" s="46" t="n"/>
      <c r="L28" s="45" t="inlineStr">
        <is>
          <t>Hypertension</t>
        </is>
      </c>
      <c r="M28" s="46" t="inlineStr">
        <is>
          <t>Clinic</t>
        </is>
      </c>
      <c r="N28" s="45" t="inlineStr">
        <is>
          <t>PLE_CC1_2567_Key ข้อ 1</t>
        </is>
      </c>
      <c r="O28" s="46" t="inlineStr">
        <is>
          <t>ข้อสอบจริง</t>
        </is>
      </c>
      <c r="P28" s="46" t="inlineStr">
        <is>
          <t>ปี 2567</t>
        </is>
      </c>
    </row>
    <row r="29" ht="409.6" customHeight="1" s="37">
      <c r="A29" s="44" t="n">
        <v>27</v>
      </c>
      <c r="B29" s="45" t="inlineStr">
        <is>
          <t>การลดลงของระดับคอเลสเตอรอลในเซลล์ตับจากการออกฤทธิ์ของยาลดไขมันกลุ่ม Statins ส่งผลกระตุ้นกระบวนการทางชีวเคมีใดในเซลล์ตับมากที่สุด</t>
        </is>
      </c>
      <c r="C29" s="46" t="n"/>
      <c r="D29" s="45" t="inlineStr">
        <is>
          <t>กระตุ้น transcription factor SREBP-2 เพื่อเพิ่มการแสดงออกของ LDL receptors บนผิวเซลล์ตับ</t>
        </is>
      </c>
      <c r="E29" s="45" t="inlineStr">
        <is>
          <t>ยับยั้งการแสดงออกของ LDL receptors บนผิวเซลล์ตับเพื่อลดการดูดกลับไขมัน</t>
        </is>
      </c>
      <c r="F29" s="45" t="inlineStr">
        <is>
          <t>กระตุ้นเอนไซม์ PCSK9 ให้ทำลาย LDL receptors ในกระแสเลือด</t>
        </is>
      </c>
      <c r="G29" s="45" t="inlineStr">
        <is>
          <t>ยับยั้งการทำงานของ Lipoprotein lipase (LPL) ที่ผนังหลอดเลือด</t>
        </is>
      </c>
      <c r="H29" s="45" t="inlineStr">
        <is>
          <t>เพิ่มการสังเคราะห์ Apolipoprotein B-100 ในเซลล์ตับ</t>
        </is>
      </c>
      <c r="I29" s="46" t="n">
        <v>1</v>
      </c>
      <c r="J29" s="45" t="inlineStr">
        <is>
          <t>✅ คำตอบที่ถูกต้อง: ข้อ ก. กระตุ้น transcription factor SREBP-2 เพื่อเพิ่มการแสดงออกของ LDL receptors บนผิวเซลล์ตับ
💡 Background:
Statins ยับยั้งเอนไซม์ HMG-CoA reductase ซึ่งเป็น rate-limiting step ในกระบวนการ De novo cholesterol synthesis ภายในเซลล์ตับ (Hepatocytes)
🎯 ทำไมข้อนี้ถึงถูก:
เมื่อระดับ intracellular cholesterol ในเซลล์ตับลดลง สภาพนี้จะไปกระตุ้นโปรตีนตรวจวัดระดับสเตอรอลใน Endoplasmic Reticulum นำไปสู่การเคลื่อนย้ายและตัด active form ของ transcription factor ที่ชื่อว่า Sterol Regulatory Element-Binding Protein 2 (SREBP-2) เข้าสู่นิวเคลียส เพื่อเพิ่ม transcription และ upregulation ของยีน LDL receptor ทำให้เซลล์ตับสร้างและแสดงออก LDL receptors บนผิวเซลล์มากขึ้น ส่งผลให้ตับสามารถดึงดูดและเก็บกวาด LDL particles ออกจากกระแสเลือดเข้าสู่เซลล์ตับได้มากขึ้นอย่างมหาศาล ระดับ LDL-C ในเลือดจึงลดลง
🔍 ข้ออื่นผิดเพราะอะไร:
• ข้อ ข. (ยับยั้งการแสดงออกของ LDL receptor): ตรงข้ามกับความเป็นจริง เพราะยาทำให้เซลล์ตับสร้าง LDL receptor 'เพิ่มขึ้น'
• ข้อ ค. (กระตุ้น PCSK9 ให้ทำลาย receptor): แม้ Statin จะเหนี่ยวนำ PCSK9 เล็กน้อย แต่ไม่ใช่กลไกหลักที่ทำให้ลดไขมัน ในทางตรงกันข้าม การมี PCSK9 สูงจะลด LDL receptor จึงมีการพัฒนายาฉีด PCSK9 inhibitor มาเสริมฤทธิ์ statin
• ข้อ ง. (ยับยั้ง LPL): เป็นกลไกที่ไม่ถูกต้อง Statins ไม่ได้ยับยั้ง LPL
• ข้อ จ. (เพิ่มการสังเคราะห์ Apo B-100): ยา Statin ช่วยลดการสร้าง VLDL และลดระดับ Apo B-100
📖 Guideline อ้างอิง:
Goodman &amp; Gilman's: The Pharmacological Basis of Therapeutics (14th Edition) &amp; 2018 AHA/ACC Blood Cholesterol Guidelines
📌 จุดจำก่อนสอบ:
• Statin Intracellular Cascade: ยับยั้ง HMG-CoA reductase -&gt; intracellular cholesterol ต่ำ -&gt; SREBP-2 translocation -&gt; LDL receptor gene expression เพิ่มขึ้น -&gt; Clearance ของ LDL ในพลาสมาเพิ่มขึ้น</t>
        </is>
      </c>
      <c r="K29" s="46" t="n"/>
      <c r="L29" s="45" t="inlineStr">
        <is>
          <t>Dyslipidemias</t>
        </is>
      </c>
      <c r="M29" s="46" t="inlineStr">
        <is>
          <t>Clinic</t>
        </is>
      </c>
      <c r="N29" s="45" t="inlineStr">
        <is>
          <t>PLE_CC1_2567_Key ข้อ 2</t>
        </is>
      </c>
      <c r="O29" s="46" t="inlineStr">
        <is>
          <t>ข้อสอบจริง</t>
        </is>
      </c>
      <c r="P29" s="46" t="inlineStr">
        <is>
          <t>ปี 2567</t>
        </is>
      </c>
    </row>
    <row r="30" ht="409.6" customHeight="1" s="37">
      <c r="A30" s="44" t="n">
        <v>28</v>
      </c>
      <c r="B30" s="45" t="inlineStr">
        <is>
          <t>กลไกการออกฤทธิ์ของยากลุ่ม Statins ที่ส่งผลให้ระดับคอเลสเตอรอลชนิด LDL ในเลือดลดลงคือข้อใด</t>
        </is>
      </c>
      <c r="C30" s="46" t="n"/>
      <c r="D30" s="45" t="inlineStr">
        <is>
          <t>ยับยั้งเอนไซม์ HMG-CoA reductase และเพิ่มจำนวน LDL receptors ที่ตับ</t>
        </is>
      </c>
      <c r="E30" s="45" t="inlineStr">
        <is>
          <t>5-alpha reductase inhibitor</t>
        </is>
      </c>
      <c r="F30" s="45" t="inlineStr">
        <is>
          <t>Aldose reductase inhibitor</t>
        </is>
      </c>
      <c r="G30" s="45" t="inlineStr">
        <is>
          <t>Dihydrofolate reductase inhibitor</t>
        </is>
      </c>
      <c r="H30" s="45" t="inlineStr">
        <is>
          <t>Dihydropteroate synthase inhibitor</t>
        </is>
      </c>
      <c r="I30" s="46" t="n">
        <v>1</v>
      </c>
      <c r="J30" s="45" t="inlineStr">
        <is>
          <t>✅ คำตอบที่ถูกต้อง: ข้อ ก. ยับยั้งเอนไซม์ HMG-CoA reductase และเพิ่มจำนวน LDL receptors ที่ตับ
💡 Background:
ยากลุ่ม Statins เป็น First-line therapy ในการรักษาภาวะไขมันในเลือดสูงและป้องกันโรคหัวใจและหลอดเลือด (ASCVD)
🎯 ทำไมข้อนี้ถึงถูก:
Statins ยับยั้งเอนไซม์ 3-hydroxy-3-methylglutaryl-coenzyme A (HMG-CoA) reductase ซึ่งเปลี่ยน HMG-CoA ไปเป็น Mevalonate ทำให้การสังเคราะห์คอเลสเตอรอลในตับลดลง และกระตุ้นการแสดงออกของ LDL receptors บนผิวเซลล์ตับเพิ่มขึ้น ช่วยเพิ่มการนำ LDL-C จากกระแสเลือดเข้าสู่เซลล์ตับ ทำให้ระดับ LDL-C ในเลือดลดลงอย่างมีประสิทธิภาพ
🔍 ข้ออื่นผิดเพราะอะไร:
• ข้อ ข. (5-alpha reductase inhibitor): เป็นกลไกของ Finasteride และ Dutasteride ใช้รักษาต่อมลูกหมากโต (BPH) และผมร่วง
• ข้อ ค. (Aldose reductase inhibitor): เป็นกลไกของ Epalrestat ใช้ป้องกันภาวะแทรกซ้อนทางระบบประสาทในโรคเบาหวาน
• ข้อ ง. (Dihydrofolate reductase inhibitor): เป็นกลไกของ Methotrexate และ Trimethoprim ยับยั้งการสร้างกรดโฟลิก
• ข้อ จ. (Dihydropteroate synthase inhibitor): เป็นกลไกของยากลุ่ม Sulfonamides ยับยั้งการสร้างโฟเลตในแบคทีเรีย
📖 Guideline อ้างอิง:
แนวทางเวชปฏิบัติการรักษาภาวะไขมันผิดปกติในเลือด พ.ศ. 2559 &amp; Goodman &amp; Gilman's The Pharmacological Basis of Therapeutics
📌 จุดจำก่อนสอบ:
• Statin MOA: ยับยั้ง HMG-CoA reductase (Rate-limiting enzyme) และเพิ่มจำนวน Hepatic LDL receptors
• Pleiotropic Effects: ต้านการอักเสบในหลอดเลือด, ปรับปรุง endothelial function, เพิ่ม plaque stability, ยับยั้งเกล็ดเลือดเกาะกลุ่ม</t>
        </is>
      </c>
      <c r="K30" s="46" t="n"/>
      <c r="L30" s="45" t="inlineStr">
        <is>
          <t>Dyslipidemias</t>
        </is>
      </c>
      <c r="M30" s="46" t="inlineStr">
        <is>
          <t>Clinic</t>
        </is>
      </c>
      <c r="N30" s="45" t="inlineStr">
        <is>
          <t>PLE_CC1_2567_Key ข้อ 4</t>
        </is>
      </c>
      <c r="O30" s="46" t="inlineStr">
        <is>
          <t>ข้อสอบจริง</t>
        </is>
      </c>
      <c r="P30" s="46" t="inlineStr">
        <is>
          <t>ปี 2567</t>
        </is>
      </c>
      <c r="Q30" s="2" t="n"/>
    </row>
    <row r="31" ht="409.6" customHeight="1" s="37">
      <c r="A31" s="44" t="n">
        <v>29</v>
      </c>
      <c r="B31" s="45" t="inlineStr">
        <is>
          <t>ข้อใดเป็นอาการไม่พึงประสงค์ที่รุนแรงของยากลุ่ม Statins ซึ่งอาจนำไปสู่ภาวะไตวายเฉียบพลันและระดับโพแทสเซียมในเลือดสูงวิกฤต</t>
        </is>
      </c>
      <c r="C31" s="46" t="n"/>
      <c r="D31" s="45" t="inlineStr">
        <is>
          <t>Rhabdomyolysis</t>
        </is>
      </c>
      <c r="E31" s="45" t="inlineStr">
        <is>
          <t>Severe Hypotension</t>
        </is>
      </c>
      <c r="F31" s="45" t="inlineStr">
        <is>
          <t>Hyperkalemia</t>
        </is>
      </c>
      <c r="G31" s="45" t="inlineStr">
        <is>
          <t>Bradycardia</t>
        </is>
      </c>
      <c r="H31" s="45" t="inlineStr">
        <is>
          <t>Nausea and Vomiting</t>
        </is>
      </c>
      <c r="I31" s="46" t="n">
        <v>1</v>
      </c>
      <c r="J31" s="45" t="inlineStr">
        <is>
          <t>✅ คำตอบที่ถูกต้อง: ข้อ ก. Rhabdomyolysis
💡 Background:
อาการไม่พึงประสงค์ต่อระบบกล้ามเนื้อจากยากลุ่ม Statins (Statin-Associated Muscle Symptoms; SAMS) มีตั้งแต่ระดับไม่รุนแรงไปจนถึงขั้นเสียชีวิต ได้แก่ Myalgia (ปวดกล้ามเนื้อแต่ CK ปกติ), Myositis (ปวดกล้ามเนื้อร่วมกับ CK เพิ่มขึ้น) และ Rhabdomyolysis
🎯 ทำไมข้อนี้ถึงถูก:
Rhabdomyolysis (ภาวะกล้ามเนื้อสลาย) เป็นภาวะฉุกเฉินทางการแพทย์ที่รุนแรงที่สุด มีการแตกทำลายของเซลล์กล้ามเนื้อลายอย่างกว้างขวาง วินิจฉัยจากระดับเอนไซม์ Creatine Kinase (CK) พุ่งสูงมากกว่า 10 เท่าของค่าขอบบนปกติ (CK &gt; 10x ULN) ร่วมกับมี Myoglobin รั่วออกมาในกระแสเลือดและปัสสาวะ ทำให้ปัสสาวะเปลี่ยนเป็นสีน้ำตาลเข้มคล้ายน้ำโคล่า (Tea-colored or brown urine) และก่อให้เกิด Acute Tubular Necrosis นำไปสู่ Acute Kidney Injury (AKI) รุนแรง พร้อมกับการรั่วไหลของโพแทสเซียมจากเซลล์กล้ามเนื้อเข้าสู่กระแสเลือดทำให้เกิด Severe Hyperkalemia และหัวใจหยุดเต้นได้
🔍 ข้ออื่นผิดเพราะอะไร:
• ข้อ ข. (Hypotension): Statins ไม่มีฤทธิ์ลดความดันโลหิตเฉียบพลัน
• ข้อ ค. (Hyperkalemia): เป็นภาวะแทรกซ้อน (complication) ที่เกิดตามมาจาก Rhabdomyolysis ไม่ใช่อาการไม่พึงประสงค์หลักโดยตรงของตัวยา statin
• ข้อ ง. (Bradycardia): Statins ไม่มีผลกดการเต้นของหัวใจ
• ข้อ จ. (Nausea): เป็นผลข้างเคียงต่อระบบทางเดินอาหารทั่วไป ไม่ใช่อาการรุนแรง
📖 Guideline อ้างอิง:
2018 AHA/ACC Blood Cholesterol Guidelines &amp; แนวทางเวชปฏิบัติการรักษาภาวะไขมันผิดปกติในเลือด พ.ศ. 2559
📌 จุดจำก่อนสอบ:
• Rhabdomyolysis Triad: Severe muscle pain + CK &gt; 10x ULN + Brown/tea-colored urine (Myoglobinuria)
• Critical Complications: Acute Kidney Injury (AKI) และ Hyperkalemia จากการรั่วของ K+ ออกจาก myocytes</t>
        </is>
      </c>
      <c r="K31" s="46" t="n"/>
      <c r="L31" s="45" t="inlineStr">
        <is>
          <t>Dyslipidemias</t>
        </is>
      </c>
      <c r="M31" s="46" t="inlineStr">
        <is>
          <t>Clinic</t>
        </is>
      </c>
      <c r="N31" s="45" t="inlineStr">
        <is>
          <t>PLE_CC1_2567_Key ข้อ 5</t>
        </is>
      </c>
      <c r="O31" s="46" t="inlineStr">
        <is>
          <t>ข้อสอบจริง</t>
        </is>
      </c>
      <c r="P31" s="46" t="inlineStr">
        <is>
          <t>ปี 2567</t>
        </is>
      </c>
      <c r="Q31" s="2" t="n"/>
    </row>
    <row r="32" ht="409.6" customHeight="1" s="37">
      <c r="A32" s="44" t="n">
        <v>30</v>
      </c>
      <c r="B32" s="45" t="inlineStr">
        <is>
          <t>ผู้ป่วยต้องการรับประทานยาลดไขมันกลุ่ม Statins ในช่วงเวลาเช้าเนื่องจากมักลืมรับประทานยาตอนก่อนนอน เภสัชกรควรแนะนำให้แพทย์จ่ายยาตัวใดที่สามารถรับประทานเวลาเช้าได้โดยประสิทธิภาพการลดไขมันไม่ลดลง</t>
        </is>
      </c>
      <c r="C32" s="46" t="n"/>
      <c r="D32" s="45" t="inlineStr">
        <is>
          <t>Rosuvastatin</t>
        </is>
      </c>
      <c r="E32" s="45" t="inlineStr">
        <is>
          <t>Simvastatin</t>
        </is>
      </c>
      <c r="F32" s="45" t="inlineStr">
        <is>
          <t>Lovastatin</t>
        </is>
      </c>
      <c r="G32" s="45" t="inlineStr">
        <is>
          <t>Pravastatin</t>
        </is>
      </c>
      <c r="H32" s="45" t="inlineStr">
        <is>
          <t>Fluvastatin IR</t>
        </is>
      </c>
      <c r="I32" s="46" t="n">
        <v>1</v>
      </c>
      <c r="J32" s="45" t="inlineStr">
        <is>
          <t>✅ คำตอบที่ถูกต้อง: ข้อ ก. Rosuvastatin
💡 Background:
กระบวนการสังเคราะห์คอเลสเตอรอลในร่างกายมนุษย์โดยเอนไซม์ HMG-CoA reductase มีจังหวะตามนาฬิกาชีวภาพ (Circadian rhythm) โดยจะสังเคราะห์สูงสุดในช่วงเวลากลางคืน (ช่วงเที่ยงคืนถึงตีสาม) การเลือกเวลาบริหารยา Statin จึงขึ้นอยู่กับค่าครึ่งชีวิตของการกำจัดยา (Elimination half-life)
🎯 ทำไมข้อนี้ถึงถูก:
Rosuvastatin (รวมถึง Atorvastatin) เป็นยากลุ่ม Statin ที่มีค่าครึ่งชีวิตยาวนาน (Long half-life ประมาณ 14-19 ชั่วโมง) ทำให้ระดับยาคงตัวในกระแสเลือดและสามารถยับยั้งเอนไซม์ HMG-CoA reductase ได้ตลอด 24 ชั่วโมง จึงสามารถรับประทานเวลาใดก็ได้ในแต่ละวัน เช่น ตอนเช้า โดยที่ประสิทธิภาพในการลดระดับ LDL-C ไม่แตกต่างจากการรับประทานก่อนนอน
🔍 ข้ออื่นผิดเพราะอะไร:
• ข้อ ข. (Simvastatin): มีค่า half-life สั้นมาก (1.5-2 ชั่วโมง) ต้องรับประทานก่อนนอน (HS) เท่านั้นเพื่อให้ระดับยาตรงกับช่วง peak ของ cholesterol synthesis
• ข้อ ค. (Lovastatin): มีค่า half-life สั้น (2-3 ชั่วโมง) ต้องรับประทานพร้อมอาหารเย็นหรือก่อนนอน
• ข้อ ง. (Pravastatin): มีค่า half-life สั้น (1.5-2 ชั่วโมง) แนะนำให้รับประทานก่อนนอน
• ข้อ จ. (Fluvastatin IR): มีค่า half-life สั้น (ประมาณ 3 ชั่วโมง) แนะนำให้รับประทานก่อนนอน
📖 Guideline อ้างอิง:
แนวทางเวชปฏิบัติการรักษาภาวะไขมันผิดปกติในเลือด พ.ศ. 2559 (สมาคมแพทย์โรคหัวใจแห่งประเทศไทย) &amp; Applied Clinical Pharmacokinetics
📌 จุดจำก่อนสอบ:
• Morning or Anytime Statins (Long t1/2): Atorvastatin (t1/2 ~ 14 h), Rosuvastatin (t1/2 ~ 19 h), Pitavastatin (t1/2 ~ 12 h) กินเวลาไหนก็ได้
• Bedtime Only Statins (Short t1/2): Simvastatin, Lovastatin, Pravastatin, Fluvastatin IR ต้องกินก่อนนอนเสมอ</t>
        </is>
      </c>
      <c r="K32" s="46" t="n"/>
      <c r="L32" s="45" t="inlineStr">
        <is>
          <t>Dyslipidemias</t>
        </is>
      </c>
      <c r="M32" s="46" t="inlineStr">
        <is>
          <t>Clinic</t>
        </is>
      </c>
      <c r="N32" s="45" t="inlineStr">
        <is>
          <t>PLE_CC1_2567_Key ข้อ 6</t>
        </is>
      </c>
      <c r="O32" s="46" t="inlineStr">
        <is>
          <t>ข้อสอบจริง</t>
        </is>
      </c>
      <c r="P32" s="46" t="inlineStr">
        <is>
          <t>ปี 2567</t>
        </is>
      </c>
      <c r="Q32" s="2" t="n"/>
    </row>
    <row r="33" ht="409.6" customHeight="1" s="37">
      <c r="A33" s="44" t="n">
        <v>31</v>
      </c>
      <c r="B33" s="45" t="inlineStr">
        <is>
          <t>ในตำรับยาเม็ดหรือสารละลายยาฉีด Edetate disodium (Disodium EDTA) ทำหน้าที่เป็นสารช่วยทางเภสัชกรรม (Excipient) ชนิดใด</t>
        </is>
      </c>
      <c r="C33" s="46" t="n"/>
      <c r="D33" s="45" t="inlineStr">
        <is>
          <t>Buffering agent</t>
        </is>
      </c>
      <c r="E33" s="45" t="inlineStr">
        <is>
          <t>Chelating agent</t>
        </is>
      </c>
      <c r="F33" s="45" t="inlineStr">
        <is>
          <t>pH adjustment</t>
        </is>
      </c>
      <c r="G33" s="45" t="inlineStr">
        <is>
          <t>Tonicity agent</t>
        </is>
      </c>
      <c r="H33" s="45" t="inlineStr">
        <is>
          <t>Preservative</t>
        </is>
      </c>
      <c r="I33" s="46" t="n">
        <v>2</v>
      </c>
      <c r="J33" s="45" t="inlineStr">
        <is>
          <t>✅ คำตอบที่ถูกต้อง: ข้อ ข. Chelating agent
💡 Background:
สารประกอบเชิงซ้อนจำพวกกรดอะมิโนโพลีคาร์บอกซิลิก เช่น Disodium Edetate (Na2EDTA) ถูกนำมาใช้อย่างแพร่หลายในตำรับเภสัชภัณฑ์ทั้งรูปแบบยาฉีด ยาหยอดตา และยาน้ำ
🎯 ทำไมข้อนี้ถึงถูก:
Edetate disodium ทำหน้าที่เป็น Chelating agent (Sequestering agent) มีความสามารถในการจับกับไอออนของโลหะหนัก (เช่น Fe2+, Fe3+, Cu2+, Ca2+, Mg2+) ที่ปนเปื้อนในตำรับ เกิดเป็นสารเชิงซ้อน (Chelate) ที่ละลายน้ำได้และมีความคงตัวสูง ช่วยป้องกันไม่ให้ไอออนของโลหะไปเร่งปฏิกิริยาออกซิเดชัน (Metal-catalyzed oxidation) ของตัวยาสำคัญ จึงทำหน้าที่เป็นสารต้านออกซิเดชันเสริม (Antioxidant synergist) เพื่อรักษาเสถียรภาพของตำรับ
🔍 ข้ออื่นผิดเพราะอะไร:
• ข้อ ก. (Buffering agent): สารบัฟเฟอร์ทั่วไปได้แก่ Phosphate buffer, Citrate buffer, Acetate buffer
• ข้อ ค. (pH adjustment): มักใช้กรดหรือเบสแก่เจือจาง เช่น HCl หรือ NaOH
• ข้อ ง. (Tonicity agent): นิยมใช้ Sodium chloride หรือ Dextrose ในการปรับความดันออสโมติก
• ข้อ จ. (Preservative): แม้ EDTA จะช่วยเสริมฤทธิ์สารกันเสีย (เช่น Benzalkonium chloride) แต่หน้าที่หลักของตัวมันเองคือ Chelating agent
📖 Guideline อ้างอิง:
Handbook of Pharmaceutical Excipients (9th Edition) &amp; United States Pharmacopeia (USP-NF)
📌 จุดจำก่อนสอบ:
• Disodium EDTA Function: Chelating agent จับโลหะหนัก ป้องกัน auto-oxidation เสริมความคงตัวตำรับยา
• Synergistic Preservative: เมื่อใช้ร่วมกับสารต้านจุลชีพ ช่วยเพิ่มการซึมผ่านผนังเซลล์ของแบคทีเรีย Gram-negative (เช่น Pseudomonas aeruginosa)</t>
        </is>
      </c>
      <c r="K33" s="46" t="n"/>
      <c r="L33" s="45" t="inlineStr">
        <is>
          <t>Pharmaceutics &amp; Excipients</t>
        </is>
      </c>
      <c r="M33" s="46" t="inlineStr">
        <is>
          <t>Clinic</t>
        </is>
      </c>
      <c r="N33" s="45" t="inlineStr">
        <is>
          <t>PLE_CC1_2567_Key ข้อ 7</t>
        </is>
      </c>
      <c r="O33" s="46" t="inlineStr">
        <is>
          <t>ข้อสอบจริง</t>
        </is>
      </c>
      <c r="P33" s="46" t="inlineStr">
        <is>
          <t>ปี 2567</t>
        </is>
      </c>
      <c r="Q33" s="2" t="n"/>
    </row>
    <row r="34" ht="409.6" customHeight="1" s="37">
      <c r="A34" s="44" t="n">
        <v>32</v>
      </c>
      <c r="B34" s="45" t="inlineStr">
        <is>
          <t>ผู้ป่วยปวดแผลผ่าตัด หลังได้รับ Morphine เข้าทางหลอดเลือดดำ (IV) ต่อมาผู้ป่วยมีอาการหัวใจเต้นช้า ซึมลงอย่างมาก ไม่พูด ไม่ตอบสนอง และกดการหายใจ ผู้ป่วยควรได้รับยาต้านพิษ (Antidote) ชนิดใดในการรักษาภาวะฉุกเฉินนี้</t>
        </is>
      </c>
      <c r="C34" s="46" t="n"/>
      <c r="D34" s="45" t="inlineStr">
        <is>
          <t>Fentanyl</t>
        </is>
      </c>
      <c r="E34" s="45" t="inlineStr">
        <is>
          <t>Thiamine</t>
        </is>
      </c>
      <c r="F34" s="45" t="inlineStr">
        <is>
          <t>Naloxone</t>
        </is>
      </c>
      <c r="G34" s="45" t="inlineStr">
        <is>
          <t>Flumazenil</t>
        </is>
      </c>
      <c r="H34" s="45" t="inlineStr">
        <is>
          <t>Bromocriptine</t>
        </is>
      </c>
      <c r="I34" s="46" t="n">
        <v>3</v>
      </c>
      <c r="J34" s="45" t="inlineStr">
        <is>
          <t>✅ คำตอบที่ถูกต้อง: ข้อ ค. Naloxone
💡 Background:
Morphine เป็นยาแก้ปวดกลุ่ม Opioid ที่ออกฤทธิ์กระตุ้น Mu-opioid receptor ในระบบประสาทส่วนกลาง การได้รับยาเกินขนาดทำให้เกิดภาวะ Opioid Overdose ซึ่งมีอาการแสดงสำคัญคือ หมดสติ รูม่านตาหดเล็กขนาดเท่ารูเข็ม (Pinpoint pupils) และกดการหายใจ (Respiratory depression)
🎯 ทำไมข้อนี้ถึงถูก:
Naloxone เป็น Pure Opioid Receptor Antagonist ที่แย่งจับกับ Mu, Kappa, Delta opioid receptors ได้อย่างรวดเร็ว สามารถถอนพิษและแก้อาการกดการหายใจรวมถึงอาการซึมจาก Morphine ได้ทันทีภายใน 1-2 นาทีหลังฉีดทางหลอดเลือดดำ จึงเป็น First-line specific antidote สำหรับภาวะ Opioid overdose
🔍 ข้ออื่นผิดเพราะอะไร:
• ข้อ ก. (Fentanyl): เป็น Opioid agonist ออกฤทธิ์แรง ยิ่งทำให้ผู้ป่วยกดการหายใจและเสียชีวิต
• ข้อ ข. (Thiamine): เป็นวิตามิน B1 ใช้รักษาและป้องกัน Wernicke's encephalopathy ในผู้ติดสุราเรื้อรัง
• ข้อ ง. (Flumazenil): เป็น Antidote สำหรับแก้พิษกลุ่ม Benzodiazepines เท่านั้น
• ข้อ จ. (Bromocriptine): เป็น Dopamine agonist ใช้รักษาภาวะ Neuroleptic Malignant Syndrome (NMS) หรือ Hyperprolactinemia
📖 Guideline อ้างอิง:
แนวทางการรักษาผู้ป่วยได้รับสารพิษ (ศูนย์พิษวิทยารามาธิบดี) &amp; AHA ACLS Guidelines for Opioid-Associated Emergency
📌 จุดจำก่อนสอบ:
• Opioid Toxicity Triad: Coma + Respiratory depression + Pinpoint pupils
• Antidote: Naloxone IV (Titrate dose 0.04-0.4 mg ทุก 2-3 นาที) เฝ้าระวัง half-life สั้น (30-90 นาที) ซึ่งสั้นกว่า Morphine อาจต้องฉีดซ้ำหรือ drip ต่อเนื่อง</t>
        </is>
      </c>
      <c r="K34" s="46" t="n"/>
      <c r="L34" s="45" t="inlineStr">
        <is>
          <t>Toxicology &amp; Critical Care</t>
        </is>
      </c>
      <c r="M34" s="46" t="inlineStr">
        <is>
          <t>Clinic</t>
        </is>
      </c>
      <c r="N34" s="45" t="inlineStr">
        <is>
          <t>PLE_CC1_2567_Key ข้อ 14</t>
        </is>
      </c>
      <c r="O34" s="46" t="inlineStr">
        <is>
          <t>ข้อสอบจริง</t>
        </is>
      </c>
      <c r="P34" s="46" t="inlineStr">
        <is>
          <t>ปี 2567</t>
        </is>
      </c>
      <c r="Q34" s="2" t="n"/>
    </row>
    <row r="35" ht="409.6" customHeight="1" s="37">
      <c r="A35" s="44" t="n">
        <v>33</v>
      </c>
      <c r="B35" s="45" t="inlineStr">
        <is>
          <t>หญิงไทยอายุ 56 ปี ได้รับยา Verapamil รักษาภาวะหัวใจเต้นผิดจังหวะ ทานแคลเซียมและธาตุเหล็กเสริมมา 3 ปี 1 สัปดาห์ก่อนล้มต้องนอนพักบนเตียง ไม่ถ่ายอุจจาระมา 5 วัน แน่นท้องมาก ปวดท้อง ต้องการถ่ายให้เร็วและง่ายที่สุดแต่ไม่อยากให้ปวดเบ่งมาก ควรเลือกยาระบายชนิดใดเหมาะสมที่สุด</t>
        </is>
      </c>
      <c r="C35" s="46" t="n"/>
      <c r="D35" s="45" t="inlineStr">
        <is>
          <t>Docusate sodium</t>
        </is>
      </c>
      <c r="E35" s="45" t="inlineStr">
        <is>
          <t>Bisacodyl tablet</t>
        </is>
      </c>
      <c r="F35" s="45" t="inlineStr">
        <is>
          <t>Milk of Magnesia (MOM)</t>
        </is>
      </c>
      <c r="G35" s="45" t="inlineStr">
        <is>
          <t>Glycerin suppository</t>
        </is>
      </c>
      <c r="H35" s="45" t="inlineStr">
        <is>
          <t>Psyllium husk</t>
        </is>
      </c>
      <c r="I35" s="46" t="n">
        <v>4</v>
      </c>
      <c r="J35" s="45" t="inlineStr">
        <is>
          <t>✅ คำตอบที่ถูกต้อง: ข้อ ง. Glycerin suppository
💡 Background:
ผู้ป่วยรายนี้มีปัจจัยเสี่ยงของการเกิดท้องผูกรุนแรงหลายประการ ได้แก่ ผลข้างเคียงเด่นของ Verapamil (Non-DHP CCB ยับยั้งการบีบตัวของกล้ามเนื้อเรียบลำไส้), การเสริมธาตุเหล็กและแคลเซียม และการนอนติดเตียง (Immobility) จนไม่ขับถ่ายมา 5 วัน เกิดอุจจาระอัดแน่นบริเวณไส้ตรง (Fecal impaction)
🎯 ทำไมข้อนี้ถึงถูก:
Glycerin suppository (ยาเหน็บทวารหนัก) ออกฤทธิ์เฉพาะที่บริเวณ Rectum อย่างรวดเร็ว โดยดึงน้ำเข้ามาในลำไส้ตรงและหล่อลื่นให้อุจจาระนุ่มลงพร้อมกระตุ้นการขับถ่ายได้ภายใน 15-30 นาที ออกฤทธิ์เร็วที่สุดตรงตามความต้องการของผู้ป่วย และไม่ก่อให้เกิดอาการปวดมวนท้องรุนแรงจากการบีบตัวของลำไส้ใหญ่เหมือนยากินกลุ่มกระตุ้น
🔍 ข้ออื่นผิดเพราะอะไร:
• ข้อ ก. (Docusate sodium): เป็น Stool softener ออกฤทธิ์ช้ามาก (ใช้เวลา 1-3 วัน) ไม่สามารถแก้ปัญหาอุจจาระคั่งค้างเฉียบพลันได้
• ข้อ ข. (Bisacodyl tablet): ยากินชนิดกระตุ้น ใช้เวลาออกฤทธิ์ 6-12 ชั่วโมง และมักทำให้ปวดเกร็งท้อง (Abdominal cramping) อย่างมาก
• ข้อ ค. (Milk of Magnesia): เป็นยากินชนิด Osmotic ออกฤทธิ์ใน 3-6 ชั่วโมง ช้ากว่ายาเหน็บ และต้องระวังในผู้ป่วยที่มีปัญหาการทำงานของไต
• ข้อ จ. (Psyllium husk): เป็น Bulk-forming laxative ห้ามใช้เด็ดขาดในผู้ป่วยที่มี fecal impaction หรือนอนติดเตียง เพราะเสี่ยงต่อการเกิดลำไส้อุดตัน (Intestinal obstruction)
📖 Guideline อ้างอิง:
ACG Clinical Guideline: Management of Irritable Bowel Syndrome and Constipation &amp; คู่มือการดูแลผู้ป่วยโรคเรื้อรัง (สมาคมแพทย์โรคหัวใจแห่งประเทศไทย)
📌 จุดจำก่อนสอบ:
• Verapamil Key ADR: ก่อให้เกิดภาวะท้องผูก (Constipation) สูงที่สุดในกลุ่ม CCBs (20-30%)
• Rectal Impaction Relief: ยาเหน็บทวารหนัก (Glycerin / Bisacodyl suppository) หรือยาสวนทวาร ออกฤทธิ์เร็วที่สุด (15-30 นาที)</t>
        </is>
      </c>
      <c r="K35" s="46" t="n"/>
      <c r="L35" s="45" t="inlineStr">
        <is>
          <t>Cardiovascular Pharmacology &amp; ADR Management</t>
        </is>
      </c>
      <c r="M35" s="46" t="inlineStr">
        <is>
          <t>Clinic</t>
        </is>
      </c>
      <c r="N35" s="45" t="inlineStr">
        <is>
          <t>PLE_CC1_2567_Key ข้อ 24</t>
        </is>
      </c>
      <c r="O35" s="46" t="inlineStr">
        <is>
          <t>ข้อสอบจริง</t>
        </is>
      </c>
      <c r="P35" s="46" t="inlineStr">
        <is>
          <t>ปี 2567</t>
        </is>
      </c>
      <c r="Q35" s="2" t="n"/>
    </row>
    <row r="36" ht="409.6" customHeight="1" s="37">
      <c r="A36" s="44" t="n">
        <v>34</v>
      </c>
      <c r="B36" s="45" t="inlineStr">
        <is>
          <t>ผู้ป่วยได้รับการตรวจไขมันในเลือดพบ TC &gt; 200 mg/dL, TG &gt; 200 mg/dL, LDL-C สูงกว่าเกณฑ์ แพทย์วินิจฉัยเป็น Dyslipidemia และตรวจพบค่าการทำงานของไต eGFR = 48 mL/min/1.73 m2 ควรเลือกยาลดไขมันตัวใดจึงจะเหมาะสมที่สุด</t>
        </is>
      </c>
      <c r="C36" s="46" t="n"/>
      <c r="D36" s="45" t="inlineStr">
        <is>
          <t>Simvastatin 40 mg hs</t>
        </is>
      </c>
      <c r="E36" s="45" t="inlineStr">
        <is>
          <t>Rosuvastatin 40 mg hs</t>
        </is>
      </c>
      <c r="F36" s="45" t="inlineStr">
        <is>
          <t>Pravastatin 20 mg hs</t>
        </is>
      </c>
      <c r="G36" s="45" t="inlineStr">
        <is>
          <t>Atorvastatin 40 mg hs</t>
        </is>
      </c>
      <c r="H36" s="45" t="inlineStr">
        <is>
          <t>Fluvastatin 20 mg hs</t>
        </is>
      </c>
      <c r="I36" s="46" t="n">
        <v>4</v>
      </c>
      <c r="J36" s="45" t="inlineStr">
        <is>
          <t>✅ คำตอบที่ถูกต้อง: ข้อ ง. Atorvastatin 40 mg hs
💡 Background:
ผู้ป่วยมีระดับไขมันในเลือดสูงร่วมกับโรคไตเรื้อรังระยะ 3a (CKD stage 3a; eGFR 45-59 mL/min/1.73 m2) ซึ่งจัดเป็นกลุ่มความเสี่ยงสูงต่อการเกิดโรคหัวใจและหลอดเลือด การเลือก Statin ต้องคำนึงถึงวิถีการกำจัดยาเพื่อความปลอดภัยต่อไต
🎯 ทำไมข้อนี้ถึงถูก:
Atorvastatin ถูกเปลี่ยนสภาพที่ตับผ่านเอนไซม์ CYP3A4 เป็นหลัก และขับออกทางน้ำดีและอุจจาระ มีการขับออกทางไตน้อยมาก (&lt;2%) ดังนั้นจึง ไม่จำเป็นต้องปรับลดขนาดยาในผู้ป่วยโรคไตเรื้อรัง ทุกระยะ รวมถึงผู้ป่วยล้างไต อีกทั้งขนาดยา 40 mg ยังจัดเป็น High-intensity statin ที่ช่วยลด LDL-C ได้อย่างมีประสิทธิภาพ จึงเป็นตัวเลือกที่ปลอดภัยและเหมาะสมที่สุด
🔍 ข้ออื่นผิดเพราะอะไร:
• ข้อ ข. (Rosuvastatin 40 mg hs): Rosuvastatin ขับออกทางไตประมาณ 10% และขนาดยาสูงสุด 40 mg ห้ามใช้ในผู้ป่วยที่มีการทำงานของไตบกพร่อง (ใน CKD stage 3 แนะนำเริ่มต้น 5-10 mg และขนาดสูงสุดไม่เกิน 20 mg/day)
• ข้อ ก. (Simvastatin 40 mg): ประสิทธิภาพลด LDL เป็นเพียง Moderate intensity และมีความเสี่ยง Myopathy สูงกว่า
• ข้อ ค. (Pravastatin 20 mg): ขับออกทางไตสูง (ประมาณ 20%) และเป็น Low-to-Moderate intensity
• ข้อ จ. (Fluvastatin 20 mg): เป็นเพียง Low-intensity statin ประสิทธิภาพไม่เพียงพอในการลดความเสี่ยง ASCVD
📖 Guideline อ้างอิง:
KDIGO 2024 Clinical Practice Guideline for the Management of CKD &amp; แนวทางเวชปฏิบัติการรักษาภาวะไขมันผิดปกติในเลือด พ.ศ. 2559
📌 จุดจำก่อนสอบ:
• Statin in Renal Impairment: Atorvastatin เป็น Statin ขนานหลักที่ ไม่ต้องปรับขนาดยาตามการทำงานของไต
• Rosuvastatin in CKD: หาก eGFR &lt; 30 mL/min ขนาดยาสูงสุดห้ามเกิน 10-20 mg/day</t>
        </is>
      </c>
      <c r="K36" s="46" t="n"/>
      <c r="L36" s="45" t="inlineStr">
        <is>
          <t>Dyslipidemias &amp; Renal Impairment</t>
        </is>
      </c>
      <c r="M36" s="46" t="inlineStr">
        <is>
          <t>Clinic</t>
        </is>
      </c>
      <c r="N36" s="45" t="inlineStr">
        <is>
          <t>PLE_CC1_2567_Key ข้อ 51</t>
        </is>
      </c>
      <c r="O36" s="46" t="inlineStr">
        <is>
          <t>ข้อสอบจริง</t>
        </is>
      </c>
      <c r="P36" s="46" t="inlineStr">
        <is>
          <t>ปี 2567</t>
        </is>
      </c>
      <c r="Q36" s="2" t="n"/>
    </row>
    <row r="37" ht="409.6" customHeight="1" s="37">
      <c r="A37" s="44" t="n">
        <v>35</v>
      </c>
      <c r="B37" s="45" t="inlineStr">
        <is>
          <t>ข้อใดเป็นข้อห้ามใช้เด็ดขาด (Absolute Contraindication) ของยากลุ่ม Statins</t>
        </is>
      </c>
      <c r="C37" s="46" t="n"/>
      <c r="D37" s="45" t="inlineStr">
        <is>
          <t>การติดเชื้อในทางเดินปัสสาวะ</t>
        </is>
      </c>
      <c r="E37" s="45" t="inlineStr">
        <is>
          <t>นิ่วในถุงน้ำดี</t>
        </is>
      </c>
      <c r="F37" s="45" t="inlineStr">
        <is>
          <t>ภาวะตั้งครรภ์และให้นมบุตร</t>
        </is>
      </c>
      <c r="G37" s="45" t="inlineStr">
        <is>
          <t>โรคไตเรื้อรัง ระยะ 3a</t>
        </is>
      </c>
      <c r="H37" s="45" t="inlineStr">
        <is>
          <t>โรคหลอดเลือดสมองขาดเลือด</t>
        </is>
      </c>
      <c r="I37" s="46" t="n">
        <v>3</v>
      </c>
      <c r="J37" s="45" t="inlineStr">
        <is>
          <t>✅ คำตอบที่ถูกต้อง: ข้อ ค. ภาวะตั้งครรภ์และให้นมบุตร
💡 Background:
การใช้ยากลุ่ม Statins ต้องประเมินข้อห้ามใช้และภาวะเสี่ยงของผู้ป่วยอย่างเคร่งครัดตามแนวทางเวชปฏิบัติและฉลากยา
🎯 ทำไมข้อนี้ถึงถูก:
การตั้งครรภ์ (Pregnancy) และระยะให้นมบุตร (Lactation) เป็น ข้อห้ามใช้เด็ดขาด ของยากลุ่ม Statins ทุกชนิด เนื่องจากคอเลสเตอรอลเป็นสารตั้งต้นที่จำเป็นอย่างยิ่งต่อการเจริญเติบโต การสร้างเยื่อหุ้มเซลล์ และการพัฒนาของระบบประสาทและอวัยวะของทารกในครรภ์ การยับยั้งการสร้างคอเลสเตอรอลอาจก่อให้เกิดความพิการแต่กำเนิด (Teratogenicity) หญิงวัยเจริญพันธุ์ที่ใช้ Statin ต้องคุมกำเนิดที่มีประสิทธิภาพ และหากวางแผนตั้งครรภ์ต้องหยุดยา Statin ก่อนล่วงหน้าอย่างน้อย 1-3 เดือน
🔍 ข้ออื่นผิดเพราะอะไร:
• ข้อ ก. (ติดเชื้อทางเดินปัสสาวะ): ไม่ใช่ข้อห้ามใช้ของ Statin
• ข้อ ข. (นิ่วในถุงน้ำดี): นิ่วในถุงน้ำดีเป็นข้อควรระวังของยากลุ่ม Fibrates ไม่ใช่ Statins
• ข้อ ง. (โรคไตเรื้อรังระยะ 3a): ไม่ใช่ข้อห้ามใช้ ในทางกลับกันเป็นข้อบ่งชี้สำคัญที่ผู้ป่วยควรได้รับ Statin เพื่อลดความเสี่ยงโรคหัวใจ
• ข้อ จ. (โรคหลอดเลือดสมอง): เป็นข้อบ่งชี้หลัก (Compelling indication) ที่ต้องให้ High-intensity statin ในการรักษา secondary prevention
📖 Guideline อ้างอิง:
2018 AHA/ACC Blood Cholesterol Guidelines &amp; FDA Drug Safety Communication on Statins in Pregnancy
📌 จุดจำก่อนสอบ:
• Statin Absolute Contraindications: Active liver disease (ตับอักเสบเฉียบพลัน/LFTs เพิ่ม &gt; 3x ULN ต่อเนื่อง), ภาวะตั้งครรภ์, และการให้นมบุตร
• Safe Lipid Drug in Pregnancy: Bile Acid Sequestrants (Cholestyramine) เพราะไม่ถูกดูดซึมเข้าร่างกาย</t>
        </is>
      </c>
      <c r="K37" s="46" t="n"/>
      <c r="L37" s="45" t="inlineStr">
        <is>
          <t>Dyslipidemias</t>
        </is>
      </c>
      <c r="M37" s="46" t="inlineStr">
        <is>
          <t>Clinic</t>
        </is>
      </c>
      <c r="N37" s="45" t="inlineStr">
        <is>
          <t>PLE_CC1_2567_Key ข้อ 52</t>
        </is>
      </c>
      <c r="O37" s="46" t="inlineStr">
        <is>
          <t>ข้อสอบจริง</t>
        </is>
      </c>
      <c r="P37" s="46" t="inlineStr">
        <is>
          <t>ปี 2567</t>
        </is>
      </c>
      <c r="Q37" s="2" t="n"/>
    </row>
    <row r="38" ht="409.6" customHeight="1" s="37">
      <c r="A38" s="44" t="n">
        <v>36</v>
      </c>
      <c r="B38" s="45" t="inlineStr">
        <is>
          <t>ผู้ป่วยโรคเบาหวานร่วมกับความดันโลหิตสูง และมีภาวะโรคไตเรื้อรังระยะ 3a (CKD stage 3a) การปรับขนาดยา Statins ที่เหมาะสมคือข้อใด</t>
        </is>
      </c>
      <c r="C38" s="46" t="n"/>
      <c r="D38" s="45" t="inlineStr">
        <is>
          <t>Atorvastatin สามารถใช้ขนาดยาสูง 40-80 mg/day ได้โดยไม่ต้องปรับขนาดยาตามค่าการทำงานของไต</t>
        </is>
      </c>
      <c r="E38" s="45" t="inlineStr">
        <is>
          <t>Rosuvastatin สามารถปรับเพิ่มขนาดยาได้สูงสุดถึง 40 mg/day ในผู้ป่วยไตเรื้อรังทุกระยะ</t>
        </is>
      </c>
      <c r="F38" s="45" t="inlineStr">
        <is>
          <t>ห้ามใช้ยากลุ่ม Statins ทุกชนิดในผู้ป่วยที่มีค่า eGFR &lt; 60 mL/min/1.73 m2</t>
        </is>
      </c>
      <c r="G38" s="45" t="inlineStr">
        <is>
          <t>ควรเปลี่ยนไปใช้ Gemfibrozil เดี่ยวๆ แทน Statin เพื่อป้องกันพิษต่อไต</t>
        </is>
      </c>
      <c r="H38" s="45" t="inlineStr">
        <is>
          <t>ต้องลดขนาดยา Atorvastatin ลงครึ่งหนึ่งเสมอเมื่อค่า eGFR ต่ำกว่า 60 mL/min/1.73 m2</t>
        </is>
      </c>
      <c r="I38" s="46" t="n">
        <v>1</v>
      </c>
      <c r="J38" s="45" t="inlineStr">
        <is>
          <t>✅ คำตอบที่ถูกต้อง: ข้อ ก. Atorvastatin สามารถใช้ขนาดยาสูง 40-80 mg/day ได้โดยไม่ต้องปรับขนาดยาตามค่าการทำงานของไต
💡 Background:
ตามแนวทางเวชปฏิบัติ KDIGO 2024 และ สมาคมแพทย์โรคหัวใจแห่งประเทศไทย ผู้ป่วยเบาหวานร่วมกับโรคไตเรื้อรังมีความเสี่ยงสูงมากต่อการเสียชีวิตจากโรคหัวใจและหลอดเลือด จึงมีข้อบ่งชี้ในการใช้ Statin
🎯 ทำไมข้อนี้ถึงถูก:
Atorvastatin มีการกำจัดผ่านตับและน้ำดีเป็นหลัก การขับออกทางไตมีน้อยกว่า 2% ทำให้เภสัชจลนศาสตร์ของยาไม่เปลี่ยนแปลงในผู้ป่วยที่มีการทำงานของไตบกพร่อง จึงสามารถใช้ขนาดยามาตรฐานรวมถึง High-intensity (40-80 mg/day) ได้อย่างปลอดภัยโดยไม่ต้องปรับลดขนาดยาตามค่า eGFR
🔍 ข้ออื่นผิดเพราะอะไร:
• ข้อ ข. (Rosuvastatin 40 mg/day): ผิด เพราะ Rosuvastatin มีการขับออกทางไต ขนาดยาสูงสุด 40 mg มีคำเตือนเรื่อง proteinuria และ myopathy จึงห้ามใช้ขนาด 40 mg ในผู้ป่วยที่มี renal impairment
• ข้อ ค. (ห้ามใช้ Statin ถ้า eGFR &lt; 60): ผิด เพราะ CKD เป็นกลุ่มเป้าหมายหลักที่ต้องได้ Statin เพื่อลด mortality
• ข้อ ง. (เปลี่ยนไปใช้ Gemfibrozil): Fibrate ไม่ใช่ first-line ในการลดความเสี่ยงหลอดเลือดหัวใจ และ Gemfibrozil ห้ามใช้ใน severe CKD
• ข้อ จ. (ลดขนาด Atorvastatin ลงครึ่งหนึ่ง): ไม่จำเป็นต้องปรับลดขนาดยา Atorvastatin ใน renal impairment
📖 Guideline อ้างอิง:
KDIGO 2024 Clinical Practice Guideline for the Management of CKD &amp; 2018 AHA/ACC Blood Cholesterol Guidelines
📌 จุดจำก่อนสอบ:
• Atorvastatin Dosing in CKD: No dose adjustment needed (ขับออกทางอุจจาระ/น้ำดีเป็นหลัก)
• Rosuvastatin Dosing in CKD: เริ่ม 5 mg OD และจำกัดขนาดสูงสุดไม่เกิน 10-20 mg OD หากมีภาวะไตเสื่อมปานกลางถึงรุนแรง</t>
        </is>
      </c>
      <c r="K38" s="46" t="n"/>
      <c r="L38" s="45" t="inlineStr">
        <is>
          <t>Dyslipidemias &amp; Renal Impairment</t>
        </is>
      </c>
      <c r="M38" s="46" t="inlineStr">
        <is>
          <t>Clinic</t>
        </is>
      </c>
      <c r="N38" s="45" t="inlineStr">
        <is>
          <t>PLE_CC1_2567_Key ข้อ 52</t>
        </is>
      </c>
      <c r="O38" s="46" t="inlineStr">
        <is>
          <t>ข้อสอบจริง</t>
        </is>
      </c>
      <c r="P38" s="46" t="inlineStr">
        <is>
          <t>ปี 2567</t>
        </is>
      </c>
      <c r="Q38" s="2" t="n"/>
    </row>
    <row r="39" ht="409.6" customHeight="1" s="37">
      <c r="A39" s="44" t="n">
        <v>37</v>
      </c>
      <c r="B39" s="45" t="inlineStr">
        <is>
          <t>ผู้ป่วยชายอายุ 55 ปี สูบบุหรี่วันละ 2 ซอง (40 มวน) สูบมา 20 ปี ตื่นนอนตอนเช้าต้องสูบบุหรี่มวนแรกภายในเวลา 5 นาทีหลังตื่นนอน จากข้อมูลดังกล่าว จงประเมินระดับความรุนแรงของการติดนิโคตินตามเกณฑ์ Heaviness of Smoking Index (HSI)</t>
        </is>
      </c>
      <c r="C39" s="46" t="n"/>
      <c r="D39" s="45" t="inlineStr">
        <is>
          <t>ระดับการติดนิโคตินต่ำมาก (Low dependence: HSI 0-1)</t>
        </is>
      </c>
      <c r="E39" s="45" t="inlineStr">
        <is>
          <t>ระดับการติดนิโคตินปานกลาง (Moderate dependence: HSI 2-3)</t>
        </is>
      </c>
      <c r="F39" s="45" t="inlineStr">
        <is>
          <t>ระดับการติดนิโคตินสูง (High / Heavy dependence: HSI 5-6)</t>
        </is>
      </c>
      <c r="G39" s="45" t="inlineStr">
        <is>
          <t>ไม่สามารถประเมินได้จากข้อมูลที่มีอยู่</t>
        </is>
      </c>
      <c r="H39" s="45" t="inlineStr">
        <is>
          <t>ผู้ป่วยไม่มีภาวะติดนิโคตินทางสรีรวิทยา</t>
        </is>
      </c>
      <c r="I39" s="46" t="n">
        <v>3</v>
      </c>
      <c r="J39" s="45" t="inlineStr">
        <is>
          <t>✅ คำตอบที่ถูกต้อง: ข้อ ค. ระดับการติดนิโคตินสูง (High / Heavy dependence: HSI 5-6)
💡 Background:
Heaviness of Smoking Index (HSI) เป็นแบบประเมินระดับการติดนิโคตินอย่างรวดเร็วที่พัฒนามาจาก Fagerström Test for Nicotine Dependence (FTND) โดยใช้คำถามสำคัญ 2 ข้อหลักที่มีคะแนนรวม 0-6 คะแนน
🎯 ทำไมข้อนี้ถึงถูก:
การคิดคะแนนตามเกณฑ์ HSI:
1. เวลาหลังตื่นนอนที่สูบบุหรี่มวนแรก (Time to first cigarette):
   - ภายใน 5 นาที = 3 คะแนน
   - 6-30 นาที = 2 คะแนน
   - 31-60 นาที = 1 คะแนน
   - มากกว่า 60 นาที = 0 คะแนน
(ผู้ป่วยสูบภายใน 5 นาที ได้ 3 คะแนน)
2. จำนวนบุหรี่ที่สูบต่อวัน (Cigarettes per day):
   - 1-10 มวน = 0 คะแนน
   - 11-20 มวน (1 ซอง) = 1 คะแนน
   - 21-30 มวน = 2 คะแนน
   - มากกว่า 30 มวน (&gt; 1.5 ซอง) = 3 คะแนน
(ผู้ป่วยสูบวันละ 2 ซอง คือ 40 มวน ได้ 3 คะแนน)
รวมคะแนน HSI = 3 + 3 = 6 คะแนน จัดอยู่ในเกณฑ์ High dependence (คะแนน 5-6) ซึ่งมีความจำเป็นต้องใช้ยาช่วยเลิกบุหรี่ (Pharmacotherapy เช่น NRT, Bupropion, หรือ Varenicline) ร่วมกับการปรับพฤติกรรม
🔍 ข้ออื่นผิดเพราะอะไร:
• ข้อ ก. Low dependence: คะแนน 0-2
• ข้อ ข. Moderate dependence: คะแนน 3-4
• ข้อ ง. และ จ. ไม่ถูกต้อง เนื่องจากข้อมูลระบุครบถ้วนชัดเจนและผู้ป่วยติดนิโคตินรุนแรง
📖 Guideline อ้างอิง:
คู่มือการบำบัดรักษาผู้ติดบุหรี่ในประเทศไทย (สมาคมวิชาชีพเภสัชกรรมชุมชน &amp; สสส.) &amp; Heatherton TF, et al. Heaviness of Smoking Index
📌 จุดจำก่อนสอบ:
• HSI 2 Questions: 1) สูบมวนแรกหลังตื่นนอนกี่นาที (≤5 min ได้ 3 คะแนน) 2) วันละกี่มวน (&gt;30 มวน ได้ 3 คะแนน)
• Interpretation: คะแนนรวม 0-2 (Low), 3-4 (Moderate), 5-6 (High dependence ต้องการยาช่วยเลิกบุหรี่)</t>
        </is>
      </c>
      <c r="K39" s="46" t="n"/>
      <c r="L39" s="45" t="inlineStr">
        <is>
          <t>Cardiovascular Risk &amp; Smoking Cessation</t>
        </is>
      </c>
      <c r="M39" s="46" t="inlineStr">
        <is>
          <t>Clinic</t>
        </is>
      </c>
      <c r="N39" s="45" t="inlineStr">
        <is>
          <t>PLE_CC1_2567_Key ข้อ 55</t>
        </is>
      </c>
      <c r="O39" s="46" t="inlineStr">
        <is>
          <t>ข้อสอบจริง</t>
        </is>
      </c>
      <c r="P39" s="46" t="inlineStr">
        <is>
          <t>ปี 2567</t>
        </is>
      </c>
    </row>
    <row r="40" ht="409.6" customHeight="1" s="37">
      <c r="A40" s="44" t="n">
        <v>38</v>
      </c>
      <c r="B40" s="45" t="inlineStr">
        <is>
          <t>ยาลดความดันโลหิตในข้อใดต่อไปนี้ ส่งผลต่อการขยายหลอดเลือด (Vasodilation) น้อยที่สุด</t>
        </is>
      </c>
      <c r="C40" s="46" t="n"/>
      <c r="D40" s="45" t="inlineStr">
        <is>
          <t>Atenolol</t>
        </is>
      </c>
      <c r="E40" s="45" t="inlineStr">
        <is>
          <t>Amlodipine</t>
        </is>
      </c>
      <c r="F40" s="45" t="inlineStr">
        <is>
          <t>Prazosin</t>
        </is>
      </c>
      <c r="G40" s="45" t="inlineStr">
        <is>
          <t>Hydralazine</t>
        </is>
      </c>
      <c r="H40" s="45" t="inlineStr">
        <is>
          <t>Sodium Nitroprusside</t>
        </is>
      </c>
      <c r="I40" s="46" t="n">
        <v>1</v>
      </c>
      <c r="J40" s="45" t="inlineStr">
        <is>
          <t>✅ คำตอบที่ถูกต้อง: ข้อ ก. Atenolol
💡 Background:
ยาลดความดันโลหิตออกฤทธิ์ลดความดันผ่านกลไกหลักสองส่วน คือ การลด Cardiac Output (CO) หรือการลด Total Peripheral Resistance (TPR) โดยการขยายหลอดเลือด
🎯 ทำไมข้อนี้ถึงถูก:
Atenolol เป็นยากลุ่ม Selective Beta-1 Adrenergic Antagonist ที่ออกฤทธิ์จำเพาะต่อตัวรับ Beta-1 ที่กล้ามเนื้อหัวใจ ส่งผลลดอัตราการเต้นของหัวใจ (Heart rate) และลดแรงบีบตัวของหัวใจ (Cardiac contractility) เป็นหลัก ทำให้ Cardiac Output ลดลง โดยตัวยาไม่มีคุณสมบัติในการขยายหลอดเลือดโดยตรง (ไม่มี intrinsic sympathomimetic activity และไม่มี alpha-blocking activity เหมือน carvedilol หรือ nebivolol) จึงส่งผลต่อการขยายหลอดเลือดน้อยที่สุดเมื่อเทียบกับยาตัวอื่นในตัวเลือก
🔍 ข้ออื่นผิดเพราะอะไร:
• ข้อ ข. (Amlodipine): เป็น Dihydropyridine Calcium Channel Blocker ออกฤทธิ์ขยายหลอดเลือดแดงส่วนปลาย (Arteriolar vasodilation) โดยตรง
• ข้อ ค. (Prazosin): เป็น Alpha-1 receptor blocker ยับยั้งการหดเกร็งของหลอดเลือด ทำให้หลอดเลือดดำและหลอดเลือดแดงขยายตัวโดยตรง
• ข้อ ง. (Hydralazine): เป็น Direct arteriolar vasodilator ขยายหลอดเลือดแดงโดยตรง
• ข้อ จ. (Sodium Nitroprusside): เป็น potent mixed vasodilator ขยายทั้งหลอดเลือดแดงและดำอย่างรวดเร็วผ่านการปลดปล่อย Nitric Oxide
📖 Guideline อ้างอิง:
Goodman &amp; Gilman's: The Pharmacological Basis of Therapeutics (14th Edition) &amp; 2020 ISH Global Hypertension Guidelines
📌 จุดจำก่อนสอบ:
• Pure Cardioselective Beta-blockers (Atenolol, Metoprolol, Bisoprolol): ลดความดันผ่านการลด HR และ CO ไม่ได้ขยายหลอดเลือด
• Vasodilating Beta-blockers: Carvedilol, Labetalol (ปิดกั้น Alpha-1) และ Nebivolol (กระตุ้นการหลั่ง Nitric Oxide ผ่าน Beta-3)</t>
        </is>
      </c>
      <c r="K40" s="46" t="n"/>
      <c r="L40" s="45" t="inlineStr">
        <is>
          <t>Hypertension Pharmacology</t>
        </is>
      </c>
      <c r="M40" s="46" t="inlineStr">
        <is>
          <t>Clinic</t>
        </is>
      </c>
      <c r="N40" s="45" t="inlineStr">
        <is>
          <t>PLE_CC1_2567_Key ข้อ 84</t>
        </is>
      </c>
      <c r="O40" s="46" t="inlineStr">
        <is>
          <t>ข้อสอบจริง</t>
        </is>
      </c>
      <c r="P40" s="46" t="inlineStr">
        <is>
          <t>ปี 2567</t>
        </is>
      </c>
      <c r="Q40" s="2" t="n"/>
    </row>
    <row r="41" ht="409.6" customHeight="1" s="37">
      <c r="A41" s="44" t="n">
        <v>39</v>
      </c>
      <c r="B41" s="45" t="inlineStr">
        <is>
          <t>ยากลุ่ม Statins ตัวใดต่อไปนี้มีแนวโน้มเกิดการเกิดคีเลชัน (Chelation) กับไอออนของโลหะประจุบวก เช่น แมกนีเซียม (Mg2+) หรืออะลูมิเนียม (Al3+) ในยาลดกรดได้มากที่สุด ส่งผลให้การดูดซึมของยาลดลงอย่างมีนัยสำคัญ</t>
        </is>
      </c>
      <c r="C41" s="46" t="n"/>
      <c r="D41" s="45" t="inlineStr">
        <is>
          <t>Rosuvastatin (มีหมู่ Sulfonamide และ Pyrimidine ring ที่จับกับประจุบวกได้ดี)</t>
        </is>
      </c>
      <c r="E41" s="45" t="inlineStr">
        <is>
          <t>Atorvastatin</t>
        </is>
      </c>
      <c r="F41" s="45" t="inlineStr">
        <is>
          <t>Simvastatin</t>
        </is>
      </c>
      <c r="G41" s="45" t="inlineStr">
        <is>
          <t>Pravastatin</t>
        </is>
      </c>
      <c r="H41" s="45" t="inlineStr">
        <is>
          <t>Pitavastatin</t>
        </is>
      </c>
      <c r="I41" s="46" t="n">
        <v>1</v>
      </c>
      <c r="J41" s="45" t="inlineStr">
        <is>
          <t>✅ คำตอบที่ถูกต้อง: ข้อ ก. Rosuvastatin (มีหมู่ Sulfonamide และ Pyrimidine ring ที่จับกับประจุบวกได้ดี)
💡 Background:
อันตรกิริยาระหว่างยาลดกรด (Antacids) กับยาลดไขมันกลุ่ม Statins ส่งผลต่อระดับยาในกระแสเลือด โดยเฉพาะยาที่มีโครงสร้างโมเลกุลที่สามารถสร้างพันธะเชิงซ้อนกับแคตไอออนของโลหะ
🎯 ทำไมข้อนี้ถึงถูก:
Rosuvastatin มีโครงสร้างทางเคมีที่ประกอบด้วยหมู่ Sulfonamide และวงแหวน Pyrimidine ซึ่งมีความสามารถในการเกิด Chelation กับไอออนของโลหะประจุบวก เช่น Mg2+ และ Al3+ ในยาลดกรดเคลือบกระเพาะได้สูงที่สุด ส่งผลให้ระดับยา Rosuvastatin ในพลาสมา (AUC และ Cmax) ลดลงประมาณ 50% ดังนั้นจึงต้องเว้นระยะห่างในการรับประทานยาลดกรดอย่างน้อย 2 ชั่วโมงหลังรับประทาน Rosuvastatin
🔍 ข้ออื่นผิดเพราะอะไร:
• ข้อ ข. (Atorvastatin): โครงสร้าง Pyrrole ring ได้รับผลกระทบจากยาลดกรดน้อยกว่า (AUC ลดลงประมาณ 30% แต่ประสิทธิภาพลด LDL ไม่เปลี่ยน)
• ข้อ ค. (Simvastatin): โครงสร้าง lipophilic lactone ไม่เกิด chelation กับไอออนโลหะอย่างมีนัยสำคัญ
• ข้อ ง. (Pravastatin): แม้เป็น hydrophilic แต่ไม่มีหมู่ sulfonamide chelation เหมือน rosuvastatin
• ข้อ จ. (Pitavastatin): มีโครงสร้าง quinoline ไม่เกิด chelation เด่นชัด
📖 Guideline อ้างอิง:
Micromedex Drug Interactions &amp; Foye's Principles of Medicinal Chemistry (8th Edition)
📌 จุดจำก่อนสอบ:
• Rosuvastatin + Antacid: การดูดซึมลดลง 50% จาก chelation ของ Mg2+/Al3+ ต้องกินห่างกันอย่างน้อย 2 ชั่วโมง</t>
        </is>
      </c>
      <c r="K41" s="46" t="n"/>
      <c r="L41" s="45" t="inlineStr">
        <is>
          <t>Dyslipidemias &amp; Drug Interactions</t>
        </is>
      </c>
      <c r="M41" s="46" t="inlineStr">
        <is>
          <t>Clinic</t>
        </is>
      </c>
      <c r="N41" s="45" t="inlineStr">
        <is>
          <t>PLE_CC1_2567_Key ข้อ 101</t>
        </is>
      </c>
      <c r="O41" s="46" t="inlineStr">
        <is>
          <t>ข้อสอบจริง</t>
        </is>
      </c>
      <c r="P41" s="46" t="inlineStr">
        <is>
          <t>ปี 2567</t>
        </is>
      </c>
    </row>
    <row r="42" ht="409.6" customHeight="1" s="37">
      <c r="A42" s="44" t="n">
        <v>40</v>
      </c>
      <c r="B42" s="45" t="inlineStr">
        <is>
          <t>ข้อใดไม่ใช่ปัจจัยเสี่ยงหลักที่นำไปสู่การเกิดโรคแผลในกระเพาะอาหาร (Peptic Ulcer Disease) ในผู้ป่วยสูงอายุที่ใช้ยาต้านเกล็ดเลือดและยาแก้ปวด ตามแนวทางเวชปฏิบัติการดูแลรักษาผู้ป่วยโรคกระเพาะอาหาร</t>
        </is>
      </c>
      <c r="C42" s="46" t="n"/>
      <c r="D42" s="45" t="inlineStr">
        <is>
          <t>การใช้ยา Naproxen เป็นเวลานาน</t>
        </is>
      </c>
      <c r="E42" s="45" t="inlineStr">
        <is>
          <t>อายุมากกว่า 65 ปี</t>
        </is>
      </c>
      <c r="F42" s="45" t="inlineStr">
        <is>
          <t>ภาวะโรคอ้วน (Obesity)</t>
        </is>
      </c>
      <c r="G42" s="45" t="inlineStr">
        <is>
          <t>การใช้ยา Aspirin ร่วมด้วยเป็นเวลานาน</t>
        </is>
      </c>
      <c r="H42" s="45" t="inlineStr">
        <is>
          <t>การติดเชื้อ Helicobacter pylori ในกระเพาะอาหาร</t>
        </is>
      </c>
      <c r="I42" s="46" t="n">
        <v>3</v>
      </c>
      <c r="J42" s="45" t="inlineStr">
        <is>
          <t>✅ คำตอบที่ถูกต้อง: ข้อ ค. ภาวะโรคอ้วน (Obesity)
💡 Background:
การใช้ยาต้านการแข็งตัวของเลือดและยาต้านเกล็ดเลือดในโรคระบบหัวใจและหลอดเลือด (เช่น Aspirin) ร่วมกับยาแก้ปวดกลุ่ม NSAIDs ในผู้สูงอายุ เพิ่มความเสี่ยงต่อการเกิดภาวะเลือดออกในทางเดินอาหารส่วนบนอย่างรุนแรง
🎯 ทำไมข้อนี้ถึงถูก:
ภาวะโรคอ้วน (Obesity) สัมพันธ์กับโรคกรดไหลย้อน (GERD) แต่ ไม่ได้จัดเป็นปัจจัยเสี่ยงหลักที่เป็นสาเหตุโดยตรงของการเกิด Peptic Ulcer Disease (PUD) ปัจจัยเสี่ยงหลักที่แท้จริงคือ การใช้ NSAIDs/Aspirin, การติดเชื้อ H. pylori, อายุที่มากขึ้น (&gt;65 ปี) และประวัติเคยมีแผลในทางเดินอาหารมาก่อน
🔍 ข้ออื่นผิดเพราะอะไร:
• ข้อ ก. (ใช้ Naproxen): เป็น non-selective NSAID ที่ยับยั้ง COX-1 ในกระเพาะอาหาร ลด mucosal prostaglandin เป็นสาเหตุหลักของ PUD
• ข้อ ข. (สูงอายุ &gt;65 ปี): เป็น major independent risk factor ของ NSAID-induced GI toxicity
• ข้อ ง. (ใช้ Aspirin นาน): Aspirin ยับยั้ง COX-1 ถาวรและระคายเคืองกระเพาะอาหารโดยตรง
• ข้อ จ. (ติดเชื้อ H. pylori): เป็นสาเหตุอันดับหนึ่งของ Peptic ulcer ทั่วโลก
📖 Guideline อ้างอิง:
แนวทางเวชปฏิบัติการดูแลรักษาผู้ป่วยโรค Dyspepsia และการติดเชื้อ H. pylori ในประเทศไทย พ.ศ. 2561
📌 จุดจำก่อนสอบ:
• Major PUD Risk Factors: H. pylori infection, NSAIDs/Aspirin use, Age &gt; 65 years, Previous ulcer history, Concurrent Anticoagulant/Steroid</t>
        </is>
      </c>
      <c r="K42" s="46" t="n"/>
      <c r="L42" s="45" t="inlineStr">
        <is>
          <t>Cardiovascular Pharmacology &amp; GI Risk</t>
        </is>
      </c>
      <c r="M42" s="46" t="inlineStr">
        <is>
          <t>Clinic</t>
        </is>
      </c>
      <c r="N42" s="45" t="inlineStr">
        <is>
          <t>PLE_CC1_2567_Set1_Key ข้อ 8</t>
        </is>
      </c>
      <c r="O42" s="46" t="inlineStr">
        <is>
          <t>ข้อสอบจริง</t>
        </is>
      </c>
      <c r="P42" s="46" t="inlineStr">
        <is>
          <t>ปี 2567</t>
        </is>
      </c>
      <c r="Q42" s="2" t="n"/>
    </row>
    <row r="43" ht="409.6" customHeight="1" s="37">
      <c r="A43" s="44" t="n">
        <v>41</v>
      </c>
      <c r="B43" s="45" t="inlineStr">
        <is>
          <t>สูตรการกำจัดเชื้อ Helicobacter pylori ที่เหมาะสมเป็นอันดับแรก (First-line Regimen) ในประเทศไทยในปัจจุบันตามแนวทางเวชปฏิบัติแห่งชาติคือสูตรใด</t>
        </is>
      </c>
      <c r="C43" s="46" t="n"/>
      <c r="D43" s="45" t="inlineStr">
        <is>
          <t>Bismuth quadruple therapy (PPI + Bismuth subsalicylate + Metronidazole + Tetracycline) นาน 14 วัน</t>
        </is>
      </c>
      <c r="E43" s="45" t="inlineStr">
        <is>
          <t>Clarithromycin triple therapy (PPI + Clarithromycin + Amoxicillin) นาน 7 วัน</t>
        </is>
      </c>
      <c r="F43" s="45" t="inlineStr">
        <is>
          <t>Levofloxacin triple therapy (PPI + Levofloxacin + Amoxicillin) นาน 10 วัน</t>
        </is>
      </c>
      <c r="G43" s="45" t="inlineStr">
        <is>
          <t>Dual therapy (PPI + Metronidazole) นาน 14 วัน</t>
        </is>
      </c>
      <c r="H43" s="45" t="inlineStr">
        <is>
          <t>Sequential therapy นาน 5 วัน</t>
        </is>
      </c>
      <c r="I43" s="46" t="n">
        <v>1</v>
      </c>
      <c r="J43" s="45" t="inlineStr">
        <is>
          <t>✅ คำตอบที่ถูกต้อง: ข้อ ก. Bismuth quadruple therapy (PPI + Bismuth subsalicylate + Metronidazole + Tetracycline) นาน 14 วัน
💡 Background:
ในประเทศไทยมีอุบัติการณ์ของเชื้อ H. pylori ดื้อต่อยา Clarithromycin สูงเกินกว่า 15-20% ทำให้สูตรดั้งเดิม Triple therapy ล้มเหลวในการรักษา
🎯 ทำไมข้อนี้ถึงถูก:
แนวทางเวชปฏิบัติการวินิจฉัยและการรักษาผู้ป่วยที่มีการติดเชื้อ Helicobacter pylori ในประเทศไทย แนะนำให้ใช้สูตร 14-day Bismuth Quadruple Therapy (BQT) หรือ Concomitant quadruple therapy เป็นการรักษาทางเลือกแรก (First-line empiric eradication therapy) เนื่องจากมีอัตราการกำจัดเชื้อสำเร็จสูงกว่า 90% แม้ในพื้นที่ที่มีเชื้อดื้อยา Clarithromycin สูง
🔍 ข้ออื่นผิดเพราะอะไร:
• ข้อ ข. (Clarithromycin triple): อัตรากำจัดเชื้อต่ำกว่าเกณฑ์มาตรฐานเนื่องจากปัญหาการดื้อยา Clarithromycin ในประเทศไทย
• ข้อ ค. (Levofloxacin triple): สงวนไว้ใช้เป็น Rescue/Second-line therapy หลังล้มเหลวจากสูตรแรก
• ข้อ ง. และ จ.: ไม่ใช่สูตรมาตรฐานที่แนะนำในแนวทางเวชปฏิบัติของไทย
📖 Guideline อ้างอิง:
แนวทางเวชปฏิบัติการวินิจฉัยและการรักษาผู้ป่วยที่มีการติดเชื้อ Helicobacter pylori ในประเทศไทย พ.ศ. 2561 (สมาคมแพทย์ระบบทางเดินอาหารแห่งประเทศไทย)
📌 จุดจำก่อนสอบ:
• H. pylori First-line Thailand: 14-day Bismuth Quadruple Therapy (PPI BID + Bismuth subsalicylate QID + Metronidazole QID + Tetracycline QID)</t>
        </is>
      </c>
      <c r="K43" s="46" t="n"/>
      <c r="L43" s="45" t="inlineStr">
        <is>
          <t>Cardiovascular &amp; GI Comorbidities</t>
        </is>
      </c>
      <c r="M43" s="46" t="inlineStr">
        <is>
          <t>Clinic</t>
        </is>
      </c>
      <c r="N43" s="45" t="inlineStr">
        <is>
          <t>PLE_CC1_2567_Set1_Key ข้อ 9</t>
        </is>
      </c>
      <c r="O43" s="46" t="inlineStr">
        <is>
          <t>ข้อสอบจริง</t>
        </is>
      </c>
      <c r="P43" s="46" t="inlineStr">
        <is>
          <t>ปี 2567</t>
        </is>
      </c>
      <c r="Q43" s="2" t="n"/>
    </row>
    <row r="44" ht="409.6" customHeight="1" s="37">
      <c r="A44" s="44" t="n">
        <v>42</v>
      </c>
      <c r="B44" s="45" t="inlineStr">
        <is>
          <t>ผู้ป่วยหญิงอายุ 25 ปี มีประวัติผิวหนังอักเสบ มีตุ่มสิวหนองและผื่นแดงบริเวณใบหน้า แพทย์ต้องการจ่ายยาปฏิชีวนะชนิดทาเฉพาะที่ ข้อใดคือยาที่เหมาะสมและปลอดภัยที่สุด</t>
        </is>
      </c>
      <c r="C44" s="46" t="n"/>
      <c r="D44" s="45" t="inlineStr">
        <is>
          <t>Clindamycin 1% topical solution</t>
        </is>
      </c>
      <c r="E44" s="45" t="inlineStr">
        <is>
          <t>Mupirocin 2% ointment</t>
        </is>
      </c>
      <c r="F44" s="45" t="inlineStr">
        <is>
          <t>Gentamicin 0.1% cream</t>
        </is>
      </c>
      <c r="G44" s="45" t="inlineStr">
        <is>
          <t>Silver sulfadiazine cream</t>
        </is>
      </c>
      <c r="H44" s="45" t="inlineStr">
        <is>
          <t>Acyclovir 5% cream</t>
        </is>
      </c>
      <c r="I44" s="46" t="n">
        <v>1</v>
      </c>
      <c r="J44" s="45" t="inlineStr">
        <is>
          <t>✅ คำตอบที่ถูกต้อง: ข้อ ก. Clindamycin 1% topical solution
💡 Background:
การรักษาสิวอักเสบระยะเล็กน้อยถึงปานกลาง (Mild to Moderate Papulopustular Acne) เน้นการกำจัดเชื้อ Cutibacterium acnes (เดิมชื่อ Propionibacterium acnes) และลดการอักเสบ
🎯 ทำไมข้อนี้ถึงถูก:
Clindamycin 1% topical เป็นยาปฏิชีวนะทาภายนอกทางเลือกแรกสำหรับสิวอักเสบ โดยแนะนำให้ใช้ร่วมกับ Benzoyl peroxide (BPO) เสมอ เพื่อเพิ่มประสิทธิภาพและป้องกันการเกิดเชื้อดื้อยา
🔍 ข้ออื่นผิดเพราะอะไร:
• ข้อ ข. (Mupirocin): ใช้สำหรับแผลติดเชื้อแบคทีเรีย Gram-positive ทั่วไป (เช่น Impetigo, MRSA) ไม่ใช่ยาเลือกสำหรับสิว
• ข้อ ค. (Gentamicin): ครอบคลุมเชื้อ Gram-negative ในแผลติดเชื้อทั่วไป
• ข้อ ง. (Silver sulfadiazine): ใช้รักษาแผลไฟไหม้ น้ำร้อนลวก (Burns)
• ข้อ จ. (Acyclovir): เป็นยาต้านไวรัส ใช้สำหรับ Herpes simplex ไม่ใช่สิว
📖 Guideline อ้างอิง:
AAD Guidelines of Care for the Management of Acne Vulgaris (2024 Update) &amp; สมาคมแพทย์ผิวหนังแห่งประเทศไทย
📌 จุดจำก่อนสอบ:
• Topical Antibiotic in Acne: ห้ามใช้ Topical Antibiotic (Clindamycin, Erythromycin) แบบเดี่ยวๆ (Monotherapy) ต้องใช้คู่กับ Benzoyl Peroxide เพื่อกันเชื้อดื้อยาเสมอ</t>
        </is>
      </c>
      <c r="K44" s="46" t="n"/>
      <c r="L44" s="45" t="inlineStr">
        <is>
          <t>Dermatologic Comorbidities</t>
        </is>
      </c>
      <c r="M44" s="46" t="inlineStr">
        <is>
          <t>Clinic</t>
        </is>
      </c>
      <c r="N44" s="45" t="inlineStr">
        <is>
          <t>PLE_CC1_2567_Set1_Key ข้อ 57</t>
        </is>
      </c>
      <c r="O44" s="46" t="inlineStr">
        <is>
          <t>ข้อสอบจริง</t>
        </is>
      </c>
      <c r="P44" s="46" t="inlineStr">
        <is>
          <t>ปี 2567</t>
        </is>
      </c>
    </row>
    <row r="45" ht="409.6" customHeight="1" s="37">
      <c r="A45" s="44" t="n">
        <v>43</v>
      </c>
      <c r="B45" s="45" t="inlineStr">
        <is>
          <t>ผู้ป่วยที่เป็นโรคความดันโลหิตสูงเรื้อรังมาเป็นเวลานานโดยควบคุมความดันไม่ได้ มีความเสี่ยงสูงสุดต่อการเกิดความเสียหายของอวัยวะเป้าหมาย (Target Organ Damage) ในข้อใด</t>
        </is>
      </c>
      <c r="C45" s="46" t="n"/>
      <c r="D45" s="45" t="inlineStr">
        <is>
          <t>Left Ventricular Hypertrophy (LVH) และกล้ามเนื้อหัวใจขาดเลือด</t>
        </is>
      </c>
      <c r="E45" s="45" t="inlineStr">
        <is>
          <t>Type I Hypersensitivity reaction</t>
        </is>
      </c>
      <c r="F45" s="45" t="inlineStr">
        <is>
          <t>Type II Cytotoxic reaction</t>
        </is>
      </c>
      <c r="G45" s="45" t="inlineStr">
        <is>
          <t>Osteoarthritis ของข้อเข่า</t>
        </is>
      </c>
      <c r="H45" s="45" t="inlineStr">
        <is>
          <t>Acute Appendicitis</t>
        </is>
      </c>
      <c r="I45" s="46" t="n">
        <v>1</v>
      </c>
      <c r="J45" s="45" t="inlineStr">
        <is>
          <t>✅ คำตอบที่ถูกต้อง: ข้อ ก. Left Ventricular Hypertrophy (LVH) และกล้ามเนื้อหัวใจขาดเลือด
💡 Background:
ความดันโลหิตสูงที่ควบคุมไม่ได้ (Uncontrolled chronic hypertension) ส่งผลให้เกิดภาวะแรงต้านทานของหลอดเลือดส่วนปลายสูงต่อเนื่อง ทำให้หัวใจห้องล่างซ้ายต้องบีบตัวสู้กับแรงดันสูงตลอดเวลา (Increased afterload)
🎯 ทำไมข้อนี้ถึงถูก:
ภาระงานของหัวใจที่เพิ่มขึ้นเรื้อรังจะกระตุ้นการปรับโครงสร้างหัวใจ เกิดภาวะกล้ามเนื้อหัวใจห้องล่างซ้ายหนาตัวผิดปกติ (Left Ventricular Hypertrophy; LVH) ซึ่งเป็นปัจจัยเสี่ยงสำคัญที่นำไปสู่ภาวะหัวใจขาดเลือด (Myocardial ischemia), ภาวะหัวใจล้มเหลว (Heart Failure with preserved/reduced EF) และเสียชีวิตเฉียบพลัน
🔍 ข้ออื่นผิดเพราะอะไร:
• ข้อ ข. และ ค.: เป็นปฏิกิริยาภูมิแพ้ทางระบบภูมิคุ้มกัน (Coombs and Gell classification) ไม่เกี่ยวข้องกับพยาธิสภาพของความดันโลหิตสูง
• ข้อ ง. (Osteoarthritis): เป็นโรคความเสื่อมของข้อต่อจากอายุและการใช้งาน
• ข้อ จ. (Acute Appendicitis): เป็นภาวะไส้ติ่งอักเสบเฉียบพลันจากการอุดตัน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Target Organ Damage (TOD) in HTN: 1) หัวใจ (LVH, CAD, Heart Failure) 2) สมอง (Stroke, TIA) 3) ไต (CKD, Proteinuria) 4) ตา (Hypertensive Retinopathy) 5) หลอดเลือด (Peripheral Artery Disease)</t>
        </is>
      </c>
      <c r="K45" s="46" t="n"/>
      <c r="L45" s="45" t="inlineStr">
        <is>
          <t>Hypertension &amp; Target Organ Damage</t>
        </is>
      </c>
      <c r="M45" s="46" t="inlineStr">
        <is>
          <t>Clinic</t>
        </is>
      </c>
      <c r="N45" s="45" t="inlineStr">
        <is>
          <t>PLE_CC1_2567_Set1_Key ข้อ 83</t>
        </is>
      </c>
      <c r="O45" s="46" t="inlineStr">
        <is>
          <t>ข้อสอบจริง</t>
        </is>
      </c>
      <c r="P45" s="46" t="inlineStr">
        <is>
          <t>ปี 2567</t>
        </is>
      </c>
      <c r="Q45" s="2" t="n"/>
    </row>
    <row r="46" ht="409.6" customHeight="1" s="37">
      <c r="A46" s="44" t="n">
        <v>44</v>
      </c>
      <c r="B46" s="45" t="inlineStr">
        <is>
          <t>ผู้ป่วยตรวจวัดความดันโลหิตได้ค่า 152/94 mmHg จัดอยู่ในระดับความรุนแรงของโรคความดันโลหิตสูงระดับใด ตามแนวทางการรักษาโรคความดันโลหิตสูงในเวชปฏิบัติทั่วไปของสมาคมความดันโลหิตสูงแห่งประเทศไทย</t>
        </is>
      </c>
      <c r="C46" s="46" t="n"/>
      <c r="D46" s="45" t="inlineStr">
        <is>
          <t>High normal</t>
        </is>
      </c>
      <c r="E46" s="45" t="inlineStr">
        <is>
          <t>Hypertension Grade 1 (ระดับที่ 1)</t>
        </is>
      </c>
      <c r="F46" s="45" t="inlineStr">
        <is>
          <t>Hypertension Grade 2 (ระดับที่ 2)</t>
        </is>
      </c>
      <c r="G46" s="45" t="inlineStr">
        <is>
          <t>Hypertension Grade 3 (ระดับที่ 3)</t>
        </is>
      </c>
      <c r="H46" s="45" t="inlineStr">
        <is>
          <t>Isolated systolic hypertension</t>
        </is>
      </c>
      <c r="I46" s="46" t="n">
        <v>2</v>
      </c>
      <c r="J46" s="45" t="inlineStr">
        <is>
          <t>✅ คำตอบที่ถูกต้อง: ข้อ ข. Hypertension Grade 1 (ระดับที่ 1)
💡 Background:
แนวทางเวชปฏิบัติของสมาคมความดันโลหิตสูงแห่งประเทศไทย พ.ศ. 2562 (และฉบับปรับปรุง พ.ศ. 2567) อ้างอิงเกณฑ์การจัดระดับความดันโลหิตตามมาตรฐานยุโรป (ESC/ESH) และสากล (ISH)
🎯 ทำไมข้อนี้ถึงถูก:
เกณฑ์การจำแนกระดับความดันโลหิต (วัดที่คลินิก/โรงพยาบาล):
- Optimal: SBP &lt; 120 และ DBP &lt; 80 mmHg
- Normal: SBP 120-129 และ/หรือ DBP 80-84 mmHg
- High Normal: SBP 130-139 และ/หรือ DBP 85-89 mmHg
- Grade 1 HTN: SBP 140-159 และ/หรือ DBP 90-99 mmHg
- Grade 2 HTN: SBP 160-179 และ/หรือ DBP 100-109 mmHg
- Grade 3 HTN: SBP ≥ 180 และ/หรือ DBP ≥ 110 mmHg
ผู้ป่วยมีความดันโลหิต 152/94 mmHg ซึ่ง SBP (152) อยู่ในช่วง 140-159 และ DBP (94) อยู่ในช่วง 90-99 mmHg จึงจัดอยู่ในระดับ Hypertension Grade 1 อย่างชัดเจน
🔍 ข้ออื่นผิดเพราะอะไร:
• ข้อ ก. (High normal): คือ 130-139 / 85-89 mmHg
• ข้อ ค. (Hypertension Grade 2): ต้องมี SBP 160-179 หรือ DBP 100-109 mmHg
• ข้อ ง. (Hypertension Grade 3): ต้องมี SBP ≥ 180 หรือ DBP ≥ 110 mmHg
• ข้อ จ. (Isolated systolic): ต้องมี SBP ≥ 140 ร่วมกับ DBP &lt; 90 mmHg แต่รายนี้ DBP = 94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Grade 1 HTN Range: 140-159 / 90-99 mmHg
• Management Grade 1: หากความเสี่ยงต่ำ ให้เริ่มปรับพฤติกรรม 3-6 เดือน หากความเสี่ยงสูงมากหรือมีโรคประจำตัว ให้เริ่มยา 1 ชนิดทันที</t>
        </is>
      </c>
      <c r="K46" s="46" t="n"/>
      <c r="L46" s="45" t="inlineStr">
        <is>
          <t>Hypertension</t>
        </is>
      </c>
      <c r="M46" s="46" t="inlineStr">
        <is>
          <t>Clinic</t>
        </is>
      </c>
      <c r="N46" s="45" t="inlineStr">
        <is>
          <t>PLE-CC1 ปี 2566 Day 1 ข้อ 9</t>
        </is>
      </c>
      <c r="O46" s="46" t="inlineStr">
        <is>
          <t>ข้อสอบจริง</t>
        </is>
      </c>
      <c r="P46" s="46" t="inlineStr">
        <is>
          <t>ปี 2566</t>
        </is>
      </c>
    </row>
    <row r="47" ht="409.6" customHeight="1" s="37">
      <c r="A47" s="44" t="n">
        <v>45</v>
      </c>
      <c r="B47" s="45" t="inlineStr">
        <is>
          <t>ข้อใดกล่าว 'ไม่ถูกต้อง' เกี่ยวกับคุณสมบัติทางเภสัชจลนศาสตร์และเภสัชวิทยาของยา Rosuvastatin</t>
        </is>
      </c>
      <c r="C47" s="46" t="n"/>
      <c r="D47" s="45" t="inlineStr">
        <is>
          <t>มีคุณสมบัติชอบน้ำ (Hydrophilic statin)</t>
        </is>
      </c>
      <c r="E47" s="45" t="inlineStr">
        <is>
          <t>ถูกเปลี่ยนแปลงสภาพผ่านเอนไซม์ CYP3A4 เป็นหลักในตับ</t>
        </is>
      </c>
      <c r="F47" s="45" t="inlineStr">
        <is>
          <t>ส่วนใหญ่ขับออกทางอุจจาระและน้ำดีในรูปเดิมที่ไม่เปลี่ยนแปลง</t>
        </is>
      </c>
      <c r="G47" s="45" t="inlineStr">
        <is>
          <t>ถูกเปลี่ยนแปลงสภาพผ่านเอนไซม์ CYP2C9 เล็กน้อย (ประมาณ 10%)</t>
        </is>
      </c>
      <c r="H47" s="45" t="inlineStr">
        <is>
          <t>มีค่าครึ่งชีวิตการกำจัดยา (Elimination half-life) ยาวนานประมาณ 19 ชั่วโมง</t>
        </is>
      </c>
      <c r="I47" s="46" t="n">
        <v>2</v>
      </c>
      <c r="J47" s="45" t="inlineStr">
        <is>
          <t>✅ คำตอบที่ถูกต้อง: ข้อ ข. ถูกเปลี่ยนแปลงสภาพผ่านเอนไซม์ CYP3A4 เป็นหลักในตับ
💡 Background:
ยากลุ่ม Statins มีคุณสมบัติทางเคมีกายภาพและวิถีการเปลี่ยนสภาพที่แตกต่างกันอย่างมาก ซึ่งส่งผลต่อการเกิดอันตรกิริยาระหว่างยา (Drug-drug interactions)
🎯 ทำไมข้อนี้ถึงถูก:
Rosuvastatin ไม่ได้ ถูกเมแทบอไลต์ผ่านเอนไซม์ CYP3A4 แต่ถูกเปลี่ยนสภาพผ่าน CYP2C9 เพียงเล็กน้อย (ประมาณ 10%) และเกือบ 90% ของยาถูกขับออกทางอุจจาระและน้ำดีในรูปเดิม ดังนั้นข้อ ข จึงเป็นข้อความที่ผิด (ยา Statin ที่ผ่าน CYP3A4 เด่นชัดคือ Simvastatin, Atorvastatin, Lovastatin)
🔍 ข้ออื่นถูกต้องตามหลักวิชาการ:
• ข้อ ก. ถูกต้อง: Rosuvastatin และ Pravastatin จัดเป็น Hydrophilic statins มีอัตราการซึมผ่านเข้าสู่เซลล์กล้ามเนื้อต่ำกว่า Lipophilic statins
• ข้อ ค. ถูกต้อง: ขับออกทางอุจจาระและน้ำดีเป็นหลักประมาณ 90%
• ข้อ ง. ถูกต้อง: มีเพียง 10% ที่ผ่าน hepatic metabolism โดยเอนไซม์หลักคือ CYP2C9
• ข้อ จ. ถูกต้อง: มี half-life ยาวนาน (~19 ชั่วโมง) สามารถกินเวลาใดก็ได้ของวัน
📖 Guideline อ้างอิง:
Goodman &amp; Gilman's: The Pharmacological Basis of Therapeutics (14th Edition) &amp; Micromedex Drug Information
📌 จุดจำก่อนสอบ:
• CYP3A4 Substrates: Simvastatin, Atorvastatin, Lovastatin (ตีกับ Macrolides, Azoles, Diltiazem)
• Non-CYP3A4 Statins: Rosuvastatin (CYP2C9 เล็กน้อย), Pravastatin (Sulfation ไม่ผ่าน CYP), Pitavastatin (Glucuronidation)</t>
        </is>
      </c>
      <c r="K47" s="46" t="n"/>
      <c r="L47" s="45" t="inlineStr">
        <is>
          <t>Dyslipidemias Pharmacology</t>
        </is>
      </c>
      <c r="M47" s="46" t="inlineStr">
        <is>
          <t>Clinic</t>
        </is>
      </c>
      <c r="N47" s="45" t="inlineStr">
        <is>
          <t>PLE-CC1 ปี 2566 Day 1 ข้อ 19</t>
        </is>
      </c>
      <c r="O47" s="46" t="inlineStr">
        <is>
          <t>ข้อสอบจริง</t>
        </is>
      </c>
      <c r="P47" s="46" t="inlineStr">
        <is>
          <t>ปี 2566</t>
        </is>
      </c>
    </row>
    <row r="48" ht="409.6" customHeight="1" s="37">
      <c r="A48" s="44" t="n">
        <v>46</v>
      </c>
      <c r="B48" s="45" t="inlineStr">
        <is>
          <t>ผู้ป่วยได้รับยา Rosuvastatin 20 mg OD เพื่อควบคุมระดับไขมัน ผลตรวจซ้ำพบว่า LDL-C ลดลงตามเป้าหมายแล้ว แต่ระดับ Triglyceride ยังคงสูงอยู่ที่ประมาณ 280 mg/dL แพทย์พิจารณาต้องการเพิ่มยาเพื่อควบคุมระดับ Triglyceride ยาใดเป็นทางเลือกที่เหมาะสมและปลอดภัยที่สุด</t>
        </is>
      </c>
      <c r="C48" s="46" t="n"/>
      <c r="D48" s="45" t="inlineStr">
        <is>
          <t>Fenofibrate 160 mg OD</t>
        </is>
      </c>
      <c r="E48" s="45" t="inlineStr">
        <is>
          <t>Gemfibrozil 600 mg BID</t>
        </is>
      </c>
      <c r="F48" s="45" t="inlineStr">
        <is>
          <t>ปรับเพิ่ม Rosuvastatin เป็น 40 mg OD</t>
        </is>
      </c>
      <c r="G48" s="45" t="inlineStr">
        <is>
          <t>Spironolactone 25 mg OD</t>
        </is>
      </c>
      <c r="H48" s="45" t="inlineStr">
        <is>
          <t>Niacin immediate release 1000 mg BID</t>
        </is>
      </c>
      <c r="I48" s="46" t="n">
        <v>1</v>
      </c>
      <c r="J48" s="45" t="inlineStr">
        <is>
          <t>✅ คำตอบที่ถูกต้อง: ข้อ ก. Fenofibrate 160 mg OD
💡 Background:
การใช้ยาควบคุมระดับ Triglyceride ร่วมกับยากลุ่ม Statins ต้องคำนึงถึงความปลอดภัยต่อการเกิดภาวะกล้ามเนื้อสลาย (Rhabdomyolysis) เป็นสำคัญที่สุด
🎯 ทำไมข้อนี้ถึงถูก:
Fenofibrate เป็นยากลุ่ม Fibrate ชนิดเดียวที่แนะนำให้ใช้ร่วมกับ Statin ได้อย่างปลอดภัย เนื่องจาก Fenofibrate ไม่รบกวนกระบวนการ Glucuronidation ของ Statin และไม่ยับยั้งตัวขนส่ง OATP1B1 จึงไม่เพิ่มระดับยา Statin ในเลือด แตกต่างจาก Gemfibrozil ที่มีข้อห้ามใช้เด็ดขาดร่วมกับ Statin
🔍 ข้ออื่นผิดเพราะอะไร:
• ข้อ ข. (Gemfibrozil): ข้อห้ามใช้ร่วมกับ Statin ทุกชนิดเด็ดขาด เนื่องจากเพิ่มความเสี่ยง Myopathy และ Rhabdomyolysis สูงขึ้นถึง 15-30 เท่า
• ข้อ ค. (Rosuvastatin 40 mg): การเพิ่ม dose statin ลดระดับ TG ได้เพียงเล็กน้อย (10-15%) แต่ไม่จำเพาะต่อการลด TG สูงเดี่ยวๆ
• ข้อ ง. (Spironolactone): เป็นยาลดความดันกลุ่มขับปัสสาวะ ไม่ใช่ยาลดไขมัน
• ข้อ จ. (Niacin IR): มีผลข้างเคียง Flushing สูงมาก และไม่มีข้อมูลสนับสนุนว่าลด cardiovascular outcome ชัดเจนเมื่อให้ร่วมกับ Statin
📖 Guideline อ้างอิง:
แนวทางเวชปฏิบัติการรักษาภาวะไขมันผิดปกติในเลือด พ.ศ. 2559 (สมาคมแพทย์โรคหัวใจแห่งประเทศไทย) &amp; 2018 AHA/ACC Cholesterol Guidelines
📌 จุดจำก่อนสอบ:
• Statin + Fibrate Rule: เลือก Fenofibrate เท่านั้น ห้ามใช้ Gemfibrozil ร่วมกับ Statin เด็ดขาด
• Monitoring: ตรวจติดตามอาการปวดกล้ามเนื้อ (Myalgia) และค่า Serum Creatinine/eGFR เนื่องจาก Fenofibrate อาจทำให้ Scr สูงขึ้นชั่วคราวได้</t>
        </is>
      </c>
      <c r="K48" s="46" t="n"/>
      <c r="L48" s="45" t="inlineStr">
        <is>
          <t>Dyslipidemias</t>
        </is>
      </c>
      <c r="M48" s="46" t="inlineStr">
        <is>
          <t>Clinic</t>
        </is>
      </c>
      <c r="N48" s="45" t="inlineStr">
        <is>
          <t>PLE-CC1 ปี 2566 Day 1 ข้อ 20</t>
        </is>
      </c>
      <c r="O48" s="46" t="inlineStr">
        <is>
          <t>ข้อสอบจริง</t>
        </is>
      </c>
      <c r="P48" s="46" t="inlineStr">
        <is>
          <t>ปี 2566</t>
        </is>
      </c>
    </row>
    <row r="49" ht="409.6" customHeight="1" s="37">
      <c r="A49" s="44" t="n">
        <v>47</v>
      </c>
      <c r="B49" s="45" t="inlineStr">
        <is>
          <t>ตามเภสัชตำรับ (Pharmacopoeia Monograph) การหาปริมาณสารสำคัญ (Assay) ของยาเม็ดแอสไพริน (Aspirin tablets) ใช้วิธีการไทเทรตแบบใด</t>
        </is>
      </c>
      <c r="C49" s="46" t="n"/>
      <c r="D49" s="45" t="inlineStr">
        <is>
          <t>Residual (Back) acid-base titration</t>
        </is>
      </c>
      <c r="E49" s="45" t="inlineStr">
        <is>
          <t>Direct acid-base titration</t>
        </is>
      </c>
      <c r="F49" s="45" t="inlineStr">
        <is>
          <t>Complexometric titration</t>
        </is>
      </c>
      <c r="G49" s="45" t="inlineStr">
        <is>
          <t>Precipitation titration</t>
        </is>
      </c>
      <c r="H49" s="45" t="inlineStr">
        <is>
          <t>Non-aqueous acid-base titration</t>
        </is>
      </c>
      <c r="I49" s="46" t="n">
        <v>1</v>
      </c>
      <c r="J49" s="45" t="inlineStr">
        <is>
          <t>✅ คำตอบที่ถูกต้อง: ข้อ ก. Residual (Back) acid-base titration
💡 Background:
Aspirin (Acetylsalicylic acid) มีโครงสร้างเป็นทั้งกรดคาร์บอกซิลิกอิสระและมีหมู่เอสเทอร์ (Ester group) อยู่ในโมเลกุล
🎯 ทำไมข้อนี้ถึงถูก:
การตรวจวิเคราะห์หาปริมาณของ Aspirin ตามตำรับ USP/BP ใช้วิธี Residual (Back) Titration โดยเติมสารละลาย Sodium hydroxide (NaOH) มาตรฐานในปริมาณที่มากเกินพอ (Excess) แล้วนำไปให้ความร้อนเพื่อเกิดปฏิกิริยา Saponification ไฮโดรไลซ์หมู่ Ester ของ Aspirin ให้กลายเป็น Salicylate และ Acetate จากนั้นจึงนำเบส NaOH ส่วนที่เหลือเกินมาไทเทรตย้อนกลับด้วยสารละลายกรดมาตรฐาน Sulfuric acid (H2SO4) หรือ HCl โดยใช้ Phenolphthalein เป็นอินดิเคเตอร์
🔍 ข้ออื่นผิดเพราะอะไร:
• ข้อ ข. (Direct acid-base titration): ใช้ได้เฉพาะกับ Aspirin บริสุทธิ์ที่ไม่ผ่านการเก็บนาน เพราะหากเกิด hydrolysis บางส่วนจะทำให้ผลคลาดเคลื่อน
• ข้อ ค. (Complexometric): ใช้สำหรับการหาปริมาณโลหะ เช่น Ca2+, Mg2+, Zn2+ ด้วย EDTA
• ข้อ ง. (Precipitation titration): เช่น Fajans, Volhard หรือ Mohr method สำหรับหาไอออน Halide
• ข้อ จ. (Non-aqueous): ใช้สำหรับวิเคราะห์สารที่เป็นเบสอ่อนหรือกรดอ่อนมากๆ ที่ไม่แตกตัวในน้ำ
📖 Guideline อ้างอิง:
United States Pharmacopeia (USP-NF Monograph: Aspirin Tablets) &amp; British Pharmacopoeia (BP)
📌 จุดจำก่อนสอบ:
• Aspirin Assay: Residual (Back) Alkaline Titration ผ่านปฏิกิริยา Saponification ของ ester bond
• Degradation Product: Aspirin สลายตัวด้วยความชื้นเกิดเป็น Salicylic acid (ตรวจด้วย FeCl3 ได้สีม่วง) และ Acetic acid (กลิ่นน้ำส้มสายชู)</t>
        </is>
      </c>
      <c r="K49" s="46" t="n"/>
      <c r="L49" s="45" t="inlineStr">
        <is>
          <t>Medicinal Chemistry &amp; Quality Analysis</t>
        </is>
      </c>
      <c r="M49" s="46" t="inlineStr">
        <is>
          <t>Clinic</t>
        </is>
      </c>
      <c r="N49" s="45" t="inlineStr">
        <is>
          <t>PLE-CC1 ปี 2566 Day 1 ข้อ 23</t>
        </is>
      </c>
      <c r="O49" s="46" t="inlineStr">
        <is>
          <t>ข้อสอบจริง</t>
        </is>
      </c>
      <c r="P49" s="46" t="inlineStr">
        <is>
          <t>ปี 2566</t>
        </is>
      </c>
    </row>
    <row r="50" ht="409.6" customHeight="1" s="37">
      <c r="A50" s="44" t="n">
        <v>48</v>
      </c>
      <c r="B50" s="45" t="inlineStr">
        <is>
          <t>ผู้ป่วยชายอายุ 52 ปี BMI 36 kg/m2 ตรวจพบระดับ Triglyceride สูงมาก (~1,000 mg/dL), HbA1c 6.9% มีพฤติกรรมดื่มเบียร์วันละ 4-5 กระป๋องทุกวัน ปัจจัยใดในผู้ป่วยรายนี้เป็นสาเหตุสำคัญที่สุดที่กระตุ้นให้เกิดภาวะรุนแรงของ Hypertriglyceridemia</t>
        </is>
      </c>
      <c r="C50" s="46" t="n"/>
      <c r="D50" s="45" t="inlineStr">
        <is>
          <t>การดื่มแอลกอฮอล์ในปริมาณมากร่วมกับภาวะโรคอ้วน (Obesity)</t>
        </is>
      </c>
      <c r="E50" s="45" t="inlineStr">
        <is>
          <t>การใช้ยา Metformin 500 mg BID</t>
        </is>
      </c>
      <c r="F50" s="45" t="inlineStr">
        <is>
          <t>การใช้ยา Rosuvastatin 10 mg OD</t>
        </is>
      </c>
      <c r="G50" s="45" t="inlineStr">
        <is>
          <t>ระดับ HbA1c 6.9%</t>
        </is>
      </c>
      <c r="H50" s="45" t="inlineStr">
        <is>
          <t>การรับประทานอาหารที่มีโซเดียมสูง</t>
        </is>
      </c>
      <c r="I50" s="46" t="n">
        <v>1</v>
      </c>
      <c r="J50" s="45" t="inlineStr">
        <is>
          <t>✅ คำตอบที่ถูกต้อง: ข้อ ก. การดื่มแอลกอฮอล์ในปริมาณมากร่วมกับภาวะโรคอ้วน (Obesity)
💡 Background:
ภาวะระดับไตรกลีเซอไรด์ในเลือดสูงมาก (Severe Hypertriglyceridemia; TG ≥ 500-1,000 mg/dL) มีความเสี่ยงวิกฤติต่อการเกิดตับอ่อนอักเสบเฉียบพลัน (Acute Pancreatitis)
🎯 ทำไมข้อนี้ถึงถูก:
แอลกอฮอล์เป็นตัวกระตุ้นที่รุนแรงที่สุดในการเพิ่มการสร้าง Free Fatty Acids และกระตุ้นตับให้สร้าง VLDL-triglyceride ออกสู่กระแสเลือดอย่างมหาศาล พร้อมทั้งยับยั้งเอนไซม์ Lipoprotein Lipase (LPL) ประกอบกับภาวะโรคอ้วน (BMI &gt; 35) ที่มีภาวะดื้อต่ออินซูลิน ทำให้กระบวนการสลายไตรกลีเซอไรด์บกพร่อง การดื่มเบียร์วันละ 4-5 กระป๋องจึงเป็น secondary cause ที่สำคัญที่สุดที่ทำให้ระดับ TG พุ่งสูงทะลุ 1,000 mg/dL
🔍 ข้ออื่นผิดเพราะอะไร:
• ข้อ ข. (Metformin): ช่วยลดระดับไขมันและเพิ่ม insulin sensitivity เล็กน้อย ไม่ได้ทำให้ TG สูง
• ข้อ ค. (Rosuvastatin): เป็นยาลดไขมัน ช่วยลด TG ได้ประมาณ 15-20%
• ข้อ ง. (HbA1c 6.9%): ระดับน้ำตาลควบคุมได้ค่อนข้างดี ไม่ใช่สาเหตุหลักที่ทำให้ TG พุ่งสูงระดับพัน
• ข้อ จ. (โซเดียมสูง): ส่งผลต่อความดันโลหิต ไม่ได้เพิ่มระดับไตรกลีเซอไรด์โดยตรง
📖 Guideline อ้างอิง:
Endocrine Society Clinical Practice Guideline: Evaluation and Treatment of Hypertriglyceridemia &amp; แนวทางเวชปฏิบัติรักษาภาวะไขมันผิดปกติในเลือด พ.ศ. 2559
📌 จุดจำก่อนสอบ:
• Major Secondary Causes of Severe TG: 1) Heavy Alcohol Intake 2) Uncontrolled Diabetes 3) Obesity 4) Drugs (Estrogens, Isotretinoin, Thiazides, Protease Inhibitors)
• Pancreatitis Prevention: เมื่อ TG ≥ 500 mg/dL เป้าหมายอันดับแรกคือเริ่มยา Fibrate ทันทีและงดแอลกอฮอล์เด็ดขาด</t>
        </is>
      </c>
      <c r="K50" s="46" t="n"/>
      <c r="L50" s="45" t="inlineStr">
        <is>
          <t>Dyslipidemias</t>
        </is>
      </c>
      <c r="M50" s="46" t="inlineStr">
        <is>
          <t>Clinic</t>
        </is>
      </c>
      <c r="N50" s="45" t="inlineStr">
        <is>
          <t>PLE-CC1 ปี 2566 Day 1 ข้อ 43</t>
        </is>
      </c>
      <c r="O50" s="46" t="inlineStr">
        <is>
          <t>ข้อสอบจริง</t>
        </is>
      </c>
      <c r="P50" s="46" t="inlineStr">
        <is>
          <t>ปี 2566</t>
        </is>
      </c>
    </row>
    <row r="51" ht="409.6" customHeight="1" s="37">
      <c r="A51" s="44" t="n">
        <v>49</v>
      </c>
      <c r="B51" s="45" t="inlineStr">
        <is>
          <t>ข้อใดเป็นปัจจัยเสี่ยงสำคัญต่อการเกิดภาวะอาการไม่พึงประสงค์ต่อกล้ามเนื้อจากการใช้ยาลดไขมันกลุ่ม Statins (Statin-Associated Muscle Symptoms; SAMS)</t>
        </is>
      </c>
      <c r="C51" s="46" t="n"/>
      <c r="D51" s="45" t="inlineStr">
        <is>
          <t>อายุมากกว่า 65 ปี และมีภาวะการทำงานของไตหรือตับบกพร่อง</t>
        </is>
      </c>
      <c r="E51" s="45" t="inlineStr">
        <is>
          <t>การใช้ยา Aspirin ร่วมด้วยในขนาดต่ำ</t>
        </is>
      </c>
      <c r="F51" s="45" t="inlineStr">
        <is>
          <t>เพศชาย</t>
        </is>
      </c>
      <c r="G51" s="45" t="inlineStr">
        <is>
          <t>การรับประทานอาหารที่มีไขมันสูงเป็นประจำ</t>
        </is>
      </c>
      <c r="H51" s="45" t="inlineStr">
        <is>
          <t>ระดับไขมัน HDL-C สูงกว่า 60 mg/dL</t>
        </is>
      </c>
      <c r="I51" s="44" t="inlineStr">
        <is>
          <t>1</t>
        </is>
      </c>
      <c r="J51" s="45" t="inlineStr">
        <is>
          <t>✅ คำตอบที่ถูกต้อง: ข้อ ก. อายุมากกว่า 65 ปี และมีภาวะการทำงานของไตหรือตับบกพร่อง
💡 Background:
Statin-Associated Muscle Symptoms (SAMS) เป็นสาเหตุสำคัญที่สุดที่ทำให้ผู้ป่วยหยุดรับประทานยา Statin การประเมินปัจจัยเสี่ยงของผู้ป่วยก่อนเริ่มยาช่วยป้องกันอันตรายได้
🎯 ทำไมข้อนี้ถึงถูก:
ปัจจัยเสี่ยงสำคัญของผู้ป่วย (Patient-related risk factors) ในการเกิด SAMS ได้แก่ อายุมาก (&gt;65-75 ปี), เพศหญิง, สรีระผอมบาง (Low BMI), มีภาวะการทำงานของไตบกพร่อง (Renal impairment), ตับบกพร่อง, ภาวะ Hypothyroidism ที่ยังคุมไม่ได้ และการใช้ยาอื่นร่วมที่มีปฏิกิริยายับยั้ง CYP3A4 หรือ OATP1B1 (เช่น Gemfibrozil, Clarithromycin, Azoles)
🔍 ข้ออื่นผิดเพราะอะไร:
• ข้อ ข. (ใช้ Aspirin ร่วม): Aspirin ไม่เพิ่มความเสี่ยง SAMS จาก Statin
• ข้อ ค. (เพศชาย): เพศหญิงมีความเสี่ยงต่อ SAMS สูงกว่าเพศชายเนื่องจากมวลกล้ามเนื้อและปริมาตรการกระจายตัวของยาน้อยกว่า
• ข้อ ง. และ จ.: ไม่ใช่ปัจจัยเสี่ยงทางเภสัชจลนศาสตร์ต่อการเกิดพิษกล้ามเนื้อ
📖 Guideline อ้างอิง:
2018 AHA/ACC Blood Cholesterol Guidelines &amp; European Atherosclerosis Society (EAS) Consensus Panel on Statin-Associated Muscle Symptoms
📌 จุดจำก่อนสอบ:
• Major SAMS Risk Factors: สูงอายุ (&gt;65 ปี), ไต/ตับบกพร่อง, ต่อมไทรอยด์ทำงานต่ำ (Hypothyroidism), ใช้ยาร่วมกลุ่ม CYP3A4/OATP1B1 Inhibitor, และขนาดยา Statin ที่สูงเกินไป</t>
        </is>
      </c>
      <c r="K51" s="46" t="inlineStr">
        <is>
          <t>Dyslipidemias</t>
        </is>
      </c>
      <c r="L51" s="45" t="inlineStr">
        <is>
          <t>PLE-CC1 ปี 2566 Day 1 ข้อ 45</t>
        </is>
      </c>
      <c r="M51" s="46" t="inlineStr">
        <is>
          <t>Clinic</t>
        </is>
      </c>
      <c r="N51" s="45" t="inlineStr">
        <is>
          <t>PLE-CC1 ปี 2566 Day 1 ข้อ 45</t>
        </is>
      </c>
      <c r="O51" s="46" t="inlineStr">
        <is>
          <t>ข้อสอบจริง</t>
        </is>
      </c>
      <c r="P51" s="46" t="inlineStr">
        <is>
          <t>ปี 2566</t>
        </is>
      </c>
      <c r="Q51" s="2" t="n"/>
    </row>
    <row r="52" ht="409.6" customHeight="1" s="37">
      <c r="A52" s="44" t="n">
        <v>50</v>
      </c>
      <c r="B52" s="45" t="inlineStr">
        <is>
          <t>ผู้ป่วยโรคความดันโลหิตสูงที่มีอาการปวดข้อ ควรหลีกเลี่ยงการใช้ยาแก้ปวดกลุ่มใดเนื่องจากมีผลเพิ่มความดันโลหิตและลดประสิทธิภาพของยาลดความดันโลหิต</t>
        </is>
      </c>
      <c r="C52" s="46" t="n"/>
      <c r="D52" s="45" t="inlineStr">
        <is>
          <t>Non-Steroidal Anti-Inflammatory Drugs (NSAIDs) เช่น Celecoxib, Ibuprofen</t>
        </is>
      </c>
      <c r="E52" s="45" t="inlineStr">
        <is>
          <t>Paracetamol (Acetaminophen)</t>
        </is>
      </c>
      <c r="F52" s="45" t="inlineStr">
        <is>
          <t>Tramadol</t>
        </is>
      </c>
      <c r="G52" s="45" t="inlineStr">
        <is>
          <t>Topical Capsaicin cream</t>
        </is>
      </c>
      <c r="H52" s="45" t="inlineStr">
        <is>
          <t>Glucosamine sulfate</t>
        </is>
      </c>
      <c r="I52" s="44" t="inlineStr">
        <is>
          <t>1</t>
        </is>
      </c>
      <c r="J52" s="45" t="inlineStr">
        <is>
          <t>✅ คำตอบที่ถูกต้อง: ข้อ ก. Non-Steroidal Anti-Inflammatory Drugs (NSAIDs) เช่น Celecoxib, Ibuprofen
💡 Background:
ยาแก้ปวดกลุ่ม NSAIDs ทั้งแบบ Non-selective และ COX-2 selective ส่งผลรบกวนระบบการควบคุมความดันโลหิตและการทำงานของไตอย่างมีนัยสำคัญ
🎯 ทำไมข้อนี้ถึงถูก:
ยากลุ่ม NSAIDs ยับยั้งเอนไซม์ Cyclooxygenase (COX-1 และ COX-2) ทำให้การสร้าง Prostaglandins (PGE2, PGI2) ที่ไตลดลง ส่งผลให้เกิดการหดตัวของ Afferent arteriole เกิดการคั่งของน้ำและเกลือโซเดียม (Sodium and water retention) ทำให้ความดันโลหิตเพิ่มสูงขึ้นเฉลี่ย 3-5 mmHg และต้านฤทธิ์ยาลดความดันโลหิตกลุ่ม ACEIs, ARBs, Beta-blockers และ Diuretics จึงควรหลีกเลี่ยงการใช้ในผู้ป่วยความดันโลหิตสูง
🔍 ข้ออื่นผิดเพราะอะไร:
• ข้อ ข. (Paracetamol): เป็นยาแก้ปวดทางเลือกแรกที่มีผลกระทบต่อความดันโลหิตน้อยที่สุด
• ข้อ ค. (Tramadol): ยาแก้ปวดกลุ่ม Opioid ไม่รบกวน Renal Prostaglandins และไม่เพิ่มความดัน
• ข้อ ง. (Capsaicin): ยาทาภายนอก ไม่มีผลต่อความดันโลหิตทั่วร่างกาย
• ข้อ จ. (Glucosamine): ผลิตภัณฑ์เสริมอาหารข้อเข่า ไม่เพิ่มความดันโลหิต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NSAIDs Effect on BP: ยับยั้ง Renal PGE2/PGI2 -&gt; Na/Water retention -&gt; เพิ่ม BP และลดฤทธิ์ยาลดความดัน (โดยเฉพาะ ACEI/ARB/Diuretics)
• Antihypertensive least affected by NSAIDs: Calcium Channel Blockers (CCBs) ได้รับผลกระทบจาก NSAIDs น้อยที่สุด</t>
        </is>
      </c>
      <c r="K52" s="46" t="inlineStr">
        <is>
          <t>Hypertension &amp; Drug Interactions</t>
        </is>
      </c>
      <c r="L52" s="45" t="inlineStr">
        <is>
          <t>PLE-CC1 ปี 2566 Day 1 ข้อ 58</t>
        </is>
      </c>
      <c r="M52" s="46" t="inlineStr">
        <is>
          <t>Clinic</t>
        </is>
      </c>
      <c r="N52" s="45" t="inlineStr">
        <is>
          <t>PLE-CC1 ปี 2566 Day 1 ข้อ 58</t>
        </is>
      </c>
      <c r="O52" s="46" t="inlineStr">
        <is>
          <t>ข้อสอบจริง</t>
        </is>
      </c>
      <c r="P52" s="46" t="inlineStr">
        <is>
          <t>ปี 2566</t>
        </is>
      </c>
      <c r="Q52" s="2" t="n"/>
    </row>
    <row r="53" ht="409.6" customHeight="1" s="37">
      <c r="A53" s="44" t="n">
        <v>51</v>
      </c>
      <c r="B53" s="45" t="inlineStr">
        <is>
          <t>ในการตรวจติดตามทางห้องปฏิบัติการเป็นประจำ (Routine Safety Monitoring) ของผู้ป่วยที่ได้รับยา Statin ค่าใดมีความจำเป็นต้องตรวจติดตามน้อยที่สุดหากผู้ป่วยไม่มีอาการแสดงผิดปกติ</t>
        </is>
      </c>
      <c r="C53" s="46" t="n"/>
      <c r="D53" s="45" t="inlineStr">
        <is>
          <t>Serum Uric acid</t>
        </is>
      </c>
      <c r="E53" s="45" t="inlineStr">
        <is>
          <t>Alanine Aminotransferase (ALT)</t>
        </is>
      </c>
      <c r="F53" s="45" t="inlineStr">
        <is>
          <t>Lipid profile (LDL-C, TC, TG, HDL-C)</t>
        </is>
      </c>
      <c r="G53" s="45" t="inlineStr">
        <is>
          <t>Fasting Blood Sugar / HbA1c</t>
        </is>
      </c>
      <c r="H53" s="45" t="inlineStr">
        <is>
          <t>Creatine Kinase (CK)</t>
        </is>
      </c>
      <c r="I53" s="44" t="inlineStr">
        <is>
          <t>1</t>
        </is>
      </c>
      <c r="J53" s="45" t="inlineStr">
        <is>
          <t>✅ คำตอบที่ถูกต้อง: ข้อ ก. Serum Uric acid
💡 Background:
แนวทางเวชปฏิบัติการรักษาภาวะไขมันผิดปกติในเลือดกำหนดพารามิเตอร์ที่จำเป็นสำหรับการติดตามความปลอดภัยและประสิทธิภาพของยากลุ่ม Statins ไว้อย่างชัดเจน
🎯 ทำไมข้อนี้ถึงถูก:
Serum Uric acid ไม่มีความสัมพันธ์กับการออกฤทธิ์หรือความเป็นพิษของยา Statin จึงไม่มีความจำเป็นต้องตรวจติดตามในการรักษาด้วย Statin แต่อย่างใด ในขณะที่ค่า ALT (เฝ้าระวังตับอักเสบ), Lipid profile (ติดตาม Efficacy), FBS/HbA1c (เฝ้าระวัง New-onset DM) และ CK (ตรวจเมื่อมีอาการปวดกล้ามเนื้อ) ล้วนมีข้อบ่งชี้ทางคลินิกที่ชัดเจน
🔍 ข้ออื่นผิดเพราะอะไร:
• ข้อ ข. (ALT): แนะนำให้ตรวจก่อนเริ่มยา (Baseline) และตรวจซ้ำเมื่อมีอาการผิดปกติของตับ
• ข้อ ค. (Lipid profile): ต้องตรวจติดตามประสิทธิภาพหลังเริ่มยาหรือปรับยา 4-12 สัปดาห์ และตรวจทุก 3-12 เดือน
• ข้อ ง. (FBS/HbA1c): Statins อาจเพิ่มความเสี่ยงต่อการเกิดเบาหวานเล็กน้อย จึงต้องติดตามในกลุ่มเสี่ยง
• ข้อ จ. (CK): ตรวจเมื่อผู้ป่วยมีอาการปวดเมื่อยกล้ามเนื้อ อ่อนแรง หรือปัสสาวะสีชาเข้ม
📖 Guideline อ้างอิง:
2018 AHA/ACC Blood Cholesterol Guidelines &amp; แนวทางเวชปฏิบัติการรักษาภาวะไขมันผิดปกติในเลือด พ.ศ. 2559
📌 จุดจำก่อนสอบ:
• Routine CK/LFTs Monitoring: ไกด์ไลน์ปัจจุบัน ไม่แนะนำ ให้ตรวจ CK หรือ LFTs รูทีนเป็นประจำหากผู้ป่วยไม่มีอาการ (No routine monitoring without clinical symptoms)
• Indication to check CK: ตรวจเฉพาะเมื่อมีอาการปวดกล้ามเนื้อ (Myalgia) หรืออ่อนแรงเท่านั้น</t>
        </is>
      </c>
      <c r="K53" s="46" t="inlineStr">
        <is>
          <t>Dyslipidemias Monitoring</t>
        </is>
      </c>
      <c r="L53" s="45" t="inlineStr">
        <is>
          <t>PLE-CC1 ปี 2566 Day 1 ข้อ 60</t>
        </is>
      </c>
      <c r="M53" s="46" t="inlineStr">
        <is>
          <t>Clinic</t>
        </is>
      </c>
      <c r="N53" s="45" t="inlineStr">
        <is>
          <t>PLE-CC1 ปี 2566 Day 1 ข้อ 60</t>
        </is>
      </c>
      <c r="O53" s="46" t="inlineStr">
        <is>
          <t>ข้อสอบจริง</t>
        </is>
      </c>
      <c r="P53" s="46" t="inlineStr">
        <is>
          <t>ปี 2566</t>
        </is>
      </c>
      <c r="Q53" s="2" t="n"/>
    </row>
    <row r="54" ht="409.6" customHeight="1" s="37">
      <c r="A54" s="44" t="n">
        <v>52</v>
      </c>
      <c r="B54" s="45" t="inlineStr">
        <is>
          <t>ผู้ป่วยโรคความดันโลหิตสูง ตรวจพบค่าการทำงานของไต eGFR = 46 mL/min/1.73 m2 (CKD Stage 3a) และตรวจพบ Urine Albumin-to-Creatinine Ratio (UACR) &gt; 300 mg/g ยาลดความดันกลุ่มใดเป็นทางเลือกแรกในการรักษาเพื่อชะลอการเสื่อมของไต</t>
        </is>
      </c>
      <c r="C54" s="46" t="n"/>
      <c r="D54" s="45" t="inlineStr">
        <is>
          <t>ACE Inhibitors (เช่น Enalapril) หรือ ARBs (เช่น Losartan)</t>
        </is>
      </c>
      <c r="E54" s="45" t="inlineStr">
        <is>
          <t>Dihydropyridine CCBs เดี่ยวๆ (เช่น Amlodipine)</t>
        </is>
      </c>
      <c r="F54" s="45" t="inlineStr">
        <is>
          <t>Thiazide diuretics เดี่ยวๆ (เช่น HCTZ)</t>
        </is>
      </c>
      <c r="G54" s="45" t="inlineStr">
        <is>
          <t>Beta-blockers (เช่น Atenolol)</t>
        </is>
      </c>
      <c r="H54" s="45" t="inlineStr">
        <is>
          <t>Loop diuretics (เช่น Furosemide)</t>
        </is>
      </c>
      <c r="I54" s="44" t="inlineStr">
        <is>
          <t>1</t>
        </is>
      </c>
      <c r="J54" s="45" t="inlineStr">
        <is>
          <t>✅ คำตอบที่ถูกต้อง: ข้อ ก. ACE Inhibitors (เช่น Enalapril) หรือ ARBs (เช่น Losartan)
💡 Background:
ตามแนวทางเวชปฏิบัติ KDIGO 2024 และ สมาคมความดันโลหิตสูงแห่งประเทศไทย การรักษาผู้ป่วยความดันโลหิตสูงร่วมกับโรคไตเรื้อรัง (CKD) ที่มีภาวะโปรตีนรั่วในปัสสาวะ (Albuminuria) ต้องใช้ยาที่มีฤทธิ์ลดความดันในโกลเมอรูลัส
🎯 ทำไมข้อนี้ถึงถูก:
ACEIs และ ARBs มีคุณสมบัติเด่นจำเพาะในการขยายหลอดเลือด Efferent arteriole ของไต ส่งผลลดความดันภายในโกลเมอรูลัส (Intraglomerular pressure) และลดความเค้นบนเยื่อกรองไต ทำให้ลดอัตราการรั่วของไข่ขาวในปัสสาวะ (Albuminuria) และมีหลักฐานทางคลินิกยืนยันชัดเจนว่าช่วยชะลอการเสื่อมของไตสู่ระยะสุดท้าย (ESRD) ได้ดีที่สุด จึงเป็น First-line treatment ในผู้ป่วย CKD with Albuminuria ทุกราย
🔍 ข้ออื่นผิดเพราะอะไร:
• ข้อ ข. (DHP-CCBs): ขยาย Afferent arteriole เด่น อาจเพิ่มความดันในโกลเมอรูลัสได้หากใช้เดี่ยวๆ โดยไม่มี ACEI/ARB
• ข้อ ค. (Thiazide): ประสิทธิภาพในการขับปัสสาวะและลดความดันลดลงอย่างมากเมื่อ eGFR &lt; 30-45 mL/min
• ข้อ ง. (Beta-blockers): ไม่ใช่ First-line ใน uncomplicated CKD hypertension
• ข้อ จ. (Loop diuretics): ใช้เพื่อลดภาวะบวมน้ำ (Fluid overload) ไม่ใช่ยาหลักในการชะลอการเสื่อมของไต
📖 Guideline อ้างอิง:
KDIGO 2024 Clinical Practice Guideline for the Management of Blood Pressure in CKD &amp; แนวทางการรักษาโรคความดันโลหิตสูง ในเวชปฏิบัติทั่วไป พ.ศ. 2562
📌 จุดจำก่อนสอบ:
• First-line in CKD with Albuminuria: ACEI หรือ ARB เสมอ (ห้ามใช้คู่กัน)
• Renal Safety Check: ยอมรับ Serum Creatinine เพิ่มขึ้นได้ไม่เกิน 30% จากค่าเริ่มต้นภายใน 2-4 สัปดาห์แรก</t>
        </is>
      </c>
      <c r="K54" s="46" t="inlineStr">
        <is>
          <t>Hypertension &amp; Chronic Kidney Disease</t>
        </is>
      </c>
      <c r="L54" s="45" t="inlineStr">
        <is>
          <t>PLE-CC1 ปี 2566 Day 1 ข้อ 61</t>
        </is>
      </c>
      <c r="M54" s="46" t="inlineStr">
        <is>
          <t>Clinic</t>
        </is>
      </c>
      <c r="N54" s="45" t="inlineStr">
        <is>
          <t>PLE-CC1 ปี 2566 Day 1 ข้อ 61</t>
        </is>
      </c>
      <c r="O54" s="46" t="inlineStr">
        <is>
          <t>ข้อสอบจริง</t>
        </is>
      </c>
      <c r="P54" s="46" t="inlineStr">
        <is>
          <t>ปี 2566</t>
        </is>
      </c>
      <c r="Q54" s="2" t="n"/>
    </row>
    <row r="55" ht="409.6" customHeight="1" s="37">
      <c r="A55" s="44" t="n">
        <v>53</v>
      </c>
      <c r="B55" s="45" t="inlineStr">
        <is>
          <t>ผู้ป่วยได้รับยา Simvastatin 20 mg OD เพื่อรักษาภาวะไขมันในเลือดสูง ค่าทางห้องปฏิบัติการใดที่ไม่มีความจำเป็นต้องตรวจติดตามในการประเมินความปลอดภัยและประสิทธิภาพของยา</t>
        </is>
      </c>
      <c r="C55" s="46" t="n"/>
      <c r="D55" s="45" t="inlineStr">
        <is>
          <t>Serum Uric acid</t>
        </is>
      </c>
      <c r="E55" s="45" t="inlineStr">
        <is>
          <t>Serum Creatine Kinase (เมื่อมีอาการปวดกล้ามเนื้อ)</t>
        </is>
      </c>
      <c r="F55" s="45" t="inlineStr">
        <is>
          <t>Serum Alanine Aminotransferase (ALT)</t>
        </is>
      </c>
      <c r="G55" s="45" t="inlineStr">
        <is>
          <t>Lipid Panel (TC, TG, HDL-C, LDL-C)</t>
        </is>
      </c>
      <c r="H55" s="45" t="inlineStr">
        <is>
          <t>Fasting Plasma Glucose (FPG)</t>
        </is>
      </c>
      <c r="I55" s="44" t="inlineStr">
        <is>
          <t>1</t>
        </is>
      </c>
      <c r="J55" s="45" t="inlineStr">
        <is>
          <t>✅ คำตอบที่ถูกต้อง: ข้อ ก. Serum Uric acid
💡 Background:
Simvastatin เป็นยาลดไขมันกลุ่ม HMG-CoA reductase inhibitor ซึ่งส่งผลต่อตับและกล้ามเนื้อ แต่ไม่มีผลต่อการสร้างหรือขับกรดยูริกของร่างกาย
🎯 ทำไมข้อนี้ถึงถูก:
Serum Uric acid เป็นค่าที่ใช้ติดตามโรคเกาต์หรือภาวะ Hyperuricemia ไม่ได้เป็นพารามิเตอร์ที่เกี่ยวข้องกับประสิทธิภาพหรือความปลอดภัยของยา Simvastatin จึงไม่มีความจำเป็นต้องติดตาม (ในขณะที่ค่า ALT, Lipid panel, FPG และ CK มีบทบาทสำคัญในการติดตามทางคลินิก)
🔍 ข้ออื่นผิดเพราะอะไร:
• ข้อ ข. (CK): จำเป็นต้องตรวจเพื่อยืนยันภาวะ Myositis/Rhabdomyolysis เมื่อผู้ป่วยมีอาการปวดกล้ามเนื้อ
• ข้อ ค. (ALT): ใช้ติดตามการทำงานของตับ
• ข้อ ง. (Lipid Panel): ใช้ประเมินว่าถึงเป้าหมาย LDL-C หรือไม่
• ข้อ จ. (FPG): ใช้เฝ้าระวังผลของ Statin ต่อการควบคุมระดับน้ำตาล
📖 Guideline อ้างอิง:
2018 AHA/ACC Blood Cholesterol Guidelines &amp; แนวทางเวชปฏิบัติการรักษาภาวะไขมันผิดปกติในเลือด พ.ศ. 2559
📌 จุดจำก่อนสอบ:
• Simvastatin Dosing Limit: ปัจจุบันห้ามเริ่มยาขนาด 80 mg/day เนื่องจากเพิ่มความเสี่ยง Rhabdomyolysis สูงมาก
• CYP3A4 Interactions: ห้ามใช้ Simvastatin ร่วมกับ Strong CYP3A4 inhibitors (Itraconazole, Ketoconazole, Clarithromycin, Erythromycin, HIV PIs)</t>
        </is>
      </c>
      <c r="K55" s="46" t="inlineStr">
        <is>
          <t>Dyslipidemias Monitoring</t>
        </is>
      </c>
      <c r="L55" s="45" t="inlineStr">
        <is>
          <t>PLE-CC1 ปี 2566 Day 1 ข้อ 5</t>
        </is>
      </c>
      <c r="M55" s="46" t="inlineStr">
        <is>
          <t>Clinic</t>
        </is>
      </c>
      <c r="N55" s="45" t="inlineStr">
        <is>
          <t>PLE-CC1 ปี 2566 Day 1 ข้อ 5</t>
        </is>
      </c>
      <c r="O55" s="46" t="inlineStr">
        <is>
          <t>ข้อสอบจริง</t>
        </is>
      </c>
      <c r="P55" s="46" t="inlineStr">
        <is>
          <t>ปี 2566</t>
        </is>
      </c>
      <c r="Q55" s="2" t="n"/>
    </row>
    <row r="56" ht="409.6" customHeight="1" s="37">
      <c r="A56" s="44" t="n">
        <v>54</v>
      </c>
      <c r="B56" s="45" t="inlineStr">
        <is>
          <t>โครงสร้างทางเคมีของ Simvastatin เป็นยาในรูปแบบ Pro-drug ที่ยังไม่ออกฤทธิ์ ปฏิกิริยาเคมีใดในร่างกายที่เปลี่ยนโครงสร้างของ Simvastatin ให้กลายเป็นรูปที่ออกฤทธิ์ทางชีวภาพ (Active form)</t>
        </is>
      </c>
      <c r="C56" s="46" t="n"/>
      <c r="D56" s="45" t="inlineStr">
        <is>
          <t>Hydrolysis ของวงแหวน Lactone ring กลายเป็น Beta-hydroxy acid</t>
        </is>
      </c>
      <c r="E56" s="45" t="inlineStr">
        <is>
          <t>Oxidation ของวงแหวน Decalin ring ด้วย CYP3A4</t>
        </is>
      </c>
      <c r="F56" s="45" t="inlineStr">
        <is>
          <t>Glucuronidation ของหมู่ Hydroxyl group</t>
        </is>
      </c>
      <c r="G56" s="45" t="inlineStr">
        <is>
          <t>Reduction ของหมู่ Carbonyl group</t>
        </is>
      </c>
      <c r="H56" s="45" t="inlineStr">
        <is>
          <t>Decarboxylation ของสายโซ่ด้านข้าง</t>
        </is>
      </c>
      <c r="I56" s="44" t="inlineStr">
        <is>
          <t>1</t>
        </is>
      </c>
      <c r="J56" s="45" t="inlineStr">
        <is>
          <t>✅ คำตอบที่ถูกต้อง: ข้อ ก. Hydrolysis ของวงแหวน Lactone ring กลายเป็น Beta-hydroxy acid
💡 Background:
ยากลุ่ม Statins ที่ออกฤทธิ์ยับยั้งเอนไซม์ HMG-CoA reductase ต้องมีหมู่ฟังก์ชัน dihydroxy heptanoic acid ซึ่งมีโครงสร้างคล้ายคลึงกับ intermediate ของสารตั้งต้นตามธรรมชาติ (HMG-CoA)
🎯 ทำไมข้อนี้ถึงถูก:
Simvastatin และ Lovastatin ถูกสังเคราะห์ขึ้นมาในรูป Pro-drug ชนิด Closed-ring Lactone (วงแหวนเอสเทอร์ภายในโมเลกุล) ซึ่งยังไม่มีฤทธิ์ยับยั้งเอนไซม์ เมื่อเข้าสู่ร่างกายจะถูกเอนไซม์ Carboxylesterase ในตับทำปฏิกิริยา Hydrolysis ไฮโดรไลซ์เปิดวงแหวนแลคโตนให้กลายเป็นรูป Beta,Delta-dihydroxy acid (Open-ring form) ซึ่งมีหมู่ Carboxylate (-COO-) เลียนแบบ HMG-CoA และเข้าจับกับบริเวณเร่งของเอนไซม์ HMG-CoA reductase เพื่อออกฤทธิ์ยับยั้งได้อย่างสมบูรณ์
🔍 ข้ออื่นผิดเพราะอะไร:
• ข้อ ข. (Oxidation ด้วย CYP3A4): เป็นกระบวนการขจัดยา (Inactivation/Metabolism) ให้กลายเป็นสารที่หมดฤทธิ์ ไม่ใช่ปฏิกิริยาเปิดวงแหวนสร้าง active form
• ข้อ ค. (Glucuronidation): เป็น Phase II metabolism เพื่อขับยาออกทางน้ำดี
• ข้อ ง. และ จ.: ไม่ใช่ปฏิกิริยาชีวเคมีที่เปลี่ยน Simvastatin เป็น active drug
📖 Guideline อ้างอิง:
Foye's Principles of Medicinal Chemistry (8th Edition) &amp; Wilson and Gisvold's Textbook of Organic Medicinal and Pharmaceutical Chemistry
📌 จุดจำก่อนสอบ:
• Statin Prodrug Activation: Lovastatin และ Simvastatin มี Closed lactone ring ต้องผ่าน Enzymatic Hydrolysis เปิดวงแหวนเป็น Beta-hydroxy acid จึงจะออกฤทธิ์ได้
• Non-Prodrug Statins: Atorvastatin, Rosuvastatin, Pravastatin เป็น Open-ring active drugs ตั้งแต่แรก</t>
        </is>
      </c>
      <c r="K56" s="46" t="inlineStr">
        <is>
          <t>Medicinal Chemistry &amp; Pharmacokinetics</t>
        </is>
      </c>
      <c r="L56" s="45" t="inlineStr">
        <is>
          <t>PLE-CC1 ปี 2566 Day 2 ข้อ 83</t>
        </is>
      </c>
      <c r="M56" s="46" t="inlineStr">
        <is>
          <t>Clinic</t>
        </is>
      </c>
      <c r="N56" s="45" t="inlineStr">
        <is>
          <t>PLE-CC1 ปี 2566 Day 2 ข้อ 83</t>
        </is>
      </c>
      <c r="O56" s="46" t="inlineStr">
        <is>
          <t>ข้อสอบจริง</t>
        </is>
      </c>
      <c r="P56" s="46" t="inlineStr">
        <is>
          <t>ปี 2566</t>
        </is>
      </c>
      <c r="Q56" s="2" t="n"/>
    </row>
    <row r="57" ht="409.6" customHeight="1" s="37">
      <c r="A57" s="44" t="n">
        <v>55</v>
      </c>
      <c r="B57" s="45" t="inlineStr">
        <is>
          <t>ผู้ป่วยโรคหลอดเลือดหัวใจ (CAD) ที่มีข้อบ่งชี้ในการได้รับยาต้านเกล็ดเลือดเพื่อป้องกันทุติยภูมิ (Secondary Prevention) แต่ผู้ป่วยมีประวัติแสบท้องบ่อยและสงสัยแพ้ยา Aspirin แบบ Dyspepsia/Intolerance ยาต้านเกล็ดเลือดตัวใดเป็นทางเลือกแรกที่แนะนำตามแนวทางเวชปฏิบัติ</t>
        </is>
      </c>
      <c r="C57" s="46" t="n"/>
      <c r="D57" s="45" t="inlineStr">
        <is>
          <t>Clopidogrel 75 mg OD</t>
        </is>
      </c>
      <c r="E57" s="45" t="inlineStr">
        <is>
          <t>Prasugrel 10 mg OD</t>
        </is>
      </c>
      <c r="F57" s="45" t="inlineStr">
        <is>
          <t>Ticagrelor 90 mg BID</t>
        </is>
      </c>
      <c r="G57" s="45" t="inlineStr">
        <is>
          <t>Ticlopidine 250 mg BID</t>
        </is>
      </c>
      <c r="H57" s="45" t="inlineStr">
        <is>
          <t>Dipyridamole 75 mg TID</t>
        </is>
      </c>
      <c r="I57" s="44" t="inlineStr">
        <is>
          <t>1</t>
        </is>
      </c>
      <c r="J57" s="45" t="inlineStr">
        <is>
          <t>✅ คำตอบที่ถูกต้อง: ข้อ ก. Clopidogrel 75 mg OD
💡 Background:
Aspirin เป็นยาต้านเกล็ดเลือดมาตรฐานอันดับแรกในการป้องกันโรคหัวใจและหลอดเลือด แต่หากผู้ป่วยแพ้ยา ทนผลข้างเคียงต่อระบบทางเดินอาหารไม่ได้ หรือมีข้อห้ามใช้ จำเป็นต้องมียาต้านเกล็ดเลือดทางเลือกทดแทน
🎯 ทำไมข้อนี้ถึงถูก:
ตามแนวทางเวชปฏิบัติของสมาคมแพทย์โรคหัวใจแห่งประเทศไทย และ ACC/AHA / ESC Guidelines ในผู้ป่วยโรคหลอดเลือดหัวใจหรือหลอดเลือดสมองที่ไม่สามารถใช้ Aspirin ได้ (Aspirin intolerant or allergic) ยาต้านเกล็ดเลือดทางเลือกอันดับแรก (Preferred alternative antiplatelet monotherapy) คือ Clopidogrel ขนาด 75 mg วันละครั้ง เนื่องจากมีประสิทธิภาพเทียบเท่าหรือดีกว่า Aspirin (CAPRIE trial) และมีความปลอดภัยต่อระบบทางเดินอาหารดีกว่า
🔍 ข้ออื่นผิดเพราะอะไร:
• ข้อ ข. (Prasugrel) และ ค. (Ticagrelor): เป็นยาต้านเกล็ดเลือดฤทธิ์แรงที่ใช้ร่วมกับ Aspirin ใน Acute Coronary Syndrome (DAPT) หรือหลังทำ PCI ไม่แนะนำให้ใช้เป็น Monotherapy ในการป้องกันทุติยภูมิทั่วไป
• ข้อ ง. (Ticlopidine): เป็นยารุ่นเก่าที่มีพิษต่อไขกระดูกรุนแรง (Severe neutropenia, TTP) เลิกใช้เป็นทางเลือกแรกแล้ว
• ข้อ จ. (Dipyridamole monotherapy): ประสิทธิภาพต่ำ ไม่แนะนำให้ใช้เดี่ยวๆ ใน CAD
📖 Guideline อ้างอิง:
แนวทางเวชปฏิบัติการรักษาโรคหลอดเลือดหัวใจ พ.ศ. 2563 &amp; 2023 ESC Guidelines for the Management of Acute Coronary Syndromes
📌 จุดจำก่อนสอบ:
• Aspirin Allergy Alternative: Clopidogrel 75 mg OD เป็น First-line substitute เสมอทั้งใน CAD และ Ischemic Stroke
• Clopidogrel Resistance: ต้องผ่านการกระตุ้นโดยเอนไซม์ CYP2C19 ในตับ หากผู้ป่วยเป็น Poor Metabolizer (2, 3) อาจทำให้ประสิทธิภาพลดลง</t>
        </is>
      </c>
      <c r="K57" s="46" t="inlineStr">
        <is>
          <t>Coronary artery disease &amp; Antiplatelets</t>
        </is>
      </c>
      <c r="L57" s="45" t="inlineStr">
        <is>
          <t>PLE_CC1_2565_Day1_Key ข้อ 7</t>
        </is>
      </c>
      <c r="M57" s="46" t="inlineStr">
        <is>
          <t>Clinic</t>
        </is>
      </c>
      <c r="N57" s="45" t="inlineStr">
        <is>
          <t>PLE_CC1_2565_Day1_Key ข้อ 7</t>
        </is>
      </c>
      <c r="O57" s="46" t="inlineStr">
        <is>
          <t>ข้อสอบจริง</t>
        </is>
      </c>
      <c r="P57" s="46" t="inlineStr">
        <is>
          <t>ปี 2565</t>
        </is>
      </c>
      <c r="Q57" s="2" t="n"/>
    </row>
    <row r="58" ht="409.6" customHeight="1" s="37">
      <c r="A58" s="44" t="n">
        <v>56</v>
      </c>
      <c r="B58" s="45" t="inlineStr">
        <is>
          <t>ผู้ป่วยชายอายุ 56 ปี มีโรคประจำตัวเป็นเบาหวาน (DM), ความดันโลหิตสูง (HTN), และโรคไตเรื้อรัง (CKD) เป้าหมายความดันโลหิต (Target Blood Pressure) ที่แนะนำตามแนวทางการรักษาโรคความดันโลหิตสูงในเวชปฏิบัติทั่วไป พ.ศ. 2562 ของสมาคมความดันโลหิตสูงแห่งประเทศไทย คือเท่าใด</t>
        </is>
      </c>
      <c r="C58" s="46" t="n"/>
      <c r="D58" s="45" t="inlineStr">
        <is>
          <t>&lt; 130/80 mmHg (หากผู้ป่วยทนต่อการรักษาได้ดี)</t>
        </is>
      </c>
      <c r="E58" s="45" t="inlineStr">
        <is>
          <t>&lt; 140/90 mmHg สำหรับผู้ป่วยทุกราย</t>
        </is>
      </c>
      <c r="F58" s="45" t="inlineStr">
        <is>
          <t>&lt; 150/90 mmHg</t>
        </is>
      </c>
      <c r="G58" s="45" t="inlineStr">
        <is>
          <t>&lt; 120/70 mmHg ในผู้ป่วยเบาหวานทุกราย</t>
        </is>
      </c>
      <c r="H58" s="45" t="inlineStr">
        <is>
          <t>&lt; 160/100 mmHg</t>
        </is>
      </c>
      <c r="I58" s="44" t="inlineStr">
        <is>
          <t>1</t>
        </is>
      </c>
      <c r="J58" s="45" t="inlineStr">
        <is>
          <t>✅ คำตอบที่ถูกต้อง: ข้อ ก. &lt; 130/80 mmHg (หากผู้ป่วยทนต่อการรักษาได้ดี)
💡 Background:
เป้าหมายความดันโลหิตในผู้ป่วยกลุ่มความเสี่ยงสูงที่มีโรคร่วม เช่น เบาหวาน หรือโรคไตเรื้อรัง มุ่งเน้นการลดอัตราการเกิดโรคหัวใจ หลอดเลือดสมอง และชะลอการเสื่อมของไต
🎯 ทำไมข้อนี้ถึงถูก:
ตามแนวทางการรักษาโรคความดันโลหิตสูงในเวชปฏิบัติทั่วไป พ.ศ. 2562 (สมาคมความดันโลหิตสูงแห่งประเทศไทย) และ KDIGO 2024 ผู้ป่วยความดันโลหิตสูงที่มีโรคร่วมเป็น โรคเบาหวาน (DM) หรือ โรคไตเรื้อรัง (CKD) จัดเป็นกลุ่มความเสี่ยงสูงมาก เป้าหมายความดันโลหิตแนะนำให้ควบคุมให้น้อยกว่า 130/80 mmHg (โดย systolic BP อยู่ในช่วง 120-129 mmHg) หากผู้ป่วยทนต่อยาได้โดยไม่มีผลข้างเคียงจากความดันตกขณะเปลี่ยนท่า (Orthostatic hypotension)
🔍 ข้ออื่นผิดเพราะอะไร:
• ข้อ ข. (&lt; 140/90 mmHg): เป็นเป้าหมายขั้นต่ำทั่วไป หรือเป้าหมายเดิมของ JNC 8 แต่ในกลุ่ม DM/CKD แนวทางปัจจุบันตั้งเป้าที่เข้มงวดกว่าคือ &lt; 130/80 mmHg
• ข้อ ค. (&lt; 150/90 mmHg): เป็นเกณฑ์เดิมสำหรับผู้สูงอายุสุขภาพเปราะบาง
• ข้อ ง. (&lt; 120/70 mmHg): ต่ำเกินไป เสี่ยงต่อภาวะไตวายเฉียบพลันและ cerebral hypoperfusion
• ข้อ จ.: เป็นระดับที่ไม่ได้ควบคุมความดันโลหิต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BP in CKD
📌 จุดจำก่อนสอบ:
• Thai HTN 2562/2567 Targets: เป้าหมายทั่วไปคือ &lt; 140/90 mmHg แต่หากมี DM, CKD, หรือ High CV Risk เป้าหมายแนะนำคือ &lt; 130/80 mmHg
• Lower Limit: ไม่ควรลด Systolic BP ต่ำกว่า 120 mmHg หรือ Diastolic BP ต่ำกว่า 70 mmHg ในผู้ป่วยสูงอายุและผู้ป่วย CAD</t>
        </is>
      </c>
      <c r="K58" s="46" t="inlineStr">
        <is>
          <t>Hypertension Targets</t>
        </is>
      </c>
      <c r="L58" s="45" t="inlineStr">
        <is>
          <t>PLE_CC1_2565_Day1_Key ข้อ 3</t>
        </is>
      </c>
      <c r="M58" s="46" t="inlineStr">
        <is>
          <t>Clinic</t>
        </is>
      </c>
      <c r="N58" s="45" t="inlineStr">
        <is>
          <t>PLE_CC1_2565_Day1_Key ข้อ 3</t>
        </is>
      </c>
      <c r="O58" s="46" t="inlineStr">
        <is>
          <t>ข้อสอบจริง</t>
        </is>
      </c>
      <c r="P58" s="46" t="inlineStr">
        <is>
          <t>ปี 2565</t>
        </is>
      </c>
      <c r="Q58" s="2" t="n"/>
    </row>
    <row r="59" ht="409.6" customHeight="1" s="37">
      <c r="A59" s="44" t="n">
        <v>57</v>
      </c>
      <c r="B59" s="45" t="inlineStr">
        <is>
          <t>ผู้ป่วยชายอายุ 50 ปี โรคประจำตัว HTN, DM, CKD stage 3 (eGFR 50 mL/min/1.73 m2) ความดันโลหิต 142/90 mmHg, HbA1c 8.3% ยาเดิมได้แก่ Metformin 500 mg 2x2, Pioglitazone 30 mg 1x1, Carvedilol 6.25 mg 1x2, Rosuvastatin 10 mg 1x1 hs เพื่อการควบคุมความดันโลหิตและชะลอการเสื่อมของไตเพิ่มเติม ควรเลือกปรับเพิ่มยาใดเหมาะสมที่สุด</t>
        </is>
      </c>
      <c r="C59" s="46" t="n"/>
      <c r="D59" s="45" t="inlineStr">
        <is>
          <t>Enalapril 5-10 mg OD หรือ Losartan 50 mg OD</t>
        </is>
      </c>
      <c r="E59" s="45" t="inlineStr">
        <is>
          <t>Spironolactone 25 mg OD</t>
        </is>
      </c>
      <c r="F59" s="45" t="inlineStr">
        <is>
          <t>เพิ่ม Carvedilol เป็น 25 mg 1x2 ทันที</t>
        </is>
      </c>
      <c r="G59" s="45" t="inlineStr">
        <is>
          <t>Hydrochlorothiazide 25 mg OD</t>
        </is>
      </c>
      <c r="H59" s="45" t="inlineStr">
        <is>
          <t>Diltiazem 60 mg TID</t>
        </is>
      </c>
      <c r="I59" s="44" t="inlineStr">
        <is>
          <t>1</t>
        </is>
      </c>
      <c r="J59" s="45" t="inlineStr">
        <is>
          <t>✅ คำตอบที่ถูกต้อง: ข้อ ก. Enalapril 5-10 mg OD หรือ Losartan 50 mg OD
💡 Background:
ผู้ป่วยรายนี้มีโรคร่วมสำคัญคือ DM ร่วมกับ CKD stage 3 และความดันโลหิตยังเกินเป้าหมาย (142/90 mmHg โดยเป้าหมายคือ &lt; 130/80 mmHg) และปัจจุบันผู้ป่วยยังไม่ได้รับยาลดความดันกลุ่มหลักที่มีผลคุ้มครองไต (Renoprotective)
🎯 ทำไมข้อนี้ถึงถูก:
ตามแนวทางเวชปฏิบัติของสมาคมความดันโลหิตสูงแห่งประเทศไทย, สมาคมโรคไตแห่งประเทศไทย และ KDIGO 2024 ผู้ป่วยเบาหวานที่มีโรคไตเรื้อรัง (Diabetic Kidney Disease) ต้องมี ACEI (เช่น Enalapril) หรือ ARB (เช่น Losartan) เป็นแกนหลักของการรักษาความดันโลหิตสูง เพื่อลด intraglomerular pressure ชะลอการเสื่อมของไต และลดโปรตีนรั่วในปัสสาวะ
🔍 ข้ออื่นผิดเพราะอะไร:
• ข้อ ข. (Spironolactone): เสี่ยงต่อภาวะ Hyperkalemia รุนแรงใน CKD stage 3 หากยังไม่ได้ใช้ first-line
• ข้อ ค. (เพิ่ม Carvedilol ทันที): ไม่ควรปรับเพิ่มขนาดยา Beta-blocker ก้าวกระโดด และ Beta-blocker ไม่มี renal protective effect เด่นเท่า ACEI/ARB
• ข้อ ง. (HCTZ): ประสิทธิภาพลดความดันและขับปัสสาวะลดลงใน CKD stage 3 และไม่ช่วยชะลอการเสื่อมของไตเท่า ACEI
• ข้อ จ. (Diltiazem): Non-DHP CCB กดการบีบตัวของหัวใจและการนำไฟฟ้า ไม่ใช่ first-line เมื่อใช้ร่วมกับ Carvedilol จะเสี่ยง severe bradycardia และ AV block
📖 Guideline อ้างอิง:
KDIGO 2024 Clinical Practice Guideline for the Management of CKD &amp; แนวทางการรักษาโรคความดันโลหิตสูง พ.ศ. 2562
📌 จุดจำก่อนสอบ:
• First-line in DM + CKD HTN: ACEI หรือ ARB ต้องเป็นแกนหลักเสมอ
• Combination Caution: ห้ามจับคู่ Beta-blocker ร่วมกับ Non-DHP CCB (Verapamil, Diltiazem) เพราะเสริมฤทธิ์กดหัวใจรุนแรง</t>
        </is>
      </c>
      <c r="K59" s="46" t="inlineStr">
        <is>
          <t>Hypertension &amp; Diabetic Nephropathy</t>
        </is>
      </c>
      <c r="L59" s="45" t="inlineStr">
        <is>
          <t>PLE_CC1_2565_Day1_Key ข้อ 22</t>
        </is>
      </c>
      <c r="M59" s="46" t="inlineStr">
        <is>
          <t>Clinic</t>
        </is>
      </c>
      <c r="N59" s="45" t="inlineStr">
        <is>
          <t>PLE_CC1_2565_Day1_Key ข้อ 22</t>
        </is>
      </c>
      <c r="O59" s="46" t="inlineStr">
        <is>
          <t>ข้อสอบจริง</t>
        </is>
      </c>
      <c r="P59" s="46" t="inlineStr">
        <is>
          <t>ปี 2565</t>
        </is>
      </c>
      <c r="Q59" s="2" t="n"/>
    </row>
    <row r="60" ht="409.6" customHeight="1" s="37">
      <c r="A60" s="44" t="n">
        <v>58</v>
      </c>
      <c r="B60" s="45" t="inlineStr">
        <is>
          <t>ในการผลิตยาเม็ดหรือแคปซูล Omeprazole ชนิด Multi-Unit Pellet System (MUPS) สารใดต่อไปนี้เหมาะสมที่สุดในการใช้เคลือบเพลเลต (Pellet) เพื่อป้องกันไม่ให้ตัวยาสำคัญถูกทำลายด้วยกรดในกระเพาะอาหาร</t>
        </is>
      </c>
      <c r="C60" s="46" t="n"/>
      <c r="D60" s="45" t="inlineStr">
        <is>
          <t>Enteric polymer เช่น Cellulose Acetate Phthalate (CAP) หรือ Methacrylic acid copolymer (Eudragit L)</t>
        </is>
      </c>
      <c r="E60" s="45" t="inlineStr">
        <is>
          <t>Povidone (PVP K30)</t>
        </is>
      </c>
      <c r="F60" s="45" t="inlineStr">
        <is>
          <t>Hydroxypropyl Methylcellulose (HPMC E5) เคลือบแบบ Film-coat ธรรมดา</t>
        </is>
      </c>
      <c r="G60" s="45" t="inlineStr">
        <is>
          <t>Polyethylene Glycol (PEG 4000)</t>
        </is>
      </c>
      <c r="H60" s="45" t="inlineStr">
        <is>
          <t>Ethyl cellulose เคลือบแบบ Sustained release</t>
        </is>
      </c>
      <c r="I60" s="44" t="inlineStr">
        <is>
          <t>1</t>
        </is>
      </c>
      <c r="J60" s="45" t="inlineStr">
        <is>
          <t>✅ คำตอบที่ถูกต้อง: ข้อ ก. Enteric polymer เช่น Cellulose Acetate Phthalate (CAP) หรือ Methacrylic acid copolymer (Eudragit L)
💡 Background:
ยาในกลุ่ม Proton Pump Inhibitors (PPIs) เช่น Omeprazole เป็นยาที่ไวต่อกรดและสลายตัวได้อย่างรวดเร็วในสภาวะกรดของกระเพาะอาหาร (Acid-labile drug)
🎯 ทำไมข้อนี้ถึงถูก:
เพื่อป้องกันไม่ให้ Omeprazole ถูกกรดในกระเพาะอาหารทำลาย เพลเลตยาต้องได้รับการเคลือบด้วยพอลิเมอร์ชนิดเคลือบลำไส้ (Enteric coating polymers) เช่น Cellulose Acetate Phthalate (CAP), Hydroxypropyl Methylcellulose Phthalate (HPMCP), หรือ Methacrylic acid-ethyl acrylate copolymer (Eudragit L-100 หรือ L-30D) ซึ่งมีคุณสมบัติไม่ละลายน้ำใน pH ที่เป็นกรดของกระเพาะอาหาร (pH &lt; 5.5) แต่จะละลายได้อย่างรวดเร็วเมื่อผ่านเข้าสู่ลำไส้เล็กส่วนต้นที่มี pH เป็นกลางหรือด่างอ่อน (pH &gt; 6.0) ปลดปล่อยตัวยาให้ถูกดูดซึมเข้าร่างกายได้อย่างสมบูรณ์
🔍 ข้ออื่นผิดเพราะอะไร:
• ข้อ ข. (PVP): เป็น Water-soluble binder ไม่ทนกรด
• ข้อ ค. (HPMC E5): เป็น Immediate-release film coat ละลายทันทีในน้ำและกรด ไม่สามารถป้องกันกรดได้
• ข้อ ง. (PEG 4000): สารช่วยละลายและเพิ่มความคงตัว ละลายน้ำได้ดี
• ข้อ จ. (Ethyl cellulose): เป็น Water-insoluble polymer ใช้ควบคุมการปลดปล่อยแบบช้าๆ (Sustained release) ไม่ใช่ enteric polymer ที่ตอบสนองต่อ pH
📖 Guideline อ้างอิง:
Aulton's Pharmaceutics: The Design and Manufacture of Medicines (5th Edition) &amp; USP-NF Standards
📌 จุดจำก่อนสอบ:
• Enteric Coating Polymers: มีหมู่ Phthalate หรือ Carboxylate ที่ไม่แตกตัวในกรด แต่แตกตัวละลายที่ pH &gt; 5.5-6.0 เช่น CAP, HPMCP, Eudragit L/S
• PPI Counseling: แคปซูลหรือเม็ด enteric-coated ห้ามเคี้ยว ห้ามบด ต้องกลืนทั้งเม็ด</t>
        </is>
      </c>
      <c r="K60" s="46" t="inlineStr">
        <is>
          <t>Pharmaceutics &amp; Formulation Science</t>
        </is>
      </c>
      <c r="L60" s="45" t="inlineStr">
        <is>
          <t>PLE_CC1_2565_Day1_Key ข้อ 29</t>
        </is>
      </c>
      <c r="M60" s="46" t="inlineStr">
        <is>
          <t>Clinic</t>
        </is>
      </c>
      <c r="N60" s="45" t="inlineStr">
        <is>
          <t>PLE_CC1_2565_Day1_Key ข้อ 29</t>
        </is>
      </c>
      <c r="O60" s="46" t="inlineStr">
        <is>
          <t>ข้อสอบจริง</t>
        </is>
      </c>
      <c r="P60" s="46" t="inlineStr">
        <is>
          <t>ปี 2565</t>
        </is>
      </c>
      <c r="Q60" s="2" t="n"/>
    </row>
    <row r="61" ht="409.6" customHeight="1" s="37">
      <c r="A61" s="44" t="n">
        <v>59</v>
      </c>
      <c r="B61" s="45" t="inlineStr">
        <is>
          <t>SE ที่พบน้อยที่สุดของ statin คืออะไร Moderate intensity High intensity High intensity High intensity Ref. แนวทางเวชปIJKการLJดภาวะไข,นNดปกKในเ/อดเOอPองQนโรคSวใจและหลอดเ/อด พ.ศ. 2567 Simvastatin</t>
        </is>
      </c>
      <c r="C61" s="46" t="n"/>
      <c r="D61" s="45" t="inlineStr">
        <is>
          <t>Increase liver enzyme</t>
        </is>
      </c>
      <c r="E61" s="45" t="inlineStr">
        <is>
          <t>Rhabdomyolysis</t>
        </is>
      </c>
      <c r="F61" s="45" t="inlineStr">
        <is>
          <t>Arthralgia</t>
        </is>
      </c>
      <c r="G61" s="45" t="inlineStr">
        <is>
          <t>New onset diabetes Atorvastatin PLE-CC1 Preparation 2565 Ref. Micromedex</t>
        </is>
      </c>
      <c r="H61" s="45" t="inlineStr">
        <is>
          <t>จำ choice ไม่ได้</t>
        </is>
      </c>
      <c r="I61" s="44" t="inlineStr">
        <is>
          <t>1</t>
        </is>
      </c>
      <c r="J61" s="45" t="inlineStr">
        <is>
          <t>✅ คำตอบที่ถูกต้อง: ข้อ ก. Increase liver enzyme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การเลือก Dyslipidemia / HTN เป็นคำตอบที่ถูกต้องและสอดคล้องกับ evidence-based guidelines ของภาวะ Dyslipidemias โดยมี clinical efficacy สูงสุดในการรักษาและมี safety profile ที่เหมาะสม
🔍 ข้ออื่นผิดเพราะอะไร:
• ข้อ ข. (Rhabdomyolysis): ภาวะกล้ามเนื้อสลาย (Rhabdomyolysis) เป็นอาการข้างเคียงที่รุนแรงแต่พบได้น้อยมาก มักพบในผู้ที่ใช้ยาขนาดสูงหรือมีปัจจัยเสี่ยงอื่นร่วมด้วย
• ข้อ ค. (Arthralgia): อาการปวดข้อและปวดกล้ามเนื้อ (Myalgia/Arthralgia) เป็นอาการข้างเคียงที่พบได้บ่อยที่สุดจากการใช้ยากลุ่ม Statin ทำให้ผู้ป่วยบางรายทนยาไม่ได้
• ข้อ ง. (New onset diabetes Atorvastatin PLE-CC1 Preparation 2565 Ref. Micromedex): การเกิดเบาหวานรายใหม่พบได้ในผู้ที่ใช้ Statin ขนาดสูง แต่ไม่ใช่ความเสี่ยงที่พบได้น้อยที่สุดเมื่อเทียบกับผลข้างเคียงที่รุนแรงอื่นๆ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K61" s="46" t="n"/>
      <c r="L61" s="45" t="inlineStr">
        <is>
          <t>Dyslipidemias</t>
        </is>
      </c>
      <c r="M61" s="46" t="inlineStr">
        <is>
          <t>Clinic</t>
        </is>
      </c>
      <c r="N61" s="45" t="inlineStr">
        <is>
          <t>PLE_CC1_2565_Day2_Key ข้อ 3</t>
        </is>
      </c>
      <c r="O61" s="46" t="inlineStr">
        <is>
          <t>ข้อสอบจริง</t>
        </is>
      </c>
      <c r="P61" s="46" t="inlineStr">
        <is>
          <t>ปี 2565</t>
        </is>
      </c>
      <c r="Q61" s="2" t="n"/>
    </row>
    <row r="62" ht="409.6" customHeight="1" s="37">
      <c r="A62" s="44" t="n">
        <v>60</v>
      </c>
      <c r="B62" s="45" t="inlineStr">
        <is>
          <t>ข้อใดไม่ถูกต้องเกี่ยวกับยา Omeprazole Clopidogrel อาย CYP2C19 ในการเน active drug +ง-น ไ/ควรใ23วม5บ Omeprazole 7งเน CYP2C19 inhibitor</t>
        </is>
      </c>
      <c r="C62" s="46" t="n"/>
      <c r="D62" s="45" t="inlineStr">
        <is>
          <t>1.ไม่ควรใช้ร่วมกับยา Clopidogrel</t>
        </is>
      </c>
      <c r="E62" s="45" t="inlineStr">
        <is>
          <t>2.เพิ่มความเสี่ยงการเกิดกระดูกหัก</t>
        </is>
      </c>
      <c r="F62" s="45" t="inlineStr">
        <is>
          <t>3.ลดการดูดซึม Vitamin B12 และเหล็ก</t>
        </is>
      </c>
      <c r="G62" s="45" t="inlineStr">
        <is>
          <t>4.เพิ่มความเสี่ยงติดเชื้อ Clostridioides difficile</t>
        </is>
      </c>
      <c r="H62" s="45" t="inlineStr">
        <is>
          <t>5.เคี้ยวให้ละเอียดก่อนรับประทาน</t>
        </is>
      </c>
      <c r="I62" s="44" t="inlineStr">
        <is>
          <t>1</t>
        </is>
      </c>
      <c r="J62" s="45" t="inlineStr">
        <is>
          <t>✅ คำตอบที่ถูกต้อง: ข้อ ก. 1.ไม่ควรใช้ร่วมกับยา Clopidogrel
💡 Background:
การบริบาลผู้ป่วยในกลุ่มโรค Coronary artery disease มุ่งเน้นการควบคุมโรคและลดความเสี่ยงต่อภาวะแทรกซ้อนด้วย evidence-based pharmacotherapy
🎯 ทำไมข้อนี้ถึงถูก:
Dyslipidemia / HTN การเลือก Dyslipidemia / HTN เป็นคำตอบที่ถูกต้องและสอดคล้องกับ evidence-based guidelines ของภาวะ Coronary artery disease โดยมี clinical efficacy สูงสุดในการรักษาและมี safety profile ที่เหมาะสม
🔍 ข้ออื่นผิดเพราะอะไร:
• ข้อ ข. (2.เพิ่มความเสี่ยงการเกิดกระดูกหัก): ยา PPIs อาจเพิ่มความเสี่ยงกระดูกหักเมื่อใช้ในระยะยาวเนื่องจากลดการดูดซึมแคลเซียม แต่ไม่ใช่ข้อห้ามใช้ที่รุนแรงเท่ากับปฏิกิริยาระหว่างยากับ Clopidogrel
• ข้อ ค. (3.ลดการดูดซึม Vitamin B12 และเหล็ก): ยากลุ่มนี้ลดความเป็นกรดในกระเพาะอาหารส่งผลให้ลดการดูดซึมธาตุเหล็กและวิตามินบี 12 ได้จริงเมื่อใช้ต่อเนื่องระยะยาว แต่ไม่ใช่ข้อที่ผิดในบริบทนี้
• ข้อ ง. (4.เพิ่มความเสี่ยงติดเชื้อ Clostridioides difficile): การลดกรดในกระเพาะอาหารจากยา PPIs ทำให้ความเสี่ยงต่อการติดเชื้อ Clostridioides difficile ในทางเดินอาหารเพิ่มขึ้นได้จริง
• ข้อ จ. (5.เคี้ยวให้ละเอียดก่อนรับประทาน): ยา Omeprazole ส่วนใหญ่อยู่ในรูปแบบ Enteric-coated เพื่อป้องกันการถูกทำลายด้วยกรด จึงห้ามเคี้ยวหรือบดให้ละเอียดก่อนรับประทาน
📖 Guideline อ้างอิง:
[NEED_REVIEW]
📌 จุดจำก่อนสอบ:
• Evidence-Based Selection: ยึดหลักแนวทางเวชปฏิบัติมาตรฐานของภาวะ Coronary artery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46" t="n"/>
      <c r="L62" s="45" t="inlineStr">
        <is>
          <t>Coronary artery disease</t>
        </is>
      </c>
      <c r="M62" s="46" t="inlineStr">
        <is>
          <t>Clinic</t>
        </is>
      </c>
      <c r="N62" s="45" t="inlineStr">
        <is>
          <t>PLE_CC1_2565_Day2_Key ข้อ 29</t>
        </is>
      </c>
      <c r="O62" s="46" t="inlineStr">
        <is>
          <t>ข้อสอบจริง</t>
        </is>
      </c>
      <c r="P62" s="46" t="inlineStr">
        <is>
          <t>ปี 2565</t>
        </is>
      </c>
      <c r="Q62" s="2" t="n"/>
    </row>
    <row r="63" ht="409.6" customHeight="1" s="37">
      <c r="A63" s="44" t="n">
        <v>61</v>
      </c>
      <c r="B63" s="45" t="inlineStr">
        <is>
          <t>มีการศึกษาการใช้ enalapril แล้วทำให้เกิด AKI โดยพบว่าเกิด 200 ใน 1000 คน กำหนด sensitivity =80%, specificity = 60%, positive predictive value = 40%, negative predictive value = 25% ถามว่าจะเกิด AKI จาก enalapril จริง ๆ กี่คน</t>
        </is>
      </c>
      <c r="C63" s="46" t="n"/>
      <c r="D63" s="45" t="inlineStr">
        <is>
          <t>50 คน</t>
        </is>
      </c>
      <c r="E63" s="45" t="inlineStr">
        <is>
          <t>80 คน</t>
        </is>
      </c>
      <c r="F63" s="45" t="inlineStr">
        <is>
          <t>133 คน</t>
        </is>
      </c>
      <c r="G63" s="45" t="inlineStr">
        <is>
          <t>160 คน</t>
        </is>
      </c>
      <c r="H63" s="45" t="inlineStr">
        <is>
          <t>180 คน</t>
        </is>
      </c>
      <c r="I63" s="44" t="n">
        <v>2</v>
      </c>
      <c r="J63" s="45" t="inlineStr">
        <is>
          <t>✅ คำตอบที่ถูกต้อง: ข้อ ก. 50 คน b) 80 คน c) 133 คน d) 160 คน e) 180 คน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Dyslipidemia / HTN ..............................................................................................................................................................................................................
🔍 ข้ออื่นผิดเพราะอะไร:
• ข้อ ก. (50 คน): การคำนวณจำนวนผู้ที่เกิด AKI จริงต้องใช้ค่า Positive Predictive Value (PPV) ซึ่งข้อนี้คำนวณผิดพลาดไปจากหลักการระบาดวิทยา
• ข้อ ค. (133 คน): ตัวเลขนี้ได้จากการคำนวณที่ผิดพลาด โดยไม่ได้นำค่า Positive Predictive Value มาคูณกับจำนวนผู้ป่วยที่ตรวจพบผลบวกอย่างถูกต้อง
• ข้อ ง. (160 คน): เป็นผลจากการใช้ค่า Sensitivity มาคำนวณโดยตรงกับจำนวนผู้ป่วย ซึ่งไม่ถูกต้องตามหลักการหาค่า True Positive ในกลุ่มประชากร
• ข้อ จ. (180 คน): เป็นตัวเลขลวงที่ไม่ได้สอดคล้องกับสูตรการคำนวณ True Positive ตามหลักการทางสถิติและระบาดวิทยาคลินิก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63" s="46" t="n"/>
      <c r="L63" s="45" t="inlineStr">
        <is>
          <t>Hypertension</t>
        </is>
      </c>
      <c r="M63" s="46" t="inlineStr">
        <is>
          <t>Clinic</t>
        </is>
      </c>
      <c r="N63" s="45" t="inlineStr">
        <is>
          <t>PLE_CC1_2564_All_Key ข้อ 17</t>
        </is>
      </c>
      <c r="O63" s="46" t="inlineStr">
        <is>
          <t>ข้อสอบจริง</t>
        </is>
      </c>
      <c r="P63" s="46" t="inlineStr">
        <is>
          <t>ปี 2564</t>
        </is>
      </c>
      <c r="Q63" s="2" t="n"/>
    </row>
    <row r="64" ht="409.6" customHeight="1" s="37">
      <c r="A64" s="44" t="n">
        <v>62</v>
      </c>
      <c r="B64" s="45" t="inlineStr">
        <is>
          <t>148/95 เป็น HTN ระดับไหนตาม Thai guideline</t>
        </is>
      </c>
      <c r="C64" s="46" t="n"/>
      <c r="D64" s="45" t="inlineStr">
        <is>
          <t>ความดันโลหิตปกติ (Normal blood pressure)</t>
        </is>
      </c>
      <c r="E64" s="45" t="inlineStr">
        <is>
          <t>ความดันโลหิตสูงระดับ 1 (Stage 1 Hypertension)</t>
        </is>
      </c>
      <c r="F64" s="45" t="inlineStr">
        <is>
          <t>ความดันโลหิตสูงระดับ 2 (Stage 2 Hypertension)</t>
        </is>
      </c>
      <c r="G64" s="45" t="inlineStr">
        <is>
          <t>ความดันโลหิตสูงชนิด Isolated Systolic Hypertension</t>
        </is>
      </c>
      <c r="H64" s="45" t="inlineStr">
        <is>
          <t>ความดันโลหิตสูงชนิด Masked Hypertension</t>
        </is>
      </c>
      <c r="I64" s="44" t="n">
        <v>2</v>
      </c>
      <c r="J64" s="45" t="inlineStr">
        <is>
          <t>✅ คำตอบที่ถูกต้อง: ข้อ ก. Masked hypertension b) ความดันโลหิตสูงระดับ 1 c) ความดันโลหิตสูงระดับ2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Dyslipidemia / HTN การเลือก Dyslipidemia / HTN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(ความดันโลหิตปกติ (Normal blood pressure)): ระดับความดันโลหิตปกติตามแนวทางของไทยคือค่าน้อยกว่า 120/80 mmHg ซึ่งผู้ป่วยรายนี้มีค่าความดันสูงกว่าเกณฑ์นี้อย่างชัดเจน
• ข้อ ค. (ความดันโลหิตสูงระดับ 2 (Stage 2 Hypertension)): ความดันโลหิตสูงระดับ 2 ตามแนวทางของไทยต้องมีค่าความดันโลหิตตั้งแต่ 160/100 mmHg ขึ้นไป
• ข้อ ง. (ความดันโลหิตสูงชนิด Isolated Systolic Hypertension): ความดันโลหิตสูงชนิด Isolated Systolic Hypertension คือภาวะที่มี SBP สูงกว่าเกณฑ์แต่ DBP น้อยกว่า 90 mmHg ซึ่งผู้ป่วยรายนี้มี DBP 95 mmHg
• ข้อ จ. (ความดันโลหิตสูงชนิด Masked Hypertension): Masked Hypertension คือภาวะที่ความดันโลหิตที่คลินิกปกติแต่ความดันโลหิตที่บ้านสูง ซึ่งไม่สอดคล้องกับค่าที่วัดได้สูงในโจทย์ข้อนี้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64" s="46" t="n"/>
      <c r="L64" s="45" t="inlineStr">
        <is>
          <t>Hypertension</t>
        </is>
      </c>
      <c r="M64" s="46" t="inlineStr">
        <is>
          <t>Clinic</t>
        </is>
      </c>
      <c r="N64" s="45" t="inlineStr">
        <is>
          <t>PLE_CC1_2564_All_Key ข้อ 18</t>
        </is>
      </c>
      <c r="O64" s="46" t="inlineStr">
        <is>
          <t>ข้อสอบจริง</t>
        </is>
      </c>
      <c r="P64" s="46" t="inlineStr">
        <is>
          <t>ปี 2564</t>
        </is>
      </c>
      <c r="Q64" s="2" t="n"/>
    </row>
    <row r="65" ht="409.6" customHeight="1" s="37">
      <c r="A65" s="44" t="n">
        <v>63</v>
      </c>
      <c r="B65" s="45" t="inlineStr">
        <is>
          <t>อะไรที่ไม่ใช่คำแนะนำในผู้ป่วยความดันสูง</t>
        </is>
      </c>
      <c r="C65" s="46" t="n"/>
      <c r="D65" s="45" t="inlineStr">
        <is>
          <t>ลดน้ำหนักให้อยู่ในเกณฑ์เหมาะสม (BMI 18.5 - 22.9 kg/m²)</t>
        </is>
      </c>
      <c r="E65" s="45" t="inlineStr">
        <is>
          <t>ออกกำลังกายแบบแอโรบิกสม่ำเสมออย่างน้อย 150 นาที/สัปดาห์</t>
        </is>
      </c>
      <c r="F65" s="45" t="inlineStr">
        <is>
          <t>งดสูบบุหรี่และหลีกเลี่ยงควันบุหรี่มือสอง</t>
        </is>
      </c>
      <c r="G65" s="45" t="inlineStr">
        <is>
          <t>จำกัดการดื่มเครื่องดื่มแอลกอฮอล์</t>
        </is>
      </c>
      <c r="H65" s="45" t="inlineStr">
        <is>
          <t>งดรับประทานอาหารที่มีโพแทสเซียมสูง (งดผักและผลไม้ทุกชนิด)</t>
        </is>
      </c>
      <c r="I65" s="44" t="n">
        <v>5</v>
      </c>
      <c r="J65" s="45" t="inlineStr">
        <is>
          <t>✅ คำตอบที่ถูกต้อง: ข้อ ก. ลดน้ำหนัก b) ออกกำลังกาย c) งดบุหรี่ d) งดแอลกอฮอล์ e) งดอาหาร K สูง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Dyslipidemia / HTN ..............................................................................................................................................................................................................
🔍 ข้ออื่นผิดเพราะอะไร:
• ข้อ ก. (ลดน้ำหนักให้อยู่ในเกณฑ์เหมาะสม (BMI 18.5 - 22.9 kg/m²)): การลดน้ำหนักให้อยู่ในเกณฑ์มาตรฐานเป็นคำแนะนำที่ถูกต้องและช่วยลดความดันโลหิตรวมถึงลดความเสี่ยงต่อโรคหัวใจได้อย่างมีประสิทธิภาพ
• ข้อ ข. (ออกกำลังกายแบบแอโรบิกสม่ำเสมออย่างน้อย 150 นาที/สัปดาห์): การออกกำลังกายแบบแอโรบิกอย่างน้อย 150 นาทีต่อสัปดาห์ช่วยเพิ่มความยืดหยุ่นของหลอดเลือดและเป็นหนึ่งในการปรับเปลี่ยนพฤติกรรมหลัก
• ข้อ ค. (งดสูบบุหรี่และหลีกเลี่ยงควันบุหรี่มือสอง): การงดสูบบุหรี่มีความสำคัญมากในการลดความเสี่ยงต่อโรคหลอดเลือดหัวใจและภาวะแทรกซ้อนที่สัมพันธ์กับความดันโลหิตสูง
• ข้อ ง. (จำกัดการดื่มเครื่องดื่มแอลกอฮอล์): การจำกัดเครื่องดื่มแอลกอฮอล์เป็นข้อแนะนำที่ถูกต้อง เนื่องจากแอลกอฮอล์ในปริมาณมากสามารถเพิ่มความดันโลหิตและต้านฤทธิ์ของยาลดความดันได้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65" s="46" t="n"/>
      <c r="L65" s="45" t="inlineStr">
        <is>
          <t>Hypertension</t>
        </is>
      </c>
      <c r="M65" s="46" t="inlineStr">
        <is>
          <t>Clinic</t>
        </is>
      </c>
      <c r="N65" s="45" t="inlineStr">
        <is>
          <t>PLE_CC1_2564_All_Key ข้อ 19</t>
        </is>
      </c>
      <c r="O65" s="46" t="inlineStr">
        <is>
          <t>ข้อสอบจริง</t>
        </is>
      </c>
      <c r="P65" s="46" t="inlineStr">
        <is>
          <t>ปี 2564</t>
        </is>
      </c>
      <c r="Q65" s="2" t="n"/>
    </row>
    <row r="66" ht="409.6" customHeight="1" s="37">
      <c r="A66" s="44" t="n">
        <v>64</v>
      </c>
      <c r="B66" s="45" t="inlineStr">
        <is>
          <t>ชาย อายุประมาณ 30-50 BMI 27 เป็น prediabetic, พ่อเป็นโรคหลอดเลือดหัวใจตีบ 3 เส้น, แม่เป็น DM type 2 ควรตรวจอะไรเพิ่ม?</t>
        </is>
      </c>
      <c r="C66" s="46" t="n"/>
      <c r="D66" s="45" t="inlineStr">
        <is>
          <t>exercise induced asthma</t>
        </is>
      </c>
      <c r="E66" s="45" t="inlineStr">
        <is>
          <t>urinalysis</t>
        </is>
      </c>
      <c r="F66" s="45" t="inlineStr">
        <is>
          <t>renal function</t>
        </is>
      </c>
      <c r="G66" s="45" t="inlineStr">
        <is>
          <t>lipid profile e)-</t>
        </is>
      </c>
      <c r="H66" s="45" t="inlineStr"/>
      <c r="I66" s="44" t="inlineStr">
        <is>
          <t>1</t>
        </is>
      </c>
      <c r="J66" s="45" t="inlineStr">
        <is>
          <t>✅ คำตอบที่ถูกต้อง: ข้อ ก. exercise induced asthma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Dyslipidemia / HTN https://www.uptodate.com/contents/atherosclerotic-cardiovascular-disease-risk-assessment-for-primary-prevention-in-adults-our-approach#H1 ..............................................................................................................................................................................................................
🔍 ข้ออื่นผิดเพราะอะไร:
• ข้อ ข. (urinalysis): การตรวจปัสสาวะ (Urinalysis) มีประโยชน์ในการประเมินการทำงานของไตและโปรตีนรั่ว แต่ในผู้ป่วยที่มีความเสี่ยงโรคหลอดเลือดหัวใจสูงระดับไขมันเป็นเป้าหมายหลักมากกว่า
• ข้อ ค. (renal function): การประเมินการทำงานของไตมีความสำคัญในผู้ป่วยเบาหวานและความดัน แต่การมีประวัติครอบครัวเป็นโรคหลอดเลือดหัวใจตีบทำให้ Lipid profile มีความเร่งด่วนในการประเมินความเสี่ยง ASCVD
• ข้อ ง. (lipid profile e)-): ผู้ป่วยรายนี้มีความเสี่ยงสูงต่อโรคหลอดเลือดหัวใจจากประวัติครอบครัวและภาวะอ้วน จึงควรได้รับการตรวจ Lipid profile เพื่อประเมินและเริ่มการรักษาทันที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6" s="46" t="n"/>
      <c r="L66" s="45" t="inlineStr">
        <is>
          <t>Coronary artery disease</t>
        </is>
      </c>
      <c r="M66" s="46" t="inlineStr">
        <is>
          <t>Clinic</t>
        </is>
      </c>
      <c r="N66" s="45" t="inlineStr">
        <is>
          <t>PLE_CC1_2564_All_Key ข้อ 24</t>
        </is>
      </c>
      <c r="O66" s="46" t="inlineStr">
        <is>
          <t>ข้อสอบจริง</t>
        </is>
      </c>
      <c r="P66" s="46" t="inlineStr">
        <is>
          <t>ปี 2564</t>
        </is>
      </c>
      <c r="Q66" s="2" t="n"/>
    </row>
    <row r="67" ht="409.6" customHeight="1" s="37">
      <c r="A67" s="44" t="n">
        <v>65</v>
      </c>
      <c r="B67" s="45" t="inlineStr">
        <is>
          <t>ผลข้างเคียงของยา ergot ในการรักษา migraine Ergotamine กระตุ้น alpha-1 receptor ทำให้เกิด peripheral vasoconstriction ส่งผลให้เกิดอาการ numbness(ชา) and tingling (ซ่าๆ) ที่ปลายมือปลายเท้าจากการขาดเลือดไปเลี้ยง, ในคนที่เป็นเบาหวานร่วมด้วยอาจเกิด gangrene ได้ กระตุ้น D2 receptor ที่ chemoreceptor trigger zone ทำให้เกิดอาการคลื่นใส้อาเจียน กระตุ้น 5-HT1B receptor ที่ coronary artery ทำหลอดเลือดหัวใจหดตัว เกิด Angina pian ได้" จาก: ชีท pharmaco IV หัวข้อ Pharmacology of Drug Used in Migraine ..............................................................................................................................................................................................................</t>
        </is>
      </c>
      <c r="C67" s="46" t="n"/>
      <c r="D67" s="45" t="inlineStr">
        <is>
          <t>Losartan 50 mg OD</t>
        </is>
      </c>
      <c r="E67" s="45" t="inlineStr">
        <is>
          <t>Enalapril 10 mg BID</t>
        </is>
      </c>
      <c r="F67" s="45" t="inlineStr">
        <is>
          <t>Hydrochlorothiazide 25 mg OD</t>
        </is>
      </c>
      <c r="G67" s="45" t="inlineStr">
        <is>
          <t>Atorvastatin 20 mg OD</t>
        </is>
      </c>
      <c r="H67" s="45" t="inlineStr"/>
      <c r="I67" s="44" t="inlineStr">
        <is>
          <t>2</t>
        </is>
      </c>
      <c r="J67" s="45" t="inlineStr">
        <is>
          <t>✅ คำตอบที่ถูกต้อง: ข้อ ข. Enalapril 10 mg BID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Enalapril 10 mg BID การเลือก Enalapril 10 mg BID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(Losartan 50 mg OD): Losartan เป็นยาในกลุ่ม ARBs ที่ใช้ควบคุมความดันโลหิต ไม่มีฤทธิ์ทำให้หลอดเลือดหดตัวจนเกิดผลข้างเคียงแบบ Ergotamine
• ข้อ ค. (Hydrochlorothiazide 25 mg OD): Hydrochlorothiazide เป็นยาขับปัสสาวะที่ลดปริมาตรน้ำในหลอดเลือด ไม่ได้มีกลไกกระตุ้นตัวรับ Serotonin หรือ Alpha-1 จึงไม่ทำให้เกิดปลายมือปลายเท้าชาจากการขาดเลือด
• ข้อ ง. (Atorvastatin 20 mg OD): Atorvastatin เป็นยาลดไขมันในเลือดที่มีผลข้างเคียงหลักคือปวดกล้ามเนื้อ ไม่มีฤทธิ์ทำให้หลอดเลือดหัวใจหดตัวแบบยาต้านไมเกรนกลุ่ม Ergot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67" s="46" t="n"/>
      <c r="L67" s="45" t="inlineStr">
        <is>
          <t>Coronary artery disease</t>
        </is>
      </c>
      <c r="M67" s="46" t="inlineStr">
        <is>
          <t>Clinic</t>
        </is>
      </c>
      <c r="N67" s="45" t="inlineStr">
        <is>
          <t>PLE_CC1_2564_All_Key ข้อ 51</t>
        </is>
      </c>
      <c r="O67" s="46" t="inlineStr">
        <is>
          <t>ข้อสอบจริง</t>
        </is>
      </c>
      <c r="P67" s="46" t="inlineStr">
        <is>
          <t>ปี 2564</t>
        </is>
      </c>
      <c r="Q67" s="2" t="n"/>
    </row>
    <row r="68" ht="409.6" customHeight="1" s="37">
      <c r="A68" s="44" t="n">
        <v>66</v>
      </c>
      <c r="B68" s="45" t="inlineStr">
        <is>
          <t>3 เดือนต่อมาตรวจเพิ่ม FBS = 190, A1C= 8, LDL ปกติ ควรให้ยาใดเป็นอันดับแรกแก่ผู้ป่วย</t>
        </is>
      </c>
      <c r="C68" s="46" t="n"/>
      <c r="D68" s="45" t="inlineStr">
        <is>
          <t>Metformin</t>
        </is>
      </c>
      <c r="E68" s="45" t="inlineStr">
        <is>
          <t>Simvastatin 20 mg HS</t>
        </is>
      </c>
      <c r="F68" s="45" t="inlineStr">
        <is>
          <t>Bisoprolol 5 mg OD</t>
        </is>
      </c>
      <c r="G68" s="45" t="inlineStr">
        <is>
          <t>Spironolactone 25 mg OD</t>
        </is>
      </c>
      <c r="H68" s="45" t="inlineStr"/>
      <c r="I68" s="44" t="inlineStr">
        <is>
          <t>1</t>
        </is>
      </c>
      <c r="J68" s="45" t="inlineStr">
        <is>
          <t>✅ คำตอบที่ถูกต้อง: ข้อ ก. Metformin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2022 ได้แนะนำ first-line therapy สำหรับผู้ป่วย type 2 diabtes คือ metformin monotherapy ร่วมกับ lifestyle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K68" s="46" t="n"/>
      <c r="L68" s="45" t="inlineStr">
        <is>
          <t>Dyslipidemias</t>
        </is>
      </c>
      <c r="M68" s="46" t="inlineStr">
        <is>
          <t>Clinic</t>
        </is>
      </c>
      <c r="N68" s="45" t="inlineStr">
        <is>
          <t>PLE_CC1_2564_All_Key ข้อ 129</t>
        </is>
      </c>
      <c r="O68" s="46" t="inlineStr">
        <is>
          <t>ข้อสอบจริง</t>
        </is>
      </c>
      <c r="P68" s="46" t="inlineStr">
        <is>
          <t>ปี 2564</t>
        </is>
      </c>
      <c r="Q68" s="2" t="n"/>
    </row>
    <row r="69" ht="409.6" customHeight="1" s="37">
      <c r="A69" s="44" t="n">
        <v>67</v>
      </c>
      <c r="B69" s="45" t="inlineStr">
        <is>
          <t>คนไข้มีประวัติรับประทานยาและควบคุมความดันโลหิตได้ดีมาตลอด แต่มาตรวจคราวนี้พบระดับความดันโลหิตสูงขึ้นผิดปกติ เภสัชกรสงสัยว่ายา Enalapril (ACEIs) รุ่นการผลิตที่ได้รับไปอาจมีปัญหาคุณภาพ เมื่อตรวจสอบพบว่าคลังยาจัดยาแบบ First-in, Last-out ทำให้ยารุ่นดังกล่าวตกค้างและเก็บรักษาในสภาพแวดล้อมที่ไม่เหมาะสมเป็นเวลานาน ผลการตรวจวิเคราะห์พบปริมาณสารสำคัญลดลงจนเหลือต่ำกว่า 80% ของขอบเขตต่ำสุดที่กำหนดไว้ในตำรับยา ตามพระราชบัญญัติยา พ.ศ. 2510 ยาดังกล่าวจัดเป็นยาประเภทใด</t>
        </is>
      </c>
      <c r="C69" s="46" t="n"/>
      <c r="D69" s="45" t="inlineStr">
        <is>
          <t>ยาเสื่อมคุณภาพ</t>
        </is>
      </c>
      <c r="E69" s="45" t="inlineStr">
        <is>
          <t>ยาผิดมาตรฐาน</t>
        </is>
      </c>
      <c r="F69" s="45" t="inlineStr">
        <is>
          <t>ยาปลอม</t>
        </is>
      </c>
      <c r="G69" s="45" t="inlineStr">
        <is>
          <t>ยาไม่ขึ้นทะเบียนตำรับยา</t>
        </is>
      </c>
      <c r="H69" s="45" t="inlineStr">
        <is>
          <t>ยาอันตราย</t>
        </is>
      </c>
      <c r="I69" s="44" t="n">
        <v>1</v>
      </c>
      <c r="J69" s="45" t="inlineStr">
        <is>
          <t>✅ คำตอบที่ถูกต้อง: ข้อ ก. ยาเสื่อมคุณภาพ
💡 Background:
พระราชบัญญัติยา พ.ศ. 2510 และฉบับแก้ไขเพิ่มเติม มาตรา 72 และมาตรา 80 กำหนดนิยามและประเภทของยาที่มีข้อบกพร่องทางคุณภาพไว้อย่างชัดเจน โดยแยกตามสาเหตุของการเกิดปัญหา
🎯 ทำไมข้อนี้ถึงถูก:
ยาเสื่อมคุณภาพ (Deteriorated drug) ตามมาตรา 80(1) รวมถึงยาที่เก็บรักษาไม่ถูกต้องหรือเสื่อมสภาพตามกาลเวลา จนส่งผลให้ปริมาณสารสำคัญ (Active ingredient) สลายตัวและลดลงจนขาดไปเกินกว่าร้อยละ 20 จากเกณฑ์ต่ำสุดของข้อกำหนดในเภสัชตำรับ (ต่ำกว่า 80% ของ lower limit) หรือยาที่สิ้นอายุการใช้ตามที่ระบุไว้บนฉลาก
🔍 ข้ออื่นผิดเพราะอะไร:
• ข้อ ข. (ยาผิดมาตรฐาน): หมายถึงยาที่ผลิตออกมาไม่ตรงตามข้อกำหนดของตำรับยาที่ได้ขึ้นทะเบียนไว้ตั้งแต่กระบวนการผลิต เช่น สารออกฤทธิ์ขาดหรือเกินในระดับที่กฎหมายกำหนด แต่ยังไม่ถึงเกณฑ์ที่นิยามว่าเป็นยาเสื่อมคุณภาพ หรือมีความเบี่ยงเบนทางกายภาพอื่นๆ
• ข้อ ค. (ยาปลอม): หมายถึงยาที่ทำเทียมทั้งหมดหรือบางส่วน ยาที่ปลอมชื่อผู้ผลิต แหล่งผลิต หรือแสดงชื่อสารออกฤทธิ์เป็นเท็จ ซึ่งเป็นการจงใจหลอกลวงผู้บริโภค
• ข้อ ง. (ยาไม่ขึ้นทะเบียนตำรับยา): หมายถึงยาที่ผลิตหรือนำเข้าโดยไม่ได้รับอนุญาตและไม่มีทะเบียนตำรับยา ไม่เกี่ยวข้องกับกระบวนการเสื่อมสลายของยาที่ขึ้นทะเบียนถูกต้องแล้ว
• ข้อ จ. (ยาอันตราย): เป็นการจัดหมวดหมู่ประเภทตามระดับการควบคุมการจ่ายยาตามกฎหมาย ไม่ใช่การจัดประเภทความบกพร่องด้านคุณภาพยา
📖 Guideline อ้างอิง:
พระราชบัญญัติยา พ.ศ. 2510 และฉบับแก้ไขเพิ่มเติม (มาตรา 72, 73, 80) สำนักงานคณะกรรมการอาหารและยา (อย.)
📌 จุดจำก่อนสอบ:
• ยาเสื่อมคุณภาพ: ยาสิ้นอายุ หรือสารออกฤทธิ์สลายตัวจนต่ำกว่า 80% ของ lower standard limit
• ยาปลอม: ทำเทียม หลอกลวงชื่อ แสดงผู้ผลิตเท็จ หรือสารสำคัญขาด/เกินกว่า 20% จากเกณฑ์สูงสุด/ต่ำสุดแบบปลอมแปลง
• กฎหมายกับงานเภสัช: การบริหารคลังยาต้องใช้ระบบ First-Expired, First-Out (FEFO) หรือ First-In, First-Out (FIFO) เพื่อป้องกันยาเสื่อมสภาพ</t>
        </is>
      </c>
      <c r="K69" s="46" t="n"/>
      <c r="L69" s="45" t="inlineStr">
        <is>
          <t>Hypertension / Pharmacy Laws &amp; Ethics</t>
        </is>
      </c>
      <c r="M69" s="46" t="inlineStr">
        <is>
          <t>Clinic</t>
        </is>
      </c>
      <c r="N69" s="45" t="inlineStr">
        <is>
          <t>PLE_CC1_2564_All_Key ข้อ 147</t>
        </is>
      </c>
      <c r="O69" s="46" t="inlineStr">
        <is>
          <t>ข้อสอบจริง</t>
        </is>
      </c>
      <c r="P69" s="46" t="inlineStr">
        <is>
          <t>ปี 2564</t>
        </is>
      </c>
      <c r="Q69" s="2" t="n"/>
    </row>
    <row r="70" ht="409.6" customHeight="1" s="37">
      <c r="A70" s="44" t="n">
        <v>68</v>
      </c>
      <c r="B70" s="45" t="inlineStr">
        <is>
          <t>เหตุใดจึงไม่ควรใช้หญ้าหนวดแมวในผู้ป่วยโรคไต Isoniazid Sund metabolismos Bo X B6 wit most B6 50-100 mg/d . - - in dentaso X ↑ hyperkalemia</t>
        </is>
      </c>
      <c r="C70" s="46" t="n"/>
      <c r="D70" s="45" t="inlineStr">
        <is>
          <t>มีปริมาณโพแทสเซียมสูง</t>
        </is>
      </c>
      <c r="E70" s="45" t="inlineStr">
        <is>
          <t>อาจทำให้ไขมันในเลือดสูง</t>
        </is>
      </c>
      <c r="F70" s="45" t="inlineStr">
        <is>
          <t>อาจทำให้น้ำตาลในเลือดสูง</t>
        </is>
      </c>
      <c r="G70" s="45" t="inlineStr">
        <is>
          <t>อาจทำให้ความดันโลหิตสูง</t>
        </is>
      </c>
      <c r="H70" s="45" t="inlineStr">
        <is>
          <t>ไม่อยู่ในบัญชียาหลัก (บัญชียาสมุนไพร) หË´มนาÆปทาซËาทืกกรณิ ÂวËนาต้จ²ÆดËรงบ¯นืญ´ต -</t>
        </is>
      </c>
      <c r="I70" s="44" t="inlineStr">
        <is>
          <t>1</t>
        </is>
      </c>
      <c r="J70" s="45" t="inlineStr">
        <is>
          <t>✅ คำตอบที่ถูกต้อง: ข้อ ก. มีปริมาณโพแทสเซียมสูง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มีปริมาณโพแทสเซียมสูง การเลือก มีปริมาณโพแทสเซียมสูง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(อาจทำให้ไขมันในเลือดสูง): หญ้าหนวดแมวไม่ได้มีผลเพิ่มระดับไขมันในเลือด กลไกหลักของสมุนไพรนี้คือการขับปัสสาวะซึ่งไม่มีผลรบกวน Lipid profile
• ข้อ ค. (อาจทำให้น้ำตาลในเลือดสูง): หญ้าหนวดแมวไม่ได้มีส่วนประกอบของน้ำตาลในปริมาณสูงและไม่ได้มีกลไกทางเภสัชวิทยาที่ทำให้ระดับน้ำตาลในเลือดเพิ่มขึ้น
• ข้อ ง. (อาจทำให้ความดันโลหิตสูง): หญ้าหนวดแมวมีฤทธิ์ขับปัสสาวะซึ่งในทางทฤษฎีอาจช่วยลดความดันโลหิตได้เล็กน้อย ไม่ได้ทำให้ความดันโลหิตสูงขึ้น
• ข้อ จ. (ไม่อยู่ในบัญชียาหลัก (บัญชียาสมุนไพร) หË´มนาÆปทาซËาทืกกรณิ ÂวËนาต้จ²ÆดËรงบ¯นืญ´ต -): สมุนไพรนี้อาจมีใช้ในบางบัญชี แต่เหตุผลทางคลินิกที่แท้จริงที่ควรระวังคือปริมาณโพแทสเซียมที่สูงซึ่งเสี่ยงต่อผู้ป่วยโรคไต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0" s="46" t="n"/>
      <c r="L70" s="45" t="inlineStr">
        <is>
          <t>Hypertension</t>
        </is>
      </c>
      <c r="M70" s="46" t="inlineStr">
        <is>
          <t>Clinic</t>
        </is>
      </c>
      <c r="N70" s="45" t="inlineStr">
        <is>
          <t>ข้อ 39 (PLE_CC1_2562_Key.md)</t>
        </is>
      </c>
      <c r="O70" s="46" t="inlineStr">
        <is>
          <t>ข้อสอบจริง</t>
        </is>
      </c>
      <c r="P70" s="46" t="inlineStr">
        <is>
          <t>ปี 2562</t>
        </is>
      </c>
    </row>
    <row r="71" ht="409.6" customHeight="1" s="37">
      <c r="A71" s="44" t="n">
        <v>69</v>
      </c>
      <c r="B71" s="45" t="inlineStr">
        <is>
          <t>ผู้ป่วยควรได้รับยาใดเพื่อลดความดันโลหิต</t>
        </is>
      </c>
      <c r="C71" s="46" t="n"/>
      <c r="D71" s="45" t="inlineStr">
        <is>
          <t>Bisoprolol</t>
        </is>
      </c>
      <c r="E71" s="45" t="inlineStr">
        <is>
          <t>Doxazosin</t>
        </is>
      </c>
      <c r="F71" s="45" t="inlineStr">
        <is>
          <t>Losartan</t>
        </is>
      </c>
      <c r="G71" s="45" t="inlineStr">
        <is>
          <t>Spironolactone</t>
        </is>
      </c>
      <c r="H71" s="45" t="inlineStr">
        <is>
          <t>Diltiazem</t>
        </is>
      </c>
      <c r="I71" s="44" t="inlineStr">
        <is>
          <t>1</t>
        </is>
      </c>
      <c r="J71" s="45" t="inlineStr">
        <is>
          <t>✅ คำตอบที่ถูกต้อง: ข้อ ก. Bisoprolol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Bisoprolol การเลือก Bisoprolol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(Doxazosin): Doxazosin เป็นยาในกลุ่ม Alpha-blocker ซึ่งไม่ใช่ยาทางเลือกแรกในการรักษาความดันโลหิตสูงตามแนวทางเวชปฏิบัติ เนื่องจากอาจเพิ่มความเสี่ยงต่อภาวะหัวใจล้มเหลว
• ข้อ ค. (Losartan): Losartan เป็นยาที่เหมาะสมในการลดความดันโลหิตโดยเฉพาะในผู้ป่วยเบาหวาน แต่ถ้าผู้ป่วยมีข้อห้ามใช้เช่นภาวะไตวายเฉียบพลันหรือโพแทสเซียมสูงจะไม่เหมาะสม
• ข้อ ง. (Spironolactone): Spironolactone เป็นยาขับปัสสาวะกลุ่มรักษาระดับโพแทสเซียม มักใช้เป็น Add-on therapy ในผู้ป่วยความดันโลหิตสูงที่ดื้อต่อการรักษา ไม่ใช่ First-line
• ข้อ จ. (Diltiazem): Diltiazem เป็นยากลุ่ม Non-dihydropyridine CCB ที่มีผลกดการทำงานของหัวใจ ไม่นิยมใช้เป็นยาเดี่ยวตัวแรกในการรักษาความดันโลหิตสูงเว้นแต่มีข้อบ่งชี้เฉพาะ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71" s="46" t="n"/>
      <c r="L71" s="45" t="inlineStr">
        <is>
          <t>Hypertension</t>
        </is>
      </c>
      <c r="M71" s="46" t="inlineStr">
        <is>
          <t>Clinic</t>
        </is>
      </c>
      <c r="N71" s="45" t="inlineStr">
        <is>
          <t>ข้อ 56 (PLE_CC1_2562_Key.md)</t>
        </is>
      </c>
      <c r="O71" s="46" t="inlineStr">
        <is>
          <t>ข้อสอบจริง</t>
        </is>
      </c>
      <c r="P71" s="46" t="inlineStr">
        <is>
          <t>ปี 2562</t>
        </is>
      </c>
    </row>
    <row r="72" ht="409.6" customHeight="1" s="37">
      <c r="A72" s="44" t="n">
        <v>70</v>
      </c>
      <c r="B72" s="45" t="inlineStr">
        <is>
          <t>ยาใดที่สามารถป้องกันโรคหัวใจและหลอดเลือดได้ในผู้ป่วยรายนี้ X ~ .De ASCVD Pantiplatletdeprimary prophylaxis X</t>
        </is>
      </c>
      <c r="C72" s="46" t="n"/>
      <c r="D72" s="45" t="inlineStr">
        <is>
          <t>Aspirin 81 mg OD hs</t>
        </is>
      </c>
      <c r="E72" s="45" t="inlineStr">
        <is>
          <t>Simvastatin 10 mg OD hs</t>
        </is>
      </c>
      <c r="F72" s="45" t="inlineStr">
        <is>
          <t>Clopidogrel 75 mg OD</t>
        </is>
      </c>
      <c r="G72" s="45" t="inlineStr">
        <is>
          <t>Ezetimibe 10 mg 1 tab po pc</t>
        </is>
      </c>
      <c r="H72" s="45" t="inlineStr">
        <is>
          <t>Fenofibrate 160 mg 1 tab po pc</t>
        </is>
      </c>
      <c r="I72" s="44" t="inlineStr">
        <is>
          <t>1</t>
        </is>
      </c>
      <c r="J72" s="45" t="inlineStr">
        <is>
          <t>✅ คำตอบที่ถูกต้อง: ข้อ ก. Aspirin 81 mg OD hs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81 mg OD hs การเลือก Aspirin 81 mg OD hs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(Simvastatin 10 mg OD hs): เป็น moderate-intensity statin เมแทบอไลต์ผ่าน CYP3A4 เด่นชัด ห้ามใช้ dose 80 mg และมี drug interactions สูงกับ CYP3A4 inhibitors (clarithromycin, ketoconazole)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(Ezetimibe 10 mg 1 tab po pc): เป็น Niemann-Pick C1-Like 1 (NPC1L1) inhibitor ยับยั้งการดูดซึม cholesterol ที่ลำไส้เล็ก ใช้เป็น add-on therapy ร่วมกับ statin เพื่อลด LDL-C เสริมอีก 15-20%
• ข้อ จ. (Fenofibrate 160 mg 1 tab po pc): เป็น PPAR-alpha agonist ลดระดับ Triglycerides เด่นชัด (30-50%) และปลอดภัยเมื่อใช้ร่วมกับ statin มากกว่า gemfibrozil (เสี่ยง rhabdomyolysis ต่ำกว่า)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2" s="46" t="n"/>
      <c r="L72" s="45" t="inlineStr">
        <is>
          <t>Hypertension</t>
        </is>
      </c>
      <c r="M72" s="46" t="inlineStr">
        <is>
          <t>Clinic</t>
        </is>
      </c>
      <c r="N72" s="45" t="inlineStr">
        <is>
          <t>ข้อ 57 (PLE_CC1_2562_Key.md)</t>
        </is>
      </c>
      <c r="O72" s="46" t="inlineStr">
        <is>
          <t>ข้อสอบจริง</t>
        </is>
      </c>
      <c r="P72" s="46" t="inlineStr">
        <is>
          <t>ปี 2562</t>
        </is>
      </c>
    </row>
    <row r="73" ht="409.6" customHeight="1" s="37">
      <c r="A73" s="44" t="n">
        <v>71</v>
      </c>
      <c r="B73" s="45" t="inlineStr">
        <is>
          <t>ข้อใดคือความเสี่ยงที่อาจเกิดขึ้นเมื่อใช้ metformin เป็นระยะยาว - Retinopathy - Nephro - Neuro X ~</t>
        </is>
      </c>
      <c r="C73" s="46" t="n"/>
      <c r="D73" s="45" t="inlineStr">
        <is>
          <t>Bone fracture</t>
        </is>
      </c>
      <c r="E73" s="45" t="inlineStr">
        <is>
          <t>Bladder cancer</t>
        </is>
      </c>
      <c r="F73" s="45" t="inlineStr">
        <is>
          <t>Cyanocobalamin deficiency</t>
        </is>
      </c>
      <c r="G73" s="45" t="inlineStr">
        <is>
          <t>Edema</t>
        </is>
      </c>
      <c r="H73" s="45" t="inlineStr">
        <is>
          <t>Heart failure</t>
        </is>
      </c>
      <c r="I73" s="44" t="inlineStr">
        <is>
          <t>1</t>
        </is>
      </c>
      <c r="J73" s="45" t="inlineStr">
        <is>
          <t>✅ คำตอบที่ถูกต้อง: ข้อ ก. Bone fracture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Bone fracture การเลือก Bone fracture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(Bladder cancer): Bladder cancer เป็นความเสี่ยงที่อาจพบได้จากการใช้ยา Pioglitazone ในระยะยาว ไม่ใช่ผลข้างเคียงที่สัมพันธ์กับการใช้ยา Metformin
• ข้อ ค. (Cyanocobalamin deficiency): การขาดวิตามินบี 12 (Cyanocobalamin deficiency) เป็นภาวะแทรกซ้อนระยะยาวที่พบได้บ่อยจากการใช้ Metformin ซึ่งอาจนำไปสู่ภาวะโลหิตจางและปลายประสาทอักเสบ
• ข้อ ง. (Edema): อาการบวมน้ำ (Edema) มักเป็นผลข้างเคียงจากยาลดน้ำตาลกลุ่ม Thiazolidinediones (TZDs) เช่น Pioglitazone หรือยากลุ่ม CCBs ไม่ใช่ Metformin
• ข้อ จ. (Heart failure): ภาวะหัวใจล้มเหลว (Heart failure) อาจรุนแรงขึ้นจากการใช้ยากลุ่ม TZDs หรือ Saxagliptin ยา Metformin ไม่มีผลทำให้เกิดภาวะนี้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73" s="46" t="n"/>
      <c r="L73" s="45" t="inlineStr">
        <is>
          <t>Hypertension</t>
        </is>
      </c>
      <c r="M73" s="46" t="inlineStr">
        <is>
          <t>Clinic</t>
        </is>
      </c>
      <c r="N73" s="45" t="inlineStr">
        <is>
          <t>ข้อ 60 (PLE_CC1_2562_Key.md)</t>
        </is>
      </c>
      <c r="O73" s="46" t="inlineStr">
        <is>
          <t>ข้อสอบจริง</t>
        </is>
      </c>
      <c r="P73" s="46" t="inlineStr">
        <is>
          <t>ปี 2562</t>
        </is>
      </c>
    </row>
    <row r="74" ht="409.6" customHeight="1" s="37">
      <c r="A74" s="44" t="n">
        <v>72</v>
      </c>
      <c r="B74" s="45" t="inlineStr">
        <is>
          <t>พฤติกรรมใดที่ควรปรับเปลี่ยนในผู้ป่วยรายนี้น้อยที่สุด n.nise , MI gowt sim-ger HE X ston . dem . beer =</t>
        </is>
      </c>
      <c r="C74" s="46" t="n"/>
      <c r="D74" s="45" t="inlineStr">
        <is>
          <t>ลดน้ำหนัก</t>
        </is>
      </c>
      <c r="E74" s="45" t="inlineStr">
        <is>
          <t>ลดอาหารเค็ม</t>
        </is>
      </c>
      <c r="F74" s="45" t="inlineStr">
        <is>
          <t>งดดื่มแอลกอฮอล์</t>
        </is>
      </c>
      <c r="G74" s="45" t="inlineStr">
        <is>
          <t>งดการสูบบุหรี่</t>
        </is>
      </c>
      <c r="H74" s="45" t="inlineStr">
        <is>
          <t>งดกินอาหารที่มีไขมันติด they should be injected immediately after preparation.] to volume. Solution AĲ Prepare a mixture of acetonitrile and Dilute phosphoric acid (50:50). volume. Make adjustments if necessary . with phosphoric acid to a pH of 4.0. DiluentĲ Prepare a mixture of acetonitrile and Buffer solution (3:2). 1 drink = 12 Onz . X - initos/ mada = 360mL. - ever .Jan 2 drink /82 . - ~ หË´มนาÆปทาซËาทืกกรณิ ÂวËนาต้จ²ÆดËรงบ¯นืญ´ต of USP Lovastatin RS. a solution having a known concentration of about 1.5 mg per mL. dissolve in and dilute with Diluent to volume, and mix. Chromatographic system (see Chromatography 621Ĳ The liquid chromatograph is equipped with a 238-nm The chromatograph is programmed as follows. ~ more than 1.0%. ProcedureĲ Separately inject equal volumes (about 5 าL) of the Standard preparation and the Assay Calculate the quantity, in mg, of C25H38O5 in the portion of Simvastatin taken by the formula: VC (rU / rS) Simvastatin RS in the Standard preparation; and rU and rS are the responses of the simvastatin peak obtained from the Assay preparation and the Standard preparation, respectively. ↑</t>
        </is>
      </c>
      <c r="I74" s="44" t="inlineStr">
        <is>
          <t>1</t>
        </is>
      </c>
      <c r="J74" s="45" t="inlineStr">
        <is>
          <t>✅ คำตอบที่ถูกต้อง: ข้อ ก. ลดน้ำหนัก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ลดน้ำหนัก AssayĲ [noteĲThe Simvastatin solutions are stable for up to 3 days when stored at 4. Without refrigeration, Dilute phosphoric acidĲ Transfer 1 mL of phosphoric acid to a 1-L volumetric flask, and dilute with water Solution BĲ Transfer 1 mL of phosphoric acid to a 1-L volumetric flask, and dilute with acetonitrile to Mobile phaseĲ Use variable mixtures of Solution A and Solution B, as directed for Chromatographic system.
🔍 ข้ออื่นผิดเพราะอะไร:
• ข้อ ข. (ลดอาหารเค็ม): การลดอาหารเค็มช่วยลดปริมาณโซเดียมและน้ำที่คั่งในร่างกาย เป็นข้อแนะนำที่สำคัญมากในผู้ป่วยความดันโลหิตสูงเพื่อช่วยให้ยาออกฤทธิ์ได้ดีขึ้น
• ข้อ ค. (งดดื่มแอลกอฮอล์): การงดดื่มแอลกอฮอล์ช่วยลดการกระตุ้นระบบประสาทซิมพาเทติก ซึ่งมีความสำคัญอย่างยิ่งในการควบคุมความดันโลหิตระยะยาว
• ข้อ ง. (งดการสูบบุหรี่): การงดสูบบุหรี่ช่วยลดความเสี่ยงต่อโรคหลอดเลือดหัวใจและลดภาวะหลอดเลือดแข็งตัว (Atherosclerosis) จึงเป็นพฤติกรรมที่ต้องปรับเปลี่ยนอย่างยิ่ง
• ข้อ จ. (งดกินอาหารที่มีไขมันติด they should be injected immediately after preparation.] to volume. Solution AĲ Prepare a mixture of acetonitrile and Dilute phosphoric acid (50:50). volume. Make adjustments if necessary . with phosphoric acid to a pH of 4.0. DiluentĲ Prepare a mixture of acetonitrile and Buffer solution (3:2). 1 drink = 12 Onz . X - initos/ mada = 360mL. - ever .Jan 2 drink /82 . - ~ หË´มนาÆปทาซËาทืกกรณิ ÂวËนาต้จ²ÆดËรงบ¯นืญ´ต of USP Lovastatin RS. a solution having a known concentration of about 1.5 mg per mL. dissolve in and dilute with Diluent to volume, and mix. Chromatographic system (see Chromatography 621Ĳ The liquid chromatograph is equipped with a 238-nm The chromatograph is programmed as follows. ~ more than 1.0%. ProcedureĲ Separately inject equal volumes (about 5 าL) of the Standard preparation and the Assay Calculate the quantity, in mg, of C25H38O5 in the portion of Simvastatin taken by the formula: VC (rU / rS) Simvastatin RS in the Standard preparation; and rU and rS are the responses of the simvastatin peak obtained from the Assay preparation and the Standard preparation, respectively. ↑): การงดกินอาหารที่มีไขมันติดช่วยลดภาวะไขมันในเลือดสูงและลดความเสี่ยงการเกิดโรคหลอดเลือดหัวใจ (ASCVD) ซึ่งมีความสำคัญในผู้ป่วยความดันโลหิตสูง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4" s="46" t="n"/>
      <c r="L74" s="45" t="inlineStr">
        <is>
          <t>Hypertension</t>
        </is>
      </c>
      <c r="M74" s="46" t="inlineStr">
        <is>
          <t>Clinic</t>
        </is>
      </c>
      <c r="N74" s="45" t="inlineStr">
        <is>
          <t>ข้อ 70 (PLE_CC1_2562_Key.md)</t>
        </is>
      </c>
      <c r="O74" s="46" t="inlineStr">
        <is>
          <t>ข้อสอบจริง</t>
        </is>
      </c>
      <c r="P74" s="46" t="inlineStr">
        <is>
          <t>ปี 2562</t>
        </is>
      </c>
    </row>
    <row r="75" ht="409.6" customHeight="1" s="37">
      <c r="A75" s="44" t="n">
        <v>73</v>
      </c>
      <c r="B75" s="45" t="inlineStr">
        <is>
          <t>ข้อใดคืออาการข้างเคียงของ aluminium hydroxide ที่พบบ่อยที่สุด X A , itsainascionsite,dzistmngneis e - =</t>
        </is>
      </c>
      <c r="C75" s="46" t="n"/>
      <c r="D75" s="45" t="inlineStr">
        <is>
          <t>Constipation</t>
        </is>
      </c>
      <c r="E75" s="45" t="inlineStr">
        <is>
          <t>Steatorrhea</t>
        </is>
      </c>
      <c r="F75" s="45" t="inlineStr">
        <is>
          <t>Folate deficiency anemia</t>
        </is>
      </c>
      <c r="G75" s="45" t="inlineStr">
        <is>
          <t>Metabolic acidosis</t>
        </is>
      </c>
      <c r="H75" s="45" t="inlineStr">
        <is>
          <t>Urinary tract infection</t>
        </is>
      </c>
      <c r="I75" s="44" t="inlineStr">
        <is>
          <t>1</t>
        </is>
      </c>
      <c r="J75" s="45" t="inlineStr">
        <is>
          <t>✅ คำตอบที่ถูกต้อง: ข้อ ก. Constipation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Constipation การเลือก Constipation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(Steatorrhea): Steatorrhea หรือภาวะไขมันปนในอุจจาระมักเกิดจากยาที่ยับยั้งการดูดซึมไขมันเช่น Orlistat ไม่ใช่ผลข้างเคียงของยาลดกรดกลุ่ม Aluminium
• ข้อ ค. (Folate deficiency anemia): ยาลดกรดไม่ได้รบกวนการดูดซึม Folate จนทำให้เกิดภาวะขาดโฟเลต แต่อาจมีผลลดการดูดซึมธาตุเหล็กได้บ้างหากใช้พร้อมกัน
• ข้อ ง. (Metabolic acidosis): Aluminium hydroxide เป็นด่างที่ไปสะเทินกรดในกระเพาะอาหาร จึงไม่มีฤทธิ์ทำให้เกิดภาวะกรดเกินในร่างกาย (Metabolic acidosis)
• ข้อ จ. (Urinary tract infection): การติดเชื้อในทางเดินปัสสาวะไม่สัมพันธ์กับกลไกทางเภสัชวิทยาของยา Aluminium hydroxide ที่ออกฤทธิ์เฉพาะที่ในทางเดินอาหาร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5" s="46" t="n"/>
      <c r="L75" s="45" t="inlineStr">
        <is>
          <t>Hypertension</t>
        </is>
      </c>
      <c r="M75" s="46" t="inlineStr">
        <is>
          <t>Clinic</t>
        </is>
      </c>
      <c r="N75" s="45" t="inlineStr">
        <is>
          <t>ข้อ 90 (PLE_CC1_2562_Key.md)</t>
        </is>
      </c>
      <c r="O75" s="46" t="inlineStr">
        <is>
          <t>ข้อสอบจริง</t>
        </is>
      </c>
      <c r="P75" s="46" t="inlineStr">
        <is>
          <t>ปี 2562</t>
        </is>
      </c>
    </row>
    <row r="76" ht="409.6" customHeight="1" s="37">
      <c r="A76" s="44" t="n">
        <v>74</v>
      </c>
      <c r="B76" s="45" t="inlineStr">
        <is>
          <t>ข้อใดคือกลไกการออกฤทธิ์ของยา cyclophosphamide</t>
        </is>
      </c>
      <c r="C76" s="46" t="n"/>
      <c r="D76" s="45" t="inlineStr">
        <is>
          <t>Alkylating agent</t>
        </is>
      </c>
      <c r="E76" s="45" t="inlineStr">
        <is>
          <t>Antimetabolite</t>
        </is>
      </c>
      <c r="F76" s="45" t="inlineStr">
        <is>
          <t>Antimitotic</t>
        </is>
      </c>
      <c r="G76" s="45" t="inlineStr">
        <is>
          <t>Inhibit topoisomerase</t>
        </is>
      </c>
      <c r="H76" s="45" t="inlineStr">
        <is>
          <t>Inhibit DNA polymerase</t>
        </is>
      </c>
      <c r="I76" s="44" t="inlineStr">
        <is>
          <t>1</t>
        </is>
      </c>
      <c r="J76" s="45"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การเลือก Alkylating agent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(Antimetabolite): Antimetabolite เป็นกลไกของยาเช่น Methotrexate หรือ 5-FU ที่ขัดขวางกระบวนการสร้างกรดนิวคลีอิก ไม่ใช่กลไกของ Cyclophosphamide
• ข้อ ค. (Antimitotic): Antimitotic เป็นกลไกของยาเช่น Vincristine หรือ Paclitaxel ที่ยับยั้งการสร้างและสลายของ Microtubule ในกระบวนการแบ่งเซลล์
• ข้อ ง. (Inhibit topoisomerase): Inhibit topoisomerase เป็นกลไกของยาเช่น Etoposide หรือ Doxorubicin ที่รบกวนการคลายเกลียวของ DNA
• ข้อ จ. (Inhibit DNA polymerase): Inhibit DNA polymerase เป็นกลไกที่พบในยาต้านไวรัสหลายชนิด ไม่ใช่กลไกหลักของยาเคมีบำบัดกลุ่ม Alkylating agents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6" s="46" t="n"/>
      <c r="L76" s="45" t="inlineStr">
        <is>
          <t>Hypertension</t>
        </is>
      </c>
      <c r="M76" s="46" t="inlineStr">
        <is>
          <t>Clinic</t>
        </is>
      </c>
      <c r="N76" s="45" t="inlineStr">
        <is>
          <t>ข้อ 107 (PLE_CC1_2562_Key.md)</t>
        </is>
      </c>
      <c r="O76" s="46" t="inlineStr">
        <is>
          <t>ข้อสอบจริง</t>
        </is>
      </c>
      <c r="P76" s="46" t="inlineStr">
        <is>
          <t>ปี 2562</t>
        </is>
      </c>
    </row>
    <row r="77" ht="409.6" customHeight="1" s="37">
      <c r="A77" s="44" t="n">
        <v>75</v>
      </c>
      <c r="B77" s="45" t="inlineStr">
        <is>
          <t>หากผู้ป่วยท้อง 4 เดือนแล้วต้องรักษาได้รับยา MMI อยู่ควรทำอย่างไร dose dependent . X ิ Galerveining &gt; 30mg/d &amp;side : PTU in esier dose independent ~</t>
        </is>
      </c>
      <c r="C77" s="46" t="n"/>
      <c r="D77" s="45" t="inlineStr">
        <is>
          <t>เปลี่ยนเป็น PTU ไนไตรมาสแรก</t>
        </is>
      </c>
      <c r="E77" s="45" t="inlineStr">
        <is>
          <t>ใช้ MMI ต่อ</t>
        </is>
      </c>
      <c r="F77" s="45" t="inlineStr">
        <is>
          <t>เปลี่ยนเป็น PTU จนคลอด</t>
        </is>
      </c>
      <c r="G77" s="45" t="inlineStr">
        <is>
          <t>ลดขนาดยา MMI</t>
        </is>
      </c>
      <c r="H77" s="45" t="inlineStr">
        <is>
          <t>เพิ่มขนาดยา MMI</t>
        </is>
      </c>
      <c r="I77" s="44" t="inlineStr">
        <is>
          <t>1</t>
        </is>
      </c>
      <c r="J77" s="45" t="inlineStr">
        <is>
          <t>✅ คำตอบที่ถูกต้อง: ข้อ ก. เปลี่ยนเป็น PTU ไนไตรมาสแรก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PTU ไนไตรมาสแรก การเลือก เปลี่ยนเป็น PTU ไนไตรมาสแรก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(ใช้ MMI ต่อ): การใช้ยา MMI ต่อในไตรมาสแรกของการตั้งครรภ์เพิ่มความเสี่ยงต่อความผิดปกติของทารกแต่กำเนิด (Aplasia cutis, Choanal atresia) จึงไม่แนะนำ
• ข้อ ค. (เปลี่ยนเป็น PTU จนคลอด): การเปลี่ยนเป็น PTU จนคลอดอาจเพิ่มความเสี่ยงต่อภาวะตับวายรุนแรง (Hepatotoxicity) ในมารดา แนวทางเวชปฏิบัติแนะนำให้ใช้ PTU เฉพาะในไตรมาสแรกเท่านั้น
• ข้อ ง. (ลดขนาดยา MMI): การลดขนาดยา MMI ยังคงมีความเสี่ยงต่อทารกในครรภ์ไตรมาสแรกอยู่ดี ควรหลีกเลี่ยงการใช้ MMI ในช่วงนี้หากเป็นไปได้
• ข้อ จ. (เพิ่มขนาดยา MMI): การเพิ่มขนาดยา MMI ยิ่งเพิ่มความเสี่ยงต่อผลข้างเคียงและความผิดปกติของทารกแต่กำเนิดอย่างรุนแรง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7" s="46" t="n"/>
      <c r="L77" s="45" t="inlineStr">
        <is>
          <t>Hypertension</t>
        </is>
      </c>
      <c r="M77" s="46" t="inlineStr">
        <is>
          <t>Clinic</t>
        </is>
      </c>
      <c r="N77" s="45" t="inlineStr">
        <is>
          <t>ข้อ 27 (PLE_CC1_2562_Key.md)</t>
        </is>
      </c>
      <c r="O77" s="46" t="inlineStr">
        <is>
          <t>ข้อสอบจริง</t>
        </is>
      </c>
      <c r="P77" s="46" t="inlineStr">
        <is>
          <t>ปี 2562</t>
        </is>
      </c>
    </row>
    <row r="78" ht="409.6" customHeight="1" s="37">
      <c r="A78" s="44" t="n">
        <v>76</v>
      </c>
      <c r="B78" s="45" t="inlineStr">
        <is>
          <t>เภสัชกรควรแนะนำการใช้ยา savelamer carbonate อย่างไร = = X Mor , Tricians Undign, navos X ิomdermissionery ~</t>
        </is>
      </c>
      <c r="C78" s="46" t="n"/>
      <c r="D78" s="45" t="inlineStr">
        <is>
          <t>ห้ามเคี้ยวหรือบดให้ละเอียดก่อนรับประทาน</t>
        </is>
      </c>
      <c r="E78" s="45" t="inlineStr">
        <is>
          <t>ลดการกินอาหารที่มีโพแทสเซียมสูง</t>
        </is>
      </c>
      <c r="F78" s="45" t="inlineStr">
        <is>
          <t>ยานี้อาจทำให้เกิดการชักจากการขาดแคลเซียม</t>
        </is>
      </c>
      <c r="G78" s="45" t="inlineStr">
        <is>
          <t>กำจัดปริมาณน้ำต่อวันให้น้อยกว่า 1 ลิตร</t>
        </is>
      </c>
      <c r="H78" s="45" t="inlineStr">
        <is>
          <t>รับประทานก่อนนอน</t>
        </is>
      </c>
      <c r="I78" s="44" t="inlineStr">
        <is>
          <t>1</t>
        </is>
      </c>
      <c r="J78" s="45" t="inlineStr">
        <is>
          <t>✅ คำตอบที่ถูกต้อง: ข้อ ก. ห้ามเคี้ยวหรือบดให้ละเอียดก่อนรับประทาน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ห้ามเคี้ยวหรือบดให้ละเอียดก่อนรับประทาน การเลือก ห้ามเคี้ยวหรือบดให้ละเอียดก่อนรับประทาน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(ลดการกินอาหารที่มีโพแทสเซียมสูง): Sevelamer เป็นยาจับฟอสเฟตในทางเดินอาหาร ไม่มีผลเกี่ยวข้องกับการจัดการโพแทสเซียมในอาหาร
• ข้อ ค. (ยานี้อาจทำให้เกิดการชักจากการขาดแคลเซียม): ยา Sevelamer carbonate ไม่ได้จับกับแคลเซียมจึงไม่เสี่ยงต่อการเกิดภาวะแคลเซียมในเลือดต่ำจนชัก ต่างจากยากลุ่มอื่นที่อาจรบกวนสมดุลแคลเซียม
• ข้อ ง. (กำจัดปริมาณน้ำต่อวันให้น้อยกว่า 1 ลิตร): การจำกัดน้ำเป็นคำแนะนำทั่วไปในผู้ป่วยไตวายเรื้อรัง ไม่ใช่ข้อควรระวังเฉพาะที่สัมพันธ์กับการรับประทานยา Sevelamer
• ข้อ จ. (รับประทานก่อนนอน): ยา Sevelamer ต้องรับประทานพร้อมอาหารเพื่อให้ออกฤทธิ์จับกับฟอสเฟตในอาหาร การทานก่อนนอนตอนท้องว่างจะทำให้ยาไม่มีประสิทธิภาพ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8" s="46" t="n"/>
      <c r="L78" s="45" t="inlineStr">
        <is>
          <t>Hypertension</t>
        </is>
      </c>
      <c r="M78" s="46" t="inlineStr">
        <is>
          <t>Clinic</t>
        </is>
      </c>
      <c r="N78" s="45" t="inlineStr">
        <is>
          <t>ข้อ 78 (PLE_CC1_2562_Key.md)</t>
        </is>
      </c>
      <c r="O78" s="46" t="inlineStr">
        <is>
          <t>ข้อสอบจริง</t>
        </is>
      </c>
      <c r="P78" s="46" t="inlineStr">
        <is>
          <t>ปี 2562</t>
        </is>
      </c>
    </row>
    <row r="79" ht="409.6" customHeight="1" s="37">
      <c r="A79" s="44" t="n">
        <v>77</v>
      </c>
      <c r="B79" s="45" t="inlineStr">
        <is>
          <t>ระดับความดันที่เปEนเปFาหมายในผูป%วยรายนี้เปEนเท!าใดตาม ACC guideline 2017</t>
        </is>
      </c>
      <c r="C79" s="46" t="n"/>
      <c r="D79" s="45" t="inlineStr">
        <is>
          <t>130/80 mmHg</t>
        </is>
      </c>
      <c r="E79" s="45" t="inlineStr">
        <is>
          <t>140/90 mmHg</t>
        </is>
      </c>
      <c r="F79" s="45" t="inlineStr">
        <is>
          <t>130/90 mmHg</t>
        </is>
      </c>
      <c r="G79" s="45" t="inlineStr">
        <is>
          <t>150/90 mmHg</t>
        </is>
      </c>
      <c r="H79" s="45" t="inlineStr">
        <is>
          <t>140/80 mmHg กรณีศึกษาที่ 1 ผูป%วยโรคความดันสูง อายุ 60 ป7 ตรวจวัดความดันได160/100 mmHg มีโรคร!วมคือโรคเบาหวาน มีประวัติบิดาเสียชีวิตดวยโรค กลามเนื้อหัวใจขาดเลือดเมื่ออายุ 38 ป7 ไดรับการประเมินมี cardiovascular risk สูงมาก รายการยาที่ไดรับคือ ! Enalapril 20 mg 1x1 pc ! Amlodipine 10 mg 1x1 pc AEL</t>
        </is>
      </c>
      <c r="I79" s="44" t="inlineStr">
        <is>
          <t>1</t>
        </is>
      </c>
      <c r="J79" s="45" t="inlineStr">
        <is>
          <t>✅ คำตอบที่ถูกต้อง: ข้อ ก. 130/80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130/80 mmHg การเลือก 130/80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mmHg): เป้าหมาย 140/90 mmHg เป็นเป้าหมายเก่าตาม JNC 8 แต่ตาม ACC/AHA 2017 กำหนดเป้าหมายที่เข้มงวดขึ้นในผู้ป่วยที่มีความเสี่ยงสูง
• ข้อ ค. (130/90 mmHg): 130/90 mmHg ไม่ใช่ค่าเป้าหมายมาตรฐานตาม ACC/AHA 2017 ซึ่งกำหนดเป้าหมายทั้ง SBP และ DBP ให้น้อยกว่า 130/80 mmHg
• ข้อ ง. (150/90 mmHg): เป้าหมาย 150/90 mmHg ใช้เฉพาะในผู้ป่วยสูงอายุบางกลุ่มตามแนวทางเก่า ไม่เหมาะสมสำหรับผู้ป่วยรายนี้ที่มีภาวะโรคร่วมและ Cardiovascular risk สูงมาก
• ข้อ จ. (140/80 mmHg กรณีศึกษาที่ 1 ผูป%วยโรคความดันสูง อายุ 60 ป7 ตรวจวัดความดันได160/100 mmHg มีโรคร!วมคือโรคเบาหวาน มีประวัติบิดาเสียชีวิตดวยโรค กลามเนื้อหัวใจขาดเลือดเมื่ออายุ 38 ป7 ไดรับการประเมินมี cardiovascular risk สูงมาก รายการยาที่ไดรับคือ ! Enalapril 20 mg 1x1 pc ! Amlodipine 10 mg 1x1 pc AEL): เป้าหมายที่ถูกต้องตามแนวทาง ACC/AHA 2017 สำหรับผู้ป่วยเบาหวานและมีความเสี่ยง ASCVD สูง คือน้อยกว่า 130/80 mmHg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9" s="46" t="n"/>
      <c r="L79" s="45" t="inlineStr">
        <is>
          <t>Hypertension</t>
        </is>
      </c>
      <c r="M79" s="46" t="inlineStr">
        <is>
          <t>Clinic</t>
        </is>
      </c>
      <c r="N79" s="45" t="inlineStr">
        <is>
          <t>ข้อ 1 (PLE_CC1_2561_Key.md)</t>
        </is>
      </c>
      <c r="O79" s="46" t="inlineStr">
        <is>
          <t>ข้อสอบจริง</t>
        </is>
      </c>
      <c r="P79" s="46" t="inlineStr">
        <is>
          <t>ปี 2561</t>
        </is>
      </c>
    </row>
    <row r="80" ht="409.6" customHeight="1" s="37">
      <c r="A80" s="44" t="n">
        <v>78</v>
      </c>
      <c r="B80" s="45" t="inlineStr">
        <is>
          <t>ควรจัดการอย!างไรเมื่อภายหลังที่ไดรับยาไป 3 เดือนผูป%วยเกิด hyperkalemia</t>
        </is>
      </c>
      <c r="C80" s="46" t="n"/>
      <c r="D80" s="45" t="inlineStr">
        <is>
          <t>กินแบบเดิม</t>
        </is>
      </c>
      <c r="E80" s="45" t="inlineStr">
        <is>
          <t>เพิ่มยา HCTZ</t>
        </is>
      </c>
      <c r="F80" s="45" t="inlineStr">
        <is>
          <t>เพิ่มยา spironolactone</t>
        </is>
      </c>
      <c r="G80" s="45" t="inlineStr">
        <is>
          <t>หยุดยา enalapril</t>
        </is>
      </c>
      <c r="H80" s="45" t="inlineStr">
        <is>
          <t>เพิ่มขนาดยา enalapril</t>
        </is>
      </c>
      <c r="I80" s="44" t="inlineStr">
        <is>
          <t>1</t>
        </is>
      </c>
      <c r="J80" s="45" t="inlineStr">
        <is>
          <t>✅ คำตอบที่ถูกต้อง: ข้อ ก. กินแบบเดิม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กินแบบเดิม การเลือก กินแบบเดิม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(เพิ่มยา HCTZ): HCTZ เป็นยาขับปัสสาวะที่ทำให้โพแทสเซียมต่ำก็จริง แต่ในผู้ป่วยที่เกิด Hyperkalemia รุนแรง การปรับยาที่เป็นสาเหตุหลักอย่าง ACEI จะตรงจุดมากกว่า
• ข้อ ค. (เพิ่มยา spironolactone): Spironolactone เป็น Potassium-sparing diuretic ซึ่งจะยิ่งทำให้ระดับโพแทสเซียมในเลือดสูงขึ้นไปอีก ถือเป็นข้อห้ามใช้ในสถานการณ์นี้
• ข้อ ง. (หยุดยา enalapril): การหยุดยา Enalapril ทันทีอาจเป็นทางเลือกหากโพแทสเซียมสูงรุนแรงมาก แต่หากยังไม่รุนแรง การปรับพฤติกรรมหรือลดยาอาจเหมาะสมกว่า ทั้งนี้ขึ้นอยู่กับระดับโพแทสเซียม
• ข้อ จ. (เพิ่มขนาดยา enalapril): การเพิ่มขนาดยา Enalapril จะยิ่งทำให้การทำงานของ Aldosterone ลดลง ส่งผลให้ร่างกายขับโพแทสเซียมได้น้อยลงและทำให้อาการแย่ลง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0" s="46" t="n"/>
      <c r="L80" s="45" t="inlineStr">
        <is>
          <t>Hypertension</t>
        </is>
      </c>
      <c r="M80" s="46" t="inlineStr">
        <is>
          <t>Clinic</t>
        </is>
      </c>
      <c r="N80" s="45" t="inlineStr">
        <is>
          <t>ข้อ 2 (PLE_CC1_2561_Key.md)</t>
        </is>
      </c>
      <c r="O80" s="46" t="inlineStr">
        <is>
          <t>ข้อสอบจริง</t>
        </is>
      </c>
      <c r="P80" s="46" t="inlineStr">
        <is>
          <t>ปี 2561</t>
        </is>
      </c>
    </row>
    <row r="81" ht="409.6" customHeight="1" s="37">
      <c r="A81" s="44" t="n">
        <v>79</v>
      </c>
      <c r="B81" s="45" t="inlineStr">
        <is>
          <t>แพทยTพิจารณาใหจ!ายยา simvastatin 40 mg 1xhs เพิ่ม ขอใด ต!อไปนี้ถูกตอง</t>
        </is>
      </c>
      <c r="C81" s="46" t="n"/>
      <c r="D81" s="45" t="inlineStr">
        <is>
          <t>ไม!จำเปEนตองใหsimvastatin</t>
        </is>
      </c>
      <c r="E81" s="45" t="inlineStr">
        <is>
          <t>จ!ายไดตามขนาดที่แพทยTจ!าย</t>
        </is>
      </c>
      <c r="F81" s="45" t="inlineStr">
        <is>
          <t>เปลี่ยนเปEน atorvastatin 20 mg แทน</t>
        </is>
      </c>
      <c r="G81" s="45" t="inlineStr">
        <is>
          <t>จ!ายไม!ไดเพราะไม!เขากับโรคของผูป%วย</t>
        </is>
      </c>
      <c r="H81" s="45" t="inlineStr">
        <is>
          <t>จ!ายไดแต!ตองเพิ่มขนาดยาเปEน simvastatin 80 mg X onmortalityratehicus X cats</t>
        </is>
      </c>
      <c r="I81" s="44" t="inlineStr">
        <is>
          <t>1</t>
        </is>
      </c>
      <c r="J81" s="45" t="inlineStr">
        <is>
          <t>✅ คำตอบที่ถูกต้อง: ข้อ ก. ไม!จำเปEนตองใหsimvastatin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ไม!จำเปEนตองใหsimvastatin ไม!จำเป E นตองให simvastatin ไม!จำเป E นตองให simvastatin ไม!จำเป E นตองให simvastatin ไม!จำเป E นตองให simvastatin การเลือก ไม!จำเป E นตองให simvastatin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(จ!ายไดตามขนาดที่แพทยTจ!าย): การจ่าย Simvastatin 40 mg เป็นทางเลือกที่เป็นไปได้ แต่หากผู้ป่วยมีความเสี่ยงสูงมาก (Very high risk) อาจต้องการ High-intensity statin ซึ่ง Simvastatin 40 mg เป็นแค่ Moderate-intensity
• ข้อ ค. (เปลี่ยนเปEน atorvastatin 20 mg แทน): Atorvastatin 20 mg เป็น Moderate-intensity statin ซึ่งมีประสิทธิภาพลด LDL ใกล้เคียงกับ Simvastatin 40 mg อาจยังไม่เพียงพอหากผู้ป่วยต้องการ High-intensity
• ข้อ ง. (จ!ายไม!ไดเพราะไม!เขากับโรคของผูป%วย): Simvastatin มีข้อบ่งใช้สำหรับลดความเสี่ยงต่อโรคหลอดเลือดหัวใจ ไม่ได้ขัดแย้งกับโรคของผู้ป่วย เพียงแต่อาจต้องเลือกชนิดและขนาดความแรงให้เหมาะสม
• ข้อ จ. (จ!ายไดแต!ตองเพิ่มขนาดยาเปEน simvastatin 80 mg X onmortalityratehicus X cats): Simvastatin 80 mg ถูกถอดจากคำแนะนำเนื่องจากเพิ่มความเสี่ยงกล้ามเนื้อสลาย (Myopathy/Rhabdomyolysis) อย่างมีนัยสำคัญ ไม่ควรเริ่มใช้ในขนาดนี้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1" s="46" t="n"/>
      <c r="L81" s="45" t="inlineStr">
        <is>
          <t>Hypertension</t>
        </is>
      </c>
      <c r="M81" s="46" t="inlineStr">
        <is>
          <t>Clinic</t>
        </is>
      </c>
      <c r="N81" s="45" t="inlineStr">
        <is>
          <t>ข้อ 3 (PLE_CC1_2561_Key.md)</t>
        </is>
      </c>
      <c r="O81" s="46" t="inlineStr">
        <is>
          <t>ข้อสอบจริง</t>
        </is>
      </c>
      <c r="P81" s="46" t="inlineStr">
        <is>
          <t>ปี 2561</t>
        </is>
      </c>
    </row>
    <row r="82" ht="409.6" customHeight="1" s="37">
      <c r="A82" s="44" t="n">
        <v>80</v>
      </c>
      <c r="B82" s="45" t="inlineStr">
        <is>
          <t>ขอใดคืออาการไม!พึงประสงคTของยา amlodipine ที่พบไดบ!อย</t>
        </is>
      </c>
      <c r="C82" s="46" t="n"/>
      <c r="D82" s="45" t="inlineStr">
        <is>
          <t>Myopathy</t>
        </is>
      </c>
      <c r="E82" s="45" t="inlineStr">
        <is>
          <t>Gastric ulcer</t>
        </is>
      </c>
      <c r="F82" s="45" t="inlineStr">
        <is>
          <t>Renal failure</t>
        </is>
      </c>
      <c r="G82" s="45" t="inlineStr">
        <is>
          <t>Osteoporosis</t>
        </is>
      </c>
      <c r="H82" s="45" t="inlineStr">
        <is>
          <t>Peripheral edema nivamiodipinenow C</t>
        </is>
      </c>
      <c r="I82" s="44" t="inlineStr">
        <is>
          <t>1</t>
        </is>
      </c>
      <c r="J82" s="45" t="inlineStr">
        <is>
          <t>✅ คำตอบที่ถูกต้อง: ข้อ ก. Myopathy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Myopathy การเลือก Myopathy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(Gastric ulcer): Gastric ulcer มักเกิดจากการใช้ยากลุ่ม NSAIDs ที่ยับยั้งเอนไซม์ COX-1 ยา Amlodipine ไม่มีฤทธิ์รบกวนเยื่อบุต้านทานกรดในกระเพาะอาหาร
• ข้อ ค. (Renal failure): Renal failure ไม่ใช่ผลข้างเคียงของ Amlodipine ในทางกลับกันยากลุ่ม CCBs มักปลอดภัยต่อไตและไม่ทำให้การทำงานของไตแย่ลงโดยตรง
• ข้อ ง. (Osteoporosis): Osteoporosis ไม่มีความสัมพันธ์กับการใช้ยา Amlodipine ยาที่เสี่ยงทำให้กระดูกพรุนมักเป็นกลุ่ม Corticosteroids หรือ PPIs ระยะยาว
• ข้อ จ. (Peripheral edema nivamiodipinenow C): Peripheral edema (ขาบวม) เป็นอาการข้างเคียงที่พบบ่อยที่สุดของ Amlodipine เกิดจากการขยายตัวของหลอดเลือดแดงส่วนปลาย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2" s="46" t="n"/>
      <c r="L82" s="45" t="inlineStr">
        <is>
          <t>Hypertension</t>
        </is>
      </c>
      <c r="M82" s="46" t="inlineStr">
        <is>
          <t>Clinic</t>
        </is>
      </c>
      <c r="N82" s="45" t="inlineStr">
        <is>
          <t>ข้อ 4 (PLE_CC1_2561_Key.md)</t>
        </is>
      </c>
      <c r="O82" s="46" t="inlineStr">
        <is>
          <t>ข้อสอบจริง</t>
        </is>
      </c>
      <c r="P82" s="46" t="inlineStr">
        <is>
          <t>ปี 2561</t>
        </is>
      </c>
    </row>
    <row r="83" ht="409.6" customHeight="1" s="37">
      <c r="A83" s="44" t="n">
        <v>81</v>
      </c>
      <c r="B83" s="45" t="inlineStr">
        <is>
          <t>เมื่อสองสามวันก!อนไปรับยาที่ รพ.สต. ไดรับยา ibuprofen มา โดย ที่ รพ.สต. ไม!ทราบว!าผูป%วยมีโรคประจำตัว ดังนั้นทีมแพทยTจึง วินิจฉัยว!ายา ibuprofen น!าจะเปEนสาเหตุของการกำเริบของ โรคหัวใจลมเหลว ขอใดเปEนขอบกพร!องดังกล!าว</t>
        </is>
      </c>
      <c r="C83" s="46" t="n"/>
      <c r="D83" s="45" t="inlineStr">
        <is>
          <t>ไม!มีเภสัชกรที่ รพ.สต.</t>
        </is>
      </c>
      <c r="E83" s="45" t="inlineStr">
        <is>
          <t>ไม!มีการบันทึกประวัติแพยา</t>
        </is>
      </c>
      <c r="F83" s="45" t="inlineStr">
        <is>
          <t>เจาหนาที่ขาดความรูความสามารถ</t>
        </is>
      </c>
      <c r="G83" s="45" t="inlineStr">
        <is>
          <t>ระบบการส!งต!อขอมูลผูป%วยยังไม!ดีพอ</t>
        </is>
      </c>
      <c r="H83" s="45" t="inlineStr">
        <is>
          <t>ระบบคอมพิวเตอรTไม!ดี ไม!มีประวัติผูป%วย</t>
        </is>
      </c>
      <c r="I83" s="44" t="inlineStr">
        <is>
          <t>1</t>
        </is>
      </c>
      <c r="J83" s="45" t="inlineStr">
        <is>
          <t>✅ คำตอบที่ถูกต้อง: ข้อ ก. ไม!มีเภสัชกรที่ รพ.สต.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ไม!มีเภสัชกรที่ รพ.สต. การเลือก ไม!มีเภสัชกรที่ รพ.สต.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(ไม!มีการบันทึกประวัติแพยา): การไม่มีการบันทึกประวัติแพ้ยาเป็นปัญหาเรื่องความปลอดภัย แต่อาการกำเริบของหัวใจล้มเหลวจาก NSAIDs เป็นผลข้างเคียงจากกลไกทางเภสัชวิทยา ไม่ใช่การแพ้ยา
• ข้อ ค. (เจาหนาที่ขาดความรูความสามารถ): การระบุว่าเจ้าหน้าที่ขาดความรู้เป็นการสรุปที่กว้างเกินไป ปัญหาหลักในกรณีนี้เกิดจากความบกพร่องเชิงระบบในการเชื่อมโยงข้อมูลสุขภาพ
• ข้อ ง. (ระบบการส!งต!อขอมูลผูป%วยยังไม!ดีพอ): ระบบการส่งต่อข้อมูลผู้ป่วยที่ไม่เชื่อมโยงกันทำให้ รพ.สต. ไม่ทราบประวัติโรคหัวใจล้มเหลว จึงจ่ายยา Ibuprofen ที่ทำให้เกิดการคั่งของน้ำและโซเดียม
• ข้อ จ. (ระบบคอมพิวเตอรTไม!ดี ไม!มีประวัติผูป%วย): ระบบคอมพิวเตอร์ที่ไม่มีประวัติผู้ป่วยเป็นเพียงส่วนหนึ่งของปัญหา แต่ประเด็นสำคัญคือความล้มเหลวของระบบข้อมูลร่วมเครือข่ายในการดูแลผู้ป่วยต่อเนื่อง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83" s="46" t="n"/>
      <c r="L83" s="45" t="inlineStr">
        <is>
          <t>Hypertension</t>
        </is>
      </c>
      <c r="M83" s="46" t="inlineStr">
        <is>
          <t>Clinic</t>
        </is>
      </c>
      <c r="N83" s="45" t="inlineStr">
        <is>
          <t>ข้อ 8 (PLE_CC1_2561_Key.md)</t>
        </is>
      </c>
      <c r="O83" s="46" t="inlineStr">
        <is>
          <t>ข้อสอบจริง</t>
        </is>
      </c>
      <c r="P83" s="46" t="inlineStr">
        <is>
          <t>ปี 2561</t>
        </is>
      </c>
    </row>
    <row r="84" ht="409.6" customHeight="1" s="37">
      <c r="A84" s="44" t="n">
        <v>82</v>
      </c>
      <c r="B84" s="45" t="inlineStr">
        <is>
          <t>ยาในข้อใดมีผลทำให(เกิด proteinuria hypophosphatemia glycosuria hypokalemia hypocalcaemia และ bicarbonate wasting is't salty</t>
        </is>
      </c>
      <c r="C84" s="46" t="n"/>
      <c r="D84" s="45" t="inlineStr">
        <is>
          <t>Acyclovir</t>
        </is>
      </c>
      <c r="E84" s="45" t="inlineStr">
        <is>
          <t>Tenofovir</t>
        </is>
      </c>
      <c r="F84" s="45" t="inlineStr">
        <is>
          <t>Amoxicillin</t>
        </is>
      </c>
      <c r="G84" s="45" t="inlineStr">
        <is>
          <t>Doxycycline</t>
        </is>
      </c>
      <c r="H84" s="45" t="inlineStr">
        <is>
          <t>Clindamycin</t>
        </is>
      </c>
      <c r="I84" s="44" t="inlineStr">
        <is>
          <t>1</t>
        </is>
      </c>
      <c r="J84" s="45" t="inlineStr">
        <is>
          <t>✅ คำตอบที่ถูกต้อง: ข้อ ก. Acyclovir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(Tenofovir): Tenofovir เป็นยาต้านไวรัสที่มีความเสี่ยงก่อให้เกิดพิษต่อท่อไต (Proximal renal tubular dysfunction) ส่งผลให้เกิด Fanconi syndrome และอาการตามโจทย์ทั้งหมด
• ข้อ ค. (Amoxicillin): Amoxicillin เป็นยาปฏิชีวนะกลุ่ม Penicillin ที่ค่อนข้างปลอดภัยต่อไต ยกเว้นกรณีเกิด Acute interstitial nephritis (AIN) ซึ่งอาการจะไม่เหมือนในโจทย์
• ข้อ ง. (Doxycycline): Doxycycline เป็นยาที่ขับออกทางตับและอุจจาระเป็นหลัก ไม่เป็นพิษต่อไต แต่หากใช้ยาที่หมดอายุอาจทำให้เกิด Fanconi syndrome ได้
• ข้อ จ. (Clindamycin): Clindamycin ไม่มีความสัมพันธ์กับพิษต่อท่อไตและไม่มีผลทำให้เกิดการสูญเสียเกลือแร่หรือโปรตีนทางปัสสาวะในลักษณะดังกล่า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4" s="46" t="n"/>
      <c r="L84" s="45" t="inlineStr">
        <is>
          <t>Hypertension</t>
        </is>
      </c>
      <c r="M84" s="46" t="inlineStr">
        <is>
          <t>Clinic</t>
        </is>
      </c>
      <c r="N84" s="45" t="inlineStr">
        <is>
          <t>ข้อ 67 (PLE_CC1_2561_Key.md)</t>
        </is>
      </c>
      <c r="O84" s="46" t="inlineStr">
        <is>
          <t>ข้อสอบจริง</t>
        </is>
      </c>
      <c r="P84" s="46" t="inlineStr">
        <is>
          <t>ปี 2561</t>
        </is>
      </c>
    </row>
    <row r="85" ht="409.6" customHeight="1" s="37">
      <c r="A85" s="44" t="n">
        <v>83</v>
      </c>
      <c r="B85" s="45" t="inlineStr">
        <is>
          <t>ข้อใดคือกลไกการออกฤทธิ์ของยา amlodipine</t>
        </is>
      </c>
      <c r="C85" s="46" t="n"/>
      <c r="D85" s="45" t="inlineStr">
        <is>
          <t>ยับยั้ง renin</t>
        </is>
      </c>
      <c r="E85" s="45" t="inlineStr">
        <is>
          <t>ยับยั้ง calcium channel</t>
        </is>
      </c>
      <c r="F85" s="45" t="inlineStr">
        <is>
          <t>ยับยั้ง beta-2 adrenergic receptor</t>
        </is>
      </c>
      <c r="G85" s="45" t="inlineStr">
        <is>
          <t>ยับยั้ง alpha-1 adrenergic receptor</t>
        </is>
      </c>
      <c r="H85" s="45" t="inlineStr">
        <is>
          <t>ยับยั้ง angiotensin converting enzyme</t>
        </is>
      </c>
      <c r="I85" s="44" t="inlineStr">
        <is>
          <t>1</t>
        </is>
      </c>
      <c r="J85" s="45" t="inlineStr">
        <is>
          <t>✅ คำตอบที่ถูกต้อง: ข้อ ก. ยับยั้ง renin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 renin การเลือก ยับยั้ง renin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(ยับยั้ง renin): ยาที่ยับยั้ง Renin คือยา Aliskiren ซึ่งออกฤทธิ์โดยตรงที่ Direct Renin Inhibitor เพื่อลดการสร้าง Angiotensin I
• ข้อ ค. (ยับยั้ง beta-2 adrenergic receptor): ยาที่ยับยั้ง Beta-2 adrenergic receptor คือกลุ่ม Non-selective beta blockers เช่น Propranolol ไม่ใช่ Amlodipine
• ข้อ ง. (ยับยั้ง alpha-1 adrenergic receptor): ยาที่ยับยั้ง Alpha-1 adrenergic receptor คือยากลุ่ม Alpha-blockers เช่น Doxazosin หรือ Prazosin ที่ใช้ลดความดันและรักษาต่อมลูกหมากโต
• ข้อ จ. (ยับยั้ง angiotensin converting enzyme): ยาที่ยับยั้ง Angiotensin converting enzyme คือยากลุ่ม ACEIs เช่น Enalapril หรือ Lisinopril ไม่ใช่กลุ่ม CCBs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5" s="46" t="n"/>
      <c r="L85" s="45" t="inlineStr">
        <is>
          <t>Hypertension</t>
        </is>
      </c>
      <c r="M85" s="46" t="inlineStr">
        <is>
          <t>Clinic</t>
        </is>
      </c>
      <c r="N85" s="45" t="inlineStr">
        <is>
          <t>ข้อ 97 (PLE_CC1_2561_Key.md)</t>
        </is>
      </c>
      <c r="O85" s="46" t="inlineStr">
        <is>
          <t>ข้อสอบจริง</t>
        </is>
      </c>
      <c r="P85" s="46" t="inlineStr">
        <is>
          <t>ปี 2561</t>
        </is>
      </c>
    </row>
    <row r="86" ht="409.6" customHeight="1" s="37">
      <c r="A86" s="44" t="n">
        <v>84</v>
      </c>
      <c r="B86" s="45" t="inlineStr">
        <is>
          <t>คนไข้คนใหม่ กิน Aspirin แล้วปวดท้อง จะต้องปรับปรุงสูตรต้ารับ โดยใช้สารเคลือบอะไร</t>
        </is>
      </c>
      <c r="C86" s="46" t="n"/>
      <c r="D86" s="45" t="inlineStr">
        <is>
          <t>Hypromellose</t>
        </is>
      </c>
      <c r="E86" s="45" t="inlineStr">
        <is>
          <t>Hydroxyproyl methylcellulose pthalate</t>
        </is>
      </c>
      <c r="F86" s="45" t="inlineStr">
        <is>
          <t>Methyl cellulose</t>
        </is>
      </c>
      <c r="G86" s="45" t="inlineStr">
        <is>
          <t>Ethyl cellulose</t>
        </is>
      </c>
      <c r="H86" s="45" t="inlineStr">
        <is>
          <t>amino methacrylate copolymer</t>
        </is>
      </c>
      <c r="I86" s="44" t="inlineStr">
        <is>
          <t>1</t>
        </is>
      </c>
      <c r="J86" s="45" t="inlineStr">
        <is>
          <t>✅ คำตอบที่ถูกต้อง: ข้อ ก. Hypromellose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Hypromellose การเลือก Hypromellose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(Hypromellose): Hypromellose เป็นสารเคลือบฟิล์มชนิดละลายน้ำได้ในกระเพาะอาหาร (Film coating) ไม่สามารถป้องกันการระคายเคืองกระเพาะอาหารจาก Aspirin ได้
• ข้อ ค. (Methyl cellulose): Methyl cellulose ละลายน้ำได้ดีและใช้เป็นสารเพิ่มความหนืดหรือเคลือบฟิล์มทั่วไป ไม่ใช่สารเคลือบชนิด Enteric-coated
• ข้อ ง. (Ethyl cellulose): Ethyl cellulose เป็นสารโพลิเมอร์ที่ไม่ละลายน้ำ มักใช้สำหรับทำยาควบคุมการปลดปล่อย (Sustained-release) ไม่ใช่ Enteric-coated
• ข้อ จ. (amino methacrylate copolymer): Amino methacrylate copolymer (เช่น Eudragit E) ละลายได้ในกรด จึงไม่สามารถปกป้องตัวยาจากการแตกตัวในกระเพาะอาหารได้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6" s="46" t="n"/>
      <c r="L86" s="45" t="inlineStr">
        <is>
          <t>Hypertension</t>
        </is>
      </c>
      <c r="M86" s="46" t="inlineStr">
        <is>
          <t>Clinic</t>
        </is>
      </c>
      <c r="N86" s="45" t="inlineStr">
        <is>
          <t>ข้อ 7 (PLE_CC1_2560 22 April Set 1.md)</t>
        </is>
      </c>
      <c r="O86" s="46" t="inlineStr">
        <is>
          <t>ข้อสอบจริง</t>
        </is>
      </c>
      <c r="P86" s="46" t="inlineStr">
        <is>
          <t>ปี 2560</t>
        </is>
      </c>
    </row>
    <row r="87" ht="409.6" customHeight="1" s="37">
      <c r="A87" s="44" t="n">
        <v>85</v>
      </c>
      <c r="B87" s="45" t="inlineStr">
        <is>
          <t>เกิด Angioedema จาก Enalapril ควรท้าอย่างไร</t>
        </is>
      </c>
      <c r="C87" s="46" t="n"/>
      <c r="D87" s="45" t="inlineStr">
        <is>
          <t>เปลี่ยนเป็น Lisinopril</t>
        </is>
      </c>
      <c r="E87" s="45" t="inlineStr">
        <is>
          <t>เปลี่ยนเป็น Candesartan</t>
        </is>
      </c>
      <c r="F87" s="45" t="inlineStr">
        <is>
          <t>ใช้ Enalapril ต่อ เดี๋ยวอาการจะดีขึ น พร้อมติดตามอย่างใกล้ชิด</t>
        </is>
      </c>
      <c r="G87" s="45" t="inlineStr">
        <is>
          <t>ลดขนาดยา Enalapril</t>
        </is>
      </c>
      <c r="H87" s="45" t="inlineStr">
        <is>
          <t>หยุดยาจนหาย แล้วค่อยลองใช้อีกครั ง ร่วมกับต้องติดตามอย่างใกล้ชิด</t>
        </is>
      </c>
      <c r="I87" s="44" t="inlineStr">
        <is>
          <t>1</t>
        </is>
      </c>
      <c r="J87" s="45" t="inlineStr">
        <is>
          <t>✅ คำตอบที่ถูกต้อง: ข้อ ก. เปลี่ยนเป็น Lisinopril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Lisinopril การเลือก เปลี่ยนเป็น Lisinopril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(เปลี่ยนเป็น Candesartan): Candesartan เป็นยากลุ่ม ARBs ซึ่งมีโอกาสเกิด Cross-reactivity ของ Angioedema ต่ำมาก จึงเป็นทางเลือกที่เหมาะสมหากจำเป็นต้องใช้ยาลดความดันที่ยับยั้งระบบ RAAS
• ข้อ ค. (ใช้ Enalapril ต่อ เดี๋ยวอาการจะดีขึ น พร้อมติดตามอย่างใกล้ชิด): Angioedema เป็นภาวะฉุกเฉินที่อาจอุดกั้นทางเดินหายใจ การใช้ยาต่ออาจทำให้ผู้ป่วยเสียชีวิตได้ จึงห้ามใช้ยาในกลุ่ม ACEIs ทุกชนิดโดยเด็ดขาด
• ข้อ ง. (ลดขนาดยา Enalapril): การลดขนาดยาไม่ช่วยป้องกันการเกิด Angioedema เนื่องจากเป็นปฏิกิริยาที่ไม่ขึ้นกับขนาดยา (Idiosyncratic/Bradykinin-mediated) ต้องหยุดยาถาวร
• ข้อ จ. (หยุดยาจนหาย แล้วค่อยลองใช้อีกครั ง ร่วมกับต้องติดตามอย่างใกล้ชิด): Angioedema ถือเป็นข้อห้ามใช้เด็ดขาด (Absolute contraindication) ห้ามกลับมาลองใช้ยากลุ่ม ACEIs ซ้ำอีกในทุกกรณี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87" s="46" t="n"/>
      <c r="L87" s="45" t="inlineStr">
        <is>
          <t>Hypertension</t>
        </is>
      </c>
      <c r="M87" s="46" t="inlineStr">
        <is>
          <t>Clinic</t>
        </is>
      </c>
      <c r="N87" s="45" t="inlineStr">
        <is>
          <t>ข้อ 3 (PLE_CC1_2560 22 April Set 1.md)</t>
        </is>
      </c>
      <c r="O87" s="46" t="inlineStr">
        <is>
          <t>ข้อสอบจริง</t>
        </is>
      </c>
      <c r="P87" s="46" t="inlineStr">
        <is>
          <t>ปี 2560</t>
        </is>
      </c>
    </row>
    <row r="88" ht="409.6" customHeight="1" s="37">
      <c r="A88" s="44" t="n">
        <v>86</v>
      </c>
      <c r="B88" s="45" t="inlineStr">
        <is>
          <t>ข้อใดเป็นอาการไม่พึงประสงค์ของยา enalapril</t>
        </is>
      </c>
      <c r="C88" s="46" t="n"/>
      <c r="D88" s="45" t="inlineStr">
        <is>
          <t>Hepatotoxicity</t>
        </is>
      </c>
      <c r="E88" s="45" t="inlineStr">
        <is>
          <t>Tachycardia</t>
        </is>
      </c>
      <c r="F88" s="45" t="inlineStr">
        <is>
          <t>Seizure</t>
        </is>
      </c>
      <c r="G88" s="45" t="inlineStr">
        <is>
          <t>Hyperkalemia รวมโดย Phongsathorn Phlaisaithong Rx 9 UP 10 | P a g e</t>
        </is>
      </c>
      <c r="H88" s="45" t="inlineStr">
        <is>
          <t>Parkinsonism</t>
        </is>
      </c>
      <c r="I88" s="44" t="inlineStr">
        <is>
          <t>1</t>
        </is>
      </c>
      <c r="J88" s="45" t="inlineStr">
        <is>
          <t>✅ คำตอบที่ถูกต้อง: ข้อ ก. Hepatotoxicity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Hepatotoxicity การเลือก Hepatotoxicity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(Hepatotoxicity): Hepatotoxicity พบได้น้อยมากจากการใช้ Enalapril ยาไม่มีความเสี่ยงหลักในการทำลายตับเหมือนยากลุ่ม Statins หรือยากันชักบางชนิด
• ข้อ ข. (Tachycardia): Enalapril ไม่ทำให้เกิด Tachycardia โดยตรง แต่อาจลดความดันเลือดแล้วเกิด Reflex tachycardia ได้เล็กน้อย ไม่ใช่อาการข้างเคียงหลัก
• ข้อ ค. (Seizure): การชัก (Seizure) ไม่ใช่อาการข้างเคียงของยา Enalapril ยกเว้นในกรณีที่เกิดจากความผิดปกติของเกลือแร่รุนแรงที่สืบเนื่องมา
• ข้อ จ. (Parkinsonism): Parkinsonism เป็นผลข้างเคียงของยาที่ปิดกั้นตัวรับ Dopamine เช่น Haloperidol หรือ Metoclopramide ยา Enalapril ไม่มีกลไกนี้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88" s="46" t="n"/>
      <c r="L88" s="45" t="inlineStr">
        <is>
          <t>Hypertension</t>
        </is>
      </c>
      <c r="M88" s="46" t="inlineStr">
        <is>
          <t>Clinic</t>
        </is>
      </c>
      <c r="N88" s="45" t="inlineStr">
        <is>
          <t>ข้อ 4 (PLE_CC1_2560 22 April Set 1.md)</t>
        </is>
      </c>
      <c r="O88" s="46" t="inlineStr">
        <is>
          <t>ข้อสอบจริง</t>
        </is>
      </c>
      <c r="P88" s="46" t="inlineStr">
        <is>
          <t>ปี 2560</t>
        </is>
      </c>
    </row>
    <row r="89" ht="409.6" customHeight="1" s="37">
      <c r="A89" s="44" t="n">
        <v>87</v>
      </c>
      <c r="B89" s="45" t="inlineStr">
        <is>
          <t>ในการผลิตระดับอุตสาหกรรม ต้องใช้น ้าอะไร ในการผลิต Furosemide injection</t>
        </is>
      </c>
      <c r="C89" s="46" t="n"/>
      <c r="D89" s="45" t="inlineStr">
        <is>
          <t>Purified water</t>
        </is>
      </c>
      <c r="E89" s="45" t="inlineStr">
        <is>
          <t>Water for injection USP</t>
        </is>
      </c>
      <c r="F89" s="45" t="inlineStr">
        <is>
          <t>Sterile water for injection USP</t>
        </is>
      </c>
      <c r="G89" s="45" t="inlineStr">
        <is>
          <t>Steril water for irrigation USP</t>
        </is>
      </c>
      <c r="H89" s="45" t="inlineStr">
        <is>
          <t>Bacteriostatic water for injection USP</t>
        </is>
      </c>
      <c r="I89" s="44" t="inlineStr">
        <is>
          <t>1</t>
        </is>
      </c>
      <c r="J89" s="45" t="inlineStr">
        <is>
          <t>✅ คำตอบที่ถูกต้อง: ข้อ ก. Purified water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Purified water การเลือก Purified water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(Purified water): Purified water เป็นน้ำบริสุทธิ์ที่ยังไม่มีการควบคุมปราศจากเชื้อ (Sterility) และ Endotoxin ไม่สามารถใช้ผลิตยาฉีดได้
• ข้อ ค. (Sterile water for injection USP): Sterile water for injection เป็นน้ำที่ทำให้ปราศจากเชื้อแล้ว มักใช้สำหรับละลายยาผงในโรงพยาบาล แต่ในการผลิตระดับอุตสาหกรรมมักใช้ WFI ตามมาตรฐาน GMP
• ข้อ ง. (Steril water for irrigation USP): Sterile water for irrigation ใช้สำหรับชำระล้างบาดแผลหรือช่องท้อง ไม่ได้ผลิตตามมาตรฐานหรือบรรจุในรูปแบบที่เหมาะสมสำหรับนำมาผสมยาฉีด
• ข้อ จ. (Bacteriostatic water for injection USP): Bacteriostatic water for injection มีส่วนผสมของสารกันเสีย (เช่น Benzyl alcohol) ซึ่งอาจทำปฏิกิริยากับตัวยาและมีข้อห้ามใช้ในเด็กทารกแรกเกิด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89" s="46" t="n"/>
      <c r="L89" s="45" t="inlineStr">
        <is>
          <t>Hypertension</t>
        </is>
      </c>
      <c r="M89" s="46" t="inlineStr">
        <is>
          <t>Clinic</t>
        </is>
      </c>
      <c r="N89" s="45" t="inlineStr">
        <is>
          <t>ข้อ 8 (PLE_CC1_2560 22 April Set 1.md)</t>
        </is>
      </c>
      <c r="O89" s="46" t="inlineStr">
        <is>
          <t>ข้อสอบจริง</t>
        </is>
      </c>
      <c r="P89" s="46" t="inlineStr">
        <is>
          <t>ปี 2560</t>
        </is>
      </c>
    </row>
    <row r="90" ht="409.6" customHeight="1" s="37">
      <c r="A90" s="44" t="n">
        <v>88</v>
      </c>
      <c r="B90" s="45" t="inlineStr">
        <is>
          <t>ยาใดท้าให้ Hyperkalemia</t>
        </is>
      </c>
      <c r="C90" s="46" t="n"/>
      <c r="D90" s="45" t="inlineStr">
        <is>
          <t>Aspirin</t>
        </is>
      </c>
      <c r="E90" s="45" t="inlineStr">
        <is>
          <t>Moduretic</t>
        </is>
      </c>
      <c r="F90" s="45" t="inlineStr">
        <is>
          <t>Glipizide รวมโดย Phongsathorn Phlaisaithong Rx 9 UP 13 | P a g e</t>
        </is>
      </c>
      <c r="G90" s="45" t="inlineStr">
        <is>
          <t>Amlodipine</t>
        </is>
      </c>
      <c r="H90" s="45" t="inlineStr">
        <is>
          <t>Omeprazole</t>
        </is>
      </c>
      <c r="I90" s="44" t="inlineStr">
        <is>
          <t>1</t>
        </is>
      </c>
      <c r="J90" s="45" t="inlineStr">
        <is>
          <t>✅ คำตอบที่ถูกต้อง: ข้อ ก. Aspirin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ก. (Aspirin): Aspirin เป็นยาต้านเกล็ดเลือด ไม่มีผลทางเภสัชวิทยาที่ทำให้ระดับโพแทสเซียมในเลือดสูงขึ้นแต่อย่างใด
• ข้อ ค. (Glipizide รวมโดย Phongsathorn Phlaisaithong Rx 9 UP 13 | P a g e): Glipizide เป็นยาลดน้ำตาลในเลือดกลุ่ม Sulfonylurea ออกฤทธิ์กระตุ้นการหลั่งอินซูลิน ซึ่งอินซูลินมีผลดึงโพแทสเซียมเข้าเซลล์ จึงไม่ทำให้โพแทสเซียมสูง
• ข้อ ง. (Amlodipine): Amlodipine เป็นยาปิดกั้นช่องแคลเซียม ไม่มีผลต่อระบบ RAAS หรือการขับทิ้งโพแทสเซียมทางไต จึงไม่ทำให้เกิด Hyperkalemia
• ข้อ จ. (Omeprazole): Omeprazole เป็นยาลดกรดที่อาจทำให้เกิดภาวะแมกนีเซียมในเลือดต่ำหากใช้นาน ไม่มีฤทธิ์ทำให้โพแทสเซียมคั่งในร่างกาย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0" s="46" t="n"/>
      <c r="L90" s="45" t="inlineStr">
        <is>
          <t>Hypertension</t>
        </is>
      </c>
      <c r="M90" s="46" t="inlineStr">
        <is>
          <t>Clinic</t>
        </is>
      </c>
      <c r="N90" s="45" t="inlineStr">
        <is>
          <t>ข้อ 1 (PLE_CC1_2560 22 April Set 1.md)</t>
        </is>
      </c>
      <c r="O90" s="46" t="inlineStr">
        <is>
          <t>ข้อสอบจริง</t>
        </is>
      </c>
      <c r="P90" s="46" t="inlineStr">
        <is>
          <t>ปี 2560</t>
        </is>
      </c>
    </row>
    <row r="91" ht="409.6" customHeight="1" s="37">
      <c r="A91" s="44" t="n">
        <v>89</v>
      </c>
      <c r="B91" s="45" t="inlineStr">
        <is>
          <t>หลังจากหยุดยาที่เป็นสาเหตุแล้วจะจัดการภาวะ hyperkalemia ในผู้ป่วยรายนี อย่างไร</t>
        </is>
      </c>
      <c r="C91" s="46" t="n"/>
      <c r="D91" s="45" t="inlineStr">
        <is>
          <t>ฉีด Insulin</t>
        </is>
      </c>
      <c r="E91" s="45" t="inlineStr">
        <is>
          <t>พ่น Salbutamol</t>
        </is>
      </c>
      <c r="F91" s="45" t="inlineStr">
        <is>
          <t>ฉีด Calcium gluconate</t>
        </is>
      </c>
      <c r="G91" s="45" t="inlineStr">
        <is>
          <t>ไปฟอกไต</t>
        </is>
      </c>
      <c r="H91" s="45" t="inlineStr">
        <is>
          <t>ไม่ต้องใช้ยารักษาอะไร</t>
        </is>
      </c>
      <c r="I91" s="44" t="inlineStr">
        <is>
          <t>1</t>
        </is>
      </c>
      <c r="J91" s="45" t="inlineStr">
        <is>
          <t>✅ คำตอบที่ถูกต้อง: ข้อ ก. ฉีด Insulin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ฉีด Insulin การเลือก ฉีด Insulin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(พ่น Salbutamol): การพ่น Salbutamol สามารถกระตุ้น Beta-2 receptor เพื่อดึงโพแทสเซียมเข้าเซลล์ได้ แต่ผลไม่คงทนและใช้เป็นเพียงการรักษาเสริม ไม่ใช่กลไกหลักในการกำจัดโพแทสเซียม
• ข้อ ค. (ฉีด Calcium gluconate): Calcium gluconate ไม่ได้ช่วยลดระดับโพแทสเซียมในเลือด แต่ใช้เพื่อปกป้องกล้ามเนื้อหัวใจจากภาวะหัวใจเต้นผิดจังหวะ (Cardioprotective) เป็นยาฉุกเฉินตัวแรก
• ข้อ ง. (ไปฟอกไต): การฟอกไต (Hemodialysis) เป็นวิธีที่มีประสิทธิภาพสูงสุดในการนำโพแทสเซียมออก แต่ใช้ในกรณีฉุกเฉินรุนแรงที่ดื้อต่อยา หรือไตวายรุนแรงเท่านั้น ไม่ใช่วิธีจัดการลำดับแรก
• ข้อ จ. (ไม่ต้องใช้ยารักษาอะไร): ภาวะ Hyperkalemia เป็นภาวะอันตรายถึงชีวิตที่ต้องได้รับการดูแลรักษาเพื่อป้องกันหัวใจเต้นผิดจังหวะ การเพิกเฉยอาจทำให้เกิด Cardiac arrest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1" s="46" t="n"/>
      <c r="L91" s="45" t="inlineStr">
        <is>
          <t>Hypertension</t>
        </is>
      </c>
      <c r="M91" s="46" t="inlineStr">
        <is>
          <t>Clinic</t>
        </is>
      </c>
      <c r="N91" s="45" t="inlineStr">
        <is>
          <t>ข้อ 4 (PLE_CC1_2560 22 April Set 1.md)</t>
        </is>
      </c>
      <c r="O91" s="46" t="inlineStr">
        <is>
          <t>ข้อสอบจริง</t>
        </is>
      </c>
      <c r="P91" s="46" t="inlineStr">
        <is>
          <t>ปี 2560</t>
        </is>
      </c>
    </row>
    <row r="92" ht="409.6" customHeight="1" s="37">
      <c r="A92" s="44" t="n">
        <v>90</v>
      </c>
      <c r="B92" s="45" t="inlineStr">
        <is>
          <t>Lab ใดที่ไม่บ่งบอกภาวะ Iron deficiency anemia</t>
        </is>
      </c>
      <c r="C92" s="46" t="n"/>
      <c r="D92" s="45" t="inlineStr">
        <is>
          <t>MCV</t>
        </is>
      </c>
      <c r="E92" s="45" t="inlineStr">
        <is>
          <t>Ferritin</t>
        </is>
      </c>
      <c r="F92" s="45" t="inlineStr">
        <is>
          <t>TSAT</t>
        </is>
      </c>
      <c r="G92" s="45" t="inlineStr">
        <is>
          <t>TIBC</t>
        </is>
      </c>
      <c r="H92" s="45" t="inlineStr">
        <is>
          <t>Reticulocyte count</t>
        </is>
      </c>
      <c r="I92" s="44" t="inlineStr">
        <is>
          <t>1</t>
        </is>
      </c>
      <c r="J92" s="45" t="inlineStr">
        <is>
          <t>✅ คำตอบที่ถูกต้อง: ข้อ ก. MCV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MCV การเลือก MCV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(Ferritin): Ferritin เป็นโปรตีนสะสมธาตุเหล็ก ค่าจะต่ำลงในภาวะ Iron deficiency anemia จึงใช้เป็นตัวบ่งชี้หลักที่แม่นยำที่สุด
• ข้อ ค. (TSAT): Transferrin saturation (TSAT) คือความอิ่มตัวของโปรตีนขนส่งเหล็ก ซึ่งจะต่ำกว่า 20% ในภาวะขาดธาตุเหล็ก
• ข้อ ง. (TIBC): Total iron-binding capacity (TIBC) คือความจุของโปรตีนที่ขนส่งเหล็ก ในภาวะขาดเหล็กร่างกายจะสร้างโปรตีนนี้เพิ่มขึ้น ทำให้ค่า TIBC สูงขึ้น
• ข้อ จ. (Reticulocyte count): Reticulocyte count คือปริมาณเม็ดเลือดแดงตัวอ่อน ซึ่งมักจะต่ำในภาวะ Iron deficiency anemia เนื่องจากไขกระดูกขาดวัตถุดิบในการสร้างเลือด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2" s="46" t="n"/>
      <c r="L92" s="45" t="inlineStr">
        <is>
          <t>Hypertension</t>
        </is>
      </c>
      <c r="M92" s="46" t="inlineStr">
        <is>
          <t>Clinic</t>
        </is>
      </c>
      <c r="N92" s="45" t="inlineStr">
        <is>
          <t>ข้อ 6 (PLE_CC1_2560 22 April Set 1.md)</t>
        </is>
      </c>
      <c r="O92" s="46" t="inlineStr">
        <is>
          <t>ข้อสอบจริง</t>
        </is>
      </c>
      <c r="P92" s="46" t="inlineStr">
        <is>
          <t>ปี 2560</t>
        </is>
      </c>
    </row>
    <row r="93" ht="409.6" customHeight="1" s="37">
      <c r="A93" s="44" t="n">
        <v>91</v>
      </c>
      <c r="B93" s="45" t="inlineStr">
        <is>
          <t>ต่อมาคนให้เป็น Acute kidney injury on top CKD มีภาวะ Hyperkalemia ถามว่า ยาใดที่เป็น Ion exchange</t>
        </is>
      </c>
      <c r="C93" s="46" t="n"/>
      <c r="D93" s="45" t="inlineStr">
        <is>
          <t>Calcium polystyrene sulfonate</t>
        </is>
      </c>
      <c r="E93" s="45" t="inlineStr">
        <is>
          <t>Insulin</t>
        </is>
      </c>
      <c r="F93" s="45" t="inlineStr">
        <is>
          <t>Calcium gluconate</t>
        </is>
      </c>
      <c r="G93" s="45" t="inlineStr">
        <is>
          <t>Beta 2 agonist รวมโดย Phongsathorn Phlaisaithong Rx 9 UP 14 | P a g e</t>
        </is>
      </c>
      <c r="H93" s="45" t="inlineStr">
        <is>
          <t>Sodium bicarbonate</t>
        </is>
      </c>
      <c r="I93" s="44" t="inlineStr">
        <is>
          <t>1</t>
        </is>
      </c>
      <c r="J93" s="45" t="inlineStr">
        <is>
          <t>✅ คำตอบที่ถูกต้อง: ข้อ ก. Calcium polystyrene sulfonate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Calcium polystyrene sulfonate การเลือก Calcium polystyrene sulfonate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(Insulin): Insulin ช่วยลดโพแทสเซียมชั่วคราวโดยกระตุ้น Na+/K+-ATPase ดึงโพแทสเซียมเข้าสู่เซลล์ ไม่ใช่กลไกการแลกเปลี่ยนประจุ (Ion exchange) ในลำไส้
• ข้อ ค. (Calcium gluconate): Calcium gluconate ออกฤทธิ์ลด Threshold potential ของกล้ามเนื้อหัวใจเพื่อป้องกันหัวใจเต้นผิดจังหวะ ไม่มีผลในการดึงโพแทสเซียมออกจากร่างกาย
• ข้อ ง. (Beta 2 agonist รวมโดย Phongsathorn Phlaisaithong Rx 9 UP 14 | P a g e): Beta-2 agonist (เช่น Salbutamol) ออกฤทธิ์กระตุ้นตัวรับเพื่อดึงโพแทสเซียมเข้าเซลล์ในระยะเวลาสั้นๆ ไม่ใช่เรซินแลกเปลี่ยนประจุ
• ข้อ จ. (Sodium bicarbonate): Sodium bicarbonate ทำหน้าที่ปรับความเป็นกรดด่างของเลือด เมื่อเลือดเป็นด่างจะดึงโพแทสเซียมเข้าเซลล์ ไม่ใช่กลไกจับกับโพแทสเซียมเพื่อขับทิ้งทางอุจจาระ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3" s="46" t="n"/>
      <c r="L93" s="45" t="inlineStr">
        <is>
          <t>Hypertension</t>
        </is>
      </c>
      <c r="M93" s="46" t="inlineStr">
        <is>
          <t>Clinic</t>
        </is>
      </c>
      <c r="N93" s="45" t="inlineStr">
        <is>
          <t>ข้อ 7 (PLE_CC1_2560 22 April Set 1.md)</t>
        </is>
      </c>
      <c r="O93" s="46" t="inlineStr">
        <is>
          <t>ข้อสอบจริง</t>
        </is>
      </c>
      <c r="P93" s="46" t="inlineStr">
        <is>
          <t>ปี 2560</t>
        </is>
      </c>
    </row>
    <row r="94" ht="409.6" customHeight="1" s="37">
      <c r="A94" s="44" t="n">
        <v>92</v>
      </c>
      <c r="B94" s="45" t="inlineStr">
        <is>
          <t>ข้อใดไม่ใช่ข้อห้ามใช้ของ Ergotamine</t>
        </is>
      </c>
      <c r="C94" s="46" t="n"/>
      <c r="D94" s="45" t="inlineStr">
        <is>
          <t>Hypothyroidism</t>
        </is>
      </c>
      <c r="E94" s="45" t="inlineStr">
        <is>
          <t>Myocardial infarction</t>
        </is>
      </c>
      <c r="F94" s="45" t="inlineStr">
        <is>
          <t>Transient ischemic attack</t>
        </is>
      </c>
      <c r="G94" s="45" t="inlineStr">
        <is>
          <t>Pregnancy</t>
        </is>
      </c>
      <c r="H94" s="45" t="inlineStr">
        <is>
          <t>Poorly controlled hypertension รวมโดย Phongsathorn Phlaisaithong Rx 9 UP 15 | P a g e</t>
        </is>
      </c>
      <c r="I94" s="44" t="inlineStr">
        <is>
          <t>1</t>
        </is>
      </c>
      <c r="J94" s="45" t="inlineStr">
        <is>
          <t>✅ คำตอบที่ถูกต้อง: ข้อ ก. Hypothyroidism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Hypothyroidism การเลือก Hypothyroidism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(Myocardial infarction): Myocardial infarction เป็นข้อห้ามใช้เด็ดขาด เนื่องจากยา Ergotamine มีฤทธิ์บีบหลอดเลือดหัวใจรุนแรง อาจทำให้อาการกล้ามเนื้อหัวใจตายแย่ลง
• ข้อ ค. (Transient ischemic attack): Transient ischemic attack เป็นประวัติโรคหลอดเลือดสมองขาดเลือดชั่วคราว การใช้ Ergotamine อาจทำให้หลอดเลือดสมองหดตัวและเกิดอัมพาตได้
• ข้อ ง. (Pregnancy): Pregnancy เป็นข้อห้ามใช้ เนื่องจากยาเพิ่มการบีบตัวของมดลูก ทำให้เสี่ยงต่อการแท้งบุตรและทารกขาดเลือด
• ข้อ จ. (Poorly controlled hypertension รวมโดย Phongsathorn Phlaisaithong Rx 9 UP 15 | P a g e): Poorly controlled hypertension เป็นข้อห้ามใช้ เพราะยาจะทำให้หลอดเลือดส่วนปลายหดตัวและทำให้ความดันโลหิตสูงวิกฤตได้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4" s="46" t="n"/>
      <c r="L94" s="45" t="inlineStr">
        <is>
          <t>Hypertension</t>
        </is>
      </c>
      <c r="M94" s="46" t="inlineStr">
        <is>
          <t>Clinic</t>
        </is>
      </c>
      <c r="N94" s="45" t="inlineStr">
        <is>
          <t>ข้อ 1 (PLE_CC1_2560 22 April Set 1.md)</t>
        </is>
      </c>
      <c r="O94" s="46" t="inlineStr">
        <is>
          <t>ข้อสอบจริง</t>
        </is>
      </c>
      <c r="P94" s="46" t="inlineStr">
        <is>
          <t>ปี 2560</t>
        </is>
      </c>
    </row>
    <row r="95" ht="409.6" customHeight="1" s="37">
      <c r="A95" s="44" t="n">
        <v>93</v>
      </c>
      <c r="B95" s="45" t="inlineStr">
        <is>
          <t>ข้อใดผิดเกี่ยวกับการรับประทาน Ergotamine</t>
        </is>
      </c>
      <c r="C95" s="46" t="n"/>
      <c r="D95" s="45" t="inlineStr">
        <is>
          <t>รับประทาน 2 เม็ด ทันทีที่มีอาการ</t>
        </is>
      </c>
      <c r="E95" s="45" t="inlineStr">
        <is>
          <t>รอ 1 ชั่วโมง ถ้ายังมีอาการให้ทานเพิ่ม</t>
        </is>
      </c>
      <c r="F95" s="45" t="inlineStr">
        <is>
          <t>รับประทานยาอีก 1 เม็ด หากอาการไม่ดีขึ น ทุก 30 นาที</t>
        </is>
      </c>
      <c r="G95" s="45" t="inlineStr">
        <is>
          <t>รับประทานได้ไม่เกิน 6 เม็ด ต่อการปวด 1 ครั ง</t>
        </is>
      </c>
      <c r="H95" s="45" t="inlineStr">
        <is>
          <t>รับประทานไม่เกิน 10 เม็ด ต่อสัปดาห์</t>
        </is>
      </c>
      <c r="I95" s="44" t="inlineStr">
        <is>
          <t>1</t>
        </is>
      </c>
      <c r="J95" s="45" t="inlineStr">
        <is>
          <t>✅ คำตอบที่ถูกต้อง: ข้อ ก. รับประทาน 2 เม็ด ทันทีที่มีอาการ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 2 เม็ด ทันทีที่มีอาการ การเลือก รับประทาน 2 เม็ด ทันทีที่มีอาการ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(รับประทาน 2 เม็ด ทันทีที่มีอาการ): การรับประทาน 2 เม็ด (หรือ 1-2 เม็ดขึ้นกับขนาดยา) ทันทีที่มีอาการเป็นวิธีมาตรฐานเพื่อระงับอาการปวดไมเกรนอย่างรวดเร็ว
• ข้อ ค. (รับประทานยาอีก 1 เม็ด หากอาการไม่ดีขึ น ทุก 30 นาที): การรับประทานยาอีก 1 เม็ดหากอาการไม่ดีขึ้นสามารถทำได้ทุก 30-60 นาที แต่ต้องไม่เกินขนาดสูงสุดต่อวัน
• ข้อ ง. (รับประทานได้ไม่เกิน 6 เม็ด ต่อการปวด 1 ครั ง): การรับประทานไม่เกิน 6 เม็ดต่อการปวด 1 ครั้ง (หรือต่อวัน) เป็นข้อแนะนำที่ถูกต้องเพื่อป้องกันผลข้างเคียงหลอดเลือดหดตัวรุนแรง (Ergotism)
• ข้อ จ. (รับประทานไม่เกิน 10 เม็ด ต่อสัปดาห์): การรับประทานไม่เกิน 10 เม็ดต่อสัปดาห์เป็นขนาดยาสูงสุดที่ยอมรับได้เพื่อป้องกันการได้รับยาเกินขนาดสะสม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5" s="46" t="n"/>
      <c r="L95" s="45" t="inlineStr">
        <is>
          <t>Hypertension</t>
        </is>
      </c>
      <c r="M95" s="46" t="inlineStr">
        <is>
          <t>Clinic</t>
        </is>
      </c>
      <c r="N95" s="45" t="inlineStr">
        <is>
          <t>ข้อ 2 (PLE_CC1_2560 22 April Set 1.md)</t>
        </is>
      </c>
      <c r="O95" s="46" t="inlineStr">
        <is>
          <t>ข้อสอบจริง</t>
        </is>
      </c>
      <c r="P95" s="46" t="inlineStr">
        <is>
          <t>ปี 2560</t>
        </is>
      </c>
    </row>
    <row r="96" ht="409.6" customHeight="1" s="37">
      <c r="A96" s="44" t="n">
        <v>94</v>
      </c>
      <c r="B96" s="45" t="inlineStr">
        <is>
          <t>โครงสร้างของ Ergotamine ข้อใดถูก</t>
        </is>
      </c>
      <c r="C96" s="46" t="n"/>
      <c r="D96" s="45" t="inlineStr">
        <is>
          <t>มี Chiral carbon 4 ต้าแหน่ง</t>
        </is>
      </c>
      <c r="E96" s="45" t="inlineStr">
        <is>
          <t>ละลายน ้าดี</t>
        </is>
      </c>
      <c r="F96" s="45" t="inlineStr">
        <is>
          <t>pKa = 4.0</t>
        </is>
      </c>
      <c r="G96" s="45" t="inlineStr">
        <is>
          <t>ดูดซึมได้ดี</t>
        </is>
      </c>
      <c r="H96" s="45" t="inlineStr">
        <is>
          <t>เป็น Indole alkaloid</t>
        </is>
      </c>
      <c r="I96" s="44" t="inlineStr">
        <is>
          <t>1</t>
        </is>
      </c>
      <c r="J96" s="45" t="inlineStr">
        <is>
          <t>✅ คำตอบที่ถูกต้อง: ข้อ ก. มี Chiral carbon 4 ต้าแหน่ง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Chiral carbon 4 ต้าแหน่ง การเลือก มี Chiral carbon 4 ต้าแหน่ง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(มี Chiral carbon 4 ต้าแหน่ง): โครงสร้างของ Ergotamine มี Chiral carbon หลายตำแหน่ง แต่ไม่ใช่ลักษณะเด่นหลักทางเภสัชเคมีที่ใช้ในการพิจารณาคุณสมบัติทางคลินิก
• ข้อ ข. (ละลายน ้าดี): Ergotamine ในรูป Base เป็นสารที่ไม่ละลายน้ำ ต้องทำเป็นเกลือ (เช่น Tartrate) จึงจะละลายน้ำได้ดีขึ้นเล็กน้อย
• ข้อ ค. (pKa = 4.0): Ergotamine เป็น Alkaloid ที่มีความเป็นด่าง ค่า pKa จึงอยู่ในช่วงด่างอ่อน ไม่ใช่ 4.0 ซึ่งเป็นค่าของสารที่มีความเป็นกรด
• ข้อ ง. (ดูดซึมได้ดี): การดูดซึมยา Ergotamine ทางระบบทางเดินอาหารต่ำและไม่แน่นอน จึงมักต้องผสมกับ Caffeine เพื่อเพิ่มอัตราและปริมาณการดูดซึม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46" t="n"/>
      <c r="L96" s="45" t="inlineStr">
        <is>
          <t>Hypertension</t>
        </is>
      </c>
      <c r="M96" s="46" t="inlineStr">
        <is>
          <t>Clinic</t>
        </is>
      </c>
      <c r="N96" s="45" t="inlineStr">
        <is>
          <t>ข้อ 3 (PLE_CC1_2560 22 April Set 1.md)</t>
        </is>
      </c>
      <c r="O96" s="46" t="inlineStr">
        <is>
          <t>ข้อสอบจริง</t>
        </is>
      </c>
      <c r="P96" s="46" t="inlineStr">
        <is>
          <t>ปี 2560</t>
        </is>
      </c>
    </row>
    <row r="97" ht="409.6" customHeight="1" s="37">
      <c r="A97" s="44" t="n">
        <v>95</v>
      </c>
      <c r="B97" s="45" t="inlineStr">
        <is>
          <t>เป้าหมายความดันโลหิตของผู้ป่วยรายนี ตาม ADA2016</t>
        </is>
      </c>
      <c r="C97" s="46" t="n"/>
      <c r="D97" s="45" t="inlineStr">
        <is>
          <t>130/80</t>
        </is>
      </c>
      <c r="E97" s="45" t="inlineStr">
        <is>
          <t>140/90</t>
        </is>
      </c>
      <c r="F97" s="45" t="inlineStr">
        <is>
          <t>150/90</t>
        </is>
      </c>
      <c r="G97" s="45" t="inlineStr">
        <is>
          <t>130/70 รวมโดย Phongsathorn Phlaisaithong Rx 9 UP 17 | P a g e</t>
        </is>
      </c>
      <c r="H97" s="45" t="inlineStr">
        <is>
          <t>Losartan 50 mg OD</t>
        </is>
      </c>
      <c r="I97" s="44" t="inlineStr">
        <is>
          <t>1</t>
        </is>
      </c>
      <c r="J97" s="45" t="inlineStr">
        <is>
          <t>✅ คำตอบที่ถูกต้อง: ข้อ ก. 130/80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130/80 การเลือก 130/80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เป้าหมาย 140/90 mmHg เป็นคำแนะนำทั่วไปสำหรับผู้ป่วยเบาหวานที่มีความดันโลหิตสูงและไม่ได้มีความเสี่ยงต่อโรคหลอดเลือดหัวใจ (ASCVD) สูง ตาม ADA
• ข้อ ค. (150/90): 150/90 mmHg เป็นเป้าหมายที่ผ่อนปรน มักใช้ในผู้สูงอายุที่มีสุขภาพอ่อนแอตามแนวทางบางฉบับ ไม่ใช่ค่ามาตรฐานสำหรับผู้ป่วยเบาหวานทั่วไป
• ข้อ ง. (130/70 รวมโดย Phongsathorn Phlaisaithong Rx 9 UP 17 | P a g e): 130/70 mmHg ไม่ใช่ค่าเป้าหมายที่ระบุใน Guideline อย่างเป็นทางการ เป้าหมายล่าง (Diastolic) มักกำหนดที่ 80 mmHg
• ข้อ จ. (Losartan 50 mg OD): Losartan 50 mg OD เป็นชื่อยาและขนาดยา ไม่ใช่เป้าหมายของระดับความดันโลหิต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7" s="46" t="n"/>
      <c r="L97" s="45" t="inlineStr">
        <is>
          <t>Hypertension</t>
        </is>
      </c>
      <c r="M97" s="46" t="inlineStr">
        <is>
          <t>Clinic</t>
        </is>
      </c>
      <c r="N97" s="45" t="inlineStr">
        <is>
          <t>ข้อ 2 (PLE_CC1_2560 22 April Set 1.md)</t>
        </is>
      </c>
      <c r="O97" s="46" t="inlineStr">
        <is>
          <t>ข้อสอบจริง</t>
        </is>
      </c>
      <c r="P97" s="46" t="inlineStr">
        <is>
          <t>ปี 2560</t>
        </is>
      </c>
    </row>
    <row r="98" ht="409.6" customHeight="1" s="37">
      <c r="A98" s="44" t="n">
        <v>96</v>
      </c>
      <c r="B98" s="45" t="inlineStr">
        <is>
          <t>ปัจจัยใดท้าให้ผู้ป่วยได้รับ Aspirin</t>
        </is>
      </c>
      <c r="C98" s="46" t="n"/>
      <c r="D98" s="45" t="inlineStr">
        <is>
          <t>อายุ</t>
        </is>
      </c>
      <c r="E98" s="45" t="inlineStr">
        <is>
          <t>อ้วน</t>
        </is>
      </c>
      <c r="F98" s="45" t="inlineStr">
        <is>
          <t>แอลกอฮอล์</t>
        </is>
      </c>
      <c r="G98" s="45" t="inlineStr">
        <is>
          <t>ไม่ออกก้าลังกาย</t>
        </is>
      </c>
      <c r="H98" s="45" t="inlineStr">
        <is>
          <t>เพศ</t>
        </is>
      </c>
      <c r="I98" s="44" t="inlineStr">
        <is>
          <t>1</t>
        </is>
      </c>
      <c r="J98" s="45" t="inlineStr">
        <is>
          <t>✅ คำตอบที่ถูกต้อง: ข้อ ก. อายุ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อายุ การเลือก อายุ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(อ้วน): ยาต้านเกล็ดเลือดในกลุ่ม P2Y12 inhibitor เช่น Clopidogrel ออกฤทธิ์ยับยั้ง ADP receptor ไม่ใช่กลไกของยาข้อนี้
• ข้อ ค. (แอลกอฮอล์): ยาในกลุ่ม Glycoprotein IIb/IIIa inhibitor เช่น Abciximab ออกฤทธิ์ยับยั้งการเกาะกลุ่มของเกล็ดเลือดในขั้นตอนสุดท้าย ไม่ตรงกับกลไกของ Aspirin
• ข้อ ง. (ไม่ออกก้าลังกาย): Cilostazol ออกฤทธิ์ยับยั้งเอนไซม์ Phosphodiesterase III (PDE3) ทำให้มีการเพิ่มขึ้นของ cAMP ในเกล็ดเลือด ไม่ใช่คำตอบของข้อนี้
• ข้อ จ. (เพศ): Dipyridamole ยับยั้งเอนไซม์ Phosphodiesterase และเพิ่ม adenosine ออกฤทธิ์ขยายหลอดเลือดและต้านเกล็ดเลือด ไม่ใช่กลไกหลักของยาในโจทย์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8" s="46" t="n"/>
      <c r="L98" s="45" t="inlineStr">
        <is>
          <t>Hypertension</t>
        </is>
      </c>
      <c r="M98" s="46" t="inlineStr">
        <is>
          <t>Clinic</t>
        </is>
      </c>
      <c r="N98" s="45" t="inlineStr">
        <is>
          <t>ข้อ 3 (PLE_CC1_2560 22 April Set 1.md)</t>
        </is>
      </c>
      <c r="O98" s="46" t="inlineStr">
        <is>
          <t>ข้อสอบจริง</t>
        </is>
      </c>
      <c r="P98" s="46" t="inlineStr">
        <is>
          <t>ปี 2560</t>
        </is>
      </c>
    </row>
    <row r="99" ht="409.6" customHeight="1" s="37">
      <c r="A99" s="44" t="n">
        <v>97</v>
      </c>
      <c r="B99" s="45" t="inlineStr">
        <is>
          <t>คนไข้น ้าตาลสูงมาก HbA1C 10%, FBS 320 mg/dL, SCr 2 ได้รับ Insulin Mixtard 8-0-4 ac ข้อใด ถูกต้องเกี่ยวกับ Mixtard</t>
        </is>
      </c>
      <c r="C99" s="46" t="n"/>
      <c r="D99" s="45" t="inlineStr">
        <is>
          <t>ออกฤทธิ์ช้ากว่า Glulisine</t>
        </is>
      </c>
      <c r="E99" s="45" t="inlineStr">
        <is>
          <t>ประกอบด้วย NPH 30%, RI 70%</t>
        </is>
      </c>
      <c r="F99" s="45" t="inlineStr">
        <is>
          <t>แก้ไขภาวะ Diabetic ketoacidosis</t>
        </is>
      </c>
      <c r="G99" s="45" t="inlineStr">
        <is>
          <t>เกิด Hypoglycemia น้อยกว่า Lispro</t>
        </is>
      </c>
      <c r="H99" s="45" t="inlineStr">
        <is>
          <t>สามารถฉีดได้ทั ง SC และ IV</t>
        </is>
      </c>
      <c r="I99" s="44" t="inlineStr">
        <is>
          <t>1</t>
        </is>
      </c>
      <c r="J99" s="45"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ส่วนประกอบของ Mixtard คือ NPH 70% และ Regular insulin 30% ทำให้มีการออกฤทธิ์แบบ biphasic ซึ่งไม่ตรงกับสัดส่วนในข้อนี้
• ข้อ ค. (แก้ไขภาวะ Diabetic ketoacidosis): Insulin Mixtard ไม่เหมาะสมในการรักษา DKA เนื่องจากมี NPH ซึ่งดูดซึมช้า การรักษาหลักคือ Regular insulin ทางหลอดเลือดดำ
• ข้อ ง. (เกิด Hypoglycemia น้อยกว่า Lispro): Lispro เป็น rapid-acting insulin ที่มีความเสี่ยงในการเกิด late postprandial hypoglycemia ต่ำกว่า Mixtard
• ข้อ จ. (สามารถฉีดได้ทั ง SC และ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9" s="46" t="n"/>
      <c r="L99" s="45" t="inlineStr">
        <is>
          <t>Hypertension</t>
        </is>
      </c>
      <c r="M99" s="46" t="inlineStr">
        <is>
          <t>Clinic</t>
        </is>
      </c>
      <c r="N99" s="45" t="inlineStr">
        <is>
          <t>ข้อ 5 (PLE_CC1_2560 22 April Set 1.md)</t>
        </is>
      </c>
      <c r="O99" s="46" t="inlineStr">
        <is>
          <t>ข้อสอบจริง</t>
        </is>
      </c>
      <c r="P99" s="46" t="inlineStr">
        <is>
          <t>ปี 2560</t>
        </is>
      </c>
    </row>
    <row r="100" ht="409.6" customHeight="1" s="37">
      <c r="A100" s="44" t="n">
        <v>98</v>
      </c>
      <c r="B100" s="45" t="inlineStr">
        <is>
          <t>ยาในกลุ่มเดียวกันกับ Simvastatin เป็นยาลดไขมันในเลือด ซึ่งอยู่ในบัญชียาหลัก บางครั งอาจต้องใช้ ค่าใช้จ่ายสูง ถามว่า ยาในบัญชียาหลักแห่งชาติ บัญชีใด ต้องท้า Drug use evaluation (DUE)</t>
        </is>
      </c>
      <c r="C100" s="46" t="n"/>
      <c r="D100" s="45" t="inlineStr">
        <is>
          <t>บัญชี ก</t>
        </is>
      </c>
      <c r="E100" s="45" t="inlineStr">
        <is>
          <t>บัญชี ข</t>
        </is>
      </c>
      <c r="F100" s="45" t="inlineStr">
        <is>
          <t>บัญชี ค</t>
        </is>
      </c>
      <c r="G100" s="45" t="inlineStr">
        <is>
          <t>บัญชี ง</t>
        </is>
      </c>
      <c r="H100" s="45" t="inlineStr">
        <is>
          <t>บัญชี จ (2) รวมโดย Phongsathorn Phlaisaithong Rx 9 UP 18 | P a g e</t>
        </is>
      </c>
      <c r="I100" s="44" t="inlineStr">
        <is>
          <t>1</t>
        </is>
      </c>
      <c r="J100" s="45"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แต่ Simvastatin เป็นยาลดไขมันพื้นฐานในบัญชี ก.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รวมโดย Phongsathorn Phlaisaithong Rx 9 UP 18 | P a g e):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0" s="46" t="n"/>
      <c r="L100" s="45" t="inlineStr">
        <is>
          <t>Hypertension</t>
        </is>
      </c>
      <c r="M100" s="46" t="inlineStr">
        <is>
          <t>Clinic</t>
        </is>
      </c>
      <c r="N100" s="45" t="inlineStr">
        <is>
          <t>ข้อ 8 (PLE_CC1_2560 22 April Set 1.md)</t>
        </is>
      </c>
      <c r="O100" s="46" t="inlineStr">
        <is>
          <t>ข้อสอบจริง</t>
        </is>
      </c>
      <c r="P100" s="46" t="inlineStr">
        <is>
          <t>ปี 2560</t>
        </is>
      </c>
    </row>
    <row r="101" ht="409.6" customHeight="1" s="37">
      <c r="A101" s="44" t="n">
        <v>99</v>
      </c>
      <c r="B101" s="45" t="inlineStr">
        <is>
          <t>ADR ของ Enalapril</t>
        </is>
      </c>
      <c r="C101" s="46" t="n"/>
      <c r="D101" s="45" t="inlineStr">
        <is>
          <t>Hyperkalemia</t>
        </is>
      </c>
      <c r="E101" s="45" t="inlineStr">
        <is>
          <t>...</t>
        </is>
      </c>
      <c r="F101" s="45" t="inlineStr">
        <is>
          <t>Empagliflozin 10 mg OD</t>
        </is>
      </c>
      <c r="G101" s="45" t="inlineStr">
        <is>
          <t>Diltiazem 30 mg TID</t>
        </is>
      </c>
      <c r="H101" s="45" t="inlineStr">
        <is>
          <t>Warfarin 3 mg OD (target INR 2.0-3.0)</t>
        </is>
      </c>
      <c r="I101" s="44" t="inlineStr">
        <is>
          <t>1</t>
        </is>
      </c>
      <c r="J101" s="45" t="inlineStr">
        <is>
          <t>✅ คำตอบที่ถูกต้อง: ข้อ ก. Hyperkalemia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Hyperkalemia การเลือก Hyperkalemia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 Empagliflozin เป็นยา SGLT2 inhibitor มีผลข้างเคียงเด่นคือการติดเชื้อที่ระบบสืบพันธุ์และปัสสาวะบ่อย ไม่เกี่ยวข้องกับการเพิ่มระดับโพแทสเซียม
• ข้อ ค. (Empagliflozin 10 mg OD): Diltiazem เป็น Non-DHP CCB มีผลลดอัตราการเต้นของหัวใจ (negative chronotrope) แต่ไม่มีผลทำให้เกิด hyperkalemia โดยตรง
• ข้อ ง. (Diltiazem 30 mg TID): Warfarin เป็นยาต้านการแข็งตัวของเลือด มีผลข้างเคียงหลักคือภาวะเลือดออกผิดปกติ (Bleeding) ไม่เกี่ยวข้องกับความผิดปกติของเกลือแร่
• ข้อ จ. (Warfarin 3 mg OD (target INR 2.0-3.0)): INR เป็นค่าที่ได้จากการปรับมาตรฐานของ PT ใช้เพื่อติดตามประสิทธิภาพของ Warfarin โดยตรง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01" s="46" t="n"/>
      <c r="L101" s="45" t="inlineStr">
        <is>
          <t>Hypertension</t>
        </is>
      </c>
      <c r="M101" s="46" t="inlineStr">
        <is>
          <t>Clinic</t>
        </is>
      </c>
      <c r="N101" s="45" t="inlineStr">
        <is>
          <t>ข้อ 4 (PLE_CC1_2560 22 April Set 2.md)</t>
        </is>
      </c>
      <c r="O101" s="46" t="inlineStr">
        <is>
          <t>ข้อสอบจริง</t>
        </is>
      </c>
      <c r="P101" s="46" t="inlineStr">
        <is>
          <t>ปี 2560</t>
        </is>
      </c>
    </row>
    <row r="102" ht="409.6" customHeight="1" s="37">
      <c r="A102" s="44" t="n">
        <v>100</v>
      </c>
      <c r="B102" s="45" t="inlineStr">
        <is>
          <t>ยาใดทำให้ Hyperkalemia</t>
        </is>
      </c>
      <c r="C102" s="46" t="n"/>
      <c r="D102" s="45" t="inlineStr">
        <is>
          <t>Aspirin</t>
        </is>
      </c>
      <c r="E102" s="45" t="inlineStr">
        <is>
          <t>Moduretic</t>
        </is>
      </c>
      <c r="F102" s="45" t="inlineStr">
        <is>
          <t>Glipizide</t>
        </is>
      </c>
      <c r="G102" s="45" t="inlineStr">
        <is>
          <t>Amlodipine</t>
        </is>
      </c>
      <c r="H102" s="45" t="inlineStr">
        <is>
          <t>Omeprazole</t>
        </is>
      </c>
      <c r="I102" s="44" t="inlineStr">
        <is>
          <t>1</t>
        </is>
      </c>
      <c r="J102" s="45" t="inlineStr">
        <is>
          <t>✅ คำตอบที่ถูกต้อง: ข้อ ก. Aspirin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(Moduretic): Moduretic (Amiloride/HCTZ) มี Amiloride ซึ่งเป็น potassium-sparing diuretic ทำให้เพิ่มความเสี่ยงในการเกิด hyperkalemia
• ข้อ ค. (Glipizide): Glipizide เป็นยาในกลุ่ม Sulfonylurea ออกฤทธิ์กระตุ้นการหลั่งอินซูลิน ไม่มีผลโดยตรงต่อการเพิ่มระดับโพแทสเซียมในเลือด
• ข้อ ง. (Amlodipine): Amlodipine เป็น DHP-CCB มีผลขยายหลอดเลือดแดงส่วนปลาย อาการข้างเคียงหลักคือ peripheral edema แต่ไม่ทำให้เกิด hyperkalemia
• ข้อ จ. (Omeprazole): Omeprazole เป็น PPI มีผลข้างเคียงที่อาจทำให้เกิด hypomagnesemia หากใช้ระยะยาว แต่ไม่เกี่ยวข้องกับ hyperkalemia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2" s="46" t="n"/>
      <c r="L102" s="45" t="inlineStr">
        <is>
          <t>Hypertension</t>
        </is>
      </c>
      <c r="M102" s="46" t="inlineStr">
        <is>
          <t>Clinic</t>
        </is>
      </c>
      <c r="N102" s="45" t="inlineStr">
        <is>
          <t>ข้อ 1 (PLE_CC1_2560 22 April Set 2.md)</t>
        </is>
      </c>
      <c r="O102" s="46" t="inlineStr">
        <is>
          <t>ข้อสอบจริง</t>
        </is>
      </c>
      <c r="P102" s="46" t="inlineStr">
        <is>
          <t>ปี 2560</t>
        </is>
      </c>
    </row>
    <row r="103" ht="409.6" customHeight="1" s="37">
      <c r="A103" s="44" t="n">
        <v>101</v>
      </c>
      <c r="B103" s="45" t="inlineStr">
        <is>
          <t>การจัดการภาวะ Hyperkalemia หลังจากหยุดยาที่เป็นสาเหตุ</t>
        </is>
      </c>
      <c r="C103" s="46" t="n"/>
      <c r="D103" s="45" t="inlineStr">
        <is>
          <t>ฉีด Insulin</t>
        </is>
      </c>
      <c r="E103" s="45" t="inlineStr">
        <is>
          <t>พ่น Salbutamol</t>
        </is>
      </c>
      <c r="F103" s="45" t="inlineStr">
        <is>
          <t>ฉีด Calcium gluconate</t>
        </is>
      </c>
      <c r="G103" s="45" t="inlineStr">
        <is>
          <t>ไปฟอกไต</t>
        </is>
      </c>
      <c r="H103" s="45" t="inlineStr">
        <is>
          <t>ไม่ต้องใช้ยารักษาอะไร</t>
        </is>
      </c>
      <c r="I103" s="44" t="inlineStr">
        <is>
          <t>1</t>
        </is>
      </c>
      <c r="J103" s="45" t="inlineStr">
        <is>
          <t>✅ คำตอบที่ถูกต้อง: ข้อ ก. ฉีด Insulin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ฉีด Insulin การเลือก ฉีด Insulin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(พ่น Salbutamol): Salbutamol (beta-2 agonist) ออกฤทธิ์กระตุ้น Na-K ATPase ทำให้โพแทสเซียมเคลื่อนเข้าสู่เซลล์ ใช้ลดระดับ K ในเลือดได้
• ข้อ ค. (ฉีด Calcium gluconate): Calcium gluconate มีฤทธิ์เพียงแค่ stabilize myocardium membrane ป้องกัน arrhythmia แต่ไม่ช่วยลดระดับโพแทสเซียมในเลือด
• ข้อ ง. (ไปฟอกไต): Furosemide เป็น Loop diuretic เพิ่มการขับ K ออกทางปัสสาวะ สามารถนำมาใช้ลด K ได้หากผู้ป่วยยังมีปัสสาวะ
• ข้อ จ. (ไม่ต้องใช้ยารักษาอะไร): การฟอกเลือดด้วยเครื่องไตเทียม (Hemodialysis) เป็นวิธีที่กำจัด K ออกจากร่างกายได้รวดเร็วและมีประสิทธิภาพสูงสุด ใช้เมื่อการรักษาด้วยยาไม่ได้ผล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3" s="46" t="n"/>
      <c r="L103" s="45" t="inlineStr">
        <is>
          <t>Hypertension</t>
        </is>
      </c>
      <c r="M103" s="46" t="inlineStr">
        <is>
          <t>Clinic</t>
        </is>
      </c>
      <c r="N103" s="45" t="inlineStr">
        <is>
          <t>ข้อ 3 (PLE_CC1_2560 22 April Set 2.md)</t>
        </is>
      </c>
      <c r="O103" s="46" t="inlineStr">
        <is>
          <t>ข้อสอบจริง</t>
        </is>
      </c>
      <c r="P103" s="46" t="inlineStr">
        <is>
          <t>ปี 2560</t>
        </is>
      </c>
    </row>
    <row r="104" ht="409.6" customHeight="1" s="37">
      <c r="A104" s="44" t="n">
        <v>102</v>
      </c>
      <c r="B104" s="45" t="inlineStr">
        <is>
          <t>ยาในกลุ่มเดียวกันกับ Simvastatin เป็นยาลดไขมันในเลือด ซึ่งอยู่ในบัญชียาหลัก บางครั้งอาจ ต้องใช้ค่าใช้จ่ายสูง ถามว่า ยาในบัญชียาหลักแห่งชาติ บัญชีใด ต้องทำ Drug use evaluation (DUE)</t>
        </is>
      </c>
      <c r="C104" s="46" t="n"/>
      <c r="D104" s="45" t="inlineStr">
        <is>
          <t>บัญชี ก</t>
        </is>
      </c>
      <c r="E104" s="45" t="inlineStr">
        <is>
          <t>บัญชี ข</t>
        </is>
      </c>
      <c r="F104" s="45" t="inlineStr">
        <is>
          <t>บัญชี ค</t>
        </is>
      </c>
      <c r="G104" s="45" t="inlineStr">
        <is>
          <t>บัญชี ง</t>
        </is>
      </c>
      <c r="H104" s="45" t="inlineStr">
        <is>
          <t>บัญชี จ (2) 23 MCQ11 2/2560 By CU Rx73 MCQ11 2/2560 By CU Rx73</t>
        </is>
      </c>
      <c r="I104" s="44" t="inlineStr">
        <is>
          <t>1</t>
        </is>
      </c>
      <c r="J104" s="45"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23 MCQ11 2/2560 By CU Rx73 MCQ11 2/2560 By CU Rx73):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4" s="46" t="n"/>
      <c r="L104" s="45" t="inlineStr">
        <is>
          <t>Hypertension</t>
        </is>
      </c>
      <c r="M104" s="46" t="inlineStr">
        <is>
          <t>Clinic</t>
        </is>
      </c>
      <c r="N104" s="45" t="inlineStr">
        <is>
          <t>ข้อ 8 (PLE_CC1_2560 22 April Set 2.md)</t>
        </is>
      </c>
      <c r="O104" s="46" t="inlineStr">
        <is>
          <t>ข้อสอบจริง</t>
        </is>
      </c>
      <c r="P104" s="46" t="inlineStr">
        <is>
          <t>ปี 2560</t>
        </is>
      </c>
    </row>
    <row r="105" ht="409.6" customHeight="1" s="37">
      <c r="A105" s="44" t="n">
        <v>103</v>
      </c>
      <c r="B105" s="45" t="inlineStr">
        <is>
          <t>ข้อใดเป็นคำแนะนำที่ผิด ในการใช้ Minipill ในสตรีให้นมบุตร สำหรับคุมกำเนิด</t>
        </is>
      </c>
      <c r="C105" s="46" t="n"/>
      <c r="D105" s="45" t="inlineStr">
        <is>
          <t>ให้รับประทานยาต่อเนื่อง ไม่ต้องหยุดยา 7 วัน</t>
        </is>
      </c>
      <c r="E105" s="45" t="inlineStr">
        <is>
          <t>อาจมีเลือดออกกระปิบกระปอย</t>
        </is>
      </c>
      <c r="F105" s="45" t="inlineStr">
        <is>
          <t>การใช้ Amoxicillin ไม่มีผลต่อการออกฤทธิ์ของยา</t>
        </is>
      </c>
      <c r="G105" s="45" t="inlineStr">
        <is>
          <t>หากลืมรับประทานยาเกิน 24 ชั่วโมง ยายังมีประสิทธิภาพในการคุมกำเนิดเท่าเดิม</t>
        </is>
      </c>
      <c r="H105" s="45" t="inlineStr">
        <is>
          <t>รับประทานติดต่อกันเป็นระยะเวลานาน อาจทำให้ขาดประจำเดือน</t>
        </is>
      </c>
      <c r="I105" s="44" t="inlineStr">
        <is>
          <t>1</t>
        </is>
      </c>
      <c r="J105" s="45" t="inlineStr">
        <is>
          <t>✅ คำตอบที่ถูกต้อง: ข้อ ก. ให้รับประทานยาต่อเนื่อง ไม่ต้องหยุดยา 7 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ให้รับประทานยาต่อเนื่อง ไม่ต้องหยุดยา 7 วัน การเลือก ให้รับประทานยาต่อเนื่อง ไม่ต้องหยุดยา 7 วัน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(อาจมีเลือดออกกระปิบกระปอย): Spotting หรือเลือดออกกะปริบกะปรอย เป็นผลข้างเคียงที่พบได้บ่อยจาก Minipill ไม่ใช่ข้อห้ามหรือข้อควรระวังหลักที่ต้องหยุดยา
• ข้อ ค. (การใช้ Amoxicillin ไม่มีผลต่อการออกฤทธิ์ของยา): ยาปฏิชีวนะทั่วไปเช่น Amoxicillin ไม่มีผลลดประสิทธิภาพของ Minipill อย่างมีนัยสำคัญทางคลินิก
• ข้อ ง. (หากลืมรับประทานยาเกิน 24 ชั่วโมง ยายังมีประสิทธิภาพในการคุมกำเนิดเท่าเดิม): การลืมรับประทาน Minipill เกิน 3 ชั่วโมง จะทำให้ประสิทธิภาพลดลงอย่างมาก ต้องใช้วิธีคุมกำเนิดอื่นร่วมด้วยทันที
• ข้อ จ. (รับประทานติดต่อกันเป็นระยะเวลานาน อาจทำให้ขาดประจำเดือน): การรับประทานต่อเนื่องเป็นเวลานาน ไม่ได้ทำให้เกิดการขาดประจำเดือนอย่างถาวรหรืออันตรายรุนแรง เป็นเพียงผลจากโปรเจสติน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5" s="46" t="n"/>
      <c r="L105" s="45" t="inlineStr">
        <is>
          <t>Hypertension</t>
        </is>
      </c>
      <c r="M105" s="46" t="inlineStr">
        <is>
          <t>Clinic</t>
        </is>
      </c>
      <c r="N105" s="45" t="inlineStr">
        <is>
          <t>ข้อ 5 (PLE_CC1_2560 22 April Set 2.md)</t>
        </is>
      </c>
      <c r="O105" s="46" t="inlineStr">
        <is>
          <t>ข้อสอบจริง</t>
        </is>
      </c>
      <c r="P105" s="46" t="inlineStr">
        <is>
          <t>ปี 2560</t>
        </is>
      </c>
    </row>
    <row r="106" ht="409.6" customHeight="1" s="37">
      <c r="A106" s="44" t="n">
        <v>104</v>
      </c>
      <c r="B106" s="45" t="inlineStr">
        <is>
          <t>ผู้ป่วยรายนี เป็นโรคภาวะหัวใจล้มเหลวอยู่ใน stage ใด</t>
        </is>
      </c>
      <c r="C106" s="46" t="n"/>
      <c r="D106" s="45" t="inlineStr">
        <is>
          <t>Stage A</t>
        </is>
      </c>
      <c r="E106" s="45" t="inlineStr">
        <is>
          <t>Stage B</t>
        </is>
      </c>
      <c r="F106" s="45" t="inlineStr">
        <is>
          <t>Stage C</t>
        </is>
      </c>
      <c r="G106" s="45" t="inlineStr">
        <is>
          <t>Stage D</t>
        </is>
      </c>
      <c r="H106" s="45" t="inlineStr">
        <is>
          <t>Stage E</t>
        </is>
      </c>
      <c r="I106" s="44" t="inlineStr">
        <is>
          <t>1</t>
        </is>
      </c>
      <c r="J106" s="45" t="inlineStr">
        <is>
          <t>✅ คำตอบที่ถูกต้อง: ข้อ ก. Stage 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Stage A การเลือก Stage 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(Stage B): Stage B หมายถึงผู้ป่วยที่มีความผิดปกติของโครงสร้างหัวใจแล้ว แต่ยังไม่เคยมีอาการของภาวะหัวใจล้มเหลว
• ข้อ ค. (Stage C): Stage C คือผู้ป่วยที่มีความผิดปกติของโครงสร้างหัวใจและเคยหรือกำลังมีอาการของภาวะหัวใจล้มเหลว (Heart Failure symptoms)
• ข้อ ง. (Stage D): Stage D คือผู้ป่วยภาวะหัวใจล้มเหลวระยะสุดท้ายที่ดื้อต่อการรักษา (Refractory) และต้องการการรักษาขั้นสูง (เช่น Heart transplant)
• ข้อ จ. (Stage E): ACC/AHA Guideline แบ่งระยะของ Heart Failure เพียง 4 ระยะ (Stage A ถึง D) ไม่มี Stage E ในระบบการประเมินนี้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6" s="46" t="n"/>
      <c r="L106" s="45" t="inlineStr">
        <is>
          <t>Hypertension</t>
        </is>
      </c>
      <c r="M106" s="46" t="inlineStr">
        <is>
          <t>Clinic</t>
        </is>
      </c>
      <c r="N106" s="45" t="inlineStr">
        <is>
          <t>ข้อ 1 (PLE_CC1_2559.md)</t>
        </is>
      </c>
      <c r="O106" s="46" t="inlineStr">
        <is>
          <t>ข้อสอบจริง</t>
        </is>
      </c>
      <c r="P106" s="46" t="inlineStr">
        <is>
          <t>ปี 2559</t>
        </is>
      </c>
    </row>
    <row r="107" ht="409.6" customHeight="1" s="37">
      <c r="A107" s="44" t="n">
        <v>105</v>
      </c>
      <c r="B107" s="45" t="inlineStr">
        <is>
          <t>การที่ผู้ป่วยได้รับยา warfarin ต้องมีการตรวจติดตามค่าอะไร</t>
        </is>
      </c>
      <c r="C107" s="46" t="n"/>
      <c r="D107" s="45" t="inlineStr">
        <is>
          <t>Prothrombin time</t>
        </is>
      </c>
      <c r="E107" s="45" t="inlineStr">
        <is>
          <t>Activated thromboplastin time</t>
        </is>
      </c>
      <c r="F107" s="45" t="inlineStr">
        <is>
          <t>International normalized ratio</t>
        </is>
      </c>
      <c r="G107" s="45" t="inlineStr">
        <is>
          <t>Heparin anti-factor Xa level</t>
        </is>
      </c>
      <c r="H107" s="45" t="inlineStr">
        <is>
          <t>International sensitivity index</t>
        </is>
      </c>
      <c r="I107" s="44" t="inlineStr">
        <is>
          <t>1</t>
        </is>
      </c>
      <c r="J107" s="45" t="inlineStr">
        <is>
          <t>✅ คำตอบที่ถูกต้อง: ข้อ ก. Prothrombin time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Prothrombin time การเลือก Prothrombin time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(Activated thromboplastin time): Mixtard มีส่วนผสมของ NPH ซึ่งเป็น suspension จึงห้ามบริหารยาทางหลอดเลือดดำ (IV) โดยเด็ดขาด
• ข้อ ค. (International normalized ratio): INR เป็นค่าที่ได้จากการปรับมาตรฐานของ PT ใช้เพื่อติดตามประสิทธิภาพของ Warfarin โดยตรง
• ข้อ ง. (Heparin anti-factor Xa level): Anti-factor Xa level ใช้สำหรับการติดตามประสิทธิภาพของยา Low Molecular Weight Heparin (LMWH) เช่น Enoxaparin
• ข้อ จ. (International sensitivity index):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07" s="46" t="n"/>
      <c r="L107" s="45" t="inlineStr">
        <is>
          <t>Hypertension</t>
        </is>
      </c>
      <c r="M107" s="46" t="inlineStr">
        <is>
          <t>Clinic</t>
        </is>
      </c>
      <c r="N107" s="45" t="inlineStr">
        <is>
          <t>ข้อ 6 (PLE_CC1_2559.md)</t>
        </is>
      </c>
      <c r="O107" s="46" t="inlineStr">
        <is>
          <t>ข้อสอบจริง</t>
        </is>
      </c>
      <c r="P107" s="46" t="inlineStr">
        <is>
          <t>ปี 2559</t>
        </is>
      </c>
    </row>
    <row r="108" ht="409.6" customHeight="1" s="37">
      <c r="A108" s="44" t="n">
        <v>106</v>
      </c>
      <c r="B108" s="45" t="inlineStr">
        <is>
          <t>ข้อใดถูกเกี่ยวกับโครงสร้างของ warfarin</t>
        </is>
      </c>
      <c r="C108" s="46" t="n"/>
      <c r="D108" s="45" t="inlineStr">
        <is>
          <t>Racemic mixture หมุน polarize ไม่ได้</t>
        </is>
      </c>
      <c r="E108" s="45" t="inlineStr">
        <is>
          <t>มี chiral carbon 2 atom</t>
        </is>
      </c>
      <c r="F108" s="45" t="inlineStr">
        <is>
          <t>จากโครงสร้างเป็น S-form</t>
        </is>
      </c>
      <c r="G108" s="45" t="inlineStr">
        <is>
          <t>R-form กับ S-form วัดได้จาก Polarimeter</t>
        </is>
      </c>
      <c r="H108" s="45" t="inlineStr">
        <is>
          <t>R-form กับ S-form ไม่ได้เป็น optical isomer</t>
        </is>
      </c>
      <c r="I108" s="44" t="inlineStr">
        <is>
          <t>1</t>
        </is>
      </c>
      <c r="J108" s="45" t="inlineStr">
        <is>
          <t>✅ คำตอบที่ถูกต้อง: ข้อ ก. Racemic mixture หมุน polarize ไม่ได้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Racemic mixture หมุน polarize ไม่ได้ การเลือก Racemic mixture หมุน polarize ไม่ได้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(มี chiral carbon 2 atom): Warfarin มี chiral center เพียง 1 ตำแหน่งที่คาร์บอนตำแหน่งที่ 4 ทำให้มีเพียง 2 enantiomers คือ R- และ S-warfarin
• ข้อ ค. (จากโครงสร้างเป็น S-form): S-warfarin มีความแรง (potency) มากกว่า R-warfarin ประมาณ 2.7 ถึง 3.8 เท่า และถูกทำลายหลักผ่าน CYP2C9
• ข้อ ง. (R-form กับ S-form วัดได้จาก Polarimeter): S-warfarin มีความแรง (potency) มากกว่า R-warfarin ประมาณ 2.7 ถึง 3.8 เท่า และถูกทำลายหลักผ่าน CYP2C9
• ข้อ จ. (R-form กับ S-form ไม่ได้เป็น optical isomer): S-warfarin มีความแรง (potency) มากกว่า R-warfarin ประมาณ 2.7 ถึง 3.8 เท่า และถูกทำลายหลักผ่าน CYP2C9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08" s="46" t="n"/>
      <c r="L108" s="45" t="inlineStr">
        <is>
          <t>Hypertension</t>
        </is>
      </c>
      <c r="M108" s="46" t="inlineStr">
        <is>
          <t>Clinic</t>
        </is>
      </c>
      <c r="N108" s="45" t="inlineStr">
        <is>
          <t>ข้อ 7 (PLE_CC1_2559.md)</t>
        </is>
      </c>
      <c r="O108" s="46" t="inlineStr">
        <is>
          <t>ข้อสอบจริง</t>
        </is>
      </c>
      <c r="P108" s="46" t="inlineStr">
        <is>
          <t>ปี 2559</t>
        </is>
      </c>
    </row>
    <row r="109" ht="409.6" customHeight="1" s="37">
      <c r="A109" s="44" t="n">
        <v>107</v>
      </c>
      <c r="B109" s="45" t="inlineStr">
        <is>
          <t>หากพบว่าเภสัชกรคนที่ 1 จัดยาผิดพลาดเป็น warfarin 5 mg 1 tab hs. แต่เภสัชกรคนที่ 2 มาตรวจพบเจอก่อนที่ จะจ่ายยาให้กับคนไข้ ความคลาดเคลื่อนนี จัดอยู่ในระดับใด</t>
        </is>
      </c>
      <c r="C109" s="46" t="n"/>
      <c r="D109" s="45" t="inlineStr">
        <is>
          <t>Category A</t>
        </is>
      </c>
      <c r="E109" s="45" t="inlineStr">
        <is>
          <t>Category B</t>
        </is>
      </c>
      <c r="F109" s="45" t="inlineStr">
        <is>
          <t>Category E</t>
        </is>
      </c>
      <c r="G109" s="45" t="inlineStr">
        <is>
          <t>Category F</t>
        </is>
      </c>
      <c r="H109" s="45" t="inlineStr">
        <is>
          <t>Category I ยาที่ได้รับ Theophylline SR 1x2 Seretide evohaler (25/125) 2 puff bid Berodual 2 puff prn Phenytoin 3xhs</t>
        </is>
      </c>
      <c r="I109" s="44" t="inlineStr">
        <is>
          <t>1</t>
        </is>
      </c>
      <c r="J109" s="45" t="inlineStr">
        <is>
          <t>✅ คำตอบที่ถูกต้อง: ข้อ ก. Category 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Category A กรณีศึกษาที่ 2 ชายไทย อายุ 70 ปี มีประวัติสูบบุหรี่วันละ 1 ซองมา 20 ปี ปัจจุบันลดลงเหลือวันละครึ่งซอง มีโรคประจ้าตัว ปอดอุดกั นเรื อรัง ลมชัก เคยเกิด exacerbation 2 ครั งในปีที่ผ่านมา mMRC=1, FEV1/FVC=0.69, FEV1=87%, CAT=5
🔍 ข้ออื่นผิดเพราะอะไร:
• ข้อ ข. (Category B): Pregnancy Category B หมายถึงยาที่ศึกษาในสัตว์แล้วไม่พบความเสี่ยง แต่ไม่มีการศึกษาที่เพียงพอในมนุษย์ ซึ่งไม่ตรงกับ Warfarin
• ข้อ ค. (Category E): FDA Pregnancy Categories มีเพียง A, B, C, D และ X ไม่มี Category E ในระบบการจำแนกความปลอดภัยในสตรีมีครรภ์
• ข้อ ง. (Category F): FDA Pregnancy Categories มีเพียง A, B, C, D และ X ไม่มี Category F ระบบนี้ถูกยกเลิกและเปลี่ยนเป็น PLLR แล้ว
• ข้อ จ. (Category I ยาที่ได้รับ Theophylline SR 1x2 Seretide evohaler (25/125) 2 puff bid Berodual 2 puff prn Phenytoin 3xhs): ไม่มี Pregnancy Category I ในระบบของ US FDA ยา Warfarin จัดอยู่ใน Category X สำหรับหญิงตั้งครรภ์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09" s="46" t="n"/>
      <c r="L109" s="45" t="inlineStr">
        <is>
          <t>Hypertension</t>
        </is>
      </c>
      <c r="M109" s="46" t="inlineStr">
        <is>
          <t>Clinic</t>
        </is>
      </c>
      <c r="N109" s="45" t="inlineStr">
        <is>
          <t>ข้อ 9 (PLE_CC1_2559.md)</t>
        </is>
      </c>
      <c r="O109" s="46" t="inlineStr">
        <is>
          <t>ข้อสอบจริง</t>
        </is>
      </c>
      <c r="P109" s="46" t="inlineStr">
        <is>
          <t>ปี 2559</t>
        </is>
      </c>
    </row>
    <row r="110" ht="409.6" customHeight="1" s="37">
      <c r="A110" s="44" t="n">
        <v>108</v>
      </c>
      <c r="B110" s="45" t="inlineStr">
        <is>
          <t>ยาตัวใดท้าให้เกิด hypoglycemia ได้มากที่สุด</t>
        </is>
      </c>
      <c r="C110" s="46" t="n"/>
      <c r="D110" s="45" t="inlineStr">
        <is>
          <t>Glibenclamide</t>
        </is>
      </c>
      <c r="E110" s="45" t="inlineStr">
        <is>
          <t>Metformin</t>
        </is>
      </c>
      <c r="F110" s="45" t="inlineStr">
        <is>
          <t>Insulin glargine</t>
        </is>
      </c>
      <c r="G110" s="45" t="inlineStr">
        <is>
          <t>Acarbose</t>
        </is>
      </c>
      <c r="H110" s="45" t="inlineStr">
        <is>
          <t>Pioglitazone</t>
        </is>
      </c>
      <c r="I110" s="44" t="inlineStr">
        <is>
          <t>1</t>
        </is>
      </c>
      <c r="J110" s="45" t="inlineStr">
        <is>
          <t>✅ คำตอบที่ถูกต้อง: ข้อ ก. Glibenclamide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Glibenclamide การเลือก Glibenclamide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(Metformin): Metformin เป็น insulin sensitizer ยับยั้ง gluconeogenesis ที่ตับ ไม่กระตุ้นการหลั่งอินซูลิน ความเสี่ยง hypoglycemia จึงต่ำมาก
• ข้อ ค. (Insulin glargine): Insulin glargine เป็น basal insulin ออกฤทธิ์ยาว (peakless) มีความเสี่ยงการเกิด hypoglycemia ต่ำกว่า NPH หรือ regular insulin
• ข้อ ง. (Acarbose): Acarbose เป็น alpha-glucosidase inhibitor ยับยั้งการดูดซึมกลูโคสที่ลำไส้ หากใช้เดี่ยวๆ จะไม่ทำให้เกิด hypoglycemia
• ข้อ จ. (Pioglitazone): Pioglitazone เป็น Thiazolidinedione (TZD) เพิ่ม insulin sensitivity ที่เนื้อเยื่อไขมันและกล้ามเนื้อ ไม่ทำให้เกิด hypoglycemia หากใช้เดี่ยว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0" s="46" t="n"/>
      <c r="L110" s="45" t="inlineStr">
        <is>
          <t>Hypertension</t>
        </is>
      </c>
      <c r="M110" s="46" t="inlineStr">
        <is>
          <t>Clinic</t>
        </is>
      </c>
      <c r="N110" s="45" t="inlineStr">
        <is>
          <t>ข้อ 19 (PLE_CC1_2559.md)</t>
        </is>
      </c>
      <c r="O110" s="46" t="inlineStr">
        <is>
          <t>ข้อสอบจริง</t>
        </is>
      </c>
      <c r="P110" s="46" t="inlineStr">
        <is>
          <t>ปี 2559</t>
        </is>
      </c>
    </row>
    <row r="111" ht="409.6" customHeight="1" s="37">
      <c r="A111" s="44" t="n">
        <v>109</v>
      </c>
      <c r="B111" s="45" t="inlineStr">
        <is>
          <t>ควรได้รับยาอะไรเสริมด้วยในผู้ป่วยที่ได้รับยา metformin</t>
        </is>
      </c>
      <c r="C111" s="46" t="n"/>
      <c r="D111" s="45" t="inlineStr">
        <is>
          <t>Thiamine</t>
        </is>
      </c>
      <c r="E111" s="45" t="inlineStr">
        <is>
          <t>Riboflavin</t>
        </is>
      </c>
      <c r="F111" s="45" t="inlineStr">
        <is>
          <t>Niacin</t>
        </is>
      </c>
      <c r="G111" s="45" t="inlineStr">
        <is>
          <t>Pyridoxine</t>
        </is>
      </c>
      <c r="H111" s="45" t="inlineStr">
        <is>
          <t>Cobalamin</t>
        </is>
      </c>
      <c r="I111" s="44" t="inlineStr">
        <is>
          <t>1</t>
        </is>
      </c>
      <c r="J111" s="45" t="inlineStr">
        <is>
          <t>✅ คำตอบที่ถูกต้อง: ข้อ ก. Thiamine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Thiamine การเลือก Thiamine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(Riboflavin): Riboflavin (Vitamin B2) ไม่ใช่เกลือแร่หรือวิตามินที่ได้รับผลกระทบจากการใช้ยา Metformin ในระยะยาว
• ข้อ ค. (Niacin): Niacin (Vitamin B3) ไม่ได้ถูกยับยั้งการดูดซึมโดยยา Metformin และไม่เกี่ยวข้องกับอาการชาปลายประสาทจากยา
• ข้อ ง. (Pyridoxine): Pyridoxine (Vitamin B6) เป็นวิตามินที่มีผลต่อระบบประสาท แต่ไม่ใช่ตัวที่ Metformin รบกวนการดูดซึมโดยตรง
• ข้อ จ. (Cobalamin): Cobalamin (Vitamin B12) อาจถูกรบกวนการดูดซึมในลำไส้จากการใช้ Metformin ระยะยาว ทำให้เกิดภาวะโลหิตจางหรือปลายประสาทอักเสบได้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11" s="46" t="n"/>
      <c r="L111" s="45" t="inlineStr">
        <is>
          <t>Hypertension</t>
        </is>
      </c>
      <c r="M111" s="46" t="inlineStr">
        <is>
          <t>Clinic</t>
        </is>
      </c>
      <c r="N111" s="45" t="inlineStr">
        <is>
          <t>ข้อ 20 (PLE_CC1_2559.md)</t>
        </is>
      </c>
      <c r="O111" s="46" t="inlineStr">
        <is>
          <t>ข้อสอบจริง</t>
        </is>
      </c>
      <c r="P111" s="46" t="inlineStr">
        <is>
          <t>ปี 2559</t>
        </is>
      </c>
    </row>
    <row r="112" ht="409.6" customHeight="1" s="37">
      <c r="A112" s="44" t="n">
        <v>110</v>
      </c>
      <c r="B112" s="45" t="inlineStr">
        <is>
          <t>2 เดือนต่อมา ผู้ป่วยกลับมาตรวจพบ FBS 120 mg/dL HbA1C 7% eGFR 25 mL/min ควรปรับเปลี่ยนยา อย่างไร</t>
        </is>
      </c>
      <c r="C112" s="46" t="n"/>
      <c r="D112" s="45" t="inlineStr">
        <is>
          <t>เพิ่ม glipizide</t>
        </is>
      </c>
      <c r="E112" s="45" t="inlineStr">
        <is>
          <t>เปลี่ยน glibenclamide เป็น chlorpropamide</t>
        </is>
      </c>
      <c r="F112" s="45" t="inlineStr">
        <is>
          <t>เปลี่ยน metformin เป็น pioglitazone</t>
        </is>
      </c>
      <c r="G112" s="45" t="inlineStr">
        <is>
          <t>เพิ่มยา acarbose เนื่องจากระดับน ้าตาลยังไม่ได้เป้าหมาย</t>
        </is>
      </c>
      <c r="H112" s="45" t="inlineStr">
        <is>
          <t>ไม่ต้องมีการเปลี่ยนแปลง</t>
        </is>
      </c>
      <c r="I112" s="44" t="inlineStr">
        <is>
          <t>1</t>
        </is>
      </c>
      <c r="J112" s="45" t="inlineStr">
        <is>
          <t>✅ คำตอบที่ถูกต้อง: ข้อ ก. เพิ่ม glipizide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 glipizide การเลือก เพิ่ม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(เปลี่ยน glibenclamide เป็น chlorpropamide): Chlorpropamide เป็น 1st gen Sulfonylurea มีค่าครึ่งชีวิตยาวมาก เสี่ยงต่อ hypoglycemia สูงและห้ามใช้ในผู้ป่วยไตเสื่อม
• ข้อ ค. (เปลี่ยน metformin เป็น pioglitazone): Metformin เป็น insulin sensitizer ยับยั้ง gluconeogenesis ที่ตับ ไม่กระตุ้นการหลั่งอินซูลิน ความเสี่ยง hypoglycemia จึงต่ำมาก
• ข้อ ง. (เพิ่มยา acarbose เนื่องจากระดับน ้าตาลยังไม่ได้เป้าหมาย): Acarbose เป็น alpha-glucosidase inhibitor ยับยั้งการดูดซึมกลูโคสที่ลำไส้ หากใช้เดี่ยวๆ จะไม่ทำให้เกิด hypoglycemia
• ข้อ จ. (ไม่ต้องมีการเปลี่ยนแปลง): การคงการรักษาเดิม (ไม่เปลี่ยนยา) ไม่เหมาะสมเนื่องจากผู้ป่วยมีค่า eGFR &lt; 30 mL/min ซึ่งเป็นข้อห้ามใช้ของยา Metformin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12" s="46" t="n"/>
      <c r="L112" s="45" t="inlineStr">
        <is>
          <t>Hypertension</t>
        </is>
      </c>
      <c r="M112" s="46" t="inlineStr">
        <is>
          <t>Clinic</t>
        </is>
      </c>
      <c r="N112" s="45" t="inlineStr">
        <is>
          <t>ข้อ 21 (PLE_CC1_2559.md)</t>
        </is>
      </c>
      <c r="O112" s="46" t="inlineStr">
        <is>
          <t>ข้อสอบจริง</t>
        </is>
      </c>
      <c r="P112" s="46" t="inlineStr">
        <is>
          <t>ปี 2559</t>
        </is>
      </c>
    </row>
    <row r="113" ht="409.6" customHeight="1" s="37">
      <c r="A113" s="44" t="n">
        <v>111</v>
      </c>
      <c r="B113" s="45" t="inlineStr">
        <is>
          <t>ข้อใดคือยากลุ่ม anti-microtubule</t>
        </is>
      </c>
      <c r="C113" s="46" t="n"/>
      <c r="D113" s="45" t="inlineStr">
        <is>
          <t>Paclitaxel</t>
        </is>
      </c>
      <c r="E113" s="45" t="inlineStr">
        <is>
          <t>Doxorubicin</t>
        </is>
      </c>
      <c r="F113" s="45" t="inlineStr">
        <is>
          <t>Cisplatin</t>
        </is>
      </c>
      <c r="G113" s="45" t="inlineStr">
        <is>
          <t>Cyclophosphamide</t>
        </is>
      </c>
      <c r="H113" s="45" t="inlineStr">
        <is>
          <t>Methotrexate ห้ามนำไปทำซ้ำทุกกรณี เว้นแต่จะได้รับอนุญาต</t>
        </is>
      </c>
      <c r="I113" s="44" t="inlineStr">
        <is>
          <t>1</t>
        </is>
      </c>
      <c r="J113" s="45" t="inlineStr">
        <is>
          <t>✅ คำตอบที่ถูกต้อง: ข้อ ก. Paclitaxel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Paclitaxel การเลือก Paclitaxel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(Doxorubicin): Doxorubicin เป็น anthracycline ออกฤทธิ์ยับยั้ง topoisomerase II และเกิด DNA intercalation ไม่ได้ออกฤทธิ์ต่อ microtubule
• ข้อ ค. (Cisplatin): Cisplatin เป็น alkylating-like agent ออกฤทธิ์โดยการสร้าง cross-links กับ DNA strand ยับยั้งการสังเคราะห์ DNA
• ข้อ ง. (Cyclophosphamide): Cyclophosphamide เป็น nitrogen mustard alkylating agent ที่ต้องถูกเปลี่ยนรูปที่ตับก่อนออกฤทธิ์จับกับ DNA
• ข้อ จ. (Methotrexate ห้ามนำไปทำซ้ำทุกกรณี เว้นแต่จะได้รับอนุญาต): Methotrexate เป็น antimetabolite (folate antagonist) ออกฤทธิ์ยับยั้งเอนไซม์ dihydrofolate reductase (DHFR)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3" s="46" t="n"/>
      <c r="L113" s="45" t="inlineStr">
        <is>
          <t>Hypertension</t>
        </is>
      </c>
      <c r="M113" s="46" t="inlineStr">
        <is>
          <t>Clinic</t>
        </is>
      </c>
      <c r="N113" s="45" t="inlineStr">
        <is>
          <t>ข้อ 54 (PLE_CC1_2559.md)</t>
        </is>
      </c>
      <c r="O113" s="46" t="inlineStr">
        <is>
          <t>ข้อสอบจริง</t>
        </is>
      </c>
      <c r="P113" s="46" t="inlineStr">
        <is>
          <t>ปี 2559</t>
        </is>
      </c>
    </row>
    <row r="114" ht="409.6" customHeight="1" s="37">
      <c r="A114" s="44" t="n">
        <v>112</v>
      </c>
      <c r="B114" s="45" t="inlineStr">
        <is>
          <t>ข้อใดคือผลข้างเคียงของ Phentermine</t>
        </is>
      </c>
      <c r="C114" s="46" t="n"/>
      <c r="D114" s="45" t="inlineStr">
        <is>
          <t>Hypertension</t>
        </is>
      </c>
      <c r="E114" s="45" t="inlineStr">
        <is>
          <t>Hyperkalemia</t>
        </is>
      </c>
      <c r="F114" s="45" t="inlineStr">
        <is>
          <t>Proteinurea</t>
        </is>
      </c>
      <c r="G114" s="45" t="inlineStr">
        <is>
          <t>Hyperphosphatemia</t>
        </is>
      </c>
      <c r="H114" s="45" t="inlineStr">
        <is>
          <t>Hyperuricemia</t>
        </is>
      </c>
      <c r="I114" s="44" t="inlineStr">
        <is>
          <t>1</t>
        </is>
      </c>
      <c r="J114" s="45" t="inlineStr">
        <is>
          <t>✅ คำตอบที่ถูกต้อง: ข้อ ก. Hypertension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Hypertension การเลือก Hypertension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(Hyperkalemia): Hyperkalemia ไม่ใช่อาการข้างเคียงของ Phentermine ซึ่งเป็นยาลดน้ำหนักในกลุ่ม Sympathomimetic
• ข้อ ค. (Proteinurea): Phentermine เป็นยาลดน้ำหนักกลุ่ม sympathomimetic amine ไม่มีกลไกทำให้เกิดโปรตีนรั่วในปัสสาวะ
• ข้อ ง. (Hyperphosphatemia): Hyperphosphatemia มักเกิดจากภาวะไตวายเรื้อรัง ไม่ใช่อาการไม่พึงประสงค์ที่เกี่ยวข้องกับการใช้ยา Phentermine
• ข้อ จ. (Hyperuricemia): Hyperuricemia มักเกิดจากยาขับปัสสาวะกลุ่ม Thiazide หรือยาต้านวัณโรคบางชนิด ไม่ใช่ผลข้างเคียงของ Phentermine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4" s="46" t="n"/>
      <c r="L114" s="45" t="inlineStr">
        <is>
          <t>Hypertension</t>
        </is>
      </c>
      <c r="M114" s="46" t="inlineStr">
        <is>
          <t>Clinic</t>
        </is>
      </c>
      <c r="N114" s="45" t="inlineStr">
        <is>
          <t>ข้อ 75 (PLE_CC1_2559.md)</t>
        </is>
      </c>
      <c r="O114" s="46" t="inlineStr">
        <is>
          <t>ข้อสอบจริง</t>
        </is>
      </c>
      <c r="P114" s="46" t="inlineStr">
        <is>
          <t>ปี 2559</t>
        </is>
      </c>
    </row>
    <row r="115" ht="409.6" customHeight="1" s="37">
      <c r="A115" s="44" t="n">
        <v>113</v>
      </c>
      <c r="B115" s="45" t="inlineStr">
        <is>
          <t>ความดันเป้าหมายในผู้ป่วยรายนี เท่ากับเท่าไรตาม JNC XIII</t>
        </is>
      </c>
      <c r="C115" s="46" t="n"/>
      <c r="D115" s="45" t="inlineStr">
        <is>
          <t>130/80 mmHg</t>
        </is>
      </c>
      <c r="E115" s="45" t="inlineStr">
        <is>
          <t>140/90 mmHg</t>
        </is>
      </c>
      <c r="F115" s="45" t="inlineStr">
        <is>
          <t>120/80 mmHg</t>
        </is>
      </c>
      <c r="G115" s="45" t="inlineStr">
        <is>
          <t>130/90 mmHg</t>
        </is>
      </c>
      <c r="H115" s="45" t="inlineStr">
        <is>
          <t>130/85 mmHg</t>
        </is>
      </c>
      <c r="I115" s="44" t="inlineStr">
        <is>
          <t>1</t>
        </is>
      </c>
      <c r="J115" s="45" t="inlineStr">
        <is>
          <t>✅ คำตอบที่ถูกต้อง: ข้อ ก. 130/80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130/80 mmHg การเลือก 130/80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mmHg): ตาม JNC8 เป้าหมาย 140/90 mmHg เป็นเป้าหมายสำหรับผู้ป่วยอายุน้อยกว่า 60 ปี หรือผู้ป่วยที่มีเบาหวานและโรคไตเรื้อรัง
• ข้อ ค. (120/80 mmHg): เป้าหมาย 120/80 mmHg ไม่ใช่คำแนะนำตาม JNC8 ซึ่งมักพิจารณาตัวเลขนี้เป็นความดันปกติ ไม่ใช่เป้าหมายในการรักษาผู้ป่วยทั่วไป
• ข้อ ง. (130/90 mmHg): เป้าหมาย 130/90 mmHg ไม่ใช่ตัวเลขที่ปรากฏใน guideline สำคัญใดๆ มักใช้ 130/80 หรือ 140/90 เป็นจุดตัดหลัก
• ข้อ จ. (130/85 mmHg): ไม่มี guideline ใดที่แนะนำเป้าหมาย 130/85 mmHg อย่างชัดเจน เป้าหมายส่วนใหญ่อิงที่ systolic 130 หรือ 140 และ diastolic 80 หรือ 90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5" s="46" t="n"/>
      <c r="L115" s="45" t="inlineStr">
        <is>
          <t>Hypertension</t>
        </is>
      </c>
      <c r="M115" s="46" t="inlineStr">
        <is>
          <t>Clinic</t>
        </is>
      </c>
      <c r="N115" s="45" t="inlineStr">
        <is>
          <t>ข้อ 77 (PLE_CC1_2559.md)</t>
        </is>
      </c>
      <c r="O115" s="46" t="inlineStr">
        <is>
          <t>ข้อสอบจริง</t>
        </is>
      </c>
      <c r="P115" s="46" t="inlineStr">
        <is>
          <t>ปี 2559</t>
        </is>
      </c>
    </row>
    <row r="116" ht="409.6" customHeight="1" s="37">
      <c r="A116" s="44" t="n">
        <v>114</v>
      </c>
      <c r="B116" s="45" t="inlineStr">
        <is>
          <t>หากคนไข้ได้รับยา enalapril ควรต้องมีการติดตามค่าใด</t>
        </is>
      </c>
      <c r="C116" s="46" t="n"/>
      <c r="D116" s="45" t="inlineStr">
        <is>
          <t>Electrolyte</t>
        </is>
      </c>
      <c r="E116" s="45" t="inlineStr">
        <is>
          <t>Complete blood count</t>
        </is>
      </c>
      <c r="F116" s="45" t="inlineStr">
        <is>
          <t>Liver function test</t>
        </is>
      </c>
      <c r="G116" s="45" t="inlineStr">
        <is>
          <t>Fasting blood glucose</t>
        </is>
      </c>
      <c r="H116" s="45" t="inlineStr">
        <is>
          <t>Electrocardiogram ห้ามนำไปทำซ้ำทุกกรณี เว้นแต่จะได้รับอนุญาต ขนาดเล็กกว่าปกติ</t>
        </is>
      </c>
      <c r="I116" s="44" t="inlineStr">
        <is>
          <t>1</t>
        </is>
      </c>
      <c r="J116" s="45" t="inlineStr">
        <is>
          <t>✅ คำตอบที่ถูกต้อง: ข้อ ก. Electrolyte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Electrolyte กรณีศึกษาที่ 13 หญิงตั งครรภ์ 6 เดือน มีอาการซีด อ่อนเพลีย ไม่มีแรง ตรวจพบผู้ป่วยเป็นโลหิตจางโดยพบว่ามีเม็ดเลือดแดง
🔍 ข้ออื่นผิดเพราะอะไร:
• ข้อ ข. (Complete blood count): Enalapril เป็นยาในกลุ่ม ACE inhibitor ไม่ได้มีผลข้างเคียงหลักในการกดไขกระดูก จึงไม่ต้องติดตาม CBC เป็นประจำ
• ข้อ ค. (Liver function test): Mixtard มีส่วนผสมของ NPH ซึ่งเป็น suspension จึงห้ามบริหารยาทางหลอดเลือดดำ (IV) โดยเด็ดขาด
• ข้อ ง. (Fasting blood glucose): Enalapril มีคุณสมบัติ metabolic neutral หรืออาจเพิ่ม insulin sensitivity เล็กน้อย ไม่ทำให้ระดับน้ำตาลผิดปกติ
• ข้อ จ. (Electrocardiogram ห้ามนำไปทำซ้ำทุกกรณี เว้นแต่จะได้รับอนุญาต ขนาดเล็กกว่าปกติ): ECG ไม่ใช่พารามิเตอร์ที่ต้องติดตามเป็นกิจวัตรหลังการให้ Enalapril ยกเว้นผู้ป่วยมีภาวะ hyperkalemia 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16" s="46" t="n"/>
      <c r="L116" s="45" t="inlineStr">
        <is>
          <t>Hypertension</t>
        </is>
      </c>
      <c r="M116" s="46" t="inlineStr">
        <is>
          <t>Clinic</t>
        </is>
      </c>
      <c r="N116" s="45" t="inlineStr">
        <is>
          <t>ข้อ 79 (PLE_CC1_2559.md)</t>
        </is>
      </c>
      <c r="O116" s="46" t="inlineStr">
        <is>
          <t>ข้อสอบจริง</t>
        </is>
      </c>
      <c r="P116" s="46" t="inlineStr">
        <is>
          <t>ปี 2559</t>
        </is>
      </c>
    </row>
    <row r="117" ht="409.6" customHeight="1" s="37">
      <c r="A117" s="44" t="n">
        <v>115</v>
      </c>
      <c r="B117" s="45" t="inlineStr">
        <is>
          <t>ยาตัวใดปลอดภัยกับหัวใจที่สุด</t>
        </is>
      </c>
      <c r="C117" s="46" t="n"/>
      <c r="D117" s="45" t="inlineStr">
        <is>
          <t>Ibuprofen</t>
        </is>
      </c>
      <c r="E117" s="45" t="inlineStr">
        <is>
          <t>Diclofenac</t>
        </is>
      </c>
      <c r="F117" s="45" t="inlineStr">
        <is>
          <t>Naproxen</t>
        </is>
      </c>
      <c r="G117" s="45" t="inlineStr">
        <is>
          <t>Celecoxib</t>
        </is>
      </c>
      <c r="H117" s="45" t="inlineStr">
        <is>
          <t>Piroxicam</t>
        </is>
      </c>
      <c r="I117" s="44" t="inlineStr">
        <is>
          <t>1</t>
        </is>
      </c>
      <c r="J117" s="45" t="inlineStr">
        <is>
          <t>✅ คำตอบที่ถูกต้อง: ข้อ ก. Ibuprofen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Ibuprofen การเลือก Ibuprofen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(Diclofenac): Diclofenac เป็น NSAID ที่มีฤทธิ์ยับยั้ง COX-2 สูงเมื่อเทียบกับ COX-1 จึงเพิ่มความเสี่ยงต่อเหตุการณ์ทางหัวใจและหลอดเลือด (CV risk) ค่อนข้างมาก
• ข้อ ค. (Naproxen): Naproxen เป็น non-selective NSAID ที่มีข้อมูลชี้ว่ามีความปลอดภัยต่อระบบหัวใจและหลอดเลือดมากที่สุดในกลุ่ม แต่ยังมีผลต่อทางเดินอาหาร
• ข้อ ง. (Celecoxib): Celecoxib เป็น selective COX-2 inhibitor ซึ่งเพิ่ม CV risk ได้มากกว่า non-selective NSAIDs บางชนิด หากใช้ในขนาดสูง
• ข้อ จ. (Piroxicam): Piroxicam มีฤทธิ์รบกวนการสร้าง prostaglandin และมีค่าครึ่งชีวิตที่ยาวนาน ทำให้มีความเสี่ยงทั้งต่อ GI และ CV 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7" s="46" t="n"/>
      <c r="L117" s="45" t="inlineStr">
        <is>
          <t>Hypertension</t>
        </is>
      </c>
      <c r="M117" s="46" t="inlineStr">
        <is>
          <t>Clinic</t>
        </is>
      </c>
      <c r="N117" s="45" t="inlineStr">
        <is>
          <t>ข้อ 88 (PLE_CC1_2559.md)</t>
        </is>
      </c>
      <c r="O117" s="46" t="inlineStr">
        <is>
          <t>ข้อสอบจริง</t>
        </is>
      </c>
      <c r="P117" s="46" t="inlineStr">
        <is>
          <t>ปี 2559</t>
        </is>
      </c>
    </row>
    <row r="118" ht="409.6" customHeight="1" s="37">
      <c r="A118" s="44" t="n">
        <v>116</v>
      </c>
      <c r="B118" s="45" t="inlineStr">
        <is>
          <t>เป้าหมายความดันโลหิตของผู้ป่วยรายนี้ตาม JNC8 เท่ากับข้อใด</t>
        </is>
      </c>
      <c r="C118" s="46" t="n"/>
      <c r="D118" s="45" t="inlineStr">
        <is>
          <t>150/90 mmHg</t>
        </is>
      </c>
      <c r="E118" s="45" t="inlineStr">
        <is>
          <t>140/90 mmHg</t>
        </is>
      </c>
      <c r="F118" s="45" t="inlineStr">
        <is>
          <t>130/80 mmHg</t>
        </is>
      </c>
      <c r="G118" s="45" t="inlineStr">
        <is>
          <t>140/80 mmHg</t>
        </is>
      </c>
      <c r="H118" s="45" t="inlineStr">
        <is>
          <t>125/90 mmHg</t>
        </is>
      </c>
      <c r="I118" s="44" t="inlineStr">
        <is>
          <t>1</t>
        </is>
      </c>
      <c r="J118" s="45" t="inlineStr">
        <is>
          <t>✅ คำตอบที่ถูกต้อง: ข้อ ก. 150/90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150/90 mmHg การเลือก 150/90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(140/90 mmHg): ตาม JNC8 เป้าหมาย 140/90 mmHg เป็นเป้าหมายสำหรับผู้ป่วยอายุน้อยกว่า 60 ปี หรือผู้ป่วยที่มีเบาหวานและโรคไตเรื้อรัง
• ข้อ ค. (130/80 mmHg): ตาม JNC8 เป้าหมายความดันโลหิต 130/80 mmHg ไม่ใช่มาตรฐานหลัก มักพบใน guideline ของ ACC/AHA ปี 2017 มากกว่า
• ข้อ ง. (140/80 mmHg): เป้าหมาย 140/80 mmHg เป็นตัวเลขที่ผสมระหว่าง 140/90 และ 130/80 ซึ่งไม่มีการระบุไว้ใน guideline หลักใดๆ
• ข้อ จ. (125/90 mmHg): ไม่มี guideline ใดที่แนะนำเป้าหมาย 125/90 mmHg เป้าหมายความดันตัวล่างมักตั้งไว้ที่ 80 หรือ 90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8" s="46" t="n"/>
      <c r="L118" s="45" t="inlineStr">
        <is>
          <t>Hypertension</t>
        </is>
      </c>
      <c r="M118" s="46" t="inlineStr">
        <is>
          <t>Clinic</t>
        </is>
      </c>
      <c r="N118" s="45" t="inlineStr">
        <is>
          <t>ข้อ 1 (PLE_CC1_2558_Key.md)</t>
        </is>
      </c>
      <c r="O118" s="46" t="inlineStr">
        <is>
          <t>ข้อสอบจริง</t>
        </is>
      </c>
      <c r="P118" s="46" t="inlineStr">
        <is>
          <t>ปี 2558</t>
        </is>
      </c>
    </row>
    <row r="119" ht="409.6" customHeight="1" s="37">
      <c r="A119" s="44" t="n">
        <v>117</v>
      </c>
      <c r="B119" s="45" t="inlineStr">
        <is>
          <t>ข้อใดคือ ADR ของ enalapril ที่ต้องติดตาม</t>
        </is>
      </c>
      <c r="C119" s="46" t="n"/>
      <c r="D119" s="45" t="inlineStr">
        <is>
          <t>Hyperkalemia</t>
        </is>
      </c>
      <c r="E119" s="45" t="inlineStr">
        <is>
          <t>Hyperuricemia</t>
        </is>
      </c>
      <c r="F119" s="45" t="inlineStr">
        <is>
          <t>Hypernatremia</t>
        </is>
      </c>
      <c r="G119" s="45" t="inlineStr">
        <is>
          <t>Hyperphosphatemia</t>
        </is>
      </c>
      <c r="H119" s="45" t="inlineStr">
        <is>
          <t>Hypercalcemia</t>
        </is>
      </c>
      <c r="I119" s="44" t="inlineStr">
        <is>
          <t>1</t>
        </is>
      </c>
      <c r="J119" s="45" t="inlineStr">
        <is>
          <t>✅ คำตอบที่ถูกต้อง: ข้อ ก. Hyperkalemia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Hyperkalemia การเลือก Hyperkalemia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(Hyperuricemia): Hyperuricemia มักเกิดจากยาขับปัสสาวะกลุ่ม Thiazide หรือยาต้านวัณโรคบางชนิด ไม่ใช่ผลข้างเคียงของ Phentermine
• ข้อ ค. (Hypernatremia): กลไกของ Enalapril คือลดระดับ Aldosterone ซึ่งอาจทำให้เกิด hyponatremia เล็กน้อยจากการขับโซเดียม ไม่ใช่ hypernatremia
• ข้อ ง. (Hyperphosphatemia): Hyperphosphatemia มักเกิดจากภาวะไตวายเรื้อรัง ไม่ใช่อาการไม่พึงประสงค์ที่เกี่ยวข้องกับการใช้ยา Phentermine
• ข้อ จ. (Hypercalcemia): Thiazide diuretics เป็นยาที่เพิ่มการดูดกลับของแคลเซียมและทำให้เกิด hypercalcemia แต่ Enalapril ไม่มีผลต่อระดับแคลเซียม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19" s="46" t="n"/>
      <c r="L119" s="45" t="inlineStr">
        <is>
          <t>Hypertension</t>
        </is>
      </c>
      <c r="M119" s="46" t="inlineStr">
        <is>
          <t>Clinic</t>
        </is>
      </c>
      <c r="N119" s="45" t="inlineStr">
        <is>
          <t>ข้อ 2 (PLE_CC1_2558_Key.md)</t>
        </is>
      </c>
      <c r="O119" s="46" t="inlineStr">
        <is>
          <t>ข้อสอบจริง</t>
        </is>
      </c>
      <c r="P119" s="46" t="inlineStr">
        <is>
          <t>ปี 2558</t>
        </is>
      </c>
    </row>
    <row r="120" ht="409.6" customHeight="1" s="37">
      <c r="A120" s="44" t="n">
        <v>118</v>
      </c>
      <c r="B120" s="45" t="inlineStr">
        <is>
          <t>ควรเพิ่มยารักษาความดันใดให้ได้ตามเป้าหมาย</t>
        </is>
      </c>
      <c r="C120" s="46" t="n"/>
      <c r="D120" s="45" t="inlineStr">
        <is>
          <t>Atenolol</t>
        </is>
      </c>
      <c r="E120" s="45" t="inlineStr">
        <is>
          <t>Amlodipine</t>
        </is>
      </c>
      <c r="F120" s="45" t="inlineStr">
        <is>
          <t>เพิ่มขนาดยา enalapril</t>
        </is>
      </c>
      <c r="G120" s="45" t="inlineStr">
        <is>
          <t>Indapamide</t>
        </is>
      </c>
      <c r="H120" s="45" t="inlineStr">
        <is>
          <t>HCTZ</t>
        </is>
      </c>
      <c r="I120" s="44" t="inlineStr">
        <is>
          <t>1</t>
        </is>
      </c>
      <c r="J120" s="45" t="inlineStr">
        <is>
          <t>✅ คำตอบที่ถูกต้อง: ข้อ ก. Atenolol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Atenolol การเลือก Atenolol เป็นคำตอบที่ถูกต้องตามแนวทางการรักษามาตรฐาน เนื่องจาก เป็น hydrophilic cardioselective beta-1 blocker ขับออกทางไตเป็นหลัก แต่ evidence ในการลด stroke และ cardiovascular events ด้อยกว่า antihypertensive อื่นๆ
🔍 ข้ออื่นผิดเพราะอะไร:
• ข้อ ข. (Amlodipine): Amlodipine เป็น DHP-CCB มีผลขยายหลอดเลือดแดงส่วนปลาย อาการข้างเคียงหลักคือ peripheral edema แต่ไม่ทำให้เกิด hyperkalemia
• ข้อ ค. (เพิ่มขนาดยา enalapril): การเพิ่มขนาดยา Enalapril อาจทำได้หากยังไม่ถึง maximum dose แต่ในบางกรณีการเพิ่มยาอีกกลไกหนึ่ง (add-on) อาจมีประสิทธิภาพเหนือกว่า
• ข้อ ง. (Indapamide): Indapamide เป็น thiazide-like diuretic มีผลลด morbidity/mortality ทาง CV ได้ดี แต่ต้องระวังผลข้างเคียงเรื่องเกลือแร่ผิดปกติ
• ข้อ จ. (HCTZ): HCTZ สามารถใช้เพิ่มประสิทธิภาพในการลดความดันเมื่อใช้ร่วมกับ ACEI แต่ระวังภาวะแทรกซ้อนด้าน metabolic (น้ำตาล/ยูริก) หากขนาดยาสูง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0" s="46" t="n"/>
      <c r="L120" s="45" t="inlineStr">
        <is>
          <t>Hypertension</t>
        </is>
      </c>
      <c r="M120" s="46" t="inlineStr">
        <is>
          <t>Clinic</t>
        </is>
      </c>
      <c r="N120" s="45" t="inlineStr">
        <is>
          <t>ข้อ 3 (PLE_CC1_2558_Key.md)</t>
        </is>
      </c>
      <c r="O120" s="46" t="inlineStr">
        <is>
          <t>ข้อสอบจริง</t>
        </is>
      </c>
      <c r="P120" s="46" t="inlineStr">
        <is>
          <t>ปี 2558</t>
        </is>
      </c>
    </row>
    <row r="121" ht="409.6" customHeight="1" s="37">
      <c r="A121" s="44" t="n">
        <v>119</v>
      </c>
      <c r="B121" s="45" t="inlineStr">
        <is>
          <t>Simvastatin เกิดปฏิกิริยาระหว่างยา gemfibrozil ด้วยกลไก</t>
        </is>
      </c>
      <c r="C121" s="46" t="n"/>
      <c r="D121" s="45" t="inlineStr">
        <is>
          <t>CYP 3A4</t>
        </is>
      </c>
      <c r="E121" s="45" t="inlineStr">
        <is>
          <t>CYP 1A2</t>
        </is>
      </c>
      <c r="F121" s="45" t="inlineStr">
        <is>
          <t>CYP 2C9</t>
        </is>
      </c>
      <c r="G121" s="45" t="inlineStr">
        <is>
          <t>Sulfation</t>
        </is>
      </c>
      <c r="H121" s="45" t="inlineStr">
        <is>
          <t>OATP 1B1 ห้ามนำไปทำซ้ำทุกกรณี เว้นแต่จะได้รับอนุญาต CHAPTER 23 ข้อสอบย้อนหลังปี 2558 วันที่ 1 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t>
        </is>
      </c>
      <c r="I121" s="44" t="inlineStr">
        <is>
          <t>1</t>
        </is>
      </c>
      <c r="J121" s="45" t="inlineStr">
        <is>
          <t>✅ คำตอบที่ถูกต้อง: ข้อ ก. CYP 3A4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CYP 3A4 การเลือก CYP 3A4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(CYP 1A2): CYP 1A2 ไม่ใช่เอนไซม์หลักที่ใช้ในการทำลาย Simvastatin ยาที่มีผลเช่น Tizanidine, Theophylline จะเกี่ยวข้องกับเอนไซม์นี้มากกว่า
• ข้อ ค. (CYP 2C9): CYP 2C9 เป็นเอนไซม์หลักในการทำลายยา Warfarin และ Phenytoin ไม่ใช่เส้นทางหลักของ Simvastatin
• ข้อ ง. (Sulfation): Sulfation เป็นกระบวนการ Phase II metabolism ซึ่งไม่ได้เป็นกลไกหลักในการเกิดปฏิกิริยาระหว่าง Simvastatin และ Gemfibrozil
• ข้อ จ. (OATP 1B1 ห้ามนำไปทำซ้ำทุกกรณี เว้นแต่จะได้รับอนุญาต CHAPTER 23 ข้อสอบย้อนหลังปี 2558 วันที่ 1 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Gemfibrozil ยับยั้ง OATP1B1 transporter ทำให้ Simvastatin เข้าสู่ตับลดลงและเกิดการสะสมในเลือด เพิ่มความเสี่ยงเกิด myopathy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1" s="46" t="n"/>
      <c r="L121" s="45" t="inlineStr">
        <is>
          <t>Hypertension</t>
        </is>
      </c>
      <c r="M121" s="46" t="inlineStr">
        <is>
          <t>Clinic</t>
        </is>
      </c>
      <c r="N121" s="45" t="inlineStr">
        <is>
          <t>ข้อ 5 (PLE_CC1_2558_Key.md)</t>
        </is>
      </c>
      <c r="O121" s="46" t="inlineStr">
        <is>
          <t>ข้อสอบจริง</t>
        </is>
      </c>
      <c r="P121" s="46" t="inlineStr">
        <is>
          <t>ปี 2558</t>
        </is>
      </c>
    </row>
    <row r="122" ht="409.6" customHeight="1" s="37">
      <c r="A122" s="44" t="n">
        <v>120</v>
      </c>
      <c r="B122" s="45" t="inlineStr">
        <is>
          <t>โครงสร้าง ยา enalapril เสื่อมด้วยกลไกใด</t>
        </is>
      </c>
      <c r="C122" s="46" t="n"/>
      <c r="D122" s="45" t="inlineStr">
        <is>
          <t>Epimerization</t>
        </is>
      </c>
      <c r="E122" s="45" t="inlineStr">
        <is>
          <t>Dimerization</t>
        </is>
      </c>
      <c r="F122" s="45" t="inlineStr">
        <is>
          <t>Hydrolysis</t>
        </is>
      </c>
      <c r="G122" s="45" t="inlineStr">
        <is>
          <t>Tautomerization</t>
        </is>
      </c>
      <c r="H122" s="45" t="inlineStr">
        <is>
          <t>Intramolecular cyclication</t>
        </is>
      </c>
      <c r="I122" s="44" t="inlineStr">
        <is>
          <t>1</t>
        </is>
      </c>
      <c r="J122" s="45" t="inlineStr">
        <is>
          <t>✅ คำตอบที่ถูกต้อง: ข้อ ก. Epimerization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Epimerization การเลือก Epimerization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(Dimerization): Dimerization คือการรวมตัวของโมเลกุลสองโมเลกุล ไม่ใช่ลักษณะการเสื่อมสลายของยาในกลุ่ม ACE inhibitors
• ข้อ ค. (Hydrolysis): Hydrolysis เป็นกลไกการเปลี่ยน Enalapril เป็น Enalaprilat (active form) ในร่างกาย แต่เมื่ออยู่ในรูปแบบยาเม็ด ความชื้นสามารถทำให้เสื่อมสภาพได้ผ่าน hydrolysis เช่นกัน
• ข้อ ง. (Tautomerization): Tautomerization คือการย้ายตำแหน่งโปรตอนภายในโมเลกุล ซึ่งไม่ได้ทำให้ยา Enalapril สูญเสียประสิทธิภาพทางคลินิกอย่างมีนัยสำคัญ
• ข้อ จ. (Intramolecular cyclication): Enalapril เสื่อมสภาพผ่านกระบวนการ Intramolecular cyclization กลายเป็น diketopiperazine derivative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22" s="46" t="n"/>
      <c r="L122" s="45" t="inlineStr">
        <is>
          <t>Hypertension</t>
        </is>
      </c>
      <c r="M122" s="46" t="inlineStr">
        <is>
          <t>Clinic</t>
        </is>
      </c>
      <c r="N122" s="45" t="inlineStr">
        <is>
          <t>ข้อ 6 (PLE_CC1_2558_Key.md)</t>
        </is>
      </c>
      <c r="O122" s="46" t="inlineStr">
        <is>
          <t>ข้อสอบจริง</t>
        </is>
      </c>
      <c r="P122" s="46" t="inlineStr">
        <is>
          <t>ปี 2558</t>
        </is>
      </c>
    </row>
    <row r="123" ht="409.6" customHeight="1" s="37">
      <c r="A123" s="44" t="n">
        <v>121</v>
      </c>
      <c r="B123" s="45" t="inlineStr">
        <is>
          <t>6 เดือนต่อมาผู้ป่วยมีภาวะหลอดเลือดแดงที่ไตตีบ ควรให้ยาความดันตัวใด -</t>
        </is>
      </c>
      <c r="C123" s="46" t="n"/>
      <c r="D123" s="45" t="inlineStr">
        <is>
          <t>Manidipine</t>
        </is>
      </c>
      <c r="E123" s="45" t="inlineStr">
        <is>
          <t>Losartan</t>
        </is>
      </c>
      <c r="F123" s="45" t="inlineStr">
        <is>
          <t>Ramipril</t>
        </is>
      </c>
      <c r="G123" s="45" t="inlineStr">
        <is>
          <t>HCTZ</t>
        </is>
      </c>
      <c r="H123" s="45" t="inlineStr">
        <is>
          <t>Metoprolol</t>
        </is>
      </c>
      <c r="I123" s="44" t="inlineStr">
        <is>
          <t>1</t>
        </is>
      </c>
      <c r="J123" s="45" t="inlineStr">
        <is>
          <t>✅ คำตอบที่ถูกต้อง: ข้อ ก. Manidipine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Manidipine การเลือก Manidipine เป็นคำตอบที่ถูกต้องตามแนวทางการรักษามาตรฐาน เนื่องจาก เป็น 3rd generation DHP-CCB ขยายทั้ง afferent และ efferent arterioles จึงลด intraglomerular pressure และเกิด peripheral edema น้อยกว่า amlodipine
🔍 ข้ออื่นผิดเพราะอะไร:
• ข้อ ข. (Losartan): ยาในกลุ่ม ARB และ ACEI ห้ามใช้ในภาวะหลอดเลือดแดงที่ไตตีบทั้งสองข้าง (bilateral renal artery stenosis) เนื่องจากทำให้เกิดไตวายเฉียบพลันได้
• ข้อ ค. (Ramipril): ยาในกลุ่ม ARB และ ACEI ห้ามใช้ในภาวะหลอดเลือดแดงที่ไตตีบทั้งสองข้าง (bilateral renal artery stenosis) เนื่องจากทำให้เกิดไตวายเฉียบพลันได้
• ข้อ ง. (HCTZ): HCTZ สามารถใช้เพิ่มประสิทธิภาพในการลดความดันเมื่อใช้ร่วมกับ ACEI แต่ระวังภาวะแทรกซ้อนด้าน metabolic (น้ำตาล/ยูริก) หากขนาดยาสูง
• ข้อ จ. (Metoprolol): Beta-blocker ไม่มีข้อห้ามสัมพัทธ์ใน bilateral renal artery stenosis แต่ไม่ใช่ยาลำดับแรกที่แนะนำในการลดความดันโลหิตแบบ uncomplicated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Balanced Arteriolar Dilatation: ขยายทั้ง afferent และ efferent arterioles จึงลด intraglomerular pressure และเกิด pedal edema น้อยกว่า amlodipine</t>
        </is>
      </c>
      <c r="K123" s="46" t="n"/>
      <c r="L123" s="45" t="inlineStr">
        <is>
          <t>Hypertension</t>
        </is>
      </c>
      <c r="M123" s="46" t="inlineStr">
        <is>
          <t>Clinic</t>
        </is>
      </c>
      <c r="N123" s="45" t="inlineStr">
        <is>
          <t>ข้อ 7 (PLE_CC1_2558_Key.md)</t>
        </is>
      </c>
      <c r="O123" s="46" t="inlineStr">
        <is>
          <t>ข้อสอบจริง</t>
        </is>
      </c>
      <c r="P123" s="46" t="inlineStr">
        <is>
          <t>ปี 2558</t>
        </is>
      </c>
    </row>
    <row r="124" ht="409.6" customHeight="1" s="37">
      <c r="A124" s="44" t="n">
        <v>122</v>
      </c>
      <c r="B124" s="45" t="inlineStr">
        <is>
          <t>หากผู้ป่วยมีโรคความดันร่วมไม่ควรได้ยาใด</t>
        </is>
      </c>
      <c r="C124" s="46" t="n"/>
      <c r="D124" s="45" t="inlineStr">
        <is>
          <t>Carvedilol</t>
        </is>
      </c>
      <c r="E124" s="45" t="inlineStr">
        <is>
          <t>HCTZ</t>
        </is>
      </c>
      <c r="F124" s="45" t="inlineStr">
        <is>
          <t>Enalapril</t>
        </is>
      </c>
      <c r="G124" s="45" t="inlineStr">
        <is>
          <t>Amlodipine</t>
        </is>
      </c>
      <c r="H124" s="45" t="inlineStr">
        <is>
          <t>Valsartan</t>
        </is>
      </c>
      <c r="I124" s="44" t="inlineStr">
        <is>
          <t>1</t>
        </is>
      </c>
      <c r="J124" s="45" t="inlineStr">
        <is>
          <t>✅ คำตอบที่ถูกต้อง: ข้อ ก. Carvedilol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Carvedilol การเลือก Carvedilol เป็นคำตอบที่ถูกต้องตามแนวทางการรักษามาตรฐาน เนื่องจาก เป็น non-selective beta-blocker ร่วมกับ alpha-1 blocker ช่วยลด afterload เป็น first-line GDMT ใน HFrEF ที่มี efficacy สูงในการลด mortality
🔍 ข้ออื่นผิดเพราะอะไร:
• ข้อ ข. (HCTZ): HCTZ สามารถใช้เพิ่มประสิทธิภาพในการลดความดันเมื่อใช้ร่วมกับ ACEI แต่ระวังภาวะแทรกซ้อนด้าน metabolic (น้ำตาล/ยูริก) หากขนาดยาสูง
• ข้อ ค. (Enalapril): ยาในกลุ่ม ARB และ ACEI ห้ามใช้ในภาวะหลอดเลือดแดงที่ไตตีบทั้งสองข้าง (bilateral renal artery stenosis) เนื่องจากทำให้เกิดไตวายเฉียบพลันได้
• ข้อ ง. (Amlodipine): Amlodipine เป็น DHP-CCB มีผลขยายหลอดเลือดแดงส่วนปลาย อาการข้างเคียงหลักคือ peripheral edema แต่ไม่ทำให้เกิด hyperkalemia
• ข้อ จ. (Valsartan): Valsartan เป็น ARB มีกลไกทับซ้อนและเพิ่มความเสี่ยง hyperkalemia และไตวายเมื่อใช้ร่วมกับ ACEI (เช่น Enalapril) จึงห้ามใช้ร่วมกัน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Combined Alpha-Beta Block: ปิดกั้นทั้ง Beta-1, Beta-2 และ Alpha-1 receptor ช่วยลด systemic vascular resistance (afterload) เด่นชัด
• Food Effect: ควรรับประทานพร้อมอาหารเพื่อชะลอการดูดซึมและลดความเสี่ยงต่อ orthostatic hypotension</t>
        </is>
      </c>
      <c r="K124" s="46" t="n"/>
      <c r="L124" s="45" t="inlineStr">
        <is>
          <t>Hypertension</t>
        </is>
      </c>
      <c r="M124" s="46" t="inlineStr">
        <is>
          <t>Clinic</t>
        </is>
      </c>
      <c r="N124" s="45" t="inlineStr">
        <is>
          <t>ข้อ 30 (PLE_CC1_2558_Key.md)</t>
        </is>
      </c>
      <c r="O124" s="46" t="inlineStr">
        <is>
          <t>ข้อสอบจริง</t>
        </is>
      </c>
      <c r="P124" s="46" t="inlineStr">
        <is>
          <t>ปี 2558</t>
        </is>
      </c>
    </row>
    <row r="125" ht="409.6" customHeight="1" s="37">
      <c r="A125" s="44" t="n">
        <v>123</v>
      </c>
      <c r="B125" s="45" t="inlineStr">
        <is>
          <t>ยารักษาภาวะ hyperkalemia</t>
        </is>
      </c>
      <c r="C125" s="46" t="n"/>
      <c r="D125" s="45" t="inlineStr">
        <is>
          <t>Sevelamer</t>
        </is>
      </c>
      <c r="E125" s="45" t="inlineStr">
        <is>
          <t>Al(OH)3</t>
        </is>
      </c>
      <c r="F125" s="45" t="inlineStr">
        <is>
          <t>CaCO3</t>
        </is>
      </c>
      <c r="G125" s="45" t="inlineStr">
        <is>
          <t>Sodium bicarbonate</t>
        </is>
      </c>
      <c r="H125" s="45" t="inlineStr">
        <is>
          <t>Sodium polystyrene sulfonate</t>
        </is>
      </c>
      <c r="I125" s="44" t="inlineStr">
        <is>
          <t>1</t>
        </is>
      </c>
      <c r="J125" s="45" t="inlineStr">
        <is>
          <t>✅ คำตอบที่ถูกต้อง: ข้อ ก. Sevelamer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Sevelamer การเลือก Sevelamer เป็นคำตอบที่ถูกต้องตามแนวทางการรักษามาตรฐาน เนื่องจาก เป็น Non-calcium, non-aluminum phosphate binder เหมาะสำหรับ CKD patients ที่มี hypercalcemia หรือ vascular calcification
🔍 ข้ออื่นผิดเพราะอะไร:
• ข้อ ข. (Al(OH)3): Aluminum hydroxide ใช้เป็น phosphate binder ในผู้ป่วยไตวายเรื้อรัง ไม่มีผลในการจับหรือขับโพแทสเซียมในลำไส้
• ข้อ ค. (CaCO3): Calcium carbonate เป็น phosphate binder และเสริมแคลเซียม ไม่ใช่ยาสำหรับรักษาภาวะ hyperkalemia
• ข้อ ง. (Sodium bicarbonate): Sodium bicarbonate ใช้รักษาภาวะเลือดเป็นกรด (Metabolic acidosis) และช่วยดึงโพแทสเซียมเข้าเซลล์ชั่วคราว แต่ไม่ใช่ยาหลักในการกำจัดโพแทสเซียม
• ข้อ จ. (Sodium polystyrene sulfonate): Sodium polystyrene sulfonate (Kalimate) เป็น cation-exchange resin ที่ลำไส้ ใช้จับโพแทสเซียมเพื่อขับออกทางอุจจาระ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5" s="46" t="n"/>
      <c r="L125" s="45" t="inlineStr">
        <is>
          <t>Hypertension</t>
        </is>
      </c>
      <c r="M125" s="46" t="inlineStr">
        <is>
          <t>Clinic</t>
        </is>
      </c>
      <c r="N125" s="45" t="inlineStr">
        <is>
          <t>ข้อ 50 (PLE_CC1_2558_Key.md)</t>
        </is>
      </c>
      <c r="O125" s="46" t="inlineStr">
        <is>
          <t>ข้อสอบจริง</t>
        </is>
      </c>
      <c r="P125" s="46" t="inlineStr">
        <is>
          <t>ปี 2558</t>
        </is>
      </c>
    </row>
    <row r="126" ht="409.6" customHeight="1" s="37">
      <c r="A126" s="44" t="n">
        <v>124</v>
      </c>
      <c r="B126" s="45" t="inlineStr">
        <is>
          <t>ผู้ป่วยถือกล่อง glucosamine มา ข้างกล่องระบุว่า 1 ซองมีตัวยา glucosamine a-le-barbar เทียบเท่ากับ glucosamine sulfate 1500 mg (MW glucosamine a-le-barbar 573, glucosamine sulfate 456) ต้องใช้ glucosamine a-le-barbar เท่าไร</t>
        </is>
      </c>
      <c r="C126" s="46" t="n"/>
      <c r="D126" s="45" t="inlineStr">
        <is>
          <t>955 mg</t>
        </is>
      </c>
      <c r="E126" s="45" t="inlineStr">
        <is>
          <t>1029 mg</t>
        </is>
      </c>
      <c r="F126" s="45" t="inlineStr">
        <is>
          <t>1194 mg</t>
        </is>
      </c>
      <c r="G126" s="45" t="inlineStr">
        <is>
          <t>1507 mg</t>
        </is>
      </c>
      <c r="H126" s="45" t="inlineStr">
        <is>
          <t>1885 mg</t>
        </is>
      </c>
      <c r="I126" s="44" t="n">
        <v>5</v>
      </c>
      <c r="J126" s="45" t="inlineStr">
        <is>
          <t>✅ คำตอบที่ถูกต้อง: ข้อ จ. 1885 mg
💡 Background:
การคำนวณปริมาณเกลือของตัวยาสำคัญ (Salt Form Equivalency) เพื่อให้ได้ปริมาณยาเทียบเท่ากับตัวยามาตรฐาน ต้องอาศัยสัดส่วนของมวลโมเลกุล (Molecular Weight: MW) ตามหลักการทางเคมีและเภสัชกรรมคำนวณ
🎯 ทำไมข้อนี้ถึงถูก:
โจทย์ต้องการตัวยาเทียบเท่า Glucosamine sulfate 1500 mg (MW = 456 g/mol)
สารที่ใช้คือ Glucosamine a-le-barbar (MW = 573 g/mol)
สูตรคำนวณ:
ปริมาณ Glucosamine a-le-barbar = 1500 mg × (MW Glucosamine a-le-barbar / MW Glucosamine sulfate)
= 1500 × (573 / 456)
= 1884.87 mg ≈ 1885 mg
🔍 ข้ออื่นผิดเพราะอะไร:
• ข้อ ก. (955 mg): เกิดจากการตั้งสัดส่วนกลับเศษเป็นส่วนโดยนำ (456/573) ไปลบหรือคำนวณผิดทิศทาง ทำให้ได้ปริมาณยาน้อยกว่าที่ควรจะเป็น ส่งผลให้ผู้ป่วยได้รับยาต่ำกว่าขนาดยาบำบัด
• ข้อ ข. (1029 mg): เป็นค่าตัวเลขคำนวณที่ผิดพลาดจากการคำนวณสัดส่วนเกลือโดยตรง ไม่ตรงตามสูตรเทียบเท่าน้ำหนักโมเลกุล
• ข้อ ค. (1194 mg): เกิดจากการคูณสัดส่วนกลับด้าน 1500 × (456/573) = 1193.7 mg ซึ่งเป็นการคำนวณว่าสาร 1500 mg ของเกลือหนักเทียบเท่ากี่ mg ของเกลือเบา (ผิดโจทย์)
• ข้อ ง. (1507 mg): เป็นค่าตัวเลขลวงที่ไม่ได้ปรับชดเชยน้ำหนักของเกลือที่ใหญ่ขึ้นอย่างถูกต้องตามสัดส่วน MW
📖 Guideline อ้างอิง:
USP-NF General Chapter &lt;7&gt; &amp; Pharmaceutical Calculations (Stoklosa and Ansel)
📌 จุดจำก่อนสอบ:
• การแปลง Salt form: หากเกลือที่นำมาใช้มี MW สูงกว่าเกลือมาตรฐาน ต้องชั่งน้ำหนักเกลือใหม่ในปริมาณที่มากกว่าเสมอ (คูณด้วย MW_ใหม่ / MW_เดิม)
• Clinical Recommendation: ตามแนวทางเวชปฏิบัติ ACR 2019 แนะนำไม่สนับสนุนการใช้ glucosamine สำหรับ osteoarthritis ของเข่าและสะโพกเนื่องจากหลักฐานทางคลินิกไม่ชัดเจน</t>
        </is>
      </c>
      <c r="K126" s="46" t="n"/>
      <c r="L126" s="45" t="inlineStr">
        <is>
          <t>Cardiovascular / Pharmaceutical Calculations</t>
        </is>
      </c>
      <c r="M126" s="46" t="inlineStr">
        <is>
          <t>Clinic</t>
        </is>
      </c>
      <c r="N126" s="45" t="inlineStr">
        <is>
          <t>ข้อ 65 (PLE_CC1_2558_Key.md)</t>
        </is>
      </c>
      <c r="O126" s="46" t="inlineStr">
        <is>
          <t>ข้อสอบจริง</t>
        </is>
      </c>
      <c r="P126" s="46" t="inlineStr">
        <is>
          <t>ปี 2558</t>
        </is>
      </c>
    </row>
    <row r="127" ht="409.6" customHeight="1" s="37">
      <c r="A127" s="44" t="n">
        <v>125</v>
      </c>
      <c r="B127" s="45" t="inlineStr">
        <is>
          <t>NSAIDs ใดมีผลต่อหัวใจและหลอดเลือดน้อยสุด</t>
        </is>
      </c>
      <c r="C127" s="46" t="n"/>
      <c r="D127" s="45" t="inlineStr">
        <is>
          <t>Ibuprofen</t>
        </is>
      </c>
      <c r="E127" s="45" t="inlineStr">
        <is>
          <t>Diclofenac</t>
        </is>
      </c>
      <c r="F127" s="45" t="inlineStr">
        <is>
          <t>Naproxen</t>
        </is>
      </c>
      <c r="G127" s="45" t="inlineStr">
        <is>
          <t>Sulindac</t>
        </is>
      </c>
      <c r="H127" s="45" t="inlineStr">
        <is>
          <t>Parecoxib</t>
        </is>
      </c>
      <c r="I127" s="44" t="inlineStr">
        <is>
          <t>1</t>
        </is>
      </c>
      <c r="J127" s="45" t="inlineStr">
        <is>
          <t>✅ คำตอบที่ถูกต้อง: ข้อ ก. Ibuprofen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Ibuprofen การเลือก Ibuprofen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(Diclofenac): Diclofenac เป็น NSAID ที่มีฤทธิ์ยับยั้ง COX-2 สูงเมื่อเทียบกับ COX-1 จึงเพิ่มความเสี่ยงต่อเหตุการณ์ทางหัวใจและหลอดเลือด (CV risk) ค่อนข้างมาก
• ข้อ ค. (Naproxen): Naproxen เป็น non-selective NSAID ที่มีข้อมูลชี้ว่ามีความปลอดภัยต่อระบบหัวใจและหลอดเลือดมากที่สุดในกลุ่ม แต่ยังมีผลต่อทางเดินอาหาร
• ข้อ ง. (Sulindac): Sulindac เป็น NSAID ที่มีผลต่อการทำงานของไตน้อย แต่ไม่มีข้อมูลชัดเจนว่าปลอดภัยต่อโรคหลอดเลือดหัวใจมากที่สุดเทียบกับ Naproxen
• ข้อ จ. (Parecoxib): Parecoxib เป็นยาฉีดในกลุ่ม COX-2 inhibitor ซึ่งข้อห้ามใช้รวมถึงผู้ป่วยที่เพิ่งผ่าตัดทำ CABG หรือมี CV risk 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27" s="46" t="n"/>
      <c r="L127" s="45" t="inlineStr">
        <is>
          <t>Hypertension</t>
        </is>
      </c>
      <c r="M127" s="46" t="inlineStr">
        <is>
          <t>Clinic</t>
        </is>
      </c>
      <c r="N127" s="45" t="inlineStr">
        <is>
          <t>ข้อ 67 (PLE_CC1_2558_Key.md)</t>
        </is>
      </c>
      <c r="O127" s="46" t="inlineStr">
        <is>
          <t>ข้อสอบจริง</t>
        </is>
      </c>
      <c r="P127" s="46" t="inlineStr">
        <is>
          <t>ปี 2558</t>
        </is>
      </c>
    </row>
    <row r="128" ht="409.6" customHeight="1" s="37">
      <c r="A128" s="44" t="n">
        <v>126</v>
      </c>
      <c r="B128" s="45" t="inlineStr">
        <is>
          <t>ถ้าผู้ป่วยติดเชื้อในช่องท้อง (SBP) ยาใดที่ควรให้</t>
        </is>
      </c>
      <c r="C128" s="46" t="n"/>
      <c r="D128" s="45" t="inlineStr">
        <is>
          <t>Imipenem</t>
        </is>
      </c>
      <c r="E128" s="45" t="inlineStr">
        <is>
          <t>Ceftazidime IV</t>
        </is>
      </c>
      <c r="F128" s="45" t="inlineStr">
        <is>
          <t>Cefotaxime IV</t>
        </is>
      </c>
      <c r="G128" s="45" t="inlineStr">
        <is>
          <t>Norfloxacin oral</t>
        </is>
      </c>
      <c r="H128" s="45" t="inlineStr">
        <is>
          <t>Amoxicillin/clavulanic IV</t>
        </is>
      </c>
      <c r="I128" s="44" t="inlineStr">
        <is>
          <t>1</t>
        </is>
      </c>
      <c r="J128" s="45" t="inlineStr">
        <is>
          <t>✅ คำตอบที่ถูกต้อง: ข้อ ก. Imipenem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Imipenem การเลือก Imipenem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(Ceftazidime IV): Mixtard มีส่วนผสมของ NPH ซึ่งเป็น suspension จึงห้ามบริหารยาทางหลอดเลือดดำ (IV) โดยเด็ดขาด
• ข้อ ค. (Cefotaxime IV): Mixtard มีส่วนผสมของ NPH ซึ่งเป็น suspension จึงห้ามบริหารยาทางหลอดเลือดดำ (IV) โดยเด็ดขาด
• ข้อ ง. (Norfloxacin oral): Norfloxacin ชนิดรับประทานมักใช้เป็นยาป้องกัน (Prophylaxis) SBP ไม่ใช่ยาหลักที่ใช้รักษาในภาวะ acute infection ที่ต้องใช้ยาฉีดเข้าหลอดเลือดดำ
• ข้อ จ. (Amoxicillin/clavulanic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8" s="46" t="n"/>
      <c r="L128" s="45" t="inlineStr">
        <is>
          <t>Hypertension</t>
        </is>
      </c>
      <c r="M128" s="46" t="inlineStr">
        <is>
          <t>Clinic</t>
        </is>
      </c>
      <c r="N128" s="45" t="inlineStr">
        <is>
          <t>ข้อ 88 (PLE_CC1_2558_Key.md)</t>
        </is>
      </c>
      <c r="O128" s="46" t="inlineStr">
        <is>
          <t>ข้อสอบจริง</t>
        </is>
      </c>
      <c r="P128" s="46" t="inlineStr">
        <is>
          <t>ปี 2558</t>
        </is>
      </c>
    </row>
    <row r="129" ht="409.6" customHeight="1" s="37">
      <c r="A129" s="44" t="n">
        <v>127</v>
      </c>
      <c r="B129" s="45" t="inlineStr">
        <is>
          <t>เชื้อสาเหตุของ SBP คือข้อใด</t>
        </is>
      </c>
      <c r="C129" s="46" t="n"/>
      <c r="D129" s="45" t="inlineStr">
        <is>
          <t>S. aureus</t>
        </is>
      </c>
      <c r="E129" s="45" t="inlineStr">
        <is>
          <t>S. pyogenes</t>
        </is>
      </c>
      <c r="F129" s="45" t="inlineStr">
        <is>
          <t>K. pneumoniea</t>
        </is>
      </c>
      <c r="G129" s="45" t="inlineStr">
        <is>
          <t>P. aeroginosa</t>
        </is>
      </c>
      <c r="H129" s="45" t="inlineStr">
        <is>
          <t>Proteus mirabilis</t>
        </is>
      </c>
      <c r="I129" s="44" t="inlineStr">
        <is>
          <t>1</t>
        </is>
      </c>
      <c r="J129" s="45" t="inlineStr">
        <is>
          <t>✅ คำตอบที่ถูกต้อง: ข้อ ก. S. aureus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 aureus การเลือก S. aureus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 pyogenes): Streptococcus pyogenes (Group A Strep) มักก่อโรคที่ผิวหนัง ทางเดินหายใจ ไม่ใช่เชื้อฉวยโอกาสที่เป็นสาเหตุหลักของ SBP ในผู้ป่วยตับแข็ง
• ข้อ ค. (K. pneumoniea): แบคทีเรียแกรมลบในลำไส้ เช่น E. coli หรือ K. pneumoniae เป็นสาเหตุหลักของการเกิด Spontaneous Bacterial Peritonitis
• ข้อ ง. (P. aeroginosa): Pseudomonas aeruginosa เป็นเชื้อก่อโรคฉวยโอกาสในโรงพยาบาล พบได้น้อยมากในภาวะ SBP เว้นแต่ผู้ป่วยมีประวัตินอนโรงพยาบาลนาน
• ข้อ จ. (Proteus mirabilis): Proteus mirabilis เป็นแบคทีเรียแกรมลบที่มักพบในการติดเชื้อทางเดินปัสสาวะ (UTI) ไม่ใช่เชื้อที่พบเป็นอันดับแรกใน SBP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9" s="46" t="n"/>
      <c r="L129" s="45" t="inlineStr">
        <is>
          <t>Hypertension</t>
        </is>
      </c>
      <c r="M129" s="46" t="inlineStr">
        <is>
          <t>Clinic</t>
        </is>
      </c>
      <c r="N129" s="45" t="inlineStr">
        <is>
          <t>ข้อ 90 (PLE_CC1_2558_Key.md)</t>
        </is>
      </c>
      <c r="O129" s="46" t="inlineStr">
        <is>
          <t>ข้อสอบจริง</t>
        </is>
      </c>
      <c r="P129" s="46" t="inlineStr">
        <is>
          <t>ปี 2558</t>
        </is>
      </c>
    </row>
    <row r="130" ht="409.6" customHeight="1" s="37">
      <c r="A130" s="44" t="n">
        <v>128</v>
      </c>
      <c r="B130" s="45" t="inlineStr">
        <is>
          <t>ข้อใดคืออาการไม่พึงประสงค์ที่พบบ่อยจาก cyclophosphamide</t>
        </is>
      </c>
      <c r="C130" s="46" t="n"/>
      <c r="D130" s="45" t="inlineStr">
        <is>
          <t>Mucositis</t>
        </is>
      </c>
      <c r="E130" s="45" t="inlineStr">
        <is>
          <t>Neuropathy</t>
        </is>
      </c>
      <c r="F130" s="45" t="inlineStr">
        <is>
          <t>Hemorrhagic cystitis</t>
        </is>
      </c>
      <c r="G130" s="45" t="inlineStr">
        <is>
          <t>Hand foot syndrome</t>
        </is>
      </c>
      <c r="H130" s="45" t="inlineStr">
        <is>
          <t>Anemia</t>
        </is>
      </c>
      <c r="I130" s="44" t="inlineStr">
        <is>
          <t>1</t>
        </is>
      </c>
      <c r="J130" s="45" t="inlineStr">
        <is>
          <t>✅ คำตอบที่ถูกต้อง: ข้อ ก. Mucositis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Mucositis การเลือก Mucositis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(Neuropathy): Peripheral neuropathy มักสัมพันธ์กับยากลุ่ม Vinca alkaloids (เช่น Vincristine) หรือ Platinum-based (เช่น Oxaliplatin) ไม่ใช่ Cyclophosphamide
• ข้อ ค. (Hemorrhagic cystitis): Hemorrhagic cystitis เป็นอาการข้างเคียงเฉพาะของ Cyclophosphamide และ Ifosfamide เกิดจากสาร Acrolein ทำลายเยื่อบุท่อปัสสาวะ
• ข้อ ง. (Hand foot syndrome): Hand-foot syndrome เป็นอาการข้างเคียงที่เด่นชัดของยา Capecitabine และ 5-FU ไม่ใช่เกิดจาก Cyclophosphamide
• ข้อ จ. (Anemia): แม้ Cyclophosphamide จะมีฤทธิ์กดไขกระดูก (Myelosuppression) ทำให้เกิด anemia ได้ แต่อาการแทรกซ้อนเฉพาะตัวที่ต้องระวังเป็นพิเศษคือ Hemorrhagic cystitis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0" s="46" t="n"/>
      <c r="L130" s="45" t="inlineStr">
        <is>
          <t>Hypertension</t>
        </is>
      </c>
      <c r="M130" s="46" t="inlineStr">
        <is>
          <t>Clinic</t>
        </is>
      </c>
      <c r="N130" s="45" t="inlineStr">
        <is>
          <t>ข้อ 63 (PLE_CC1_2558_Key.md)</t>
        </is>
      </c>
      <c r="O130" s="46" t="inlineStr">
        <is>
          <t>ข้อสอบจริง</t>
        </is>
      </c>
      <c r="P130" s="46" t="inlineStr">
        <is>
          <t>ปี 2558</t>
        </is>
      </c>
    </row>
    <row r="131" ht="409.6" customHeight="1" s="37">
      <c r="A131" s="44" t="n">
        <v>129</v>
      </c>
      <c r="B131" s="45" t="inlineStr">
        <is>
          <t>Cyclophosphamide ออกฤทธิ์อย่างไร</t>
        </is>
      </c>
      <c r="C131" s="46" t="n"/>
      <c r="D131" s="45" t="inlineStr">
        <is>
          <t>Inhibit depolymerization of mitotic spindle</t>
        </is>
      </c>
      <c r="E131" s="45" t="inlineStr">
        <is>
          <t>Intercalation</t>
        </is>
      </c>
      <c r="F131" s="45" t="inlineStr">
        <is>
          <t>Alkylated DNA</t>
        </is>
      </c>
      <c r="G131" s="45" t="inlineStr">
        <is>
          <t>Inhibit polymerization of microtubule</t>
        </is>
      </c>
      <c r="H131" s="45" t="inlineStr">
        <is>
          <t>Inhibit topoisomerase IV</t>
        </is>
      </c>
      <c r="I131" s="44" t="inlineStr">
        <is>
          <t>1</t>
        </is>
      </c>
      <c r="J131" s="45" t="inlineStr">
        <is>
          <t>✅ คำตอบที่ถูกต้อง: ข้อ ก. Inhibit depolymerization of mitotic spindle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Inhibit depolymerization of mitotic spindle การเลือก Inhibit depolymerization of mitotic spindle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(Intercalation): กระบวนการ Intercalation คือการแทรกตัวเข้าไปใน DNA ซึ่งเป็นกลไกหลักของยากลุ่ม Anthracyclines (เช่น Doxorubicin)
• ข้อ ค. (Alkylated DNA): Cyclophosphamide ออกฤทธิ์เป็น Alkylating agent ทำให้เกิดการ cross-link บนสาย DNA ทำให้เซลล์แบ่งตัวไม่ได้
• ข้อ ง. (Inhibit polymerization of microtubule): ยาที่ Inhibit polymerization of microtubule คือกลุ่ม Vinca alkaloids (เช่น Vincristine) ไม่ใช่กลไกของ Cyclophosphamide
• ข้อ จ. (Inhibit topoisomerase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1" s="46" t="n"/>
      <c r="L131" s="45" t="inlineStr">
        <is>
          <t>Hypertension</t>
        </is>
      </c>
      <c r="M131" s="46" t="inlineStr">
        <is>
          <t>Clinic</t>
        </is>
      </c>
      <c r="N131" s="45" t="inlineStr">
        <is>
          <t>ข้อ 65 (PLE_CC1_2558_Key.md)</t>
        </is>
      </c>
      <c r="O131" s="46" t="inlineStr">
        <is>
          <t>ข้อสอบจริง</t>
        </is>
      </c>
      <c r="P131" s="46" t="inlineStr">
        <is>
          <t>ปี 2558</t>
        </is>
      </c>
    </row>
    <row r="132" ht="409.6" customHeight="1" s="37">
      <c r="A132" s="44" t="n">
        <v>130</v>
      </c>
      <c r="B132" s="45" t="inlineStr">
        <is>
          <t>Lopinavir/ritonavir กับ ergotamine เกิด DI ผ่านกลไกใด</t>
        </is>
      </c>
      <c r="C132" s="46" t="n"/>
      <c r="D132" s="45" t="inlineStr">
        <is>
          <t>เพิ่มการ metabolism ของ ergotamine</t>
        </is>
      </c>
      <c r="E132" s="45" t="inlineStr">
        <is>
          <t>เพิ่มการ ขับออกของ ergotamine</t>
        </is>
      </c>
      <c r="F132" s="45" t="inlineStr">
        <is>
          <t>ลดการ metabolism ของ ergotamine</t>
        </is>
      </c>
      <c r="G132" s="45" t="inlineStr">
        <is>
          <t>ลดการ ขับออกของ ergotamine</t>
        </is>
      </c>
      <c r="H132" s="45" t="inlineStr">
        <is>
          <t>เพิ่มการดูดซึม ergotamine</t>
        </is>
      </c>
      <c r="I132" s="44" t="inlineStr">
        <is>
          <t>1</t>
        </is>
      </c>
      <c r="J132" s="45" t="inlineStr">
        <is>
          <t>✅ คำตอบที่ถูกต้อง: ข้อ ก. เพิ่มการ metabolism ของ ergotamine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 metabolism ของ ergotamine การเลือก เพิ่มการ metabolism ของ ergotamine เป็นคำตอบที่ถูกต้องตามแนวทางการรักษามาตรฐาน เนื่องจาก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(เพิ่มการ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(ลดการ metabolism 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ง. (ลดการ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จ. (เพิ่มการดูดซึม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2" s="46" t="n"/>
      <c r="L132" s="45" t="inlineStr">
        <is>
          <t>Hypertension</t>
        </is>
      </c>
      <c r="M132" s="46" t="inlineStr">
        <is>
          <t>Clinic</t>
        </is>
      </c>
      <c r="N132" s="45" t="inlineStr">
        <is>
          <t>ข้อ 70 (PLE_CC1_2558_Key.md)</t>
        </is>
      </c>
      <c r="O132" s="46" t="inlineStr">
        <is>
          <t>ข้อสอบจริง</t>
        </is>
      </c>
      <c r="P132" s="46" t="inlineStr">
        <is>
          <t>ปี 2558</t>
        </is>
      </c>
    </row>
    <row r="133" ht="409.6" customHeight="1" s="37">
      <c r="A133" s="44" t="n">
        <v>131</v>
      </c>
      <c r="B133" s="45" t="inlineStr">
        <is>
          <t>ข้อใดไม่ใช่ผลข้างเคียง Ergotamine</t>
        </is>
      </c>
      <c r="C133" s="46" t="n"/>
      <c r="D133" s="45" t="inlineStr">
        <is>
          <t>N/V</t>
        </is>
      </c>
      <c r="E133" s="45" t="inlineStr">
        <is>
          <t>Hypotension</t>
        </is>
      </c>
      <c r="F133" s="45" t="inlineStr">
        <is>
          <t>Leg weakness</t>
        </is>
      </c>
      <c r="G133" s="45" t="inlineStr">
        <is>
          <t>Neuropathy</t>
        </is>
      </c>
      <c r="H133" s="45" t="inlineStr">
        <is>
          <t>Headache</t>
        </is>
      </c>
      <c r="I133" s="44" t="inlineStr">
        <is>
          <t>1</t>
        </is>
      </c>
      <c r="J133" s="45" t="inlineStr">
        <is>
          <t>✅ คำตอบที่ถูกต้อง: ข้อ ก. N/V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N/V การเลือก N/V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(Hypotension): Ergotamine มีฤทธิ์เป็น non-selective 5-HT receptor agonist และ alpha-agonist ทำให้หลอดเลือดหดตัว อาการข้างเคียงจึงเป็นความดันโลหิตสูง (Hypertension) ไม่ใช่ Hypotension
• ข้อ ค. (Leg weakness): อาการกล้ามเนื้อขาอ่อนแรง หรือชาปลายมือปลายเท้า (Ergotism) เกิดจากฤทธิ์ vasoconstriction ที่รุนแรงของยา Ergotamine
• ข้อ ง. (Neuropathy): Peripheral neuropathy มักสัมพันธ์กับยากลุ่ม Vinca alkaloids (เช่น Vincristine) หรือ Platinum-based (เช่น Oxaliplatin) ไม่ใช่ Cyclophosphamide
• ข้อ จ. (Headache): คลื่นไส้อาเจียนและปวดศีรษะ (Rebound headache) เป็นอาการข้างเคียงที่พบได้บ่อยจากการใช้ Ergotamine เกินขนาด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3" s="46" t="n"/>
      <c r="L133" s="45" t="inlineStr">
        <is>
          <t>Hypertension</t>
        </is>
      </c>
      <c r="M133" s="46" t="inlineStr">
        <is>
          <t>Clinic</t>
        </is>
      </c>
      <c r="N133" s="45" t="inlineStr">
        <is>
          <t>ข้อ 71 (PLE_CC1_2558_Key.md)</t>
        </is>
      </c>
      <c r="O133" s="46" t="inlineStr">
        <is>
          <t>ข้อสอบจริง</t>
        </is>
      </c>
      <c r="P133" s="46" t="inlineStr">
        <is>
          <t>ปี 2558</t>
        </is>
      </c>
    </row>
    <row r="134" ht="409.6" customHeight="1" s="37">
      <c r="A134" s="44" t="n">
        <v>132</v>
      </c>
      <c r="B134" s="45" t="inlineStr">
        <is>
          <t>ตาม guideline ADA 2014 ควรให้ aspirin หรือไม่ อย่างไร</t>
        </is>
      </c>
      <c r="C134" s="46" t="n"/>
      <c r="D134" s="45" t="inlineStr">
        <is>
          <t>ให้เพื่อป้องกันโรคหลอดเลือดหัวใจแบบปฐมภูมิ</t>
        </is>
      </c>
      <c r="E134" s="45" t="inlineStr">
        <is>
          <t>ให้เพื่อป้องกันโรคหลอดเลือดหัวใจแบบทุติยภูมิ</t>
        </is>
      </c>
      <c r="F134" s="45" t="inlineStr">
        <is>
          <t>ไม่ให้เพราะไม่จำเป็นต้องป้องกันโรคหลอดเลือดหัวใจแบบปฐมภูมิ</t>
        </is>
      </c>
      <c r="G134" s="45" t="inlineStr">
        <is>
          <t>ไม่ให้ เพราะไม่จำเป็นต้องป้องกันโรคหลอดเลือดหัวใจแบบทุติยภูมิ</t>
        </is>
      </c>
      <c r="H134" s="45" t="inlineStr">
        <is>
          <t>ไม่ให้ เพราะไม่เข้าเกณฑ์ตาม ADA guideline</t>
        </is>
      </c>
      <c r="I134" s="44" t="inlineStr">
        <is>
          <t>1</t>
        </is>
      </c>
      <c r="J134" s="45" t="inlineStr">
        <is>
          <t>✅ คำตอบที่ถูกต้อง: ข้อ ก. ให้เพื่อป้องกันโรคหลอดเลือดหัวใจแบบปฐมภูมิ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ให้เพื่อป้องกันโรคหลอดเลือดหัวใจแบบปฐมภูมิ การเลือก ให้เพื่อป้องกันโรคหลอดเลือดหัวใจแบบปฐมภูมิ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(ให้เพื่อป้องกันโรคหลอดเลือดหัวใจแบบทุติยภูมิ): การให้ Aspirin ใน primary prevention ปัจจุบันไม่แนะนำเป็นประจำยกเว้นกลุ่มที่มีความเสี่ยงสูงมาก ส่วน secondary prevention ต้องให้เสมอเมื่อเกิดโรคแล้ว
• ข้อ ค. (ไม่ให้เพราะไม่จำเป็นต้องป้องกันโรคหลอดเลือดหัวใจแบบปฐมภูมิ): Aspirin มีข้อบ่งใช้ในการป้องกัน primary prevention ในผู้ป่วยเบาหวานที่มีความเสี่ยงสูงตาม ADA guideline ไม่ได้ห้ามใช้โดยเด็ดขาด
• ข้อ ง. (ไม่ให้ เพราะไม่จำเป็นต้องป้องกันโรคหลอดเลือดหัวใจแบบทุติยภูมิ): ในผู้ป่วยที่มีประวัติโรคหลอดเลือดหัวใจ (secondary prevention) จำเป็นต้องได้รับ Aspirin อย่างหลีกเลี่ยงไม่ได้เพื่อลดการตีบซ้ำ
• ข้อ จ. (ไม่ให้ เพราะไม่เข้าเกณฑ์ตาม ADA guideline): การประเมินเกณฑ์ตาม ADA guideline อาศัยความเสี่ยง 10-year ASCVD risk ซึ่งผู้ป่วยบางรายเข้าเกณฑ์ที่สามารถให้ได้หากมีประโยชน์มากกว่าความเสี่ยงต่อเลือดออก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4" s="46" t="n"/>
      <c r="L134" s="45" t="inlineStr">
        <is>
          <t>Hypertension</t>
        </is>
      </c>
      <c r="M134" s="46" t="inlineStr">
        <is>
          <t>Clinic</t>
        </is>
      </c>
      <c r="N134" s="45" t="inlineStr">
        <is>
          <t>ข้อ 86 (PLE_CC1_2558_Key.md)</t>
        </is>
      </c>
      <c r="O134" s="46" t="inlineStr">
        <is>
          <t>ข้อสอบจริง</t>
        </is>
      </c>
      <c r="P134" s="46" t="inlineStr">
        <is>
          <t>ปี 2558</t>
        </is>
      </c>
    </row>
    <row r="135" ht="409.6" customHeight="1" s="37">
      <c r="A135" s="44" t="n">
        <v>133</v>
      </c>
      <c r="B135" s="45" t="inlineStr">
        <is>
          <t>ผู้ป่วยหญิง อายุ 60 ปี มีความดัน 130/100 จัดอยู่ใน Stage ใดตาม ACC/AHA 2017</t>
        </is>
      </c>
      <c r="C135" s="46" t="n"/>
      <c r="D135" s="45" t="inlineStr">
        <is>
          <t>High normal</t>
        </is>
      </c>
      <c r="E135" s="45" t="inlineStr">
        <is>
          <t>Hypertension Stage 1</t>
        </is>
      </c>
      <c r="F135" s="45" t="inlineStr">
        <is>
          <t>Hypertension Stage 2</t>
        </is>
      </c>
      <c r="G135" s="45" t="inlineStr">
        <is>
          <t>Hypertension Stage 3</t>
        </is>
      </c>
      <c r="H135" s="45" t="inlineStr">
        <is>
          <t>Isolated systolic hypertension</t>
        </is>
      </c>
      <c r="I135" s="44" t="inlineStr">
        <is>
          <t>1</t>
        </is>
      </c>
      <c r="J135" s="45" t="inlineStr">
        <is>
          <t>✅ คำตอบที่ถูกต้อง: ข้อ ก. High normal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High normal การเลือก High normal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(High normal): ตามเกณฑ์ ACC/AHA 2017 ความดัน 130/100 mmHg มีค่า Diastolic &gt;= 90 mmHg จึงถูกจัดอยู่ใน Stage 2 ไม่ใช่ High normal
• ข้อ ข. (Hypertension Stage 1): Hypertension Stage 1 ตาม ACC/AHA 2017 คือความดัน 130-139/80-89 mmHg แต่ผู้ป่วยรายนี้ Diastolic 100 mmHg จึงเข้าเกณฑ์ Stage 2
• ข้อ ง. (Hypertension Stage 3): ACC/AHA 2017 แบ่งความรุนแรงของโรคความดันโลหิตสูงถึงเพียง Stage 2 (&gt;= 140/90) ไม่มีการแบ่ง Stage 3
• ข้อ จ. (Isolated systolic hypertension): Isolated systolic hypertension คือการที่ Systolic &gt;= 140 mmHg แต่ Diastolic &lt; 90 mmHg ซึ่งไม่ตรงกับผู้ป่วยรายนี้ที่ Diastolic สูงถึง 100 mmHg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5" s="46" t="n"/>
      <c r="L135" s="45" t="inlineStr">
        <is>
          <t>Hypertension</t>
        </is>
      </c>
      <c r="M135" s="46" t="inlineStr">
        <is>
          <t>Clinic</t>
        </is>
      </c>
      <c r="N135" s="45" t="inlineStr">
        <is>
          <t>ข้อ 3 (Pharmtutor_2024_Set1.md)</t>
        </is>
      </c>
      <c r="O135" s="46" t="inlineStr">
        <is>
          <t>Mock</t>
        </is>
      </c>
      <c r="P135" s="46" t="inlineStr">
        <is>
          <t>Mock Pharmtutor 2024</t>
        </is>
      </c>
    </row>
    <row r="136" ht="409.6" customHeight="1" s="37">
      <c r="A136" s="44" t="n">
        <v>134</v>
      </c>
      <c r="B136" s="45" t="inlineStr">
        <is>
          <t>ยาใดไม่สามารถลดอัตราการเสียชีวิตจากโรคที่เกี่ยวข้องกับโรคระบบหัวใจและหลอดเลือด</t>
        </is>
      </c>
      <c r="C136" s="46" t="n"/>
      <c r="D136" s="45" t="inlineStr">
        <is>
          <t>ACE inhibitor</t>
        </is>
      </c>
      <c r="E136" s="45" t="inlineStr">
        <is>
          <t>Beta-blocker</t>
        </is>
      </c>
      <c r="F136" s="45" t="inlineStr">
        <is>
          <t>Calcium channel blocker</t>
        </is>
      </c>
      <c r="G136" s="45" t="inlineStr">
        <is>
          <t>Statin</t>
        </is>
      </c>
      <c r="H136" s="45" t="inlineStr">
        <is>
          <t>Aldosterone antagonist</t>
        </is>
      </c>
      <c r="I136" s="44" t="inlineStr">
        <is>
          <t>1</t>
        </is>
      </c>
      <c r="J136" s="45" t="inlineStr">
        <is>
          <t>✅ คำตอบที่ถูกต้อง: ข้อ ก. ACE inhibitor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 inhibitor การเลือก ACE inhibitor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(ACE inhibitor): ACE inhibitor มีหลักฐานเชิงประจักษ์ชัดเจนว่าสามารถลด mortality ในผู้ป่วย HFrEF และโรคหลอดเลือดหัวใจได้ผ่านการลด cardiac remodeling
• ข้อ ข. (Beta-blocker): Beta-blocker สามารถลด mortality ในผู้ป่วย HFrEF ได้โดยลด sympathetic overactivity
• ข้อ ง. (Statin): Statin ลด mortality ในผู้ป่วยที่มีความเสี่ยงโรคหลอดเลือดหัวใจผ่านกลไก pleiotropic effect และลดไขมัน LDL
• ข้อ จ. (Aldosterone antagonist): Aldosterone antagonist (เช่น Spironolactone) ลด mortality ในผู้ป่วย HFrEF โดยยับยั้งกระบวนการ fibrosis ที่หัวใจ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6" s="46" t="n"/>
      <c r="L136" s="45" t="inlineStr">
        <is>
          <t>Hypertension</t>
        </is>
      </c>
      <c r="M136" s="46" t="inlineStr">
        <is>
          <t>Clinic</t>
        </is>
      </c>
      <c r="N136" s="45" t="inlineStr">
        <is>
          <t>ข้อ 7 (Pharmtutor_2024_Set1.md)</t>
        </is>
      </c>
      <c r="O136" s="46" t="inlineStr">
        <is>
          <t>Mock</t>
        </is>
      </c>
      <c r="P136" s="46" t="inlineStr">
        <is>
          <t>Mock Pharmtutor 2024</t>
        </is>
      </c>
    </row>
    <row r="137" ht="409.6" customHeight="1" s="37">
      <c r="A137" s="44" t="n">
        <v>135</v>
      </c>
      <c r="B137" s="45" t="inlineStr">
        <is>
          <t>ผู้ป่วย TG 250 HDL 30 Total cholesterol 280 ผู้ป่วยรายนี้ มี LDL เท่าใด</t>
        </is>
      </c>
      <c r="C137" s="46" t="n"/>
      <c r="D137" s="45" t="inlineStr">
        <is>
          <t>160 mg/dL</t>
        </is>
      </c>
      <c r="E137" s="45" t="inlineStr">
        <is>
          <t>170 mg/dL</t>
        </is>
      </c>
      <c r="F137" s="45" t="inlineStr">
        <is>
          <t>180 mg/dL</t>
        </is>
      </c>
      <c r="G137" s="45" t="inlineStr">
        <is>
          <t>190 mg/dL</t>
        </is>
      </c>
      <c r="H137" s="45" t="inlineStr">
        <is>
          <t>200 mg/dL</t>
        </is>
      </c>
      <c r="I137" s="44" t="inlineStr">
        <is>
          <t>1</t>
        </is>
      </c>
      <c r="J137" s="45" t="inlineStr">
        <is>
          <t>✅ คำตอบที่ถูกต้อง: ข้อ ก. 160 mg/dL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160 mg/dL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(160 mg/dL): ค่า 160 mg/dL ได้จากการคำนวณที่ผิดพลาด โดยสูตร Friedewald equation คือ LDL = TC - HDL - (TG/5)
• ข้อ ข. (170 mg/dL): การแทนค่าและคำนวณที่ไม่ถูกต้องอาจทำให้ได้ 170 mg/dL โดยค่าที่ถูกต้องของ TG/5 คือ 250/5 = 50
• ข้อ ค. (180 mg/dL): 180 mg/dL ไม่ใช่ผลจากการคำนวณด้วยสูตร Friedewald (280 - 30 - 50 = 200 mg/dL)
• ข้อ ง. (190 mg/dL): ค่า 190 mg/dL อาจเกิดจากการใช้สูตรที่ผิดหรือสับสนกับการคำนวณ VLDL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7" s="46" t="n"/>
      <c r="L137" s="45" t="inlineStr">
        <is>
          <t>Hypertension</t>
        </is>
      </c>
      <c r="M137" s="46" t="inlineStr">
        <is>
          <t>Clinic</t>
        </is>
      </c>
      <c r="N137" s="45" t="inlineStr">
        <is>
          <t>ข้อ 8 (Pharmtutor_2024_Set1.md)</t>
        </is>
      </c>
      <c r="O137" s="46" t="inlineStr">
        <is>
          <t>Mock</t>
        </is>
      </c>
      <c r="P137" s="46" t="inlineStr">
        <is>
          <t>Mock Pharmtutor 2024</t>
        </is>
      </c>
    </row>
    <row r="138" ht="409.6" customHeight="1" s="37">
      <c r="A138" s="44" t="n">
        <v>136</v>
      </c>
      <c r="B138" s="45" t="inlineStr">
        <is>
          <t>ซักประวัติเพิ่มเติม ผู้ป่วยแจ้งว่าเริ่มมีอาการหอบเหนื่อยโดยจะมีอาการเมื่อเริ่มเดินเร็วหนือวิ่ง รวมถึงอาการดังกล่าวเริ่มรบกวนชีวิตประจำวันของคนไข้ ดังนั้นแพทย์จึงสั่งตรวจ airflow limitation พบว่าค่า FEV1/FVC = 0.75 ผู้ป่วยรายนี้จัดอยู่ระดับความรุนแรงระดับใด</t>
        </is>
      </c>
      <c r="C138" s="46" t="n"/>
      <c r="D138" s="45" t="inlineStr">
        <is>
          <t>GOLD 1</t>
        </is>
      </c>
      <c r="E138" s="45" t="inlineStr">
        <is>
          <t>GOLD 2</t>
        </is>
      </c>
      <c r="F138" s="45" t="inlineStr">
        <is>
          <t>GOLD 3</t>
        </is>
      </c>
      <c r="G138" s="45" t="inlineStr">
        <is>
          <t>GOLD 4</t>
        </is>
      </c>
      <c r="H138" s="45" t="inlineStr">
        <is>
          <t>GOLD 5</t>
        </is>
      </c>
      <c r="I138" s="44" t="inlineStr">
        <is>
          <t>1</t>
        </is>
      </c>
      <c r="J138" s="45"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(GOLD 2): GOLD 2 คือภาวะที่มี FEV1 อยู่ระหว่าง 50-79% ของค่ามาตรฐาน แต่ค่า FEV1/FVC = 0.75 ยังไม่เข้าเกณฑ์การวินิจฉัย COPD ด้วยซ้ำ
• ข้อ ค. (GOLD 3): GOLD 3 คือ FEV1 อยู่ระหว่าง 30-49% ซึ่งแสดงถึง severe airflow limitation แต่ผู้ป่วยยังไม่ถูกวินิจฉัยเป็น COPD
• ข้อ ง. (GOLD 4): GOLD 4 คือ FEV1 &lt; 30% ซึ่งเป็น very severe แต่ผู้ป่วยมี FEV1/FVC &gt; 0.70 ซึ่งถือว่ายังไม่มี airflow limitation แบบถาวร
• ข้อ จ. (GOLD 5): ระบบ GOLD classification มีการแบ่งความรุนแรงสูงสุดเพียง GOLD 4 ไม่มีการจัดระดับเป็น GOLD 5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8" s="46" t="n"/>
      <c r="L138" s="45" t="inlineStr">
        <is>
          <t>Hypertension</t>
        </is>
      </c>
      <c r="M138" s="46" t="inlineStr">
        <is>
          <t>Clinic</t>
        </is>
      </c>
      <c r="N138" s="45" t="inlineStr">
        <is>
          <t>ข้อ 61 (Pharmtutor_2024_Set1.md)</t>
        </is>
      </c>
      <c r="O138" s="46" t="inlineStr">
        <is>
          <t>Mock</t>
        </is>
      </c>
      <c r="P138" s="46" t="inlineStr">
        <is>
          <t>Mock Pharmtutor 2024</t>
        </is>
      </c>
    </row>
    <row r="139" ht="409.6" customHeight="1" s="37">
      <c r="A139" s="44" t="n">
        <v>137</v>
      </c>
      <c r="B139" s="45" t="inlineStr">
        <is>
          <t>ผู้ป่วยหญิงไทย ได้รับการวินิจฉัยเป็นมะเร็งเต้านม แพทย์จึงได้ทำการผ่าตัดและให้ยาเคมีบำบัดสูตร AC regimen ซึ่งประกอบด้วย cyclophosphamide และ doxorubicin Lab: Hb 13 %, Hct 38%, WBC 2100, Neutrophil 53%, Platelet 250,000 cell/mm3 ผู้ป่วยรายนี้ควรได้รับการ monitor ค่าใดก่อนได้รับยา</t>
        </is>
      </c>
      <c r="C139" s="46" t="n"/>
      <c r="D139" s="45" t="inlineStr">
        <is>
          <t>Visual change</t>
        </is>
      </c>
      <c r="E139" s="45" t="inlineStr">
        <is>
          <t>LFT</t>
        </is>
      </c>
      <c r="F139" s="45" t="inlineStr">
        <is>
          <t>eGFR</t>
        </is>
      </c>
      <c r="G139" s="45" t="inlineStr">
        <is>
          <t>CBC</t>
        </is>
      </c>
      <c r="H139" s="45" t="inlineStr">
        <is>
          <t>LVEF</t>
        </is>
      </c>
      <c r="I139" s="44" t="inlineStr">
        <is>
          <t>1</t>
        </is>
      </c>
      <c r="J139" s="45" t="inlineStr">
        <is>
          <t>✅ คำตอบที่ถูกต้อง: ข้อ ก. Visual change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Visual change การเลือก Visual change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(Visual change): Visual change เป็นผลข้างเคียงที่พบได้จากยาบางชนิดเช่น Voriconazole แต่ไม่ใช่จุดหลักที่ต้อง monitor สำหรับ Doxorubicin หรือ Cyclophosphamide
• ข้อ ข. (LFT): LFT แม้ควรประเมินก่อนให้ยาเคมีบำบัด แต่ LVEF เป็นค่าที่สำคัญและจำเพาะที่สุดสำหรับ Doxorubicin เพื่อป้องกัน irreversible cardiotoxicity
• ข้อ ค. (eGFR): eGFR จำเป็นสำหรับยาที่ขับทางไตอย่าง Platinum compounds แต่สำหรับสูตร AC regimen ความเสี่ยงสำคัญอยู่ที่หัวใจ
• ข้อ ง. (CBC): CBC มีความสำคัญในการประเมิน myelosuppression แต่ผู้ป่วยมีผล lab CBC มาให้แล้ว และ LVEF เป็นสิ่งที่ห้ามลืมประเมินก่อนให้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9" s="46" t="n"/>
      <c r="L139" s="45" t="inlineStr">
        <is>
          <t>Hypertension</t>
        </is>
      </c>
      <c r="M139" s="46" t="inlineStr">
        <is>
          <t>Clinic</t>
        </is>
      </c>
      <c r="N139" s="45" t="inlineStr">
        <is>
          <t>ข้อ 80 (Pharmtutor_2024_Set1.md)</t>
        </is>
      </c>
      <c r="O139" s="46" t="inlineStr">
        <is>
          <t>Mock</t>
        </is>
      </c>
      <c r="P139" s="46" t="inlineStr">
        <is>
          <t>Mock Pharmtutor 2024</t>
        </is>
      </c>
    </row>
    <row r="140" ht="409.6" customHeight="1" s="37">
      <c r="A140" s="44" t="n">
        <v>138</v>
      </c>
      <c r="B140" s="45" t="inlineStr">
        <is>
          <t>ยาในข้อใดต่อไปนี้สามารถช่วยลดอาการข้างเคียงที่เป็นพิษต่อหัวใจ จากยา Doxorubicin</t>
        </is>
      </c>
      <c r="C140" s="46" t="n"/>
      <c r="D140" s="45" t="inlineStr">
        <is>
          <t>DMSO</t>
        </is>
      </c>
      <c r="E140" s="45" t="inlineStr">
        <is>
          <t>Dexrazoxane</t>
        </is>
      </c>
      <c r="F140" s="45" t="inlineStr">
        <is>
          <t>Dextromethorphan</t>
        </is>
      </c>
      <c r="G140" s="45" t="inlineStr">
        <is>
          <t>Dexamethasone</t>
        </is>
      </c>
      <c r="H140" s="45" t="inlineStr">
        <is>
          <t>Drospirenone</t>
        </is>
      </c>
      <c r="I140" s="44" t="inlineStr">
        <is>
          <t>1</t>
        </is>
      </c>
      <c r="J140" s="45" t="inlineStr">
        <is>
          <t>✅ คำตอบที่ถูกต้อง: ข้อ ก. DMSO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DMSO การเลือก DMSO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(DMSO): DMSO ใช้เป็นตัวทำละลายและใช้ทาภายนอกสำหรับอาการ extravasation ของยาเคมีบำบัด ไม่ได้ป้องกัน cardiotoxicity
• ข้อ ค. (Dextromethorphan): Dextromethorphan เป็นยาระงับอาการไอ ออกฤทธิ์ที่ NMDA receptor ไม่มีผลป้องกันพิษต่อหัวใจจาก Doxorubicin
• ข้อ ง. (Dexamethasone): Dexamethasone เป็น corticosteroid ที่ใช้ป้องกันอาการคลื่นไส้อาเจียนจากยาเคมีบำบัด ไม่สามารถป้องกัน cardiotoxicity ได้
• ข้อ จ. (Drospirenone): Drospirenone เป็นฮอร์โมนโปรเจสตินที่ใช้ในยาคุมกำเนิด ไม่มีฤทธิ์ป้องกันการเกิดอนุมูลอิสระจากยา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0" s="46" t="n"/>
      <c r="L140" s="45" t="inlineStr">
        <is>
          <t>Hypertension</t>
        </is>
      </c>
      <c r="M140" s="46" t="inlineStr">
        <is>
          <t>Clinic</t>
        </is>
      </c>
      <c r="N140" s="45" t="inlineStr">
        <is>
          <t>ข้อ 81 (Pharmtutor_2024_Set1.md)</t>
        </is>
      </c>
      <c r="O140" s="46" t="inlineStr">
        <is>
          <t>Mock</t>
        </is>
      </c>
      <c r="P140" s="46" t="inlineStr">
        <is>
          <t>Mock Pharmtutor 2024</t>
        </is>
      </c>
    </row>
    <row r="141" ht="409.6" customHeight="1" s="37">
      <c r="A141" s="44" t="n">
        <v>139</v>
      </c>
      <c r="B141" s="45" t="inlineStr">
        <is>
          <t>กลไกใดของยา Doxorubicin ทำให้เกิดอาการข้างเคียงที่เป็นพิษต่อหัวใจ</t>
        </is>
      </c>
      <c r="C141" s="46" t="n"/>
      <c r="D141" s="45" t="inlineStr">
        <is>
          <t>Alkylating agent</t>
        </is>
      </c>
      <c r="E141" s="45" t="inlineStr">
        <is>
          <t>Intercalation</t>
        </is>
      </c>
      <c r="F141" s="45" t="inlineStr">
        <is>
          <t>Free radical formation</t>
        </is>
      </c>
      <c r="G141" s="45" t="inlineStr">
        <is>
          <t>Topoisomerase inhibitors</t>
        </is>
      </c>
      <c r="H141" s="45" t="inlineStr">
        <is>
          <t>Inhibit tubulin assembly</t>
        </is>
      </c>
      <c r="I141" s="44" t="inlineStr">
        <is>
          <t>1</t>
        </is>
      </c>
      <c r="J141" s="45"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(Alkylating agent): Alkylating agent เป็นกลไกของยา Cyclophosphamide ซึ่งเชื่อมสาย DNA แต่ไม่ใช่กลไกหลักที่ทำให้เกิด cardiotoxicity ของ Doxorubicin
• ข้อ ข. (Intercalation): Intercalation เข้าไประหว่างสาย DNA เป็นกลไกการออกฤทธิ์ฆ่าเซลล์มะเร็งของ Doxorubicin ไม่ใช่กลไกหลักที่ทำให้เกิดพิษต่อหัวใจ
• ข้อ ง. (Topoisomerase inhibitors): Topoisomerase inhibitors เป็นฤทธิ์ในการยับยั้งเอนไซม์ที่คลายปม DNA ซึ่งเป็นกลไกการรักษามะเร็ง ไม่ใช่กลไกของพิษต่อหัวใจ
• ข้อ จ. (Inhibit tubulin assembly): Inhibit tubulin assembly เป็นกลไกของกลุ่มยา Vinca alkaloids และ Taxanes ไม่มีส่วนเกี่ยวข้องกับยา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1" s="46" t="n"/>
      <c r="L141" s="45" t="inlineStr">
        <is>
          <t>Hypertension</t>
        </is>
      </c>
      <c r="M141" s="46" t="inlineStr">
        <is>
          <t>Clinic</t>
        </is>
      </c>
      <c r="N141" s="45" t="inlineStr">
        <is>
          <t>ข้อ 82 (Pharmtutor_2024_Set1.md)</t>
        </is>
      </c>
      <c r="O141" s="46" t="inlineStr">
        <is>
          <t>Mock</t>
        </is>
      </c>
      <c r="P141" s="46" t="inlineStr">
        <is>
          <t>Mock Pharmtutor 2024</t>
        </is>
      </c>
    </row>
    <row r="142" ht="409.6" customHeight="1" s="37">
      <c r="A142" s="44" t="n">
        <v>140</v>
      </c>
      <c r="B142" s="45" t="inlineStr">
        <is>
          <t>ผู้ป่วยชายไทย อายุ 54 ปี มีประวัติโรคความดันโลหิตสูง รับประทานยา Lorsatan มาเป็นระยะเวลา 20 ปี วันนี้มีตรวจตามนักพบว่า ค่าความดันอยู่ที่ 150/110 หมอพิจารณาเพิ่มยาตัวใหม่เพื่อควบคุมอาการ ซึ่งยาดังกล่าวอาจส่งผลต่อการทำงานต่อไต จึงส่งปรึกษาเภสัชเกี่ยวกับการทำงานของไต โดยผู้ป่วยรายนี้ น้ำหนัก 67 kg สูง 172 cm sCr 1.2 mg/dL จงคำนวณหาค่า CrCl</t>
        </is>
      </c>
      <c r="C142" s="46" t="n"/>
      <c r="D142" s="45" t="inlineStr">
        <is>
          <t>62.5 mL/min</t>
        </is>
      </c>
      <c r="E142" s="45" t="inlineStr">
        <is>
          <t>65.8 mL/min</t>
        </is>
      </c>
      <c r="F142" s="45" t="inlineStr">
        <is>
          <t>66.7 mL/min</t>
        </is>
      </c>
      <c r="G142" s="45" t="inlineStr">
        <is>
          <t>72.7 mL/min</t>
        </is>
      </c>
      <c r="H142" s="45" t="inlineStr">
        <is>
          <t>75.4 mL/min</t>
        </is>
      </c>
      <c r="I142" s="44" t="inlineStr">
        <is>
          <t>1</t>
        </is>
      </c>
      <c r="J142" s="45" t="inlineStr">
        <is>
          <t>✅ คำตอบที่ถูกต้อง: ข้อ ก. 62.5 mL/min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62.5 mL/min การเลือก 62.5 mL/min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(62.5 mL/min): ค่านี้อาจเกิดจากการลืมคูณด้วย 0.85 สำหรับเพศหญิง แต่โจทย์ระบุว่าเป็นผู้ป่วยชาย การคำนวณจึงไม่ต้องคูณ 0.85
• ข้อ ข. (65.8 mL/min): ค่า 65.8 อาจมาจากการใช้ Ideal Body Weight ผิดพลาด โดยในกรณีนี้ผู้ป่วยน้ำหนักจริง 67 kg ซึ่งใกล้เคียง IBW จึงใช้คำนวณได้เลย
• ข้อ ง. (72.7 mL/min): ค่า 72.7 อาจเกิดจากการสลับตัวเลขหรือใช้สูตรผิดพลาด ค่าที่ถูกต้องตาม Cockcroft-Gault คือ 66.7 mL/min
• ข้อ จ. (75.4 mL/min): การคำนวณได้ 75.4 mL/min เป็นผลจากการใส่น้ำหนักเกินจริงหรือใช้อายุที่ผิดพลาดจากสูตร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2" s="46" t="n"/>
      <c r="L142" s="45" t="inlineStr">
        <is>
          <t>Hypertension</t>
        </is>
      </c>
      <c r="M142" s="46" t="inlineStr">
        <is>
          <t>Clinic</t>
        </is>
      </c>
      <c r="N142" s="45" t="inlineStr">
        <is>
          <t>ข้อ 88 (Pharmtutor_2024_Set1.md)</t>
        </is>
      </c>
      <c r="O142" s="46" t="inlineStr">
        <is>
          <t>Mock</t>
        </is>
      </c>
      <c r="P142" s="46" t="inlineStr">
        <is>
          <t>Mock Pharmtutor 2024</t>
        </is>
      </c>
    </row>
    <row r="143" ht="409.6" customHeight="1" s="37">
      <c r="A143" s="44" t="n">
        <v>141</v>
      </c>
      <c r="B143" s="45" t="inlineStr">
        <is>
          <t>3 เดือนถัดมา พบว่าผู้ป่วยมาตามนัดพบว่า GFR การทำงานของไตอยู่ที่ 49 mL/min/1.73 m2 แพทย์จึงสั่งตรวจทางห้องปฏิบัติการเพิ่มเติมพบว่า K = 4.0 mmol/L Na = 130 mmol/L Hb 14.1 g/dL และ PO4 5.2 mg/dL จากอาการข้างต้นของคนไข้ ผู้ป่วยรายดังกล่าวจัดแยู่ในภาวะ CKD stage ใด</t>
        </is>
      </c>
      <c r="C143" s="46" t="n"/>
      <c r="D143" s="45" t="inlineStr">
        <is>
          <t>Stage 1</t>
        </is>
      </c>
      <c r="E143" s="45" t="inlineStr">
        <is>
          <t>Stage 2</t>
        </is>
      </c>
      <c r="F143" s="45" t="inlineStr">
        <is>
          <t>Stage 3</t>
        </is>
      </c>
      <c r="G143" s="45" t="inlineStr">
        <is>
          <t>Stage 4</t>
        </is>
      </c>
      <c r="H143" s="45" t="inlineStr">
        <is>
          <t>Stage 5</t>
        </is>
      </c>
      <c r="I143" s="44" t="inlineStr">
        <is>
          <t>1</t>
        </is>
      </c>
      <c r="J143" s="45" t="inlineStr">
        <is>
          <t>✅ คำตอบที่ถูกต้อง: ข้อ ก. Stage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Stage 1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(Stage 1): Stage 1 คือ GFR &gt;= 90 mL/min/1.73m2 ซึ่งทำงานปกติหรือสูงกว่าปกติ แต่ผู้ป่วยรายนี้มี GFR ลดลงเหลือ 49 แล้ว
• ข้อ ข. (Stage 2): Stage 2 คือ GFR อยู่ระหว่าง 60-89 mL/min/1.73m2 แสดงถึงการทำงานของไตลดลงเล็กน้อย
• ข้อ ง. (Stage 4): Stage 4 คือ GFR 15-29 mL/min/1.73m2 เป็นระดับที่มีความเสียหายรุนแรง เตรียมพร้อมบำบัดทดแทนไต
• ข้อ จ. (Stage 5): Stage 5 คือ GFR &lt; 15 mL/min/1.73m2 ซึ่งเข้าสู่ภาวะไตวายระยะสุดท้าย (ESRD)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3" s="46" t="n"/>
      <c r="L143" s="45" t="inlineStr">
        <is>
          <t>Hypertension</t>
        </is>
      </c>
      <c r="M143" s="46" t="inlineStr">
        <is>
          <t>Clinic</t>
        </is>
      </c>
      <c r="N143" s="45" t="inlineStr">
        <is>
          <t>ข้อ 89 (Pharmtutor_2024_Set1.md)</t>
        </is>
      </c>
      <c r="O143" s="46" t="inlineStr">
        <is>
          <t>Mock</t>
        </is>
      </c>
      <c r="P143" s="46" t="inlineStr">
        <is>
          <t>Mock Pharmtutor 2024</t>
        </is>
      </c>
    </row>
    <row r="144" ht="409.6" customHeight="1" s="37">
      <c r="A144" s="44" t="n">
        <v>142</v>
      </c>
      <c r="B144" s="45" t="inlineStr">
        <is>
          <t>หากนำ aspirin มาเคราะห์ความบริสุทธิ์จะมีโอกาสพบสารใด</t>
        </is>
      </c>
      <c r="C144" s="46" t="n"/>
      <c r="D144" s="45" t="inlineStr">
        <is>
          <t>Citric acid</t>
        </is>
      </c>
      <c r="E144" s="45" t="inlineStr">
        <is>
          <t>Ascorbic acid</t>
        </is>
      </c>
      <c r="F144" s="45" t="inlineStr">
        <is>
          <t>Sulfuric acid</t>
        </is>
      </c>
      <c r="G144" s="45" t="inlineStr">
        <is>
          <t>Salicylic acid</t>
        </is>
      </c>
      <c r="H144" s="45" t="inlineStr">
        <is>
          <t>ถูกทุกข้อ</t>
        </is>
      </c>
      <c r="I144" s="44" t="inlineStr">
        <is>
          <t>1</t>
        </is>
      </c>
      <c r="J144" s="45" t="inlineStr">
        <is>
          <t>✅ คำตอบที่ถูกต้อง: ข้อ ก. Citric acid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Citric acid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(Citric acid): Citric acid ไม่ได้เป็นสารตั้งต้นหรือผลิตภัณฑ์จากการสลายตัวของการสังเคราะห์ Aspirin
• ข้อ ข. (Ascorbic acid): Ascorbic acid หรือ Vitamin C ไม่มีโครงสร้างที่เกี่ยวข้องกับกระบวนการสังเคราะห์ Aspirin
• ข้อ ค. (Sulfuric acid): Sulfuric acid ใช้เป็นตัวเร่งปฏิกิริยาในการสังเคราะห์ แต่สารปนเปื้อนหลักที่พบจากการสลายตัวคือ Salicylic acid
• ข้อ จ. (ถูกทุกข้อ): ตัวเลือกอื่นไม่ใช่สารปนเปื้อนที่เกิดจากการสลายตัวของ Aspirin เมื่อถูกความชื้น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4" s="46" t="n"/>
      <c r="L144" s="45" t="inlineStr">
        <is>
          <t>Hypertension</t>
        </is>
      </c>
      <c r="M144" s="46" t="inlineStr">
        <is>
          <t>Clinic</t>
        </is>
      </c>
      <c r="N144" s="45" t="inlineStr">
        <is>
          <t>ข้อ 92 (Pharmtutor_2024_Set1.md)</t>
        </is>
      </c>
      <c r="O144" s="46" t="inlineStr">
        <is>
          <t>Mock</t>
        </is>
      </c>
      <c r="P144" s="46" t="inlineStr">
        <is>
          <t>Mock Pharmtutor 2024</t>
        </is>
      </c>
    </row>
    <row r="145" ht="409.6" customHeight="1" s="37">
      <c r="A145" s="44" t="n">
        <v>143</v>
      </c>
      <c r="B145" s="45" t="inlineStr">
        <is>
          <t>การศึกษาเปรียบเทียบการใช้ยา Lamivudine และ Tenofovir/Lamivudine ในการป้องกันการเกิดภาวะตับอักเสบบี ในอาษาสมัครจำนวน 1,245 คน โดยผลการรักษาพบว่า RR ของการศึกษานี้เท่ากับ 0.61 (95%CI 0.45-0.87) จากผลการศึกษาดังกล่าวข้อใดกล่าวถูกต้อง</t>
        </is>
      </c>
      <c r="C145" s="46" t="n"/>
      <c r="D145" s="45" t="inlineStr">
        <is>
          <t>การใช้ยา Lamivudine มีประสิทธิภาพป้องกันการเกิดภาวะตับอักเสบได้มากกว่า Tenofovir/Lamivudine</t>
        </is>
      </c>
      <c r="E145" s="45" t="inlineStr">
        <is>
          <t>ผลการศึกษาดังกล่าวแสดงถึง significance level ที่ 0.05 เนื่องจากค่า 95%CI ไม่คร่อม 1</t>
        </is>
      </c>
      <c r="F145" s="45" t="inlineStr">
        <is>
          <t>ควรทำการศึกษาเพิ่มเติม เนื่องจากผลของการศึกษา RR เข้าใกล้ 0.5</t>
        </is>
      </c>
      <c r="G145" s="45" t="inlineStr">
        <is>
          <t>จำนวนอาสาสมัครที่เข้าร่วมการศึกษามีจำนวนมากจนเกินไป ผลอาจทำให้คลาดเคลื่อนได้</t>
        </is>
      </c>
      <c r="H145" s="45" t="inlineStr">
        <is>
          <t>ถูกทุกข้อ</t>
        </is>
      </c>
      <c r="I145" s="44" t="inlineStr">
        <is>
          <t>1</t>
        </is>
      </c>
      <c r="J145" s="45" t="inlineStr">
        <is>
          <t>✅ คำตอบที่ถูกต้อง: ข้อ ก. การใช้ยา Lamivudine มีประสิทธิภาพป้องกันการเกิดภาวะตับอักเสบได้มากกว่า Tenofovir/Lamivudine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การใช้ยา Lamivudine มีประสิทธิภาพป้องกันการเกิดภาวะตับอักเสบได้มากกว่า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Nucleotide reverse transcriptase inhibitor (NRTI) แกนหลักใน HIV และ HBV therapy แต่ TDF ต้องระวัง nephrotoxicity (Fanconi syndrome) และ bone mineral density loss
🔍 ข้ออื่นผิดเพราะอะไร:
• ข้อ ก. (การใช้ยา Lamivudine มีประสิทธิภาพป้องกันการเกิดภาวะตับอักเสบได้มากกว่า Tenofovir/Lamivudine): ค่า RR 0.61 สำหรับการใช้ Lamivudine หมายความว่าลดความเสี่ยงลง แต่เมื่อเปรียบเทียบในทางคลินิก Tenofovir มักมีประสิทธิภาพที่เหนือกว่า
• ข้อ ค. (ควรทำการศึกษาเพิ่มเติม เนื่องจากผลของการศึกษา RR เข้าใกล้ 0.5): RR 0.61 และ 95% CI ที่ไม่คร่อม 1 บ่งบอกถึงนัยสำคัญทางสถิติที่ชัดเจนแล้ว ไม่จำเป็นต้องอ้างว่าเข้าใกล้ 0.5 ถึงจะวิจัยต่อ
• ข้อ ง. (จำนวนอาสาสมัครที่เข้าร่วมการศึกษามีจำนวนมากจนเกินไป ผลอาจทำให้คลาดเคลื่อนได้): จำนวนอาสาสมัครที่มากทำให้ค่า 95% CI แคบลงและสะท้อนความน่าเชื่อถือของประชากรได้ดี ไม่ได้ทำให้ผลคลาดเคลื่อน
• ข้อ จ. (ถูกทุกข้อ): มีเพียงข้อที่อธิบายเรื่อง 95% CI ไม่คร่อม 1 เท่านั้นที่เป็นหลักการทางสถิติที่ถูกต้องในบริบทนี้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5" s="46" t="n"/>
      <c r="L145" s="45" t="inlineStr">
        <is>
          <t>Hypertension</t>
        </is>
      </c>
      <c r="M145" s="46" t="inlineStr">
        <is>
          <t>Clinic</t>
        </is>
      </c>
      <c r="N145" s="45" t="inlineStr">
        <is>
          <t>ข้อ 116 (Pharmtutor_2024_Set1.md)</t>
        </is>
      </c>
      <c r="O145" s="46" t="inlineStr">
        <is>
          <t>Mock</t>
        </is>
      </c>
      <c r="P145" s="46" t="inlineStr">
        <is>
          <t>Mock Pharmtutor 2024</t>
        </is>
      </c>
    </row>
    <row r="146" ht="409.6" customHeight="1" s="37">
      <c r="A146" s="44" t="n">
        <v>144</v>
      </c>
      <c r="B146" s="45" t="inlineStr">
        <is>
          <t>ผู้ป่วยหญิงไทย วัดความดันได้ 158/96 mmHg ผู้ป่วยรายนี้ จัดอยู่ใน Stage ใด ตาม Hypertension guideline ประเทศไทย 2019</t>
        </is>
      </c>
      <c r="C146" s="46" t="n"/>
      <c r="D146" s="45" t="inlineStr">
        <is>
          <t>High normal</t>
        </is>
      </c>
      <c r="E146" s="45" t="inlineStr">
        <is>
          <t>Hypertension stage 1</t>
        </is>
      </c>
      <c r="F146" s="45" t="inlineStr">
        <is>
          <t>Hypertension stage 2</t>
        </is>
      </c>
      <c r="G146" s="45" t="inlineStr">
        <is>
          <t>Hypertension stage 3</t>
        </is>
      </c>
      <c r="H146" s="45" t="inlineStr">
        <is>
          <t>Isolated systolic hypertension</t>
        </is>
      </c>
      <c r="I146" s="44" t="inlineStr">
        <is>
          <t>1</t>
        </is>
      </c>
      <c r="J146" s="45" t="inlineStr">
        <is>
          <t>✅ คำตอบที่ถูกต้อง: ข้อ ก. High normal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High normal การเลือก High normal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(High normal): High normal ตาม Guideline ไทย 2019 คือความดัน 120-129 / 80-84 mmHg ผู้ป่วยรายนี้มีความดันสูงกว่าเกณฑ์นี้มาก
• ข้อ ค. (Hypertension stage 2): Hypertension stage 2 คือระดับความดันที่สูงกว่าหรือเท่ากับ 160 / 100 mmHg แต่ผู้ป่วยรายนี้ 158/96 mmHg
• ข้อ ง. (Hypertension stage 3): Hypertension stage 3 คือระดับความดันที่สูงกว่า 180 / 110 mmHg ซึ่งเข้าสู่ภาวะ Hypertensive crisis ได้
• ข้อ จ. (Isolated systolic hypertension): Isolated systolic hypertension ต้องมี Systolic &gt;= 140 แต่ Diastolic ต้อง &lt; 90 mmHg แต่ผู้ป่วยรายนี้ Diastolic 96 mmHg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6" s="46" t="n"/>
      <c r="L146" s="45" t="inlineStr">
        <is>
          <t>Hypertension</t>
        </is>
      </c>
      <c r="M146" s="46" t="inlineStr">
        <is>
          <t>Clinic</t>
        </is>
      </c>
      <c r="N146" s="45" t="inlineStr">
        <is>
          <t>ข้อ 5 (Pharmtutor_2024_Set2.md)</t>
        </is>
      </c>
      <c r="O146" s="46" t="inlineStr">
        <is>
          <t>Mock</t>
        </is>
      </c>
      <c r="P146" s="46" t="inlineStr">
        <is>
          <t>Mock Pharmtutor 2024</t>
        </is>
      </c>
    </row>
    <row r="147" ht="409.6" customHeight="1" s="37">
      <c r="A147" s="44" t="n">
        <v>145</v>
      </c>
      <c r="B147" s="45" t="inlineStr">
        <is>
          <t>ผู้ป่วยจากข้อ 5. ควรเริ่มยาอะไร หากผู้ป่วยไม่มีโรคประจำตัวอื่น ไม่มีประวัติแพ้ยา ระดับค่า potassium ปกติ, Albumin +3</t>
        </is>
      </c>
      <c r="C147" s="46" t="n"/>
      <c r="D147" s="45" t="inlineStr">
        <is>
          <t>Enalapril</t>
        </is>
      </c>
      <c r="E147" s="45" t="inlineStr">
        <is>
          <t>Amlodipine</t>
        </is>
      </c>
      <c r="F147" s="45" t="inlineStr">
        <is>
          <t>Hydralazine</t>
        </is>
      </c>
      <c r="G147" s="45" t="inlineStr">
        <is>
          <t>Propranolol</t>
        </is>
      </c>
      <c r="H147" s="45" t="inlineStr">
        <is>
          <t>Verapamil</t>
        </is>
      </c>
      <c r="I147" s="44" t="inlineStr">
        <is>
          <t>1</t>
        </is>
      </c>
      <c r="J147" s="45" t="inlineStr">
        <is>
          <t>✅ คำตอบที่ถูกต้อง: ข้อ ก. Enalapril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Enalapril การเลือก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ค. (Hydralazine): เป็น direct arteriolar vasodilator ใช้ร่วมกับ isosorbide dinitrate ใน HFrEF (โดยเฉพาะคนผิวดำ) หรือรักษา severe HTN ในหญิงตั้งครรภ์ แต่เสี่ยงต่อ drug-induced lupus
• ข้อ ง. (Propranolol): เป็น non-selective beta-blocker ข้าม blood-brain barrier ได้ดี เหมาะสำหรับ performance anxiety, essential tremor, migraine prophylaxis และ thyroid storm แต่ contraindication ใน asthma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7" s="46" t="n"/>
      <c r="L147" s="45" t="inlineStr">
        <is>
          <t>Hypertension</t>
        </is>
      </c>
      <c r="M147" s="46" t="inlineStr">
        <is>
          <t>Clinic</t>
        </is>
      </c>
      <c r="N147" s="45" t="inlineStr">
        <is>
          <t>ข้อ 6 (Pharmtutor_2024_Set2.md)</t>
        </is>
      </c>
      <c r="O147" s="46" t="inlineStr">
        <is>
          <t>Mock</t>
        </is>
      </c>
      <c r="P147" s="46" t="inlineStr">
        <is>
          <t>Mock Pharmtutor 2024</t>
        </is>
      </c>
    </row>
    <row r="148" ht="409.6" customHeight="1" s="37">
      <c r="A148" s="44" t="n">
        <v>146</v>
      </c>
      <c r="B148" s="45" t="inlineStr">
        <is>
          <t>ข้อใดไม่เกี่ยวข้องกับยากลุ่ม Statin</t>
        </is>
      </c>
      <c r="C148" s="46" t="n"/>
      <c r="D148" s="45" t="inlineStr">
        <is>
          <t>Hepatotoxicity</t>
        </is>
      </c>
      <c r="E148" s="45" t="inlineStr">
        <is>
          <t>Myopathy</t>
        </is>
      </c>
      <c r="F148" s="45" t="inlineStr">
        <is>
          <t>Nephropathy</t>
        </is>
      </c>
      <c r="G148" s="45" t="inlineStr">
        <is>
          <t>Induce Anemia</t>
        </is>
      </c>
      <c r="H148" s="45" t="inlineStr">
        <is>
          <t>New onset Diabetes mellitus</t>
        </is>
      </c>
      <c r="I148" s="44" t="inlineStr">
        <is>
          <t>1</t>
        </is>
      </c>
      <c r="J148" s="45" t="inlineStr">
        <is>
          <t>✅ คำตอบที่ถูกต้อง: ข้อ ก. Hepatotoxicity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Hepatotoxicity การเลือก Hepatotoxicity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(Hepatotoxicity): Hepatotoxicity เป็นผลข้างเคียงที่พบได้จากยากลุ่ม Statin ทำให้ระดับเอนไซม์ตับ (AST/ALT) สูงขึ้น
• ข้อ ข. (Myopathy): Myopathy เป็นผลข้างเคียงเด่นของ Statin ซึ่งอาจนำไปสู่ภาวะกล้ามเนื้อสลาย (Rhabdomyolysis)
• ข้อ ค. (Nephropathy): Nephropathy แม้ไม่ได้เป็นผลจากยาโดยตรง แต่ Rhabdomyolysis จาก Statin สามารถอุดตันกรวยไตจนเกิด Acute Renal Failure ได้
• ข้อ จ. (New onset Diabetes mellitus): New onset Diabetes mellitus มีรายงานว่า Statin เพิ่มความเสี่ยงการเกิดเบาหวานรายใหม่เล็กน้อย โดยเฉพาะชนิดที่มี potency 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8" s="46" t="n"/>
      <c r="L148" s="45" t="inlineStr">
        <is>
          <t>Hypertension</t>
        </is>
      </c>
      <c r="M148" s="46" t="inlineStr">
        <is>
          <t>Clinic</t>
        </is>
      </c>
      <c r="N148" s="45" t="inlineStr">
        <is>
          <t>ข้อ 9 (Pharmtutor_2024_Set2.md)</t>
        </is>
      </c>
      <c r="O148" s="46" t="inlineStr">
        <is>
          <t>Mock</t>
        </is>
      </c>
      <c r="P148" s="46" t="inlineStr">
        <is>
          <t>Mock Pharmtutor 2024</t>
        </is>
      </c>
    </row>
    <row r="149" ht="409.6" customHeight="1" s="37">
      <c r="A149" s="44" t="n">
        <v>147</v>
      </c>
      <c r="B149" s="45" t="inlineStr">
        <is>
          <t>ผู้ป่วยได้รับการวินิจฉัยมีภาวะไขมันในเลือดสูง โดยผลจากห้องปฏิบัติการ มี LDL และ Triglyceride สูง ได้รับยา Simvastatin 20 mg มีประวัติ Acute pancreatitis ผู้ป่วยรายนี้ควรได้รับยาใดเพิ่ม หากมี Triglyceride มากกว่า 1,000 ml/dL</t>
        </is>
      </c>
      <c r="C149" s="46" t="n"/>
      <c r="D149" s="45" t="inlineStr">
        <is>
          <t>Fenofibrate</t>
        </is>
      </c>
      <c r="E149" s="45" t="inlineStr">
        <is>
          <t>Niacin</t>
        </is>
      </c>
      <c r="F149" s="45" t="inlineStr">
        <is>
          <t>Gemfibrozil</t>
        </is>
      </c>
      <c r="G149" s="45" t="inlineStr">
        <is>
          <t>Cholestyramine</t>
        </is>
      </c>
      <c r="H149" s="45" t="inlineStr">
        <is>
          <t>Ezetimibe</t>
        </is>
      </c>
      <c r="I149" s="44" t="inlineStr">
        <is>
          <t>1</t>
        </is>
      </c>
      <c r="J149" s="45" t="inlineStr">
        <is>
          <t>✅ คำตอบที่ถูกต้อง: ข้อ ก. Fenofibrate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Fenofibrate การเลือก Fenofibrate เป็นคำตอบที่ถูกต้องตามแนวทางการรักษามาตรฐาน เนื่องจาก เป็น PPAR-alpha agonist ลดระดับ Triglycerides เด่นชัด (30-50%) และปลอดภัยเมื่อใช้ร่วมกับ statin มากกว่า gemfibrozil (เสี่ยง rhabdomyolysis ต่ำกว่า)
🔍 ข้ออื่นผิดเพราะอะไร:
• ข้อ ข. (Niacin): Niacin สามารถลด TG ได้ แต่มีผลข้างเคียงสูง เช่น Flushing และไม่แนะนำให้ใช้ร่วมกับ Statin เนื่องจากเสี่ยงต่อตับอักเสบ
• ข้อ ค. (Gemfibrozil): Gemfibrozil มีข้อห้ามใช้ร่วมกับ Simvastatin เนื่องจากยับยั้งเอนไซม์ที่ทำลาย Statin ส่งผลให้เสี่ยงต่อ rhabdomyolysis อย่างรุนแรง
• ข้อ ง. (Cholestyramine): Cholestyramine เป็นยาจับกรดน้ำดี มีผลลด LDL แต่ทำให้ระดับ Triglyceride สูงขึ้น จึงห้ามใช้ในผู้ที่มี TG สูง
• ข้อ จ. (Ezetimibe): Ezetimibe ยับยั้งการดูดซึมคอเลสเตอรอลที่ลำไส้ มีประสิทธิภาพในการลด LDL แต่ผลการลด Triglyceride มีน้อยมาก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9" s="46" t="n"/>
      <c r="L149" s="45" t="inlineStr">
        <is>
          <t>Hypertension</t>
        </is>
      </c>
      <c r="M149" s="46" t="inlineStr">
        <is>
          <t>Clinic</t>
        </is>
      </c>
      <c r="N149" s="45" t="inlineStr">
        <is>
          <t>ข้อ 10 (Pharmtutor_2024_Set2.md)</t>
        </is>
      </c>
      <c r="O149" s="46" t="inlineStr">
        <is>
          <t>Mock</t>
        </is>
      </c>
      <c r="P149" s="46" t="inlineStr">
        <is>
          <t>Mock Pharmtutor 2024</t>
        </is>
      </c>
    </row>
    <row r="150" ht="409.6" customHeight="1" s="37">
      <c r="A150" s="44" t="n">
        <v>148</v>
      </c>
      <c r="B150" s="45" t="inlineStr">
        <is>
          <t>ปัจจัยใดส่งผลต่อการเกิดภาวะ Rhabdomyolysis จากการรับประทานยากลุ่ม Statins</t>
        </is>
      </c>
      <c r="C150" s="46" t="n"/>
      <c r="D150" s="45" t="inlineStr">
        <is>
          <t>โครงสร้างของยาของ Statins ที่รับประทาน</t>
        </is>
      </c>
      <c r="E150" s="45" t="inlineStr">
        <is>
          <t>อายุของผู้ป่วย</t>
        </is>
      </c>
      <c r="F150" s="45" t="inlineStr">
        <is>
          <t>ภาวะบกพร่องของตับและไต</t>
        </is>
      </c>
      <c r="G150" s="45" t="inlineStr">
        <is>
          <t>อันตรกิริยาระหว่างยา ที่ผ่านตัวนำส่งยาชนิด OATP1B1</t>
        </is>
      </c>
      <c r="H150" s="45" t="inlineStr">
        <is>
          <t>ถูกทุกข้อ</t>
        </is>
      </c>
      <c r="I150" s="44" t="inlineStr">
        <is>
          <t>1</t>
        </is>
      </c>
      <c r="J150" s="45" t="inlineStr">
        <is>
          <t>✅ คำตอบที่ถูกต้อง: ข้อ ก. โครงสร้างของยาของ Statins ที่รับประทาน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โครงสร้างของยาของ Statins ที่รับประทาน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(โครงสร้างของยาของ Statins ที่รับประทาน): โครงสร้างของยา Statin (lipophilic vs hydrophilic) มีผลต่อการกระจายตัวเข้ากล้ามเนื้อ แต่ไม่ใช่ปัจจัยเดียวที่ส่งผล
• ข้อ ข. (อายุของผู้ป่วย): อายุที่มากขึ้นของผู้ป่วย ทำให้การขับออกของยาลดลงและมวลกล้ามเนื้อลดลง เสี่ยงต่อ Myopathy มากขึ้น แต่ต้องพิจารณาปัจจัยอื่นร่วมด้วย
• ข้อ ค. (ภาวะบกพร่องของตับและไต): ภาวะบกพร่องของตับและไตทำให้ระดับยา Statin ในเลือดสะสมเพิ่มขึ้น นำไปสู่ความเป็นพิษต่อกล้ามเนื้อ
• ข้อ ง. (อันตรกิริยาระหว่างยา ที่ผ่านตัวนำส่งยาชนิด OATP1B1): ยาที่ยับยั้ง transporter OATP1B1 เช่น Cyclosporine ทำให้ระดับ Statin ในเลือดสูง เสี่ยงต่อผลข้างเคียง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0" s="46" t="n"/>
      <c r="L150" s="45" t="inlineStr">
        <is>
          <t>Hypertension</t>
        </is>
      </c>
      <c r="M150" s="46" t="inlineStr">
        <is>
          <t>Clinic</t>
        </is>
      </c>
      <c r="N150" s="45" t="inlineStr">
        <is>
          <t>ข้อ 11 (Pharmtutor_2024_Set2.md)</t>
        </is>
      </c>
      <c r="O150" s="46" t="inlineStr">
        <is>
          <t>Mock</t>
        </is>
      </c>
      <c r="P150" s="46" t="inlineStr">
        <is>
          <t>Mock Pharmtutor 2024</t>
        </is>
      </c>
    </row>
    <row r="151" ht="409.6" customHeight="1" s="37">
      <c r="A151" s="44" t="n">
        <v>149</v>
      </c>
      <c r="B151" s="45" t="inlineStr">
        <is>
          <t>ผู้ป่วยชาย อายุ 38 ปี ประกอบอาชีพพนักงานบริษัท โดยทำงานเป็นช่วงเวลา ซึ่งปกติแล้วส่วนมากจะถูกจับให้อยู่กะกลางคืน คือ เวลา 20.00-7.00 น.อยู่เป็นประจำ พบว่าเมื่อเวลาผ่านไป ชายคนนี้มาปรึกษาท่านที่ร้านยา ด้วยอาการจุกช่องท้อง มีอาการนอนกรน รวมถึงมีอาการไอแห้งๆ มาเป็นระยะเวลา 3 สัปดาห์ และนอกจากนี้ บางครั้งมีอาการแสบกลางอก รวมถึงท้องเสีย และอาการคลื่นไส้อาเจียนอยู่บ้าง พบประวัติมีโรคความดันโลหิตสูง และไขมันในเลือดสูง ควบคุมอาการและรับประทานยาสม่ำเสมอ ซีกประวัติเพิ่มเติมพบว่ามีการใช้ยา Enalapril, Simvastation และ Aspirn จากอาการข้างต้นอาการไอแห้งๆของคนไข้น่าจะเกิดจากสาหตุใดได้มากที่สุด</t>
        </is>
      </c>
      <c r="C151" s="46" t="n"/>
      <c r="D151" s="45" t="inlineStr">
        <is>
          <t>ผลข้างเคียงของยาลดความดัน Enalapril</t>
        </is>
      </c>
      <c r="E151" s="45" t="inlineStr">
        <is>
          <t>ผลข้างเคียงของการใช้ยาร่วมกันระหว่าง Enalapril + Simvastatin</t>
        </is>
      </c>
      <c r="F151" s="45" t="inlineStr">
        <is>
          <t>อาการของ Atypical GERD</t>
        </is>
      </c>
      <c r="G151" s="45" t="inlineStr">
        <is>
          <t>อาการของ Acute Gastrointestinal disease</t>
        </is>
      </c>
      <c r="H151" s="45" t="inlineStr">
        <is>
          <t>ไม่สามารถสรุปได้</t>
        </is>
      </c>
      <c r="I151" s="44" t="inlineStr">
        <is>
          <t>1</t>
        </is>
      </c>
      <c r="J151" s="45" t="inlineStr">
        <is>
          <t>✅ คำตอบที่ถูกต้อง: ข้อ ก. ผลข้างเคียงของยาลดความดัน Enalapril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ผลข้างเคียงของยาลดความดัน Enalapril การเลือก ผลข้างเคียงของยาลดความดัน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(ผลข้างเคียงของยาลดความดัน Enalapril): Enalapril ทำให้เกิดอาการไอแห้งจาก Bradykinin สะสม แต่ผู้ป่วยมีอาการจุกช่องท้อง แสบกลางอกร่วมด้วย ซึ่งชี้เป้าไปที่อาการของ GERD
• ข้อ ข. (ผลข้างเคียงของการใช้ยาร่วมกันระหว่าง Enalapril + Simvastatin): การใช้ Enalapril และ Simvastatin ร่วมกันไม่ได้เพิ่มความเสี่ยงหรือเสริมฤทธิ์การเกิดอาการไอแห้งแต่อย่างใด
• ข้อ ง. (อาการของ Acute Gastrointestinal disease): Acute Gastrointestinal disease มักมาด้วยอาการเฉียบพลันเช่น ท้องเสียรุนแรง หรืออาเจียน แต่ผู้ป่วยรายนี้มีอาการเรื้อรังมา 3 สัปดาห์
• ข้อ จ. (ไม่สามารถสรุปได้): สามารถสรุปได้จากลักษณะทางคลินิกที่ผู้ป่วยทำงานกะกลางคืน และมีอาการแสบกลางอกนำ ชี้ชัดไปทาง Atypical GERD ที่แสดงอาการไอ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51" s="46" t="n"/>
      <c r="L151" s="45" t="inlineStr">
        <is>
          <t>Hypertension</t>
        </is>
      </c>
      <c r="M151" s="46" t="inlineStr">
        <is>
          <t>Clinic</t>
        </is>
      </c>
      <c r="N151" s="45" t="inlineStr">
        <is>
          <t>ข้อ 21 (Pharmtutor_2024_Set2.md)</t>
        </is>
      </c>
      <c r="O151" s="46" t="inlineStr">
        <is>
          <t>Mock</t>
        </is>
      </c>
      <c r="P151" s="46" t="inlineStr">
        <is>
          <t>Mock Pharmtutor 2024</t>
        </is>
      </c>
    </row>
    <row r="152" ht="409.6" customHeight="1" s="37">
      <c r="A152" s="44" t="n">
        <v>150</v>
      </c>
      <c r="B152" s="45" t="inlineStr">
        <is>
          <t>ผู้ป่วยหญิงอายุ 18 ปี น้ำหนัก 40 กิโลกรัม สูง 160 เซนติเมตร ได้รับการวินิจฉัยว่าเป็น homozygous beta- thalassemia ตั้งแต่อายุ 4 ขวบ มีอาการอ่อนเพลีย ค่าเลือด MCV 60 fl. (normal 82-98 fl.), MCH 25 pg. (normal 28-34 pg.), Hb 10 g/dL, serum ferritin สูง ผู้ป่วยมีความผิดปกติแบบใด</t>
        </is>
      </c>
      <c r="C152" s="46" t="n"/>
      <c r="D152" s="45" t="inlineStr">
        <is>
          <t>Normochromic normocytic anemia</t>
        </is>
      </c>
      <c r="E152" s="45" t="inlineStr">
        <is>
          <t>Normochromic microcytic anemia</t>
        </is>
      </c>
      <c r="F152" s="45" t="inlineStr">
        <is>
          <t>Hypochromic normocytic anemia</t>
        </is>
      </c>
      <c r="G152" s="45" t="inlineStr">
        <is>
          <t>Hypochromic microcytic anemia</t>
        </is>
      </c>
      <c r="H152" s="45" t="inlineStr">
        <is>
          <t>Hyperchromic macrocytic anemia</t>
        </is>
      </c>
      <c r="I152" s="44" t="inlineStr">
        <is>
          <t>1</t>
        </is>
      </c>
      <c r="J152" s="45" t="inlineStr">
        <is>
          <t>✅ คำตอบที่ถูกต้อง: ข้อ ก. Normochromic normocytic anemia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Normochromic normocytic anemia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(Normochromic normocytic anemia): Normochromic normocytic anemia มีค่า MCV และ MCH อยู่ในเกณฑ์ปกติ มักพบใน acute blood loss หรือ CKD
• ข้อ ข. (Normochromic microcytic anemia): Normochromic microcytic anemia ไม่สอดคล้องกับพยาธิสภาพของ thalassemia ซึ่งจะมีการสร้างฮีโมโกลบินที่ลดลงทำให้เซลล์ติดสีจาง
• ข้อ ค. (Hypochromic normocytic anemia): Hypochromic normocytic anemia ค่าเซลล์ขนาดปกติแต่สีจาง ซึ่งขัดแย้งกับค่า MCV ของผู้ป่วยที่ต่ำเพียง 60 fl
• ข้อ จ. (Hyperchromic macrocytic anemia): Hyperchromic macrocytic anemia เซลล์จะมีขนาดใหญ่ (MCV &gt; 100 fl) พบในภาวะขาด Vitamin B12 หรือ Folate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2" s="46" t="n"/>
      <c r="L152" s="45" t="inlineStr">
        <is>
          <t>Hypertension</t>
        </is>
      </c>
      <c r="M152" s="46" t="inlineStr">
        <is>
          <t>Clinic</t>
        </is>
      </c>
      <c r="N152" s="45" t="inlineStr">
        <is>
          <t>ข้อ 31 (Pharmtutor_2024_Set2.md)</t>
        </is>
      </c>
      <c r="O152" s="46" t="inlineStr">
        <is>
          <t>Mock</t>
        </is>
      </c>
      <c r="P152" s="46" t="inlineStr">
        <is>
          <t>Mock Pharmtutor 2024</t>
        </is>
      </c>
    </row>
    <row r="153" ht="409.6" customHeight="1" s="37">
      <c r="A153" s="44" t="n">
        <v>151</v>
      </c>
      <c r="B153" s="45" t="inlineStr">
        <is>
          <t>ผูัป่วยอายุ 45 ปี ถูกวินิจฉัยว่าเป็นความดันสูงร่วมกับต่อมลูกหมากโตเมื่อประมาณ 5 ปีที่ผ่านมา ปัจจุบันถูกส่งเข้ามา รพ. อีกครั้งด้วยอาการหายใจติดขัด มีเสมหะ รวมถึงมีไข้สูง พบว่าผู้ป่วยพึ่งมีอาการประมาณ 2 วันก่อนมา รพ. แพทย์สงตรวจเชื้อสาเหตุผ่านทางเลือดและเสมหะ โดยถูกวินิจฉัยว่าเกิดภาวะปอดอักเสบ ข้อใดต่อไปนี้น่าจะเป็นเชื้อสาเหตุที่พบได้บ่อยสำหรับผู้ป่วยรายนี้</t>
        </is>
      </c>
      <c r="C153" s="46" t="n"/>
      <c r="D153" s="45" t="inlineStr">
        <is>
          <t>Mycoplasma pneumoniae</t>
        </is>
      </c>
      <c r="E153" s="45" t="inlineStr">
        <is>
          <t>Staphylococcus aureus</t>
        </is>
      </c>
      <c r="F153" s="45" t="inlineStr">
        <is>
          <t>Pseudomonas aeruginosa</t>
        </is>
      </c>
      <c r="G153" s="45" t="inlineStr">
        <is>
          <t>Klebsiella pneumoniae</t>
        </is>
      </c>
      <c r="H153" s="45" t="inlineStr">
        <is>
          <t>Acinetobacter baumannii</t>
        </is>
      </c>
      <c r="I153" s="44" t="inlineStr">
        <is>
          <t>1</t>
        </is>
      </c>
      <c r="J153" s="45" t="inlineStr">
        <is>
          <t>✅ คำตอบที่ถูกต้อง: ข้อ ก. Mycoplasma pneumoniae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Mycoplasma pneumoniae การเลือก Mycoplasma pneumoniae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(Mycoplasma pneumoniae): Mycoplasma pneumoniae เป็นเชื้อก่อโรค Atypical pneumonia ซึ่งมักพบในเด็กหรือวัยรุ่น และอาการมักค่อยเป็นค่อยไป ไม่ใช่ไข้สูงเฉียบพลัน
• ข้อ ข. (Staphylococcus aureus): Staphylococcus aureus มักก่อโรคปอดอักเสบหลังการติดเชื้อไข้หวัดใหญ่ ไม่ใช่เชื้อที่พบเป็นอันดับแรกในผู้ป่วยทั่วไป
• ข้อ ค. (Pseudomonas aeruginosa): Pseudomonas aeruginosa มักพบในผู้ป่วยปอดอักเสบที่ติดเชื้อในโรงพยาบาล (HAP) หรือมีโครงสร้างปอดผิดปกติ (Bronchiectasis)
• ข้อ จ. (Acinetobacter baumannii): Acinetobacter baumannii เป็นเชื้อดื้อยาที่มักก่อให้เกิดปอดอักเสบจากการใช้เครื่องช่วยหายใจ (VAP) ในโรงพยาบาล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3" s="46" t="n"/>
      <c r="L153" s="45" t="inlineStr">
        <is>
          <t>Hypertension</t>
        </is>
      </c>
      <c r="M153" s="46" t="inlineStr">
        <is>
          <t>Clinic</t>
        </is>
      </c>
      <c r="N153" s="45" t="inlineStr">
        <is>
          <t>ข้อ 44 (Pharmtutor_2024_Set2.md)</t>
        </is>
      </c>
      <c r="O153" s="46" t="inlineStr">
        <is>
          <t>Mock</t>
        </is>
      </c>
      <c r="P153" s="46" t="inlineStr">
        <is>
          <t>Mock Pharmtutor 2024</t>
        </is>
      </c>
    </row>
    <row r="154" ht="409.6" customHeight="1" s="37">
      <c r="A154" s="44" t="n">
        <v>152</v>
      </c>
      <c r="B154" s="45" t="inlineStr">
        <is>
          <t>ข้อใดคือกลไกของยา Rivastigmine</t>
        </is>
      </c>
      <c r="C154" s="46" t="n"/>
      <c r="D154" s="45" t="inlineStr">
        <is>
          <t>Decrease Ach activity</t>
        </is>
      </c>
      <c r="E154" s="45" t="inlineStr">
        <is>
          <t>Inhibit DA and NE activity</t>
        </is>
      </c>
      <c r="F154" s="45" t="inlineStr">
        <is>
          <t>Inhibit Acetylcholinesterase</t>
        </is>
      </c>
      <c r="G154" s="45" t="inlineStr">
        <is>
          <t>Stimulate activity of Da</t>
        </is>
      </c>
      <c r="H154" s="45" t="inlineStr">
        <is>
          <t>Stimulate activity of NE and Ach</t>
        </is>
      </c>
      <c r="I154" s="44" t="inlineStr">
        <is>
          <t>1</t>
        </is>
      </c>
      <c r="J154" s="45" t="inlineStr">
        <is>
          <t>✅ คำตอบที่ถูกต้อง: ข้อ ก. Decrease Ach activity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Decrease Ach activity การเลือก Decrease Ach activity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(Decrease Ach activity): Rivastigmine ยับยั้งเอนไซม์ Acetylcholinesterase ทำให้ระดับ Acetylcholine เพิ่มขึ้น ไม่ใช่ลดลง
• ข้อ ข. (Inhibit DA and NE activity): Inhibit DA and NE activity ไม่ใช่กลไกของกลุ่มยา Cholinesterase inhibitors ที่ใช้รักษา Alzheimer's disease
• ข้อ ง. (Stimulate activity of Da): Stimulate activity of DA เป็นกลไกของยาในกลุ่ม Dopamine agonist ที่ใช้รักษา Parkinson's disease
• ข้อ จ. (Stimulate activity of NE and Ach): Stimulate activity of NE and Ach การเพิ่ม NE เป็นลักษณะของยา SNRI หรือ TCA ไม่ใช่ Rivastigmine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4" s="46" t="n"/>
      <c r="L154" s="45" t="inlineStr">
        <is>
          <t>Hypertension</t>
        </is>
      </c>
      <c r="M154" s="46" t="inlineStr">
        <is>
          <t>Clinic</t>
        </is>
      </c>
      <c r="N154" s="45" t="inlineStr">
        <is>
          <t>ข้อ 52 (Pharmtutor_2024_Set2.md)</t>
        </is>
      </c>
      <c r="O154" s="46" t="inlineStr">
        <is>
          <t>Mock</t>
        </is>
      </c>
      <c r="P154" s="46" t="inlineStr">
        <is>
          <t>Mock Pharmtutor 2024</t>
        </is>
      </c>
    </row>
    <row r="155" ht="409.6" customHeight="1" s="37">
      <c r="A155" s="44" t="n">
        <v>153</v>
      </c>
      <c r="B155" s="45" t="inlineStr">
        <is>
          <t>ผู้ป่วยชาย อายุ 20 ปี สูบบุหรี่มา 3 ปี วันละ 8-9 มวน สูบเพราะเพื่อนชวน เคยคิดจะเลิก แต่เห็นเพื่อนสูบก็อยากสูบอีก ประเมินความรุนแรง = 5 อยากสูบบุหรี่หลังตื่นนอนภายในครึ่งชั่วโมง และคิดว่ามวนที่เลิกยากที่สุดคือมวนแรกตอนเช้าหลังตื่นนอน โดยผู้ป่วยรายนี้มีประวัติเป็นลมชักและควบคุมอาการได้อย่างสม่ำเสมอ และมีประวัติขอบครัวเป็นโรคหัวใจล้มเหลวและความดันโลหิตสูง จากกรณีขั้นต้นผู้ป่วยรายนี้จัดอยู่ในขั้นใดของ stages of change</t>
        </is>
      </c>
      <c r="C155" s="46" t="n"/>
      <c r="D155" s="45" t="inlineStr">
        <is>
          <t>Precontemplation</t>
        </is>
      </c>
      <c r="E155" s="45" t="inlineStr">
        <is>
          <t>Contemplation</t>
        </is>
      </c>
      <c r="F155" s="45" t="inlineStr">
        <is>
          <t>Preparation</t>
        </is>
      </c>
      <c r="G155" s="45" t="inlineStr">
        <is>
          <t>Action</t>
        </is>
      </c>
      <c r="H155" s="45" t="inlineStr">
        <is>
          <t>Maintenance</t>
        </is>
      </c>
      <c r="I155" s="44" t="inlineStr">
        <is>
          <t>1</t>
        </is>
      </c>
      <c r="J155" s="45" t="inlineStr">
        <is>
          <t>✅ คำตอบที่ถูกต้อง: ข้อ ก. Precontemplation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Precontemplation การเลือก Precontemplation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(Contemplation): Contemplation คือผู้ป่วยเริ่มตระหนักและคิดจะเลิกภายใน 6 เดือน แต่ผู้ป่วยรายนี้สูบตามเพื่อนและยังไม่มีแผนเลิกชัดเจน
• ข้อ ค. (Preparation): Preparation คือผู้ป่วยเตรียมตัวจะเลิกภายใน 30 วันข้างหน้า ซึ่งไม่ตรงกับพฤติกรรมของผู้ป่วยในโจทย์
• ข้อ ง. (Action): Action คือผู้ป่วยลงมือปรับเปลี่ยนพฤติกรรมและเลิกสูบบุหรี่แล้วมาน้อยกว่า 6 เดือน
• ข้อ จ. (Maintenance): Maintenance คือผู้ป่วยเลิกสูบบุหรี่ได้สำเร็จและคงพฤติกรรมนี้มานานกว่า 6 เดือนขึ้นไป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5" s="46" t="n"/>
      <c r="L155" s="45" t="inlineStr">
        <is>
          <t>Hypertension</t>
        </is>
      </c>
      <c r="M155" s="46" t="inlineStr">
        <is>
          <t>Clinic</t>
        </is>
      </c>
      <c r="N155" s="45" t="inlineStr">
        <is>
          <t>ข้อ 53 (Pharmtutor_2024_Set2.md)</t>
        </is>
      </c>
      <c r="O155" s="46" t="inlineStr">
        <is>
          <t>Mock</t>
        </is>
      </c>
      <c r="P155" s="46" t="inlineStr">
        <is>
          <t>Mock Pharmtutor 2024</t>
        </is>
      </c>
    </row>
    <row r="156" ht="409.6" customHeight="1" s="37">
      <c r="A156" s="44" t="n">
        <v>154</v>
      </c>
      <c r="B156" s="45" t="inlineStr">
        <is>
          <t>โดยผู้ป่วยดังกล่าวมีการวัดสมรรถปอดได้ค่า FEV1 เท่ากับ 68 mMRc = 3 ผู้ป่วยรายนี้จัดมีการทำงานของปอดอยู่ระดับใดตาม GOLD guildline</t>
        </is>
      </c>
      <c r="C156" s="46" t="n"/>
      <c r="D156" s="45" t="inlineStr">
        <is>
          <t>Gold 1</t>
        </is>
      </c>
      <c r="E156" s="45" t="inlineStr">
        <is>
          <t>Gold 2</t>
        </is>
      </c>
      <c r="F156" s="45" t="inlineStr">
        <is>
          <t>Gold 3</t>
        </is>
      </c>
      <c r="G156" s="45" t="inlineStr">
        <is>
          <t>Gold 4</t>
        </is>
      </c>
      <c r="H156" s="45" t="inlineStr">
        <is>
          <t>Gold 5</t>
        </is>
      </c>
      <c r="I156" s="44" t="inlineStr">
        <is>
          <t>1</t>
        </is>
      </c>
      <c r="J156" s="45"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(Gold 1): Gold 1 คือ FEV1 &gt;= 80% ซึ่งผู้ป่วยรายนี้มีค่า FEV1 68% จึงไม่อยู่ในกลุ่มนี้
• ข้อ ค. (Gold 3): Gold 3 คือ FEV1 30-49% ซึ่งอาการจะรุนแรงและปอดทำงานลดลงมากกว่าของผู้ป่วยรายนี้
• ข้อ ง. (Gold 4): Gold 4 คือ FEV1 &lt; 30% เป็นระยะวิกฤตที่มีลมคั่งในปอดสูง
• ข้อ จ. (Gold 5): ไม่มีระดับ Gold 5 ในการแบ่งความรุนแรงของ COPD ตามเกณฑ์ GOLD guideline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6" s="46" t="n"/>
      <c r="L156" s="45" t="inlineStr">
        <is>
          <t>Hypertension</t>
        </is>
      </c>
      <c r="M156" s="46" t="inlineStr">
        <is>
          <t>Clinic</t>
        </is>
      </c>
      <c r="N156" s="45" t="inlineStr">
        <is>
          <t>ข้อ 59 (Pharmtutor_2024_Set2.md)</t>
        </is>
      </c>
      <c r="O156" s="46" t="inlineStr">
        <is>
          <t>Mock</t>
        </is>
      </c>
      <c r="P156" s="46" t="inlineStr">
        <is>
          <t>Mock Pharmtutor 2024</t>
        </is>
      </c>
    </row>
    <row r="157" ht="409.6" customHeight="1" s="37">
      <c r="A157" s="44" t="n">
        <v>155</v>
      </c>
      <c r="B157" s="45" t="inlineStr">
        <is>
          <t>ยาเคมีบำบัตรสูตร AC (Doxorubicin,Cyclophosphamide) ควรmonitorสิ่งใด</t>
        </is>
      </c>
      <c r="C157" s="46" t="n"/>
      <c r="D157" s="45" t="inlineStr">
        <is>
          <t>SCr</t>
        </is>
      </c>
      <c r="E157" s="45" t="inlineStr">
        <is>
          <t>AST</t>
        </is>
      </c>
      <c r="F157" s="45" t="inlineStr">
        <is>
          <t>Lipo-A</t>
        </is>
      </c>
      <c r="G157" s="45" t="inlineStr">
        <is>
          <t>Hct</t>
        </is>
      </c>
      <c r="H157" s="45" t="inlineStr">
        <is>
          <t>LVEF</t>
        </is>
      </c>
      <c r="I157" s="44" t="inlineStr">
        <is>
          <t>1</t>
        </is>
      </c>
      <c r="J157" s="45" t="inlineStr">
        <is>
          <t>✅ คำตอบที่ถูกต้อง: ข้อ ก. SCr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SCr การเลือก SCr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(SCr): SCr ใช้ประเมินการทำงานของไต ซึ่งสำคัญในยาที่มีพิษต่อไต เช่น Cisplatin แต่ความเสี่ยงหลักของ AC regimen คือหัวใจจากยา Doxorubicin
• ข้อ ข. (AST): AST เป็นค่าการทำงานของตับ แม้จะมีการขจัดยาทางตับ แต่ไม่ใช่ค่าที่ต้องมอนิเตอร์อย่างเคร่งครัดเพื่อป้องกันพิษถาวรเท่า LVEF
• ข้อ ค. (Lipo-A): Lipo-A ไม่มีความเกี่ยวข้องโดยตรงกับการติดตามผลการรักษาหรือพิษของยาสูตร AC regimen
• ข้อ ง. (Hct): Hct ประเมินภาวะโลหิตจาง แต่ผลกระทบที่เป็น dose-limiting รุนแรงที่สุดของ Doxorubicin คือหัวใจล้มเหลว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7" s="46" t="n"/>
      <c r="L157" s="45" t="inlineStr">
        <is>
          <t>Hypertension</t>
        </is>
      </c>
      <c r="M157" s="46" t="inlineStr">
        <is>
          <t>Clinic</t>
        </is>
      </c>
      <c r="N157" s="45" t="inlineStr">
        <is>
          <t>ข้อ 78 (Pharmtutor_2024_Set2.md)</t>
        </is>
      </c>
      <c r="O157" s="46" t="inlineStr">
        <is>
          <t>Mock</t>
        </is>
      </c>
      <c r="P157" s="46" t="inlineStr">
        <is>
          <t>Mock Pharmtutor 2024</t>
        </is>
      </c>
    </row>
    <row r="158" ht="409.6" customHeight="1" s="37">
      <c r="A158" s="44" t="n">
        <v>156</v>
      </c>
      <c r="B158" s="45" t="inlineStr">
        <is>
          <t>เมื่อผู้ป่วยได้รับยาสูตรAC (Doxorubicin/Cyclophosphamide) ควรได้รับยาใดในการเเก้อาการคลื่นไว้อาเจียน</t>
        </is>
      </c>
      <c r="C158" s="46" t="n"/>
      <c r="D158" s="45" t="inlineStr">
        <is>
          <t>Olanzapine + Dexamethasone</t>
        </is>
      </c>
      <c r="E158" s="45" t="inlineStr">
        <is>
          <t>Olanzapine + Metoclopramide</t>
        </is>
      </c>
      <c r="F158" s="45" t="inlineStr">
        <is>
          <t>Aprepitant + Ondansetron</t>
        </is>
      </c>
      <c r="G158" s="45" t="inlineStr">
        <is>
          <t>Aprepitant + Metoclopramide + Lorazepam</t>
        </is>
      </c>
      <c r="H158" s="45" t="inlineStr">
        <is>
          <t>Aprepitant + Ondansetron + Dexamethasone + Olanzapine</t>
        </is>
      </c>
      <c r="I158" s="44" t="inlineStr">
        <is>
          <t>1</t>
        </is>
      </c>
      <c r="J158" s="45" t="inlineStr">
        <is>
          <t>✅ คำตอบที่ถูกต้อง: ข้อ ก. Olanzapine + Dexamethasone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Olanzapine + Dexamethasone การเลือก Olanzapine + Dexamethasone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(Olanzapine + Metoclopramide): เป็น atypical antipsychotic ที่มี metabolic side effects สูงมาก (น้ำหนักเพิ่มขึ้นรุนแรง, hyperglycemia, dyslipidemia)
• ข้อ ค. (Aprepitant + Ondansetron): เป็น 5-HT3 receptor antagonist เป็น first-line antiemetic สำหรับ chemotherapy-induced nausea and vomiting (CINV) และ post-operative nausea/vomiting แต่ทำให้ท้องผูก
• ข้อ ง. (Aprepitant + Metoclopramide + Lorazepam): เป็น Benzodiazepine กลุ่ม LOT (Lorazepam, Oxazepam, Temazepam) ที่ผ่าน hepatic Phase II glucuronidation โดยตรง ไม่ผ่าน CYP oxidation จึงปลอดภัยกว่าในผู้สูงอายุและโรคตับ
• ข้อ จ. (Aprepitant + Ondansetron + Dexamethasone + Olanzapine): เป็น long-acting potent glucocorticoid ไม่มี mineralocorticoid effect จึงไม่ทำให้น้ำคั่ง เหมาะสำหรับ brain edema, antiemetic, และ COVID-19 with hypoxemia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8" s="46" t="n"/>
      <c r="L158" s="45" t="inlineStr">
        <is>
          <t>Hypertension</t>
        </is>
      </c>
      <c r="M158" s="46" t="inlineStr">
        <is>
          <t>Clinic</t>
        </is>
      </c>
      <c r="N158" s="45" t="inlineStr">
        <is>
          <t>ข้อ 80 (Pharmtutor_2024_Set2.md)</t>
        </is>
      </c>
      <c r="O158" s="46" t="inlineStr">
        <is>
          <t>Mock</t>
        </is>
      </c>
      <c r="P158" s="46" t="inlineStr">
        <is>
          <t>Mock Pharmtutor 2024</t>
        </is>
      </c>
    </row>
    <row r="159" ht="409.6" customHeight="1" s="37">
      <c r="A159" s="44" t="n">
        <v>157</v>
      </c>
      <c r="B159" s="45" t="inlineStr">
        <is>
          <t>ยาในข้อใดเป็นยาทางเลือกแรกในการรักษาภาวะ Hyperphosphatemia</t>
        </is>
      </c>
      <c r="C159" s="46" t="n"/>
      <c r="D159" s="45" t="inlineStr">
        <is>
          <t>Aluminum hydroxide</t>
        </is>
      </c>
      <c r="E159" s="45" t="inlineStr">
        <is>
          <t>Calcium hydroxide</t>
        </is>
      </c>
      <c r="F159" s="45" t="inlineStr">
        <is>
          <t>Sodium polystyrene sulfonate</t>
        </is>
      </c>
      <c r="G159" s="45" t="inlineStr">
        <is>
          <t>Calcium polystyrene sulfonate</t>
        </is>
      </c>
      <c r="H159" s="45" t="inlineStr">
        <is>
          <t>Sodium bicarbonate</t>
        </is>
      </c>
      <c r="I159" s="44" t="inlineStr">
        <is>
          <t>1</t>
        </is>
      </c>
      <c r="J159" s="45" t="inlineStr">
        <is>
          <t>✅ คำตอบที่ถูกต้อง: ข้อ ก. Aluminum hydroxide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Aluminum hydroxide การเลือก Aluminum hydroxide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(Aluminum hydroxide): Aluminum hydroxide เป็น phosphate binder ได้ แต่ปัจจุบันไม่ใช้เป็น first line เนื่องจากเสี่ยงต่อความเป็นพิษของ Aluminum ที่สะสม
• ข้อ ข. (Calcium hydroxide): Calcium hydroxide ไม่ใช่รูปแบบเกลือแคลเซียมที่นำมาใช้เป็นยาจับฟอสเฟตในทางคลินิก
• ข้อ ค. (Sodium polystyrene sulfonate): Sodium polystyrene sulfonate เป็นยาแลกเปลี่ยนประจุที่ใช้รักษาภาวะ Hyperkalemia ไม่มีผลจับฟอสเฟต
• ข้อ ง. (Calcium polystyrene sulfonate): Calcium polystyrene sulfonate ใช้สำหรับรักษาภาวะ Hyperkalemia ไม่ใช่การรักษาภาวะฟอสเฟตในเลือดสูง
• ข้อ จ. (Sodium bicarbonate): Sodium bicarbonate ใช้รักษาภาวะ Metabolic acidosis ไม่ได้มีฤทธิ์จับฟอสเฟตแต่อย่างใด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59" s="46" t="n"/>
      <c r="L159" s="45" t="inlineStr">
        <is>
          <t>Hypertension</t>
        </is>
      </c>
      <c r="M159" s="46" t="inlineStr">
        <is>
          <t>Clinic</t>
        </is>
      </c>
      <c r="N159" s="45" t="inlineStr">
        <is>
          <t>ข้อ 83 (Pharmtutor_2024_Set2.md)</t>
        </is>
      </c>
      <c r="O159" s="46" t="inlineStr">
        <is>
          <t>Mock</t>
        </is>
      </c>
      <c r="P159" s="46" t="inlineStr">
        <is>
          <t>Mock Pharmtutor 2024</t>
        </is>
      </c>
    </row>
    <row r="160" ht="409.6" customHeight="1" s="37">
      <c r="A160" s="44" t="n">
        <v>158</v>
      </c>
      <c r="B160" s="45" t="inlineStr">
        <is>
          <t>นายสมบูรณ์พาแม่อายุ 78 ปี ไปโรงพยาบาลเพื่อทำการตรวจสุขภาพประจำปี พบว่าเสียค่ายาและค่าเอกซเรย์ไปทั้งหมด 1,320 บาท แต่นายประหยัดต้องขับรถพาแม่ไปโดยมีค่าน้ำมัน 500 บาท อาหารกลางวัน 200 บาท และนอกจากนั้นเขายังเสียโอกาสที่ไปทำงาน ค่าเสียโอกาสที่เขาจะได้รับเมื่อไปทำงานเรียกว่าอะไร</t>
        </is>
      </c>
      <c r="C160" s="46" t="n"/>
      <c r="D160" s="45" t="inlineStr">
        <is>
          <t>ต้นทุนทางตรงทางการแพทย์ Direct medical cost</t>
        </is>
      </c>
      <c r="E160" s="45" t="inlineStr">
        <is>
          <t>ต้นทุนทางตรงที่ไม่เกี่ยวข้องทางการแพทย์ Direct non-medical cost</t>
        </is>
      </c>
      <c r="F160" s="45" t="inlineStr">
        <is>
          <t>ต้นทุนทางอ้อม Indirect medical cost</t>
        </is>
      </c>
      <c r="G160" s="45" t="inlineStr">
        <is>
          <t>ต้นทุนค่าเสียโอกาส Opportunity medical cost</t>
        </is>
      </c>
      <c r="H160" s="45" t="inlineStr">
        <is>
          <t>ต้นทุนการไปทำงาน working cost</t>
        </is>
      </c>
      <c r="I160" s="44" t="inlineStr">
        <is>
          <t>1</t>
        </is>
      </c>
      <c r="J160" s="45" t="inlineStr">
        <is>
          <t>✅ คำตอบที่ถูกต้อง: ข้อ ก. ต้นทุนทางตรงทางการแพทย์ Direct medical cost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ต้นทุนทางตรงทางการแพทย์ Direct medical cost การเลือก ต้นทุนทางตรงทางการแพทย์ Direct medical cost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(ต้นทุนทางตรงทางการแพทย์ Direct medical cost): Direct medical cost คือต้นทุนทางการแพทย์โดยตรง เช่น ค่ายา ค่าตรวจเอกซเรย์ 1,320 บาท แต่โจทย์ถามถึงค่าเสียโอกาสทำงาน
• ข้อ ข. (ต้นทุนทางตรงที่ไม่เกี่ยวข้องทางการแพทย์ Direct non-medical cost): Direct non-medical cost คือต้นทุนทางตรงที่ไม่ใช่ทางการแพทย์ เช่น ค่าเดินทาง ค่าน้ำมัน ค่าอาหาร ซึ่งไม่ใช่ค่าเสียโอกาส
• ข้อ ค. (ต้นทุนทางอ้อม Indirect medical cost): Indirect medical cost ไม่มีคำศัพท์นี้ในทางเศรษฐศาสตร์สาธารณสุข ค่าที่เกิดจากการหยุดงานคือ Indirect cost
• ข้อ จ. (ต้นทุนการไปทำงาน working cost): Working cost ไม่ใช่คำศัพท์ทางเศรษฐศาสตร์สาธารณสุขมาตรฐานที่ใช้เรียกต้นทุนค่าเสียโอกาส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0" s="46" t="n"/>
      <c r="L160" s="45" t="inlineStr">
        <is>
          <t>Hypertension</t>
        </is>
      </c>
      <c r="M160" s="46" t="inlineStr">
        <is>
          <t>Clinic</t>
        </is>
      </c>
      <c r="N160" s="45" t="inlineStr">
        <is>
          <t>ข้อ 110 (Pharmtutor_2024_Set2.md)</t>
        </is>
      </c>
      <c r="O160" s="46" t="inlineStr">
        <is>
          <t>Mock</t>
        </is>
      </c>
      <c r="P160" s="46" t="inlineStr">
        <is>
          <t>Mock Pharmtutor 2024</t>
        </is>
      </c>
    </row>
    <row r="161" ht="409.6" customHeight="1" s="37">
      <c r="A161" s="44" t="n">
        <v>159</v>
      </c>
      <c r="B161" s="45" t="inlineStr">
        <is>
          <t>เภสัชกรโรงงานต้องการผลิตตำหรับ milk of magnesia เครื่องมือใดต่อไปนี้เหมาะสมที่สุด</t>
        </is>
      </c>
      <c r="C161" s="46" t="n"/>
      <c r="D161" s="45" t="inlineStr">
        <is>
          <t>Sigma blade mixer</t>
        </is>
      </c>
      <c r="E161" s="45" t="inlineStr">
        <is>
          <t>Planetary mixer</t>
        </is>
      </c>
      <c r="F161" s="45" t="inlineStr">
        <is>
          <t>Tubine mixer</t>
        </is>
      </c>
      <c r="G161" s="45" t="inlineStr">
        <is>
          <t>Agitator mixer</t>
        </is>
      </c>
      <c r="H161" s="45" t="inlineStr">
        <is>
          <t>Fluidized bed mixers</t>
        </is>
      </c>
      <c r="I161" s="44" t="inlineStr">
        <is>
          <t>1</t>
        </is>
      </c>
      <c r="J161" s="45" t="inlineStr">
        <is>
          <t>✅ คำตอบที่ถูกต้อง: ข้อ ก. Sigma blade mixer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Sigma blade mixer การเลือก Sigma blade mixer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(Sigma blade mixer): Sigma blade mixer เหมาะสำหรับการผสมสารที่มีความหนืดสูงมากๆ เช่น การนวดแป้งหรือยาขี้ผึ้ง ไม่เหมาะกับยาน้ำแขวนตะกอน
• ข้อ ข. (Planetary mixer): Planetary mixer นิยมใช้กับการผสมผงยา ยาครีม หรือแกรนูล ที่ไม่ต้องการแรงเฉือนในระดับสูงเท่ายาน้ำ
• ข้อ ค. (Tubine mixer): Turbine mixer มักใช้สำหรับของเหลวที่หนืดปานกลาง แต่สำหรับยาน้ำแขวนตะกอน Agitator mixer มักให้ผลการกระจายตัวได้เหมาะสมกว่า
• ข้อ จ. (Fluidized bed mixers): Fluidized bed mixer ใช้สำหรับการทำให้แห้งและพ่นเคลือบอนุภาคผงยา ไม่ใช่สำหรับการผสมยาน้ำแขวนตะกอน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1" s="46" t="n"/>
      <c r="L161" s="45" t="inlineStr">
        <is>
          <t>Hypertension</t>
        </is>
      </c>
      <c r="M161" s="46" t="inlineStr">
        <is>
          <t>Clinic</t>
        </is>
      </c>
      <c r="N161" s="45" t="inlineStr">
        <is>
          <t>ข้อ 114 (Pharmtutor_2024_Set2.md)</t>
        </is>
      </c>
      <c r="O161" s="46" t="inlineStr">
        <is>
          <t>Mock</t>
        </is>
      </c>
      <c r="P161" s="46" t="inlineStr">
        <is>
          <t>Mock Pharmtutor 2024</t>
        </is>
      </c>
    </row>
    <row r="162" ht="409.6" customHeight="1" s="37">
      <c r="A162" s="44" t="n">
        <v>160</v>
      </c>
      <c r="B162" s="45" t="inlineStr">
        <is>
          <t>ยาลดกรด aluminium hydroxide/magnesium hydroxide ขนาด 240 มิลลิลิตร เป็นยา ประเภทใด</t>
        </is>
      </c>
      <c r="C162" s="46" t="n"/>
      <c r="D162" s="45" t="inlineStr">
        <is>
          <t>ยาสามัญประจำบ้าน</t>
        </is>
      </c>
      <c r="E162" s="45" t="inlineStr">
        <is>
          <t>ยาอันตราย</t>
        </is>
      </c>
      <c r="F162" s="45" t="inlineStr">
        <is>
          <t>ยาควบคุมพิเศษ</t>
        </is>
      </c>
      <c r="G162" s="45" t="inlineStr">
        <is>
          <t>วัตถุออกฤทธิ์ต่อจิตและประสาท</t>
        </is>
      </c>
      <c r="H162" s="45" t="inlineStr">
        <is>
          <t>ยาเสพติดให้โทษ ประเภทที่ 3 ตะลุยโจทย์เภสัชจุฬาฯ สอบผ่าน 100%</t>
        </is>
      </c>
      <c r="I162" s="44" t="inlineStr">
        <is>
          <t>1</t>
        </is>
      </c>
      <c r="J162" s="45" t="inlineStr">
        <is>
          <t>✅ คำตอบที่ถูกต้อง: ข้อ ก. 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ยาสามัญประจำบ้าน การเลือก ยาสามัญประจำบ้าน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(ยาอันตราย): ยาอันตราย ต้องจ่ายโดยเภสัชกรและมีรายงาน แต่ยาลดกรดทั่วไปในขนาดและรูปแบบมาตรฐานนี้จัดเป็นยาสามัญประจำบ้านที่ประชาชนหาซื้อได้เอง
• ข้อ ค. (ยาควบคุมพิเศษ): ยาควบคุมพิเศษ เป็นยาที่ต้องมีใบสั่งแพทย์เท่านั้น เช่น ยาปฏิชีวนะบางชนิดหรือยาสเตียรอยด์
• ข้อ ง. (วัตถุออกฤทธิ์ต่อจิตและประสาท): วัตถุออกฤทธิ์ต่อจิตและประสาท เช่น ยานอนหลับ ยาระงับอาการวิตกกังวล ต้องควบคุมการจ่ายอย่างเคร่งครัดตามกฎหมาย
• ข้อ จ. (ยาเสพติดให้โทษ ประเภทที่ 3 ตะลุยโจทย์เภสัชจุฬาฯ สอบผ่าน 100%): ยาเสพติดให้โทษ ประเภทที่ 3 คือยาที่มีส่วนผสมของยาเสพติดในตำรับ เช่น ยาแก้ไอผสมโคเดอีน ไม่ใช่ยาลดกรด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2" s="46" t="n"/>
      <c r="L162" s="45" t="inlineStr">
        <is>
          <t>Hypertension</t>
        </is>
      </c>
      <c r="M162" s="46" t="inlineStr">
        <is>
          <t>Clinic</t>
        </is>
      </c>
      <c r="N162" s="45" t="inlineStr">
        <is>
          <t>ข้อ 1 (LAW-CU-71.md)</t>
        </is>
      </c>
      <c r="O162" s="46" t="inlineStr">
        <is>
          <t>Mock</t>
        </is>
      </c>
      <c r="P162" s="46" t="inlineStr">
        <is>
          <t>Mock กฎหมาย CU71</t>
        </is>
      </c>
    </row>
    <row r="163" ht="409.6" customHeight="1" s="37">
      <c r="A163" s="44" t="n">
        <v>161</v>
      </c>
      <c r="B163" s="45" t="inlineStr">
        <is>
          <t>amitiptyline</t>
        </is>
      </c>
      <c r="C163" s="46" t="n"/>
      <c r="D163" s="45" t="inlineStr">
        <is>
          <t>Fluoxetine สถานการณ์ที่ 3 : Gout</t>
        </is>
      </c>
      <c r="E163" s="45" t="inlineStr">
        <is>
          <t>ข้อใดไม่ใช้ risk factor</t>
        </is>
      </c>
      <c r="F163" s="45" t="inlineStr">
        <is>
          <t>อ้วน</t>
        </is>
      </c>
      <c r="G163" s="45" t="inlineStr">
        <is>
          <t>ความดันโลหิตสูง</t>
        </is>
      </c>
      <c r="H163" s="45" t="inlineStr">
        <is>
          <t>ดื่มเหล้า</t>
        </is>
      </c>
      <c r="I163" s="44" t="inlineStr">
        <is>
          <t>1</t>
        </is>
      </c>
      <c r="J163" s="45" t="inlineStr">
        <is>
          <t>✅ คำตอบที่ถูกต้อง: ข้อ ก. Fluoxetine สถานการณ์ที่ 3 : Gout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Fluoxetine สถานการณ์ที่ 3 : Gout ---------------------------------------------------------------------------------------------------------------------------------
 เป็น SSRI มี half-life ยาวที่สุดในกลุ่ม (ร่วมกับ active metabolite norfluoxetine) จึงมี discontinuation syndrome ต่ำ แต่ยับยั้ง CYP2D6 สูง
🔍 ข้ออื่นผิดเพราะอะไร:
• ข้อ ก. (Fluoxetine สถานการณ์ที่ 3 : Gout): Fluoxetine เป็นยากลุ่ม SSRI ที่ใช้รักษาโรคซึมเศร้า ไม่มีผลเป็น risk factor ที่ทำให้เกิด Gout
• ข้อ ข. (ข้อใดไม่ใช้ risk factor): ข้อนี้ไม่ใช่ risk factor จึงเป็นคำตอบที่โจทย์ถาม ส่วนข้ออื่นๆ เป็นปัจจัยเสี่ยงของการเกิด Gout
• ข้อ ค. (อ้วน): ความอ้วน (Obesity) มีความสัมพันธ์กับภาวะ Insulin resistance ที่ลดการขับกรดยูริกออกทางไต จึงเป็นปัจจัยเสี่ยง
• ข้อ ง. (ความดันโลหิตสูง): ความดันโลหิตสูง ทำให้เลือดไปเลี้ยงไตลดลง ส่งผลให้การขับกรดยูริกลดลง จึงเพิ่มความเสี่ยง Gout
• ข้อ จ. (ดื่มเหล้า): แอลกอฮอล์ มีพิวรีนสูงและกระบวนการสลายแอลกอฮอล์ในตับจะเพิ่มการสร้างกรดยูริกและลดการขับทางไต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63" s="46" t="n"/>
      <c r="L163" s="45" t="inlineStr">
        <is>
          <t>Hypertension</t>
        </is>
      </c>
      <c r="M163" s="46" t="inlineStr">
        <is>
          <t>Clinic</t>
        </is>
      </c>
      <c r="N163" s="45" t="inlineStr">
        <is>
          <t>ข้อ 1 (PLE_CC1_2556.md)</t>
        </is>
      </c>
      <c r="O163" s="46" t="inlineStr">
        <is>
          <t>ข้อสอบจริง</t>
        </is>
      </c>
      <c r="P163" s="46" t="inlineStr">
        <is>
          <t>ปี 2556</t>
        </is>
      </c>
    </row>
    <row r="164" ht="409.6" customHeight="1" s="37">
      <c r="A164" s="44" t="n">
        <v>162</v>
      </c>
      <c r="B164" s="45" t="inlineStr">
        <is>
          <t>ผู้ป่วยควรได้รับ clopidogrel 75 mg OD</t>
        </is>
      </c>
      <c r="C164" s="46" t="n"/>
      <c r="D164" s="45" t="inlineStr">
        <is>
          <t>ยาตัวใดที่ออกฤทธิ์ไม่เกี่ยวกับการหลั่ง insulin หรือ insulin resistance</t>
        </is>
      </c>
      <c r="E164" s="45" t="inlineStr">
        <is>
          <t>Losartan 50 mg OD</t>
        </is>
      </c>
      <c r="F164" s="45" t="inlineStr">
        <is>
          <t>Enalapril 10 mg BID</t>
        </is>
      </c>
      <c r="G164" s="45" t="inlineStr">
        <is>
          <t>Hydrochlorothiazide 25 mg OD</t>
        </is>
      </c>
      <c r="H164" s="45" t="inlineStr">
        <is>
          <t>Atorvastatin 20 mg OD</t>
        </is>
      </c>
      <c r="I164" s="44" t="inlineStr">
        <is>
          <t>1</t>
        </is>
      </c>
      <c r="J164" s="45" t="inlineStr">
        <is>
          <t>✅ คำตอบที่ถูกต้อง: ข้อ ก. ยาตัวใดที่ออกฤทธิ์ไม่เกี่ยวกับการหลั่ง insulin หรือ insulin resistance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ยาตัวใดที่ออกฤทธิ์ไม่เกี่ยวกับการหลั่ง insulin หรือ insulin resistance การเลือก ยาตัวใดที่ออกฤทธิ์ไม่เกี่ยวกับการหลั่ง insulin หรือ insulin resistance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4" s="46" t="n"/>
      <c r="L164" s="45" t="inlineStr">
        <is>
          <t>Hypertension</t>
        </is>
      </c>
      <c r="M164" s="46" t="inlineStr">
        <is>
          <t>Clinic</t>
        </is>
      </c>
      <c r="N164" s="45" t="inlineStr">
        <is>
          <t>ข้อ 4 (PLE_CC1_2556.md)</t>
        </is>
      </c>
      <c r="O164" s="46" t="inlineStr">
        <is>
          <t>ข้อสอบจริง</t>
        </is>
      </c>
      <c r="P164" s="46" t="inlineStr">
        <is>
          <t>ปี 2556</t>
        </is>
      </c>
    </row>
    <row r="165" ht="409.6" customHeight="1" s="37">
      <c r="A165" s="44" t="n">
        <v>163</v>
      </c>
      <c r="B165" s="45" t="inlineStr">
        <is>
          <t>ให้ฉลากยาแผนโบราณมา แล้วถามว่าข้อใดผิดเกี่ยวกับฉลากข้างต้น จำ choice ไม่ได้ แต่ผิดที่เลขทะเบียน เพราะ ในฉลาก เป็น 3G xx/xx ช้อย บอกว่าเป็นผลิต สถานการณ์ที่ 5 : เน้น CKD-electrolyte imbalance แต่ผู้ป่วยเป็นหลายโรค คือเบาหวาน ความดัน ไขมัน วัดความดันโลหิต ครั้งแรก 155/99 mmHg รู้สึกปวดท้ายทอยมากขึ้น วัดความดันโลหิตได้ 150/95</t>
        </is>
      </c>
      <c r="C165" s="46" t="n"/>
      <c r="D165" s="45" t="inlineStr">
        <is>
          <t>ถามว่าเป้าหมายความดันโลหิตของผู้ป่วยควรน้อยกว่าเท่าไร</t>
        </is>
      </c>
      <c r="E165" s="45" t="inlineStr">
        <is>
          <t>Warfarin 3 mg OD (target INR 2.0-3.0)</t>
        </is>
      </c>
      <c r="F165" s="45" t="inlineStr">
        <is>
          <t>Furosemide 40 mg OD</t>
        </is>
      </c>
      <c r="G165" s="45" t="inlineStr">
        <is>
          <t>Amlodipine 5 mg OD</t>
        </is>
      </c>
      <c r="H165" s="45" t="inlineStr">
        <is>
          <t>Losartan 50 mg OD</t>
        </is>
      </c>
      <c r="I165" s="44" t="inlineStr">
        <is>
          <t>1</t>
        </is>
      </c>
      <c r="J165" s="45" t="inlineStr">
        <is>
          <t>✅ คำตอบที่ถูกต้อง: ข้อ ก. ถามว่าเป้าหมายความดันโลหิตของผู้ป่วยควรน้อยกว่าเท่าไร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ถามว่าเป้าหมายความดันโลหิตของผู้ป่วยควรน้อยกว่าเท่าไร การเลือก ถามว่าเป้าหมายความดันโลหิตของผู้ป่วยควรน้อยกว่าเท่าไร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5" s="46" t="n"/>
      <c r="L165" s="45" t="inlineStr">
        <is>
          <t>Hypertension</t>
        </is>
      </c>
      <c r="M165" s="46" t="inlineStr">
        <is>
          <t>Clinic</t>
        </is>
      </c>
      <c r="N165" s="45" t="inlineStr">
        <is>
          <t>ข้อ 10 (PLE_CC1_2556.md)</t>
        </is>
      </c>
      <c r="O165" s="46" t="inlineStr">
        <is>
          <t>ข้อสอบจริง</t>
        </is>
      </c>
      <c r="P165" s="46" t="inlineStr">
        <is>
          <t>ปี 2556</t>
        </is>
      </c>
    </row>
    <row r="166" ht="409.6" customHeight="1" s="37">
      <c r="A166" s="44" t="n">
        <v>164</v>
      </c>
      <c r="B166" s="45" t="inlineStr">
        <is>
          <t>กินนมเยอะๆ เพื่อปรับสมดุลกรดเบสในร่างกาย --------------------------------------------------------------------------------------------------------------------------------- สถานการณ์ที่ 7 : มะเร็งเม็ดเลือดขาว คนไข้ได้ยา Doxorubicin Vincristine Cyclophosphamide Prednisolone Ondancetron</t>
        </is>
      </c>
      <c r="C166" s="46" t="n"/>
      <c r="D166" s="45" t="inlineStr">
        <is>
          <t>ยาใดต้องให้กินน ้ามากๆ ตอบ Cyclophosphamide</t>
        </is>
      </c>
      <c r="E166" s="45" t="inlineStr">
        <is>
          <t>ยาใดทำให้เจ็บปาก เป็นแผลในปาก แต่ไม่มีการติดเชื้อ</t>
        </is>
      </c>
      <c r="F166" s="45" t="inlineStr">
        <is>
          <t>Doxorubicin</t>
        </is>
      </c>
      <c r="G166" s="45" t="inlineStr">
        <is>
          <t>Vincristine</t>
        </is>
      </c>
      <c r="H166" s="45" t="inlineStr">
        <is>
          <t>Cyclophosphamide</t>
        </is>
      </c>
      <c r="I166" s="44" t="inlineStr">
        <is>
          <t>1</t>
        </is>
      </c>
      <c r="J166" s="45" t="inlineStr">
        <is>
          <t>✅ คำตอบที่ถูกต้อง: ข้อ ก. ยาใดต้องให้กินน ้ามากๆ ตอบ Cyclophosphamide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ยาใดต้องให้กินน ้ามากๆ ตอบ Cyclophosphamide การเลือก ยาใดต้องให้กินน ้ามากๆ ตอบ Cyclophosphamide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(ยาใดทำให้เจ็บปาก เป็นแผลในปาก แต่ไม่มีการติดเชื้อ): ยาใดทำให้เจ็บปาก (Stomatitis) เป็นผลข้างเคียงเด่นของ Doxorubicin จากการยับยั้งการแบ่งเซลล์เยื่อบุทางเดินอาหาร
• ข้อ ค. (Doxorubicin): Doxorubicin ก่อให้เกิดพิษต่อหัวใจ และแผลในปาก แต่ไม่ได้บังคับให้ดื่มน้ำมากๆ เพื่อป้องกันกระเพาะปัสสาวะอักเสบเหมือน Cyclophosphamide
• ข้อ ง. (Vincristine): Vincristine มีผลข้างเคียงเด่นคือ Peripheral neuropathy และอาการท้องผูก
• ข้อ จ. (Cyclophosphamide): Cyclophosphamide ทำให้เกิด Hemorrhagic cystitis จากสารเมแทบอไลต์ Acrolein จึงต้องดื่มน้ำมากๆ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66" s="46" t="n"/>
      <c r="L166" s="45" t="inlineStr">
        <is>
          <t>Hypertension</t>
        </is>
      </c>
      <c r="M166" s="46" t="inlineStr">
        <is>
          <t>Clinic</t>
        </is>
      </c>
      <c r="N166" s="45" t="inlineStr">
        <is>
          <t>ข้อ 3 (PLE_CC1_2556.md)</t>
        </is>
      </c>
      <c r="O166" s="46" t="inlineStr">
        <is>
          <t>ข้อสอบจริง</t>
        </is>
      </c>
      <c r="P166" s="46" t="inlineStr">
        <is>
          <t>ปี 2556</t>
        </is>
      </c>
    </row>
    <row r="167" ht="409.6" customHeight="1" s="37">
      <c r="A167" s="44" t="n">
        <v>165</v>
      </c>
      <c r="B167" s="45" t="inlineStr">
        <is>
          <t>กำหนดค่า Q=80% เม็ดยา warfarin 5 mg นำมา 6 เม็ด N1=4.5, N2=4.5, N3=5.25, N4=4.75, N5=5.25, N6=4.0 จะสรุปได้ว่าอย่างไร</t>
        </is>
      </c>
      <c r="C167" s="46" t="n"/>
      <c r="D167" s="45" t="inlineStr">
        <is>
          <t>ผ่าน S1</t>
        </is>
      </c>
      <c r="E167" s="45" t="inlineStr">
        <is>
          <t>ไม่ผ่าน S1 เนื่องจากมียา 1 เม็ดที่อยู่ต ่ากว่า Q+5</t>
        </is>
      </c>
      <c r="F167" s="45" t="inlineStr">
        <is>
          <t>ไม่ผ่าน S1 เนื่องจากมียา 4 เม็ดที่อยู่ต ่ากว่า Q+5</t>
        </is>
      </c>
      <c r="G167" s="45" t="inlineStr">
        <is>
          <t>ไม่ผ่าน S1 ต้องเพิ่มยาอีก 6 เม็ด</t>
        </is>
      </c>
      <c r="H167" s="45" t="inlineStr">
        <is>
          <t>............................</t>
        </is>
      </c>
      <c r="I167" s="44" t="inlineStr">
        <is>
          <t>1</t>
        </is>
      </c>
      <c r="J167" s="45" t="inlineStr">
        <is>
          <t>✅ คำตอบที่ถูกต้อง: ข้อ ก. ผ่าน S1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ผ่าน S1 การเลือก ผ่าน S1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(ผ่าน S1): การผ่าน S1 ของการประเมิน Content uniformity คือต้องไม่มีเม็ดใดตกขอบเกณฑ์เกินค่า Q แต่นี่มีบางเม็ดที่ตกเกณฑ์ไป
• ข้อ ข. (ไม่ผ่าน S1 เนื่องจากมียา 1 เม็ดที่อยู่ต ่ากว่า Q+5): ไม่ผ่าน S1 เนื่องจากมียา 1 เม็ดที่ต่ำกว่า Q+5 ไม่ถูกต้องตามเกณฑ์มาตรฐานของเภสัชตำรับ
• ข้อ ค. (ไม่ผ่าน S1 เนื่องจากมียา 4 เม็ดที่อยู่ต ่ากว่า Q+5): ไม่ผ่าน S1 เนื่องจากมี 4 เม็ดต่ำกว่า Q+5 เป็นการประเมินที่ผิดจากเกณฑ์ทดสอบความสม่ำเสมอของตัวยา
• ข้อ ง. (ไม่ผ่าน S1 ต้องเพิ่มยาอีก 6 เม็ด): การไม่ผ่าน S1 จะต้องไปทดสอบ S2 โดยเพิ่มตัวอย่างยาอีก 24 เม็ด ไม่ใช่ 6 เม็ด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67" s="46" t="n"/>
      <c r="L167" s="45" t="inlineStr">
        <is>
          <t>Hypertension</t>
        </is>
      </c>
      <c r="M167" s="46" t="inlineStr">
        <is>
          <t>Clinic</t>
        </is>
      </c>
      <c r="N167" s="45" t="inlineStr">
        <is>
          <t>ข้อ 1 (PLE_CC1_2555 Day 1.md)</t>
        </is>
      </c>
      <c r="O167" s="46" t="inlineStr">
        <is>
          <t>ข้อสอบจริง</t>
        </is>
      </c>
      <c r="P167" s="46" t="inlineStr">
        <is>
          <t>ปี 2555</t>
        </is>
      </c>
    </row>
    <row r="168" ht="409.6" customHeight="1" s="37">
      <c r="A168" s="44" t="n">
        <v>166</v>
      </c>
      <c r="B168" s="45" t="inlineStr">
        <is>
          <t>ข้อใดคือข้อควรแนะนำสำหรับผู้ป่วยที่ได้รับยา warfarin ครั้งแรก</t>
        </is>
      </c>
      <c r="C168" s="46" t="n"/>
      <c r="D168" s="45" t="inlineStr">
        <is>
          <t>ลดปริมาณการทานผักใบเขียว</t>
        </is>
      </c>
      <c r="E168" s="45" t="inlineStr">
        <is>
          <t>ให้ผู้ป่วยสังเกตอาการลิ่มเลือดอุดตัน เช่น มีจ ้าเลือด ฟกช ้า</t>
        </is>
      </c>
      <c r="F168" s="45" t="inlineStr">
        <is>
          <t>เมื่อมีอาการเลือดออกตามไรฟันให้รีบไปพบแพทย์</t>
        </is>
      </c>
      <c r="G168" s="45" t="inlineStr">
        <is>
          <t>................</t>
        </is>
      </c>
      <c r="H168" s="45" t="inlineStr">
        <is>
          <t>................</t>
        </is>
      </c>
      <c r="I168" s="44" t="inlineStr">
        <is>
          <t>1</t>
        </is>
      </c>
      <c r="J168" s="45" t="inlineStr">
        <is>
          <t>✅ คำตอบที่ถูกต้อง: ข้อ ก. ลดปริมาณการทานผักใบเขียว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ลดปริมาณการทานผักใบเขียว การเลือก ลดปริมาณการทานผักใบเขียว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(ลดปริมาณการทานผักใบเขียว): ผู้ป่วยควรบริโภคผักใบเขียวในปริมาณที่สม่ำเสมอเป็นประจำทุกวัน ไม่ใช่ให้ลดปริมาณการทานลงอย่างเด็ดขาด
• ข้อ ข. (ให้ผู้ป่วยสังเกตอาการลิ่มเลือดอุดตัน เช่น มีจ ้าเลือด ฟกช ้า): อาการจ้ำเลือด ฟกช้ำ เป็นจุดที่ควรสังเกตเนื่องจากหมายถึงภาวะเลือดออกผิดปกติจากการที่ยาออกฤทธิ์เกิน ไม่ใช่ลิ่มเลือดอุดตัน
• ข้อ ง. (................): อาการเลือดออกตามไรฟันบ่งบอกถึงภาวะ Over-anticoagulation เป็นอาการสำคัญที่ต้องรีบมาพบแพทย์
• ข้อ จ. (................): เป็นตัวเลือกลวงที่ไม่มีข้อมูลในการประเมิน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68" s="46" t="n"/>
      <c r="L168" s="45" t="inlineStr">
        <is>
          <t>Hypertension</t>
        </is>
      </c>
      <c r="M168" s="46" t="inlineStr">
        <is>
          <t>Clinic</t>
        </is>
      </c>
      <c r="N168" s="45" t="inlineStr">
        <is>
          <t>ข้อ 2 (PLE_CC1_2555 Day 1.md)</t>
        </is>
      </c>
      <c r="O168" s="46" t="inlineStr">
        <is>
          <t>ข้อสอบจริง</t>
        </is>
      </c>
      <c r="P168" s="46" t="inlineStr">
        <is>
          <t>ปี 2555</t>
        </is>
      </c>
    </row>
    <row r="169" ht="409.6" customHeight="1" s="37">
      <c r="A169" s="44" t="n">
        <v>167</v>
      </c>
      <c r="B169" s="45" t="inlineStr">
        <is>
          <t>ข้อใดถูกต้องเกี่ยวกับยา warfarin</t>
        </is>
      </c>
      <c r="C169" s="46" t="n"/>
      <c r="D169" s="45" t="inlineStr">
        <is>
          <t>Warfarin ออกฤทธิ์ภายใน 1 วัน</t>
        </is>
      </c>
      <c r="E169" s="45" t="inlineStr">
        <is>
          <t>สามารถบรรเทาอาการปวดได้โดยใช้ยา paracetamol เป็นประจำโดยไม่มีผลต่อ warfarin</t>
        </is>
      </c>
      <c r="F169" s="45" t="inlineStr">
        <is>
          <t>ผู้ป่วยที่เป็นภาวะ Mital stenosis มี target INR คือ 2-3</t>
        </is>
      </c>
      <c r="G169" s="45" t="inlineStr">
        <is>
          <t>สามารถใช้ค่า aPTT ในการตรวจติดตามผลการรักษา</t>
        </is>
      </c>
      <c r="H169" s="45" t="inlineStr">
        <is>
          <t>สามารถใช้ค่าระดับ Platelet ในการตรวจติดตามผลการรักษา</t>
        </is>
      </c>
      <c r="I169" s="44" t="inlineStr">
        <is>
          <t>1</t>
        </is>
      </c>
      <c r="J169" s="45" t="inlineStr">
        <is>
          <t>✅ คำตอบที่ถูกต้อง: ข้อ ก. Warfarin ออกฤทธิ์ภายใน 1 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Warfarin ออกฤทธิ์ภายใน 1 วัน การเลือก Warfarin ออกฤทธิ์ภายใน 1 วัน เป็นคำตอบที่ถูกต้องตามแนวทางการรักษามาตรฐาน เนื่องจาก เป็น Vitamin K antagonist ต้องติดตาม monitoring ค่า INR (target 2.0-3.0 ใน DVT/PE/AF, 2.5-3.5 ใน mechanical mitral valve) มี drug-food interactions มากมาย และ reversal agent คือ Vitamin K1
🔍 ข้ออื่นผิดเพราะอะไร:
• ข้อ ก. (Warfarin ออกฤทธิ์ภายใน 1 วัน): Warfarin ออกฤทธิ์ได้ช้า โดยปกติใช้เวลา 3-5 วัน ในการกดระดับ clotting factor ให้ลดลงจนถึงเป้าหมาย
• ข้อ ข. (สามารถบรรเทาอาการปวดได้โดยใช้ยา paracetamol เป็นประจำโดยไม่มีผลต่อ warfarin): Paracetamol หากใช้เกิน 2 กรัมต่อวันติดต่อกันหลายวัน สามารถยับยั้งเมแทบอลิซึมของ Warfarin ทำให้ค่า INR สูงขึ้นได้
• ข้อ ค. (ผู้ป่วยที่เป็นภาวะ Mital stenosis มี target INR คือ 2-3): ผู้ป่วยที่มี Mitral stenosis ร่วมกับ Atrial Fibrillation หรือใส่ลิ้นหัวใจเทียมแบบโลหะ จะมี target INR สูงกว่าปกติ (2.5-3.5)
• ข้อ จ. (สามารถใช้ค่าระดับ Platelet ในการตรวจติดตามผลการรักษา): Platelet ใช้ติดตามผลของยากลุ่ม Antiplatelet และ Heparin ส่วน Warfarin ติดตามด้วยค่า PT/INR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69" s="46" t="n"/>
      <c r="L169" s="45" t="inlineStr">
        <is>
          <t>Hypertension</t>
        </is>
      </c>
      <c r="M169" s="46" t="inlineStr">
        <is>
          <t>Clinic</t>
        </is>
      </c>
      <c r="N169" s="45" t="inlineStr">
        <is>
          <t>ข้อ 4 (PLE_CC1_2555 Day 1.md)</t>
        </is>
      </c>
      <c r="O169" s="46" t="inlineStr">
        <is>
          <t>ข้อสอบจริง</t>
        </is>
      </c>
      <c r="P169" s="46" t="inlineStr">
        <is>
          <t>ปี 2555</t>
        </is>
      </c>
    </row>
    <row r="170" ht="409.6" customHeight="1" s="37">
      <c r="A170" s="44" t="n">
        <v>168</v>
      </c>
      <c r="B170" s="45" t="inlineStr">
        <is>
          <t>ข้อใดต่อไปนี้ที่ทำให้เกิดภาวะ thrombosis ในผู้ป่วยที่ใช้ยา warfarin</t>
        </is>
      </c>
      <c r="C170" s="46" t="n"/>
      <c r="D170" s="45" t="inlineStr">
        <is>
          <t>CYP 2C9 poor metabolizer</t>
        </is>
      </c>
      <c r="E170" s="45" t="inlineStr">
        <is>
          <t>การใช้วิตามิน E ร่วมด้วย</t>
        </is>
      </c>
      <c r="F170" s="45" t="inlineStr">
        <is>
          <t>ใช้ Phenobarbital ร่วมด้วย</t>
        </is>
      </c>
      <c r="G170" s="45" t="inlineStr">
        <is>
          <t>ใช้ etoricoxib ร่วมด้วย</t>
        </is>
      </c>
      <c r="H170" s="45" t="inlineStr">
        <is>
          <t>…..</t>
        </is>
      </c>
      <c r="I170" s="44" t="inlineStr">
        <is>
          <t>1</t>
        </is>
      </c>
      <c r="J170" s="45" t="inlineStr">
        <is>
          <t>✅ คำตอบที่ถูกต้อง: ข้อ ก. CYP 2C9 poor metabolizer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CYP 2C9 poor metabolizer เป็นตัวเลือกที่ถูกต้องและสอดคล้องกับ evidence-based guidelines ของภาวะ Hypertension โดยมี clinical efficacy สูงสุดและมี safety profile เหมาะสมกับผู้ป่วย
🔍 ข้ออื่นผิดเพราะอะไร:
• ข้อ ก. (CYP 2C9 poor metabolizer): CYP 2C9 poor metabolizer จะทำให้ระดับ Warfarin สะสมสูงขึ้น ส่งผลให้เกิดภาวะเลือดออก ไม่ใช่ Thrombosis
• ข้อ ข. (การใช้วิตามิน E ร่วมด้วย): การใช้วิตามิน E ร่วมด้วยในขนาดสูง มีฤทธิ์ Antiplatelet ยับยั้งการเกาะกลุ่มของเกล็ดเลือด จึงเพิ่มความเสี่ยงในการเกิดเลือดออก
• ข้อ ง. (ใช้ etoricoxib ร่วมด้วย): Etoricoxib เป็นยากลุ่ม NSAIDs ที่มีฤทธิ์ยับยั้งเกล็ดเลือดและทำให้เกิดแผลในทางเดินอาหาร เพิ่มความเสี่ยงเลือดออกอย่างรุนแรง
• ข้อ จ. (…..): Phenobarbital เป็น CYP inducer ที่เร่งการทำลาย Warfarin ทำให้ระดับยาลดลง จึงส่งผลให้เกิดภาวะลิ่มเลือดอุดตัน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70" s="46" t="n"/>
      <c r="L170" s="45" t="inlineStr">
        <is>
          <t>Hypertension</t>
        </is>
      </c>
      <c r="M170" s="46" t="inlineStr">
        <is>
          <t>Clinic</t>
        </is>
      </c>
      <c r="N170" s="45" t="inlineStr">
        <is>
          <t>ข้อ 6 (PLE_CC1_2555 Day 1.md)</t>
        </is>
      </c>
      <c r="O170" s="46" t="inlineStr">
        <is>
          <t>ข้อสอบจริง</t>
        </is>
      </c>
      <c r="P170" s="46" t="inlineStr">
        <is>
          <t>ปี 2555</t>
        </is>
      </c>
    </row>
    <row r="171" ht="409.6" customHeight="1" s="37">
      <c r="A171" s="44" t="n">
        <v>169</v>
      </c>
      <c r="B171" s="45" t="inlineStr">
        <is>
          <t>ในโรงพยาบาลมียา warfarin 3 และ 5 mg โดยผู้ป่วยต้องได้รับขนาดยาทั้งหมด 17.5 mg ต่อสัปดาห์ โดย ต้องได้รับยา 4 สัปดาห์ และผู้ป่วยได้รับยาขนาดเท่ากันทุกวัน ต้องได้ยาอย่างไร</t>
        </is>
      </c>
      <c r="C171" s="46" t="n"/>
      <c r="D171" s="45" t="inlineStr">
        <is>
          <t>ขนาด 3 mg…เม็ด</t>
        </is>
      </c>
      <c r="E171" s="45" t="inlineStr">
        <is>
          <t>ขนาด 3 mg…เม็ดและขนาด 5mg...เม็ด</t>
        </is>
      </c>
      <c r="F171" s="45" t="inlineStr">
        <is>
          <t>ขนาด 3 mg…เม็ดและขนาด 5mg...เม็ด</t>
        </is>
      </c>
      <c r="G171" s="45" t="inlineStr">
        <is>
          <t>ขนาด 5 mg 14 เม็ด</t>
        </is>
      </c>
      <c r="H171" s="45" t="inlineStr">
        <is>
          <t>ขนาด 5 mg 28 เม็ด</t>
        </is>
      </c>
      <c r="I171" s="44" t="inlineStr">
        <is>
          <t>1</t>
        </is>
      </c>
      <c r="J171" s="45" t="inlineStr">
        <is>
          <t>✅ คำตอบที่ถูกต้อง: ข้อ ก. ขนาด 3 mg…เม็ด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ขนาด 3 mg…เม็ด การเลือก ขนาด 3 mg…เม็ด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(ขนาด 3 mg…เม็ด): การจัดยาเพียง 3 mg ไม่สามารถแบ่งจ่ายเพื่อให้ได้ขนาดรวม 17.5 mg ต่อสัปดาห์อย่างลงตัว (17.5 / 7 = 2.5 mg/วัน)
• ข้อ ข. (ขนาด 3 mg…เม็ดและขนาด 5mg...เม็ด): การใช้ยาผสมกันระหว่าง 3 mg และ 5 mg อาจทำให้ผู้ป่วยสับสน และยังแบ่งขนาดยาให้ลงตัวเป็น 2.5 mg ต่อวันได้ยาก
• ข้อ ค. (ขนาด 3 mg…เม็ดและขนาด 5mg...เม็ด): การใช้ยาผสมกัน 2 ขนาดในแต่ละวันเพิ่มโอกาสเกิด Medication error ในผู้ป่วยที่ต้องทานยาระยะยาว
• ข้อ ง. (ขนาด 5 mg 14 เม็ด): ขนาดยา 5 mg 14 เม็ด เท่ากับผู้ป่วยทานวันละครึ่งเม็ด (2.5 mg) เป็นเวลา 28 วัน (4 สัปดาห์) ซึ่งเป็นวิธีที่สะดวกและถูกต้องที่สุด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171" s="46" t="n"/>
      <c r="L171" s="45" t="inlineStr">
        <is>
          <t>Hypertension</t>
        </is>
      </c>
      <c r="M171" s="46" t="inlineStr">
        <is>
          <t>Clinic</t>
        </is>
      </c>
      <c r="N171" s="45" t="inlineStr">
        <is>
          <t>ข้อ 7 (PLE_CC1_2555 Day 1.md)</t>
        </is>
      </c>
      <c r="O171" s="46" t="inlineStr">
        <is>
          <t>ข้อสอบจริง</t>
        </is>
      </c>
      <c r="P171" s="46" t="inlineStr">
        <is>
          <t>ปี 2555</t>
        </is>
      </c>
    </row>
    <row r="172" ht="409.6" customHeight="1" s="37">
      <c r="A172" s="44" t="n">
        <v>170</v>
      </c>
      <c r="B172" s="45" t="inlineStr">
        <is>
          <t>FeSO4 100 เม็ด จัดเป็นยาอะไร Refชีทเรียนวิชากฏหมาย กรณีศึกษา 6 ผู้ป่วยชายมีอาการปวดเค้นหน้าอกเหงื่อออกใจสั่นเลยอม IDN ใต้ลิ้นไป 1 เม็ดไม่ดีขึ้นก็เลย ไปโรงพยาบาลระหว่างทางก็เลยอมไปอีก 2 เม็ดมาถึงโรงพยาบาลหมอบอกว่าเป็น acute MI</t>
        </is>
      </c>
      <c r="C172" s="46" t="n"/>
      <c r="D172" s="45" t="inlineStr">
        <is>
          <t>การตรวจอะไรที่จะยืนยันได้ว่าเป็นMI</t>
        </is>
      </c>
      <c r="E172" s="45" t="inlineStr">
        <is>
          <t>Cardiac enzyme</t>
        </is>
      </c>
      <c r="F172" s="45" t="inlineStr">
        <is>
          <t>คลื่นไฟฟ้าหัวใจ</t>
        </is>
      </c>
      <c r="G172" s="45" t="inlineStr">
        <is>
          <t>ตรวจตับ</t>
        </is>
      </c>
      <c r="H172" s="45" t="inlineStr">
        <is>
          <t>ดูอาการเจ็บหน้าอก</t>
        </is>
      </c>
      <c r="I172" s="44" t="inlineStr">
        <is>
          <t>1</t>
        </is>
      </c>
      <c r="J172" s="45" t="inlineStr">
        <is>
          <t>✅ คำตอบที่ถูกต้อง: ข้อ ก. การตรวจอะไรที่จะยืนยันได้ว่าเป็นMI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การตรวจอะไรที่จะยืนยันได้ว่าเป็นMI การตรวจอะไรที่จะยืนยันได้ว่าเป็น MI การตรวจอะไรที่จะยืนยันได้ว่าเป็น MI การตรวจอะไรที่จะยืนยันได้ว่าเป็น MI การตรวจอะไรที่จะยืนยันได้ว่าเป็น MI กิตติยศ)เอนไซม์ที่จำเพาะต่อกล้ามเนื้อหัวใจ เช่น cardiac troponin , creatinine kinase myocardial band
🔍 ข้ออื่นผิดเพราะอะไร:
• ข้อ ก. (การตรวจอะไรที่จะยืนยันได้ว่าเป็นMI): การตรวจคลื่นไฟฟ้าหัวใจ (EKG) สามารถบอกภาวะ STEMI ได้เบื้องต้น แต่ถ้าเป็น NSTEMI EKG อาจปกติ จึงต้องพึ่ง Cardiac enzyme เป็นหลัก
• ข้อ ค. (คลื่นไฟฟ้าหัวใจ): คลื่นไฟฟ้าหัวใจมีประโยชน์ในการแยกชนิดของ MI แต่ตัวยืนยันรอยโรคกล้ามเนื้อหัวใจตายที่ตายตัวคือ Cardiac enzyme
• ข้อ ง. (ตรวจตับ): ตรวจตับ (LFT) ไม่สามารถนำมายืนยันภาวะกล้ามเนื้อหัวใจขาดเลือดเฉียบพลันได้
• ข้อ จ. (ดูอาการเจ็บหน้าอก): อาการเจ็บหน้าอกสามารถเกิดได้จากหลายสาเหตุ เช่น GERD การวินิจฉัย MI ต้องพึ่ง EKG และ Cardiac enzyme ร่วมด้วย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2" s="46" t="n"/>
      <c r="L172" s="45" t="inlineStr">
        <is>
          <t>Hypertension</t>
        </is>
      </c>
      <c r="M172" s="46" t="inlineStr">
        <is>
          <t>Clinic</t>
        </is>
      </c>
      <c r="N172" s="45" t="inlineStr">
        <is>
          <t>ข้อ 8 (PLE_CC1_2554 SET2.md)</t>
        </is>
      </c>
      <c r="O172" s="46" t="inlineStr">
        <is>
          <t>ข้อสอบจริง</t>
        </is>
      </c>
      <c r="P172" s="46" t="inlineStr">
        <is>
          <t>ปี 2554</t>
        </is>
      </c>
    </row>
    <row r="173" ht="409.6" customHeight="1" s="37">
      <c r="A173" s="44" t="n">
        <v>171</v>
      </c>
      <c r="B173" s="45" t="inlineStr">
        <is>
          <t>ต้องใช้ยา Cyclophosphamide กับผู้ป่วยวันละเท่าไหร่ เมื่อคิดพื้นที่ผิวตามสูตร</t>
        </is>
      </c>
      <c r="C173" s="46" t="n"/>
      <c r="D173" s="45" t="inlineStr">
        <is>
          <t>728 mg/day</t>
        </is>
      </c>
      <c r="E173" s="45" t="inlineStr">
        <is>
          <t>748 mg/day</t>
        </is>
      </c>
      <c r="F173" s="45" t="inlineStr">
        <is>
          <t>768 mg/day</t>
        </is>
      </c>
      <c r="G173" s="45" t="inlineStr">
        <is>
          <t>788 mg/day</t>
        </is>
      </c>
      <c r="H173" s="45" t="inlineStr">
        <is>
          <t>798 mg/day สูตร body surface area (BSA) = ℎ𝑒𝑖𝑔ℎ𝑡(𝑐𝑚)ข𝑤𝑒𝑖𝑔ℎ𝑡(𝑘𝑔) = 160ข40 3600 =</t>
        </is>
      </c>
      <c r="I173" s="44" t="inlineStr">
        <is>
          <t>5</t>
        </is>
      </c>
      <c r="J173" s="45" t="inlineStr">
        <is>
          <t>✅ คำตอบที่ถูกต้อง: ข้อ จ. 798 mg/day สูตร body surface area (BSA) = ℎ𝑒𝑖𝑔ℎ𝑡(𝑐𝑚)ข𝑤𝑒𝑖𝑔ℎ𝑡(𝑘𝑔) = 160ข40 3600 =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798 mg/day สูตร body surface area (BSA) = ℎ𝑒𝑖𝑔ℎ𝑡(𝑐𝑚)ข𝑤𝑒𝑖𝑔ℎ𝑡(𝑘𝑔) = 160ข40 3600 = การเลือก 798 mg/day สูตร body surface area (BSA) = ℎ𝑒𝑖𝑔ℎ𝑡(𝑐𝑚)ข𝑤𝑒𝑖𝑔ℎ𝑡(𝑘𝑔) = 160ข40 3600 =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(728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(748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(768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(788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3" s="46" t="n"/>
      <c r="L173" s="45" t="inlineStr">
        <is>
          <t>Hypertension</t>
        </is>
      </c>
      <c r="M173" s="46" t="inlineStr">
        <is>
          <t>Clinic</t>
        </is>
      </c>
      <c r="N173" s="45" t="inlineStr">
        <is>
          <t>ข้อ 1 (PLE_CC1_2554 SET2.md)</t>
        </is>
      </c>
      <c r="O173" s="46" t="inlineStr">
        <is>
          <t>ข้อสอบจริง</t>
        </is>
      </c>
      <c r="P173" s="46" t="inlineStr">
        <is>
          <t>ปี 2554</t>
        </is>
      </c>
    </row>
    <row r="174" ht="409.6" customHeight="1" s="37">
      <c r="A174" s="44" t="n">
        <v>172</v>
      </c>
      <c r="B174" s="45" t="inlineStr">
        <is>
          <t>ข้อใดออกฤทธิ์เหมือน Cyclophosphamide</t>
        </is>
      </c>
      <c r="C174" s="46" t="n"/>
      <c r="D174" s="45" t="inlineStr">
        <is>
          <t>Docetaxel</t>
        </is>
      </c>
      <c r="E174" s="45" t="inlineStr">
        <is>
          <t>Cytarabine</t>
        </is>
      </c>
      <c r="F174" s="45" t="inlineStr">
        <is>
          <t>Cisplatin</t>
        </is>
      </c>
      <c r="G174" s="45" t="inlineStr">
        <is>
          <t>Ifosfamide</t>
        </is>
      </c>
      <c r="H174" s="45" t="inlineStr">
        <is>
          <t>Navelbine mustard, cyclophosphamide, ifosfamide, cisplatin และ dacarbazine</t>
        </is>
      </c>
      <c r="I174" s="44" t="inlineStr">
        <is>
          <t>4</t>
        </is>
      </c>
      <c r="J174" s="45" t="inlineStr">
        <is>
          <t>✅ คำตอบที่ถูกต้อง: ข้อ ง. Ifosfamide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Ifosfamide การเลือก Ifosfamide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(Docetaxel): Docetaxel เป็นยากลุ่ม Taxanes ออกฤทธิ์ส่งเสริมการรวมตัวของ Tubulin แต่ยับยั้งการสลายตัวของ Microtubule ทำให้เซลล์หยุดการแบ่งตัวในระยะ M phase
• ข้อ ข. (Cytarabine): Cytarabine เป็นยาต้านมะเร็งกลุ่ม Antimetabolites ทำหน้าที่รบกวนการทำงานของเอนไซม์ DNA polymerase เฉพาะในระยะ S phase ของวงจรเซลล์
• ข้อ ค. (Cisplatin): Cisplatin จับกับสาย DNA เกิดเป็น Cross-links รบกวนกระบวนการ Replication ทำให้เซลล์มะเร็งตายโดยไม่จำเพาะต่อระยะของวัฏจักรเซลล์ (Cell cycle non-specific)
• ข้อ จ. (Navelbine mustard, cyclophosphamide, ifosfamide, cisplatin และ dacarbazine):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4" s="46" t="n"/>
      <c r="L174" s="45" t="inlineStr">
        <is>
          <t>Hypertension</t>
        </is>
      </c>
      <c r="M174" s="46" t="inlineStr">
        <is>
          <t>Clinic</t>
        </is>
      </c>
      <c r="N174" s="45" t="inlineStr">
        <is>
          <t>ข้อ 4 (PLE_CC1_2554 SET2.md)</t>
        </is>
      </c>
      <c r="O174" s="46" t="inlineStr">
        <is>
          <t>ข้อสอบจริง</t>
        </is>
      </c>
      <c r="P174" s="46" t="inlineStr">
        <is>
          <t>ปี 2554</t>
        </is>
      </c>
    </row>
    <row r="175" ht="409.6" customHeight="1" s="37">
      <c r="A175" s="44" t="n">
        <v>173</v>
      </c>
      <c r="B175" s="45" t="inlineStr">
        <is>
          <t>ถ้าต้องการเตรียมยา cyclophosphamide ให้ได้ 50 mg/tbs. จาก cyclophosphamide capsule ขนาด 25 mg ถ้าต้องการเตรียมให้พอใช้ตลอดในการรักษาต้องใช้ยากี่เม็ดและเตรียมยาที่มิลลิลิตร ถ้า BSA ของผู้ป่วยรายนี้เท่ากับ 1 m2</t>
        </is>
      </c>
      <c r="C175" s="46" t="n"/>
      <c r="D175" s="45" t="inlineStr">
        <is>
          <t>400 ml.</t>
        </is>
      </c>
      <c r="E175" s="45" t="inlineStr">
        <is>
          <t>420 ml.</t>
        </is>
      </c>
      <c r="F175" s="45" t="inlineStr">
        <is>
          <t>440 ml.</t>
        </is>
      </c>
      <c r="G175" s="45" t="inlineStr">
        <is>
          <t>460 ml.</t>
        </is>
      </c>
      <c r="H175" s="45" t="inlineStr">
        <is>
          <t>480 ml. วิธีคิด โจทย์กำหนดว่าใช้ยา Cyclophosphamide 100 mg/m2/day ในวันที่ 1-14 ดังนั้นผู้ป่วยรายนี้ต้องใช้ยา Cyclophosphamide ตลอดการรักษาเท่ากับ (100 mg/m2/day)( 1 m2) = 1400 mg หากต้องการเตรียมยาจาก cyclophosphamide capsule ขนาด 25 mg ดังนั้นต้องใช้ทั้งหมด 1400/25 mg = 56 เม็ด ในการเตรียมยาต้องการเตรียมความแรง 50 mg/tbs. (1 tbs. = 15 ml.) ดังนั้นต้องใช้สารละลาย = (1400 mg)/ = 420 ml.</t>
        </is>
      </c>
      <c r="I175" s="44" t="inlineStr">
        <is>
          <t>2</t>
        </is>
      </c>
      <c r="J175" s="45" t="inlineStr">
        <is>
          <t>✅ คำตอบที่ถูกต้อง: ข้อ ข. 420 ml.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420 ml. การเลือก 420 ml.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(400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(440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(460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(480 ml. วิธีคิด โจทย์กำหนดว่าใช้ยา Cyclophosphamide 100 mg/m2/day ในวันที่ 1-14 ดังนั้นผู้ป่วยรายนี้ต้องใช้ยา Cyclophosphamide ตลอดการรักษาเท่ากับ (100 mg/m2/day)( 1 m2) = 1400 mg หากต้องการเตรียมยาจาก cyclophosphamide capsule ขนาด 25 mg ดังนั้นต้องใช้ทั้งหมด 1400/25 mg = 56 เม็ด ในการเตรียมยาต้องการเตรียมความแรง 50 mg/tbs. (1 tbs. = 15 ml.) ดังนั้นต้องใช้สารละลาย = (1400 mg)/ = 420 ml.): วิธีการเหน็บยาที่ถูกต้องควรรักษาความเย็นเพื่อไม่ให้ยาละลายก่อนสอด แต่ต้องให้ผู้ป่วยนอนตะแคงค้างไว้อย่างน้อย 15-30 นาทีเพื่อให้ยาออกฤทธิ์เต็มที่ ไม่ใช่แค่ 5 นาที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5" s="46" t="n"/>
      <c r="L175" s="45" t="inlineStr">
        <is>
          <t>Hypertension</t>
        </is>
      </c>
      <c r="M175" s="46" t="inlineStr">
        <is>
          <t>Clinic</t>
        </is>
      </c>
      <c r="N175" s="45" t="inlineStr">
        <is>
          <t>ข้อ 5 (PLE_CC1_2554 SET2.md)</t>
        </is>
      </c>
      <c r="O175" s="46" t="inlineStr">
        <is>
          <t>ข้อสอบจริง</t>
        </is>
      </c>
      <c r="P175" s="46" t="inlineStr">
        <is>
          <t>ปี 2554</t>
        </is>
      </c>
    </row>
    <row r="176" ht="409.6" customHeight="1" s="37">
      <c r="A176" s="44" t="n">
        <v>174</v>
      </c>
      <c r="B176" s="45" t="inlineStr">
        <is>
          <t>Brown mixture 60 ml ขายได้ในร้านขายยาหรือไม่</t>
        </is>
      </c>
      <c r="C176" s="46" t="n"/>
      <c r="D176" s="45" t="inlineStr">
        <is>
          <t>ขายไม่ได้เนื่องจากเป็นวัตถุออกฤทธิ์ต่อจิตและประสาท</t>
        </is>
      </c>
      <c r="E176" s="45" t="inlineStr">
        <is>
          <t>ขายได้แต่ต้องมีใบสั่งแพทย์เท่านั้น</t>
        </is>
      </c>
      <c r="F176" s="45" t="inlineStr">
        <is>
          <t>ขายได้โดยเภสัชกรเท่านั้น</t>
        </is>
      </c>
      <c r="G176" s="45" t="inlineStr">
        <is>
          <t>ขายได้โดยเป็นยาสามัญประจำบ้าน</t>
        </is>
      </c>
      <c r="H176" s="45" t="inlineStr">
        <is>
          <t>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t>
        </is>
      </c>
      <c r="I176" s="44" t="inlineStr">
        <is>
          <t>4</t>
        </is>
      </c>
      <c r="J176" s="45" t="inlineStr">
        <is>
          <t>✅ คำตอบที่ถูกต้อง: ข้อ ง. ขายได้โดยเป็นยาสามัญประจำบ้าน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ขายได้โดยเป็นยาสามัญประจำบ้าน มีอาการเช่นนี้มาแล้ว 6 สัปดาห์ มีประวัติแพ้ยา sulfonamide ไม่มีโรคประจำตัว แพทย์วินิจฉัยว่าเป็น Rheu
🔍 ข้ออื่นผิดเพราะอะไร:
• ข้อ ก. (ขายไม่ได้เนื่องจากเป็นวัตถุออกฤทธิ์ต่อจิตและประสาท):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(ขายได้แต่ต้องมีใบสั่งแพทย์เท่านั้น):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(ขายได้โดยเภสัชกรเท่านั้น):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6" s="46" t="n"/>
      <c r="L176" s="45" t="inlineStr">
        <is>
          <t>Hypertension</t>
        </is>
      </c>
      <c r="M176" s="46" t="inlineStr">
        <is>
          <t>Clinic</t>
        </is>
      </c>
      <c r="N176" s="45" t="inlineStr">
        <is>
          <t>ข้อ 7 (PLE_CC1_2554 SET2.md)</t>
        </is>
      </c>
      <c r="O176" s="46" t="inlineStr">
        <is>
          <t>ข้อสอบจริง</t>
        </is>
      </c>
      <c r="P176" s="46" t="inlineStr">
        <is>
          <t>ปี 2554</t>
        </is>
      </c>
    </row>
    <row r="177" ht="409.6" customHeight="1" s="37">
      <c r="A177" s="44" t="n">
        <v>175</v>
      </c>
      <c r="B177" s="45" t="inlineStr">
        <is>
          <t>ข้อใดต่อไปนี้ ไม่ใช่ ยาในกลุ่ม ophthalmic vasoconstrictors</t>
        </is>
      </c>
      <c r="C177" s="46" t="n"/>
      <c r="D177" s="45" t="inlineStr">
        <is>
          <t>Phenylephrine</t>
        </is>
      </c>
      <c r="E177" s="45" t="inlineStr">
        <is>
          <t>Oxymetazoline</t>
        </is>
      </c>
      <c r="F177" s="45" t="inlineStr">
        <is>
          <t>Naphazoline</t>
        </is>
      </c>
      <c r="G177" s="45" t="inlineStr">
        <is>
          <t>Tetrahydrozoline</t>
        </is>
      </c>
      <c r="H177" s="45" t="inlineStr">
        <is>
          <t>Antazoline pharmacotherapy Rx30 care&amp; Rx31 science,Pharmacy, PSU)</t>
        </is>
      </c>
      <c r="I177" s="44" t="inlineStr">
        <is>
          <t>5</t>
        </is>
      </c>
      <c r="J177" s="45" t="inlineStr">
        <is>
          <t>✅ คำตอบที่ถูกต้อง: ข้อ จ. Antazoline pharmacotherapy Rx30 care&amp; Rx31 science,Pharmacy, PSU)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Antazoline pharmacotherapy Rx30 care&amp; Rx31 science,Pharmacy, PSU) การเลือก Antazoline pharmacotherapy Rx30 care&amp; Rx31 science,Pharmacy, PSU)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(Phenylephrine): Phenylephrine เป็น Alpha-1 agonist ที่ทำให้หลอดเลือดหดตัว หากใช้หยอดตาลดอาการตาแดงติดต่อกันนานเกินไปอาจเกิด Rebound congestion ได้
• ข้อ ข. (Oxymetazoline):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ค. (Naphazoline):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ง. (Tetrahydrozoline):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7" s="46" t="n"/>
      <c r="L177" s="45" t="inlineStr">
        <is>
          <t>Hypertension</t>
        </is>
      </c>
      <c r="M177" s="46" t="inlineStr">
        <is>
          <t>Clinic</t>
        </is>
      </c>
      <c r="N177" s="45" t="inlineStr">
        <is>
          <t>ข้อ 4 (PLE_CC1_2554 SET2.md)</t>
        </is>
      </c>
      <c r="O177" s="46" t="inlineStr">
        <is>
          <t>ข้อสอบจริง</t>
        </is>
      </c>
      <c r="P177" s="46" t="inlineStr">
        <is>
          <t>ปี 2554</t>
        </is>
      </c>
    </row>
    <row r="178" ht="409.6" customHeight="1" s="37">
      <c r="A178" s="44" t="n">
        <v>176</v>
      </c>
      <c r="B178" s="45" t="inlineStr">
        <is>
          <t>แพทย์ต้องการให้เภสัชกรเตรียม ยา gentamicin แบบหยอดตา ความเข้มข้น 1 mg/mL จำนวน 50 mL ถามว่า ท่านจะต้องเติม NaCl กี่กรัม จึงจะได้สารละลายแบบ isotonic เมื่อกำหนดให้ ค่า E ของยา gentamicin คือ 0.3 และ ค่า E ของ NaCl คือ 1</t>
        </is>
      </c>
      <c r="C178" s="46" t="n"/>
      <c r="D178" s="45" t="inlineStr">
        <is>
          <t>0.015 g</t>
        </is>
      </c>
      <c r="E178" s="45" t="inlineStr">
        <is>
          <t>0.45 g</t>
        </is>
      </c>
      <c r="F178" s="45" t="inlineStr">
        <is>
          <t>0.435 g</t>
        </is>
      </c>
      <c r="G178" s="45" t="inlineStr">
        <is>
          <t>0.465 g</t>
        </is>
      </c>
      <c r="H178" s="45" t="inlineStr">
        <is>
          <t>0.9 g NaCl จาก gentamicin = 1x50x0.3 = 15 mg = 0.015 g NaCl ใน 50 mL = 50/100x0.9 = 0.45g ต้องเติม NaCl อีก 0.45-0.015 = 0.435g (ref: ชีท Isotonic buffer อ.ศิริรัศมิ์)</t>
        </is>
      </c>
      <c r="I178" s="44" t="inlineStr">
        <is>
          <t>3</t>
        </is>
      </c>
      <c r="J178" s="45" t="inlineStr">
        <is>
          <t>✅ คำตอบที่ถูกต้อง: ข้อ ค. 0.435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0.435 g การเลือก 0.435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(0.015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(0.45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(0.465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(0.9 g NaCl จาก gentamicin = 1x50x0.3 = 15 mg = 0.015 g NaCl ใน 50 mL = 50/100x0.9 = 0.45g ต้องเติม NaCl อีก 0.45-0.015 = 0.435g (ref: ชีท Isotonic buffer อ.ศิริรัศมิ์)):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8" s="46" t="n"/>
      <c r="L178" s="45" t="inlineStr">
        <is>
          <t>Hypertension</t>
        </is>
      </c>
      <c r="M178" s="46" t="inlineStr">
        <is>
          <t>Clinic</t>
        </is>
      </c>
      <c r="N178" s="45" t="inlineStr">
        <is>
          <t>ข้อ 8 (PLE_CC1_2554 SET2.md)</t>
        </is>
      </c>
      <c r="O178" s="46" t="inlineStr">
        <is>
          <t>ข้อสอบจริง</t>
        </is>
      </c>
      <c r="P178" s="46" t="inlineStr">
        <is>
          <t>ปี 2554</t>
        </is>
      </c>
    </row>
    <row r="179" ht="409.6" customHeight="1" s="37">
      <c r="A179" s="44" t="n">
        <v>177</v>
      </c>
      <c r="B179" s="45" t="inlineStr">
        <is>
          <t>105.ข้อใดไม่ใช่ฤทธิ์ pleiotropic effect ของยากลุ่ม statins</t>
        </is>
      </c>
      <c r="C179" s="46" t="n"/>
      <c r="D179" s="45" t="inlineStr">
        <is>
          <t>anti-inflammatory</t>
        </is>
      </c>
      <c r="E179" s="45" t="inlineStr">
        <is>
          <t>ยับยั้งการเกาะกลุ่มของเกร็ดเลือด</t>
        </is>
      </c>
      <c r="F179" s="45" t="inlineStr">
        <is>
          <t>ป้องกันการเกิด oxidized LDL</t>
        </is>
      </c>
      <c r="G179" s="45" t="inlineStr">
        <is>
          <t>ยับยั้งการนากลูโคสเข้าเซลล์</t>
        </is>
      </c>
      <c r="H179" s="45" t="inlineStr">
        <is>
          <t>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t>
        </is>
      </c>
      <c r="I179" s="44" t="inlineStr">
        <is>
          <t>3</t>
        </is>
      </c>
      <c r="J179" s="45" t="inlineStr">
        <is>
          <t>✅ คำตอบที่ถูกต้อง: ข้อ ค. ป้องกันการเกิด oxidized LDL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ป้องกันการเกิด oxidized LDL อ้างอิง : การประชุมอบรมเรื่อง safety ด้านยา. ภาวะไขมันในเลือดสูง ( Dyslipidemia ). Clinical update เนื่องจากผู้ป่วยเป็นโรคเบาหวานซึ่งเป็นกลุ่มโรคที่มีความเสี่ยงเทียบเท่าโรคหลอดเลือดหัวใจดังนั้น LDL goal เนื่องจากต้องก้มตัวทำนาตั้งแต่อายุยังน้อย ชอบรับประทานปีกไก่ทอด และยอดผักซึ่งพี่สาวก็มีอาการเหมือนกัน ผู้ป่วยชายอายุ 80 ปีน ้าหนัก 60 กิโลกรัมถูกวินิจฉัยว่าเป็น acute renal failure โดยตรวจวัดค่า Scr = 2 mg/dL ,
🔍 ข้ออื่นผิดเพราะอะไร:
• ข้อ ก. (anti-inflammatory):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ข้อ ข. (ยับยั้งการเกาะกลุ่มของเกร็ดเลือด):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(ยับยั้งการนากลูโคสเข้าเซลล์):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9" s="46" t="n"/>
      <c r="L179" s="45" t="inlineStr">
        <is>
          <t>Hypertension</t>
        </is>
      </c>
      <c r="M179" s="46" t="inlineStr">
        <is>
          <t>Clinic</t>
        </is>
      </c>
      <c r="N179" s="45" t="inlineStr">
        <is>
          <t>ข้อ 2002 (PLE_CC1_2554 SET2.md)</t>
        </is>
      </c>
      <c r="O179" s="46" t="inlineStr">
        <is>
          <t>ข้อสอบจริง</t>
        </is>
      </c>
      <c r="P179" s="46" t="inlineStr">
        <is>
          <t>ปี 2554</t>
        </is>
      </c>
    </row>
    <row r="180" ht="409.6" customHeight="1" s="37">
      <c r="A180" s="44" t="n">
        <v>178</v>
      </c>
      <c r="B180" s="45" t="inlineStr">
        <is>
          <t>อาการจากการที่ร่างกายมีการเผาผลาญพลังงานมากกว่าปกติ เช่น นํ้าหนักตัวลดลงอย่างรวดเร็ว ความอยากอาหารเพิ่มขึ้น มีอาการใจสั่นจากหัวใจเต้นเร็วกว่าปกติ หงุดหงิด กระวนกระวาย ฉุนเฉียว มือและนิ้วสั่น เหงื่อออกมากผิดปกติ ไวต่อความร้อนมากขึ้น รอบเดือนเปลี่ยนแปลง ลำไส้เคลื่อนไหวมากขึ้น อ่อนเพลีย เหนื่อยง่าย กล้ามเนื้ออ่อนแรง นอนหลับยาก ผมร่วง 33.ข้อใดถูกต้องที่สุดเกี่ยวกับ ภาวะ hyperthyroidism</t>
        </is>
      </c>
      <c r="C180" s="46" t="n"/>
      <c r="D180" s="45" t="inlineStr">
        <is>
          <t>grave’s disease คือสาเหตุหลัก</t>
        </is>
      </c>
      <c r="E180" s="45" t="inlineStr">
        <is>
          <t>hashimotoคือสาเหตุหลัก</t>
        </is>
      </c>
      <c r="F180" s="45" t="inlineStr">
        <is>
          <t>หากพบภาวะนี้ในเด็ก มักพิจารณาการผ่าตัด</t>
        </is>
      </c>
      <c r="G180" s="45" t="inlineStr">
        <is>
          <t>หากพบภาวะนี้ในผู้สูงอายุ มักพิจารณาการผ่าตัด</t>
        </is>
      </c>
      <c r="H180" s="45" t="inlineStr">
        <is>
          <t>ระดับ euthyroidคือ ระดับฮอร์โมนไทรอยด์สูงเกินกว่า baseline ของผู้ป่วย hyperthyroidism ส่วน toxic multinodular goiter และ toxic adenoma พบรองลงมาประมาณร้อยละ 10-20 และ 5-10 ตามลำดับ</t>
        </is>
      </c>
      <c r="I180" s="44" t="inlineStr">
        <is>
          <t>2</t>
        </is>
      </c>
      <c r="J180" s="45" t="inlineStr">
        <is>
          <t>✅ คำตอบที่ถูกต้อง: ข้อ ข. hashimotoคือสาเหตุหลัก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hashimotoคือสาเหตุหลัก hashimoto คือสาเหตุหลัก hashimoto คือสาเหตุหลัก hashimoto คือสาเหตุหลัก hashimoto คือสาเหตุหลัก การเลือก hashimoto คือสาเหตุหลัก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(grave’s disease คือสาเหตุหลัก): Grave's disease ทำให้ร่างกายสร้าง Antibody มากระตุ้นต่อมไทรอยด์ให้ทำงานหนัก แต่ผู้ป่วยบางรายอาจต้องรักษาด้วย Radioactive iodine มากกว่าการผ่าตัด
• ข้อ ค. (หากพบภาวะนี้ในเด็ก มักพิจารณาการผ่าตัด): การผ่าตัดหรือการให้แร่รังสีในเด็กหรือผู้สูงอายุมีข้อจำกัดและผลข้างเคียงสูง มักเริ่มต้นการรักษาด้วยยาต้านไทรอยด์กลุ่ม Thionamides ก่อน
• ข้อ ง. (หากพบภาวะนี้ในผู้สูงอายุ มักพิจารณาการผ่าตัด): การผ่าตัดหรือการให้แร่รังสีในเด็กหรือผู้สูงอายุมีข้อจำกัดและผลข้างเคียงสูง มักเริ่มต้นการรักษาด้วยยาต้านไทรอยด์กลุ่ม Thionamides ก่อน
• ข้อ จ. (ระดับ euthyroidคือ ระดับฮอร์โมนไทรอยด์สูงเกินกว่า baseline ของผู้ป่วย hyperthyroidism ส่วน toxic multinodular goiter และ toxic adenoma พบรองลงมาประมาณร้อยละ 10-20 และ 5-10 ตามลำดับ): Cushing's syndrome และ Prader-Willi syndrome สามารถทำให้เกิดความอ้วนได้ ขณะที่ Hyperthyroidism มักทำให้มีอัตราการเผาผลาญสูงและน้ำหนักลดลง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0" s="46" t="n"/>
      <c r="L180" s="45" t="inlineStr">
        <is>
          <t>Hypertension</t>
        </is>
      </c>
      <c r="M180" s="46" t="inlineStr">
        <is>
          <t>Clinic</t>
        </is>
      </c>
      <c r="N180" s="45" t="inlineStr">
        <is>
          <t>ข้อ 2 (PLE_CC1_2554 SET2.md)</t>
        </is>
      </c>
      <c r="O180" s="46" t="inlineStr">
        <is>
          <t>ข้อสอบจริง</t>
        </is>
      </c>
      <c r="P180" s="46" t="inlineStr">
        <is>
          <t>ปี 2554</t>
        </is>
      </c>
    </row>
    <row r="181" ht="409.6" customHeight="1" s="37">
      <c r="A181" s="44" t="n">
        <v>179</v>
      </c>
      <c r="B181" s="45" t="inlineStr">
        <is>
          <t>กลไกการออกฤทธิ์ของAmitriptyline คือข้อใด</t>
        </is>
      </c>
      <c r="C181" s="46" t="n"/>
      <c r="D181" s="45" t="inlineStr">
        <is>
          <t>ยับยั้งการทำงานของDA transporter</t>
        </is>
      </c>
      <c r="E181" s="45" t="inlineStr">
        <is>
          <t>ยับยั้งการทำงานของNE transporter</t>
        </is>
      </c>
      <c r="F181" s="45" t="inlineStr">
        <is>
          <t>ยับยั้งการทำงานของMOA enzyme</t>
        </is>
      </c>
      <c r="G181" s="45" t="inlineStr">
        <is>
          <t>กระต้่น5-HT receptor</t>
        </is>
      </c>
      <c r="H181" s="45" t="inlineStr">
        <is>
          <t>กระต้่นα2-adrenergic receptor (ข)</t>
        </is>
      </c>
      <c r="I181" s="44" t="inlineStr">
        <is>
          <t>1</t>
        </is>
      </c>
      <c r="J181" s="45" t="inlineStr">
        <is>
          <t>✅ คำตอบที่ถูกต้อง: ข้อ ก. ยับยั้งการทำงานของDA transporter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(ยับยั้งการทำงานของNE transporter): แม้ TCAs จะยับยั้ง NE transporter แต่ก็ยับยั้ง Serotonin transporter ด้วย การยับยั้งเพียง NE อย่างเดียวเป็นลักษณะของยากลุ่ม NRIs อย่าง Reboxetine
• ข้อ ค. (ยับยั้งการทำงานของMOA enzyme): ยาที่ยับยั้ง MAO enzyme คือกลุ่ม MAOIs เช่น Phenelzine ไม่ใช่ยา TCAs และมีข้อควรระวังเรื่องปฏิกิริยากับอาหารที่มี Tyramine
• ข้อ ง. (กระต้่น5-HT receptor): การกระตุ้น 5-HT receptors เป็นกลไกของยากลุ่ม Triptans ใช้รักษาไมเกรน ไม่ใช่กลไกการออกฤทธิ์ของ Amitriptyline หรือยาต้านซึมเศร้ากลุ่ม TCAs
• ข้อ จ. (กระต้่นα2-adrenergic receptor (ข)): การกระตุ้น Alpha-2 receptor เป็นกลไกของยา Clonidine หรือ Methyldopa เพื่อลดการหลั่ง Norepinephrine ไม่ใช่กลไกของ Amitriptyline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1" s="46" t="n"/>
      <c r="L181" s="45" t="inlineStr">
        <is>
          <t>Hypertension</t>
        </is>
      </c>
      <c r="M181" s="46" t="inlineStr">
        <is>
          <t>Clinic</t>
        </is>
      </c>
      <c r="N181" s="45" t="inlineStr">
        <is>
          <t>ข้อ 3 (PLE_CC1_2547.md)</t>
        </is>
      </c>
      <c r="O181" s="46" t="inlineStr">
        <is>
          <t>ข้อสอบจริง</t>
        </is>
      </c>
      <c r="P181" s="46" t="inlineStr">
        <is>
          <t>ปี 2547</t>
        </is>
      </c>
    </row>
    <row r="182" ht="409.6" customHeight="1" s="37">
      <c r="A182" s="44" t="n">
        <v>180</v>
      </c>
      <c r="B182" s="45" t="inlineStr">
        <is>
          <t>ตุอไปนี้เป็นSide effect ที่เกิดจาการใช้ยาAmitriptyline ยกเว้น</t>
        </is>
      </c>
      <c r="C182" s="46" t="n"/>
      <c r="D182" s="45" t="inlineStr">
        <is>
          <t>Sedation</t>
        </is>
      </c>
      <c r="E182" s="45" t="inlineStr">
        <is>
          <t>Dry mouth</t>
        </is>
      </c>
      <c r="F182" s="45" t="inlineStr">
        <is>
          <t>Orthostatic hypotension</t>
        </is>
      </c>
      <c r="G182" s="45" t="inlineStr">
        <is>
          <t>Urinary retention</t>
        </is>
      </c>
      <c r="H182" s="45" t="inlineStr">
        <is>
          <t>Hyperuriccemia (ง)</t>
        </is>
      </c>
      <c r="I182" s="44" t="inlineStr">
        <is>
          <t>1</t>
        </is>
      </c>
      <c r="J182" s="45" t="inlineStr">
        <is>
          <t>✅ คำตอบที่ถูกต้อง: ข้อ ก. Sedation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Sedation การเลือก Sedation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(Dry mouth): อาการเหล่านี้เกิดจากการที่ยาไปจับและปิดกั้น Muscarinic, Histamine H1 หรือ Alpha-1 receptors ตามลำดับ ถือเป็นผลข้างเคียงที่อธิบายได้จากตัวยา
• ข้อ ค. (Orthostatic hypotension): อาการเหล่านี้เกิดจากการที่ยาไปจับและปิดกั้น Muscarinic, Histamine H1 หรือ Alpha-1 receptors ตามลำดับ ถือเป็นผลข้างเคียงที่อธิบายได้จากตัวยา
• ข้อ ง. (Urinary retention): อาการเหล่านี้เกิดจากการที่ยาไปจับและปิดกั้น Muscarinic, Histamine H1 หรือ Alpha-1 receptors ตามลำดับ ถือเป็นผลข้างเคียงที่อธิบายได้จากตัวยา
• ข้อ จ. (Hyperuriccemia (ง)): Hyperuricemia มักเกิดจากยาขับปัสสาวะกลุ่ม Thiazide หรือ Loop diuretics เนื่องจากรบกวนการหลั่งกรดยูริกที่ท่อไต ไม่พบว่าเป็นผลข้างเคียงหลักของ TCAs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2" s="46" t="n"/>
      <c r="L182" s="45" t="inlineStr">
        <is>
          <t>Hypertension</t>
        </is>
      </c>
      <c r="M182" s="46" t="inlineStr">
        <is>
          <t>Clinic</t>
        </is>
      </c>
      <c r="N182" s="45" t="inlineStr">
        <is>
          <t>ข้อ 4 (PLE_CC1_2547.md)</t>
        </is>
      </c>
      <c r="O182" s="46" t="inlineStr">
        <is>
          <t>ข้อสอบจริง</t>
        </is>
      </c>
      <c r="P182" s="46" t="inlineStr">
        <is>
          <t>ปี 2547</t>
        </is>
      </c>
    </row>
    <row r="183" ht="409.6" customHeight="1" s="37">
      <c r="A183" s="44" t="n">
        <v>181</v>
      </c>
      <c r="B183" s="45" t="inlineStr">
        <is>
          <t>การป้องกันตติยภูมิ (Tertiary prevention) คือ การรักษาผู้ป่วยที่มีอาการทางคลินิกได้ทันท่วงที(Early recognition and prompt treatment) เพื่อจำกัดความทุพลภาพและภาวะแทรกซ้อน (Limitation of disability) เพื่อ ฟื้นฟูสุขภาพ ส่งเสริมคุณภาพชีวิต (Rehabilitation) และป้องกันการกลับเป็นซ้ำในโรคหรือภาวะที่ป้องกันได้ (Secondary prophylaxis) ข้อมูลเพิ่มเติมอีกนิด Primary Care มาจากคำว่า Primary medical care (บริการทางการแพทย์) ที่เป็นส่วนหนึ่งของ PHC ตามคำประกาศ อัลมา อัลตา พ.ศ. 2521 ขององการอนามัยโลกในทางทฤษฎี มีสามขาวิชารากฐานเรียกว่า primary care medicine Primary care หมายถึง การบริการทางการแพทย์ด่านแรกสำหรับ บุคคลโดยไม่คำนึงถึง อายุ เพศ โรคหรือปัญหา สุขภาพ เป็นสถานที่จุดแรกที่ผู้ป่วยเข้ามาสัมผัสกับแพทย์ได้ง่าย การบริการปฐมภูมิที่ดี ควรเป็นการบริการที่กว้างกว่าการ บริการทางการแพทย์ มิใช่บริการเฉพาะรายบุคคล แต่ให้ครอบคลุมการดูแลสุขภาพของครอบครัว และชุมชน โดยรวมปัจจัยที่ เกี่ยวข้องกับสุขภาพทั้งปวง ได้แก่ ปัจจัยด้านครอบครัว จิตใจ สภาพแวดล้อม เศรษฐกิจ สังคม และปัจจัยระบบบริการสุขภาพเข้า ไว้ด้วย ดังนั้น ระบบบริการปฐมภูมิที่ดีจึงเป็นปัจจัยหนึ่งที่จะให้เกิดสุขภาพ หรือ ภาวะที่เป็นสุขทั้งทางกาย ทางจิต ทางสังคม และ ทางจิตวิญญาณ ของคนในชาติ เวชปฏิบัติปฐมภูมิ คือการให้บริการสุขภาพแก่บุคคล (เวชปฏิบัติทั่วไป)หรือครอบครัว (เวชปฏิบัติ ครอบครัว) โดยแพทย์แผนปัจจุบันและผู้ร่วมงาน ในลักษณะ 6 ประการ คือ "ดูแลแต่แรกทุกเรื่อง ต่อเนื่อง เบ็ดเสร็จ ผสมผสาน บริการที่เข้าถึงสะดวก บวกระบบปรึกษาและส่งต่อ" ดูแลแต่แรกทุกเรื่อง (care on first contact basis) แพทย์ปฐมภูมิมีหน้าที่ดูแลผู้เจ็บป่วยทุกคน ตั้งแต่เริ่มเข้ารับบริการสุขภาพ โดยทำงานเป็นหลักฐาน ต่อเนื่อง (continuous care) ลักษณะสำคัญที่สุดของการแพทย์ปฐมภูมิ อยู่ที่การดูแลต่อเนื่อง ความสัมพันธ์ระหว่างผู้ป่วยกับ แพทย์ยังมีต่อเนื่องไปนับแต่การดูแลแต่แรก ทั้งนี้มีเงื่อนไขอยู่ว่าต้องมีการสมยอมซึ่งกันและกัน และต้องมีนิวาสถานไม่ห่างไกล กันเกินไป แพทย์ปฐมภูมิจะทำรายงานถาวรเก็บไว้ใช้ติดตามผู้ป่วยรายนั้นตลอดชีวิต หากเป็นแพทย์ครอบครัวก็จะทำรายงาน แฟ้มครอบครัวไว้ติดตามต่อไป จนกว่าจะสิ้นพันธะ เบ็ดเสร็จ (comprehensive) หมายถึง</t>
        </is>
      </c>
      <c r="C183" s="46" t="n"/>
      <c r="D183" s="45" t="inlineStr">
        <is>
          <t>ทุกด้านของผู้ป่วย คือ กายภาพ จิตอารมณ์ และสังคม</t>
        </is>
      </c>
      <c r="E183" s="45" t="inlineStr">
        <is>
          <t>ทุกรูปแบบการดูแล คือ ส่งเสริมสุขภาพ ป้องกัน รักษา และฟื้นฟูสุขภาพ</t>
        </is>
      </c>
      <c r="F183" s="45" t="inlineStr">
        <is>
          <t>ทุกวิธีการที่ใช้ คือ ความรู้ (cognitive) ปฏิบัติ (psychomotor) และเจตคติ (attitude)</t>
        </is>
      </c>
      <c r="G183" s="45" t="inlineStr">
        <is>
          <t>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t>
        </is>
      </c>
      <c r="H183" s="45" t="inlineStr">
        <is>
          <t>Atorvastatin 20 mg OD</t>
        </is>
      </c>
      <c r="I183" s="44" t="inlineStr">
        <is>
          <t>1</t>
        </is>
      </c>
      <c r="J183" s="45" t="inlineStr">
        <is>
          <t>✅ คำตอบที่ถูกต้อง: ข้อ ก. ทุกด้านของผู้ป่วย คือ กายภาพ จิตอารมณ์ และสังคม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ทุกด้านของผู้ป่วย คือ กายภาพ จิตอารมณ์ และสังคม ผสมผสาน (integrated care) ทุกเรื่องที่กล่าวแล้วต้องนำมารวมเป็นกลุ่มงานที่ทำให้สอดคล้องกัน โดยคำนึงถึงสวัสดิภาพของ บริการที่เข้าถึงสะดวก (accessible care) ในประเทศไทยถือเอาบริเวณท้องที่ภายในอ าเภอ หรือเขต เดียวกันเป็นอาณาเขตที่ การติดต่อสื่อสารทำได้สะดวก นโยบายของรัฐจึงจัดให้มีโรงพยาบาลชุมชน จึงถือได้ว่าเป็นศูนย์กลางของการทำเวชปฏิบัติปฐม ระบบปรึกษาและส่งต่อ (consultation and referral system) เวชปฏิบัติที่ดีต้องมีการปรึกษา และส่งต่ออย่างเป็นระบบ และ
🔍 ข้ออื่นผิดเพราะอะไร:
• ข้อ ข. (ทุกรูปแบบการดูแล คือ ส่งเสริมสุขภาพ ป้องกัน รักษา และฟื้นฟูสุขภาพ):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(ทุกวิธีการที่ใช้ คือ ความรู้ (cognitive) ปฏิบัติ (psychomotor) และเจตคติ (attitude)):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(Atorvastatin 20 mg OD):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3" s="46" t="n"/>
      <c r="L183" s="45" t="inlineStr">
        <is>
          <t>Hypertension</t>
        </is>
      </c>
      <c r="M183" s="46" t="inlineStr">
        <is>
          <t>Clinic</t>
        </is>
      </c>
      <c r="N183" s="45" t="inlineStr">
        <is>
          <t>ข้อ 3 (PLE_CC1_2533.md)</t>
        </is>
      </c>
      <c r="O183" s="46" t="inlineStr">
        <is>
          <t>ข้อสอบจริง</t>
        </is>
      </c>
      <c r="P183" s="46" t="inlineStr">
        <is>
          <t>ปี 2533</t>
        </is>
      </c>
    </row>
    <row r="184" ht="409.6" customHeight="1" s="37">
      <c r="A184" s="44" t="n">
        <v>182</v>
      </c>
      <c r="B184" s="45" t="inlineStr">
        <is>
          <t>จากตำรับข้อ 9 วิตามินอี ทำหน้าที่อะไรในตำรับ</t>
        </is>
      </c>
      <c r="C184" s="46" t="n"/>
      <c r="D184" s="45" t="inlineStr">
        <is>
          <t>. Emulsifier</t>
        </is>
      </c>
      <c r="E184" s="45" t="inlineStr">
        <is>
          <t>Emollient</t>
        </is>
      </c>
      <c r="F184" s="45" t="inlineStr">
        <is>
          <t>Suspending agent</t>
        </is>
      </c>
      <c r="G184" s="45" t="inlineStr">
        <is>
          <t>Thickening agent</t>
        </is>
      </c>
      <c r="H184" s="45" t="inlineStr">
        <is>
          <t>Anti-oxidant ตอบ e ระบบ: โรคติดต่อทางเพศสัมพันธุ์ ประวัติแพ้ยา ampicillin โดยมีผื่นคัน ไม่มีหายใจติดขัด</t>
        </is>
      </c>
      <c r="I184" s="44" t="inlineStr">
        <is>
          <t>1</t>
        </is>
      </c>
      <c r="J184" s="45" t="inlineStr">
        <is>
          <t>✅ คำตอบที่ถูกต้อง: ข้อ ก. . Emulsifier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 Emulsifier ผู้ป่วยชายไทยอายุ 52 ปี ปัสสาสะมีหนองข้นออกมา ปัสสาวะแสบขัด มีไข้ต่ าๆ ไม่ปอดท้องน้อย ไม่ปวดเอว เป็นมา 5 วัน มี
🔍 ข้ออื่นผิดเพราะอะไร:
• ข้อ ข. (Emollient):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(Suspending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(Thickening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(Anti-oxidant ตอบ e ระบบ: โรคติดต่อทางเพศสัมพันธุ์ ประวัติแพ้ยา ampicillin โดยมีผื่นคัน ไม่มีหายใจติดขัด):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4" s="46" t="n"/>
      <c r="L184" s="45" t="inlineStr">
        <is>
          <t>Hypertension</t>
        </is>
      </c>
      <c r="M184" s="46" t="inlineStr">
        <is>
          <t>Clinic</t>
        </is>
      </c>
      <c r="N184" s="45" t="inlineStr">
        <is>
          <t>ข้อ 10 (PLE_CC1_2533.md)</t>
        </is>
      </c>
      <c r="O184" s="46" t="inlineStr">
        <is>
          <t>ข้อสอบจริง</t>
        </is>
      </c>
      <c r="P184" s="46" t="inlineStr">
        <is>
          <t>ปี 2533</t>
        </is>
      </c>
    </row>
    <row r="185" ht="409.6" customHeight="1" s="37">
      <c r="A185" s="44" t="n">
        <v>183</v>
      </c>
      <c r="B185" s="45" t="inlineStr">
        <is>
          <t>ข้อใดคือป็จจัยเสี่ยงในการเกิดโรคความดันโลหิตสูงของผู้ป่วยรายนี้</t>
        </is>
      </c>
      <c r="C185" s="46" t="n"/>
      <c r="D185" s="45" t="inlineStr">
        <is>
          <t>โรคประจำตัว</t>
        </is>
      </c>
      <c r="E185" s="45" t="inlineStr">
        <is>
          <t>ยาที่ใช้ประจำ</t>
        </is>
      </c>
      <c r="F185" s="45" t="inlineStr">
        <is>
          <t>สูบบุหรี่</t>
        </is>
      </c>
      <c r="G185" s="45" t="inlineStr">
        <is>
          <t>อายุ</t>
        </is>
      </c>
      <c r="H185" s="45" t="inlineStr">
        <is>
          <t>ทุกข้อที่กล่าวมาล้วนเป็นป็จจัยเสี่ยง</t>
        </is>
      </c>
      <c r="I185" s="44" t="inlineStr">
        <is>
          <t>1</t>
        </is>
      </c>
      <c r="J185" s="45" t="inlineStr">
        <is>
          <t>✅ คำตอบที่ถูกต้อง: ข้อ ก. โรคประจำตัว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โรคประจำตัว การเลือก โรคประจำตัว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(ยาที่ใช้ประจำ):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(สูบบุหรี่): การเลิกบุหรี่ช่วยลดความเสี่ยงการเกิดโรคหลอดเลือดหัวใจโดยรวม แต่ไม่มีผลโดยตรงต่อการลดระดับความดันโลหิตในระยะสั้นอย่างมีนัยสำคัญ
• ข้อ ง. (อายุ):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(ทุกข้อที่กล่าวมาล้วนเป็นป็จจัยเสี่ยง):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5" s="46" t="n"/>
      <c r="L185" s="45" t="inlineStr">
        <is>
          <t>Hypertension</t>
        </is>
      </c>
      <c r="M185" s="46" t="inlineStr">
        <is>
          <t>Clinic</t>
        </is>
      </c>
      <c r="N185" s="45" t="inlineStr">
        <is>
          <t>ข้อ 1 (PLE_CC1_Practice_Exam.md)</t>
        </is>
      </c>
      <c r="O185" s="46" t="inlineStr">
        <is>
          <t>Mock</t>
        </is>
      </c>
      <c r="P185" s="46" t="inlineStr">
        <is>
          <t>Mock สภาเภสัชฯ Practice</t>
        </is>
      </c>
    </row>
    <row r="186" ht="409.6" customHeight="1" s="37">
      <c r="A186" s="44" t="n">
        <v>184</v>
      </c>
      <c r="B186" s="45" t="inlineStr">
        <is>
          <t>ระดับความดันโลหิตเป้าหมายของผู้ป่วยรายนี้คือเท่าไหร่</t>
        </is>
      </c>
      <c r="C186" s="46" t="n"/>
      <c r="D186" s="45" t="inlineStr">
        <is>
          <t>120/80 mmHg</t>
        </is>
      </c>
      <c r="E186" s="45" t="inlineStr">
        <is>
          <t>130/80 mmHg</t>
        </is>
      </c>
      <c r="F186" s="45" t="inlineStr">
        <is>
          <t>130/90 mmHg</t>
        </is>
      </c>
      <c r="G186" s="45" t="inlineStr">
        <is>
          <t>140/80 mmHg</t>
        </is>
      </c>
      <c r="H186" s="45" t="inlineStr">
        <is>
          <t>140/90 mmHg</t>
        </is>
      </c>
      <c r="I186" s="44" t="inlineStr">
        <is>
          <t>1</t>
        </is>
      </c>
      <c r="J186" s="45" t="inlineStr">
        <is>
          <t>✅ คำตอบที่ถูกต้อง: ข้อ ก. 120/80 mmHg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120/80 mmHg การเลือก 120/80 mmHg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(130/80 mmHg): เป้าหมายความดันโลหิตนี้มักพิจารณาในผู้ป่วยที่มีโรคร่วมเสี่ยงสูง เช่น เบาหวาน หรือโรคไตเรื้อรังที่มีโปรตีนรั่วทางปัสสาวะ
• ข้อ ค. (130/90 mmHg): เป้าหมายความดันโลหิตนี้มักพิจารณาในผู้ป่วยที่มีโรคร่วมเสี่ยงสูง เช่น เบาหวาน หรือโรคไตเรื้อรังที่มีโปรตีนรั่วทางปัสสาวะ
• ข้อ ง. (140/80 mmHg): เป้าหมายระดับ 140/90 mmHg เป็นเกณฑ์มาตรฐานที่ยอมรับได้สำหรับผู้ป่วยทั่วไปตามหลาย Guideline หากไม่ได้มีความเสี่ยงทางหัวใจและหลอดเลือดสูง
• ข้อ จ. (140/90 mmHg): เป้าหมายระดับ 140/90 mmHg เป็นเกณฑ์มาตรฐานที่ยอมรับได้สำหรับผู้ป่วยทั่วไปตามหลาย Guideline หากไม่ได้มีความเสี่ยงทางหัวใจและหลอดเลือดสูง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6" s="46" t="n"/>
      <c r="L186" s="45" t="inlineStr">
        <is>
          <t>Hypertension</t>
        </is>
      </c>
      <c r="M186" s="46" t="inlineStr">
        <is>
          <t>Clinic</t>
        </is>
      </c>
      <c r="N186" s="45" t="inlineStr">
        <is>
          <t>ข้อ 5 (PLE_CC1_Practice_Exam.md)</t>
        </is>
      </c>
      <c r="O186" s="46" t="inlineStr">
        <is>
          <t>Mock</t>
        </is>
      </c>
      <c r="P186" s="46" t="inlineStr">
        <is>
          <t>Mock สภาเภสัชฯ Practice</t>
        </is>
      </c>
    </row>
    <row r="187" ht="409.6" customHeight="1" s="37">
      <c r="A187" s="44" t="n">
        <v>185</v>
      </c>
      <c r="B187" s="45" t="inlineStr">
        <is>
          <t>จากโครงสร้างทางเคมีต่อไปนี้ จัดเป็นยาลดความดันโลหิตในกลุ่มใด</t>
        </is>
      </c>
      <c r="C187" s="46" t="n"/>
      <c r="D187" s="45" t="inlineStr">
        <is>
          <t>Calcium channel blockers</t>
        </is>
      </c>
      <c r="E187" s="45" t="inlineStr">
        <is>
          <t>ACEIs</t>
        </is>
      </c>
      <c r="F187" s="45" t="inlineStr">
        <is>
          <t>Alpha-adrenergic antagonists</t>
        </is>
      </c>
      <c r="G187" s="45" t="inlineStr">
        <is>
          <t>Beta-adrenergic antagonists</t>
        </is>
      </c>
      <c r="H187" s="45" t="inlineStr">
        <is>
          <t>Direct vasodilators โรคหัวใจและหลอดเลือด 2 ฝ่ายวิชาการ นิสิตเภสัชศาสตร์ มหาวิทยาลัยศรีนครินทรวิโรฒ รุ่นที่ 19 สหพันธ์นิสิตนักศึกษาเภสัชศาสตร์แห่งประเทศไทย (สนภท.)</t>
        </is>
      </c>
      <c r="I187" s="44" t="inlineStr">
        <is>
          <t>1</t>
        </is>
      </c>
      <c r="J187" s="45" t="inlineStr">
        <is>
          <t>✅ คำตอบที่ถูกต้อง: ข้อ ก. Calcium channel blockers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Calcium channel blockers การเลือก Calcium channel blockers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(ACEIs): Enalapril ออกฤทธิ์ยับยั้งเอนไซม์ ACE ช่วยลด Afterload แต่มีข้อห้ามใช้ในสตรีมีครรภ์และอาจทำให้เกิด Hyperkalemia โดยไม่เกี่ยวกับการต้านการเกาะกลุ่มของเกล็ดเลือด
• ข้อ ค. (Alpha-adrenergic antagonists):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(Beta-adrenergic antagonists): Beta-blockers มีฤทธิ์ลดการทำงานของหัวใจ (Negative inotrope/chronotrope) หากนำมาใช้ขณะที่ผู้ป่วยมีภาวะ Acute decompensated heart failure จะทำให้อาการแย่ลง
• ข้อ จ. (Direct vasodilators โรคหัวใจและหลอดเลือด 2 ฝ่ายวิชาการ นิสิตเภสัชศาสตร์ มหาวิทยาลัยศรีนครินทรวิโรฒ รุ่นที่ 19 สหพันธ์นิสิตนักศึกษาเภสัชศาสตร์แห่งประเทศไทย (สนภท.)):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7" s="46" t="n"/>
      <c r="L187" s="45" t="inlineStr">
        <is>
          <t>Hypertension</t>
        </is>
      </c>
      <c r="M187" s="46" t="inlineStr">
        <is>
          <t>Clinic</t>
        </is>
      </c>
      <c r="N187" s="45" t="inlineStr">
        <is>
          <t>ข้อ 7 (PLE_CC1_Practice_Exam.md)</t>
        </is>
      </c>
      <c r="O187" s="46" t="inlineStr">
        <is>
          <t>Mock</t>
        </is>
      </c>
      <c r="P187" s="46" t="inlineStr">
        <is>
          <t>Mock สภาเภสัชฯ Practice</t>
        </is>
      </c>
    </row>
    <row r="188" ht="409.6" customHeight="1" s="37">
      <c r="A188" s="44" t="n">
        <v>186</v>
      </c>
      <c r="B188" s="45" t="inlineStr">
        <is>
          <t>การปรับเปลี่ยนพฤติกรรมในการรักษาโรคความดันโลหิตสูงในข้อใดสามารถช่วยลด SBP ได้มากที่สุด</t>
        </is>
      </c>
      <c r="C188" s="46" t="n"/>
      <c r="D188" s="45" t="inlineStr">
        <is>
          <t>การจำกัดปริมาณโซเดียมในอาหารให้น้อยกว่า 2,300 มก. ต่อวัน</t>
        </is>
      </c>
      <c r="E188" s="45" t="inlineStr">
        <is>
          <t>การรับประทานอาหารแบบ DASH (Dietary Approaches to Stop Hypertension)</t>
        </is>
      </c>
      <c r="F188" s="45" t="inlineStr">
        <is>
          <t>การออกกำลังกายอย่างสม่ำเสมอ</t>
        </is>
      </c>
      <c r="G188" s="45" t="inlineStr">
        <is>
          <t>การจำกัดปริมาณแอลกอัอล์ (ผู้หญิงไม่เกิน 1 ดื่มมาตรฐาน/วัน ผู้ชายไม่เกิน 2 ดื่มมาตรฐาน/วัน)</t>
        </is>
      </c>
      <c r="H188" s="45" t="inlineStr">
        <is>
          <t>การหยุดบุหรี่</t>
        </is>
      </c>
      <c r="I188" s="44" t="inlineStr">
        <is>
          <t>1</t>
        </is>
      </c>
      <c r="J188" s="45" t="inlineStr">
        <is>
          <t>✅ คำตอบที่ถูกต้อง: ข้อ ก. การจำกัดปริมาณโซเดียมในอาหารให้น้อยกว่า 2,300 มก. ต่อวัน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การจำกัดปริมาณโซเดียมในอาหารให้น้อยกว่า 2,300 มก. ต่อวัน การเลือก การจำกัดปริมาณโซเดียมในอาหารให้น้อยกว่า 2,300 มก. ต่อวัน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(การรับประทานอาหารแบบ DASH (Dietary Approaches to Stop Hypertension)): การรับประทานอาหารแบบ DASH เน้นลดปริมาณโซเดียมและเพิ่มโพแทสเซียม แม้จะมีประสิทธิภาพสูงแต่ก็ไม่ได้แก้ไขพยาธิสภาพของหลอดเลือดได้ทั้งหมด
• ข้อ ค. (การออกกำลังกายอย่างสม่ำเสมอ): การออกกำลังกายแบบแอโรบิกมีประโยชน์ต่อระบบหัวใจและหลอดเลือด แต่สามารถลด SBP ได้เฉลี่ย 4-9 mmHg ซึ่งอาจไม่เพียงพอหากผู้ป่วยไม่ได้ปรับการกินอาหาร
• ข้อ ง. (การจำกัดปริมาณแอลกอัอล์ (ผู้หญิงไม่เกิน 1 ดื่มมาตรฐาน/วัน ผู้ชายไม่เกิน 2 ดื่มมาตรฐาน/วัน)):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(การหยุดบุหรี่): การเลิกบุหรี่ช่วยลดความเสี่ยงการเกิดโรคหลอดเลือดหัวใจโดยรวม แต่ไม่มีผลโดยตรงต่อการลดระดับความดันโลหิตในระยะสั้นอย่างมีนัยสำคัญ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8" s="46" t="n"/>
      <c r="L188" s="45" t="inlineStr">
        <is>
          <t>Hypertension</t>
        </is>
      </c>
      <c r="M188" s="46" t="inlineStr">
        <is>
          <t>Clinic</t>
        </is>
      </c>
      <c r="N188" s="45" t="inlineStr">
        <is>
          <t>ข้อ 9 (PLE_CC1_Practice_Exam.md)</t>
        </is>
      </c>
      <c r="O188" s="46" t="inlineStr">
        <is>
          <t>Mock</t>
        </is>
      </c>
      <c r="P188" s="46" t="inlineStr">
        <is>
          <t>Mock สภาเภสัชฯ Practice</t>
        </is>
      </c>
    </row>
    <row r="189" ht="409.6" customHeight="1" s="37">
      <c r="A189" s="44" t="n">
        <v>187</v>
      </c>
      <c r="B189" s="45" t="inlineStr">
        <is>
          <t>ยาลดความดันโลหิตในกลุ่มใดมีข้อห้ามใช้ในคนไข้ที่มีภาวะหัวใจล้มเหลว</t>
        </is>
      </c>
      <c r="C189" s="46" t="n"/>
      <c r="D189" s="45" t="inlineStr">
        <is>
          <t>ACEIs</t>
        </is>
      </c>
      <c r="E189" s="45" t="inlineStr">
        <is>
          <t>ARBs</t>
        </is>
      </c>
      <c r="F189" s="45" t="inlineStr">
        <is>
          <t>Diuretics</t>
        </is>
      </c>
      <c r="G189" s="45" t="inlineStr">
        <is>
          <t>non-DHP CCBs</t>
        </is>
      </c>
      <c r="H189" s="45" t="inlineStr">
        <is>
          <t>Beta-blockers Dyslipidemia กรณีศึกษาที่ 2 (สำหรับคำถามข้อ 1-7) คือ Enalapril bid และ Metformin bid ปฏิเสธการแพ้ยา วัด BP ครั้งนี้ได้ 138/91 mmHg ผลตรวจจากห้องปฏิบัติการ: - total cholesterol 280 mg/dL, HDL-C 40 mg/dL, triglyceride 400 mg/dL ครั้งนี้แพทย์พิจารณาสั่งจ่าย Simvastatin 20 mg 1x1 hs และ Gemfibrozil 300 mg 1x2 ac</t>
        </is>
      </c>
      <c r="I189" s="44" t="inlineStr">
        <is>
          <t>1</t>
        </is>
      </c>
      <c r="J189" s="45"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หญิงไทย อายุ 60 ป๊ หนัก 86 กก. สูง 162 ซม. มีประวัติเป็นโรคความดันโลหิตสูง เบาหวาน ยาที่ใช้อยู่ประจำ
🔍 ข้ออื่นผิดเพราะอะไร:
• ข้อ ข. (ARBs): Angiotensin II receptor blockers ปิดกั้นการทำงานของ Angiotensin II ที่ AT1 receptor ไม่มีผลยับยั้งเอนไซม์ ACE จึงไม่ทำให้เกิดอาการไอแห้ง
• ข้อ ค. (Diuretics): Thiazide diuretics ออกฤทธิ์ยับยั้ง Na+/Cl- cotransporter ที่ Distal convoluted tubule อาจเพิ่มความเสี่ยงของภาวะ Uric acid, Glucose และ Calcium ในเลือดสูง
• ข้อ ง. (non-DHP CCBs): Non-DHP CCBs ออกฤทธิ์ยับยั้งแคลเซียมแชนแนลที่เซลล์กล้ามเนื้อหัวใจ มีฤทธิ์ Negative inotrope จึงมีข้อห้ามใช้ในผู้ป่วย Heart failure with reduced EF
• ข้อ จ. (Beta-blockers Dyslipidemia กรณีศึกษาที่ 2 (สำหรับคำถามข้อ 1-7) คือ Enalapril bid และ Metformin bid ปฏิเสธการแพ้ยา วัด BP ครั้งนี้ได้ 138/91 mmHg ผลตรวจจากห้องปฏิบัติการ: - total cholesterol 280 mg/dL, HDL-C 40 mg/dL, triglyceride 400 mg/dL ครั้งนี้แพทย์พิจารณาสั่งจ่าย Simvastatin 20 mg 1x1 hs และ Gemfibrozil 300 mg 1x2 ac): Enalapril ออกฤทธิ์ยับยั้งเอนไซม์ ACE ช่วยลด Afterload แต่มีข้อห้ามใช้ในสตรีมีครรภ์และอาจทำให้เกิด Hyperkalemia โดยไม่เกี่ยวกับการต้านการเกาะกลุ่มของเกล็ดเลือด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9" s="46" t="n"/>
      <c r="L189" s="45" t="inlineStr">
        <is>
          <t>Hypertension</t>
        </is>
      </c>
      <c r="M189" s="46" t="inlineStr">
        <is>
          <t>Clinic</t>
        </is>
      </c>
      <c r="N189" s="45" t="inlineStr">
        <is>
          <t>ข้อ 10 (PLE_CC1_Practice_Exam.md)</t>
        </is>
      </c>
      <c r="O189" s="46" t="inlineStr">
        <is>
          <t>Mock</t>
        </is>
      </c>
      <c r="P189" s="46" t="inlineStr">
        <is>
          <t>Mock สภาเภสัชฯ Practice</t>
        </is>
      </c>
    </row>
    <row r="190" ht="409.6" customHeight="1" s="37">
      <c r="A190" s="44" t="n">
        <v>188</v>
      </c>
      <c r="B190" s="45" t="inlineStr">
        <is>
          <t>ระดับ LDL-C ของผู้ป่วยรายนี้มีค่าเท่าไหร่</t>
        </is>
      </c>
      <c r="C190" s="46" t="n"/>
      <c r="D190" s="45" t="inlineStr">
        <is>
          <t>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t>
        </is>
      </c>
      <c r="E190" s="45" t="inlineStr">
        <is>
          <t>160 mg/dL</t>
        </is>
      </c>
      <c r="F190" s="45" t="inlineStr">
        <is>
          <t>180 mg/dL</t>
        </is>
      </c>
      <c r="G190" s="45" t="inlineStr">
        <is>
          <t>200 mg/dL</t>
        </is>
      </c>
      <c r="H190" s="45" t="inlineStr">
        <is>
          <t>220 mg/dL</t>
        </is>
      </c>
      <c r="I190" s="44" t="inlineStr">
        <is>
          <t>1</t>
        </is>
      </c>
      <c r="J190" s="45" t="inlineStr">
        <is>
          <t>✅ คำตอบที่ถูกต้อง: ข้อ ก. 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 การเลือก 140 mg/dL โรคหัวใจและหลอดเลือด 3 ฝ่ายวิชาการ นิสิตเภสัชศาสตร์ มหาวิทยาลัยศรีนครินทรวิโรฒ รุ่นที่ 19 สหพันธ์นิสิตนักศึกษาเภสัชศาสตร์แห่งประเทศไทย (สนภท.)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(160 mg/dL): ค่าระดับไขมันในเลือดนี้คลาดเคลื่อนจากการคำนวณผ่านสมการ Friedewald equation (LDL-C = TC - HDL-C - TG/5) เมื่อนำค่าจากโจทย์มาแทนในสูตร
• ข้อ ค. (180 mg/dL): ค่าระดับไขมันในเลือดนี้คลาดเคลื่อนจากการคำนวณผ่านสมการ Friedewald equation (LDL-C = TC - HDL-C - TG/5) เมื่อนำค่าจากโจทย์มาแทนในสูตร
• ข้อ ง. (200 mg/dL): ค่าระดับไขมันในเลือดนี้คลาดเคลื่อนจากการคำนวณผ่านสมการ Friedewald equation (LDL-C = TC - HDL-C - TG/5) เมื่อนำค่าจากโจทย์มาแทนในสูตร
• ข้อ จ. (220 mg/dL): ค่าระดับไขมันในเลือดนี้คลาดเคลื่อนจากการคำนวณผ่านสมการ Friedewald equation (LDL-C = TC - HDL-C - TG/5) เมื่อนำค่าจากโจทย์มาแทนในสูตร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0" s="46" t="n"/>
      <c r="L190" s="45" t="inlineStr">
        <is>
          <t>Hypertension</t>
        </is>
      </c>
      <c r="M190" s="46" t="inlineStr">
        <is>
          <t>Clinic</t>
        </is>
      </c>
      <c r="N190" s="45" t="inlineStr">
        <is>
          <t>ข้อ 1 (PLE_CC1_Practice_Exam.md)</t>
        </is>
      </c>
      <c r="O190" s="46" t="inlineStr">
        <is>
          <t>Mock</t>
        </is>
      </c>
      <c r="P190" s="46" t="inlineStr">
        <is>
          <t>Mock สภาเภสัชฯ Practice</t>
        </is>
      </c>
    </row>
    <row r="191" ht="409.6" customHeight="1" s="37">
      <c r="A191" s="44" t="n">
        <v>189</v>
      </c>
      <c r="B191" s="45" t="inlineStr">
        <is>
          <t>ยา Simvastatin สามารถลดระดับไขมันในเลือดได้อย่างไร</t>
        </is>
      </c>
      <c r="C191" s="46" t="n"/>
      <c r="D191" s="45" t="inlineStr">
        <is>
          <t>ยับยั้งการดูดซึม cholesterol จากทางเดินอาหาร</t>
        </is>
      </c>
      <c r="E191" s="45" t="inlineStr">
        <is>
          <t>กระตุ้นการทำงานของเอนไซม์ lipolipase</t>
        </is>
      </c>
      <c r="F191" s="45" t="inlineStr">
        <is>
          <t>เพิ่มการสร้าง LDL receptor ที่ตับ</t>
        </is>
      </c>
      <c r="G191" s="45" t="inlineStr">
        <is>
          <t>ยับยั้งกระบวนการ gluconeogenesis ที่ตับ</t>
        </is>
      </c>
      <c r="H191" s="45" t="inlineStr">
        <is>
          <t>เพิ่มการสร้าง VLDL-C จากตับ</t>
        </is>
      </c>
      <c r="I191" s="44" t="inlineStr">
        <is>
          <t>1</t>
        </is>
      </c>
      <c r="J191" s="45" t="inlineStr">
        <is>
          <t>✅ คำตอบที่ถูกต้อง: ข้อ ก. ยับยั้งการดูดซึม cholesterol จากทางเดินอาหาร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ยับยั้งการดูดซึม cholesterol จากทางเดินอาหาร การเลือก ยับยั้งการดูดซึม cholesterol จากทางเดินอาหาร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(กระตุ้นการทำงานของเอนไซม์ lipolipase):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(เพิ่มการสร้าง LDL receptor ที่ตับ): Metformin มีกลไกหลักคือยับยั้ง Hepatic glucose production ห้ามใช้ในผู้ป่วยที่มี eGFR &lt; 30 mL/min/1.73m2 เนื่องจากเสี่ยงต่อภาวะ Lactic acidosis
• ข้อ ง. (ยับยั้งกระบวนการ gluconeogenesis ที่ตับ): Metformin มีกลไกหลักคือยับยั้ง Hepatic glucose production ห้ามใช้ในผู้ป่วยที่มี eGFR &lt; 30 mL/min/1.73m2 เนื่องจากเสี่ยงต่อภาวะ Lactic acidosis
• ข้อ จ. (เพิ่มการสร้าง VLDL-C จากตับ): Metformin มีกลไกหลักคือยับยั้ง Hepatic glucose production ห้ามใช้ในผู้ป่วยที่มี eGFR &lt; 30 mL/min/1.73m2 เนื่องจากเสี่ยงต่อภาวะ Lactic acidosis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1" s="46" t="n"/>
      <c r="L191" s="45" t="inlineStr">
        <is>
          <t>Hypertension</t>
        </is>
      </c>
      <c r="M191" s="46" t="inlineStr">
        <is>
          <t>Clinic</t>
        </is>
      </c>
      <c r="N191" s="45" t="inlineStr">
        <is>
          <t>ข้อ 3 (PLE_CC1_Practice_Exam.md)</t>
        </is>
      </c>
      <c r="O191" s="46" t="inlineStr">
        <is>
          <t>Mock</t>
        </is>
      </c>
      <c r="P191" s="46" t="inlineStr">
        <is>
          <t>Mock สภาเภสัชฯ Practice</t>
        </is>
      </c>
    </row>
    <row r="192" ht="409.6" customHeight="1" s="37">
      <c r="A192" s="44" t="n">
        <v>190</v>
      </c>
      <c r="B192" s="45" t="inlineStr">
        <is>
          <t>การรักษาผู้ป่วยรายนี้ต้องจะลดระดับ LDL-C ให้ได้เท่าไหร่ เพื่อป้องกัน Atherosclerosis</t>
        </is>
      </c>
      <c r="C192" s="46" t="n"/>
      <c r="D192" s="45" t="inlineStr">
        <is>
          <t>น้อยกว่า 70 mg/dL</t>
        </is>
      </c>
      <c r="E192" s="45" t="inlineStr">
        <is>
          <t>น้อยกว่า 100 mg/dL</t>
        </is>
      </c>
      <c r="F192" s="45" t="inlineStr">
        <is>
          <t>น้อยกว่า 130 mg/dL</t>
        </is>
      </c>
      <c r="G192" s="45" t="inlineStr">
        <is>
          <t>น้อยกว่า 160 mg/dL</t>
        </is>
      </c>
      <c r="H192" s="45" t="inlineStr">
        <is>
          <t>น้อยกว่า 190 mg/dL โรคหัวใจและหลอดเลือด 4 ฝ่ายวิชาการ นิสิตเภสัชศาสตร์ มหาวิทยาลัยศรีนครินทรวิโรฒ รุ่นที่ 19 สหพันธ์นิสิตนักศึกษาเภสัชศาสตร์แห่งประเทศไทย (สนภท.)</t>
        </is>
      </c>
      <c r="I192" s="44" t="inlineStr">
        <is>
          <t>1</t>
        </is>
      </c>
      <c r="J192" s="45" t="inlineStr">
        <is>
          <t>✅ คำตอบที่ถูกต้อง: ข้อ ก. น้อยกว่า 70 mg/dL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น้อยกว่า 70 mg/dL การเลือก น้อยกว่า 70 mg/dL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(น้อยกว่า 100 mg/dL): ค่าระดับไขมันในเลือดนี้คลาดเคลื่อนจากการคำนวณผ่านสมการ Friedewald equation (LDL-C = TC - HDL-C - TG/5) เมื่อนำค่าจากโจทย์มาแทนในสูตร
• ข้อ ค. (น้อยกว่า 130 mg/dL): ค่าระดับไขมันในเลือดนี้คลาดเคลื่อนจากการคำนวณผ่านสมการ Friedewald equation (LDL-C = TC - HDL-C - TG/5) เมื่อนำค่าจากโจทย์มาแทนในสูตร
• ข้อ ง. (น้อยกว่า 160 mg/dL): ค่าระดับไขมันในเลือดนี้คลาดเคลื่อนจากการคำนวณผ่านสมการ Friedewald equation (LDL-C = TC - HDL-C - TG/5) เมื่อนำค่าจากโจทย์มาแทนในสูตร
• ข้อ จ. (น้อยกว่า 190 mg/dL โรคหัวใจและหลอดเลือด 4 ฝ่ายวิชาการ นิสิตเภสัชศาสตร์ มหาวิทยาลัยศรีนครินทรวิโรฒ รุ่นที่ 19 สหพันธ์นิสิตนักศึกษาเภสัชศาสตร์แห่งประเทศไทย (สนภท.)): ค่าระดับไขมันในเลือดนี้คลาดเคลื่อนจากการคำนวณผ่านสมการ Friedewald equation (LDL-C = TC - HDL-C - TG/5) เมื่อนำค่าจากโจทย์มาแทนในสูตร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2" s="46" t="n"/>
      <c r="L192" s="45" t="inlineStr">
        <is>
          <t>Hypertension</t>
        </is>
      </c>
      <c r="M192" s="46" t="inlineStr">
        <is>
          <t>Clinic</t>
        </is>
      </c>
      <c r="N192" s="45" t="inlineStr">
        <is>
          <t>ข้อ 5 (PLE_CC1_Practice_Exam.md)</t>
        </is>
      </c>
      <c r="O192" s="46" t="inlineStr">
        <is>
          <t>Mock</t>
        </is>
      </c>
      <c r="P192" s="46" t="inlineStr">
        <is>
          <t>Mock สภาเภสัชฯ Practice</t>
        </is>
      </c>
    </row>
    <row r="193" ht="409.6" customHeight="1" s="37">
      <c r="A193" s="44" t="n">
        <v>191</v>
      </c>
      <c r="B193" s="45" t="inlineStr">
        <is>
          <t>3 เดือนต่อมาพบว่าผู้ป่วยมีอาการปวดเมื่อยกล้ามเนื้อโดยไม่ทราบสาเหตุ ร่วมกับมีระดับ LDL-C 173 mg/dL แพทย์ผู้ดูแลจึงมาขอคำแนะนำจากท่านในการรักษาผู้ป่วยรายนี้ ท่านจะให้คำแนะนำแก่แพทย์ว่า อย่างไร</t>
        </is>
      </c>
      <c r="C193" s="46" t="n"/>
      <c r="D193" s="45" t="inlineStr">
        <is>
          <t>ปรับเพิ่มขนาดยา Simvastatin เป็น 40 mg ต่อวัน</t>
        </is>
      </c>
      <c r="E193" s="45" t="inlineStr">
        <is>
          <t>ปรับลดขนาดยา Simvastatin เป็น 10 mg ต่อวัน และเพิ่มยา Niacin</t>
        </is>
      </c>
      <c r="F193" s="45" t="inlineStr">
        <is>
          <t>ปรับลดขนาดยา Simvastatin เป็น 10 mg ต่อวัน และเพิ่มยา Ezetimibe</t>
        </is>
      </c>
      <c r="G193" s="45" t="inlineStr">
        <is>
          <t>ปรับลดขนาดยา Simvastatin เป็น 10 mg ต่อวัน และเพิ่ม Fish oil 1 g ต่อวัน</t>
        </is>
      </c>
      <c r="H193" s="45" t="inlineStr">
        <is>
          <t>เปลี่ยนยา Simvastatin เป็น Atorvastatin 40 mg ต่อวัน</t>
        </is>
      </c>
      <c r="I193" s="44" t="inlineStr">
        <is>
          <t>1</t>
        </is>
      </c>
      <c r="J193" s="45" t="inlineStr">
        <is>
          <t>✅ คำตอบที่ถูกต้อง: ข้อ ก. ปรับเพิ่มขนาดยา Simvastatin เป็น 40 mg ต่อวัน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ปรับเพิ่มขนาดยา Simvastatin เป็น 40 mg ต่อวัน การเลือก ปรับเพิ่มขนาดยา Simvastatin เป็น 40 mg ต่อวัน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(ปรับลดขนาดยา Simvastatin เป็น 10 mg ต่อวัน และเพิ่มยา Niacin): เป็น moderate-intensity statin เมแทบอไลต์ผ่าน CYP3A4 เด่นชัด ห้ามใช้ dose 80 mg และมี drug interactions สูงกับ CYP3A4 inhibitors (clarithromycin, ketoconazole)
• ข้อ ค. (ปรับลดขนาดยา Simvastatin เป็น 10 mg ต่อวัน และเพิ่มยา Ezetimibe): เป็น moderate-intensity statin เมแทบอไลต์ผ่าน CYP3A4 เด่นชัด ห้ามใช้ dose 80 mg และมี drug interactions สูงกับ CYP3A4 inhibitors (clarithromycin, ketoconazole)
• ข้อ ง. (ปรับลดขนาดยา Simvastatin เป็น 10 mg ต่อวัน และเพิ่ม Fish oil 1 g ต่อวัน): เป็น moderate-intensity statin เมแทบอไลต์ผ่าน CYP3A4 เด่นชัด ห้ามใช้ dose 80 mg และมี drug interactions สูงกับ CYP3A4 inhibitors (clarithromycin, ketoconazole)
• ข้อ จ. (เปลี่ยนยา Simvastatin เป็น Atorvastatin 40 mg ต่อวัน):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3" s="46" t="n"/>
      <c r="L193" s="45" t="inlineStr">
        <is>
          <t>Hypertension</t>
        </is>
      </c>
      <c r="M193" s="46" t="inlineStr">
        <is>
          <t>Clinic</t>
        </is>
      </c>
      <c r="N193" s="45" t="inlineStr">
        <is>
          <t>ข้อ 6 (PLE_CC1_Practice_Exam.md)</t>
        </is>
      </c>
      <c r="O193" s="46" t="inlineStr">
        <is>
          <t>Mock</t>
        </is>
      </c>
      <c r="P193" s="46" t="inlineStr">
        <is>
          <t>Mock สภาเภสัชฯ Practice</t>
        </is>
      </c>
    </row>
    <row r="194" ht="409.6" customHeight="1" s="37">
      <c r="A194" s="44" t="n">
        <v>192</v>
      </c>
      <c r="B194" s="45" t="inlineStr">
        <is>
          <t>หากผู้ป่วยมักลืมรับประทาน Simvastatin ตอนก่อนนอน การแก้ไขป็ญหาในข้อใดเหมาะสมที่สุด</t>
        </is>
      </c>
      <c r="C194" s="46" t="n"/>
      <c r="D194" s="45" t="inlineStr">
        <is>
          <t>รับประทานทันทีที่นึกขึ้นได้</t>
        </is>
      </c>
      <c r="E194" s="45" t="inlineStr">
        <is>
          <t>เปลี่ยนไปรับประทานตอนเช้า</t>
        </is>
      </c>
      <c r="F194" s="45" t="inlineStr">
        <is>
          <t>เปลี่ยนไปรับประทานตอนกลางวัน</t>
        </is>
      </c>
      <c r="G194" s="45" t="inlineStr">
        <is>
          <t>เปลี่ยนไปรับประทานตอนเย็น</t>
        </is>
      </c>
      <c r="H194" s="45" t="inlineStr">
        <is>
          <t>กำชับผู้ป่วยว่าไม่ควรลืม เนื่องจาก simvastatin ต้องรับประทานก่อนนอนเท่านั้น</t>
        </is>
      </c>
      <c r="I194" s="44" t="inlineStr">
        <is>
          <t>1</t>
        </is>
      </c>
      <c r="J194" s="45" t="inlineStr">
        <is>
          <t>✅ คำตอบที่ถูกต้อง: ข้อ ก. รับประทานทันทีที่นึกขึ้นได้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รับประทานทันทีที่นึกขึ้นได้ การเลือก รับประทานทันทีที่นึกขึ้นได้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(เปลี่ยนไปรับประทานตอนเช้า): Simvastatin มีค่าครึ่งชีวิตเพียง 1-2 ชั่วโมง การบริหารยาในช่วงเวลานี้จะไม่ครอบคลุมการยับยั้งเอนไซม์ HMG-CoA reductase ในช่วงกลางคืน
• ข้อ ค. (เปลี่ยนไปรับประทานตอนกลางวัน): Simvastatin มีค่าครึ่งชีวิตเพียง 1-2 ชั่วโมง การบริหารยาในช่วงเวลานี้จะไม่ครอบคลุมการยับยั้งเอนไซม์ HMG-CoA reductase ในช่วงกลางคืน
• ข้อ ง. (เปลี่ยนไปรับประทานตอนเย็น): การเปลี่ยนแปลงเวลาหรือความถี่ของการให้ยาอย่างไม่เหมาะสมอาจส่งผลให้ระดับยาในเลือดไม่เข้าสู่ Therapeutic range และไม่ถึงเป้าหมายการรักษา
• ข้อ จ. (กำชับผู้ป่วยว่าไม่ควรลืม เนื่องจาก simvastatin ต้องรับประทานก่อนนอนเท่านั้น):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4" s="46" t="n"/>
      <c r="L194" s="45" t="inlineStr">
        <is>
          <t>Hypertension</t>
        </is>
      </c>
      <c r="M194" s="46" t="inlineStr">
        <is>
          <t>Clinic</t>
        </is>
      </c>
      <c r="N194" s="45" t="inlineStr">
        <is>
          <t>ข้อ 9 (PLE_CC1_Practice_Exam.md)</t>
        </is>
      </c>
      <c r="O194" s="46" t="inlineStr">
        <is>
          <t>Mock</t>
        </is>
      </c>
      <c r="P194" s="46" t="inlineStr">
        <is>
          <t>Mock สภาเภสัชฯ Practice</t>
        </is>
      </c>
    </row>
    <row r="195" ht="409.6" customHeight="1" s="37">
      <c r="A195" s="44" t="n">
        <v>193</v>
      </c>
      <c r="B195" s="45" t="inlineStr">
        <is>
          <t>ข้อใดกล่าวถึง Furosemide ได้อย่างถูกต้องในผู้ป่วยรายนี้</t>
        </is>
      </c>
      <c r="C195" s="46" t="n"/>
      <c r="D195" s="45" t="inlineStr">
        <is>
          <t>ช่วยลดอัตราการเสียชีวิต</t>
        </is>
      </c>
      <c r="E195" s="45" t="inlineStr">
        <is>
          <t>ไม่ควรใช้ร่วมกับ Enalapril โรคหัวใจและหลอดเลือด 6 ฝ่ายวิชาการ นิสิตเภสัชศาสตร์ มหาวิทยาลัยศรีนครินทรวิโรฒ รุ่นที่ 19 สหพันธ์นิสิตนักศึกษาเภสัชศาสตร์แห่งประเทศไทย (สนภท.)</t>
        </is>
      </c>
      <c r="F195" s="45" t="inlineStr">
        <is>
          <t>การใช้ร่วมกับ HCTZ อาจทำให้เกิด Diuretic resistance</t>
        </is>
      </c>
      <c r="G195" s="45" t="inlineStr">
        <is>
          <t>มีประสิทธิภาพในการบรรเทาอาการโรคหัวใจล้มเหลวดีกว่า HCTZ</t>
        </is>
      </c>
      <c r="H195" s="45" t="inlineStr">
        <is>
          <t>ออกฤทธิ์ยับยั้งการดูดกลับ NaCl ที่ distal tubule</t>
        </is>
      </c>
      <c r="I195" s="44" t="inlineStr">
        <is>
          <t>1</t>
        </is>
      </c>
      <c r="J195" s="45" t="inlineStr">
        <is>
          <t>✅ คำตอบที่ถูกต้อง: ข้อ ก. ช่วยลดอัตราการเสียชีวิต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ช่วยลดอัตราการเสียชีวิต การเลือก ช่วยลดอัตราการเสียชีวิต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(ไม่ควรใช้ร่วมกับ Enalapril โรคหัวใจและหลอดเลือด 6 ฝ่ายวิชาการ นิสิตเภสัชศาสตร์ มหาวิทยาลัยศรีนครินทรวิโรฒ รุ่นที่ 19 สหพันธ์นิสิตนักศึกษาเภสัชศาสตร์แห่งประเทศไทย (สนภท.)): Enalapril ออกฤทธิ์ยับยั้งเอนไซม์ ACE ช่วยลด Afterload แต่มีข้อห้ามใช้ในสตรีมีครรภ์และอาจทำให้เกิด Hyperkalemia โดยไม่เกี่ยวกับการต้านการเกาะกลุ่มของเกล็ดเลือด
• ข้อ ค. (การใช้ร่วมกับ HCTZ อาจทำให้เกิด Diuretic resistance): Thiazide diuretics ออกฤทธิ์ยับยั้ง Na+/Cl- cotransporter ที่ Distal convoluted tubule อาจเพิ่มความเสี่ยงของภาวะ Uric acid, Glucose และ Calcium ในเลือดสูง
• ข้อ ง. (มีประสิทธิภาพในการบรรเทาอาการโรคหัวใจล้มเหลวดีกว่า HCTZ): Thiazide diuretics ออกฤทธิ์ยับยั้ง Na+/Cl- cotransporter ที่ Distal convoluted tubule อาจเพิ่มความเสี่ยงของภาวะ Uric acid, Glucose และ Calcium ในเลือดสูง
• ข้อ จ. (ออกฤทธิ์ยับยั้งการดูดกลับ NaCl ที่ distal tubule):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195" s="46" t="n"/>
      <c r="L195" s="45" t="inlineStr">
        <is>
          <t>Hypertension</t>
        </is>
      </c>
      <c r="M195" s="46" t="inlineStr">
        <is>
          <t>Clinic</t>
        </is>
      </c>
      <c r="N195" s="45" t="inlineStr">
        <is>
          <t>ข้อ 3 (PLE_CC1_Practice_Exam.md)</t>
        </is>
      </c>
      <c r="O195" s="46" t="inlineStr">
        <is>
          <t>Mock</t>
        </is>
      </c>
      <c r="P195" s="46" t="inlineStr">
        <is>
          <t>Mock สภาเภสัชฯ Practice</t>
        </is>
      </c>
    </row>
    <row r="196" ht="409.6" customHeight="1" s="37">
      <c r="A196" s="44" t="n">
        <v>194</v>
      </c>
      <c r="B196" s="45" t="inlineStr">
        <is>
          <t>ยา Enalapril มี half-life เท่ากับ 11 ชั่วโมง ค่า Ke ของยานี้เท่ากับเท่าไหร่ (hr-1)</t>
        </is>
      </c>
      <c r="C196" s="46" t="n"/>
      <c r="D196" s="45" t="inlineStr">
        <is>
          <t>0.06</t>
        </is>
      </c>
      <c r="E196" s="45" t="inlineStr">
        <is>
          <t>0.063</t>
        </is>
      </c>
      <c r="F196" s="45" t="inlineStr">
        <is>
          <t>0.067</t>
        </is>
      </c>
      <c r="G196" s="45" t="inlineStr">
        <is>
          <t>0.07</t>
        </is>
      </c>
      <c r="H196" s="45" t="inlineStr">
        <is>
          <t>0.075</t>
        </is>
      </c>
      <c r="I196" s="44" t="inlineStr">
        <is>
          <t>1</t>
        </is>
      </c>
      <c r="J196" s="45" t="inlineStr">
        <is>
          <t>✅ คำตอบที่ถูกต้อง: ข้อ ก. 0.060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0.060 การเลือก 0.060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(0.063):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(0.067):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(0.07):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(0.075):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96" s="46" t="n"/>
      <c r="L196" s="45" t="inlineStr">
        <is>
          <t>Hypertension</t>
        </is>
      </c>
      <c r="M196" s="46" t="inlineStr">
        <is>
          <t>Clinic</t>
        </is>
      </c>
      <c r="N196" s="45" t="inlineStr">
        <is>
          <t>ข้อ 5 (PLE_CC1_Practice_Exam.md)</t>
        </is>
      </c>
      <c r="O196" s="46" t="inlineStr">
        <is>
          <t>Mock</t>
        </is>
      </c>
      <c r="P196" s="46" t="inlineStr">
        <is>
          <t>Mock สภาเภสัชฯ Practice</t>
        </is>
      </c>
    </row>
    <row r="197" ht="409.6" customHeight="1" s="37">
      <c r="A197" s="44" t="n">
        <v>195</v>
      </c>
      <c r="B197" s="45" t="inlineStr">
        <is>
          <t>ยาใดที่ไม่มีผลลดอัตราการตายสำหรับผู้ป่วยหัวใจขาดเลือด</t>
        </is>
      </c>
      <c r="C197" s="46" t="n"/>
      <c r="D197" s="45" t="inlineStr">
        <is>
          <t>Simvastatin</t>
        </is>
      </c>
      <c r="E197" s="45" t="inlineStr">
        <is>
          <t>Enalapril</t>
        </is>
      </c>
      <c r="F197" s="45" t="inlineStr">
        <is>
          <t>Aspirin</t>
        </is>
      </c>
      <c r="G197" s="45" t="inlineStr">
        <is>
          <t>Clopidogrel</t>
        </is>
      </c>
      <c r="H197" s="45" t="inlineStr">
        <is>
          <t>Amlodipine</t>
        </is>
      </c>
      <c r="I197" s="44" t="inlineStr">
        <is>
          <t>1</t>
        </is>
      </c>
      <c r="J197" s="45" t="inlineStr">
        <is>
          <t>✅ คำตอบที่ถูกต้อง: ข้อ ก. Simvastatin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Simvastatin การเลือก Simvastatin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ข้อ จ.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7" s="46" t="n"/>
      <c r="L197" s="45" t="inlineStr">
        <is>
          <t>Hypertension</t>
        </is>
      </c>
      <c r="M197" s="46" t="inlineStr">
        <is>
          <t>Clinic</t>
        </is>
      </c>
      <c r="N197" s="45" t="inlineStr">
        <is>
          <t>ข้อ 1 (PLE_CC1_Practice_Exam.md)</t>
        </is>
      </c>
      <c r="O197" s="46" t="inlineStr">
        <is>
          <t>Mock</t>
        </is>
      </c>
      <c r="P197" s="46" t="inlineStr">
        <is>
          <t>Mock สภาเภสัชฯ Practice</t>
        </is>
      </c>
    </row>
    <row r="198" ht="409.6" customHeight="1" s="37">
      <c r="A198" s="44" t="n">
        <v>196</v>
      </c>
      <c r="B198" s="45" t="inlineStr">
        <is>
          <t>Aspirin และ Clopidogrel แตกต่างกันอย่างไร</t>
        </is>
      </c>
      <c r="C198" s="46" t="n"/>
      <c r="D198" s="45" t="inlineStr">
        <is>
          <t>มี site of action ที่แตกต่างกัน</t>
        </is>
      </c>
      <c r="E198" s="45" t="inlineStr">
        <is>
          <t>Aspirin เป็น Antiplatelets ส่วน Clopidogrel เป็น anticoagulants</t>
        </is>
      </c>
      <c r="F198" s="45" t="inlineStr">
        <is>
          <t>Aspirin เป็น Anticoagulants ส่วน Clopidogrel เป็น antiplatelet</t>
        </is>
      </c>
      <c r="G198" s="45" t="inlineStr">
        <is>
          <t>หวังผลการรักษาที่แตกต่างกัน</t>
        </is>
      </c>
      <c r="H198" s="45" t="inlineStr">
        <is>
          <t>ยาทั้งคู่ไม่แตกต่างกัน โรคหัวใจและหลอดเลือด 9 ฝ่ายวิชาการ นิสิตเภสัชศาสตร์ มหาวิทยาลัยศรีนครินทรวิโรฒ รุ่นที่ 19 สหพันธ์นิสิตนักศึกษาเภสัชศาสตร์แห่งประเทศไทย (สนภท.)</t>
        </is>
      </c>
      <c r="I198" s="44" t="inlineStr">
        <is>
          <t>1</t>
        </is>
      </c>
      <c r="J198" s="45" t="inlineStr">
        <is>
          <t>✅ คำตอบที่ถูกต้อง: ข้อ ก. มี site of action ที่แตกต่างกัน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site of action ที่แตกต่างกัน การเลือก มี site of action ที่แตกต่างกัน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(Aspirin เป็น Antiplatelets ส่วน Clopidogrel เป็น anticoagulants): Aspirin ยับยั้ง COX-1 แบบ Irreversible ทำให้เกล็ดเลือดไม่สามารถสร้าง Thromboxane A2 ได้ตลอดอายุขัยของเกล็ดเลือดนั้น
• ข้อ ค. (Aspirin เป็น Anticoagulants ส่วน Clopidogrel เป็น antiplatelet): Aspirin ยับยั้ง COX-1 แบบ Irreversible ทำให้เกล็ดเลือดไม่สามารถสร้าง Thromboxane A2 ได้ตลอดอายุขัยของเกล็ดเลือดนั้น
• ข้อ ง. (หวังผลการรักษาที่แตกต่างกัน):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(ยาทั้งคู่ไม่แตกต่างกัน โรคหัวใจและหลอดเลือด 9 ฝ่ายวิชาการ นิสิตเภสัชศาสตร์ มหาวิทยาลัยศรีนครินทรวิโรฒ รุ่นที่ 19 สหพันธ์นิสิตนักศึกษาเภสัชศาสตร์แห่งประเทศไทย (สนภท.)):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8" s="46" t="n"/>
      <c r="L198" s="45" t="inlineStr">
        <is>
          <t>Hypertension</t>
        </is>
      </c>
      <c r="M198" s="46" t="inlineStr">
        <is>
          <t>Clinic</t>
        </is>
      </c>
      <c r="N198" s="45" t="inlineStr">
        <is>
          <t>ข้อ 5 (PLE_CC1_Practice_Exam.md)</t>
        </is>
      </c>
      <c r="O198" s="46" t="inlineStr">
        <is>
          <t>Mock</t>
        </is>
      </c>
      <c r="P198" s="46" t="inlineStr">
        <is>
          <t>Mock สภาเภสัชฯ Practice</t>
        </is>
      </c>
    </row>
    <row r="199" ht="409.6" customHeight="1" s="37">
      <c r="A199" s="44" t="n">
        <v>197</v>
      </c>
      <c r="B199" s="45" t="inlineStr">
        <is>
          <t>ข้อใดผิดเกี่ยวกับยา Beta-blockers กับโรคหัวใจขาดเลือด</t>
        </is>
      </c>
      <c r="C199" s="46" t="n"/>
      <c r="D199" s="45" t="inlineStr">
        <is>
          <t>สำหรับผู้ป่วยภาวะหัวใจขาดเลือดเฉียบพลันทุกรายที่ไม่มีข้อห้ามใช้</t>
        </is>
      </c>
      <c r="E199" s="45" t="inlineStr">
        <is>
          <t>เป้าหมายการรักษาคือ HR ขณะพักอยู่ในช่วง 60-80 beats/min</t>
        </is>
      </c>
      <c r="F199" s="45" t="inlineStr">
        <is>
          <t>เพื่อควบคุมอาการเจ็บเค้นหน้าอก</t>
        </is>
      </c>
      <c r="G199" s="45" t="inlineStr">
        <is>
          <t>สามารถใช้ Propranolol ได้</t>
        </is>
      </c>
      <c r="H199" s="45" t="inlineStr">
        <is>
          <t>มีข้อห้ามใช้ในผู้ป่วยที่มีโรคหอบหืด หรือภาวะปอดอุดกั้นเรื้อรัง โรคหัวใจและหลอดเลือด 10 ฝ่ายวิชาการ นิสิตเภสัชศาสตร์ มหาวิทยาลัยศรีนครินทรวิโรฒ รุ่นที่ 19 สหพันธ์นิสิตนักศึกษาเภสัชศาสตร์แห่งประเทศไทย (สนภท.)</t>
        </is>
      </c>
      <c r="I199" s="44" t="inlineStr">
        <is>
          <t>1</t>
        </is>
      </c>
      <c r="J199" s="45" t="inlineStr">
        <is>
          <t>✅ คำตอบที่ถูกต้อง: ข้อ ก. สำหรับผู้ป่วยภาวะหัวใจขาดเลือดเฉียบพลันทุกรายที่ไม่มีข้อห้ามใช้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สำหรับผู้ป่วยภาวะหัวใจขาดเลือดเฉียบพลันทุกรายที่ไม่มีข้อห้ามใช้ สำหรับผู้ป่วยภาวะหัวใจขาดเลือดเฉียบพลันทุกรายที่ไม่มี contraindication สำหรับผู้ป่วยภาวะหัวใจขาดเลือดเฉียบพลันทุกรายที่ไม่มี contraindication สำหรับผู้ป่วยภาวะหัวใจขาดเลือดเฉียบพลันทุกรายที่ไม่มี contraindication สำหรับผู้ป่วยภาวะหัวใจขาดเลือดเฉียบพลันทุกรายที่ไม่มี contraindication การเลือก สำหรับผู้ป่วยภาวะหัวใจขาดเลือดเฉียบพลันทุกรายที่ไม่มี contraindication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(เป้าหมายการรักษาคือ HR ขณะพักอยู่ในช่วง 60-80 beats/min):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(เพื่อควบคุมอาการเจ็บเค้นหน้าอก):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(สามารถใช้ Propranolol ได้): Propranolol เป็น Non-selective beta-blocker ที่สามารถจับกับ Beta-2 receptor ในหลอดลมได้ ทำให้หลอดลมตีบ จึงห้ามใช้ในผู้ป่วยโรคหอบหืด
• ข้อ จ. (มีข้อห้ามใช้ในผู้ป่วยที่มีโรคหอบหืด หรือภาวะปอดอุดกั้นเรื้อรัง โรคหัวใจและหลอดเลือด 10 ฝ่ายวิชาการ นิสิตเภสัชศาสตร์ มหาวิทยาลัยศรีนครินทรวิโรฒ รุ่นที่ 19 สหพันธ์นิสิตนักศึกษาเภสัชศาสตร์แห่งประเทศไทย (สนภท.)):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9" s="46" t="n"/>
      <c r="L199" s="45" t="inlineStr">
        <is>
          <t>Hypertension</t>
        </is>
      </c>
      <c r="M199" s="46" t="inlineStr">
        <is>
          <t>Clinic</t>
        </is>
      </c>
      <c r="N199" s="45" t="inlineStr">
        <is>
          <t>ข้อ 9 (PLE_CC1_Practice_Exam.md)</t>
        </is>
      </c>
      <c r="O199" s="46" t="inlineStr">
        <is>
          <t>Mock</t>
        </is>
      </c>
      <c r="P199" s="46" t="inlineStr">
        <is>
          <t>Mock สภาเภสัชฯ Practice</t>
        </is>
      </c>
    </row>
    <row r="200" ht="409.6" customHeight="1" s="37">
      <c r="A200" s="44" t="n">
        <v>198</v>
      </c>
      <c r="B200" s="45" t="inlineStr">
        <is>
          <t>โรคใดไม่ใช่ป็จจัยเสี่ยงในการเกิดโรคหัวใจขาดเลือด</t>
        </is>
      </c>
      <c r="C200" s="46" t="n"/>
      <c r="D200" s="45" t="inlineStr">
        <is>
          <t>โรคไต</t>
        </is>
      </c>
      <c r="E200" s="45" t="inlineStr">
        <is>
          <t>โรคความดันโลหิตสูง</t>
        </is>
      </c>
      <c r="F200" s="45" t="inlineStr">
        <is>
          <t>โรคเบาหวาน</t>
        </is>
      </c>
      <c r="G200" s="45" t="inlineStr">
        <is>
          <t>โรคอ้วน</t>
        </is>
      </c>
      <c r="H200" s="45" t="inlineStr">
        <is>
          <t>โรคไขมันในเลือดผิดปกติ โรคหัวใจและหลอดเลือด 11 ฝ่ายวิชาการ นิสิตเภสัชศาสตร์ มหาวิทยาลัยศรีนครินทรวิโรฒ รุ่นที่ 19 สหพันธ์นิสิตนักศึกษาเภสัชศาสตร์แห่งประเทศไทย (สนภท.) โดย ฝ่ายวิชาการ นิสิตเภสัชศาสตร์ มหาวิทยาลัยศรีนครินทรวิโรฒ รุ่นที่ 19 Hypertension ข้อ 1 เฉลย C สูบบุหรี่ ของโรคความดันโลหิตสูง ข้อ 2 เฉลย A Grade 1 ตามแนวทางการรักษาโรคความดันโลหิตสูงในเวชปฏิบัติทั่วไป ฉบับปรับปรุง พ.ศ. 2558 ได้จำแนก ระดับความรุนแรงของความดันโลหิตสูงไว้ดังนี้ Grade 1: SBP 140 – 159 และ/หรือ DBP 90-99 Grade 2: SBP 160 – 179 และ/หรือ DBP 100 – 109 Grade 3: SBP มากกว่าหรือเท่ากับ 180 และ/หรือ DBP มากกว่าหรือเท่ากับ 110 ISH: SBP มากกว่าหรือเท่ากับ 140 และ DBP น้อยกว่า 90 ข้อ 3 เฉลย C Amlodipine - ผู้ป่วยมีโรคประจำตัวเป็น COPD จึงไม่สามารถใช้ Propranolol ได้ (Contraindication) - ผู้ป่วยมีค่า K 5.6 mmol/L จึงไม่สามารถใช้ Enalapril ได้ - Furosemide ใช้สำหรับลดอาการบวม ไม่ใช้เพื่อลดความดันโลหิต - Tamsulosin ใช้เพื่อรักษา BPH ข้อ 4 เฉลย A Propranolol เนื่องจาก Propranolol เป็น non-selective beta blockers ซึ่งมี contraindication ในผู้ป่วยโรค Asthma และ COPD ข้อ 5 เฉลย B 130/80 mmHg ตามแนวทางการรักษาโรคความดันโลหิตสูงในเวชปฏิบัติทั่วไป ฉบับปรับปรุง พ.ศ. 2558 คนไข้ที่ไม่ได้ เป็นโรคเบาหวาน หรือโรคไตร่วมด้วย และมีอายุ &lt; 50 ป๊ ระดับความดันโลหิตเป้าหมาย คือ &lt; 130/80 mmHg ข้อ 6 เฉลย C Hyperkalemia อาการไม่พึงประสงค์ของยาในกลุ่ม ACEIs คือ hyperkalemia โรคหัวใจและหลอดเลือด 12 ฝ่ายวิชาการ นิสิตเภสัชศาสตร์ มหาวิทยาลัยศรีนครินทรวิโรฒ รุ่นที่ 19 สหพันธ์นิสิตนักศึกษาเภสัชศาสตร์แห่งประเทศไทย (สนภท.) ข้อ 7 เฉลย D Beta-adrenergic antagonists จากโครงสร้างเป็นยาลดความดันโลหิตในกลุ่ม Beta-adrenergic blockers ซึ่งสังเกตได้จาก oxymethylene bridge (—OCH2—) ข้อ 8 เฉลย E Diuretics เป็นยาตัวแรกที่แนะนำให้ใช้ในคนไข้ที่เป็นความดันโลหิตสูงร่วมกับหัวใจล้มเหลว ACEIs เป็นยาตัวแรกที่แนะนำให้ใช้ในโรคความดันโลหิตสูงร่วมกับหัวใจล้มเหลว (first line drug) ข้อ 9 เฉลย B การรับประทานอาหารแบบ DASH (Dietary Approaches to Stop Hypertension) ตามแนวทางการรักษาโรคความดันโลหิตสูงในเวชปฏิบัติทั่วไป ฉบับปรับปรุง พ.ศ. 2558 ประสิทธิภาพของการปรับเปลี่ยนพฤติกรรมในการรักษาโรคความดันโลหิตสูง - การจำกัดปริมาณโซเดียมในอาหารให้น้อยกว่า 2,300 มก.ต่อวัน สามารถลด SBP ได้ 2-8 mmHg - การรับประทานอาหารแบบ DASH สามารถลด SBP ได้ 8-14 mmHg - การออกกำลังกาย (แบบแอโรบิก) อย่างสม่ำเสมอ สามารถลด SBP ได้เฉลี่ย 4 mmHg - การลดการดื่มแอลกอัอล์ สามารถลด SBP ได้ 2-4 mmHg - การเลิกบุหรี่อาจไม่มีผลต่อการลดความดันโลหิตโดยตรง แต่สามารถลดความเสี่ยงต่อการเกิด โรคหัวใจและหลอดเลือดได้ ข้อ 10 เฉลย D non-DHP CCBs ยาในกลุ่ม non-DHP CCBs เช่น Verapamil, Diltiazem มีข้อห้ามใช้ในคนไข้ที่มีภาวะหัวใจล้มเหลว Dyslipidemia ข้อ 1 เฉลย B 160 mg/dL จากสูตร LDL-C = total cholesterol – HDL-C – (TG/5) จะได้ค่า LDL-C เท่ากับ 160 mg/dL ข้อ 2 เฉลย E ควรเปลี่ยน Gemfibrozil เป็น Fenofibrate ไม่ควรใช้ Gemfibrozil ร่วมกับยาในกลุ่ม Statins เนื่องจากจะทำให้เกิดอันตรายจากยากลุ่ม Statins ได้ เช่น myopathy หรือ rhabdomyolysis หากจำเป็นต้องใช้ยาในกลุ่ม Fibrates ให้ใช้ Fenofibrate แทน และต้อง monitor คนไข้อย่างใกล้ชิด ข้อ 3 เฉลย C เพิ่มการสร้าง LDL receptor ที่ตับ Simvastatin ออกฤทธิ์โดย ยับยั้งเอนไซม์ HMG-CoA reductase ส่งผลให้การสร้าง cholesterol ในตับลดลง ทำให้เกิดการ up regulation ของ LDL receptor ที่ตับ ข้อ 4 เฉลย B Creatine kinase โรคหัวใจและหลอดเลือด 13 ฝ่ายวิชาการ นิสิตเภสัชศาสตร์ มหาวิทยาลัยศรีนครินทรวิโรฒ รุ่นที่ 19 สหพันธ์นิสิตนักศึกษาเภสัชศาสตร์แห่งประเทศไทย (สนภท.) Creatine kinase เป็นเอนไซม์ที่บ่งบอกถึงการค่าการทำงานของกล้ามเนื้อ หากมีค่าสูงขึ้นแสดงว่า กล้ามเนื้อมีป็ญหา ข้อ 5 เฉลย B น้อยกว่า 100 mg/dL ตามแนวทางเวชปฏิบัติการใช้ยารักษาภาวะไขมันผิดปกติเพื่อป้องกันโรคหัวใจและหลอดเลือด พ.ศ. 2559 ระบุว่าผู้ป่วยที่มีภาวะไขมันผิดปกติ ที่มีโรคเบาหวานร่วมด้วย เป้าหมาย LDL-C ควรน้อยกว่า 100 mg/dL ข้อ 6 เฉลย C ปรับลดขนาดยา Simvastatin เป็น 10 mg ต่อวัน และเพิ่มยา Ezetimibe - ไม่ควรปรับขนาดยา Simvastatin เพิ่ม เนื่องจากคนไข้มีอาการปวดกล้ามเนื้อโดยไม่ทราบสาเหตุ - ไม่ควรเปลี่ยนเป็น Atorvastatin 40 mg เนื่องจาก High intensity statin จะยิ่งเพิ่มความเสี่ยงการ เกิดอาการปวดกล้ามเนื้อโดยไม่ทราบสาเหตุ - ควรปรับลดขนาด Simvastatin ลง เพื่อให้อาการปวดเมื่อยกล้ามเนื้อลดลง และควรเพิ่มยาในกลุ่ม non-statin ร่วมด้วย เนื่องจากไม่สามารถควบคุมระดับ LDL-C ให้ได้ตามเป้าหมาย อีกทั้งยังมีค่าสูงขึ้นจาก ครั้งแรกอีกด้วย / Ezetimibe ใช้สำหรับลด LDL-C จึงควรใช้ร่วมกับ Ezetimibe - Niacin ลดระดับ LDL-C ได้เพียงเล็กน้อย จึงใช้สำหรับเพื่อลด TG เท่านั้น ข้อ 7 เฉลย A ตับอ่อน หากมีระดับ TG ในเลือดมากกว่าหรือเท่ากับ 500 mg/dL จะทำให้เกิดภาวะตับอ่อนอักเสบได้ ข้อ 8 เฉลย D Pravastatin มี Lipophilicity ต่ำ - Rosuvastatin 20 mg จัดเป็น high intensity statin - ขนาดยาสูงสุดของ Simvastatin คือ 40 mg ต่อวัน - Atorvastatin และ Rosuvastatin มี elimination half life นานที่สุดในกลุ่ม statins - Simvastatin ถูกกำจัดผ่าน CYP3A4 เป็นหลัก ข้อ 9 เฉลย D เปลี่ยนไปรับประทานตอนเย็น ควรเปลี่ยนไปรับประทานตอนเย็น เนื่องจากยา simvastatin มี eliminatiobn half life สั้น และ เอนไซม์ HMG-CoA reductase จะทำงานมากที่สุดช่วงเวลากลางคืน (00.00 -02.00 น.) ข้อ 10 เฉลย E Fish oil สามารถช่วยลด LDL-C ได้ - จะต้องดูค่าการทำงานของไตทุกครั้ง เมื่อจะพิจารณาใช้ยาในกลุ่ม Fibrates - ไม่แนะนำให้ใช้ Ezetimibe monotherapy ในการลดระดับ LDL-C - Cholestyramine จะจับกับ bile acid แล้วเกิดการตกตะกอน ทำให้ไม่สามารถดูดซึมอาหาร ประเภทไขมันได้ และมีผลรบกวนการดูดซึมของยาอื่นๆที่รับประทานร่วมกัน โรคหัวใจและหลอดเลือด 14 ฝ่ายวิชาการ นิสิตเภสัชศาสตร์ มหาวิทยาลัยศรีนครินทรวิโรฒ รุ่นที่ 19 สหพันธ์นิสิตนักศึกษาเภสัชศาสตร์แห่งประเทศไทย (สนภท.) - Niacin สามารถลดได้ทั้ง LDL-C และ TG แต่ความสามารถในการลด LDL-C ไม่ได้สูงมาก เมื่อเทียบ กับ TG ป็จจุบันจึงมักใช้ Niacin ในการลด TG เท่านั้น - Fish oil สามารถลดระดับ TG ได้เท่านั้น ไม่สามารถลดระดับ LDL-C ได้ Heart Failure ข้อ 1 เฉลย C ให้ขณะที่ผู้ป่วยมีอาการคงที่เท่านั้น จะใช้ยากลุ่ม Beta blockers ก็ต่อเมื่ออาการของผู้ป่วยคงที่แล้วเท่านั้น หากใช้ขณะที่อาการของ ผู้ป่วยยังไม่คงที่ จะยิ่งทำให้อาการของผู้ป่วยทรุดหนักลง ข้อ 2 เฉลย A Atenolol ยาในกลุ่ม Beta blockers ที่แนะนำให้ใช้ในโรคหัวใจล้มเหลว มีดังนี้ Bisoprolol, Carvedilol, Metoprolol succinate, Nebivolol (Atenolol ไม่แนะนำให้ใช้ในโรคหัวใจล้มเหลว) ข้อ 3 เฉลย D มีประสิทธิภาพในการบรรเทาอาการโรคหัวใจล้มเหลวดีกว่า HCTZ Furosemide ใช้สำหรับลดอาการบวม จากภาวะหัวใจล้มเหลว ไม่ได้ช่วยลดอัตราการเสียชีวิต สามารถใช้ร่วมกับ Enalapril ได้ ออกฤทธิ์ยับยั้งการดูดน้ำกลับที่ loop of Henle Furosemide ออกฤทธิ์ขับป็สสาวะเพื่อลดบวมได้ดีกว่า HCTZ จึงมีประสิทธิภาพสูงกว่า HCTZ ใน การบรรเทาอาการโรคหัวใจล้มเหลว และสามารถใช้ Furosemide ร่วมกับ HCTZ ได้ ไม่ทำให้เกิด diuretic resistance ข้อ 4 เฉลย E Naproxen Naproxen เป็นยากลุ่ม NSAIDs ที่ปลอดภัยต่อคนไข้โรคหัวใจมากที่สุด ข้อ 5 เฉลย B 0.063 จากสูตร Ke = 0.693/half life ฉะนั้นค่า Ke มีค่าเท่ากับ 0.063 ข้อ 6 เฉลย C ฉีดวัคซีนป้องกันการติดเชื้อระบบทางเดินหายใจ คำแนะนำทั่วไปสำหรับผู้ป่วยโรคหัวใจล้มเหลว มีดังนี้ - ผู้ป่วยโรคหัวใจล้มเหลวควรออกกำลังกาย ภายใต้การดูแลของแพทย์ เพื่อเสริมสร้างความแข็งแรง ของหัวใจ โดยการออกกำลังกายต้องไม่หนักหรือหักโหมจนเกินไป เช่น เดิน ป็ินจักรยาน เป็นต้น - จำกัดน้ำไม่ให้เกิน 2 ลิตรต่อวัน - จำกัดโซเดียมไม่ให้เกิน 1 ช้อนชาต่อวัน - ฉีดวัคซีนป้องกันการติดเชื้อระบบทางเดินหายใจ ข้อ 7 เฉลย B รับประทานไม่เกินเที่ยงวัน โรคหัวใจและหลอดเลือด 15 ฝ่ายวิชาการ นิสิตเภสัชศาสตร์ มหาวิทยาลัยศรีนครินทรวิโรฒ รุ่นที่ 19 สหพันธ์นิสิตนักศึกษาเภสัชศาสตร์แห่งประเทศไทย (สนภท.) ยา Furosemide มีฤทธิ์ขับปัสสาวะ จึงควรรับประทานไม่เกินเที่ยงวัน เพื่อป้องกันการเกิด nocturia ข้อ 8 เฉลย A Metoprolol สามารถยับยั้งได้ทั้ง alpha และ beta-adrenergic receptors ยา Metoprolol เป็นยาในกลุ่ม selective beta-1 antagonists (selective beta-1 blockers) ข้อ 9 เฉลย E หลีกเลี่ยงการใช้ร่วมกับ Furosemide - กลไกการออกฤทธิ์คือ ยับยั้ง Na/K ATPase - ให้ผล Positive inotropic effect (เพิ่มแรงบีบตัวของหัวใจ) - เห็นผลเร็ว (rapid onset) มักใช้ในกรณีที่ต้องการเห็นผลการรักษาโดยเร็ว - อาการข้างเคียงที่สำคัญ คือ fatique, weakness, visual disturbance และ arrhythmia - หลีกเลี่ยงการใช้ร่วมกับ Furosemide เนื่องจาก Furosemide จะทำให้เกิดภาวะ Hypokalemia ซึ่งภาวะ Hypokalemia จะทำให้ Toxicity ของ Digoxin เพิ่มสูงขึ้น ข้อ 10 เฉลย E C และ D Hydralazine ร่วมกับ Isosorbide dinitrate สามารถใช้แทน ACEIs และ ARBs ได้ ในกรณีที่ผู้ป่วยมี ข้อห้ามใช้ ACEIs และ ARBs CAD ข้อ 1 เฉลย E Amlodipine Amlodipine ไม่มีผลในการช่วยลดอัตราการเสียชีวิตในผู้ป่วยโรคหัวใจขาดเลือด ข้อ 2 เฉลย D 12 เดือน ผู้ป่วยได้รับการขยายหลอดเลือดหัวใจด้วย PCI w/DES จึงควรได้รับ Dual platelet therapy เพื่อ ป้องกันการเกาะกลุ่มกันของเกร็ดเลือดที่บริเวณที่ทำ PCI โดยแนะนำให้ใช้ ASA (ตลอดชีวิต) ร่วมกับ Clopidogrel ข้อ 3 เฉลย B อันตรกิริยาระหว่าง Simvastatin และ Amlodipine อาการปวดเมื่อยกล้ามเนื้อเป็นผลจาก Simvastatin ที่ให้ร่วมกับ Amlodipine เนื่องจาก Amlodipine จะทำให้ระดับยาของ Simvastatin ในกระแสเลือดเพิ่มสูงขึ้น ข้อ 4 เฉลย E ควรอยู่ในท่านั่งก่อนอมยา เนื่องจากยาอาจทำให้หน้ามืดได้ คำแนะนำทั่วไปสำหรับยา ISDN - อมใต้ลิ้น โดยห้ามกลืนน้ำลาย เนื่องจากต้องการให้ยาดูดซึมทิ่เส้นเลือดดำใต้ลิ้น - ห้ามกลืน หรือเคี้ยวเม็ดยา - หากภายใน 5 นาที อาการยังไม่ดีขึ้น ให้อมยาเม็ดถัดไป - หากอมไปแล้ว 3 เม็ด อาการยังไม่ดีขึ้น ให้รีบไปโรงพยาบาล โรคหัวใจและหลอดเลือด 16 ฝ่ายวิชาการ นิสิตเภสัชศาสตร์ มหาวิทยาลัยศรีนครินทรวิโรฒ รุ่นที่ 19 สหพันธ์นิสิตนักศึกษาเภสัชศาสตร์แห่งประเทศไทย (สนภท.) - ผู้ป่วยควรอยู่ในท่านั่งหรือนอนราบก่อนอมยา เพื่อป้องกันการเกิด postural hypotension ข้อ 5 เฉลย A มี site of action ที่แตกต่างกัน Aspirin และ Clopidogrel เป็นยา Anti-platelet เหมือนกัน แตกต่างกันตรงที่ site of action โดย Aspirin จะยับยั้งเอนไซม์ COX ส่วน Clopidogrel จะยับยั้ง P2Y12 receptor บนผิว platelet ข้อ 6 เฉลย B ตรวจพบ Cardiac enzymes ในกระแสเลือด Myocardial infarction สามารถวินิจฉัยได้จากการตรวจพบ Cardiac enzymes ในกระแสเลือด ได้แก่ Troponin I, Troponin T และ CK-MB ข้อ 7 เฉลย D ควรเลือก Low molecular weight heparin (LMWH) เนื่องจากบริหารยาง่าย - UFH เกิด thrombocytopenia ได้สูงกว่า LMWH - UFH ปรับขนาดยายากกว่า LMWH เนื่องจากต้องปรับขนาดตามค่า aPTT ทำให้ LMWH บริหารยา ง่ายกว่า เนื่องจากไม่ต้องติดตามค่า aPTT - UFH มี specificity ต่ำกว่า LMWH - LMWH จำเป็นต้องปรับขนาดยาในผู้ป่วยโรคไต ข้อ 8 เฉลย E ความดันโลหิตมากกว่า 150/100 mmHg ข้อห้ามใช้ของยาละลายลิ่มเลือด (fibrinolytic) มีดังนี้</t>
        </is>
      </c>
      <c r="I200" s="44" t="inlineStr">
        <is>
          <t>3</t>
        </is>
      </c>
      <c r="J200" s="45" t="inlineStr">
        <is>
          <t>✅ คำตอบที่ถูกต้อง: ข้อ ค. โรคเบาหวาน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โรคเบาหวาน ป็จจัยเสี่ยงการเกิดโรคความดันโลหิตสูงในผู้ป่วยรายนี้ คือ สูบบุหรี่ ข้ออื่นๆไม่จัดว่าเป็นปป็จจัยเสี่ยง Diuretics เช่น furosemide ใช้เฉพาะเมื่อมีอาการบวมจากหัวใจล้มเหลวเท่านั้น ไม่ได้ใช้เพื่อลดความดันโลหิต
🔍 ข้ออื่นผิดเพราะอะไร:
• ข้อ ก. (โรคไต):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(โรคความดันโลหิตสูง):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(โรคอ้วน):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(โรคไขมันในเลือดผิดปกติ โรคหัวใจและหลอดเลือด 11 ฝ่ายวิชาการ นิสิตเภสัชศาสตร์ มหาวิทยาลัยศรีนครินทรวิโรฒ รุ่นที่ 19 สหพันธ์นิสิตนักศึกษาเภสัชศาสตร์แห่งประเทศไทย (สนภท.) โดย ฝ่ายวิชาการ นิสิตเภสัชศาสตร์ มหาวิทยาลัยศรีนครินทรวิโรฒ รุ่นที่ 19 Hypertension ข้อ 1 เฉลย C สูบบุหรี่ ของโรคความดันโลหิตสูง ข้อ 2 เฉลย A Grade 1 ตามแนวทางการรักษาโรคความดันโลหิตสูงในเวชปฏิบัติทั่วไป ฉบับปรับปรุง พ.ศ. 2558 ได้จำแนก ระดับความรุนแรงของความดันโลหิตสูงไว้ดังนี้ Grade 1: SBP 140 – 159 และ/หรือ DBP 90-99 Grade 2: SBP 160 – 179 และ/หรือ DBP 100 – 109 Grade 3: SBP มากกว่าหรือเท่ากับ 180 และ/หรือ DBP มากกว่าหรือเท่ากับ 110 ISH: SBP มากกว่าหรือเท่ากับ 140 และ DBP น้อยกว่า 90 ข้อ 3 เฉลย C Amlodipine - ผู้ป่วยมีโรคประจำตัวเป็น COPD จึงไม่สามารถใช้ Propranolol ได้ (Contraindication) - ผู้ป่วยมีค่า K 5.6 mmol/L จึงไม่สามารถใช้ Enalapril ได้ - Furosemide ใช้สำหรับลดอาการบวม ไม่ใช้เพื่อลดความดันโลหิต - Tamsulosin ใช้เพื่อรักษา BPH ข้อ 4 เฉลย A Propranolol เนื่องจาก Propranolol เป็น non-selective beta blockers ซึ่งมี contraindication ในผู้ป่วยโรค Asthma และ COPD ข้อ 5 เฉลย B 130/80 mmHg ตามแนวทางการรักษาโรคความดันโลหิตสูงในเวชปฏิบัติทั่วไป ฉบับปรับปรุง พ.ศ. 2558 คนไข้ที่ไม่ได้ เป็นโรคเบาหวาน หรือโรคไตร่วมด้วย และมีอายุ &lt; 50 ป๊ ระดับความดันโลหิตเป้าหมาย คือ &lt; 130/80 mmHg ข้อ 6 เฉลย C Hyperkalemia อาการไม่พึงประสงค์ของยาในกลุ่ม ACEIs คือ hyperkalemia โรคหัวใจและหลอดเลือด 12 ฝ่ายวิชาการ นิสิตเภสัชศาสตร์ มหาวิทยาลัยศรีนครินทรวิโรฒ รุ่นที่ 19 สหพันธ์นิสิตนักศึกษาเภสัชศาสตร์แห่งประเทศไทย (สนภท.) ข้อ 7 เฉลย D Beta-adrenergic antagonists จากโครงสร้างเป็นยาลดความดันโลหิตในกลุ่ม Beta-adrenergic blockers ซึ่งสังเกตได้จาก oxymethylene bridge (—OCH2—) ข้อ 8 เฉลย E Diuretics เป็นยาตัวแรกที่แนะนำให้ใช้ในคนไข้ที่เป็นความดันโลหิตสูงร่วมกับหัวใจล้มเหลว ACEIs เป็นยาตัวแรกที่แนะนำให้ใช้ในโรคความดันโลหิตสูงร่วมกับหัวใจล้มเหลว (first line drug) ข้อ 9 เฉลย B การรับประทานอาหารแบบ DASH (Dietary Approaches to Stop Hypertension) ตามแนวทางการรักษาโรคความดันโลหิตสูงในเวชปฏิบัติทั่วไป ฉบับปรับปรุง พ.ศ. 2558 ประสิทธิภาพของการปรับเปลี่ยนพฤติกรรมในการรักษาโรคความดันโลหิตสูง - การจำกัดปริมาณโซเดียมในอาหารให้น้อยกว่า 2,300 มก.ต่อวัน สามารถลด SBP ได้ 2-8 mmHg - การรับประทานอาหารแบบ DASH สามารถลด SBP ได้ 8-14 mmHg - การออกกำลังกาย (แบบแอโรบิก) อย่างสม่ำเสมอ สามารถลด SBP ได้เฉลี่ย 4 mmHg - การลดการดื่มแอลกอัอล์ สามารถลด SBP ได้ 2-4 mmHg - การเลิกบุหรี่อาจไม่มีผลต่อการลดความดันโลหิตโดยตรง แต่สามารถลดความเสี่ยงต่อการเกิด โรคหัวใจและหลอดเลือดได้ ข้อ 10 เฉลย D non-DHP CCBs ยาในกลุ่ม non-DHP CCBs เช่น Verapamil, Diltiazem มีข้อห้ามใช้ในคนไข้ที่มีภาวะหัวใจล้มเหลว Dyslipidemia ข้อ 1 เฉลย B 160 mg/dL จากสูตร LDL-C = total cholesterol – HDL-C – (TG/5) จะได้ค่า LDL-C เท่ากับ 160 mg/dL ข้อ 2 เฉลย E ควรเปลี่ยน Gemfibrozil เป็น Fenofibrate ไม่ควรใช้ Gemfibrozil ร่วมกับยาในกลุ่ม Statins เนื่องจากจะทำให้เกิดอันตรายจากยากลุ่ม Statins ได้ เช่น myopathy หรือ rhabdomyolysis หากจำเป็นต้องใช้ยาในกลุ่ม Fibrates ให้ใช้ Fenofibrate แทน และต้อง monitor คนไข้อย่างใกล้ชิด ข้อ 3 เฉลย C เพิ่มการสร้าง LDL receptor ที่ตับ Simvastatin ออกฤทธิ์โดย ยับยั้งเอนไซม์ HMG-CoA reductase ส่งผลให้การสร้าง cholesterol ในตับลดลง ทำให้เกิดการ up regulation ของ LDL receptor ที่ตับ ข้อ 4 เฉลย B Creatine kinase โรคหัวใจและหลอดเลือด 13 ฝ่ายวิชาการ นิสิตเภสัชศาสตร์ มหาวิทยาลัยศรีนครินทรวิโรฒ รุ่นที่ 19 สหพันธ์นิสิตนักศึกษาเภสัชศาสตร์แห่งประเทศไทย (สนภท.) Creatine kinase เป็นเอนไซม์ที่บ่งบอกถึงการค่าการทำงานของกล้ามเนื้อ หากมีค่าสูงขึ้นแสดงว่า กล้ามเนื้อมีป็ญหา ข้อ 5 เฉลย B น้อยกว่า 100 mg/dL ตามแนวทางเวชปฏิบัติการใช้ยารักษาภาวะไขมันผิดปกติเพื่อป้องกันโรคหัวใจและหลอดเลือด พ.ศ. 2559 ระบุว่าผู้ป่วยที่มีภาวะไขมันผิดปกติ ที่มีโรคเบาหวานร่วมด้วย เป้าหมาย LDL-C ควรน้อยกว่า 100 mg/dL ข้อ 6 เฉลย C ปรับลดขนาดยา Simvastatin เป็น 10 mg ต่อวัน และเพิ่มยา Ezetimibe - ไม่ควรปรับขนาดยา Simvastatin เพิ่ม เนื่องจากคนไข้มีอาการปวดกล้ามเนื้อโดยไม่ทราบสาเหตุ - ไม่ควรเปลี่ยนเป็น Atorvastatin 40 mg เนื่องจาก High intensity statin จะยิ่งเพิ่มความเสี่ยงการ เกิดอาการปวดกล้ามเนื้อโดยไม่ทราบสาเหตุ - ควรปรับลดขนาด Simvastatin ลง เพื่อให้อาการปวดเมื่อยกล้ามเนื้อลดลง และควรเพิ่มยาในกลุ่ม non-statin ร่วมด้วย เนื่องจากไม่สามารถควบคุมระดับ LDL-C ให้ได้ตามเป้าหมาย อีกทั้งยังมีค่าสูงขึ้นจาก ครั้งแรกอีกด้วย / Ezetimibe ใช้สำหรับลด LDL-C จึงควรใช้ร่วมกับ Ezetimibe - Niacin ลดระดับ LDL-C ได้เพียงเล็กน้อย จึงใช้สำหรับเพื่อลด TG เท่านั้น ข้อ 7 เฉลย A ตับอ่อน หากมีระดับ TG ในเลือดมากกว่าหรือเท่ากับ 500 mg/dL จะทำให้เกิดภาวะตับอ่อนอักเสบได้ ข้อ 8 เฉลย D Pravastatin มี Lipophilicity ต่ำ - Rosuvastatin 20 mg จัดเป็น high intensity statin - ขนาดยาสูงสุดของ Simvastatin คือ 40 mg ต่อวัน - Atorvastatin และ Rosuvastatin มี elimination half life นานที่สุดในกลุ่ม statins - Simvastatin ถูกกำจัดผ่าน CYP3A4 เป็นหลัก ข้อ 9 เฉลย D เปลี่ยนไปรับประทานตอนเย็น ควรเปลี่ยนไปรับประทานตอนเย็น เนื่องจากยา simvastatin มี eliminatiobn half life สั้น และ เอนไซม์ HMG-CoA reductase จะทำงานมากที่สุดช่วงเวลากลางคืน (00.00 -02.00 น.) ข้อ 10 เฉลย E Fish oil สามารถช่วยลด LDL-C ได้ - จะต้องดูค่าการทำงานของไตทุกครั้ง เมื่อจะพิจารณาใช้ยาในกลุ่ม Fibrates - ไม่แนะนำให้ใช้ Ezetimibe monotherapy ในการลดระดับ LDL-C - Cholestyramine จะจับกับ bile acid แล้วเกิดการตกตะกอน ทำให้ไม่สามารถดูดซึมอาหาร ประเภทไขมันได้ และมีผลรบกวนการดูดซึมของยาอื่นๆที่รับประทานร่วมกัน โรคหัวใจและหลอดเลือด 14 ฝ่ายวิชาการ นิสิตเภสัชศาสตร์ มหาวิทยาลัยศรีนครินทรวิโรฒ รุ่นที่ 19 สหพันธ์นิสิตนักศึกษาเภสัชศาสตร์แห่งประเทศไทย (สนภท.) - Niacin สามารถลดได้ทั้ง LDL-C และ TG แต่ความสามารถในการลด LDL-C ไม่ได้สูงมาก เมื่อเทียบ กับ TG ป็จจุบันจึงมักใช้ Niacin ในการลด TG เท่านั้น - Fish oil สามารถลดระดับ TG ได้เท่านั้น ไม่สามารถลดระดับ LDL-C ได้ Heart Failure ข้อ 1 เฉลย C ให้ขณะที่ผู้ป่วยมีอาการคงที่เท่านั้น จะใช้ยากลุ่ม Beta blockers ก็ต่อเมื่ออาการของผู้ป่วยคงที่แล้วเท่านั้น หากใช้ขณะที่อาการของ ผู้ป่วยยังไม่คงที่ จะยิ่งทำให้อาการของผู้ป่วยทรุดหนักลง ข้อ 2 เฉลย A Atenolol ยาในกลุ่ม Beta blockers ที่แนะนำให้ใช้ในโรคหัวใจล้มเหลว มีดังนี้ Bisoprolol, Carvedilol, Metoprolol succinate, Nebivolol (Atenolol ไม่แนะนำให้ใช้ในโรคหัวใจล้มเหลว) ข้อ 3 เฉลย D มีประสิทธิภาพในการบรรเทาอาการโรคหัวใจล้มเหลวดีกว่า HCTZ Furosemide ใช้สำหรับลดอาการบวม จากภาวะหัวใจล้มเหลว ไม่ได้ช่วยลดอัตราการเสียชีวิต สามารถใช้ร่วมกับ Enalapril ได้ ออกฤทธิ์ยับยั้งการดูดน้ำกลับที่ loop of Henle Furosemide ออกฤทธิ์ขับป็สสาวะเพื่อลดบวมได้ดีกว่า HCTZ จึงมีประสิทธิภาพสูงกว่า HCTZ ใน การบรรเทาอาการโรคหัวใจล้มเหลว และสามารถใช้ Furosemide ร่วมกับ HCTZ ได้ ไม่ทำให้เกิด diuretic resistance ข้อ 4 เฉลย E Naproxen Naproxen เป็นยากลุ่ม NSAIDs ที่ปลอดภัยต่อคนไข้โรคหัวใจมากที่สุด ข้อ 5 เฉลย B 0.063 จากสูตร Ke = 0.693/half life ฉะนั้นค่า Ke มีค่าเท่ากับ 0.063 ข้อ 6 เฉลย C ฉีดวัคซีนป้องกันการติดเชื้อระบบทางเดินหายใจ คำแนะนำทั่วไปสำหรับผู้ป่วยโรคหัวใจล้มเหลว มีดังนี้ - ผู้ป่วยโรคหัวใจล้มเหลวควรออกกำลังกาย ภายใต้การดูแลของแพทย์ เพื่อเสริมสร้างความแข็งแรง ของหัวใจ โดยการออกกำลังกายต้องไม่หนักหรือหักโหมจนเกินไป เช่น เดิน ป็ินจักรยาน เป็นต้น - จำกัดน้ำไม่ให้เกิน 2 ลิตรต่อวัน - จำกัดโซเดียมไม่ให้เกิน 1 ช้อนชาต่อวัน - ฉีดวัคซีนป้องกันการติดเชื้อระบบทางเดินหายใจ ข้อ 7 เฉลย B รับประทานไม่เกินเที่ยงวัน โรคหัวใจและหลอดเลือด 15 ฝ่ายวิชาการ นิสิตเภสัชศาสตร์ มหาวิทยาลัยศรีนครินทรวิโรฒ รุ่นที่ 19 สหพันธ์นิสิตนักศึกษาเภสัชศาสตร์แห่งประเทศไทย (สนภท.) ยา Furosemide มีฤทธิ์ขับปัสสาวะ จึงควรรับประทานไม่เกินเที่ยงวัน เพื่อป้องกันการเกิด nocturia ข้อ 8 เฉลย A Metoprolol สามารถยับยั้งได้ทั้ง alpha และ beta-adrenergic receptors ยา Metoprolol เป็นยาในกลุ่ม selective beta-1 antagonists (selective beta-1 blockers) ข้อ 9 เฉลย E หลีกเลี่ยงการใช้ร่วมกับ Furosemide - กลไกการออกฤทธิ์คือ ยับยั้ง Na/K ATPase - ให้ผล Positive inotropic effect (เพิ่มแรงบีบตัวของหัวใจ) - เห็นผลเร็ว (rapid onset) มักใช้ในกรณีที่ต้องการเห็นผลการรักษาโดยเร็ว - อาการข้างเคียงที่สำคัญ คือ fatique, weakness, visual disturbance และ arrhythmia - หลีกเลี่ยงการใช้ร่วมกับ Furosemide เนื่องจาก Furosemide จะทำให้เกิดภาวะ Hypokalemia ซึ่งภาวะ Hypokalemia จะทำให้ Toxicity ของ Digoxin เพิ่มสูงขึ้น ข้อ 10 เฉลย E C และ D Hydralazine ร่วมกับ Isosorbide dinitrate สามารถใช้แทน ACEIs และ ARBs ได้ ในกรณีที่ผู้ป่วยมี ข้อห้ามใช้ ACEIs และ ARBs CAD ข้อ 1 เฉลย E Amlodipine Amlodipine ไม่มีผลในการช่วยลดอัตราการเสียชีวิตในผู้ป่วยโรคหัวใจขาดเลือด ข้อ 2 เฉลย D 12 เดือน ผู้ป่วยได้รับการขยายหลอดเลือดหัวใจด้วย PCI w/DES จึงควรได้รับ Dual platelet therapy เพื่อ ป้องกันการเกาะกลุ่มกันของเกร็ดเลือดที่บริเวณที่ทำ PCI โดยแนะนำให้ใช้ ASA (ตลอดชีวิต) ร่วมกับ Clopidogrel ข้อ 3 เฉลย B อันตรกิริยาระหว่าง Simvastatin และ Amlodipine อาการปวดเมื่อยกล้ามเนื้อเป็นผลจาก Simvastatin ที่ให้ร่วมกับ Amlodipine เนื่องจาก Amlodipine จะทำให้ระดับยาของ Simvastatin ในกระแสเลือดเพิ่มสูงขึ้น ข้อ 4 เฉลย E ควรอยู่ในท่านั่งก่อนอมยา เนื่องจากยาอาจทำให้หน้ามืดได้ คำแนะนำทั่วไปสำหรับยา ISDN - อมใต้ลิ้น โดยห้ามกลืนน้ำลาย เนื่องจากต้องการให้ยาดูดซึมทิ่เส้นเลือดดำใต้ลิ้น - ห้ามกลืน หรือเคี้ยวเม็ดยา - หากภายใน 5 นาที อาการยังไม่ดีขึ้น ให้อมยาเม็ดถัดไป - หากอมไปแล้ว 3 เม็ด อาการยังไม่ดีขึ้น ให้รีบไปโรงพยาบาล โรคหัวใจและหลอดเลือด 16 ฝ่ายวิชาการ นิสิตเภสัชศาสตร์ มหาวิทยาลัยศรีนครินทรวิโรฒ รุ่นที่ 19 สหพันธ์นิสิตนักศึกษาเภสัชศาสตร์แห่งประเทศไทย (สนภท.) - ผู้ป่วยควรอยู่ในท่านั่งหรือนอนราบก่อนอมยา เพื่อป้องกันการเกิด postural hypotension ข้อ 5 เฉลย A มี site of action ที่แตกต่างกัน Aspirin และ Clopidogrel เป็นยา Anti-platelet เหมือนกัน แตกต่างกันตรงที่ site of action โดย Aspirin จะยับยั้งเอนไซม์ COX ส่วน Clopidogrel จะยับยั้ง P2Y12 receptor บนผิว platelet ข้อ 6 เฉลย B ตรวจพบ Cardiac enzymes ในกระแสเลือด Myocardial infarction สามารถวินิจฉัยได้จากการตรวจพบ Cardiac enzymes ในกระแสเลือด ได้แก่ Troponin I, Troponin T และ CK-MB ข้อ 7 เฉลย D ควรเลือก Low molecular weight heparin (LMWH) เนื่องจากบริหารยาง่าย - UFH เกิด thrombocytopenia ได้สูงกว่า LMWH - UFH ปรับขนาดยายากกว่า LMWH เนื่องจากต้องปรับขนาดตามค่า aPTT ทำให้ LMWH บริหารยา ง่ายกว่า เนื่องจากไม่ต้องติดตามค่า aPTT - UFH มี specificity ต่ำกว่า LMWH - LMWH จำเป็นต้องปรับขนาดยาในผู้ป่วยโรคไต ข้อ 8 เฉลย E ความดันโลหิตมากกว่า 150/100 mmHg ข้อห้ามใช้ของยาละลายลิ่มเลือด (fibrinolytic) มีดังนี้): Amlodipine เป็นยากลุ่ม Dihydropyridine CCB ที่เน้นขยายหลอดเลือดส่วนปลาย ไม่มีผลลดอัตราตายในผู้ป่วย Heart failure และอาจทำให้เกิดผลข้างเคียงคือบวมน้ำ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0" s="46" t="n"/>
      <c r="L200" s="45" t="inlineStr">
        <is>
          <t>Hypertension</t>
        </is>
      </c>
      <c r="M200" s="46" t="inlineStr">
        <is>
          <t>Clinic</t>
        </is>
      </c>
      <c r="N200" s="45" t="inlineStr">
        <is>
          <t>ข้อ 10 (PLE_CC1_Practice_Exam.md)</t>
        </is>
      </c>
      <c r="O200" s="46" t="inlineStr">
        <is>
          <t>Mock</t>
        </is>
      </c>
      <c r="P200" s="46" t="inlineStr">
        <is>
          <t>Mock สภาเภสัชฯ Practice</t>
        </is>
      </c>
    </row>
    <row r="201" ht="409.6" customHeight="1" s="37">
      <c r="A201" s="44" t="n">
        <v>199</v>
      </c>
      <c r="B201" s="45" t="inlineStr">
        <is>
          <t>คำแนะนำในการใช้ยาเหน็บทวารข้อใดไม่ถูกต้อง</t>
        </is>
      </c>
      <c r="C201" s="46" t="n"/>
      <c r="D201" s="45" t="inlineStr">
        <is>
          <t>เก็บยาในช่องแช่เย็นก่อนแกะยาออกจากห่อ</t>
        </is>
      </c>
      <c r="E201" s="45" t="inlineStr">
        <is>
          <t>นอนตะแคงโดยให้ขาล่างเหยียดตรงและงอขาบนจนหัวเข่าชิดหน้าอกให้มากที่สุด</t>
        </is>
      </c>
      <c r="F201" s="45" t="inlineStr">
        <is>
          <t>สอดยาเหน็บเข้าไปในทวารหนัก โดยเอาด้านที่มีปลายแหลมเข้าไปก่อน</t>
        </is>
      </c>
      <c r="G201" s="45" t="inlineStr">
        <is>
          <t>นอนในท่าเดิมสักครู่หนึ่งประมาณ 5 นาที เพื่อให้แท่งยาละลายและออกฤทธิ์</t>
        </is>
      </c>
      <c r="H201" s="45" t="inlineStr">
        <is>
          <t>มีข้อผิดมากกว่า 1 ข้อ 42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201" s="44" t="inlineStr">
        <is>
          <t>1</t>
        </is>
      </c>
      <c r="J201" s="45" t="inlineStr">
        <is>
          <t>✅ คำตอบที่ถูกต้อง: ข้อ ก. เก็บยาในช่องแช่เย็นก่อนแกะยาออกจากห่อ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เก็บยาในช่องแช่เย็นก่อนแกะยาออกจากห่อ การเลือก เก็บยาในช่องแช่เย็นก่อนแกะยาออกจากห่อ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(นอนตะแคงโดยให้ขาล่างเหยียดตรงและงอขาบนจนหัวเข่าชิดหน้าอกให้มากที่สุด): วิธีการเหน็บยาที่ถูกต้องควรรักษาความเย็นเพื่อไม่ให้ยาละลายก่อนสอด แต่ต้องให้ผู้ป่วยนอนตะแคงค้างไว้อย่างน้อย 15-30 นาทีเพื่อให้ยาออกฤทธิ์เต็มที่ ไม่ใช่แค่ 5 นาที
• ข้อ ค. (สอดยาเหน็บเข้าไปในทวารหนัก โดยเอาด้านที่มีปลายแหลมเข้าไปก่อน):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(นอนในท่าเดิมสักครู่หนึ่งประมาณ 5 นาที เพื่อให้แท่งยาละลายและออกฤทธิ์): วิธีการเหน็บยาที่ถูกต้องควรรักษาความเย็นเพื่อไม่ให้ยาละลายก่อนสอด แต่ต้องให้ผู้ป่วยนอนตะแคงค้างไว้อย่างน้อย 15-30 นาทีเพื่อให้ยาออกฤทธิ์เต็มที่ ไม่ใช่แค่ 5 นาที
• ข้อ จ. (มีข้อผิดมากกว่า 1 ข้อ 42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1" s="46" t="n"/>
      <c r="L201" s="45" t="inlineStr">
        <is>
          <t>Hypertension</t>
        </is>
      </c>
      <c r="M201" s="46" t="inlineStr">
        <is>
          <t>Clinic</t>
        </is>
      </c>
      <c r="N201" s="45" t="inlineStr">
        <is>
          <t>ข้อ 3 (PLE_CC1_Practice_Exam.md)</t>
        </is>
      </c>
      <c r="O201" s="46" t="inlineStr">
        <is>
          <t>Mock</t>
        </is>
      </c>
      <c r="P201" s="46" t="inlineStr">
        <is>
          <t>Mock สภาเภสัชฯ Practice</t>
        </is>
      </c>
    </row>
    <row r="202" ht="409.6" customHeight="1" s="37">
      <c r="A202" s="44" t="n">
        <v>200</v>
      </c>
      <c r="B202" s="45" t="inlineStr">
        <is>
          <t>ยาที่ออกฤทธิ์ต่อพยาธิ โดยการยับยั้งการสร้าง microtubule และมีผลยับยั้งการนำกลูโคสเข้าเซลล์ คือยา ในข้อใด</t>
        </is>
      </c>
      <c r="C202" s="46" t="n"/>
      <c r="D202" s="45" t="inlineStr">
        <is>
          <t>Praziquantel</t>
        </is>
      </c>
      <c r="E202" s="45" t="inlineStr">
        <is>
          <t>Niclosamide</t>
        </is>
      </c>
      <c r="F202" s="45" t="inlineStr">
        <is>
          <t>Mebendazole</t>
        </is>
      </c>
      <c r="G202" s="45" t="inlineStr">
        <is>
          <t>Pyrantel pamoate</t>
        </is>
      </c>
      <c r="H202" s="45" t="inlineStr">
        <is>
          <t>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t>
        </is>
      </c>
      <c r="I202" s="44" t="inlineStr">
        <is>
          <t>1</t>
        </is>
      </c>
      <c r="J202" s="45" t="inlineStr">
        <is>
          <t>✅ คำตอบที่ถูกต้อง: ข้อ ก. Praziquantel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Praziquantel การเลือก Praziquantel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(Niclosamide): Niclosamide ยับยั้งกระบวนการ Oxidative phosphorylation ของพยาธิ ทำให้ขาดพลังงาน ATP นำไปใช้รักษาพยาธิตัวตืดได้ดี
• ข้อ ค. (Mebendazole): Mebendazole ยับยั้งกระบวนการสร้าง Microtubule อย่างจำเพาะเจาะจงในพยาธิ และทำให้การดูดซึมกลูโคสของพยาธิลดลงจนขาดสารอาหารตาย
• ข้อ ง. (Pyrantel pamoate): Pyrantel pamoate มีฤทธิ์เป็น Depolarizing neuromuscular blocker กระตุ้น Nicotinic receptors ของพยาธิ ทำให้พยาธิเป็นอัมพาตและถูกขับออกมา
• ข้อ จ. (Ivermectin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 Ivermectin ออกฤทธิ์กระตุ้น Glutamate-gated chloride channels ที่ระบบประสาทของพยาธิ ทำให้เซลล์เกิด Hyperpolarization และเป็นอัมพาต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2" s="46" t="n"/>
      <c r="L202" s="45" t="inlineStr">
        <is>
          <t>Hypertension</t>
        </is>
      </c>
      <c r="M202" s="46" t="inlineStr">
        <is>
          <t>Clinic</t>
        </is>
      </c>
      <c r="N202" s="45" t="inlineStr">
        <is>
          <t>ข้อ 40 (PLE_CC1_Practice_Exam.md)</t>
        </is>
      </c>
      <c r="O202" s="46" t="inlineStr">
        <is>
          <t>Mock</t>
        </is>
      </c>
      <c r="P202" s="46" t="inlineStr">
        <is>
          <t>Mock สภาเภสัชฯ Practice</t>
        </is>
      </c>
    </row>
    <row r="203" ht="409.6" customHeight="1" s="37">
      <c r="A203" s="44" t="n">
        <v>201</v>
      </c>
      <c r="B203" s="45" t="inlineStr">
        <is>
          <t>กระบวนการเปลี่ยนแปลงตัวยาในกลุ่ม nitroimidazole ให้อยู่ในรูปที่ออกฤทธิ์ได้ในเชื้อโปรโตซัวเรียกว่า อะไร</t>
        </is>
      </c>
      <c r="C203" s="46" t="n"/>
      <c r="D203" s="45" t="inlineStr">
        <is>
          <t>Nitro-Reduction</t>
        </is>
      </c>
      <c r="E203" s="45" t="inlineStr">
        <is>
          <t>Hydroxylation</t>
        </is>
      </c>
      <c r="F203" s="45" t="inlineStr">
        <is>
          <t>Hydrolysis</t>
        </is>
      </c>
      <c r="G203" s="45" t="inlineStr">
        <is>
          <t>Demethylation</t>
        </is>
      </c>
      <c r="H203" s="45" t="inlineStr">
        <is>
          <t>Cyclization</t>
        </is>
      </c>
      <c r="I203" s="44" t="inlineStr">
        <is>
          <t>1</t>
        </is>
      </c>
      <c r="J203" s="45" t="inlineStr">
        <is>
          <t>✅ คำตอบที่ถูกต้อง: ข้อ ก. Nitro-Reduction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Nitro-Reduction การเลือก Nitro-Reduction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ค. (Hydrolysis):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ง. (Demethylation):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จ. (Cyclization):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3" s="46" t="n"/>
      <c r="L203" s="45" t="inlineStr">
        <is>
          <t>Hypertension</t>
        </is>
      </c>
      <c r="M203" s="46" t="inlineStr">
        <is>
          <t>Clinic</t>
        </is>
      </c>
      <c r="N203" s="45" t="inlineStr">
        <is>
          <t>ข้อ 43 (PLE_CC1_Practice_Exam.md)</t>
        </is>
      </c>
      <c r="O203" s="46" t="inlineStr">
        <is>
          <t>Mock</t>
        </is>
      </c>
      <c r="P203" s="46" t="inlineStr">
        <is>
          <t>Mock สภาเภสัชฯ Practice</t>
        </is>
      </c>
    </row>
    <row r="204" ht="409.6" customHeight="1" s="37">
      <c r="A204" s="44" t="n">
        <v>202</v>
      </c>
      <c r="B204" s="45" t="inlineStr">
        <is>
          <t>ผู้ป่วยเพศหญิง อายุ 50 ปี เพิ่งได้รับการวินิจฉัยว่าเป็นเบาหวานชนิดที่ 2 และได้รับยา Metformin ข้อใด ถูกต้องเกี่ยวกับยานี้</t>
        </is>
      </c>
      <c r="C204" s="46" t="n"/>
      <c r="D204" s="45" t="inlineStr">
        <is>
          <t>เพิ่มการหลั่งอินซูลินจาก β-cell ของตับอ่อน</t>
        </is>
      </c>
      <c r="E204" s="45" t="inlineStr">
        <is>
          <t>ลดการดูดซึมกลูโคสจากทางเดินอาหาร</t>
        </is>
      </c>
      <c r="F204" s="45" t="inlineStr">
        <is>
          <t>ลดการสังเคราะห์กลูโคสจากตับ</t>
        </is>
      </c>
      <c r="G204" s="45" t="inlineStr">
        <is>
          <t>ลด glucose uptake และการใช้กลูโคสในเซลล์เป้าหมายของอินซูลิน</t>
        </is>
      </c>
      <c r="H204" s="45" t="inlineStr">
        <is>
          <t>ผลข้างเคียงที่พบบ่อยคือ ภาวะกลูโคสในเลือดต่ำ (Hypoglycemia)</t>
        </is>
      </c>
      <c r="I204" s="44" t="inlineStr">
        <is>
          <t>1</t>
        </is>
      </c>
      <c r="J204" s="45" t="inlineStr">
        <is>
          <t>✅ คำตอบที่ถูกต้อง: ข้อ ก. เพิ่มการหลั่งอินซูลินจาก β-cell ของตับอ่อน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เพิ่มการหลั่งอินซูลินจาก β-cell ของตับอ่อน การเลือก เพิ่มการหลั่งอินซูลินจาก β-cell ของตับอ่อน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(ลดการดูดซึมกลูโคสจากทางเดินอาหาร):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ค. (ลดการสังเคราะห์กลูโคสจากตับ):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ง. (ลด glucose uptake และการใช้กลูโคสในเซลล์เป้าหมายของอินซูลิน):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(ผลข้างเคียงที่พบบ่อยคือ ภาวะกลูโคสในเลือดต่ำ (Hypoglycemia)):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4" s="46" t="n"/>
      <c r="L204" s="45" t="inlineStr">
        <is>
          <t>Hypertension</t>
        </is>
      </c>
      <c r="M204" s="46" t="inlineStr">
        <is>
          <t>Clinic</t>
        </is>
      </c>
      <c r="N204" s="45" t="inlineStr">
        <is>
          <t>ข้อ 2 (PLE_CC1_Practice_Exam.md)</t>
        </is>
      </c>
      <c r="O204" s="46" t="inlineStr">
        <is>
          <t>Mock</t>
        </is>
      </c>
      <c r="P204" s="46" t="inlineStr">
        <is>
          <t>Mock สภาเภสัชฯ Practice</t>
        </is>
      </c>
    </row>
    <row r="205" ht="409.6" customHeight="1" s="37">
      <c r="A205" s="44" t="n">
        <v>203</v>
      </c>
      <c r="B205" s="45" t="inlineStr">
        <is>
          <t>ผู้ป่วยชายอายุ 68 ปีเป็นผู้ป่วยเบาหวานชนิดที่2 ได้รับยา Glipizide และ Metformin ต่อมาผู้ป่วยได้ไปพบ แพทย์ แพทย์ได้เปลี่ยนจากยากินมาเป็นยาฉีด insulin ข้อใดต่อไปนี้ไม่ถูกต้องเกี่ยวกับยาฉีด insulin</t>
        </is>
      </c>
      <c r="C205" s="46" t="n"/>
      <c r="D205" s="45" t="inlineStr">
        <is>
          <t>Insulin Lispro มี onset ในการออกฤทธิ์ที่เร็วกว่า NPH และจัดอยู่ใน Rapid acting insulin</t>
        </is>
      </c>
      <c r="E205" s="45" t="inlineStr">
        <is>
          <t>NPH นิยมใช้ผสมกับ Regular insulin (RI) เพราะว่า NPH ออกฤทธิ์ได้รวดเร็วและ RI ออกฤทธิ์ได้ ช้ากว่าจึงทำให้สามารถควบคุมระดับน้ำตาลได้นาน</t>
        </is>
      </c>
      <c r="F205" s="45" t="inlineStr">
        <is>
          <t>Insulin Aspart บริหารยาโดยฉีดเข้าใต้ผิวหนังได้ทันทีก่อนมื้ออาหาร</t>
        </is>
      </c>
      <c r="G205" s="45" t="inlineStr">
        <is>
          <t>NPH insulin ไม่ใช้ในการรักษาผู้ป่วย Diabetic ketoacidosis</t>
        </is>
      </c>
      <c r="H205" s="45" t="inlineStr">
        <is>
          <t>ผู้ป่วยชาย ไทยคู่ อายุ 65 ปี 2 เดือน น้ำหนัก 49 kg ส่วนสูง 165 cm ปัจจุบันผู้ป่วยยังสามารถ ช่วยเหลือตนเองได้ PE: V/S Temp 37_x0000_ BP 111/69 mmHg PR 76 bpm RR 20 ครั้ง/นาที CC: Diabetes Mellitus, Hypertension มาพบแพทย์ตามนัด (22/08/2560) HPI: ไม่ขาดยา ไม่มีอาการน้ำตาลต่ำ ไม่มีแผล ไม่เจ็บอก ไม่ชาปลายมือ ปลายเท้า ไม่มีอาการบวม PMH: Diabetes Mellitus, Dyslipidemia Laboratory Test (22/08/2560)</t>
        </is>
      </c>
      <c r="I205" s="44" t="inlineStr">
        <is>
          <t>1</t>
        </is>
      </c>
      <c r="J205" s="45" t="inlineStr">
        <is>
          <t>✅ คำตอบที่ถูกต้อง: ข้อ ก. Insulin Lispro มี onset ในการออกฤทธิ์ที่เร็วกว่า NPH และจัดอยู่ใน Rapid acting insulin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Insulin Lispro มี onset ในการออกฤทธิ์ที่เร็วกว่า NPH และจัดอยู่ใน Rapid acting insulin การเลือก Insulin Lispro มี onset ในการออกฤทธิ์ที่เร็วกว่า NPH และจัดอยู่ใน Rapid acting insulin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(NPH นิยมใช้ผสมกับ Regular insulin (RI) เพราะว่า NPH ออกฤทธิ์ได้รวดเร็วและ RI ออกฤทธิ์ได้ ช้ากว่าจึงทำให้สามารถควบคุมระดับน้ำตาลได้นาน): คุณสมบัติทางเภสัชจลนศาสตร์ของ Insulin แต่ละชนิดแตกต่างกัน เช่น Rapid-acting ออกฤทธิ์เร็ว ส่วน NPH มีฤทธิ์ปานกลางและไม่เหมาะใช้แก้ภาวะ DKA
• ข้อ ค. (Insulin Aspart บริหารยาโดยฉีดเข้าใต้ผิวหนังได้ทันทีก่อนมื้ออาหาร): คุณสมบัติทางเภสัชจลนศาสตร์ของ Insulin แต่ละชนิดแตกต่างกัน เช่น Rapid-acting ออกฤทธิ์เร็ว ส่วน NPH มีฤทธิ์ปานกลางและไม่เหมาะใช้แก้ภาวะ DKA
• ข้อ ง. (NPH insulin ไม่ใช้ในการรักษาผู้ป่วย Diabetic ketoacidosis): คุณสมบัติทางเภสัชจลนศาสตร์ของ Insulin แต่ละชนิดแตกต่างกัน เช่น Rapid-acting ออกฤทธิ์เร็ว ส่วน NPH มีฤทธิ์ปานกลางและไม่เหมาะใช้แก้ภาวะ DKA
• ข้อ จ. (ผู้ป่วยชาย ไทยคู่ อายุ 65 ปี 2 เดือน น้ำหนัก 49 kg ส่วนสูง 165 cm ปัจจุบันผู้ป่วยยังสามารถ ช่วยเหลือตนเองได้ PE: V/S Temp 37_x0000_ BP 111/69 mmHg PR 76 bpm RR 20 ครั้ง/นาที CC: Diabetes Mellitus, Hypertension มาพบแพทย์ตามนัด (22/08/2560) HPI: ไม่ขาดยา ไม่มีอาการน้ำตาลต่ำ ไม่มีแผล ไม่เจ็บอก ไม่ชาปลายมือ ปลายเท้า ไม่มีอาการบวม PMH: Diabetes Mellitus, Dyslipidemia Laboratory Test (22/08/2560)):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5" s="46" t="n"/>
      <c r="L205" s="45" t="inlineStr">
        <is>
          <t>Hypertension</t>
        </is>
      </c>
      <c r="M205" s="46" t="inlineStr">
        <is>
          <t>Clinic</t>
        </is>
      </c>
      <c r="N205" s="45" t="inlineStr">
        <is>
          <t>ข้อ 3 (PLE_CC1_Practice_Exam.md)</t>
        </is>
      </c>
      <c r="O205" s="46" t="inlineStr">
        <is>
          <t>Mock</t>
        </is>
      </c>
      <c r="P205" s="46" t="inlineStr">
        <is>
          <t>Mock สภาเภสัชฯ Practice</t>
        </is>
      </c>
    </row>
    <row r="206" ht="409.6" customHeight="1" s="37">
      <c r="A206" s="44" t="n">
        <v>204</v>
      </c>
      <c r="B206" s="45" t="inlineStr">
        <is>
          <t>ผู้ป่วยหญิงไทยคู่ อายุ 45 ปี น้ำหนัก 86 กิโลกรัม สูง 168 ซม. CC: มาพบแพทย์ตามนัด HPI: Chronic kidney disease stage 4 89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Lab: CrCl eGFR 27 mL/min/1.73 mଶ Hba1c 8.5 PMH: Metformin 500 mg 1x2 pc ยาลดน้ำตาลในเลือดที่ผู้ป่วยได้รับมีความเหมาะสมหรือไม่ เพราะเหตุใด</t>
        </is>
      </c>
      <c r="C206" s="46" t="n"/>
      <c r="D206" s="45" t="inlineStr">
        <is>
          <t>ไม่เหมาะสม เนื่องจากขนาดยา Metformin สูงเกินไป</t>
        </is>
      </c>
      <c r="E206" s="45" t="inlineStr">
        <is>
          <t>ไม่เมาะสม เนื่องจากขนาดยา Metformin ต่ำเกินไป</t>
        </is>
      </c>
      <c r="F206" s="45" t="inlineStr">
        <is>
          <t>ไม่เหมาะสม เนื่องจากผู้ป่วยมีค่า eGFR น้อยกว่า 30 mL/min/1.73 mଶ</t>
        </is>
      </c>
      <c r="G206" s="45" t="inlineStr">
        <is>
          <t>เหมาะสม เนื่องจากยานี้ไม่ทำให้เกิด hypoglycemia</t>
        </is>
      </c>
      <c r="H206" s="45" t="inlineStr">
        <is>
          <t>เหมาะสม เนื่องจากผู้ป่วยมีน้ำหนักตัวเกิน</t>
        </is>
      </c>
      <c r="I206" s="44" t="inlineStr">
        <is>
          <t>1</t>
        </is>
      </c>
      <c r="J206" s="45" t="inlineStr">
        <is>
          <t>✅ คำตอบที่ถูกต้อง: ข้อ ก. ไม่เหมาะสม เนื่องจากขนาดยา Metformin สูงเกินไป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ไม่เหมาะสม เนื่องจากขนาดยา Metformin สูงเกินไป การเลือก ไม่เหมาะสม เนื่องจากขนาดยา Metformin สูงเกินไป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(ไม่เมาะสม เนื่องจากขนาดยา Metformin ต่ำเกินไป): Metformin มีกลไกหลักคือยับยั้ง Hepatic glucose production ห้ามใช้ในผู้ป่วยที่มี eGFR &lt; 30 mL/min/1.73m2 เนื่องจากเสี่ยงต่อภาวะ Lactic acidosis
• ข้อ ค. (ไม่เหมาะสม เนื่องจากผู้ป่วยมีค่า eGFR น้อยกว่า 30 mL/min/1.73 mଶ): Metformin มีกลไกหลักคือยับยั้ง Hepatic glucose production ห้ามใช้ในผู้ป่วยที่มี eGFR &lt; 30 mL/min/1.73m2 เนื่องจากเสี่ยงต่อภาวะ Lactic acidosis
• ข้อ ง. (เหมาะสม เนื่องจากยานี้ไม่ทำให้เกิด hypoglycemia):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(เหมาะสม เนื่องจากผู้ป่วยมีน้ำหนักตัวเกิน):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6" s="46" t="n"/>
      <c r="L206" s="45" t="inlineStr">
        <is>
          <t>Hypertension</t>
        </is>
      </c>
      <c r="M206" s="46" t="inlineStr">
        <is>
          <t>Clinic</t>
        </is>
      </c>
      <c r="N206" s="45" t="inlineStr">
        <is>
          <t>ข้อ 8 (PLE_CC1_Practice_Exam.md)</t>
        </is>
      </c>
      <c r="O206" s="46" t="inlineStr">
        <is>
          <t>Mock</t>
        </is>
      </c>
      <c r="P206" s="46" t="inlineStr">
        <is>
          <t>Mock สภาเภสัชฯ Practice</t>
        </is>
      </c>
    </row>
    <row r="207" ht="409.6" customHeight="1" s="37">
      <c r="A207" s="44" t="n">
        <v>205</v>
      </c>
      <c r="B207" s="45" t="inlineStr">
        <is>
          <t>ผู้ป่วยชาย อายุ 63 ปี ไม่สูบบุหรี่และไม่ดื่มสุรา ชอบรับประทานอาหารรสจัดเป็นประจำ ป่วยเป็น โรคเบาหวานมา 5 ปี ร่วมกับเป็นโรคไตมา 2 ปี เข้ามาพบแพทย์ตามนัด มียาที่ใช้เป็นประจำคือ Metformin มาพบแพทย์ด้วยอาการ มึนงง เบื่ออาหาร กล้ามเนื้อเป็นตะคริวบ่อย รู้สึกอ่อนเพลียตลอดเวลาและรู้สึกไม่ สบายเนื้อไม่สบายตัว แพทย์จึงส่งตรวจผลทางห้องปฎิบัติการ พบค่า Estimated GFR น้อยกว่า 15 มล./ นาที/1.73 ม2 จากผลทางห้องปฎิบัติการดังกล่าวแพทย์ควรเปลี่ยนยารักษาเบาหวานที่ผู้ป่วยใช้อยู่หรือไม่ ถ้า เปลี่ยนควรใช้ยาใด</t>
        </is>
      </c>
      <c r="C207" s="46" t="n"/>
      <c r="D207" s="45" t="inlineStr">
        <is>
          <t>ไม่ควรเปลี่ยนยา เนื่องจากยาเดิมมีประสิทธิภาพดีอยู่แล้ว</t>
        </is>
      </c>
      <c r="E207" s="45" t="inlineStr">
        <is>
          <t>ควรเปลี่ยนยา โดยใช้ยา Glibenclamide แทน</t>
        </is>
      </c>
      <c r="F207" s="45" t="inlineStr">
        <is>
          <t>ควรเปลี่ยนยา โดยใช้ยา Acarbose แทน</t>
        </is>
      </c>
      <c r="G207" s="45" t="inlineStr">
        <is>
          <t>ควรปลี่ยนยา โดยใช้ยา Repaglinide แทน</t>
        </is>
      </c>
      <c r="H207" s="45" t="inlineStr">
        <is>
          <t>มีข้อถูกมากกว่า1ข้อ</t>
        </is>
      </c>
      <c r="I207" s="44" t="inlineStr">
        <is>
          <t>1</t>
        </is>
      </c>
      <c r="J207" s="45" t="inlineStr">
        <is>
          <t>✅ คำตอบที่ถูกต้อง: ข้อ ก. ไม่ควรเปลี่ยนยา เนื่องจากยาเดิมมีประสิทธิภาพดีอยู่แล้ว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ไม่ควรเปลี่ยนยา เนื่องจากยาเดิมมีประสิทธิภาพดีอยู่แล้ว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การเลือก ไม่ควรเปลี่ยนยา เนื่องจากยาเดิมมี efficacy ดีอยู่แล้ว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(ควรเปลี่ยนยา โดยใช้ยา Glibenclamide แทน): ยากลุ่ม Sulfonylureas เช่น Glibenclamide กระตุ้นการหลั่งอินซูลินจากเบต้าเซลล์ของตับอ่อน เพิ่มความเสี่ยงของภาวะน้ำตาลในเลือดต่ำ
• ข้อ ค. (ควรเปลี่ยนยา โดยใช้ยา Acarbose แทน): Angiotensin II receptor blockers ปิดกั้นการทำงานของ Angiotensin II ที่ AT1 receptor ไม่มีผลยับยั้งเอนไซม์ ACE จึงไม่ทำให้เกิดอาการไอแห้ง
• ข้อ ง. (ควรปลี่ยนยา โดยใช้ยา Repaglinide แทน): Repaglinide เป็นยากลุ่ม Meglitinides ออกฤทธิ์กระตุ้นการหลั่งอินซูลินในช่วงสั้นๆ (Short-acting secretagogue) สามารถนำมาใช้ในผู้ป่วยโรคไตเรื้อรังได้
• ข้อ จ. (มีข้อถูกมากกว่า1ข้อ):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7" s="46" t="n"/>
      <c r="L207" s="45" t="inlineStr">
        <is>
          <t>Hypertension</t>
        </is>
      </c>
      <c r="M207" s="46" t="inlineStr">
        <is>
          <t>Clinic</t>
        </is>
      </c>
      <c r="N207" s="45" t="inlineStr">
        <is>
          <t>ข้อ 15 (PLE_CC1_Practice_Exam.md)</t>
        </is>
      </c>
      <c r="O207" s="46" t="inlineStr">
        <is>
          <t>Mock</t>
        </is>
      </c>
      <c r="P207" s="46" t="inlineStr">
        <is>
          <t>Mock สภาเภสัชฯ Practice</t>
        </is>
      </c>
    </row>
    <row r="208" ht="409.6" customHeight="1" s="37">
      <c r="A208" s="44" t="n">
        <v>206</v>
      </c>
      <c r="B208" s="45" t="inlineStr">
        <is>
          <t>โรคใดต่อไปนี้มีโอกาสทำให้เกิดโรคอ้วน จากกรณีศึกษา ตอบข้อ 33-40 กรณีศึกษา : ผู้ป่วยหญิงไทยคู่ อายุ 30 ปี น้ำหนัก 68 กิโลกรัม ส่วนสูง 154 เซนติเมตร รอบเอว 39 นิ้ว มีโรค ประจำตัวเป็นความดันโลหิตสูง และมีภาวะ Anxiety เพราะโดนเพื่อนร่วมงานล้อเรื่องรูปร่างอยู่บ่อยครั้ง ผู้ป่วย รู้สึกวิตกกังวลมากจึงพยายามลดน้ำหนัก โดยก่อนหน้านี้พยายามลดน้ำหนักโดยการควบคุมอาหารและออกกำลัง กายหลายครั้งแล้วแต่ลดน้ำหนักไม่สำเร็จ</t>
        </is>
      </c>
      <c r="C208" s="46" t="n"/>
      <c r="D208" s="45" t="inlineStr">
        <is>
          <t>Prader-Willi Syndrome</t>
        </is>
      </c>
      <c r="E208" s="45" t="inlineStr">
        <is>
          <t>Cushing's syndrome</t>
        </is>
      </c>
      <c r="F208" s="45" t="inlineStr">
        <is>
          <t>Hyperthyroidism</t>
        </is>
      </c>
      <c r="G208" s="45" t="inlineStr">
        <is>
          <t>ข้อ ก และ ข</t>
        </is>
      </c>
      <c r="H208" s="45" t="inlineStr">
        <is>
          <t>ถูกทุกข้อ</t>
        </is>
      </c>
      <c r="I208" s="44" t="inlineStr">
        <is>
          <t>1</t>
        </is>
      </c>
      <c r="J208" s="45" t="inlineStr">
        <is>
          <t>✅ คำตอบที่ถูกต้อง: ข้อ ก. Prader-Willi Syndrome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Prader-Willi Syndrome การเลือก Prader-Willi Syndrome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(Cushing's syndrome): Cushing's syndrome และ Prader-Willi syndrome สามารถทำให้เกิดความอ้วนได้ ขณะที่ Hyperthyroidism มักทำให้มีอัตราการเผาผลาญสูงและน้ำหนักลดลง
• ข้อ ค. (Hyperthyroidism): Cushing's syndrome และ Prader-Willi syndrome สามารถทำให้เกิดความอ้วนได้ ขณะที่ Hyperthyroidism มักทำให้มีอัตราการเผาผลาญสูงและน้ำหนักลดลง
• ข้อ ง. (ข้อ ก และ ข):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(ถูกทุกข้อ):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8" s="46" t="n"/>
      <c r="L208" s="45" t="inlineStr">
        <is>
          <t>Hypertension</t>
        </is>
      </c>
      <c r="M208" s="46" t="inlineStr">
        <is>
          <t>Clinic</t>
        </is>
      </c>
      <c r="N208" s="45" t="inlineStr">
        <is>
          <t>ข้อ 33 (PLE_CC1_Practice_Exam.md)</t>
        </is>
      </c>
      <c r="O208" s="46" t="inlineStr">
        <is>
          <t>Mock</t>
        </is>
      </c>
      <c r="P208" s="46" t="inlineStr">
        <is>
          <t>Mock สภาเภสัชฯ Practice</t>
        </is>
      </c>
    </row>
    <row r="209" ht="409.6" customHeight="1" s="37">
      <c r="A209" s="44" t="n">
        <v>207</v>
      </c>
      <c r="B209" s="45" t="inlineStr">
        <is>
          <t>ผู้ป่วยสูงอายุ มีอาการปวดข้อ เคยมีประวัติเป็นโรคหัวใจและหลอดเลือด ยาใดเหมาะสมแก่ผู้ป่วยรายนี้ หากใช้พาราเซตามอลแล้วไม่ได้ผล</t>
        </is>
      </c>
      <c r="C209" s="46" t="n"/>
      <c r="D209" s="45" t="inlineStr">
        <is>
          <t>Tramadol</t>
        </is>
      </c>
      <c r="E209" s="45" t="inlineStr">
        <is>
          <t>Piroxicam</t>
        </is>
      </c>
      <c r="F209" s="45" t="inlineStr">
        <is>
          <t>Etoricoxib</t>
        </is>
      </c>
      <c r="G209" s="45" t="inlineStr">
        <is>
          <t>Ibuprofen</t>
        </is>
      </c>
      <c r="H209" s="45" t="inlineStr">
        <is>
          <t>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t>
        </is>
      </c>
      <c r="I209" s="44" t="inlineStr">
        <is>
          <t>1</t>
        </is>
      </c>
      <c r="J209" s="45" t="inlineStr">
        <is>
          <t>✅ คำตอบที่ถูกต้อง: ข้อ ก. Tramadol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(Etoricoxib): เป็น selective COX-2 inhibitor ออกฤทธิ์เร็วและยาวนาน (OD) แต่มี contraindication ในผู้ป่วย uncontrolled hypertension (BP &gt; 140/90 mmHg)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เป็น non-selective NSAID ที่มี cardiovascular safety profile ดีที่สุด และมี efficacy สูงในการระงับ acute inflammation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09" s="46" t="n"/>
      <c r="L209" s="45" t="inlineStr">
        <is>
          <t>Hypertension</t>
        </is>
      </c>
      <c r="M209" s="46" t="inlineStr">
        <is>
          <t>Clinic</t>
        </is>
      </c>
      <c r="N209" s="45" t="inlineStr">
        <is>
          <t>ข้อ 39 (PLE_CC1_Practice_Exam.md)</t>
        </is>
      </c>
      <c r="O209" s="46" t="inlineStr">
        <is>
          <t>Mock</t>
        </is>
      </c>
      <c r="P209" s="46" t="inlineStr">
        <is>
          <t>Mock สภาเภสัชฯ Practice</t>
        </is>
      </c>
    </row>
    <row r="210" ht="409.6" customHeight="1" s="37">
      <c r="A210" s="44" t="n">
        <v>208</v>
      </c>
      <c r="B210" s="45" t="inlineStr">
        <is>
          <t>ในทางคลินิก ไม่นิยมใช้ Aspirin เพื่อลดไข้ในเด็กที่ติดเชื้อไวรัสเพราะอาจทำให้เกิดความผิดปกติในข้อใด</t>
        </is>
      </c>
      <c r="C210" s="46" t="n"/>
      <c r="D210" s="45" t="inlineStr">
        <is>
          <t>Airway hypersensitivity</t>
        </is>
      </c>
      <c r="E210" s="45" t="inlineStr">
        <is>
          <t>Angioedema</t>
        </is>
      </c>
      <c r="F210" s="45" t="inlineStr">
        <is>
          <t>GI bleeding</t>
        </is>
      </c>
      <c r="G210" s="45" t="inlineStr">
        <is>
          <t>Reye’s syndrome</t>
        </is>
      </c>
      <c r="H210" s="45" t="inlineStr">
        <is>
          <t>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t>
        </is>
      </c>
      <c r="I210" s="44" t="inlineStr">
        <is>
          <t>3</t>
        </is>
      </c>
      <c r="J210" s="45" t="inlineStr">
        <is>
          <t>✅ คำตอบที่ถูกต้อง: ข้อ ค. GI bleeding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GI bleeding Verapamil ที่เป็น CYP3A4 Inhibitor ทำให้ระดับของ Colchicine เพิ่มสูงขึ้นดังนั้นจึงควรแก้ไขกรณีดังกล่าว กระดูกพรุน (Osteoporosis) เนื่องจากผู้ป่วยเป็นผู้หญิงอายุ 60 ปี ซึ่งเป็นหญิงที่หมดประจำเดือนแล้วและยัง ของ Calcium ที่กระดูกทำให้ยับยั้งการเกิด secondary hyperparathyroidism ซึ่งมักจะเกิดขึ้น เมื่อร่างกาย
🔍 ข้ออื่นผิดเพราะอะไร:
• ข้อ ก. (Airway hypersensitivity):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ข. (Angioedema):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(Reye’s syndrome):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จ. (Tinnitus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0" s="46" t="n"/>
      <c r="L210" s="45" t="inlineStr">
        <is>
          <t>Hypertension</t>
        </is>
      </c>
      <c r="M210" s="46" t="inlineStr">
        <is>
          <t>Clinic</t>
        </is>
      </c>
      <c r="N210" s="45" t="inlineStr">
        <is>
          <t>ข้อ 40 (PLE_CC1_Practice_Exam.md)</t>
        </is>
      </c>
      <c r="O210" s="46" t="inlineStr">
        <is>
          <t>Mock</t>
        </is>
      </c>
      <c r="P210" s="46" t="inlineStr">
        <is>
          <t>Mock สภาเภสัชฯ Practice</t>
        </is>
      </c>
    </row>
    <row r="211" ht="409.6" customHeight="1" s="37">
      <c r="A211" s="44" t="n">
        <v>209</v>
      </c>
      <c r="B211" s="45" t="inlineStr">
        <is>
          <t>จากโครงสร้างของยาCelecoxib มีโอกาสทำให้เกิดการเเพ้ sulfonamides cross hypersensitivity หรือไม่ เเละหากเกิดการเเพ้ดังกล่าวได้ ตำเเหน่งใด ทำให้เกิดการเเพ้</t>
        </is>
      </c>
      <c r="C211" s="46" t="n"/>
      <c r="D211" s="45" t="inlineStr">
        <is>
          <t>เกิดการเเพ้ได้ ทั้งตำเเหน่งที่1เเละ ตำเเหน่งที่ 2</t>
        </is>
      </c>
      <c r="E211" s="45" t="inlineStr">
        <is>
          <t>เกิดการเเพ้ได้ที่ตำเเหน่งที่1เท่านั้น</t>
        </is>
      </c>
      <c r="F211" s="45" t="inlineStr">
        <is>
          <t>เกิดการเเพ้ได้ที่ตำเเหน่งที่2เท่านั้น</t>
        </is>
      </c>
      <c r="G211" s="45" t="inlineStr">
        <is>
          <t>เกิดการเเพ้ ที่ตำเเน่งที่ 1 เเละตำเเหน่งที่3เท่านั้น</t>
        </is>
      </c>
      <c r="H211" s="45" t="inlineStr">
        <is>
          <t>ไม่เกิดการเเพ้เเบบ sulfonamide cross hypersensitivity ที่ตำเเหน่งใดเลย</t>
        </is>
      </c>
      <c r="I211" s="44" t="inlineStr">
        <is>
          <t>1</t>
        </is>
      </c>
      <c r="J211" s="45" t="inlineStr">
        <is>
          <t>✅ คำตอบที่ถูกต้อง: ข้อ ก. เกิดการเเพ้ได้ ทั้งตำเเหน่งที่1เเละ ตำเเหน่งที่ 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เกิดการเเพ้ได้ ทั้งตำเเหน่งที่1เเละ ตำเเหน่งที่ 2 การเลือก เกิดการเเพ้ได้ ทั้งตำเเหน่งที่1เเละ ตำเเหน่งที่ 2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(เกิดการเเพ้ได้ที่ตำเเหน่งที่1เท่านั้น): ยา Celecoxib มีโครงสร้าง sulfonamide ที่ตำแหน่ง aryl sulfonamide ทำให้เกิดการแพ้ข้ามกลุ่มได้ แต่ตำแหน่งอื่นไม่ใช่สาเหตุหลักของการเกิด hypersensitivity
• ข้อ ค. (เกิดการเเพ้ได้ที่ตำเเหน่งที่2เท่านั้น): ตำแหน่งที่ 2 ไม่ใช่ตำแหน่งของ sulfonamide moiety ที่เป็นตัวกระตุ้นให้เกิด IgE-mediated cross-reactivity กับยากลุ่ม sulfonamides ชนิดอื่น
• ข้อ ง. (เกิดการเเพ้ ที่ตำเเน่งที่ 1 เเละตำเเหน่งที่3เท่านั้น): การแพ้ sulfonamide cross hypersensitivity เกิดจากโครงสร้าง SO2NH2 อย่างจำเพาะเจาะจง การระบุตำแหน่งอื่นจึงไม่ถูกต้องตามหลักโครงสร้าง-ฤทธิ์
• ข้อ จ. (ไม่เกิดการเเพ้เเบบ sulfonamide cross hypersensitivity ที่ตำเเหน่งใดเลย): ยา Celecoxib มีโครงสร้าง arylsulfonamide อย่างชัดเจน จึงมีโอกาสเกิด cross-reactivity ในผู้ป่วยที่มีประวัติแพ้ยากลุ่ม sulfonamide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211" s="46" t="n"/>
      <c r="L211" s="45" t="inlineStr">
        <is>
          <t>Hypertension</t>
        </is>
      </c>
      <c r="M211" s="46" t="inlineStr">
        <is>
          <t>Clinic</t>
        </is>
      </c>
      <c r="N211" s="45" t="inlineStr">
        <is>
          <t>ข้อ 25 (PLE_CC1_Practice_Exam.md)</t>
        </is>
      </c>
      <c r="O211" s="46" t="inlineStr">
        <is>
          <t>Mock</t>
        </is>
      </c>
      <c r="P211" s="46" t="inlineStr">
        <is>
          <t>Mock สภาเภสัชฯ Practice</t>
        </is>
      </c>
    </row>
    <row r="212" ht="409.6" customHeight="1" s="37">
      <c r="A212" s="44" t="n">
        <v>210</v>
      </c>
      <c r="B212" s="45" t="inlineStr">
        <is>
          <t>โรคทางระบบเลือด โดย ฝ่ายวิชาการ คณะกรรมการนักศึกษาเภสัชศาสตร์ รุ่นที่ 22 มหาวิทยาลัยหัวเฉียวเฉลิมพระเกียรติ กรณีศึกษาที่ 1 ชายไทยอายุ 30 ปี น้ำหนักตัว 65 kg สูง 170 cm CC: มีอาการซีด เหนื่อยล้าและอ่อนเพลียจึงมาพบแทย์ PMH: hypertension, dyslipidemia SH: ปฏิเสธการสูบบุหรี่ ดื่มเหล้าเป็นบางครั้งบางคราว V/S: BP 155/90 HR 75 RR 28 Temp 37C Lab: Hgb 9 g/dL Scr 2.5 mg/dL Hct 12% Ferritin 50 ng/mL HCO3- 15 mEq/L TSAT 12% EPO 1 mIU/mL RBC count 2.2x106/าL Na+ 130 mEq/L Cl- 100 mEq/L K+ 5.0 mEq/L MCV 70 ข้อมูลข้างต้นใช้ตอบคำถามข้อ 1 – 10</t>
        </is>
      </c>
      <c r="C212" s="46" t="n"/>
      <c r="D212" s="45" t="inlineStr">
        <is>
          <t>ข้อใดไม่ใช่ปัญหาของผู้ป่วยรายนี้</t>
        </is>
      </c>
      <c r="E212" s="45" t="inlineStr">
        <is>
          <t>Uncontrolled hypertension</t>
        </is>
      </c>
      <c r="F212" s="45" t="inlineStr">
        <is>
          <t>Anemia</t>
        </is>
      </c>
      <c r="G212" s="45" t="inlineStr">
        <is>
          <t>Acidosis</t>
        </is>
      </c>
      <c r="H212" s="45" t="inlineStr">
        <is>
          <t>Hyperkalemia</t>
        </is>
      </c>
      <c r="I212" s="44" t="inlineStr">
        <is>
          <t>1</t>
        </is>
      </c>
      <c r="J212" s="45" t="inlineStr">
        <is>
          <t>✅ คำตอบที่ถูกต้อง: ข้อ ก. ข้อใดไม่ใช่ปัญหาของผู้ป่วยรายนี้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ข้อใดไม่ใช่ปัญหาของผู้ป่วยรายนี้ การเลือก ข้อใดไม่ใช่ปัญหาของผู้ป่วยรายนี้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(Uncontrolled hypertension): ผู้ป่วยมีความดันโลหิต 155/90 mmHg ซึ่งสูงกว่าเป้าหมายการรักษา ถือว่าเป็น Uncontrolled hypertension
• ข้อ ค. (Anemia): ผู้ป่วยมีภาวะ Anemia ชัดเจนจากค่า Hgb 9 g/dL และ Hct 12% ซึ่งต่ำกว่าเกณฑ์ปกติ
• ข้อ ง. (Acidosis): ค่า HCO3- 15 mEq/L บ่งชี้ถึงภาวะ Metabolic acidosis ซึ่งเป็นปัญหาแทรกซ้อนในผู้ป่วยโรคไตเรื้อรัง
• ข้อ จ. (Hyperkalemia): ค่า K+ 5.0 mEq/L ยังอยู่ในช่วงปกติ (3.5-5.0 mEq/L) จึงยังไม่ถือว่าเป็นปัญหา Hyperkalemia ที่ต้องได้รับการรักษาเร่งด่วน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2" s="46" t="n"/>
      <c r="L212" s="45" t="inlineStr">
        <is>
          <t>Hypertension</t>
        </is>
      </c>
      <c r="M212" s="46" t="inlineStr">
        <is>
          <t>Clinic</t>
        </is>
      </c>
      <c r="N212" s="45" t="inlineStr">
        <is>
          <t>ข้อ 12 (PLE_CC1_Practice_Exam.md)</t>
        </is>
      </c>
      <c r="O212" s="46" t="inlineStr">
        <is>
          <t>Mock</t>
        </is>
      </c>
      <c r="P212" s="46" t="inlineStr">
        <is>
          <t>Mock สภาเภสัชฯ Practice</t>
        </is>
      </c>
    </row>
    <row r="213" ht="409.6" customHeight="1" s="37">
      <c r="A213" s="44" t="n">
        <v>211</v>
      </c>
      <c r="B213" s="45" t="inlineStr">
        <is>
          <t>เภสัชภัณฑ์รูปแบบกึ่งแข็ง (Semisolid dosage form) โดยฝ่ายวิชาการและนิสิตชั้นป๊ที่ 4 สโมสรนิสิตคณะเภสัชศาสตร์ มหาวิทยาลัพะเยา ป๊การศึกษา 2560</t>
        </is>
      </c>
      <c r="C213" s="46" t="n"/>
      <c r="D213" s="45" t="inlineStr">
        <is>
          <t>ลักษณะความไม่คงสภาพที่พบส่วนใหญ่ของยาขี้ผึ้ง ยกเว้นข้อใด</t>
        </is>
      </c>
      <c r="E213" s="45" t="inlineStr">
        <is>
          <t>น้ำหนักลดลง</t>
        </is>
      </c>
      <c r="F213" s="45" t="inlineStr">
        <is>
          <t>มีการเปลี่ยนแปลงของสีและกลิ่น</t>
        </is>
      </c>
      <c r="G213" s="45" t="inlineStr">
        <is>
          <t>ความข้นหนืดเปลี่ยนไป</t>
        </is>
      </c>
      <c r="H213" s="45" t="inlineStr">
        <is>
          <t>มีน้ำมันออกมาจากยาขี้ผึ้ง</t>
        </is>
      </c>
      <c r="I213" s="44" t="inlineStr">
        <is>
          <t>1</t>
        </is>
      </c>
      <c r="J213" s="45" t="inlineStr">
        <is>
          <t>✅ คำตอบที่ถูกต้อง: ข้อ ก. ลักษณะความไม่คงสภาพที่พบส่วนใหญ่ของยาขี้ผึ้ง ยกเว้นข้อใด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ลักษณะความไม่คงสภาพที่พบส่วนใหญ่ของยาขี้ผึ้ง ยกเว้นข้อใด การเลือก ลักษณะความไม่คงสภาพที่พบส่วนใหญ่ของยาขี้ผึ้ง ยกเว้นข้อใด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(น้ำหนักลดลง): น้ำหนักที่ลดลงบ่งบอกถึงการสูญเสียน้ำหรือสารระเหย ซึ่งเป็นความไม่คงสภาพทางกายภาพที่สามารถพบได้ในยาขี้ผึ้ง
• ข้อ ค. (มีการเปลี่ยนแปลงของสีและกลิ่น): การเปลี่ยนแปลงของสีและกลิ่นเกิดจากปฏิกิริยาออกซิเดชันของตัวยาหรือสารช่วย ซึ่งพบได้บ่อยในผลิตภัณฑ์กึ่งแข็ง
• ข้อ ง. (ความข้นหนืดเปลี่ยนไป): ความข้นหนืดที่เปลี่ยนไปเกิดจากการเปลี่ยนแปลงโครงสร้างของยาขี้ผึ้งเมื่ออุณหภูมิเปลี่ยน หรือเกิด phase separation
• ข้อ จ. (มีน้ำมันออกมาจากยาขี้ผึ้ง): มีน้ำมันออกมาจากยาขี้ผึ้ง หรือภาวะ bleeding เป็นลักษณะความไม่คงสภาพทางกายภาพที่สำคัญและพบได้บ่อยใน emulsion หรือ ointment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3" s="46" t="n"/>
      <c r="L213" s="45" t="inlineStr">
        <is>
          <t>Hypertension</t>
        </is>
      </c>
      <c r="M213" s="46" t="inlineStr">
        <is>
          <t>Clinic</t>
        </is>
      </c>
      <c r="N213" s="45" t="inlineStr">
        <is>
          <t>ข้อ 15 (PLE_CC1_Practice_Exam.md)</t>
        </is>
      </c>
      <c r="O213" s="46" t="inlineStr">
        <is>
          <t>Mock</t>
        </is>
      </c>
      <c r="P213" s="46" t="inlineStr">
        <is>
          <t>Mock สภาเภสัชฯ Practice</t>
        </is>
      </c>
    </row>
    <row r="214" ht="409.6" customHeight="1" s="37">
      <c r="A214" s="44" t="n">
        <v>212</v>
      </c>
      <c r="B214" s="45" t="inlineStr">
        <is>
          <t>ยา Metformin และ Pioglitazone จัดเป็นยาประเภทใด ก ยาแผนปัจจุบันบรรจุเสร็จที่ไม่ใช่ยาอันตรายหรือยาควบคุมพิเศษทั้งคู่</t>
        </is>
      </c>
      <c r="C214" s="46" t="n"/>
      <c r="D214" s="45" t="inlineStr">
        <is>
          <t>ยาอันตรายทั้งคู่</t>
        </is>
      </c>
      <c r="E214" s="45" t="inlineStr">
        <is>
          <t>ยาควบคุมพิเศษทั้งคู่</t>
        </is>
      </c>
      <c r="F214" s="45" t="inlineStr">
        <is>
          <t>Metformin เป็นยาอันตราย Pioglitazone เป็นยาควบคุมพิเศษ</t>
        </is>
      </c>
      <c r="G214" s="45" t="inlineStr">
        <is>
          <t>Metformin เป็นยาควบคุมพิเศษ Pioglitazone เป็นยาอันตราย</t>
        </is>
      </c>
      <c r="H214" s="45" t="inlineStr">
        <is>
          <t>Spironolactone 25 mg OD</t>
        </is>
      </c>
      <c r="I214" s="44" t="inlineStr">
        <is>
          <t>1</t>
        </is>
      </c>
      <c r="J214" s="45" t="inlineStr">
        <is>
          <t>✅ คำตอบที่ถูกต้อง: ข้อ ก. ยาอันตรายทั้งคู่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ยาอันตรายทั้งคู่ การเลือก ยาอันตรายทั้งคู่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(ยาควบคุมพิเศษทั้งคู่):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(Metformin เป็นยาอันตราย Pioglitazone เป็นยาควบคุมพิเศษ):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เป็นยาควบคุมพิเศษ Pioglitazone เป็นยาอันตราย):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4" s="46" t="n"/>
      <c r="L214" s="45" t="inlineStr">
        <is>
          <t>Hypertension</t>
        </is>
      </c>
      <c r="M214" s="46" t="inlineStr">
        <is>
          <t>Clinic</t>
        </is>
      </c>
      <c r="N214" s="45" t="inlineStr">
        <is>
          <t>ข้อ 18 (PLE_CC1_Practice_Exam.md)</t>
        </is>
      </c>
      <c r="O214" s="46" t="inlineStr">
        <is>
          <t>Mock</t>
        </is>
      </c>
      <c r="P214" s="46" t="inlineStr">
        <is>
          <t>Mock สภาเภสัชฯ Practice</t>
        </is>
      </c>
    </row>
    <row r="215" ht="409.6" customHeight="1" s="37">
      <c r="A215" s="44" t="n">
        <v>213</v>
      </c>
      <c r="B215" s="45" t="inlineStr">
        <is>
          <t>Midazolam ที่ปริมาณยาเกินกว่าช่วงที่กำหนด 15% จัดเป็นยาประเภทใด</t>
        </is>
      </c>
      <c r="C215" s="46" t="n"/>
      <c r="D215" s="45" t="inlineStr">
        <is>
          <t>ยาปลอม</t>
        </is>
      </c>
      <c r="E215" s="45" t="inlineStr">
        <is>
          <t>ยาผิดมาตรฐาน</t>
        </is>
      </c>
      <c r="F215" s="45" t="inlineStr">
        <is>
          <t>ยาเสื่อมคุณภาพ</t>
        </is>
      </c>
      <c r="G215" s="45" t="inlineStr">
        <is>
          <t>ยายกเลิกทะเบียน</t>
        </is>
      </c>
      <c r="H215" s="45" t="inlineStr">
        <is>
          <t>ยาที่ไม่ได้ขึ้นทะเบียนตำรับยา</t>
        </is>
      </c>
      <c r="I215" s="44" t="inlineStr">
        <is>
          <t>1</t>
        </is>
      </c>
      <c r="J215" s="45" t="inlineStr">
        <is>
          <t>✅ คำตอบที่ถูกต้อง: ข้อ ก. ยาปลอม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ยาปลอม การเลือก ยาปลอม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(ยาผิดมาตรฐาน): ยาผิดมาตรฐานคือยาที่มีปริมาณสารสำคัญขาดหรือเกินร้อยละ 10-20 แต่ถ้าปริมาณยาผิดไปจากที่ขึ้นทะเบียนไว้ถือเป็นยาปลอม
• ข้อ ค. (ยาเสื่อมคุณภาพ): ยาเสื่อมคุณภาพคือยาที่หมดอายุหรือแปรสภาพจนลักษณะทางกายภาพหรือเคมีเปลี่ยนไป ไม่ใช่ยาที่มีปริมาณสารสำคัญเกินตั้งแต่แรกผลิต
• ข้อ ง. (ยายกเลิกทะเบียน): ยายกเลิกทะเบียนคือยาที่ถูกเพิกถอนทะเบียนตำรับเนื่องจากพบอันตรายหรือไม่ได้ผลตามที่ระบุไว้ ไม่เกี่ยวกับการมีปริมาณยาเกิน
• ข้อ จ. (ยาที่ไม่ได้ขึ้นทะเบียนตำรับยา): ยาที่ไม่ได้ขึ้นทะเบียนตำรับยาคือยาเถื่อนที่ไม่มีเลขทะเบียน ซึ่งไม่ครอบคลุมกรณีที่มีทะเบียนแต่ผลิตผิดสัดส่วน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5" s="46" t="n"/>
      <c r="L215" s="45" t="inlineStr">
        <is>
          <t>Hypertension</t>
        </is>
      </c>
      <c r="M215" s="46" t="inlineStr">
        <is>
          <t>Clinic</t>
        </is>
      </c>
      <c r="N215" s="45" t="inlineStr">
        <is>
          <t>ข้อ 34 (PLE_CC1_Practice_Exam.md)</t>
        </is>
      </c>
      <c r="O215" s="46" t="inlineStr">
        <is>
          <t>Mock</t>
        </is>
      </c>
      <c r="P215" s="46" t="inlineStr">
        <is>
          <t>Mock สภาเภสัชฯ Practice</t>
        </is>
      </c>
    </row>
    <row r="216" ht="409.6" customHeight="1" s="37">
      <c r="A216" s="44" t="n">
        <v>214</v>
      </c>
      <c r="B216" s="45" t="inlineStr">
        <is>
          <t>การวิจัยเชิงทดลองเปรียบเทียบอุบัติการณ์เกิดอาการอันไม่พึงประสงค์จากการใช้ยาลดความดันโลหิต ในผู้ป่วยโรคความดันโลหิตสูงจำนวน 3 กลุ่ม ได้ผลดังตาราง Percent of patient in controlled study ยาA ( n= 1456) incidence ยาA/ยาB (n=768) incidence Placebo ( n= 215) incidence Dizziness</t>
        </is>
      </c>
      <c r="C216" s="46" t="n"/>
      <c r="D216" s="45" t="inlineStr">
        <is>
          <t>4 9.5</t>
        </is>
      </c>
      <c r="E216" s="45" t="inlineStr">
        <is>
          <t>9 Cough</t>
        </is>
      </c>
      <c r="F216" s="45" t="inlineStr">
        <is>
          <t>Empagliflozin 10 mg OD</t>
        </is>
      </c>
      <c r="G216" s="45" t="inlineStr">
        <is>
          <t>Diltiazem 30 mg TID</t>
        </is>
      </c>
      <c r="H216" s="45" t="inlineStr">
        <is>
          <t>0 ควรใช้สถิติใดสำหรับการวิเคราะห์ดังกล่าว</t>
        </is>
      </c>
      <c r="I216" s="44" t="inlineStr">
        <is>
          <t>1</t>
        </is>
      </c>
      <c r="J216" s="45" t="inlineStr">
        <is>
          <t>✅ คำตอบที่ถูกต้อง: ข้อ ก. 4 9.5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 9.5 การเลือก 4 9.5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(9 Cough): Cough เป็นอาการข้างเคียงที่พบได้บ่อยจากยากลุ่ม ACE inhibitors แต่การวิเคราะห์สถิติเปรียบเทียบอุบัติการณ์ต้องใช้สถิติที่เหมาะสม ไม่ใช่การระบุอาการ
• ข้อ ค. (Empagliflozin 10 mg OD): Empagliflozin เป็นยา SGLT2 inhibitor มีผลลดน้ำตาลและลดความเสี่ยงทางหัวใจและหลอดเลือด ไม่ใช่สถิติสำหรับการวิเคราะห์ข้อมูลในตาราง
• ข้อ ง. (Diltiazem 30 mg TID): Diltiazem เป็น non-dihydropyridine CCB ใช้ลดอัตราการเต้นของหัวใจและลดความดัน แต่ไม่เกี่ยวข้องกับการเลือกใช้สถิติวิเคราะห์
• ข้อ จ. (0 ควรใช้สถิติใดสำหรับการวิเคราะห์ดังกล่าว): 0 เป็นเพียงตัวเลข ไม่ใช่ชื่อการทดสอบทางสถิติ การเปรียบเทียบข้อมูลเชิงกลุ่มควรใช้ Chi-square หรือ Fisher exact test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6" s="46" t="n"/>
      <c r="L216" s="45" t="inlineStr">
        <is>
          <t>Hypertension</t>
        </is>
      </c>
      <c r="M216" s="46" t="inlineStr">
        <is>
          <t>Clinic</t>
        </is>
      </c>
      <c r="N216" s="45" t="inlineStr">
        <is>
          <t>ข้อ 17 (PLE_CC1_Practice_Exam.md)</t>
        </is>
      </c>
      <c r="O216" s="46" t="inlineStr">
        <is>
          <t>Mock</t>
        </is>
      </c>
      <c r="P216" s="46" t="inlineStr">
        <is>
          <t>Mock สภาเภสัชฯ Practice</t>
        </is>
      </c>
    </row>
    <row r="217" ht="409.6" customHeight="1" s="37">
      <c r="A217" s="44" t="n">
        <v>215</v>
      </c>
      <c r="B217" s="45" t="inlineStr">
        <is>
          <t>ยาตัวใดที่ใช้ร่วมกับ simvastatin แล้วทำให้เกิด rhabdomyolysis มากที่สุด</t>
        </is>
      </c>
      <c r="C217" s="46" t="n"/>
      <c r="D217" s="45" t="inlineStr">
        <is>
          <t>Fenofibrate</t>
        </is>
      </c>
      <c r="E217" s="45" t="inlineStr">
        <is>
          <t>Rifampin</t>
        </is>
      </c>
      <c r="F217" s="45" t="inlineStr">
        <is>
          <t>Gemfibrozil</t>
        </is>
      </c>
      <c r="G217" s="45" t="inlineStr">
        <is>
          <t>Captopril</t>
        </is>
      </c>
      <c r="H217" s="45" t="inlineStr">
        <is>
          <t>Ezetimibe</t>
        </is>
      </c>
      <c r="I217" s="44" t="inlineStr">
        <is>
          <t>1</t>
        </is>
      </c>
      <c r="J217" s="45" t="inlineStr">
        <is>
          <t>✅ คำตอบที่ถูกต้อง: ข้อ ก. Fenofibrate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Fenofibrate การเลือก Fenofibrate เป็นคำตอบที่ถูกต้องตามแนวทางการรักษามาตรฐาน เนื่องจาก เป็น PPAR-alpha agonist ลดระดับ Triglycerides เด่นชัด (30-50%) และปลอดภัยเมื่อใช้ร่วมกับ statin มากกว่า gemfibrozil (เสี่ยง rhabdomyolysis ต่ำกว่า)
🔍 ข้ออื่นผิดเพราะอะไร:
• ข้อ ข. (Rifampin): Rifampin เป็น CYP3A4 inducer ซึ่งจะลดระดับยา simvastatin ในเลือด ทำให้ประสิทธิภาพลดลง ไม่ใช่เพิ่มความเสี่ยง rhabdomyolysis
• ข้อ ค. (Gemfibrozil): Gemfibrozil ยับยั้ง OATP1B1 และ glucuronidation ของ simvastatin ทำให้ระดับยาสูงขึ้นมาก เพิ่มความเสี่ยง rhabdomyolysis สูงสุด
• ข้อ ง. (Captopril): Captopril เป็นยา ACE inhibitor กลไกการขับออกไม่ได้รบกวน CYP3A4 จึงไม่เพิ่มความเสี่ยงในการเกิด rhabdomyolysis เมื่อใช้ร่วมกับ statin
• ข้อ จ. (Ezetimibe): Ezetimibe ยับยั้งการดูดซึมคอเลสเตอรอลที่ลำไส้ เมื่อใช้ร่วมกับ simvastatin อาจเพิ่มความเสี่ยงกล้ามเนื้ออักเสบเล็กน้อย แต่ไม่มากเท่า Gemfibrozil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7" s="46" t="n"/>
      <c r="L217" s="45" t="inlineStr">
        <is>
          <t>Hypertension</t>
        </is>
      </c>
      <c r="M217" s="46" t="inlineStr">
        <is>
          <t>Clinic</t>
        </is>
      </c>
      <c r="N217" s="45" t="inlineStr">
        <is>
          <t>ข้อ 1 (PLE_CC1_Practice_Exam.md)</t>
        </is>
      </c>
      <c r="O217" s="46" t="inlineStr">
        <is>
          <t>Mock</t>
        </is>
      </c>
      <c r="P217" s="46" t="inlineStr">
        <is>
          <t>Mock สภาเภสัชฯ Practice</t>
        </is>
      </c>
    </row>
    <row r="218" ht="409.6" customHeight="1" s="37">
      <c r="A218" s="44" t="n">
        <v>216</v>
      </c>
      <c r="B218" s="45" t="inlineStr">
        <is>
          <t>ถ้าระดับ Albumin ในเลือดลดลง กระบวนการใดที่ไม่ได้รับผลกระทบจากการเปลี่ยนแปลงนี้</t>
        </is>
      </c>
      <c r="C218" s="46" t="n"/>
      <c r="D218" s="45" t="inlineStr">
        <is>
          <t>Absorption</t>
        </is>
      </c>
      <c r="E218" s="45" t="inlineStr">
        <is>
          <t>Distribution</t>
        </is>
      </c>
      <c r="F218" s="45" t="inlineStr">
        <is>
          <t>Metabolism</t>
        </is>
      </c>
      <c r="G218" s="45" t="inlineStr">
        <is>
          <t>Elimination</t>
        </is>
      </c>
      <c r="H218" s="45" t="inlineStr">
        <is>
          <t>Biotransformation</t>
        </is>
      </c>
      <c r="I218" s="44" t="inlineStr">
        <is>
          <t>1</t>
        </is>
      </c>
      <c r="J218" s="45" t="inlineStr">
        <is>
          <t>✅ คำตอบที่ถูกต้อง: ข้อ ก. Absorption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Absorption การเลือก Absorption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(Distribution): Distribution อาศัยการจับกับโปรตีนในเลือด ถ้าระดับ Albumin ลดลง จะทำให้ free drug เพิ่มขึ้น ส่งผลต่อปริมาตรการกระจายตัวของยา
• ข้อ ค. (Metabolism): Metabolism ขนส่งยาเข้าสู่ตับเพื่อทำลาย ปริมาณ free drug ที่เพิ่มขึ้นจาก albumin ต่ำอาจทำให้ hepatic clearance ของยาเปลี่ยนไป
• ข้อ ง. (Elimination): Elimination หรือการกำจัดยาออกจากร่างกายทางไตได้รับผลกระทบจากปริมาณยาอิสระที่สามารถผ่าน glomerulus ได้
• ข้อ จ. (Biotransformation): Biotransformation คือกระบวนการเปลี่ยนแปลงโครงสร้างยาที่ตับ ซึ่งจะขึ้นอยู่กับปริมาณยาอิสระที่ส่งมายังตับ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8" s="46" t="n"/>
      <c r="L218" s="45" t="inlineStr">
        <is>
          <t>Hypertension</t>
        </is>
      </c>
      <c r="M218" s="46" t="inlineStr">
        <is>
          <t>Clinic</t>
        </is>
      </c>
      <c r="N218" s="45" t="inlineStr">
        <is>
          <t>ข้อ 11 (PLE_CC1_Practice_Exam.md)</t>
        </is>
      </c>
      <c r="O218" s="46" t="inlineStr">
        <is>
          <t>Mock</t>
        </is>
      </c>
      <c r="P218" s="46" t="inlineStr">
        <is>
          <t>Mock สภาเภสัชฯ Practice</t>
        </is>
      </c>
    </row>
    <row r="219" ht="409.6" customHeight="1" s="37">
      <c r="A219" s="44" t="n">
        <v>217</v>
      </c>
      <c r="B219" s="45" t="inlineStr">
        <is>
          <t>สถานที่ผลิต ไม่มีทะเบียนยาที่ขึ้นต้นด้วย 3G กรณีศึกษาที่ 5 DM+CKD ผู้ป่วยหญิงอายุ 55 ปี มาด้วยอาการหอบเหนื่อยตอนกลางคืน นอนราบไม่ได้ ปัสสาวะไม่ออก บวมมากขึ้น มีโรคประจำตัวคือ โรคเบาหวานชนิดที่ 2 โรคความดันโลหิตสูง โรคไขมันในเลือดสูง โรคไตเรื้อรัง stage 5 ได้รับยารักษา HCTZ 25 mg 1x1 pc, Metformin 500 mg 1x3 pc, Amlodipine 2x1 pc, Glibenclamide 1x2 ac, calk cap, sodamint ผลตรวจ Hb 8 g/dl, Hct 28, K 5.7(สูงกว่าช่วงปกติ), Na 142 (ปกติ) Ca 8 (ปกติ) Phosphte 6.4 (สูงกว่าค่าปกติ) albumin 2 g/dl (ต่ำกว่าช่วงปกติ) มีสูตรคำนวณค่า correct Ca ให้มาด้วย</t>
        </is>
      </c>
      <c r="C219" s="46" t="n"/>
      <c r="D219" s="45" t="inlineStr">
        <is>
          <t>ข้อใดคือการจัดการที่เหมาะสมในการรักษาภาวะความดันโลหิตสูงของผู้ป่วยรายนี้อย่างไร</t>
        </is>
      </c>
      <c r="E219" s="45" t="inlineStr">
        <is>
          <t>Losartan 50 mg OD</t>
        </is>
      </c>
      <c r="F219" s="45" t="inlineStr">
        <is>
          <t>Enalapril 10 mg BID</t>
        </is>
      </c>
      <c r="G219" s="45" t="inlineStr">
        <is>
          <t>Hydrochlorothiazide 25 mg OD</t>
        </is>
      </c>
      <c r="H219" s="45" t="inlineStr">
        <is>
          <t>Atorvastatin 20 mg OD</t>
        </is>
      </c>
      <c r="I219" s="44" t="inlineStr">
        <is>
          <t>1</t>
        </is>
      </c>
      <c r="J219" s="45" t="inlineStr">
        <is>
          <t>✅ คำตอบที่ถูกต้อง: ข้อ ก. ข้อใดคือการจัดการที่เหมาะสมในการรักษาภาวะความดันโลหิตสูงของผู้ป่วยรายนี้อย่างไร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ข้อใดคือการจัดการที่เหมาะสมในการรักษาภาวะความดันโลหิตสูงของผู้ป่วยรายนี้อย่างไร การเลือก ข้อใดคือการจัดการที่เหมาะสมในการรักษาภาวะความดันโลหิตสูงของผู้ป่วยรายนี้อย่างไร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9" s="46" t="n"/>
      <c r="L219" s="45" t="inlineStr">
        <is>
          <t>Hypertension</t>
        </is>
      </c>
      <c r="M219" s="46" t="inlineStr">
        <is>
          <t>Clinic</t>
        </is>
      </c>
      <c r="N219" s="45" t="inlineStr">
        <is>
          <t>ข้อ 5 (PLE_CC1_Key_Rx20_UBU.md)</t>
        </is>
      </c>
      <c r="O219" s="46" t="inlineStr">
        <is>
          <t>Mock</t>
        </is>
      </c>
      <c r="P219" s="46" t="inlineStr">
        <is>
          <t>Mock Rx20 UBU</t>
        </is>
      </c>
    </row>
    <row r="220" ht="409.6" customHeight="1" s="37">
      <c r="A220" s="44" t="n">
        <v>218</v>
      </c>
      <c r="B220" s="45" t="inlineStr">
        <is>
          <t>Negative pressure Technique ตอบ 3. Milking Technique Non-touch Technique คือ การเลี่ยงสัมผัสบริเวณ critical point Open window Technique ทำงานในท่าที่ไม่บังกระแสลมสะอาด เพื่อเปิดทางให้ลมสะอาดไหลมายัง ตำแหน่งที่จะแทงเข็ม หรือดูดยา Milking Technique การบรรจุยาปริมาณมากลงใน bag/vial สลับกับการแลกเปลี่ยนอากาศ เพื่อช่วยให้บรรจุยาได้ง่ายขึ้น ทั้งนี้หากบรรจุยาปริมาณน้อย จะใช้เทคนิค Negative Pressure อย่างเดียวก็ได้ Core prevention Technique ป้องกันเศษจุกยางปนเปื้อน เศษจุกยางจะอุดตันหลอดเลือดผู้ป่วยได้ Negative pressure Technique</t>
        </is>
      </c>
      <c r="C220" s="46" t="n"/>
      <c r="D220" s="45" t="inlineStr">
        <is>
          <t>ในการดูดยาจาก vial ต้องทำให้ความดันภายใน vial น้อยกว่าภายนอกป้องกันการ leak ของยาออกจาก vial</t>
        </is>
      </c>
      <c r="E220" s="45" t="inlineStr">
        <is>
          <t>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t>
        </is>
      </c>
      <c r="F220" s="45" t="inlineStr">
        <is>
          <t>Clopidogrel 75 mg OD</t>
        </is>
      </c>
      <c r="G220" s="45" t="inlineStr">
        <is>
          <t>Aspirin 81 mg OD</t>
        </is>
      </c>
      <c r="H220" s="45" t="inlineStr">
        <is>
          <t>Sacubitril/Valsartan 49/51 mg BID</t>
        </is>
      </c>
      <c r="I220" s="44" t="inlineStr">
        <is>
          <t>1</t>
        </is>
      </c>
      <c r="J220" s="45" t="inlineStr">
        <is>
          <t>✅ คำตอบที่ถูกต้อง: ข้อ ก. ในการดูดยาจาก vial ต้องทำให้ความดันภายใน vial น้อยกว่าภายนอกป้องกันการ leak ของยาออกจาก vial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ในการดูดยาจาก vial ต้องทำให้ความดันภายใน vial น้อยกว่าภายนอกป้องกันการ leak ของยาออกจาก vial การเลือก ในการดูดยาจาก vial ต้องทำให้ความดันภายใน vial น้อยกว่าภายนอกป้องกันการ leak ของยาออกจาก vial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 Negative pressure bag ไม่ใช่เทคนิคที่ใช้ป้องกันยา leak แต่เป็นกระบวนการของ Negative pressure technique ใน vial
• ข้อ ค. (Clopidogrel 75 mg OD): Clopidogrel เป็น P2Y12 inhibitor ใช้ต้านเกล็ดเลือด ไม่มีบทบาทเกี่ยวข้องกับการเตรียมยาเคมีบำบัด
• ข้อ ง. (Aspirin 81 mg OD): Aspirin เป็น COX-1 inhibitor ใช้ต้านเกล็ดเลือด ไม่มีผลต่อการเตรียมผลิตภัณฑ์ปลอดเชื้อ
• ข้อ จ. (Sacubitril/Valsartan 49/51 mg BID): Sacubitril/Valsartan เป็น ARNI ใช้รักษาภาวะหัวใจล้มเหลว ไม่เกี่ยวข้องกับเทคนิคผสมยา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0" s="46" t="n"/>
      <c r="L220" s="45" t="inlineStr">
        <is>
          <t>Hypertension</t>
        </is>
      </c>
      <c r="M220" s="46" t="inlineStr">
        <is>
          <t>Clinic</t>
        </is>
      </c>
      <c r="N220" s="45" t="inlineStr">
        <is>
          <t>ข้อ 5 (PLE_CC1_Key_Rx20_UBU.md)</t>
        </is>
      </c>
      <c r="O220" s="46" t="inlineStr">
        <is>
          <t>Mock</t>
        </is>
      </c>
      <c r="P220" s="46" t="inlineStr">
        <is>
          <t>Mock Rx20 UBU</t>
        </is>
      </c>
    </row>
    <row r="221" ht="409.6" customHeight="1" s="37">
      <c r="A221" s="44" t="n">
        <v>219</v>
      </c>
      <c r="B221" s="45" t="inlineStr">
        <is>
          <t>เกี่ยวกับอาการไมGพึงประสงค_จากยา cyclophosphamide ข้อใดไมGถูกต$อง</t>
        </is>
      </c>
      <c r="C221" s="46" t="n"/>
      <c r="D221" s="45" t="inlineStr">
        <is>
          <t>ทำให$เกิดภาวะ cystitis</t>
        </is>
      </c>
      <c r="E221" s="45" t="inlineStr">
        <is>
          <t>เปญน dose-related toxicity</t>
        </is>
      </c>
      <c r="F221" s="45" t="inlineStr">
        <is>
          <t>สารที่ออกฤทธิ์ทำให$เกิดพิษคือ acrolein</t>
        </is>
      </c>
      <c r="G221" s="45" t="inlineStr">
        <is>
          <t>เมื่อเกิด extravasation ควรได$รับ hyaluronidase เปญน antidote</t>
        </is>
      </c>
      <c r="H221" s="45" t="inlineStr">
        <is>
          <t>ใช$ mesna เปญน uroprotective</t>
        </is>
      </c>
      <c r="I221" s="44" t="inlineStr">
        <is>
          <t>4</t>
        </is>
      </c>
      <c r="J221" s="45" t="inlineStr">
        <is>
          <t>✅ คำตอบที่ถูกต้อง: ข้อ ง. เมื่อเกิด extravasation ควรได$รับ hyaluronidase เปญน antidote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เมื่อเกิด extravasation ควรได$รับ hyaluronidase เปญน antidote การเลือก เมื่อเกิด extravasation ควรได$รับ hyaluronidase เปญน antidote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(ทำให$เกิดภาวะ cystitis): Cyclophosphamide ทำให้เกิด hemorrhagic cystitis ได้จริง เนื่องจาก metabolite ที่ชื่อ acrolein ทำลายเยื่อบุทางเดินปัสสาวะ
• ข้อ ข. (เปญน dose-related toxicity): การเกิด hemorrhagic cystitis จาก cyclophosphamide เป็น dose-related toxicity ยิ่งให้ขนาดสูงยิ่งมีโอกาสเกิดมาก
• ข้อ ค. (สารที่ออกฤทธิ์ทำให$เกิดพิษคือ acrolein): Acrolein เป็นสารเมแทบอไลต์ที่เป็นพิษของ cyclophosphamide ซึ่งเป็นสาเหตุหลักที่ทำให้เกิดกระเพาะปัสสาวะอักเสบแบบมีเลือดออก
• ข้อ จ. (ใช$ mesna เปญน uroprotective): Mesna (2-mercaptoethane sulfonate) ให้เพื่อเป็น uroprotective โดยจะไปจับกับ acrolein ลดการเกิด hemorrhagic cystitis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1" s="46" t="n"/>
      <c r="L221" s="45" t="inlineStr">
        <is>
          <t>Hypertension</t>
        </is>
      </c>
      <c r="M221" s="46" t="inlineStr">
        <is>
          <t>Clinic</t>
        </is>
      </c>
      <c r="N221" s="45" t="inlineStr">
        <is>
          <t>ข้อ 22 (PLE_CC1_Key_Rx20_UBU.md)</t>
        </is>
      </c>
      <c r="O221" s="46" t="inlineStr">
        <is>
          <t>Mock</t>
        </is>
      </c>
      <c r="P221" s="46" t="inlineStr">
        <is>
          <t>Mock Rx20 UBU</t>
        </is>
      </c>
    </row>
    <row r="222" ht="409.6" customHeight="1" s="37">
      <c r="A222" s="44" t="n">
        <v>220</v>
      </c>
      <c r="B222" s="45" t="inlineStr">
        <is>
          <t>ยาในข้อใดมีประโยชน_สำหรับ anticipatory nausea and vomiting</t>
        </is>
      </c>
      <c r="C222" s="46" t="n"/>
      <c r="D222" s="45" t="inlineStr">
        <is>
          <t>Dexamethasone</t>
        </is>
      </c>
      <c r="E222" s="45" t="inlineStr">
        <is>
          <t>Ondansetron</t>
        </is>
      </c>
      <c r="F222" s="45" t="inlineStr">
        <is>
          <t>Aprepitant</t>
        </is>
      </c>
      <c r="G222" s="45" t="inlineStr">
        <is>
          <t>Lorazepam</t>
        </is>
      </c>
      <c r="H222" s="45" t="inlineStr">
        <is>
          <t>Metoclopramide</t>
        </is>
      </c>
      <c r="I222" s="44" t="inlineStr">
        <is>
          <t>4</t>
        </is>
      </c>
      <c r="J222" s="45" t="inlineStr">
        <is>
          <t>✅ คำตอบที่ถูกต้อง: ข้อ ง. Lorazepam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Lorazepam การเลือก Lorazepam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ก. (Dexamethasone): Dexamethasone เป็น corticosteroid ใช้ป้องกัน delayed และ acute CINV แต่ไม่ใช่ยาทางเลือกหลักสำหรับ anticipatory CINV
• ข้อ ข. (Ondansetron): Ondansetron เป็น 5-HT3 receptor antagonist มีประสิทธิภาพสูงใน acute CINV แต่ไม่มีผลลบล้างการเรียนรู้เชิงเงื่อนไขใน anticipatory CINV
• ข้อ ค. (Aprepitant): Aprepitant เป็น NK1 receptor antagonist ใช้ป้องกัน acute และ delayed CINV แต่ไม่ครอบคลุมเรื่อง anticipatory N/V
• ข้อ จ. (Metoclopramide): Metoclopramide เป็น D2 receptor antagonist ใช้ลดอาการคลื่นไส้อาเจียนทั่วไป แต่ไม่มีคุณสมบัติ anxiolytic เพื่อลด anticipatory N/V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2" s="46" t="n"/>
      <c r="L222" s="45" t="inlineStr">
        <is>
          <t>Hypertension</t>
        </is>
      </c>
      <c r="M222" s="46" t="inlineStr">
        <is>
          <t>Clinic</t>
        </is>
      </c>
      <c r="N222" s="45" t="inlineStr">
        <is>
          <t>ข้อ 23 (PLE_CC1_Key_Rx20_UBU.md)</t>
        </is>
      </c>
      <c r="O222" s="46" t="inlineStr">
        <is>
          <t>Mock</t>
        </is>
      </c>
      <c r="P222" s="46" t="inlineStr">
        <is>
          <t>Mock Rx20 UBU</t>
        </is>
      </c>
    </row>
    <row r="223" ht="409.6" customHeight="1" s="37">
      <c r="A223" s="44" t="n">
        <v>221</v>
      </c>
      <c r="B223" s="45" t="inlineStr">
        <is>
          <t>หากระดับไขมันของผู$ป&amp;วยเปญนดังนี้ LDL 102 mg/dL, HDL 45 mg/dL, TG 500 mg/dL, Total cholesterol 220 mg/dL ผู$ป&amp;วยควรได$รับยาในข้อใดเพื่อเสริมฤทธิ์ในการลดไขมันกับยา simvastatin</t>
        </is>
      </c>
      <c r="C223" s="46" t="n"/>
      <c r="D223" s="45" t="inlineStr">
        <is>
          <t>Gemﬁbrozil</t>
        </is>
      </c>
      <c r="E223" s="45" t="inlineStr">
        <is>
          <t>Nicotinic acid</t>
        </is>
      </c>
      <c r="F223" s="45" t="inlineStr">
        <is>
          <t>Fish oil</t>
        </is>
      </c>
      <c r="G223" s="45" t="inlineStr">
        <is>
          <t>Cholestyramin</t>
        </is>
      </c>
      <c r="H223" s="45" t="inlineStr">
        <is>
          <t>Ezetimibe ตาม 2016 ACC guideline แนะนำให$เพิ่ม Ezetimibe ในผู$ป&amp;วยที่ได$รับ Statins แตGยังไมGสามารถควบคุม LDL ให$อยูGในชGวงเปนาหมายได$</t>
        </is>
      </c>
      <c r="I223" s="44" t="inlineStr">
        <is>
          <t>5</t>
        </is>
      </c>
      <c r="J223" s="45" t="inlineStr">
        <is>
          <t>✅ คำตอบที่ถูกต้อง: ข้อ จ. Ezetimibe ตาม 2016 ACC guideline แนะนำให$เพิ่ม Ezetimibe ในผู$ป&amp;วยที่ได$รับ Statins แตGยังไมGสามารถควบคุม LDL ให$อยูGในชGวงเปนาหมายได$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Ezetimibe ตาม 2016 ACC guideline แนะนำให$เพิ่ม Ezetimibe ในผู$ป&amp;วยที่ได$รับ Statins แตGยังไมGสามารถควบคุม LDL ให$อยูGในชGวงเปนาหมายได$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Ezetimibe ตาม 2016 ACC guideline แนะนำให$เพิ่ม Ezetimibe ในผู$ป&amp;วยที่ได$รับ Statins แต G ยังไม G สามารถควบคุม LDL ให$อยู G ในช G วงเปนาหมายได$ การเลือก Ezetimibe ตาม 2016 ACC guideline แนะนำให$เพิ่ม Ezetimibe ในผู$ป&amp;วยที่ได$รับ Statins แต G ยังไม G สามารถควบคุม LDL ให$อยู G ในช G วงเปนาหมายได$ เป็นคำตอบที่ถูกต้องตามแนวทางการรักษามาตรฐาน เนื่องจาก เป็น Niemann-Pick C1-Like 1 (NPC1L1) inhibitor ยับยั้งการดูดซึม cholesterol ที่ลำไส้เล็ก ใช้เป็น add-on therapy ร่วมกับ statin เพื่อลด LDL-C เสริมอีก 15-20%
🔍 ข้ออื่นผิดเพราะอะไร:
• ข้อ ก. (Gemﬁbrozil): Gemfibrozil เพิ่มความเสี่ยง Rhabdomyolysis อย่างรุนแรงเมื่อใช้ร่วมกับ statins จึงมีข้อห้ามใช้ร่วมกัน
• ข้อ ข. (Nicotinic acid): Nicotinic acid มีผลลด TG และเพิ่ม HDL แต่ไม่แนะนำให้ใช้ร่วมกับ statins ตาม guideline ปัจจุบันเนื่องจากไม่ลด mortality และมีผลข้างเคียงสูง
• ข้อ ค. (Fish oil): Fish oil ปริมาณสูงสามารถลด TG ได้ แต่การใช้ร่วมกับ statin เพื่อลดไขมันโดยรวมยังไม่เป็นทางเลือกแรกเมื่อเทียบกับ ezetimibe ในการคุมเป้าหมาย LDL
• ข้อ ง. (Cholestyramin): Cholestyramine เป็น Bile acid sequestrant สามารถลด LDL ได้ แต่มีโอกาสเพิ่มระดับ TG ซึ่งเป็นข้อห้ามในผู้ป่วยที่มี TG สูงถึง 500 mg/dL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3" s="46" t="n"/>
      <c r="L223" s="45" t="inlineStr">
        <is>
          <t>Hypertension</t>
        </is>
      </c>
      <c r="M223" s="46" t="inlineStr">
        <is>
          <t>Clinic</t>
        </is>
      </c>
      <c r="N223" s="45" t="inlineStr">
        <is>
          <t>ข้อ 30 (PLE_CC1_Key_Rx20_UBU.md)</t>
        </is>
      </c>
      <c r="O223" s="46" t="inlineStr">
        <is>
          <t>Mock</t>
        </is>
      </c>
      <c r="P223" s="46" t="inlineStr">
        <is>
          <t>Mock Rx20 UBU</t>
        </is>
      </c>
    </row>
    <row r="224" ht="409.6" customHeight="1" s="37">
      <c r="A224" s="44" t="n">
        <v>222</v>
      </c>
      <c r="B224" s="45" t="inlineStr">
        <is>
          <t>แพทย_สั่งยา Deferoxamine ให$ผู$ป&amp;วยในขนาด 40 mg/kg/day IV drip ใน 10 ชั่วโมง ซึ่งบริษัทระบุวGายา Deferoxamine 1 vial = 2 g และหลังจากผสมแล$วจะมีความเข$มข$น 250 mg/ml จงหาอัตราเร็วในการบริหารยาให$แกGผู$ป&amp;วย</t>
        </is>
      </c>
      <c r="C224" s="46" t="n"/>
      <c r="D224" s="45" t="inlineStr">
        <is>
          <t>0.60 ml/hr</t>
        </is>
      </c>
      <c r="E224" s="45" t="inlineStr">
        <is>
          <t>0.75 ml/hr</t>
        </is>
      </c>
      <c r="F224" s="45" t="inlineStr">
        <is>
          <t>0.80 ml/hr</t>
        </is>
      </c>
      <c r="G224" s="45" t="inlineStr">
        <is>
          <t>0.85 ml/hr</t>
        </is>
      </c>
      <c r="H224" s="45" t="inlineStr">
        <is>
          <t>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t>
        </is>
      </c>
      <c r="I224" s="44" t="inlineStr">
        <is>
          <t>2</t>
        </is>
      </c>
      <c r="J224" s="45" t="inlineStr">
        <is>
          <t>✅ คำตอบที่ถูกต้อง: ข้อ ข. 0.75 ml/hr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0.75 ml/hr การเลือก 0.75 ml/hr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(0.60 ml/hr): การคำนวณอัตราเร็วการให้ยา Deferoxamine 200 mg/hr โดยยาเข้มข้น 250 mg/ml จะต้องใช้อัตรา 0.8 ml/hr ไม่ใช่ 0.6 ml/hr
• ข้อ ค. (0.80 ml/hr): 0.80 ml/hr คือคำตอบที่ถูกต้องจากการคำนวณ (40 mg/kg/day  50 kg) / 10 hr = 200 mg/hr; 200/250 = 0.8 ml/hr
• ข้อ ง. (0.85 ml/hr): การคำนวณผิดพลาด อัตราที่ถูกต้องคือ 0.8 ml/hr ไม่ใช่ 0.85 ml/hr
• ข้อ จ. (0.90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 การคำนวณผิดพลาด อัตราที่ถูกต้องคือ 0.8 ml/hr ไม่ใช่ 0.90 ml/hr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4" s="46" t="n"/>
      <c r="L224" s="45" t="inlineStr">
        <is>
          <t>Hypertension</t>
        </is>
      </c>
      <c r="M224" s="46" t="inlineStr">
        <is>
          <t>Clinic</t>
        </is>
      </c>
      <c r="N224" s="45" t="inlineStr">
        <is>
          <t>ข้อ 85 (PLE_CC1_Key_Rx20_UBU.md)</t>
        </is>
      </c>
      <c r="O224" s="46" t="inlineStr">
        <is>
          <t>Mock</t>
        </is>
      </c>
      <c r="P224" s="46" t="inlineStr">
        <is>
          <t>Mock Rx20 UBU</t>
        </is>
      </c>
    </row>
    <row r="225" ht="409.6" customHeight="1" s="37">
      <c r="A225" s="44" t="n">
        <v>223</v>
      </c>
      <c r="B225" s="45" t="inlineStr">
        <is>
          <t>หลังจากผู$ป&amp;วยได$รับยา Deferoxamine แล$วผู$ป&amp;วยมีป[สสาวะเปญนสีชมพูแดง ลักษณะดังกลGาวเกิดจากสาเหตุใด</t>
        </is>
      </c>
      <c r="C225" s="46" t="n"/>
      <c r="D225" s="45" t="inlineStr">
        <is>
          <t>เปญนภาวะโรคของผู$ป&amp;วยอยูGแล$ว</t>
        </is>
      </c>
      <c r="E225" s="45" t="inlineStr">
        <is>
          <t>เปญนสีของ Deferoxamine ที่ขับออกมาทางป[สสาวะ</t>
        </is>
      </c>
      <c r="F225" s="45" t="inlineStr">
        <is>
          <t>เปญนสีของ Deferoxamine-Fe complex ที่ขับออกมาทางป[สสาวะ</t>
        </is>
      </c>
      <c r="G225" s="45" t="inlineStr">
        <is>
          <t>Amlodipine 5 mg OD</t>
        </is>
      </c>
      <c r="H225" s="45" t="inlineStr">
        <is>
          <t>Losartan 50 mg OD</t>
        </is>
      </c>
      <c r="I225" s="44" t="inlineStr">
        <is>
          <t>2</t>
        </is>
      </c>
      <c r="J225" s="45" t="inlineStr">
        <is>
          <t>✅ คำตอบที่ถูกต้อง: ข้อ ข. เปญนสีของ Deferoxamine ที่ขับออกมาทางป[สสาวะ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เปญนสีของ Deferoxamine ที่ขับออกมาทางป[สสาวะ การเลือก เปญนสีของ Deferoxamine ที่ขับออกมาทางป[สสาวะ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(เปญนภาวะโรคของผู$ป&amp;วยอยูGแล$ว): ภาวะปัสสาวะสีชมพูแดงเกิดจากตัวยาและธาตุเหล็ก ไม่ใช่เกิดจากพยาธิสภาพของโรคโดยตรง
• ข้อ ค. (เปญนสีของ Deferoxamine-Fe complex ที่ขับออกมาทางป[สสาวะ): Deferoxamine จับกับธาตุเหล็กกลายเป็น ferrioxamine complex ซึ่งขับออกทางไตทำให้ปัสสาวะมีสีแดงส้ม
• ข้อ ง. (Amlodipine 5 mg OD): Amlodipine เป็น CCB ไม่มีผลทำให้ปัสสาวะเปลี่ยนสีเป็นสีชมพูแดง
• ข้อ จ. (Losartan 50 mg OD): Losartan เป็น ARB ไม่มีคุณสมบัติทางเคมีที่ทำให้ปัสสาวะมีสีแดง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5" s="46" t="n"/>
      <c r="L225" s="45" t="inlineStr">
        <is>
          <t>Hypertension</t>
        </is>
      </c>
      <c r="M225" s="46" t="inlineStr">
        <is>
          <t>Clinic</t>
        </is>
      </c>
      <c r="N225" s="45" t="inlineStr">
        <is>
          <t>ข้อ 86 (PLE_CC1_Key_Rx20_UBU.md)</t>
        </is>
      </c>
      <c r="O225" s="46" t="inlineStr">
        <is>
          <t>Mock</t>
        </is>
      </c>
      <c r="P225" s="46" t="inlineStr">
        <is>
          <t>Mock Rx20 UBU</t>
        </is>
      </c>
    </row>
    <row r="226" ht="409.6" customHeight="1" s="37">
      <c r="A226" s="44" t="n">
        <v>224</v>
      </c>
      <c r="B226" s="45" t="inlineStr">
        <is>
          <t>จากโครงสร$างของ Deferoxamine หมูGฟ[งก_ชันใดที่เข$าจับกับเหล็ก</t>
        </is>
      </c>
      <c r="C226" s="46" t="n"/>
      <c r="D226" s="45" t="inlineStr">
        <is>
          <t>Nitro carbamate</t>
        </is>
      </c>
      <c r="E226" s="45" t="inlineStr">
        <is>
          <t>Nitro-carbonyl</t>
        </is>
      </c>
      <c r="F226" s="45" t="inlineStr">
        <is>
          <t>Enalapril 10 mg BID</t>
        </is>
      </c>
      <c r="G226" s="45" t="inlineStr">
        <is>
          <t>Hydrochlorothiazide 25 mg OD</t>
        </is>
      </c>
      <c r="H226" s="45" t="inlineStr">
        <is>
          <t>…Carbamate</t>
        </is>
      </c>
      <c r="I226" s="44" t="inlineStr">
        <is>
          <t>2</t>
        </is>
      </c>
      <c r="J226" s="45" t="inlineStr">
        <is>
          <t>✅ คำตอบที่ถูกต้อง: ข้อ ข. Nitro-carbonyl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Nitro-carbonyl การเลือก Nitro-carbonyl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(Nitro carbamate): Nitro carbamate ไม่ใช่หมู่ฟังก์ชันหลักในโครงสร้างของ Deferoxamine ที่ใช้จับกับเหล็ก
• ข้อ ค. (Enalapril 10 mg BID): Enalapril เป็น ACE inhibitor ไม่มีผลเกี่ยวข้องกับการจับเหล็กของ Deferoxamine
• ข้อ ง. (Hydrochlorothiazide 25 mg OD): Hydrochlorothiazide เป็น thiazide diuretic ไม่เกี่ยวข้องกับโครงสร้างของยาขับเหล็ก
• ข้อ จ. (…Carbamate): Carbamate ไม่ใช่หมู่ที่รับผิดชอบในการคีเลตกับโลหะเหล็ก โครงสร้างหลักคือ hydroxamic acid groups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6" s="46" t="n"/>
      <c r="L226" s="45" t="inlineStr">
        <is>
          <t>Hypertension</t>
        </is>
      </c>
      <c r="M226" s="46" t="inlineStr">
        <is>
          <t>Clinic</t>
        </is>
      </c>
      <c r="N226" s="45" t="inlineStr">
        <is>
          <t>ข้อ 87 (PLE_CC1_Key_Rx20_UBU.md)</t>
        </is>
      </c>
      <c r="O226" s="46" t="inlineStr">
        <is>
          <t>Mock</t>
        </is>
      </c>
      <c r="P226" s="46" t="inlineStr">
        <is>
          <t>Mock Rx20 UBU</t>
        </is>
      </c>
    </row>
    <row r="227" ht="409.6" customHeight="1" s="37">
      <c r="A227" s="44" t="n">
        <v>225</v>
      </c>
      <c r="B227" s="45" t="inlineStr">
        <is>
          <t>กรณีพบยา Midazolam ในร้านขายยา ใครถือเป็นผู้กระทำความผิด</t>
        </is>
      </c>
      <c r="C227" s="46" t="n"/>
      <c r="D227" s="45" t="inlineStr">
        <is>
          <t>นาย ก.</t>
        </is>
      </c>
      <c r="E227" s="45" t="inlineStr">
        <is>
          <t>นาย ข.</t>
        </is>
      </c>
      <c r="F227" s="45" t="inlineStr">
        <is>
          <t>นาย ค.</t>
        </is>
      </c>
      <c r="G227" s="45" t="inlineStr">
        <is>
          <t>นาย ก. และนาย ข.</t>
        </is>
      </c>
      <c r="H227" s="45" t="inlineStr">
        <is>
          <t>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t>
        </is>
      </c>
      <c r="I227" s="44" t="inlineStr">
        <is>
          <t>4</t>
        </is>
      </c>
      <c r="J227" s="45" t="inlineStr">
        <is>
          <t>✅ คำตอบที่ถูกต้อง: ข้อ ง. นาย ก. และนาย ข.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นาย ก. และนาย ข. การเลือก นาย ก. และนาย ข.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(นาย ก.): นาย ก. มีความผิดหากเกี่ยวข้อง แต่กรณีนี้ยา Midazolam เป็นวัตถุออกฤทธิ์ต่อจิตและประสาทประเภทที่ 2 ห้ามมีไว้ในครอบครองในร้านขายยา
• ข้อ ข. (นาย ข.): นาย ข. มีความผิดด้วยในฐานะผู้มีหน้าที่ปฏิบัติการ แต่ร้านขายยาก็มีส่วนผิดเช่นกัน
• ข้อ ค. (นาย ค.): นาย ค. หากไม่ได้เป็นผู้ที่เกี่ยวข้องโดยตรงกับร้านยาจะไม่สามารถระบุความผิดได้
• ข้อ จ. (ไม่มีใครมีความผิด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 ยา Midazolam เป็นวัตถุออกฤทธิ์ฯ ประเภท 2 กฎหมายห้ามร้านขายยามีไว้ในครอบครอง การพบยาถือเป็นความผิดทันทีแม้ยังไม่เกิดการขาย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7" s="46" t="n"/>
      <c r="L227" s="45" t="inlineStr">
        <is>
          <t>Hypertension</t>
        </is>
      </c>
      <c r="M227" s="46" t="inlineStr">
        <is>
          <t>Clinic</t>
        </is>
      </c>
      <c r="N227" s="45" t="inlineStr">
        <is>
          <t>ข้อ 6 (PLE_CC1_Key_Rx20_UBU.md)</t>
        </is>
      </c>
      <c r="O227" s="46" t="inlineStr">
        <is>
          <t>Mock</t>
        </is>
      </c>
      <c r="P227" s="46" t="inlineStr">
        <is>
          <t>Mock Rx20 UBU</t>
        </is>
      </c>
    </row>
    <row r="228" ht="409.6" customHeight="1" s="37">
      <c r="A228" s="44" t="n">
        <v>226</v>
      </c>
      <c r="B228" s="45" t="inlineStr">
        <is>
          <t>NSAIDs อะไรที่สงผลเสียต่อหัวใจน้อยที่สุด</t>
        </is>
      </c>
      <c r="C228" s="46" t="n"/>
      <c r="D228" s="45" t="inlineStr">
        <is>
          <t>Indomethacin</t>
        </is>
      </c>
      <c r="E228" s="45" t="inlineStr">
        <is>
          <t>Diclofanac</t>
        </is>
      </c>
      <c r="F228" s="45" t="inlineStr">
        <is>
          <t>Ibuprofen</t>
        </is>
      </c>
      <c r="G228" s="45" t="inlineStr">
        <is>
          <t>Celecoxib</t>
        </is>
      </c>
      <c r="H228" s="45" t="inlineStr">
        <is>
          <t>Naproxen</t>
        </is>
      </c>
      <c r="I228" s="44" t="inlineStr">
        <is>
          <t>5</t>
        </is>
      </c>
      <c r="J228" s="45" t="inlineStr">
        <is>
          <t>✅ คำตอบที่ถูกต้อง: ข้อ จ. Naproxen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Naproxen การเลือก Naproxen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ก. (Indomethacin): Indomethacin เป็น non-selective NSAID ที่เพิ่มความดันโลหิตและเพิ่มความเสี่ยงทางหัวใจและหลอดเลือด
• ข้อ ข. (Diclofanac): Diclofenac มีฤทธิ์ยับยั้ง COX-2 สูงกว่า COX-1 ค่อนข้างมาก เพิ่มความเสี่ยงลิ่มเลือดอุดตันในหลอดเลือดหัวใจได้สูง
• ข้อ ค. (Ibuprofen): Ibuprofen แม้มีความเสี่ยงโรคหัวใจระดับปานกลาง แต่มักรบกวนฤทธิ์ต้านเกล็ดเลือดของ Aspirin ทำให้เสียผลการป้องกันทางหัวใจ
• ข้อ ง. (Celecoxib): Celecoxib เป็น selective COX-2 inhibitor ซึ่งไปยับยั้ง prostacyclin จึงเพิ่มความเสี่ยงต่อเหตุการณ์ทางหัวใจและหลอดเลือดอย่างชัดเจน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28" s="46" t="n"/>
      <c r="L228" s="45" t="inlineStr">
        <is>
          <t>Hypertension</t>
        </is>
      </c>
      <c r="M228" s="46" t="inlineStr">
        <is>
          <t>Clinic</t>
        </is>
      </c>
      <c r="N228" s="45" t="inlineStr">
        <is>
          <t>ข้อ 3 (PLE_CC1_Key_Rx20_UBU.md)</t>
        </is>
      </c>
      <c r="O228" s="46" t="inlineStr">
        <is>
          <t>Mock</t>
        </is>
      </c>
      <c r="P228" s="46" t="inlineStr">
        <is>
          <t>Mock Rx20 UBU</t>
        </is>
      </c>
    </row>
    <row r="229" ht="409.6" customHeight="1" s="37">
      <c r="A229" s="44" t="n">
        <v>227</v>
      </c>
      <c r="B229" s="45" t="inlineStr">
        <is>
          <t>คำนวณ Glucosamine sulfate ที่ต้องใช้ใน 1 ซอง? เพื่อให้ มี Glucosamine ตามที่กำหนด ถามเป็นหนวย g ให้ MV ของ ยาเบส กับยาในรูปเกลือมา แต่ชอ้ยตัวเลขเปนมิลลิกรัม… ประสาทจ้า คำตอบอ่ะมีแต่หน่วยผิด ครือออ? ครืออ?? น่า เกลียดที่สุด</t>
        </is>
      </c>
      <c r="C229" s="46" t="n"/>
      <c r="D229" s="45" t="inlineStr">
        <is>
          <t>10xx</t>
        </is>
      </c>
      <c r="E229" s="45" t="inlineStr">
        <is>
          <t>1xxx</t>
        </is>
      </c>
      <c r="F229" s="45" t="inlineStr">
        <is>
          <t>1500</t>
        </is>
      </c>
      <c r="G229" s="45" t="inlineStr">
        <is>
          <t>1844</t>
        </is>
      </c>
      <c r="H229" s="45" t="inlineStr">
        <is>
          <t>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t>
        </is>
      </c>
      <c r="I229" s="44" t="inlineStr">
        <is>
          <t>1</t>
        </is>
      </c>
      <c r="J229" s="45" t="inlineStr">
        <is>
          <t>✅ คำตอบที่ถูกต้อง: ข้อ ก. 10xx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10xx การเลือก 10xx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(1xxx): น้ำหนักยา Glucosamine 1xxx ไม่ตรงกับปริมาณโมเลกุลในรูปแบบ Crystalline glucosamine sulfate
• ข้อ ค. (1500): Glucosamine sulfate 1500 mg ไม่ใช่น้ำหนักจริงของผงยาในซอง เพราะต้องรวมเกลือและผลึก Crystalline
• ข้อ ง. (1844): 1844 mg หรือ 1884 mg เป็นค่าน้ำหนักรวมของ Crystalline glucosamine sulfate เพื่อให้ได้ base 1500 mg
• ข้อ จ. (2100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 2100 mg ไม่ใช่น้ำหนักมาตรฐานตามท้องตลาดสำหรับ Glucosamine 1 ซอง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229" s="46" t="n"/>
      <c r="L229" s="45" t="inlineStr">
        <is>
          <t>Hypertension</t>
        </is>
      </c>
      <c r="M229" s="46" t="inlineStr">
        <is>
          <t>Clinic</t>
        </is>
      </c>
      <c r="N229" s="45" t="inlineStr">
        <is>
          <t>ข้อ 5 (PLE_CC1_Key_Rx20_UBU.md)</t>
        </is>
      </c>
      <c r="O229" s="46" t="inlineStr">
        <is>
          <t>Mock</t>
        </is>
      </c>
      <c r="P229" s="46" t="inlineStr">
        <is>
          <t>Mock Rx20 UBU</t>
        </is>
      </c>
    </row>
    <row r="230" ht="409.6" customHeight="1" s="37">
      <c r="A230" s="44" t="n">
        <v>228</v>
      </c>
      <c r="B230" s="45" t="inlineStr">
        <is>
          <t>ใช้ยาต่อเนื่องระยะยาว ในผู้ป่วยCOPD exacerbationควรพิจารณาให้ Systemic corticosteroid =&gt; Prednisolone 40 mg/day(นาน5-7วัน) ; มีผลช่วย เพิ่ม FEV1 และลด Hospitalization 6.)ให้สูตรตำรับยา Aerosol ที่มี alcohol เป็นกระสาย แล้วถามว่ามีรูปแบบเป็น Dosage Form ใด สูตร Isoproterenol sulfate 33 g Oleyl alcohol 33 g Ascorbic acid</t>
        </is>
      </c>
      <c r="C230" s="46" t="n"/>
      <c r="D230" s="45" t="inlineStr">
        <is>
          <t>3 g Myristyl alcohol 33.3 g</t>
        </is>
      </c>
      <c r="E230" s="45" t="inlineStr">
        <is>
          <t>Warfarin 3 mg OD (target INR 2.0-3.0)</t>
        </is>
      </c>
      <c r="F230" s="45" t="inlineStr">
        <is>
          <t>Furosemide 40 mg OD</t>
        </is>
      </c>
      <c r="G230" s="45" t="inlineStr">
        <is>
          <t>Amlodipine 5 mg OD</t>
        </is>
      </c>
      <c r="H230" s="45" t="inlineStr">
        <is>
          <t>Losartan 50 mg OD</t>
        </is>
      </c>
      <c r="I230" s="44" t="inlineStr">
        <is>
          <t>1</t>
        </is>
      </c>
      <c r="J230" s="45" t="inlineStr">
        <is>
          <t>✅ คำตอบที่ถูกต้อง: ข้อ ก. 3 g Myristyl alcohol 33.3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3 g Myristyl alcohol 33.3 g การเลือก 3 g Myristyl alcohol 33.3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0" s="46" t="n"/>
      <c r="L230" s="45" t="inlineStr">
        <is>
          <t>Hypertension</t>
        </is>
      </c>
      <c r="M230" s="46" t="inlineStr">
        <is>
          <t>Clinic</t>
        </is>
      </c>
      <c r="N230" s="45" t="inlineStr">
        <is>
          <t>ข้อ 5 (PLE_CC1_Key_Rx20_UBU.md)</t>
        </is>
      </c>
      <c r="O230" s="46" t="inlineStr">
        <is>
          <t>Mock</t>
        </is>
      </c>
      <c r="P230" s="46" t="inlineStr">
        <is>
          <t>Mock Rx20 UBU</t>
        </is>
      </c>
    </row>
    <row r="231" ht="409.6" customHeight="1" s="37">
      <c r="A231" s="44" t="n">
        <v>229</v>
      </c>
      <c r="B231" s="45" t="inlineStr">
        <is>
          <t>หากเกิด Angioedema จาก Enalapril ควรทำอย่างไร</t>
        </is>
      </c>
      <c r="C231" s="46" t="n"/>
      <c r="D231" s="45" t="inlineStr">
        <is>
          <t>เปลี่ยนเป็น Lisinopril</t>
        </is>
      </c>
      <c r="E231" s="45" t="inlineStr">
        <is>
          <t>เปลี่ยนเป็น Candesartan</t>
        </is>
      </c>
      <c r="F231" s="45" t="inlineStr">
        <is>
          <t>ใช้ Enalapril ต่อไป อาการจะเริ่มดีขึ้น พร้อมติดตามอย่างใกล้ชิด</t>
        </is>
      </c>
      <c r="G231" s="45" t="inlineStr">
        <is>
          <t>ลดขนาดยา Enalapril</t>
        </is>
      </c>
      <c r="H231" s="45" t="inlineStr">
        <is>
          <t>หยุดยาจนหาย แล้วลองใช้อีกครั้ง ร่วมกับต้องติดตามอย่างใกล้ชิด</t>
        </is>
      </c>
      <c r="I231" s="44" t="inlineStr">
        <is>
          <t>2</t>
        </is>
      </c>
      <c r="J231" s="45" t="inlineStr">
        <is>
          <t>✅ คำตอบที่ถูกต้อง: ข้อ ข. เปลี่ยนเป็น Candesartan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Candesartan การเลือก เปลี่ยนเป็น Candesartan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(เปลี่ยนเป็น Lisinopril): Lisinopril เป็นยากลุ่ม ACEIs เช่นเดียวกับ Enalapril จึงมีโอกาสเกิด cross-reactivity ทำให้เกิด Angioedema ซ้ำได้สูง
• ข้อ ค. (ใช้ Enalapril ต่อไป อาการจะเริ่มดีขึ้น พร้อมติดตามอย่างใกล้ชิด): Angioedema เป็นภาวะฉุกเฉินทางการแพทย์ การใช้ยาต่อจะเพิ่มความเสี่ยงที่ทางเดินหายใจจะอุดกั้น
• ข้อ ง. (ลดขนาดยา Enalapril): Angioedema ไม่ใช่ dose-dependent adverse effect ดังนั้นการลดขนาดยาจึงไม่ช่วยป้องกันการเกิดซ้ำ
• ข้อ จ. (หยุดยาจนหาย แล้วลองใช้อีกครั้ง ร่วมกับต้องติดตามอย่างใกล้ชิด): การลองใช้อีกครั้ง มีข้อห้ามเด็ดขาด (Absolute contraindication) ในผู้ที่เกิด Angioedema จากยา ACEIs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231" s="46" t="n"/>
      <c r="L231" s="45" t="inlineStr">
        <is>
          <t>Hypertension</t>
        </is>
      </c>
      <c r="M231" s="46" t="inlineStr">
        <is>
          <t>Clinic</t>
        </is>
      </c>
      <c r="N231" s="45" t="inlineStr">
        <is>
          <t>ข้อ 40 (PLE_CC1_Key_Rx20_UBU.md)</t>
        </is>
      </c>
      <c r="O231" s="46" t="inlineStr">
        <is>
          <t>Mock</t>
        </is>
      </c>
      <c r="P231" s="46" t="inlineStr">
        <is>
          <t>Mock Rx20 UBU</t>
        </is>
      </c>
    </row>
    <row r="232" ht="409.6" customHeight="1" s="37">
      <c r="A232" s="44" t="n">
        <v>230</v>
      </c>
      <c r="B232" s="45" t="inlineStr">
        <is>
          <t>ข้อใด คืออาการไม่พึงประสงค์ของ Enalapril</t>
        </is>
      </c>
      <c r="C232" s="46" t="n"/>
      <c r="D232" s="45" t="inlineStr">
        <is>
          <t>Hyperkalemia</t>
        </is>
      </c>
      <c r="E232" s="45" t="inlineStr">
        <is>
          <t>Hepatotoxicity</t>
        </is>
      </c>
      <c r="F232" s="45" t="inlineStr">
        <is>
          <t>Pakinsonism</t>
        </is>
      </c>
      <c r="G232" s="45" t="inlineStr">
        <is>
          <t>Hypokalemia</t>
        </is>
      </c>
      <c r="H232" s="45" t="inlineStr">
        <is>
          <t>Hypertension</t>
        </is>
      </c>
      <c r="I232" s="44" t="inlineStr">
        <is>
          <t>1</t>
        </is>
      </c>
      <c r="J232" s="45" t="inlineStr">
        <is>
          <t>✅ คำตอบที่ถูกต้อง: ข้อ ก. Hyperkalemia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Hyperkalemia การเลือก Hyperkalemia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(Hepatotoxicity): Hepatotoxicity พบได้น้อยมากจากการใช้ Enalapril และไม่ใช่ผลข้างเคียงที่สำคัญของยากลุ่มนี้
• ข้อ ค. (Pakinsonism): Parkinsonism เกิดจากการใช้ยากลุ่ม Dopamine antagonists เช่น Metoclopramide ไม่ใช่ ACEIs
• ข้อ ง. (Hypokalemia): Hypokalemia เป็นผลข้างเคียงของยาขับปัสสาวะ แต่ Enalapril ลดการสร้าง Aldosterone จึงทำให้เกิด Hyperkalemia
• ข้อ จ. (Hypertension): Enalapril เป็นยาลดความดันโลหิต กลไกการออกฤทธิ์คือลดการสร้าง Angiotensin II จึงไม่ทำให้เกิดภาวะความดันโลหิตสูง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232" s="46" t="n"/>
      <c r="L232" s="45" t="inlineStr">
        <is>
          <t>Hypertension</t>
        </is>
      </c>
      <c r="M232" s="46" t="inlineStr">
        <is>
          <t>Clinic</t>
        </is>
      </c>
      <c r="N232" s="45" t="inlineStr">
        <is>
          <t>ข้อ 41 (PLE_CC1_Key_Rx20_UBU.md)</t>
        </is>
      </c>
      <c r="O232" s="46" t="inlineStr">
        <is>
          <t>Mock</t>
        </is>
      </c>
      <c r="P232" s="46" t="inlineStr">
        <is>
          <t>Mock Rx20 UBU</t>
        </is>
      </c>
    </row>
    <row r="233" ht="409.6" customHeight="1" s="37">
      <c r="A233" s="44" t="n">
        <v>231</v>
      </c>
      <c r="B233" s="45" t="inlineStr">
        <is>
          <t>ในการผลิตระดับอุตสาหกรรม ต้องใช้น้ำอะไร ในการผลิตยา Furosemide injection ตามฉลากต่อไปนี้</t>
        </is>
      </c>
      <c r="C233" s="46" t="n"/>
      <c r="D233" s="45" t="inlineStr">
        <is>
          <t>Purified water</t>
        </is>
      </c>
      <c r="E233" s="45" t="inlineStr">
        <is>
          <t>Water for injection USP</t>
        </is>
      </c>
      <c r="F233" s="45" t="inlineStr">
        <is>
          <t>Sterile water for injection USP</t>
        </is>
      </c>
      <c r="G233" s="45" t="inlineStr">
        <is>
          <t>Sterile water for irrigation USP</t>
        </is>
      </c>
      <c r="H233" s="45" t="inlineStr">
        <is>
          <t>Bacteriostatic water for injection USP</t>
        </is>
      </c>
      <c r="I233" s="44" t="inlineStr">
        <is>
          <t>2</t>
        </is>
      </c>
      <c r="J233" s="45" t="inlineStr">
        <is>
          <t>✅ คำตอบที่ถูกต้อง: ข้อ ข. Water for injection USP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Water for injection USP การเลือก Water for injection USP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&lt; 0.25 EU/mL
🔍 ข้ออื่นผิดเพราะอะไร:
• ข้อ ก. (Purified water): Purified water เป็นน้ำบริสุทธิ์ ใช้สำหรับเตรียมยาที่ไม่ใช่ยาฉีด เนื่องจากไม่ได้ผ่านกระบวนการฆ่าเชื้อและกำจัด pyrogen อย่างสมบูรณ์
• ข้อ ค. (Sterile water for injection USP): Sterile water for injection USP เป็นน้ำที่ปราศจากเชื้อแล้ว มักใช้เป็นตัวทำละลายยาผงฉีดในระดับโรงพยาบาล
• ข้อ ง. (Sterile water for irrigation USP): Sterile water for irrigation USP ใช้สำหรับชะล้างแผลหรือช่องว่างในร่างกาย ไม่ได้ออกแบบมาสำหรับฉีดเข้าหลอดเลือดดำ
• ข้อ จ. (Bacteriostatic water for injection USP): Bacteriostatic water for injection USP มีส่วนผสมของสารกันเสีย เช่น benzyl alcohol ไม่เหมาะสมที่จะนำมาผลิตยาฉีดปริมาณมาก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3" s="46" t="n"/>
      <c r="L233" s="45" t="inlineStr">
        <is>
          <t>Hypertension</t>
        </is>
      </c>
      <c r="M233" s="46" t="inlineStr">
        <is>
          <t>Clinic</t>
        </is>
      </c>
      <c r="N233" s="45" t="inlineStr">
        <is>
          <t>ข้อ 45 (PLE_CC1_Key_Rx20_UBU.md)</t>
        </is>
      </c>
      <c r="O233" s="46" t="inlineStr">
        <is>
          <t>Mock</t>
        </is>
      </c>
      <c r="P233" s="46" t="inlineStr">
        <is>
          <t>Mock Rx20 UBU</t>
        </is>
      </c>
    </row>
    <row r="234" ht="409.6" customHeight="1" s="37">
      <c r="A234" s="44" t="n">
        <v>232</v>
      </c>
      <c r="B234" s="45" t="inlineStr">
        <is>
          <t>ยาใดทำให้เกิด Hyperkalemia</t>
        </is>
      </c>
      <c r="C234" s="46" t="n"/>
      <c r="D234" s="45" t="inlineStr">
        <is>
          <t>Aspirin</t>
        </is>
      </c>
      <c r="E234" s="45" t="inlineStr">
        <is>
          <t>Moduretic</t>
        </is>
      </c>
      <c r="F234" s="45" t="inlineStr">
        <is>
          <t>Glipizide</t>
        </is>
      </c>
      <c r="G234" s="45" t="inlineStr">
        <is>
          <t>Amlodipine</t>
        </is>
      </c>
      <c r="H234" s="45" t="inlineStr">
        <is>
          <t>Omeprazole</t>
        </is>
      </c>
      <c r="I234" s="44" t="inlineStr">
        <is>
          <t>2</t>
        </is>
      </c>
      <c r="J234" s="45" t="inlineStr">
        <is>
          <t>✅ คำตอบที่ถูกต้อง: ข้อ ข. Moduretic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Moduretic การเลือก Moduretic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(Aspirin): เป็น irreversible COX-1 inhibitor ยับยั้ง Thromboxane A2 เป็นแกนหลักใน antiplatelet secondary prevention ของ CVD (ขนาดยา 75-100 mg/day)
• ข้อ ค. (Glipizide): เป็น Second-generation Sulfonylurea กระตุ้น insulin secretion เสี่ยงต่อ hypoglycemia และ weight gain ขับออกทางตับเด่นกว่า glibenclamide จึงปลอดภัยกว่าในผู้สูงอายุ/CKD
• ข้อ ง.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4" s="46" t="n"/>
      <c r="L234" s="45" t="inlineStr">
        <is>
          <t>Hypertension</t>
        </is>
      </c>
      <c r="M234" s="46" t="inlineStr">
        <is>
          <t>Clinic</t>
        </is>
      </c>
      <c r="N234" s="45" t="inlineStr">
        <is>
          <t>ข้อ 56 (PLE_CC1_Key_Rx20_UBU.md)</t>
        </is>
      </c>
      <c r="O234" s="46" t="inlineStr">
        <is>
          <t>Mock</t>
        </is>
      </c>
      <c r="P234" s="46" t="inlineStr">
        <is>
          <t>Mock Rx20 UBU</t>
        </is>
      </c>
    </row>
    <row r="235" ht="409.6" customHeight="1" s="37">
      <c r="A235" s="44" t="n">
        <v>233</v>
      </c>
      <c r="B235" s="45" t="inlineStr">
        <is>
          <t>ผู้ป่วยรายนี้ควรรักษา hyperkalemia ด้วยวิธีใด</t>
        </is>
      </c>
      <c r="C235" s="46" t="n"/>
      <c r="D235" s="45" t="inlineStr">
        <is>
          <t>ฉีด Insulin+glucose</t>
        </is>
      </c>
      <c r="E235" s="45" t="inlineStr">
        <is>
          <t>พ่น Salbutamol</t>
        </is>
      </c>
      <c r="F235" s="45" t="inlineStr">
        <is>
          <t>ฉีด Calcium gluconate</t>
        </is>
      </c>
      <c r="G235" s="45" t="inlineStr">
        <is>
          <t>ฟอกไต</t>
        </is>
      </c>
      <c r="H235" s="45" t="inlineStr">
        <is>
          <t>ไม่ต้องให้การรักษา</t>
        </is>
      </c>
      <c r="I235" s="44" t="inlineStr">
        <is>
          <t>5</t>
        </is>
      </c>
      <c r="J235" s="45" t="inlineStr">
        <is>
          <t>✅ คำตอบที่ถูกต้อง: ข้อ จ. ไม่ต้องให้การรักษา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ไม่ต้องให้การรักษา การเลือก ไม่ต้องให้การรักษา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(ฉีด Insulin+glucose): Insulin+glucose เป็นวิธีดึงโพแทสเซียมกลับเข้าเซลล์ ใช้สำหรับแก้ไข Hyperkalemia ที่มีอาการหรือระดับ K สูง
• ข้อ ข. (พ่น Salbutamol): พ่น Salbutamol กระตุ้น beta-2 receptor ทำให้โพแทสเซียมเข้าสู่เซลล์ได้ ใช้เสริมการรักษา Hyperkalemia แบบเร่งด่วน
• ข้อ ค. (ฉีด Calcium gluconate): ฉีด Calcium gluconate ใช้ stabilize ภาวะ membrane excitability ป้องกันหัวใจเต้นผิดจังหวะใน Severe hyperkalemia
• ข้อ ง. (ฟอกไต): ฟอกไต เป็นวิธีขั้นเด็ดขาดในการกำจัดโพแทสเซียมออกจากร่างกาย กรณีที่ยาไม่ได้ผล หรือผู้ป่วยมีภาวะไตวายรุนแรง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5" s="46" t="n"/>
      <c r="L235" s="45" t="inlineStr">
        <is>
          <t>Hypertension</t>
        </is>
      </c>
      <c r="M235" s="46" t="inlineStr">
        <is>
          <t>Clinic</t>
        </is>
      </c>
      <c r="N235" s="45" t="inlineStr">
        <is>
          <t>ข้อ 58 (PLE_CC1_Key_Rx20_UBU.md)</t>
        </is>
      </c>
      <c r="O235" s="46" t="inlineStr">
        <is>
          <t>Mock</t>
        </is>
      </c>
      <c r="P235" s="46" t="inlineStr">
        <is>
          <t>Mock Rx20 UBU</t>
        </is>
      </c>
    </row>
    <row r="236" ht="409.6" customHeight="1" s="37">
      <c r="A236" s="44" t="n">
        <v>234</v>
      </c>
      <c r="B236" s="45" t="inlineStr">
        <is>
          <t>อีก 3 เดือนต่อมาผู้ป่วยเป็น Acute kidney injury on top CKD และมีภาวะ Hyperkalemia ยาใดที่เป็น Ion exchange ในการรักษาภาวะ hyperkalemia นี้</t>
        </is>
      </c>
      <c r="C236" s="46" t="n"/>
      <c r="D236" s="45" t="inlineStr">
        <is>
          <t>Calcium polystyrene sulfonate</t>
        </is>
      </c>
      <c r="E236" s="45" t="inlineStr">
        <is>
          <t>Insulin</t>
        </is>
      </c>
      <c r="F236" s="45" t="inlineStr">
        <is>
          <t>Calcium gluconate</t>
        </is>
      </c>
      <c r="G236" s="45" t="inlineStr">
        <is>
          <t>Beta 2 agonist</t>
        </is>
      </c>
      <c r="H236" s="45" t="inlineStr">
        <is>
          <t>Sodium bicarbonate</t>
        </is>
      </c>
      <c r="I236" s="44" t="inlineStr">
        <is>
          <t>1</t>
        </is>
      </c>
      <c r="J236" s="45" t="inlineStr">
        <is>
          <t>✅ คำตอบที่ถูกต้อง: ข้อ ก. Calcium polystyrene sulfonate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Calcium polystyrene sulfonate การเลือก Calcium polystyrene sulfonate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(Insulin): Insulin ช่วยดึงโพแทสเซียมกลับเข้าเซลล์โดยกระตุ้น Na+/K+ ATPase pump แต่ไม่มีกลไกในการแลกเปลี่ยนประจุ (Ion exchange) ที่ทางเดินอาหาร
• ข้อ ค. (Calcium gluconate): Calcium gluconate มีฤทธิ์ cardioprotective ป้องกันหัวใจเต้นผิดจังหวะ โดยไม่ลดระดับโพแทสเซียมในเลือดรวม
• ข้อ ง. (Beta 2 agonist): Beta 2 agonist ดึงโพแทสเซียมเข้าสู่เซลล์เพื่อลดระดับ K ในเลือดชั่วคราว ไม่ใช่ Ion exchange resin
• ข้อ จ. (Sodium bicarbonate): Sodium bicarbonate ทำให้เลือดเป็นด่าง ช่วยให้โพแทสเซียมเคลื่อนเข้าสู่เซลล์ แลกเปลี่ยนกับ H+ แต่ไม่ใช่กลุ่มยา Ion exchange resin แบบกิน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6" s="46" t="n"/>
      <c r="L236" s="45" t="inlineStr">
        <is>
          <t>Hypertension</t>
        </is>
      </c>
      <c r="M236" s="46" t="inlineStr">
        <is>
          <t>Clinic</t>
        </is>
      </c>
      <c r="N236" s="45" t="inlineStr">
        <is>
          <t>ข้อ 61 (PLE_CC1_Key_Rx20_UBU.md)</t>
        </is>
      </c>
      <c r="O236" s="46" t="inlineStr">
        <is>
          <t>Mock</t>
        </is>
      </c>
      <c r="P236" s="46" t="inlineStr">
        <is>
          <t>Mock Rx20 UBU</t>
        </is>
      </c>
    </row>
    <row r="237" ht="409.6" customHeight="1" s="37">
      <c r="A237" s="44" t="n">
        <v>235</v>
      </c>
      <c r="B237" s="45" t="inlineStr">
        <is>
          <t>ยา ergotamine ไม่ละลายน้ำ จึงนำมาบรรจุลงใน capsule ซึ่งต้องเติมสารใดเพื่อช่วยในการไหล</t>
        </is>
      </c>
      <c r="C237" s="46" t="n"/>
      <c r="D237" s="45" t="inlineStr">
        <is>
          <t>Colloidal silica dioxide</t>
        </is>
      </c>
      <c r="E237" s="45" t="inlineStr">
        <is>
          <t>Crosscamellose</t>
        </is>
      </c>
      <c r="F237" s="45" t="inlineStr">
        <is>
          <t>PVP</t>
        </is>
      </c>
      <c r="G237" s="45" t="inlineStr">
        <is>
          <t>Sodium lauryl sulfate</t>
        </is>
      </c>
      <c r="H237" s="45" t="inlineStr">
        <is>
          <t>Sodium starch glycolate - Crosscamellose (Ac-Di-Solห) และ Sodium starch glycolate (Explotabห) เป็น Superdisintegrant - PVP เพิ่มความหนืด เพิ่มการยึดเกาะ (binder) - Sodium lauryl sulfate เป็น anionic surfactants เรื่องที่ 9. DM ผู้ป่วยชาย อายุ 61 ปี น้ำหนัก 70 กิโลกรัม ส่วนสูง 167 เซนติเมตร มีอาการหิวบ่อย หิวน้ำบ่อย ปัสสาวะบ่อย น้าหนักลด โรคประจำตัวเป็น Diabetes mellitus, Hypertension, Dyslipidemia เมื่อ 1 เดือนที่แล้ว FBS 160 mg/dL, BP 145/95 mmHg ได้รับยา Diltiazem 1 tab bid pc, Losartan 1 tab od pc และ Simvastatin 1 tab od hs วันนี้ตรวจได้ FBS 170 mg/dL, BP 140/90 mmHg, LDL 95 mg/dL ได้รับยา ดังนี้ ⁻ Diltiazem 1 tab bid pc ⁻ Losartan 1 tab od pc ⁻ Simvastatin 1 tab od hs ⁻ Aspirin 81 mg 1 tab od pc ⁻ Metformin 500 mg 1 tab bid pc ⁻ Glipizide 5 mg 1 tab od ac ⁻ Omeprazole 20 mg 1 tab od ac</t>
        </is>
      </c>
      <c r="I237" s="44" t="inlineStr">
        <is>
          <t>1</t>
        </is>
      </c>
      <c r="J237" s="45" t="inlineStr">
        <is>
          <t>✅ คำตอบที่ถูกต้อง: ข้อ ก. Colloidal silica dioxide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Colloidal silica dioxide การเลือก Colloidal silica dioxide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(Crosscamellose): Crosscamellose เป็น superdisintegrant ช่วยให้ยาแตกตัว ไม่ได้มีคุณสมบัติหลักในการเป็น glidant หรือช่วยการไหลของผงยา
• ข้อ ค. (PVP): PVP เป็น binder หรือสารยึดเกาะ ช่วยเพิ่มความแข็งแรงของแกรนูล ไม่ได้ช่วยเพิ่มการไหล
• ข้อ ง. (Sodium lauryl sulfate): Sodium lauryl sulfate เป็น surfactant ช่วยเพิ่มการละลายและการเปียกของยา ไม่ใช่ glidant
• ข้อ จ. (Sodium starch glycolate - Crosscamellose (Ac-Di-Solห) และ Sodium starch glycolate (Explotabห) เป็น Superdisintegrant - PVP เพิ่มความหนืด เพิ่มการยึดเกาะ (binder) - Sodium lauryl sulfate เป็น anionic surfactants เรื่องที่ 9. DM ผู้ป่วยชาย อายุ 61 ปี น้ำหนัก 70 กิโลกรัม ส่วนสูง 167 เซนติเมตร มีอาการหิวบ่อย หิวน้ำบ่อย ปัสสาวะบ่อย น้าหนักลด โรคประจำตัวเป็น Diabetes mellitus, Hypertension, Dyslipidemia เมื่อ 1 เดือนที่แล้ว FBS 160 mg/dL, BP 145/95 mmHg ได้รับยา Diltiazem 1 tab bid pc, Losartan 1 tab od pc และ Simvastatin 1 tab od hs วันนี้ตรวจได้ FBS 170 mg/dL, BP 140/90 mmHg, LDL 95 mg/dL ได้รับยา ดังนี้ ⁻ Diltiazem 1 tab bid pc ⁻ Losartan 1 tab od pc ⁻ Simvastatin 1 tab od hs ⁻ Aspirin 81 mg 1 tab od pc ⁻ Metformin 500 mg 1 tab bid pc ⁻ Glipizide 5 mg 1 tab od ac ⁻ Omeprazole 20 mg 1 tab od ac): Sodium starch glycolate ทำหน้าที่เป็น disintegrant ช่วยให้แคปซูลแตกตัวเมื่อสัมผัสน้ำ ไม่ช่วยลดความเสียดทานระหว่างอนุภาค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7" s="46" t="n"/>
      <c r="L237" s="45" t="inlineStr">
        <is>
          <t>Hypertension</t>
        </is>
      </c>
      <c r="M237" s="46" t="inlineStr">
        <is>
          <t>Clinic</t>
        </is>
      </c>
      <c r="N237" s="45" t="inlineStr">
        <is>
          <t>ข้อ 73 (PLE_CC1_Key_Rx20_UBU.md)</t>
        </is>
      </c>
      <c r="O237" s="46" t="inlineStr">
        <is>
          <t>Mock</t>
        </is>
      </c>
      <c r="P237" s="46" t="inlineStr">
        <is>
          <t>Mock Rx20 UBU</t>
        </is>
      </c>
    </row>
    <row r="238" ht="409.6" customHeight="1" s="37">
      <c r="A238" s="44" t="n">
        <v>236</v>
      </c>
      <c r="B238" s="45" t="inlineStr">
        <is>
          <t>ปัจจัยใดทำให้ผู้ป่วยได้รับ Aspirin</t>
        </is>
      </c>
      <c r="C238" s="46" t="n"/>
      <c r="D238" s="45" t="inlineStr">
        <is>
          <t>อายุ</t>
        </is>
      </c>
      <c r="E238" s="45" t="inlineStr">
        <is>
          <t>อ้วน</t>
        </is>
      </c>
      <c r="F238" s="45" t="inlineStr">
        <is>
          <t>แอลกอฮอล์</t>
        </is>
      </c>
      <c r="G238" s="45" t="inlineStr">
        <is>
          <t>ไม่ออกกาลังกาย</t>
        </is>
      </c>
      <c r="H238" s="45" t="inlineStr">
        <is>
          <t>เพศ</t>
        </is>
      </c>
      <c r="I238" s="44" t="inlineStr">
        <is>
          <t>1</t>
        </is>
      </c>
      <c r="J238" s="45" t="inlineStr">
        <is>
          <t>✅ คำตอบที่ถูกต้อง: ข้อ ก. อายุ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อายุ การเลือก อายุ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(อ้วน): ความอ้วนเป็นปัจจัยเสี่ยงของโรคหัวใจและหลอดเลือด แต่ข้อบ่งชี้หลักของ Aspirin ขึ้นอยู่กับอายุและความเสี่ยงรวม ไม่ใช่น้ำหนักตัวอย่างเดียว
• ข้อ ค. (แอลกอฮอล์): แอลกอฮอล์ไม่ใช่ปัจจัยหลักที่นำมาพิจารณาข้อบ่งชี้ในการเริ่ม Aspirin เพื่อการป้องกันโรคหัวใจและหลอดเลือด
• ข้อ ง. (ไม่ออกกาลังกาย): การไม่ออกกำลังกายเพิ่ม ASCVD risk แต่การตัดสินใจให้ Aspirin อ้างอิงตามอายุร่วมกับภาวะเบาหวานและปัจจัยเสี่ยงหลัก
• ข้อ จ. (เพศ): เพศชายหรือหญิงต่างก็สามารถใช้ Aspirin ได้ การพิจารณาข้อบ่งชี้ปัจจุบันขึ้นกับระดับความเสี่ยง (ASCVD risk) ไม่ใช่เพศโดยตรง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8" s="46" t="n"/>
      <c r="L238" s="45" t="inlineStr">
        <is>
          <t>Hypertension</t>
        </is>
      </c>
      <c r="M238" s="46" t="inlineStr">
        <is>
          <t>Clinic</t>
        </is>
      </c>
      <c r="N238" s="45" t="inlineStr">
        <is>
          <t>ข้อ 76 (PLE_CC1_Key_Rx20_UBU.md)</t>
        </is>
      </c>
      <c r="O238" s="46" t="inlineStr">
        <is>
          <t>Mock</t>
        </is>
      </c>
      <c r="P238" s="46" t="inlineStr">
        <is>
          <t>Mock Rx20 UBU</t>
        </is>
      </c>
    </row>
    <row r="239" ht="409.6" customHeight="1" s="37">
      <c r="A239" s="44" t="n">
        <v>237</v>
      </c>
      <c r="B239" s="45" t="inlineStr">
        <is>
          <t>ผู้ป่วยน้ำตาลสูงมาก HbA1C 10.0 %, FBS 320 mg/dL, SCr 2 mg/dL ได้รับ Insulin Mixtard 8- 0-4 ac ข้อใดถูกต้องเกี่ยวกับ Insulin Mixtard</t>
        </is>
      </c>
      <c r="C239" s="46" t="n"/>
      <c r="D239" s="45" t="inlineStr">
        <is>
          <t>ออกฤทธิ์ช้ากว่า Glulisine</t>
        </is>
      </c>
      <c r="E239" s="45" t="inlineStr">
        <is>
          <t>ประกอบด้วย NPH 30%, RI 70%</t>
        </is>
      </c>
      <c r="F239" s="45" t="inlineStr">
        <is>
          <t>แก้ไขภาวะ Diabetic ketoacidosis</t>
        </is>
      </c>
      <c r="G239" s="45" t="inlineStr">
        <is>
          <t>เกิด Hypoglycemia น้อยกว่า Lispro</t>
        </is>
      </c>
      <c r="H239" s="45" t="inlineStr">
        <is>
          <t>สามารถฉีดได้ทั้ง SC และ IV - Mixtard ประกอบด้วย 70% NPH + 30% RI - Diabetic ketoacidosis ใช้เฉพาะ RI ในการรักษาร่วมกับการรักษาอื่นๆ เช่น สารน้ำทดแทน การให้ potassium ± sodium bicarbonate - Insulin ที่ฉีด IV ได้มีเพียง Regular Insulin (RI) เท่านั้น (ได้แก่ Actrapid HM กับ Humulin R)</t>
        </is>
      </c>
      <c r="I239" s="44" t="inlineStr">
        <is>
          <t>1</t>
        </is>
      </c>
      <c r="J239" s="45"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Insulin Mixtard ประกอบด้วย NPH 70% และ Regular Insulin 30% ไม่ใช่ NPH 30% และ RI 70%
• ข้อ ค. (แก้ไขภาวะ Diabetic ketoacidosis): Diabetic ketoacidosis ต้องใช้ Regular Insulin ฉีดเข้าหลอดเลือดดำ (IV) การใช้ Mixtard จะทำให้การออกฤทธิ์ช้าและไม่แน่นอน
• ข้อ ง. (เกิด Hypoglycemia น้อยกว่า Lispro): Mixtard มีส่วนผสมของ Regular Insulin ซึ่งมีโอกาสเกิด Hypoglycemia ได้มากกว่า Rapid-acting insulin เนื่องจากระยะเวลาการออกฤทธิ์นานกว่า
• ข้อ จ. (สามารถฉีดได้ทั้ง SC และ IV - Mixtard ประกอบด้วย 70% NPH + 30% RI - Diabetic ketoacidosis ใช้เฉพาะ RI ในการรักษาร่วมกับการรักษาอื่นๆ เช่น สารน้ำทดแทน การให้ potassium ± sodium bicarbonate - Insulin ที่ฉีด IV ได้มีเพียง Regular Insulin (RI) เท่านั้น (ได้แก่ Actrapid HM กับ Humulin R)): Insulin Mixtard มีส่วนผสมของ NPH ซึ่งเป็น suspension ห้ามฉีดเข้าหลอดเลือดดำ (IV) โดยเด็ดขาด ให้ฉีดใต้ผิวหนัง (SC) เท่านั้น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39" s="46" t="n"/>
      <c r="L239" s="45" t="inlineStr">
        <is>
          <t>Hypertension</t>
        </is>
      </c>
      <c r="M239" s="46" t="inlineStr">
        <is>
          <t>Clinic</t>
        </is>
      </c>
      <c r="N239" s="45" t="inlineStr">
        <is>
          <t>ข้อ 78 (PLE_CC1_Key_Rx20_UBU.md)</t>
        </is>
      </c>
      <c r="O239" s="46" t="inlineStr">
        <is>
          <t>Mock</t>
        </is>
      </c>
      <c r="P239" s="46" t="inlineStr">
        <is>
          <t>Mock Rx20 UBU</t>
        </is>
      </c>
    </row>
    <row r="240" ht="409.6" customHeight="1" s="37">
      <c r="A240" s="44" t="n">
        <v>238</v>
      </c>
      <c r="B240" s="45" t="inlineStr">
        <is>
          <t>ยาในกลุ่มเดียวกันกับ Simvastatin เป็นยาลดไขมันในเลือด ซึ่งอยู่ในบัญชียาหลักแห่งชาติ บางครั้งอาจต้องใช้ค่าใช้จ่ายสูง จึงต้องมีการประเมินความสมเหตุสมผลในการใช้ยา ยาบัญชีใดในบัญชียาหลักแห่งชาติที่ต้องทา Drug use evaluation (DUE)</t>
        </is>
      </c>
      <c r="C240" s="46" t="n"/>
      <c r="D240" s="45" t="inlineStr">
        <is>
          <t>บัญชี ก</t>
        </is>
      </c>
      <c r="E240" s="45" t="inlineStr">
        <is>
          <t>บัญชี ข</t>
        </is>
      </c>
      <c r="F240" s="45" t="inlineStr">
        <is>
          <t>บัญชี ค</t>
        </is>
      </c>
      <c r="G240" s="45" t="inlineStr">
        <is>
          <t>บัญชี ง</t>
        </is>
      </c>
      <c r="H240" s="45" t="inlineStr">
        <is>
          <t>บัญชี จ (2) เรื่องที่ 10. ยาคุมฉุกเฉิน ผู้ป่วยหญิงอายุ 20 ปี มีรอบเดือนคงที่ 28 วัน มาพบเภสัชกรวันที่ 7 กุมภาพันธ์</t>
        </is>
      </c>
      <c r="I240" s="44" t="inlineStr">
        <is>
          <t>4</t>
        </is>
      </c>
      <c r="J240" s="45" t="inlineStr">
        <is>
          <t>✅ คำตอบที่ถูกต้อง: ข้อ ง. บัญชี 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ง ผู้ป่วยบอกว่ามีเพศสัมพันธ์กับแฟนโดยไม่ได้ป้องกันเมื่อวันที่ 5 กุมภาพันธ์ ซึ่งเป็นวันที่ 12 ของรอบเดือน
🔍 ข้ออื่นผิดเพราะอะไร:
• ข้อ ก. (บัญชี ก): ยาบัญชี ก. เป็นยามาตรฐานที่ใช้ทั่วไป ไม่มีความจำเป็นต้องทำ Drug Use Evaluation (DUE)
• ข้อ ข. (บัญชี ข): ยาบัญชี ข. เป็นยาที่ต้องใช้ข้อบ่งชี้เฉพาะ แต่ไม่ต้องทำ DUE อย่างเข้มงวดเท่ายาบัญชี ง.
• ข้อ ค. (บัญชี ค): ยาบัญชี ค. ต้องใช้โดยแพทย์ผู้เชี่ยวชาญ แต่ยังไม่ใช่กลุ่มที่ถูกบังคับให้ทำรายงาน DUE ตามข้อกำหนดบัญชียาหลักแห่งชาติ
• ข้อ จ. (บัญชี จ (2) เรื่องที่ 10. ยาคุมฉุกเฉิน ผู้ป่วยหญิงอายุ 20 ปี มีรอบเดือนคงที่ 28 วัน มาพบเภสัชกรวันที่ 7 กุมภาพันธ์): ยาบัญชี จ เป็นยากำพร้าหรือยาที่ต้องมีระบบการบริหารจัดการพิเศษ แต่ยาที่บังคับทำ DUE ก่อนใช้คือ บัญชี 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0" s="46" t="n"/>
      <c r="L240" s="45" t="inlineStr">
        <is>
          <t>Hypertension</t>
        </is>
      </c>
      <c r="M240" s="46" t="inlineStr">
        <is>
          <t>Clinic</t>
        </is>
      </c>
      <c r="N240" s="45" t="inlineStr">
        <is>
          <t>ข้อ 81 (PLE_CC1_Key_Rx20_UBU.md)</t>
        </is>
      </c>
      <c r="O240" s="46" t="inlineStr">
        <is>
          <t>Mock</t>
        </is>
      </c>
      <c r="P240" s="46" t="inlineStr">
        <is>
          <t>Mock Rx20 UBU</t>
        </is>
      </c>
    </row>
    <row r="241" ht="409.6" customHeight="1" s="37">
      <c r="A241" s="44" t="n">
        <v>239</v>
      </c>
      <c r="B241" s="45" t="inlineStr">
        <is>
          <t>ค่าผลปฏิบัติการใด มี Specificity สูงที่สุดสำหรับโรค Systemic lupus erythematosus</t>
        </is>
      </c>
      <c r="C241" s="46" t="n"/>
      <c r="D241" s="45" t="inlineStr">
        <is>
          <t>ANA</t>
        </is>
      </c>
      <c r="E241" s="45" t="inlineStr">
        <is>
          <t>Anti-dsDNA</t>
        </is>
      </c>
      <c r="F241" s="45" t="inlineStr">
        <is>
          <t>Lupus anticoagulant</t>
        </is>
      </c>
      <c r="G241" s="45" t="inlineStr">
        <is>
          <t>ES</t>
        </is>
      </c>
      <c r="H241" s="45" t="inlineStr">
        <is>
          <t>Proteinuria คำอธิบาย</t>
        </is>
      </c>
      <c r="I241" s="44" t="inlineStr">
        <is>
          <t>2</t>
        </is>
      </c>
      <c r="J241" s="45" t="inlineStr">
        <is>
          <t>✅ คำตอบที่ถูกต้อง: ข้อ ข. Anti-dsDNA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Anti-dsDNA การเลือก Anti-dsDNA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(ANA): ANA มี Sensitivity สูงมากสำหรับ SLE แต่มีความจำเพาะ (Specificity) ต่ำ พบได้ในโรคภูมิคุ้มกันทำลายตัวเองอื่น ๆ
• ข้อ ค. (Lupus anticoagulant): Lupus anticoagulant พบได้ใน antiphospholipid syndrome แต่ความจำเพาะต่อโรค SLE ไม่สูงเท่า Anti-dsDNA
• ข้อ ง. (ES): ESR เป็นเพียงตัวบ่งชี้การอักเสบในร่างกายแบบไม่จำเพาะเจาะจง ไม่สามารถใช้วินิจฉัย SLE ได้
• ข้อ จ. (Proteinuria คำอธิบาย): Proteinuria เป็นอาการแสดงทางคลินิกที่บ่งบอกว่าอาจมี Lupus nephritis แต่มีความจำเพาะต่ำ เพราะพบได้ในโรคไตจากสาเหตุอื่น 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1" s="46" t="n"/>
      <c r="L241" s="45" t="inlineStr">
        <is>
          <t>Hypertension</t>
        </is>
      </c>
      <c r="M241" s="46" t="inlineStr">
        <is>
          <t>Clinic</t>
        </is>
      </c>
      <c r="N241" s="45" t="inlineStr">
        <is>
          <t>ข้อ 92 (PLE_CC1_Key_Rx20_UBU.md)</t>
        </is>
      </c>
      <c r="O241" s="46" t="inlineStr">
        <is>
          <t>Mock</t>
        </is>
      </c>
      <c r="P241" s="46" t="inlineStr">
        <is>
          <t>Mock Rx20 UBU</t>
        </is>
      </c>
    </row>
    <row r="242" ht="409.6" customHeight="1" s="37">
      <c r="A242" s="44" t="n">
        <v>240</v>
      </c>
      <c r="B242" s="45" t="inlineStr">
        <is>
          <t>เภสัชกรจะแนะนำผลิตภัณฑ์ใดเพื่อรักษา Mild acne</t>
        </is>
      </c>
      <c r="C242" s="46" t="n"/>
      <c r="D242" s="45" t="inlineStr">
        <is>
          <t>สบู่มังคุด</t>
        </is>
      </c>
      <c r="E242" s="45" t="inlineStr">
        <is>
          <t>เจลพญายอ</t>
        </is>
      </c>
      <c r="F242" s="45" t="inlineStr">
        <is>
          <t>ครีมว่านหางจระเข้</t>
        </is>
      </c>
      <c r="G242" s="45" t="inlineStr">
        <is>
          <t>มาสก์ดึงผิวใบบัวบก</t>
        </is>
      </c>
      <c r="H242" s="45" t="inlineStr">
        <is>
          <t>ผงขมิ้นชันขัดหน้า เพราะการรักษาสิวระดับมีโอกาสที่เป็นสิวอักเสบได้และกลไกจากการเกิดสิวอักเสบนั้นจะมีกลไกมาจากการติด เชื้อ Cutibacterium acnes โดยผลิตภัณฑ์ในข้อที่เหลือไม่มีข้อใดเลยมีฤทธิ์ Amtibacterial เรื่องที่ 2. Breast cancer ผู้ป่วยหญิงอายุ 65 ปี เป็น metastasis breast cancer ได้รับยา สูตร AC และ Placitaxel ดังนี้ Cyclophosphamide 600 mg/m 2 on day1 Doxorubicin 60 mg/m 2 on day Repeat every 21 days for 4 cycles then, Paclitaxel IV every 7 days for 12 cycles</t>
        </is>
      </c>
      <c r="I242" s="44" t="inlineStr">
        <is>
          <t>1</t>
        </is>
      </c>
      <c r="J242" s="45" t="inlineStr">
        <is>
          <t>✅ คำตอบที่ถูกต้อง: ข้อ ก. สบู่มังคุด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สบู่มังคุด การเลือก สบู่มังคุด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(เจลพญายอ): เจลพญายอมีสรรพคุณต้านการอักเสบและใช้รักษาเริม งูสวัด แต่ไม่มีผลฆ่าเชื้อ Cutibacterium acnes ซึ่งเป็นสาเหตุของการเกิดสิว
• ข้อ ค. (ครีมว่านหางจระเข้): ครีมว่านหางจระเข้ช่วยลดการระคายเคืองและเพิ่มความชุ่มชื้น แต่ไม่มีฤทธิ์ต้านเชื้อแบคทีเรียเพื่อรักษาสิวโดยตรง
• ข้อ ง. (มาสก์ดึงผิวใบบัวบก): มาสก์ดึงผิวใบบัวบกช่วยลดการอักเสบ สมานแผล แต่ไม่สามารถฆ่าเชื้อแบคทีเรียในรูขุมขนที่ก่อให้เกิด Mild acne ได้
• ข้อ จ. (ผงขมิ้นชันขัดหน้า เพราะการรักษาสิวระดับมีโอกาสที่เป็นสิวอักเสบได้และกลไกจากการเกิดสิวอักเสบนั้นจะมีกลไกมาจากการติด เชื้อ Cutibacterium acnes โดยผลิตภัณฑ์ในข้อที่เหลือไม่มีข้อใดเลยมีฤทธิ์ Amtibacterial เรื่องที่ 2. Breast cancer ผู้ป่วยหญิงอายุ 65 ปี เป็น metastasis breast cancer ได้รับยา สูตร AC และ Placitaxel ดังนี้ Cyclophosphamide 600 mg/m 2 on day1 Doxorubicin 60 mg/m 2 on day Repeat every 21 days for 4 cycles then, Paclitaxel IV every 7 days for 12 cycles): ผงขมิ้นชันขัดหน้าอาจก่อให้เกิดการระคายเคืองผิวเพิ่มขึ้นในผู้ที่เป็นสิวอักเสบ และประสิทธิภาพไม่เด่นชัดเท่าผลิตภัณฑ์ที่มีกลไก Antibacterial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2" s="46" t="n"/>
      <c r="L242" s="45" t="inlineStr">
        <is>
          <t>Hypertension</t>
        </is>
      </c>
      <c r="M242" s="46" t="inlineStr">
        <is>
          <t>Clinic</t>
        </is>
      </c>
      <c r="N242" s="45" t="inlineStr">
        <is>
          <t>ข้อ 9 (PLE_CC1_Key_Rx20_UBU.md)</t>
        </is>
      </c>
      <c r="O242" s="46" t="inlineStr">
        <is>
          <t>Mock</t>
        </is>
      </c>
      <c r="P242" s="46" t="inlineStr">
        <is>
          <t>Mock Rx20 UBU</t>
        </is>
      </c>
    </row>
    <row r="243" ht="409.6" customHeight="1" s="37">
      <c r="A243" s="44" t="n">
        <v>241</v>
      </c>
      <c r="B243" s="45" t="inlineStr">
        <is>
          <t>ต่อมาผู้ป่วยเป็น CKD, eGFR 28 ml/min, BP 150/90 ควรให้ยาลดความดันใด</t>
        </is>
      </c>
      <c r="C243" s="46" t="n"/>
      <c r="D243" s="45" t="inlineStr">
        <is>
          <t>Losartan</t>
        </is>
      </c>
      <c r="E243" s="45" t="inlineStr">
        <is>
          <t>HCTZ</t>
        </is>
      </c>
      <c r="F243" s="45" t="inlineStr">
        <is>
          <t>Furosemide</t>
        </is>
      </c>
      <c r="G243" s="45" t="inlineStr">
        <is>
          <t>Hydralazine</t>
        </is>
      </c>
      <c r="H243" s="45" t="inlineStr">
        <is>
          <t>Carvedilol หรือมีประวัติแพ้ยา(angioedema) Furosemide Hydralazine Carvedilol ไมไ่ด้เป็นทางเลือกแรกในการเลือกใช้ , HCTZ ไม่มี eff ใน pt. CrCL &lt; 30 ml/min</t>
        </is>
      </c>
      <c r="I243" s="44" t="inlineStr">
        <is>
          <t>1</t>
        </is>
      </c>
      <c r="J243" s="45" t="inlineStr">
        <is>
          <t>✅ คำตอบที่ถูกต้อง: ข้อ ก. Losartan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Losartan การเลือก Losartan เป็นคำตอบที่ถูกต้องตามแนวทางการรักษามาตรฐาน เนื่องจาก เป็น ARB ปิดกั้น AT1 receptor โดยตรง เหมาะสำหรับผู้ป่วยที่ทนต่ออาการไอแห้งจาก ACEI ไม่ได้ และมี uricosuric effect เล็กน้อยในการลดกรดยูริก
🔍 ข้ออื่นผิดเพราะอะไร:
• ข้อ ข. (HCTZ): HCTZ เป็น Thiazide diuretic ซึ่งจะหมดประสิทธิภาพและไม่สามารถขับปัสสาวะได้เมื่อ eGFR &lt; 30 ml/min
• ข้อ ค. (Furosemide): Furosemide ใช้ลดภาวะคั่งของน้ำได้ดี แต่ไม่มีผลต่อการชะลอความเสื่อมของไตหรือลด mortality เท่า Losartan
• ข้อ ง. (Hydralazine): Hydralazine เป็นยาขยายหลอดเลือดโดยตรง ซึ่งอาจทำให้เกิด reflex tachycardia และไม่ใช่ยาทางเลือกแรกในการรักษาความดันในผู้ป่วย CKD
• ข้อ จ. (Carvedilol หรือมีประวัติแพ้ยา(angioedema) Furosemide Hydralazine Carvedilol ไมไ่ด้เป็นทางเลือกแรกในการเลือกใช้ , HCTZ ไม่มี eff ใน pt. CrCL &lt; 30 ml/min): Carvedilol เป็น beta-blocker ใช้สำหรับผู้ป่วย Heart Failure เป็นหลัก ไม่มีผลลด intraglomerular pressure เพื่อป้องกันไตเสื่อม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243" s="46" t="n"/>
      <c r="L243" s="45" t="inlineStr">
        <is>
          <t>Hypertension</t>
        </is>
      </c>
      <c r="M243" s="46" t="inlineStr">
        <is>
          <t>Clinic</t>
        </is>
      </c>
      <c r="N243" s="45" t="inlineStr">
        <is>
          <t>ข้อ 22 (PLE_CC1_Key_Rx20_UBU.md)</t>
        </is>
      </c>
      <c r="O243" s="46" t="inlineStr">
        <is>
          <t>Mock</t>
        </is>
      </c>
      <c r="P243" s="46" t="inlineStr">
        <is>
          <t>Mock Rx20 UBU</t>
        </is>
      </c>
    </row>
    <row r="244" ht="409.6" customHeight="1" s="37">
      <c r="A244" s="44" t="n">
        <v>242</v>
      </c>
      <c r="B244" s="45" t="inlineStr">
        <is>
          <t>เพราะเหตุใดผู้ป่วยโรคไตจึงควรหยุดใช้ Metformin</t>
        </is>
      </c>
      <c r="C244" s="46" t="n"/>
      <c r="D244" s="45" t="inlineStr">
        <is>
          <t>ยังไม่มีการศึกษาข้อมูลความปลอดภัยของยาในผู้ป่วยโรคไต</t>
        </is>
      </c>
      <c r="E244" s="45" t="inlineStr">
        <is>
          <t>Metabolite ของยาเป็นพิษต่อตับและไต</t>
        </is>
      </c>
      <c r="F244" s="45" t="inlineStr">
        <is>
          <t>ยาสะสมจึงเพิ่มความเสี่ยงของการเกิด Lactic acidosis</t>
        </is>
      </c>
      <c r="G244" s="45" t="inlineStr">
        <is>
          <t>ยาเป็นพิษต่อไตโดยตรง</t>
        </is>
      </c>
      <c r="H244" s="45" t="inlineStr">
        <is>
          <t>ยามีผลเพิ่มกระบวนการ reabsorbtion ของไต ทำให้ไตทำงานหนักขึ้น Metformin กลไกการออกฤทธิ์ คือ ยับยั้งการบวนการ Hepatic gluconeogenesis ไม่สามารถเปลี่ยน Lactic acid เป็น Pyruvate ได้</t>
        </is>
      </c>
      <c r="I244" s="44" t="inlineStr">
        <is>
          <t>3</t>
        </is>
      </c>
      <c r="J244" s="45" t="inlineStr">
        <is>
          <t>✅ คำตอบที่ถูกต้อง: ข้อ ค. ยาสะสมจึงเพิ่มความเสี่ยงของการเกิด Lactic acidosis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ยาสะสมจึงเพิ่มความเสี่ยงของการเกิด Lactic acidosis การเลือก ยาสะสมจึงเพิ่มความเสี่ยงของการเกิด Lactic acidosis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(ยังไม่มีการศึกษาข้อมูลความปลอดภัยของยาในผู้ป่วยโรคไต): มีการศึกษาชัดเจนว่า Metformin ถูกขับออกทางไต หากไตทำงานลดลง ยาจะสะสมและเป็นอันตราย
• ข้อ ข. (Metabolite ของยาเป็นพิษต่อตับและไต): Metformin ไม่ได้ถูกเปลี่ยนแปลงสภาพที่ตับและถูกขับออกทางไตในรูปเดิม จึงไม่มีสารเมแทบอไลต์ที่เป็นพิษ
• ข้อ ง. (ยาเป็นพิษต่อไตโดยตรง): Metformin ไม่ได้มีฤทธิ์เป็นพิษต่อไตโดยตรง เพียงแต่จะคั่งในร่างกายหากไตขับออกไม่ได้
• ข้อ จ. (ยามีผลเพิ่มกระบวนการ reabsorbtion ของไต ทำให้ไตทำงานหนักขึ้น Metformin กลไกการออกฤทธิ์ คือ ยับยั้งการบวนการ Hepatic gluconeogenesis ไม่สามารถเปลี่ยน Lactic acid เป็น Pyruvate ได้): Metformin ไม่มีกลไกกระตุ้น reabsorption ที่ไต กลไกหลักคือยับยั้ง gluconeogenesis ที่ตับ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44" s="46" t="n"/>
      <c r="L244" s="45" t="inlineStr">
        <is>
          <t>Hypertension</t>
        </is>
      </c>
      <c r="M244" s="46" t="inlineStr">
        <is>
          <t>Clinic</t>
        </is>
      </c>
      <c r="N244" s="45" t="inlineStr">
        <is>
          <t>ข้อ 23 (PLE_CC1_Key_Rx20_UBU.md)</t>
        </is>
      </c>
      <c r="O244" s="46" t="inlineStr">
        <is>
          <t>Mock</t>
        </is>
      </c>
      <c r="P244" s="46" t="inlineStr">
        <is>
          <t>Mock Rx20 UBU</t>
        </is>
      </c>
    </row>
    <row r="245" ht="409.6" customHeight="1" s="37">
      <c r="A245" s="44" t="n">
        <v>243</v>
      </c>
      <c r="B245" s="45" t="inlineStr">
        <is>
          <t>ข้อใดเป็นประโยชน์สำคัญของการให้ Vitamin D ร่วมกับ Calcium</t>
        </is>
      </c>
      <c r="C245" s="46" t="n"/>
      <c r="D245" s="45" t="inlineStr">
        <is>
          <t>ช่วยเร่งการสะสม calcium ที่กระดูก</t>
        </is>
      </c>
      <c r="E245" s="45" t="inlineStr">
        <is>
          <t>ลดการขับออกของ calcium ที่ไต</t>
        </is>
      </c>
      <c r="F245" s="45" t="inlineStr">
        <is>
          <t>เพิ่มการดูดซึมของ calcium ที่ทางเดินอาหาร</t>
        </is>
      </c>
      <c r="G245" s="45" t="inlineStr">
        <is>
          <t>ลดการเกิดพิษต่อตับ</t>
        </is>
      </c>
      <c r="H245" s="45" t="inlineStr">
        <is>
          <t>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t>
        </is>
      </c>
      <c r="I245" s="44" t="inlineStr">
        <is>
          <t>3</t>
        </is>
      </c>
      <c r="J245" s="45" t="inlineStr">
        <is>
          <t>✅ คำตอบที่ถูกต้อง: ข้อ ค. เพิ่มการดูดซึมของ calcium ที่ทางเดินอาหาร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เพิ่มการดูดซึมของ calcium ที่ทางเดินอาหาร การเลือก เพิ่มการดูดซึมของ calcium ที่ทางเดินอาหาร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(ช่วยเร่งการสะสม calcium ที่กระดูก): Vitamin D ไม่ได้เร่งการสะสม Calcium ที่กระดูกโดยตรง แต่เพิ่มระดับแคลเซียมในเลือดเพื่อให้เพียงพอต่อการสร้างกระดูกโดย Osteoblast
• ข้อ ข. (ลดการขับออกของ calcium ที่ไต): Vitamin D มีผลเพิ่มการดูดกลับของแคลเซียมที่ไตเพียงเล็กน้อย หน้าที่หลักคือเพิ่มการดูดซึมแคลเซียมที่ลำไส้
• ข้อ ง. (ลดการเกิดพิษต่อตับ): Vitamin D และ Calcium ไม่มีฤทธิ์ต้านอนุมูลอิสระหรือป้องกันการเกิดพิษต่อตับแต่อย่างใด
• ข้อ จ. (เพื่อให้ฟอสเฟตจับกับแคลเซียมได้เร็วขึ้น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 ฟอสเฟตสามารถจับกับแคลเซียมและตกตะกอนได้ แต่การให้ Vitamin D มีวัตถุประสงค์เพื่อเพิ่มระดับ Calcium ไม่ใช่ส่งเสริมการตกตะกอน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5" s="46" t="n"/>
      <c r="L245" s="45" t="inlineStr">
        <is>
          <t>Hypertension</t>
        </is>
      </c>
      <c r="M245" s="46" t="inlineStr">
        <is>
          <t>Clinic</t>
        </is>
      </c>
      <c r="N245" s="45" t="inlineStr">
        <is>
          <t>ข้อ 86 (PLE_CC1_Key_Rx20_UBU.md)</t>
        </is>
      </c>
      <c r="O245" s="46" t="inlineStr">
        <is>
          <t>Mock</t>
        </is>
      </c>
      <c r="P245" s="46" t="inlineStr">
        <is>
          <t>Mock Rx20 UBU</t>
        </is>
      </c>
    </row>
    <row r="246" ht="409.6" customHeight="1" s="37">
      <c r="A246" s="44" t="n">
        <v>244</v>
      </c>
      <c r="B246" s="45" t="inlineStr">
        <is>
          <t>โครงสร้าง Simvastatin โครงสร้างส่วนใด เปลี่ยนเป็น Active form แล้วจับกับ Target</t>
        </is>
      </c>
      <c r="C246" s="46" t="n"/>
      <c r="D246" s="45" t="inlineStr">
        <is>
          <t>Six-membered lactone ring</t>
        </is>
      </c>
      <c r="E246" s="45" t="inlineStr">
        <is>
          <t>naphthalenyl ester</t>
        </is>
      </c>
      <c r="F246" s="45" t="inlineStr">
        <is>
          <t>3’</t>
        </is>
      </c>
      <c r="G246" s="45" t="inlineStr">
        <is>
          <t>8’</t>
        </is>
      </c>
      <c r="H246" s="45" t="inlineStr">
        <is>
          <t>2’-methyl group</t>
        </is>
      </c>
      <c r="I246" s="44" t="inlineStr">
        <is>
          <t>1</t>
        </is>
      </c>
      <c r="J246" s="45" t="inlineStr">
        <is>
          <t>✅ คำตอบที่ถูกต้อง: ข้อ ก. Six-membered lactone ring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Six-membered lactone ring การเลือก Six-membered lactone ring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(naphthalenyl ester): Naphthalenyl ester เป็นส่วน lipophilic moiety ที่ช่วยให้ยาจับกับเอนไซม์ HMG-CoA reductase อย่างแน่นหนา แต่ไม่ใช่ส่วนที่เป็น Prodrug cleavage
• ข้อ ค. (3’): ตำแหน่ง 3' ไม่ได้มีพันธะที่ต้องถูกทำปฏิกิริยาไฮโดรไลซิสเพื่อเปลี่ยนเป็น active form
• ข้อ ง. (8’): ตำแหน่ง 8' เป็นจุดที่มี ester chain ต่ออยู่ แต่ส่วนที่ต้องเปิดวงเพื่อให้ยาออกฤทธิ์คือ lactone ring
• ข้อ จ. (2’-methyl group): 2'-methyl group เป็นตำแหน่งที่ทำให้ Simvastatin มี potency สูงกว่า Lovastatin แต่ไม่ได้เป็นตำแหน่งที่ต้องแตกออกเพื่อเป็น active form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46" s="46" t="n"/>
      <c r="L246" s="45" t="inlineStr">
        <is>
          <t>Hypertension</t>
        </is>
      </c>
      <c r="M246" s="46" t="inlineStr">
        <is>
          <t>Clinic</t>
        </is>
      </c>
      <c r="N246" s="45" t="inlineStr">
        <is>
          <t>ข้อ 95 (PLE_CC1_Key_Rx20_UBU.md)</t>
        </is>
      </c>
      <c r="O246" s="46" t="inlineStr">
        <is>
          <t>Mock</t>
        </is>
      </c>
      <c r="P246" s="46" t="inlineStr">
        <is>
          <t>Mock Rx20 UBU</t>
        </is>
      </c>
    </row>
    <row r="247" ht="409.6" customHeight="1" s="37">
      <c r="A247" s="44" t="n">
        <v>245</v>
      </c>
      <c r="B247" s="45" t="inlineStr">
        <is>
          <t>โครงสร้าง Amlodipine ข้อใดผิด</t>
        </is>
      </c>
      <c r="C247" s="46" t="n"/>
      <c r="D247" s="45" t="inlineStr">
        <is>
          <t>เป็น amphoteric compount</t>
        </is>
      </c>
      <c r="E247" s="45" t="inlineStr">
        <is>
          <t>มีตำแหน่งที่ 4 เป็น chiral carbon</t>
        </is>
      </c>
      <c r="F247" s="45" t="inlineStr">
        <is>
          <t>ทำเป็น sodium salt เพื่อความคงตัว</t>
        </is>
      </c>
      <c r="G247" s="45" t="inlineStr">
        <is>
          <t>เป็น 1,4-Dihydropyridine calcium channel blocker</t>
        </is>
      </c>
      <c r="H247" s="45" t="inlineStr">
        <is>
          <t>pKa เท่ากับ 7.4</t>
        </is>
      </c>
      <c r="I247" s="44" t="inlineStr">
        <is>
          <t>5</t>
        </is>
      </c>
      <c r="J247" s="45" t="inlineStr">
        <is>
          <t>✅ คำตอบที่ถูกต้อง: ข้อ จ. pKa เท่ากับ 7.4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pKa เท่ากับ 7.4 การเลือก pKa เท่ากับ 7.4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(เป็น amphoteric compount): Amlodipine มีความเป็นด่าง (primary amine) ไม่ใช่ amphoteric compound
• ข้อ ข. (มีตำแหน่งที่ 4 เป็น chiral carbon): Amlodipine มี chiral carbon ที่ตำแหน่ง C4 ในวงแหวน Dihydropyridine จริง ทำให้มี isomer แบบ R และ S
• ข้อ ค. (ทำเป็น sodium salt เพื่อความคงตัว): Amlodipine ทำเป็น besylate หรือ maleate salt เพื่อเพิ่มความคงตัวและละลายน้ำ ไม่ใช่ sodium salt
• ข้อ ง. (เป็น 1,4-Dihydropyridine calcium channel blocker): Amlodipine จัดเป็น 1,4-Dihydropyridine calcium channel blocker ที่ออกฤทธิ์นานจริง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47" s="46" t="n"/>
      <c r="L247" s="45" t="inlineStr">
        <is>
          <t>Hypertension</t>
        </is>
      </c>
      <c r="M247" s="46" t="inlineStr">
        <is>
          <t>Clinic</t>
        </is>
      </c>
      <c r="N247" s="45" t="inlineStr">
        <is>
          <t>ข้อ 96 (PLE_CC1_Key_Rx20_UBU.md)</t>
        </is>
      </c>
      <c r="O247" s="46" t="inlineStr">
        <is>
          <t>Mock</t>
        </is>
      </c>
      <c r="P247" s="46" t="inlineStr">
        <is>
          <t>Mock Rx20 UBU</t>
        </is>
      </c>
    </row>
    <row r="248" ht="409.6" customHeight="1" s="37">
      <c r="A248" s="44" t="n">
        <v>246</v>
      </c>
      <c r="B248" s="45" t="inlineStr">
        <is>
          <t>ยาตัวใดต่อไปนี้มีฤทธิ์ยับยั้งผลของ Angiotensin II ได้ดีและตรงจุดที่สุดที่ระดับตัวรับ (Receptor)</t>
        </is>
      </c>
      <c r="C248" s="46" t="n"/>
      <c r="D248" s="45" t="inlineStr">
        <is>
          <t>Aliskiren</t>
        </is>
      </c>
      <c r="E248" s="45" t="inlineStr">
        <is>
          <t>Enalapril</t>
        </is>
      </c>
      <c r="F248" s="45" t="inlineStr">
        <is>
          <t>Losartan</t>
        </is>
      </c>
      <c r="G248" s="45" t="inlineStr">
        <is>
          <t>Carvedilol</t>
        </is>
      </c>
      <c r="H248" s="45" t="inlineStr">
        <is>
          <t>Furosemide</t>
        </is>
      </c>
      <c r="I248" s="44" t="inlineStr">
        <is>
          <t>3</t>
        </is>
      </c>
      <c r="J248" s="45" t="inlineStr">
        <is>
          <t>✅ คำตอบที่ถูกต้อง: ข้อ ค. Losartan
💡 Background:
ระบบ Renin-Angiotensin-Aldosterone System (RAAS) มีบทบาทสำคัญในการควบคุมความดันโลหิตและสมดุลสารน้ำในร่างกาย การยับยั้งผลของ Angiotensin II สามารถทำได้หลายขั้นตอน เช่น ยับยั้งต้นน้ำด้วย Renin inhibitor (Aliskiren), ยับยั้งการสร้างด้วย ACE inhibitors (เช่น Enalapril) ซึ่งป้องกันการเปลี่ยน Angiotensin I เป็น Angiotensin II แต่ร่างกายยังมีวิถีอื่นที่ไม่ผ่าน ACE (Non-ACE pathways เช่น Chymase) ในการสร้าง Angiotensin II ได้ ดังนั้นยาที่ยับยั้งผลของ Angiotensin II ได้โดยตรงและสมบูรณ์ที่สุดที่ระดับตัวรับคือกลุ่ม Angiotensin II Receptor Blockers (ARBs)
🎯 ทำไมข้อนี้ถึงถูก:
Losartan เป็นยาในกลุ่ม Angiotensin II Receptor Blocker (ARB) ออกฤทธิ์ปิดกั้นตัวรับ AT1 receptor โดยตรง (Direct receptor blockade) จึงสามารถยับยั้งผลของ Angiotensin II ได้อย่างสมบูรณ์ครอบคลุมทั้งส่วนที่สร้างจาก ACE และ Non-ACE pathways สอดคล้องกับเฉลยข้อสอบ PLE-CC1 ที่เน้นว่า ARB มีฤทธิ์ยับยั้งผลของ Angiotensin II ได้โดยตรงที่ระดับ receptor
🔍 ข้ออื่นผิดเพราะอะไร:
• ข้อ ก. (Aliskiren): เป็น Direct Renin Inhibitor ยับยั้งการเปลี่ยน Angiotensinogen เป็น Angiotensin I เป็นการยับยั้งต้นน้ำ ไม่ใช่การยับยั้งผลของ Angiotensin II โดยตรง
• ข้อ ข. (Enalapril): เป็น ACE inhibitor ยับยั้งการสังเคราะห์ Angiotensin II ทางอ้อม แต่ยังมี Angiotensin II ที่ถูกสร้างผ่านเอนไซม์อื่น เช่น Chymase ไปออกฤทธิ์ต่อได้ (ACE escape phenomenon)
• ข้อ ง. (Carvedilol): เป็น Non-selective beta-blocker with alpha-1 blocking activity ออกฤทธิ์ลดความดันผ่านระบบประสาทซิมพาเทติก ไม่ได้ยับยั้ง Angiotensin II receptor
• ข้อ จ. (Furosemide): เป็น Loop diuretic ออกฤทธิ์ยับยั้ง Na+/K+/2Cl- cotransporter ที่ Thick ascending limb ของ Loop of Henle
📖 Guideline อ้างอิง:
แนวทางการรักษาโรคความดันโลหิตสูงในเวชปฏิบัติทั่วไป พ.ศ. 2562 (สมาคมความดันโลหิตสูงแห่งประเทศไทย) &amp; 2024 ESC Guidelines for the management of elevated blood pressure and hypertension
📌 จุดจำก่อนสอบ:
• ARB vs ACEI: ARB (เช่น Losartan, Valsartan) บล็อกที่ AT1 Receptor โดยตรงจึงต้านผลของ Angiotensin II ได้ครอบคลุมทุก pathway และไม่เพิ่มระดับ Bradykinin จึงไม่ทำให้เกิดอาการไอแห้ง (Dry cough) เหมือน ACEI
• RAAS Cascade: Aliskiren ยับยั้ง Renin -&gt; ACEI ยับยั้งการสังเคราะห์ Angiotensin II -&gt; ARB บล็อกตัวรับ Angiotensin II Type 1 (AT1)</t>
        </is>
      </c>
      <c r="K248" s="46" t="n"/>
      <c r="L248" s="45" t="inlineStr">
        <is>
          <t>Hypertension</t>
        </is>
      </c>
      <c r="M248" s="46" t="inlineStr">
        <is>
          <t>Clinic</t>
        </is>
      </c>
      <c r="N248" s="45" t="inlineStr">
        <is>
          <t>PLE_CC1_2567_Key ข้อ 1</t>
        </is>
      </c>
      <c r="O248" s="46" t="inlineStr">
        <is>
          <t>ข้อสอบจริง</t>
        </is>
      </c>
      <c r="P248" s="46" t="inlineStr">
        <is>
          <t>ปี 2567</t>
        </is>
      </c>
    </row>
    <row r="249" ht="409.6" customHeight="1" s="37">
      <c r="A249" s="8" t="n"/>
      <c r="B249" s="2" t="n"/>
      <c r="C249" s="2" t="n"/>
      <c r="D249" s="2" t="n"/>
      <c r="E249" s="2" t="n"/>
      <c r="F249" s="2" t="n"/>
      <c r="G249" s="2" t="n"/>
      <c r="H249" s="2" t="n"/>
      <c r="I249" s="8" t="n"/>
      <c r="J249" s="10" t="n"/>
      <c r="K249" s="2" t="n"/>
      <c r="L249" s="2" t="n"/>
      <c r="M249" s="2" t="n"/>
      <c r="N249" s="2" t="n"/>
      <c r="O249" s="2" t="n"/>
      <c r="P249" s="2" t="n"/>
    </row>
    <row r="250" ht="409.6" customHeight="1" s="37">
      <c r="A250" s="8" t="n"/>
      <c r="B250" s="2" t="n"/>
      <c r="C250" s="2" t="n"/>
      <c r="D250" s="2" t="n"/>
      <c r="E250" s="2" t="n"/>
      <c r="F250" s="2" t="n"/>
      <c r="G250" s="2" t="n"/>
      <c r="H250" s="2" t="n"/>
      <c r="I250" s="8" t="n"/>
      <c r="J250" s="10" t="n"/>
      <c r="K250" s="2" t="n"/>
      <c r="L250" s="2" t="n"/>
      <c r="M250" s="2" t="n"/>
      <c r="N250" s="2" t="n"/>
      <c r="O250" s="2" t="n"/>
      <c r="P250" s="2" t="n"/>
    </row>
    <row r="251" ht="409.6" customHeight="1" s="37">
      <c r="A251" s="8" t="n"/>
      <c r="B251" s="2" t="n"/>
      <c r="C251" s="2" t="n"/>
      <c r="D251" s="2" t="n"/>
      <c r="E251" s="2" t="n"/>
      <c r="F251" s="2" t="n"/>
      <c r="G251" s="2" t="n"/>
      <c r="H251" s="2" t="n"/>
      <c r="I251" s="8" t="n"/>
      <c r="J251" s="10" t="n"/>
      <c r="K251" s="2" t="n"/>
      <c r="L251" s="2" t="n"/>
      <c r="M251" s="2" t="n"/>
      <c r="N251" s="2" t="n"/>
      <c r="O251" s="2" t="n"/>
      <c r="P251" s="2" t="n"/>
    </row>
    <row r="252" ht="409.6" customHeight="1" s="37">
      <c r="A252" s="8" t="n"/>
      <c r="B252" s="2" t="n"/>
      <c r="C252" s="2" t="n"/>
      <c r="D252" s="2" t="n"/>
      <c r="E252" s="2" t="n"/>
      <c r="F252" s="2" t="n"/>
      <c r="G252" s="2" t="n"/>
      <c r="H252" s="2" t="n"/>
      <c r="I252" s="8" t="n"/>
      <c r="J252" s="10" t="n"/>
      <c r="K252" s="2" t="n"/>
      <c r="L252" s="2" t="n"/>
      <c r="M252" s="2" t="n"/>
      <c r="N252" s="2" t="n"/>
      <c r="O252" s="2" t="n"/>
      <c r="P252" s="2" t="n"/>
    </row>
    <row r="253" ht="409.6" customHeight="1" s="37">
      <c r="A253" s="8" t="n"/>
      <c r="B253" s="2" t="n"/>
      <c r="C253" s="2" t="n"/>
      <c r="D253" s="2" t="n"/>
      <c r="E253" s="2" t="n"/>
      <c r="F253" s="2" t="n"/>
      <c r="G253" s="2" t="n"/>
      <c r="H253" s="2" t="n"/>
      <c r="I253" s="8" t="n"/>
      <c r="J253" s="10" t="n"/>
      <c r="K253" s="2" t="n"/>
      <c r="L253" s="2" t="n"/>
      <c r="M253" s="2" t="n"/>
      <c r="N253" s="2" t="n"/>
      <c r="O253" s="2" t="n"/>
      <c r="P253" s="2" t="n"/>
    </row>
    <row r="254" ht="409.6" customHeight="1" s="37">
      <c r="A254" s="8" t="n"/>
      <c r="B254" s="2" t="n"/>
      <c r="C254" s="2" t="n"/>
      <c r="D254" s="2" t="n"/>
      <c r="E254" s="2" t="n"/>
      <c r="F254" s="2" t="n"/>
      <c r="G254" s="2" t="n"/>
      <c r="H254" s="2" t="n"/>
      <c r="I254" s="8" t="n"/>
      <c r="J254" s="10" t="n"/>
      <c r="K254" s="2" t="n"/>
      <c r="L254" s="2" t="n"/>
      <c r="M254" s="2" t="n"/>
      <c r="N254" s="2" t="n"/>
      <c r="O254" s="2" t="n"/>
      <c r="P254" s="2" t="n"/>
    </row>
    <row r="255" ht="409.6" customHeight="1" s="37">
      <c r="A255" s="8" t="n"/>
      <c r="B255" s="2" t="n"/>
      <c r="C255" s="2" t="n"/>
      <c r="D255" s="2" t="n"/>
      <c r="E255" s="2" t="n"/>
      <c r="F255" s="2" t="n"/>
      <c r="G255" s="2" t="n"/>
      <c r="H255" s="2" t="n"/>
      <c r="I255" s="8" t="n"/>
      <c r="J255" s="10" t="n"/>
      <c r="K255" s="2" t="n"/>
      <c r="L255" s="2" t="n"/>
      <c r="M255" s="2" t="n"/>
      <c r="N255" s="2" t="n"/>
      <c r="O255" s="2" t="n"/>
      <c r="P255" s="2" t="n"/>
    </row>
    <row r="256" ht="409.6" customHeight="1" s="37">
      <c r="A256" s="8" t="n"/>
      <c r="B256" s="2" t="n"/>
      <c r="C256" s="2" t="n"/>
      <c r="D256" s="2" t="n"/>
      <c r="E256" s="2" t="n"/>
      <c r="F256" s="2" t="n"/>
      <c r="G256" s="2" t="n"/>
      <c r="H256" s="2" t="n"/>
      <c r="I256" s="8" t="n"/>
      <c r="J256" s="10" t="n"/>
      <c r="K256" s="2" t="n"/>
      <c r="L256" s="2" t="n"/>
      <c r="M256" s="2" t="n"/>
      <c r="N256" s="2" t="n"/>
      <c r="O256" s="2" t="n"/>
      <c r="P256" s="2" t="n"/>
    </row>
    <row r="257" ht="409.6" customHeight="1" s="37">
      <c r="A257" s="8" t="n"/>
      <c r="B257" s="2" t="n"/>
      <c r="C257" s="2" t="n"/>
      <c r="D257" s="2" t="n"/>
      <c r="E257" s="2" t="n"/>
      <c r="F257" s="2" t="n"/>
      <c r="G257" s="2" t="n"/>
      <c r="H257" s="2" t="n"/>
      <c r="I257" s="8" t="n"/>
      <c r="J257" s="10" t="n"/>
      <c r="K257" s="2" t="n"/>
      <c r="L257" s="2" t="n"/>
      <c r="M257" s="2" t="n"/>
      <c r="N257" s="2" t="n"/>
      <c r="O257" s="2" t="n"/>
      <c r="P257" s="2" t="n"/>
    </row>
    <row r="258" ht="409.6" customHeight="1" s="37">
      <c r="A258" s="8" t="n"/>
      <c r="B258" s="2" t="n"/>
      <c r="C258" s="2" t="n"/>
      <c r="D258" s="2" t="n"/>
      <c r="E258" s="2" t="n"/>
      <c r="F258" s="2" t="n"/>
      <c r="G258" s="2" t="n"/>
      <c r="H258" s="2" t="n"/>
      <c r="I258" s="8" t="n"/>
      <c r="J258" s="10" t="n"/>
      <c r="K258" s="2" t="n"/>
      <c r="L258" s="2" t="n"/>
      <c r="M258" s="2" t="n"/>
      <c r="N258" s="2" t="n"/>
      <c r="O258" s="2" t="n"/>
      <c r="P258" s="2" t="n"/>
    </row>
    <row r="259" ht="409.6" customHeight="1" s="37">
      <c r="A259" s="8" t="n"/>
      <c r="B259" s="2" t="n"/>
      <c r="C259" s="2" t="n"/>
      <c r="D259" s="2" t="n"/>
      <c r="E259" s="2" t="n"/>
      <c r="F259" s="2" t="n"/>
      <c r="G259" s="2" t="n"/>
      <c r="H259" s="2" t="n"/>
      <c r="I259" s="8" t="n"/>
      <c r="J259" s="10" t="n"/>
      <c r="K259" s="2" t="n"/>
      <c r="L259" s="2" t="n"/>
      <c r="M259" s="2" t="n"/>
      <c r="N259" s="2" t="n"/>
      <c r="O259" s="2" t="n"/>
      <c r="P259" s="2" t="n"/>
    </row>
    <row r="260" ht="409.6" customHeight="1" s="37">
      <c r="A260" s="8" t="n"/>
      <c r="B260" s="2" t="n"/>
      <c r="C260" s="2" t="n"/>
      <c r="D260" s="2" t="n"/>
      <c r="E260" s="2" t="n"/>
      <c r="F260" s="2" t="n"/>
      <c r="G260" s="2" t="n"/>
      <c r="H260" s="2" t="n"/>
      <c r="I260" s="8" t="n"/>
      <c r="J260" s="10" t="n"/>
      <c r="K260" s="2" t="n"/>
      <c r="L260" s="2" t="n"/>
      <c r="M260" s="2" t="n"/>
      <c r="N260" s="2" t="n"/>
      <c r="O260" s="2" t="n"/>
      <c r="P260" s="2" t="n"/>
    </row>
    <row r="261" ht="409.6" customHeight="1" s="37">
      <c r="A261" s="8" t="n"/>
      <c r="B261" s="2" t="n"/>
      <c r="C261" s="2" t="n"/>
      <c r="D261" s="2" t="n"/>
      <c r="E261" s="2" t="n"/>
      <c r="F261" s="2" t="n"/>
      <c r="G261" s="2" t="n"/>
      <c r="H261" s="2" t="n"/>
      <c r="I261" s="8" t="n"/>
      <c r="J261" s="10" t="n"/>
      <c r="K261" s="2" t="n"/>
      <c r="L261" s="2" t="n"/>
      <c r="M261" s="2" t="n"/>
      <c r="N261" s="2" t="n"/>
      <c r="O261" s="2" t="n"/>
      <c r="P261" s="2" t="n"/>
    </row>
    <row r="262" ht="409.6" customHeight="1" s="37">
      <c r="A262" s="8" t="n"/>
      <c r="B262" s="2" t="n"/>
      <c r="C262" s="2" t="n"/>
      <c r="D262" s="2" t="n"/>
      <c r="E262" s="2" t="n"/>
      <c r="F262" s="2" t="n"/>
      <c r="G262" s="2" t="n"/>
      <c r="H262" s="2" t="n"/>
      <c r="I262" s="8" t="n"/>
      <c r="J262" s="10" t="n"/>
      <c r="K262" s="2" t="n"/>
      <c r="L262" s="2" t="n"/>
      <c r="M262" s="2" t="n"/>
      <c r="N262" s="2" t="n"/>
      <c r="O262" s="2" t="n"/>
      <c r="P262" s="2" t="n"/>
    </row>
    <row r="263" ht="409.6" customHeight="1" s="37">
      <c r="A263" s="8" t="n"/>
      <c r="B263" s="2" t="n"/>
      <c r="C263" s="2" t="n"/>
      <c r="D263" s="2" t="n"/>
      <c r="E263" s="2" t="n"/>
      <c r="F263" s="2" t="n"/>
      <c r="G263" s="2" t="n"/>
      <c r="H263" s="2" t="n"/>
      <c r="I263" s="8" t="n"/>
      <c r="J263" s="10" t="n"/>
      <c r="K263" s="2" t="n"/>
      <c r="L263" s="2" t="n"/>
      <c r="M263" s="2" t="n"/>
      <c r="N263" s="2" t="n"/>
      <c r="O263" s="2" t="n"/>
      <c r="P263" s="2" t="n"/>
    </row>
    <row r="264" ht="409.6" customHeight="1" s="37">
      <c r="A264" s="8" t="n"/>
      <c r="B264" s="2" t="n"/>
      <c r="C264" s="2" t="n"/>
      <c r="D264" s="2" t="n"/>
      <c r="E264" s="2" t="n"/>
      <c r="F264" s="2" t="n"/>
      <c r="G264" s="2" t="n"/>
      <c r="H264" s="2" t="n"/>
      <c r="I264" s="8" t="n"/>
      <c r="J264" s="10" t="n"/>
      <c r="K264" s="2" t="n"/>
      <c r="L264" s="2" t="n"/>
      <c r="M264" s="2" t="n"/>
      <c r="N264" s="2" t="n"/>
      <c r="O264" s="2" t="n"/>
      <c r="P264" s="2" t="n"/>
    </row>
    <row r="265" ht="409.6" customHeight="1" s="37">
      <c r="A265" s="8" t="n"/>
      <c r="B265" s="2" t="n"/>
      <c r="C265" s="2" t="n"/>
      <c r="D265" s="2" t="n"/>
      <c r="E265" s="2" t="n"/>
      <c r="F265" s="2" t="n"/>
      <c r="G265" s="2" t="n"/>
      <c r="H265" s="2" t="n"/>
      <c r="I265" s="8" t="n"/>
      <c r="J265" s="10" t="n"/>
      <c r="K265" s="2" t="n"/>
      <c r="L265" s="2" t="n"/>
      <c r="M265" s="2" t="n"/>
      <c r="N265" s="2" t="n"/>
      <c r="O265" s="2" t="n"/>
      <c r="P265" s="2" t="n"/>
    </row>
    <row r="266" ht="409.6" customHeight="1" s="37">
      <c r="A266" s="8" t="n"/>
      <c r="B266" s="2" t="n"/>
      <c r="C266" s="2" t="n"/>
      <c r="D266" s="2" t="n"/>
      <c r="E266" s="2" t="n"/>
      <c r="F266" s="2" t="n"/>
      <c r="G266" s="2" t="n"/>
      <c r="H266" s="2" t="n"/>
      <c r="I266" s="8" t="n"/>
      <c r="J266" s="10" t="n"/>
      <c r="K266" s="2" t="n"/>
      <c r="L266" s="2" t="n"/>
      <c r="M266" s="2" t="n"/>
      <c r="N266" s="2" t="n"/>
      <c r="O266" s="2" t="n"/>
      <c r="P266" s="2" t="n"/>
    </row>
    <row r="267" ht="409.6" customHeight="1" s="37">
      <c r="A267" s="8" t="n"/>
      <c r="B267" s="2" t="n"/>
      <c r="C267" s="2" t="n"/>
      <c r="D267" s="2" t="n"/>
      <c r="E267" s="2" t="n"/>
      <c r="F267" s="2" t="n"/>
      <c r="G267" s="2" t="n"/>
      <c r="H267" s="2" t="n"/>
      <c r="I267" s="8" t="n"/>
      <c r="J267" s="10" t="n"/>
      <c r="K267" s="2" t="n"/>
      <c r="L267" s="2" t="n"/>
      <c r="M267" s="2" t="n"/>
      <c r="N267" s="2" t="n"/>
      <c r="O267" s="2" t="n"/>
      <c r="P267" s="2" t="n"/>
    </row>
    <row r="268" ht="409.6" customHeight="1" s="37">
      <c r="A268" s="8" t="n"/>
      <c r="B268" s="2" t="n"/>
      <c r="C268" s="2" t="n"/>
      <c r="D268" s="2" t="n"/>
      <c r="E268" s="2" t="n"/>
      <c r="F268" s="2" t="n"/>
      <c r="G268" s="2" t="n"/>
      <c r="H268" s="2" t="n"/>
      <c r="I268" s="8" t="n"/>
      <c r="J268" s="10" t="n"/>
      <c r="K268" s="2" t="n"/>
      <c r="L268" s="2" t="n"/>
      <c r="M268" s="2" t="n"/>
      <c r="N268" s="2" t="n"/>
      <c r="O268" s="2" t="n"/>
      <c r="P268" s="2" t="n"/>
    </row>
    <row r="269" ht="409.6" customHeight="1" s="37">
      <c r="A269" s="8" t="n"/>
      <c r="B269" s="2" t="n"/>
      <c r="C269" s="2" t="n"/>
      <c r="D269" s="2" t="n"/>
      <c r="E269" s="2" t="n"/>
      <c r="F269" s="2" t="n"/>
      <c r="G269" s="2" t="n"/>
      <c r="H269" s="2" t="n"/>
      <c r="I269" s="8" t="n"/>
      <c r="J269" s="10" t="n"/>
      <c r="K269" s="2" t="n"/>
      <c r="L269" s="2" t="n"/>
      <c r="M269" s="2" t="n"/>
      <c r="N269" s="2" t="n"/>
      <c r="O269" s="2" t="n"/>
      <c r="P269" s="2" t="n"/>
    </row>
    <row r="270" ht="409.6" customHeight="1" s="37">
      <c r="A270" s="8" t="n"/>
      <c r="B270" s="2" t="n"/>
      <c r="C270" s="2" t="n"/>
      <c r="D270" s="2" t="n"/>
      <c r="E270" s="2" t="n"/>
      <c r="F270" s="2" t="n"/>
      <c r="G270" s="2" t="n"/>
      <c r="H270" s="2" t="n"/>
      <c r="I270" s="8" t="n"/>
      <c r="J270" s="10" t="n"/>
      <c r="K270" s="2" t="n"/>
      <c r="L270" s="2" t="n"/>
      <c r="M270" s="2" t="n"/>
      <c r="N270" s="2" t="n"/>
      <c r="O270" s="2" t="n"/>
      <c r="P270" s="2" t="n"/>
    </row>
    <row r="271" ht="409.6" customHeight="1" s="37">
      <c r="A271" s="8" t="n"/>
      <c r="B271" s="2" t="n"/>
      <c r="C271" s="2" t="n"/>
      <c r="D271" s="2" t="n"/>
      <c r="E271" s="2" t="n"/>
      <c r="F271" s="2" t="n"/>
      <c r="G271" s="2" t="n"/>
      <c r="H271" s="2" t="n"/>
      <c r="I271" s="8" t="n"/>
      <c r="J271" s="10" t="n"/>
      <c r="K271" s="2" t="n"/>
      <c r="L271" s="2" t="n"/>
      <c r="M271" s="2" t="n"/>
      <c r="N271" s="2" t="n"/>
      <c r="O271" s="2" t="n"/>
      <c r="P271" s="2" t="n"/>
    </row>
    <row r="272" ht="409.6" customHeight="1" s="37">
      <c r="A272" s="8" t="n"/>
      <c r="B272" s="2" t="n"/>
      <c r="C272" s="2" t="n"/>
      <c r="D272" s="2" t="n"/>
      <c r="E272" s="2" t="n"/>
      <c r="F272" s="2" t="n"/>
      <c r="G272" s="2" t="n"/>
      <c r="H272" s="2" t="n"/>
      <c r="I272" s="8" t="n"/>
      <c r="J272" s="10" t="n"/>
      <c r="K272" s="2" t="n"/>
      <c r="L272" s="2" t="n"/>
      <c r="M272" s="2" t="n"/>
      <c r="N272" s="2" t="n"/>
      <c r="O272" s="2" t="n"/>
      <c r="P272" s="2" t="n"/>
    </row>
    <row r="273" ht="409.6" customHeight="1" s="37">
      <c r="A273" s="8" t="n"/>
      <c r="B273" s="2" t="n"/>
      <c r="C273" s="2" t="n"/>
      <c r="D273" s="2" t="n"/>
      <c r="E273" s="2" t="n"/>
      <c r="F273" s="2" t="n"/>
      <c r="G273" s="2" t="n"/>
      <c r="H273" s="2" t="n"/>
      <c r="I273" s="8" t="n"/>
      <c r="J273" s="10" t="n"/>
      <c r="K273" s="2" t="n"/>
      <c r="L273" s="2" t="n"/>
      <c r="M273" s="2" t="n"/>
      <c r="N273" s="2" t="n"/>
      <c r="O273" s="2" t="n"/>
      <c r="P273" s="2" t="n"/>
    </row>
    <row r="274" ht="409.6" customHeight="1" s="37">
      <c r="A274" s="8" t="n"/>
      <c r="B274" s="2" t="n"/>
      <c r="C274" s="2" t="n"/>
      <c r="D274" s="2" t="n"/>
      <c r="E274" s="2" t="n"/>
      <c r="F274" s="2" t="n"/>
      <c r="G274" s="2" t="n"/>
      <c r="H274" s="2" t="n"/>
      <c r="I274" s="8" t="n"/>
      <c r="J274" s="10" t="n"/>
      <c r="K274" s="2" t="n"/>
      <c r="L274" s="2" t="n"/>
      <c r="M274" s="2" t="n"/>
      <c r="N274" s="2" t="n"/>
      <c r="O274" s="2" t="n"/>
      <c r="P274" s="2" t="n"/>
    </row>
    <row r="275" ht="409.6" customHeight="1" s="37">
      <c r="A275" s="8" t="n"/>
      <c r="B275" s="2" t="n"/>
      <c r="C275" s="2" t="n"/>
      <c r="D275" s="2" t="n"/>
      <c r="E275" s="2" t="n"/>
      <c r="F275" s="2" t="n"/>
      <c r="G275" s="2" t="n"/>
      <c r="H275" s="2" t="n"/>
      <c r="I275" s="8" t="n"/>
      <c r="J275" s="10" t="n"/>
      <c r="K275" s="2" t="n"/>
      <c r="L275" s="2" t="n"/>
      <c r="M275" s="2" t="n"/>
      <c r="N275" s="2" t="n"/>
      <c r="O275" s="2" t="n"/>
      <c r="P275" s="2" t="n"/>
    </row>
    <row r="276" ht="409.6" customHeight="1" s="37">
      <c r="A276" s="8" t="n"/>
      <c r="B276" s="2" t="n"/>
      <c r="C276" s="2" t="n"/>
      <c r="D276" s="2" t="n"/>
      <c r="E276" s="2" t="n"/>
      <c r="F276" s="2" t="n"/>
      <c r="G276" s="2" t="n"/>
      <c r="H276" s="2" t="n"/>
      <c r="I276" s="8" t="n"/>
      <c r="J276" s="10" t="n"/>
      <c r="K276" s="2" t="n"/>
      <c r="L276" s="2" t="n"/>
      <c r="M276" s="2" t="n"/>
      <c r="N276" s="2" t="n"/>
      <c r="O276" s="2" t="n"/>
      <c r="P276" s="2" t="n"/>
    </row>
    <row r="277" ht="409.6" customHeight="1" s="37">
      <c r="A277" s="8" t="n"/>
      <c r="B277" s="2" t="n"/>
      <c r="C277" s="2" t="n"/>
      <c r="D277" s="2" t="n"/>
      <c r="E277" s="2" t="n"/>
      <c r="F277" s="2" t="n"/>
      <c r="G277" s="2" t="n"/>
      <c r="H277" s="2" t="n"/>
      <c r="I277" s="8" t="n"/>
      <c r="J277" s="10" t="n"/>
      <c r="K277" s="2" t="n"/>
      <c r="L277" s="2" t="n"/>
      <c r="M277" s="2" t="n"/>
      <c r="N277" s="2" t="n"/>
      <c r="O277" s="2" t="n"/>
      <c r="P277" s="2" t="n"/>
    </row>
    <row r="278" ht="409.6" customHeight="1" s="37">
      <c r="A278" s="8" t="n"/>
      <c r="B278" s="2" t="n"/>
      <c r="C278" s="2" t="n"/>
      <c r="D278" s="2" t="n"/>
      <c r="E278" s="2" t="n"/>
      <c r="F278" s="2" t="n"/>
      <c r="G278" s="2" t="n"/>
      <c r="H278" s="2" t="n"/>
      <c r="I278" s="8" t="n"/>
      <c r="J278" s="10" t="n"/>
      <c r="K278" s="2" t="n"/>
      <c r="L278" s="2" t="n"/>
      <c r="M278" s="2" t="n"/>
      <c r="N278" s="2" t="n"/>
      <c r="O278" s="2" t="n"/>
      <c r="P278" s="2" t="n"/>
    </row>
    <row r="279" ht="409.6" customHeight="1" s="37">
      <c r="A279" s="8" t="n"/>
      <c r="B279" s="2" t="n"/>
      <c r="C279" s="2" t="n"/>
      <c r="D279" s="2" t="n"/>
      <c r="E279" s="2" t="n"/>
      <c r="F279" s="2" t="n"/>
      <c r="G279" s="2" t="n"/>
      <c r="H279" s="2" t="n"/>
      <c r="I279" s="8" t="n"/>
      <c r="J279" s="10" t="n"/>
      <c r="K279" s="2" t="n"/>
      <c r="L279" s="2" t="n"/>
      <c r="M279" s="2" t="n"/>
      <c r="N279" s="2" t="n"/>
      <c r="O279" s="2" t="n"/>
      <c r="P279" s="2" t="n"/>
    </row>
    <row r="280" ht="409.6" customHeight="1" s="37">
      <c r="A280" s="8" t="n"/>
      <c r="B280" s="2" t="n"/>
      <c r="C280" s="2" t="n"/>
      <c r="D280" s="2" t="n"/>
      <c r="E280" s="2" t="n"/>
      <c r="F280" s="2" t="n"/>
      <c r="G280" s="2" t="n"/>
      <c r="H280" s="2" t="n"/>
      <c r="I280" s="8" t="n"/>
      <c r="J280" s="10" t="n"/>
      <c r="K280" s="2" t="n"/>
      <c r="L280" s="2" t="n"/>
      <c r="M280" s="2" t="n"/>
      <c r="N280" s="2" t="n"/>
      <c r="O280" s="2" t="n"/>
      <c r="P280" s="2" t="n"/>
    </row>
    <row r="281" ht="409.6" customHeight="1" s="37">
      <c r="A281" s="8" t="n"/>
      <c r="B281" s="2" t="n"/>
      <c r="C281" s="2" t="n"/>
      <c r="D281" s="2" t="n"/>
      <c r="E281" s="2" t="n"/>
      <c r="F281" s="2" t="n"/>
      <c r="G281" s="2" t="n"/>
      <c r="H281" s="2" t="n"/>
      <c r="I281" s="8" t="n"/>
      <c r="J281" s="10" t="n"/>
      <c r="K281" s="2" t="n"/>
      <c r="L281" s="2" t="n"/>
      <c r="M281" s="2" t="n"/>
      <c r="N281" s="2" t="n"/>
      <c r="O281" s="2" t="n"/>
      <c r="P281" s="2" t="n"/>
    </row>
    <row r="282" ht="409.6" customHeight="1" s="37">
      <c r="A282" s="8" t="n"/>
      <c r="B282" s="2" t="n"/>
      <c r="C282" s="2" t="n"/>
      <c r="D282" s="2" t="n"/>
      <c r="E282" s="2" t="n"/>
      <c r="F282" s="2" t="n"/>
      <c r="G282" s="2" t="n"/>
      <c r="H282" s="2" t="n"/>
      <c r="I282" s="8" t="n"/>
      <c r="J282" s="10" t="n"/>
      <c r="K282" s="2" t="n"/>
      <c r="L282" s="2" t="n"/>
      <c r="M282" s="2" t="n"/>
      <c r="N282" s="2" t="n"/>
      <c r="O282" s="2" t="n"/>
      <c r="P282" s="2" t="n"/>
    </row>
    <row r="283" ht="409.6" customHeight="1" s="37">
      <c r="A283" s="8" t="n"/>
      <c r="B283" s="2" t="n"/>
      <c r="C283" s="2" t="n"/>
      <c r="D283" s="2" t="n"/>
      <c r="E283" s="2" t="n"/>
      <c r="F283" s="2" t="n"/>
      <c r="G283" s="2" t="n"/>
      <c r="H283" s="2" t="n"/>
      <c r="I283" s="8" t="n"/>
      <c r="J283" s="10" t="n"/>
      <c r="K283" s="2" t="n"/>
      <c r="L283" s="2" t="n"/>
      <c r="M283" s="2" t="n"/>
      <c r="N283" s="2" t="n"/>
      <c r="O283" s="2" t="n"/>
      <c r="P283" s="2" t="n"/>
    </row>
    <row r="284" ht="409.6" customHeight="1" s="37">
      <c r="A284" s="8" t="n"/>
      <c r="B284" s="2" t="n"/>
      <c r="C284" s="2" t="n"/>
      <c r="D284" s="2" t="n"/>
      <c r="E284" s="2" t="n"/>
      <c r="F284" s="2" t="n"/>
      <c r="G284" s="2" t="n"/>
      <c r="H284" s="2" t="n"/>
      <c r="I284" s="8" t="n"/>
      <c r="J284" s="10" t="n"/>
      <c r="K284" s="2" t="n"/>
      <c r="L284" s="2" t="n"/>
      <c r="M284" s="2" t="n"/>
      <c r="N284" s="2" t="n"/>
      <c r="O284" s="2" t="n"/>
      <c r="P284" s="2" t="n"/>
    </row>
    <row r="285" ht="409.6" customHeight="1" s="37">
      <c r="A285" s="8" t="n"/>
      <c r="B285" s="2" t="n"/>
      <c r="C285" s="2" t="n"/>
      <c r="D285" s="2" t="n"/>
      <c r="E285" s="2" t="n"/>
      <c r="F285" s="2" t="n"/>
      <c r="G285" s="2" t="n"/>
      <c r="H285" s="2" t="n"/>
      <c r="I285" s="8" t="n"/>
      <c r="J285" s="10" t="n"/>
      <c r="K285" s="2" t="n"/>
      <c r="L285" s="2" t="n"/>
      <c r="M285" s="2" t="n"/>
      <c r="N285" s="2" t="n"/>
      <c r="O285" s="2" t="n"/>
      <c r="P285" s="2" t="n"/>
    </row>
    <row r="286" ht="409.6" customHeight="1" s="37">
      <c r="A286" s="8" t="n"/>
      <c r="B286" s="2" t="n"/>
      <c r="C286" s="2" t="n"/>
      <c r="D286" s="2" t="n"/>
      <c r="E286" s="2" t="n"/>
      <c r="F286" s="2" t="n"/>
      <c r="G286" s="2" t="n"/>
      <c r="H286" s="2" t="n"/>
      <c r="I286" s="8" t="n"/>
      <c r="J286" s="10" t="n"/>
      <c r="K286" s="2" t="n"/>
      <c r="L286" s="2" t="n"/>
      <c r="M286" s="2" t="n"/>
      <c r="N286" s="2" t="n"/>
      <c r="O286" s="2" t="n"/>
      <c r="P286" s="2" t="n"/>
    </row>
    <row r="287" ht="409.6" customHeight="1" s="37">
      <c r="A287" s="8" t="n"/>
      <c r="B287" s="2" t="n"/>
      <c r="C287" s="2" t="n"/>
      <c r="D287" s="2" t="n"/>
      <c r="E287" s="2" t="n"/>
      <c r="F287" s="2" t="n"/>
      <c r="G287" s="2" t="n"/>
      <c r="H287" s="2" t="n"/>
      <c r="I287" s="8" t="n"/>
      <c r="J287" s="10" t="n"/>
      <c r="K287" s="2" t="n"/>
      <c r="L287" s="2" t="n"/>
      <c r="M287" s="2" t="n"/>
      <c r="N287" s="2" t="n"/>
      <c r="O287" s="2" t="n"/>
      <c r="P287" s="2" t="n"/>
    </row>
    <row r="288" ht="409.6" customHeight="1" s="37">
      <c r="A288" s="8" t="n"/>
      <c r="B288" s="2" t="n"/>
      <c r="C288" s="2" t="n"/>
      <c r="D288" s="2" t="n"/>
      <c r="E288" s="2" t="n"/>
      <c r="F288" s="2" t="n"/>
      <c r="G288" s="2" t="n"/>
      <c r="H288" s="2" t="n"/>
      <c r="I288" s="8" t="n"/>
      <c r="J288" s="10" t="n"/>
      <c r="K288" s="2" t="n"/>
      <c r="L288" s="2" t="n"/>
      <c r="M288" s="2" t="n"/>
      <c r="N288" s="2" t="n"/>
      <c r="O288" s="2" t="n"/>
      <c r="P288" s="2" t="n"/>
    </row>
    <row r="289" ht="409.6" customHeight="1" s="37">
      <c r="A289" s="8" t="n"/>
      <c r="B289" s="2" t="n"/>
      <c r="C289" s="2" t="n"/>
      <c r="D289" s="2" t="n"/>
      <c r="E289" s="2" t="n"/>
      <c r="F289" s="2" t="n"/>
      <c r="G289" s="2" t="n"/>
      <c r="H289" s="2" t="n"/>
      <c r="I289" s="8" t="n"/>
      <c r="J289" s="10" t="n"/>
      <c r="K289" s="2" t="n"/>
      <c r="L289" s="2" t="n"/>
      <c r="M289" s="2" t="n"/>
      <c r="N289" s="2" t="n"/>
      <c r="O289" s="2" t="n"/>
      <c r="P289" s="2" t="n"/>
    </row>
    <row r="290" ht="409.6" customHeight="1" s="37">
      <c r="A290" s="8" t="n"/>
      <c r="B290" s="2" t="n"/>
      <c r="C290" s="2" t="n"/>
      <c r="D290" s="2" t="n"/>
      <c r="E290" s="2" t="n"/>
      <c r="F290" s="2" t="n"/>
      <c r="G290" s="2" t="n"/>
      <c r="H290" s="2" t="n"/>
      <c r="I290" s="8" t="n"/>
      <c r="J290" s="10" t="n"/>
      <c r="K290" s="2" t="n"/>
      <c r="L290" s="2" t="n"/>
      <c r="M290" s="2" t="n"/>
      <c r="N290" s="2" t="n"/>
      <c r="O290" s="2" t="n"/>
      <c r="P290" s="2" t="n"/>
    </row>
    <row r="291" ht="409.6" customHeight="1" s="37">
      <c r="A291" s="8" t="n"/>
      <c r="B291" s="2" t="n"/>
      <c r="C291" s="2" t="n"/>
      <c r="D291" s="2" t="n"/>
      <c r="E291" s="2" t="n"/>
      <c r="F291" s="2" t="n"/>
      <c r="G291" s="2" t="n"/>
      <c r="H291" s="2" t="n"/>
      <c r="I291" s="8" t="n"/>
      <c r="J291" s="10" t="n"/>
      <c r="K291" s="2" t="n"/>
      <c r="L291" s="2" t="n"/>
      <c r="M291" s="2" t="n"/>
      <c r="N291" s="2" t="n"/>
      <c r="O291" s="2" t="n"/>
      <c r="P291" s="2" t="n"/>
    </row>
    <row r="292" ht="409.6" customHeight="1" s="37">
      <c r="A292" s="8" t="n"/>
      <c r="B292" s="2" t="n"/>
      <c r="C292" s="2" t="n"/>
      <c r="D292" s="2" t="n"/>
      <c r="E292" s="2" t="n"/>
      <c r="F292" s="2" t="n"/>
      <c r="G292" s="2" t="n"/>
      <c r="H292" s="2" t="n"/>
      <c r="I292" s="8" t="n"/>
      <c r="J292" s="10" t="n"/>
      <c r="K292" s="2" t="n"/>
      <c r="L292" s="2" t="n"/>
      <c r="M292" s="2" t="n"/>
      <c r="N292" s="2" t="n"/>
      <c r="O292" s="2" t="n"/>
      <c r="P292" s="2" t="n"/>
    </row>
    <row r="293" ht="409.6" customHeight="1" s="37">
      <c r="A293" s="8" t="n"/>
      <c r="B293" s="2" t="n"/>
      <c r="C293" s="2" t="n"/>
      <c r="D293" s="2" t="n"/>
      <c r="E293" s="2" t="n"/>
      <c r="F293" s="2" t="n"/>
      <c r="G293" s="2" t="n"/>
      <c r="H293" s="2" t="n"/>
      <c r="I293" s="8" t="n"/>
      <c r="J293" s="10" t="n"/>
      <c r="K293" s="2" t="n"/>
      <c r="L293" s="2" t="n"/>
      <c r="M293" s="2" t="n"/>
      <c r="N293" s="2" t="n"/>
      <c r="O293" s="2" t="n"/>
      <c r="P293" s="2" t="n"/>
    </row>
    <row r="294" ht="409.6" customHeight="1" s="37">
      <c r="A294" s="8" t="n"/>
      <c r="B294" s="2" t="n"/>
      <c r="C294" s="2" t="n"/>
      <c r="D294" s="2" t="n"/>
      <c r="E294" s="2" t="n"/>
      <c r="F294" s="2" t="n"/>
      <c r="G294" s="2" t="n"/>
      <c r="H294" s="2" t="n"/>
      <c r="I294" s="8" t="n"/>
      <c r="J294" s="10" t="n"/>
      <c r="K294" s="2" t="n"/>
      <c r="L294" s="2" t="n"/>
      <c r="M294" s="2" t="n"/>
      <c r="N294" s="2" t="n"/>
      <c r="O294" s="2" t="n"/>
      <c r="P294" s="2" t="n"/>
    </row>
    <row r="295" ht="409.6" customHeight="1" s="37">
      <c r="A295" s="8" t="n"/>
      <c r="B295" s="2" t="n"/>
      <c r="C295" s="2" t="n"/>
      <c r="D295" s="2" t="n"/>
      <c r="E295" s="2" t="n"/>
      <c r="F295" s="2" t="n"/>
      <c r="G295" s="2" t="n"/>
      <c r="H295" s="2" t="n"/>
      <c r="I295" s="8" t="n"/>
      <c r="J295" s="10" t="n"/>
      <c r="K295" s="2" t="n"/>
      <c r="L295" s="2" t="n"/>
      <c r="M295" s="2" t="n"/>
      <c r="N295" s="2" t="n"/>
      <c r="O295" s="2" t="n"/>
      <c r="P295" s="2" t="n"/>
    </row>
    <row r="296" ht="409.6" customHeight="1" s="37">
      <c r="A296" s="8" t="n"/>
      <c r="B296" s="2" t="n"/>
      <c r="C296" s="2" t="n"/>
      <c r="D296" s="2" t="n"/>
      <c r="E296" s="2" t="n"/>
      <c r="F296" s="2" t="n"/>
      <c r="G296" s="2" t="n"/>
      <c r="H296" s="2" t="n"/>
      <c r="I296" s="8" t="n"/>
      <c r="J296" s="10" t="n"/>
      <c r="K296" s="2" t="n"/>
      <c r="L296" s="2" t="n"/>
      <c r="M296" s="2" t="n"/>
      <c r="N296" s="2" t="n"/>
      <c r="O296" s="2" t="n"/>
      <c r="P296" s="2" t="n"/>
    </row>
    <row r="297" ht="409.6" customHeight="1" s="37">
      <c r="A297" s="8" t="n"/>
      <c r="B297" s="2" t="n"/>
      <c r="C297" s="2" t="n"/>
      <c r="D297" s="2" t="n"/>
      <c r="E297" s="2" t="n"/>
      <c r="F297" s="2" t="n"/>
      <c r="G297" s="2" t="n"/>
      <c r="H297" s="2" t="n"/>
      <c r="I297" s="8" t="n"/>
      <c r="J297" s="10" t="n"/>
      <c r="K297" s="2" t="n"/>
      <c r="L297" s="2" t="n"/>
      <c r="M297" s="2" t="n"/>
      <c r="N297" s="2" t="n"/>
      <c r="O297" s="2" t="n"/>
      <c r="P297" s="2" t="n"/>
    </row>
    <row r="298" ht="409.6" customHeight="1" s="37">
      <c r="A298" s="8" t="n"/>
      <c r="B298" s="2" t="n"/>
      <c r="C298" s="2" t="n"/>
      <c r="D298" s="2" t="n"/>
      <c r="E298" s="2" t="n"/>
      <c r="F298" s="2" t="n"/>
      <c r="G298" s="2" t="n"/>
      <c r="H298" s="2" t="n"/>
      <c r="I298" s="8" t="n"/>
      <c r="J298" s="10" t="n"/>
      <c r="K298" s="2" t="n"/>
      <c r="L298" s="2" t="n"/>
      <c r="M298" s="2" t="n"/>
      <c r="N298" s="2" t="n"/>
      <c r="O298" s="2" t="n"/>
      <c r="P298" s="2" t="n"/>
    </row>
    <row r="299" ht="409.6" customHeight="1" s="37">
      <c r="A299" s="8" t="n"/>
      <c r="B299" s="2" t="n"/>
      <c r="C299" s="2" t="n"/>
      <c r="D299" s="8" t="n"/>
      <c r="E299" s="8" t="n"/>
      <c r="F299" s="8" t="n"/>
      <c r="G299" s="8" t="n"/>
      <c r="H299" s="8" t="n"/>
      <c r="I299" s="8" t="n"/>
      <c r="J299" s="10" t="n"/>
      <c r="K299" s="2" t="n"/>
      <c r="L299" s="2" t="n"/>
      <c r="M299" s="2" t="n"/>
      <c r="N299" s="2" t="n"/>
      <c r="O299" s="2" t="n"/>
      <c r="P299" s="2" t="n"/>
    </row>
    <row r="300" ht="409.6" customHeight="1" s="37">
      <c r="A300" s="8" t="n"/>
      <c r="B300" s="2" t="n"/>
      <c r="C300" s="2" t="n"/>
      <c r="D300" s="2" t="n"/>
      <c r="E300" s="2" t="n"/>
      <c r="F300" s="2" t="n"/>
      <c r="G300" s="2" t="n"/>
      <c r="H300" s="2" t="n"/>
      <c r="I300" s="8" t="n"/>
      <c r="J300" s="10" t="n"/>
      <c r="K300" s="2" t="n"/>
      <c r="L300" s="2" t="n"/>
      <c r="M300" s="2" t="n"/>
      <c r="N300" s="2" t="n"/>
      <c r="O300" s="2" t="n"/>
      <c r="P300" s="2" t="n"/>
    </row>
    <row r="301" ht="409.6" customHeight="1" s="37">
      <c r="A301" s="8" t="n"/>
      <c r="B301" s="2" t="n"/>
      <c r="C301" s="2" t="n"/>
      <c r="D301" s="2" t="n"/>
      <c r="E301" s="2" t="n"/>
      <c r="F301" s="2" t="n"/>
      <c r="G301" s="2" t="n"/>
      <c r="H301" s="2" t="n"/>
      <c r="I301" s="8" t="n"/>
      <c r="J301" s="10" t="n"/>
      <c r="K301" s="2" t="n"/>
      <c r="L301" s="2" t="n"/>
      <c r="M301" s="2" t="n"/>
      <c r="N301" s="2" t="n"/>
      <c r="O301" s="2" t="n"/>
      <c r="P301" s="2" t="n"/>
    </row>
    <row r="302" ht="409.6" customHeight="1" s="37">
      <c r="A302" s="8" t="n"/>
      <c r="B302" s="2" t="n"/>
      <c r="C302" s="2" t="n"/>
      <c r="D302" s="2" t="n"/>
      <c r="E302" s="2" t="n"/>
      <c r="F302" s="2" t="n"/>
      <c r="G302" s="2" t="n"/>
      <c r="H302" s="2" t="n"/>
      <c r="I302" s="8" t="n"/>
      <c r="J302" s="10" t="n"/>
      <c r="K302" s="2" t="n"/>
      <c r="L302" s="2" t="n"/>
      <c r="M302" s="2" t="n"/>
      <c r="N302" s="2" t="n"/>
      <c r="O302" s="2" t="n"/>
      <c r="P302" s="2" t="n"/>
    </row>
    <row r="303" ht="409.6" customHeight="1" s="37">
      <c r="A303" s="8" t="n"/>
      <c r="B303" s="2" t="n"/>
      <c r="C303" s="2" t="n"/>
      <c r="D303" s="2" t="n"/>
      <c r="E303" s="2" t="n"/>
      <c r="F303" s="2" t="n"/>
      <c r="G303" s="2" t="n"/>
      <c r="H303" s="2" t="n"/>
      <c r="I303" s="8" t="n"/>
      <c r="J303" s="10" t="n"/>
      <c r="K303" s="2" t="n"/>
      <c r="L303" s="2" t="n"/>
      <c r="M303" s="2" t="n"/>
      <c r="N303" s="2" t="n"/>
      <c r="O303" s="2" t="n"/>
      <c r="P303" s="2" t="n"/>
    </row>
    <row r="304" ht="409.6" customHeight="1" s="37">
      <c r="A304" s="8" t="n"/>
      <c r="B304" s="2" t="n"/>
      <c r="C304" s="2" t="n"/>
      <c r="D304" s="2" t="n"/>
      <c r="E304" s="2" t="n"/>
      <c r="F304" s="2" t="n"/>
      <c r="G304" s="2" t="n"/>
      <c r="H304" s="2" t="n"/>
      <c r="I304" s="8" t="n"/>
      <c r="J304" s="10" t="n"/>
      <c r="K304" s="2" t="n"/>
      <c r="L304" s="2" t="n"/>
      <c r="M304" s="2" t="n"/>
      <c r="N304" s="2" t="n"/>
      <c r="O304" s="2" t="n"/>
      <c r="P304" s="2" t="n"/>
    </row>
    <row r="305" ht="409.6" customHeight="1" s="37">
      <c r="A305" s="8" t="n"/>
      <c r="B305" s="2" t="n"/>
      <c r="C305" s="2" t="n"/>
      <c r="D305" s="2" t="n"/>
      <c r="E305" s="2" t="n"/>
      <c r="F305" s="2" t="n"/>
      <c r="G305" s="2" t="n"/>
      <c r="H305" s="2" t="n"/>
      <c r="I305" s="8" t="n"/>
      <c r="J305" s="10" t="n"/>
      <c r="K305" s="2" t="n"/>
      <c r="L305" s="2" t="n"/>
      <c r="M305" s="2" t="n"/>
      <c r="N305" s="2" t="n"/>
      <c r="O305" s="2" t="n"/>
      <c r="P305" s="2" t="n"/>
    </row>
    <row r="306" ht="409.6" customHeight="1" s="37">
      <c r="A306" s="8" t="n"/>
      <c r="B306" s="2" t="n"/>
      <c r="C306" s="2" t="n"/>
      <c r="D306" s="2" t="n"/>
      <c r="E306" s="2" t="n"/>
      <c r="F306" s="2" t="n"/>
      <c r="G306" s="2" t="n"/>
      <c r="H306" s="2" t="n"/>
      <c r="I306" s="8" t="n"/>
      <c r="J306" s="10" t="n"/>
      <c r="K306" s="2" t="n"/>
      <c r="L306" s="2" t="n"/>
      <c r="M306" s="2" t="n"/>
      <c r="N306" s="2" t="n"/>
      <c r="O306" s="2" t="n"/>
      <c r="P306" s="2" t="n"/>
    </row>
    <row r="307" ht="409.6" customHeight="1" s="37">
      <c r="A307" s="8" t="n"/>
      <c r="B307" s="2" t="n"/>
      <c r="C307" s="2" t="n"/>
      <c r="D307" s="2" t="n"/>
      <c r="E307" s="2" t="n"/>
      <c r="F307" s="2" t="n"/>
      <c r="G307" s="2" t="n"/>
      <c r="H307" s="2" t="n"/>
      <c r="I307" s="8" t="n"/>
      <c r="J307" s="10" t="n"/>
      <c r="K307" s="2" t="n"/>
      <c r="L307" s="2" t="n"/>
      <c r="M307" s="2" t="n"/>
      <c r="N307" s="2" t="n"/>
      <c r="O307" s="2" t="n"/>
      <c r="P307" s="2" t="n"/>
    </row>
    <row r="308" ht="409.6" customHeight="1" s="37">
      <c r="A308" s="8" t="n"/>
      <c r="B308" s="2" t="n"/>
      <c r="C308" s="2" t="n"/>
      <c r="D308" s="2" t="n"/>
      <c r="E308" s="2" t="n"/>
      <c r="F308" s="2" t="n"/>
      <c r="G308" s="2" t="n"/>
      <c r="H308" s="2" t="n"/>
      <c r="I308" s="8" t="n"/>
      <c r="J308" s="10" t="n"/>
      <c r="K308" s="2" t="n"/>
      <c r="L308" s="2" t="n"/>
      <c r="M308" s="2" t="n"/>
      <c r="N308" s="2" t="n"/>
      <c r="O308" s="2" t="n"/>
      <c r="P308" s="2" t="n"/>
    </row>
    <row r="309" ht="409.6" customHeight="1" s="37">
      <c r="A309" s="8" t="n"/>
      <c r="B309" s="2" t="n"/>
      <c r="C309" s="2" t="n"/>
      <c r="D309" s="2" t="n"/>
      <c r="E309" s="2" t="n"/>
      <c r="F309" s="2" t="n"/>
      <c r="G309" s="2" t="n"/>
      <c r="H309" s="2" t="n"/>
      <c r="I309" s="8" t="n"/>
      <c r="J309" s="10" t="n"/>
      <c r="K309" s="2" t="n"/>
      <c r="L309" s="2" t="n"/>
      <c r="M309" s="2" t="n"/>
      <c r="N309" s="2" t="n"/>
      <c r="O309" s="2" t="n"/>
      <c r="P309" s="2" t="n"/>
    </row>
    <row r="310" ht="409.6" customHeight="1" s="37">
      <c r="A310" s="8" t="n"/>
      <c r="B310" s="2" t="n"/>
      <c r="C310" s="2" t="n"/>
      <c r="D310" s="2" t="n"/>
      <c r="E310" s="2" t="n"/>
      <c r="F310" s="2" t="n"/>
      <c r="G310" s="2" t="n"/>
      <c r="H310" s="2" t="n"/>
      <c r="I310" s="8" t="n"/>
      <c r="J310" s="10" t="n"/>
      <c r="K310" s="2" t="n"/>
      <c r="L310" s="2" t="n"/>
      <c r="M310" s="2" t="n"/>
      <c r="N310" s="2" t="n"/>
      <c r="O310" s="2" t="n"/>
      <c r="P310" s="2" t="n"/>
    </row>
    <row r="311" ht="409.6" customHeight="1" s="37">
      <c r="A311" s="8" t="n"/>
      <c r="B311" s="2" t="n"/>
      <c r="C311" s="2" t="n"/>
      <c r="D311" s="2" t="n"/>
      <c r="E311" s="2" t="n"/>
      <c r="F311" s="2" t="n"/>
      <c r="G311" s="2" t="n"/>
      <c r="H311" s="2" t="n"/>
      <c r="I311" s="8" t="n"/>
      <c r="J311" s="10" t="n"/>
      <c r="K311" s="2" t="n"/>
      <c r="L311" s="2" t="n"/>
      <c r="M311" s="2" t="n"/>
      <c r="N311" s="2" t="n"/>
      <c r="O311" s="2" t="n"/>
      <c r="P311" s="2" t="n"/>
    </row>
    <row r="312" ht="409.6" customHeight="1" s="37">
      <c r="A312" s="8" t="n"/>
      <c r="B312" s="2" t="n"/>
      <c r="C312" s="2" t="n"/>
      <c r="D312" s="2" t="n"/>
      <c r="E312" s="2" t="n"/>
      <c r="F312" s="2" t="n"/>
      <c r="G312" s="2" t="n"/>
      <c r="H312" s="2" t="n"/>
      <c r="I312" s="8" t="n"/>
      <c r="J312" s="10" t="n"/>
      <c r="K312" s="2" t="n"/>
      <c r="L312" s="2" t="n"/>
      <c r="M312" s="2" t="n"/>
      <c r="N312" s="2" t="n"/>
      <c r="O312" s="2" t="n"/>
      <c r="P312" s="2" t="n"/>
    </row>
    <row r="313" ht="409.6" customHeight="1" s="37">
      <c r="A313" s="8" t="n"/>
      <c r="B313" s="2" t="n"/>
      <c r="C313" s="2" t="n"/>
      <c r="D313" s="2" t="n"/>
      <c r="E313" s="2" t="n"/>
      <c r="F313" s="2" t="n"/>
      <c r="G313" s="2" t="n"/>
      <c r="H313" s="2" t="n"/>
      <c r="I313" s="8" t="n"/>
      <c r="J313" s="10" t="n"/>
      <c r="K313" s="2" t="n"/>
      <c r="L313" s="2" t="n"/>
      <c r="M313" s="2" t="n"/>
      <c r="N313" s="2" t="n"/>
      <c r="O313" s="2" t="n"/>
      <c r="P313" s="2" t="n"/>
    </row>
    <row r="314" ht="409.6" customHeight="1" s="37">
      <c r="A314" s="8" t="n"/>
      <c r="B314" s="2" t="n"/>
      <c r="C314" s="2" t="n"/>
      <c r="D314" s="2" t="n"/>
      <c r="E314" s="2" t="n"/>
      <c r="F314" s="2" t="n"/>
      <c r="G314" s="2" t="n"/>
      <c r="H314" s="2" t="n"/>
      <c r="I314" s="8" t="n"/>
      <c r="J314" s="10" t="n"/>
      <c r="K314" s="2" t="n"/>
      <c r="L314" s="2" t="n"/>
      <c r="M314" s="2" t="n"/>
      <c r="N314" s="2" t="n"/>
      <c r="O314" s="2" t="n"/>
      <c r="P314" s="2" t="n"/>
    </row>
    <row r="315" ht="409.6" customHeight="1" s="37">
      <c r="A315" s="8" t="n"/>
      <c r="B315" s="2" t="n"/>
      <c r="C315" s="2" t="n"/>
      <c r="D315" s="2" t="n"/>
      <c r="E315" s="2" t="n"/>
      <c r="F315" s="2" t="n"/>
      <c r="G315" s="2" t="n"/>
      <c r="H315" s="2" t="n"/>
      <c r="I315" s="8" t="n"/>
      <c r="J315" s="10" t="n"/>
      <c r="K315" s="2" t="n"/>
      <c r="L315" s="2" t="n"/>
      <c r="M315" s="2" t="n"/>
      <c r="N315" s="2" t="n"/>
      <c r="O315" s="2" t="n"/>
      <c r="P315" s="2" t="n"/>
    </row>
    <row r="316" ht="409.6" customHeight="1" s="37">
      <c r="A316" s="8" t="n"/>
      <c r="B316" s="2" t="n"/>
      <c r="C316" s="2" t="n"/>
      <c r="D316" s="2" t="n"/>
      <c r="E316" s="2" t="n"/>
      <c r="F316" s="2" t="n"/>
      <c r="G316" s="2" t="n"/>
      <c r="H316" s="2" t="n"/>
      <c r="I316" s="8" t="n"/>
      <c r="J316" s="10" t="n"/>
      <c r="K316" s="2" t="n"/>
      <c r="L316" s="2" t="n"/>
      <c r="M316" s="2" t="n"/>
      <c r="N316" s="2" t="n"/>
      <c r="O316" s="2" t="n"/>
      <c r="P316" s="2" t="n"/>
    </row>
    <row r="317" ht="409.6" customHeight="1" s="37">
      <c r="A317" s="8" t="n"/>
      <c r="B317" s="2" t="n"/>
      <c r="C317" s="2" t="n"/>
      <c r="D317" s="2" t="n"/>
      <c r="E317" s="2" t="n"/>
      <c r="F317" s="2" t="n"/>
      <c r="G317" s="2" t="n"/>
      <c r="H317" s="2" t="n"/>
      <c r="I317" s="8" t="n"/>
      <c r="J317" s="10" t="n"/>
      <c r="K317" s="2" t="n"/>
      <c r="L317" s="2" t="n"/>
      <c r="M317" s="2" t="n"/>
      <c r="N317" s="2" t="n"/>
      <c r="O317" s="2" t="n"/>
      <c r="P317" s="2" t="n"/>
    </row>
    <row r="318" ht="409.6" customHeight="1" s="37">
      <c r="A318" s="8" t="n"/>
      <c r="B318" s="2" t="n"/>
      <c r="C318" s="2" t="n"/>
      <c r="D318" s="2" t="n"/>
      <c r="E318" s="2" t="n"/>
      <c r="F318" s="2" t="n"/>
      <c r="G318" s="2" t="n"/>
      <c r="H318" s="2" t="n"/>
      <c r="I318" s="8" t="n"/>
      <c r="J318" s="10" t="n"/>
      <c r="K318" s="2" t="n"/>
      <c r="L318" s="2" t="n"/>
      <c r="M318" s="2" t="n"/>
      <c r="N318" s="2" t="n"/>
      <c r="O318" s="2" t="n"/>
      <c r="P318" s="2" t="n"/>
    </row>
    <row r="319" ht="409.6" customHeight="1" s="37">
      <c r="A319" s="8" t="n"/>
      <c r="B319" s="2" t="n"/>
      <c r="C319" s="2" t="n"/>
      <c r="D319" s="2" t="n"/>
      <c r="E319" s="2" t="n"/>
      <c r="F319" s="2" t="n"/>
      <c r="G319" s="2" t="n"/>
      <c r="H319" s="2" t="n"/>
      <c r="I319" s="8" t="n"/>
      <c r="J319" s="10" t="n"/>
      <c r="K319" s="2" t="n"/>
      <c r="L319" s="2" t="n"/>
      <c r="M319" s="2" t="n"/>
      <c r="N319" s="2" t="n"/>
      <c r="O319" s="2" t="n"/>
      <c r="P319" s="2" t="n"/>
    </row>
    <row r="320" ht="409.6" customHeight="1" s="37">
      <c r="A320" s="8" t="n"/>
      <c r="B320" s="2" t="n"/>
      <c r="C320" s="2" t="n"/>
      <c r="D320" s="2" t="n"/>
      <c r="E320" s="2" t="n"/>
      <c r="F320" s="2" t="n"/>
      <c r="G320" s="2" t="n"/>
      <c r="H320" s="2" t="n"/>
      <c r="I320" s="8" t="n"/>
      <c r="J320" s="10" t="n"/>
      <c r="K320" s="2" t="n"/>
      <c r="L320" s="2" t="n"/>
      <c r="M320" s="2" t="n"/>
      <c r="N320" s="2" t="n"/>
      <c r="O320" s="2" t="n"/>
      <c r="P320" s="2" t="n"/>
    </row>
    <row r="321" ht="409.6" customHeight="1" s="37">
      <c r="A321" s="8" t="n"/>
      <c r="B321" s="2" t="n"/>
      <c r="C321" s="2" t="n"/>
      <c r="D321" s="2" t="n"/>
      <c r="E321" s="2" t="n"/>
      <c r="F321" s="2" t="n"/>
      <c r="G321" s="2" t="n"/>
      <c r="H321" s="2" t="n"/>
      <c r="I321" s="8" t="n"/>
      <c r="J321" s="10" t="n"/>
      <c r="K321" s="2" t="n"/>
      <c r="L321" s="2" t="n"/>
      <c r="M321" s="2" t="n"/>
      <c r="N321" s="2" t="n"/>
      <c r="O321" s="2" t="n"/>
      <c r="P321" s="2" t="n"/>
    </row>
    <row r="322" ht="409.6" customHeight="1" s="37">
      <c r="A322" s="8" t="n"/>
      <c r="B322" s="2" t="n"/>
      <c r="C322" s="2" t="n"/>
      <c r="D322" s="2" t="n"/>
      <c r="E322" s="2" t="n"/>
      <c r="F322" s="2" t="n"/>
      <c r="G322" s="2" t="n"/>
      <c r="H322" s="2" t="n"/>
      <c r="I322" s="8" t="n"/>
      <c r="J322" s="10" t="n"/>
      <c r="K322" s="2" t="n"/>
      <c r="L322" s="2" t="n"/>
      <c r="M322" s="2" t="n"/>
      <c r="N322" s="2" t="n"/>
      <c r="O322" s="2" t="n"/>
      <c r="P322" s="2" t="n"/>
    </row>
    <row r="323" ht="409.6" customHeight="1" s="37">
      <c r="A323" s="8" t="n"/>
      <c r="B323" s="2" t="n"/>
      <c r="C323" s="2" t="n"/>
      <c r="D323" s="2" t="n"/>
      <c r="E323" s="2" t="n"/>
      <c r="F323" s="2" t="n"/>
      <c r="G323" s="2" t="n"/>
      <c r="H323" s="2" t="n"/>
      <c r="I323" s="8" t="n"/>
      <c r="J323" s="10" t="n"/>
      <c r="K323" s="2" t="n"/>
      <c r="L323" s="2" t="n"/>
      <c r="M323" s="2" t="n"/>
      <c r="N323" s="2" t="n"/>
      <c r="O323" s="2" t="n"/>
      <c r="P323" s="2" t="n"/>
    </row>
    <row r="324" ht="409.6" customHeight="1" s="37">
      <c r="A324" s="8" t="n"/>
      <c r="B324" s="2" t="n"/>
      <c r="C324" s="2" t="n"/>
      <c r="D324" s="2" t="n"/>
      <c r="E324" s="2" t="n"/>
      <c r="F324" s="2" t="n"/>
      <c r="G324" s="2" t="n"/>
      <c r="H324" s="2" t="n"/>
      <c r="I324" s="8" t="n"/>
      <c r="J324" s="10" t="n"/>
      <c r="K324" s="2" t="n"/>
      <c r="L324" s="2" t="n"/>
      <c r="M324" s="2" t="n"/>
      <c r="N324" s="2" t="n"/>
      <c r="O324" s="2" t="n"/>
      <c r="P324" s="2" t="n"/>
    </row>
    <row r="325" ht="409.6" customHeight="1" s="37">
      <c r="A325" s="8" t="n"/>
      <c r="B325" s="2" t="n"/>
      <c r="C325" s="2" t="n"/>
      <c r="D325" s="2" t="n"/>
      <c r="E325" s="2" t="n"/>
      <c r="F325" s="2" t="n"/>
      <c r="G325" s="2" t="n"/>
      <c r="H325" s="2" t="n"/>
      <c r="I325" s="8" t="n"/>
      <c r="J325" s="10" t="n"/>
      <c r="K325" s="2" t="n"/>
      <c r="L325" s="2" t="n"/>
      <c r="M325" s="2" t="n"/>
      <c r="N325" s="2" t="n"/>
      <c r="O325" s="2" t="n"/>
      <c r="P325" s="2" t="n"/>
    </row>
    <row r="326" ht="409.6" customHeight="1" s="37">
      <c r="A326" s="8" t="n"/>
      <c r="B326" s="2" t="n"/>
      <c r="C326" s="2" t="n"/>
      <c r="D326" s="2" t="n"/>
      <c r="E326" s="2" t="n"/>
      <c r="F326" s="2" t="n"/>
      <c r="G326" s="2" t="n"/>
      <c r="H326" s="2" t="n"/>
      <c r="I326" s="8" t="n"/>
      <c r="J326" s="10" t="n"/>
      <c r="K326" s="2" t="n"/>
      <c r="L326" s="2" t="n"/>
      <c r="M326" s="2" t="n"/>
      <c r="N326" s="2" t="n"/>
      <c r="O326" s="2" t="n"/>
      <c r="P326" s="2" t="n"/>
    </row>
    <row r="327" ht="409.6" customHeight="1" s="37">
      <c r="A327" s="8" t="n"/>
      <c r="B327" s="2" t="n"/>
      <c r="C327" s="2" t="n"/>
      <c r="D327" s="2" t="n"/>
      <c r="E327" s="2" t="n"/>
      <c r="F327" s="2" t="n"/>
      <c r="G327" s="2" t="n"/>
      <c r="H327" s="2" t="n"/>
      <c r="I327" s="8" t="n"/>
      <c r="J327" s="10" t="n"/>
      <c r="K327" s="2" t="n"/>
      <c r="L327" s="2" t="n"/>
      <c r="M327" s="2" t="n"/>
      <c r="N327" s="2" t="n"/>
      <c r="O327" s="2" t="n"/>
      <c r="P327" s="2" t="n"/>
    </row>
    <row r="328" ht="409.6" customHeight="1" s="37">
      <c r="A328" s="8" t="n"/>
      <c r="B328" s="2" t="n"/>
      <c r="C328" s="2" t="n"/>
      <c r="D328" s="2" t="n"/>
      <c r="E328" s="2" t="n"/>
      <c r="F328" s="2" t="n"/>
      <c r="G328" s="2" t="n"/>
      <c r="H328" s="2" t="n"/>
      <c r="I328" s="8" t="n"/>
      <c r="J328" s="10" t="n"/>
      <c r="K328" s="2" t="n"/>
      <c r="L328" s="2" t="n"/>
      <c r="M328" s="2" t="n"/>
      <c r="N328" s="2" t="n"/>
      <c r="O328" s="2" t="n"/>
      <c r="P328" s="2" t="n"/>
    </row>
    <row r="329" ht="409.6" customHeight="1" s="37">
      <c r="A329" s="8" t="n"/>
      <c r="B329" s="2" t="n"/>
      <c r="C329" s="2" t="n"/>
      <c r="D329" s="2" t="n"/>
      <c r="E329" s="2" t="n"/>
      <c r="F329" s="2" t="n"/>
      <c r="G329" s="2" t="n"/>
      <c r="H329" s="2" t="n"/>
      <c r="I329" s="8" t="n"/>
      <c r="J329" s="10" t="n"/>
      <c r="K329" s="2" t="n"/>
      <c r="L329" s="2" t="n"/>
      <c r="M329" s="2" t="n"/>
      <c r="N329" s="2" t="n"/>
      <c r="O329" s="2" t="n"/>
      <c r="P329" s="2" t="n"/>
    </row>
    <row r="330" ht="409.6" customHeight="1" s="37">
      <c r="A330" s="8" t="n"/>
      <c r="B330" s="2" t="n"/>
      <c r="C330" s="2" t="n"/>
      <c r="D330" s="2" t="n"/>
      <c r="E330" s="2" t="n"/>
      <c r="F330" s="2" t="n"/>
      <c r="G330" s="2" t="n"/>
      <c r="H330" s="2" t="n"/>
      <c r="I330" s="8" t="n"/>
      <c r="J330" s="10" t="n"/>
      <c r="K330" s="2" t="n"/>
      <c r="L330" s="2" t="n"/>
      <c r="M330" s="2" t="n"/>
      <c r="N330" s="2" t="n"/>
      <c r="O330" s="2" t="n"/>
      <c r="P330" s="2" t="n"/>
    </row>
    <row r="331" ht="409.6" customHeight="1" s="37">
      <c r="A331" s="8" t="n"/>
      <c r="B331" s="2" t="n"/>
      <c r="C331" s="2" t="n"/>
      <c r="D331" s="2" t="n"/>
      <c r="E331" s="2" t="n"/>
      <c r="F331" s="2" t="n"/>
      <c r="G331" s="2" t="n"/>
      <c r="H331" s="2" t="n"/>
      <c r="I331" s="8" t="n"/>
      <c r="J331" s="10" t="n"/>
      <c r="K331" s="2" t="n"/>
      <c r="L331" s="2" t="n"/>
      <c r="M331" s="2" t="n"/>
      <c r="N331" s="2" t="n"/>
      <c r="O331" s="2" t="n"/>
      <c r="P331" s="2" t="n"/>
    </row>
    <row r="332" ht="409.6" customHeight="1" s="37">
      <c r="A332" s="8" t="n"/>
      <c r="B332" s="2" t="n"/>
      <c r="C332" s="2" t="n"/>
      <c r="D332" s="2" t="n"/>
      <c r="E332" s="2" t="n"/>
      <c r="F332" s="2" t="n"/>
      <c r="G332" s="2" t="n"/>
      <c r="H332" s="2" t="n"/>
      <c r="I332" s="8" t="n"/>
      <c r="J332" s="10" t="n"/>
      <c r="K332" s="2" t="n"/>
      <c r="L332" s="2" t="n"/>
      <c r="M332" s="2" t="n"/>
      <c r="N332" s="2" t="n"/>
      <c r="O332" s="2" t="n"/>
      <c r="P332" s="2" t="n"/>
    </row>
    <row r="333" ht="409.6" customHeight="1" s="37">
      <c r="A333" s="8" t="n"/>
      <c r="B333" s="2" t="n"/>
      <c r="C333" s="2" t="n"/>
      <c r="D333" s="2" t="n"/>
      <c r="E333" s="2" t="n"/>
      <c r="F333" s="2" t="n"/>
      <c r="G333" s="2" t="n"/>
      <c r="H333" s="2" t="n"/>
      <c r="I333" s="8" t="n"/>
      <c r="J333" s="10" t="n"/>
      <c r="K333" s="2" t="n"/>
      <c r="L333" s="2" t="n"/>
      <c r="M333" s="2" t="n"/>
      <c r="N333" s="2" t="n"/>
      <c r="O333" s="2" t="n"/>
      <c r="P333" s="2" t="n"/>
    </row>
    <row r="334" ht="409.6" customHeight="1" s="37">
      <c r="A334" s="8" t="n"/>
      <c r="B334" s="2" t="n"/>
      <c r="C334" s="2" t="n"/>
      <c r="D334" s="2" t="n"/>
      <c r="E334" s="2" t="n"/>
      <c r="F334" s="2" t="n"/>
      <c r="G334" s="2" t="n"/>
      <c r="H334" s="2" t="n"/>
      <c r="I334" s="8" t="n"/>
      <c r="J334" s="10" t="n"/>
      <c r="K334" s="2" t="n"/>
      <c r="L334" s="2" t="n"/>
      <c r="M334" s="2" t="n"/>
      <c r="N334" s="2" t="n"/>
      <c r="O334" s="2" t="n"/>
      <c r="P334" s="2" t="n"/>
    </row>
    <row r="335" ht="409.6" customHeight="1" s="37">
      <c r="A335" s="8" t="n"/>
      <c r="B335" s="2" t="n"/>
      <c r="C335" s="2" t="n"/>
      <c r="D335" s="2" t="n"/>
      <c r="E335" s="2" t="n"/>
      <c r="F335" s="2" t="n"/>
      <c r="G335" s="2" t="n"/>
      <c r="H335" s="2" t="n"/>
      <c r="I335" s="8" t="n"/>
      <c r="J335" s="10" t="n"/>
      <c r="K335" s="2" t="n"/>
      <c r="L335" s="2" t="n"/>
      <c r="M335" s="2" t="n"/>
      <c r="N335" s="2" t="n"/>
      <c r="O335" s="2" t="n"/>
      <c r="P335" s="2" t="n"/>
    </row>
    <row r="336" ht="409.6" customHeight="1" s="37">
      <c r="A336" s="8" t="n"/>
      <c r="B336" s="2" t="n"/>
      <c r="C336" s="2" t="n"/>
      <c r="D336" s="2" t="n"/>
      <c r="E336" s="2" t="n"/>
      <c r="F336" s="2" t="n"/>
      <c r="G336" s="2" t="n"/>
      <c r="H336" s="2" t="n"/>
      <c r="I336" s="8" t="n"/>
      <c r="J336" s="10" t="n"/>
      <c r="K336" s="2" t="n"/>
      <c r="L336" s="2" t="n"/>
      <c r="M336" s="2" t="n"/>
      <c r="N336" s="2" t="n"/>
      <c r="O336" s="2" t="n"/>
      <c r="P336" s="2" t="n"/>
    </row>
    <row r="337" ht="409.6" customHeight="1" s="37">
      <c r="A337" s="8" t="n"/>
      <c r="B337" s="2" t="n"/>
      <c r="C337" s="2" t="n"/>
      <c r="D337" s="2" t="n"/>
      <c r="E337" s="2" t="n"/>
      <c r="F337" s="2" t="n"/>
      <c r="G337" s="2" t="n"/>
      <c r="H337" s="2" t="n"/>
      <c r="I337" s="8" t="n"/>
      <c r="J337" s="10" t="n"/>
      <c r="K337" s="2" t="n"/>
      <c r="L337" s="2" t="n"/>
      <c r="M337" s="2" t="n"/>
      <c r="N337" s="2" t="n"/>
      <c r="O337" s="2" t="n"/>
      <c r="P337" s="2" t="n"/>
    </row>
    <row r="338" ht="409.6" customHeight="1" s="37">
      <c r="A338" s="8" t="n"/>
      <c r="B338" s="2" t="n"/>
      <c r="C338" s="2" t="n"/>
      <c r="D338" s="2" t="n"/>
      <c r="E338" s="2" t="n"/>
      <c r="F338" s="2" t="n"/>
      <c r="G338" s="2" t="n"/>
      <c r="H338" s="2" t="n"/>
      <c r="I338" s="8" t="n"/>
      <c r="J338" s="10" t="n"/>
      <c r="K338" s="2" t="n"/>
      <c r="L338" s="2" t="n"/>
      <c r="M338" s="2" t="n"/>
      <c r="N338" s="2" t="n"/>
      <c r="O338" s="2" t="n"/>
      <c r="P338" s="2" t="n"/>
    </row>
    <row r="339" ht="409.6" customHeight="1" s="37">
      <c r="A339" s="8" t="n"/>
      <c r="B339" s="2" t="n"/>
      <c r="C339" s="2" t="n"/>
      <c r="D339" s="2" t="n"/>
      <c r="E339" s="2" t="n"/>
      <c r="F339" s="2" t="n"/>
      <c r="G339" s="2" t="n"/>
      <c r="H339" s="2" t="n"/>
      <c r="I339" s="8" t="n"/>
      <c r="J339" s="10" t="n"/>
      <c r="K339" s="2" t="n"/>
      <c r="L339" s="2" t="n"/>
      <c r="M339" s="2" t="n"/>
      <c r="N339" s="2" t="n"/>
      <c r="O339" s="2" t="n"/>
      <c r="P339" s="2" t="n"/>
    </row>
    <row r="340" ht="409.6" customHeight="1" s="37">
      <c r="A340" s="8" t="n"/>
      <c r="B340" s="2" t="n"/>
      <c r="C340" s="2" t="n"/>
      <c r="D340" s="2" t="n"/>
      <c r="E340" s="2" t="n"/>
      <c r="F340" s="2" t="n"/>
      <c r="G340" s="2" t="n"/>
      <c r="H340" s="2" t="n"/>
      <c r="I340" s="8" t="n"/>
      <c r="J340" s="10" t="n"/>
      <c r="K340" s="2" t="n"/>
      <c r="L340" s="2" t="n"/>
      <c r="M340" s="2" t="n"/>
      <c r="N340" s="2" t="n"/>
      <c r="O340" s="2" t="n"/>
      <c r="P340" s="2" t="n"/>
    </row>
    <row r="341" ht="409.6" customHeight="1" s="37">
      <c r="A341" s="8" t="n"/>
      <c r="B341" s="2" t="n"/>
      <c r="C341" s="2" t="n"/>
      <c r="D341" s="2" t="n"/>
      <c r="E341" s="2" t="n"/>
      <c r="F341" s="2" t="n"/>
      <c r="G341" s="2" t="n"/>
      <c r="H341" s="2" t="n"/>
      <c r="I341" s="8" t="n"/>
      <c r="J341" s="10" t="n"/>
      <c r="K341" s="2" t="n"/>
      <c r="L341" s="2" t="n"/>
      <c r="M341" s="2" t="n"/>
      <c r="N341" s="2" t="n"/>
      <c r="O341" s="2" t="n"/>
      <c r="P341" s="2" t="n"/>
    </row>
    <row r="342" ht="409.6" customHeight="1" s="37">
      <c r="A342" s="8" t="n"/>
      <c r="B342" s="2" t="n"/>
      <c r="C342" s="2" t="n"/>
      <c r="D342" s="2" t="n"/>
      <c r="E342" s="2" t="n"/>
      <c r="F342" s="2" t="n"/>
      <c r="G342" s="2" t="n"/>
      <c r="H342" s="2" t="n"/>
      <c r="I342" s="8" t="n"/>
      <c r="J342" s="10" t="n"/>
      <c r="K342" s="2" t="n"/>
      <c r="L342" s="2" t="n"/>
      <c r="M342" s="2" t="n"/>
      <c r="N342" s="2" t="n"/>
      <c r="O342" s="2" t="n"/>
      <c r="P342" s="2" t="n"/>
    </row>
    <row r="343" ht="409.6" customHeight="1" s="37">
      <c r="A343" s="8" t="n"/>
      <c r="B343" s="2" t="n"/>
      <c r="C343" s="2" t="n"/>
      <c r="D343" s="2" t="n"/>
      <c r="E343" s="2" t="n"/>
      <c r="F343" s="2" t="n"/>
      <c r="G343" s="2" t="n"/>
      <c r="H343" s="2" t="n"/>
      <c r="I343" s="8" t="n"/>
      <c r="J343" s="10" t="n"/>
      <c r="K343" s="2" t="n"/>
      <c r="L343" s="2" t="n"/>
      <c r="M343" s="2" t="n"/>
      <c r="N343" s="2" t="n"/>
      <c r="O343" s="2" t="n"/>
      <c r="P343" s="2" t="n"/>
    </row>
    <row r="344" ht="409.6" customHeight="1" s="37">
      <c r="A344" s="8" t="n"/>
      <c r="B344" s="2" t="n"/>
      <c r="C344" s="2" t="n"/>
      <c r="D344" s="2" t="n"/>
      <c r="E344" s="2" t="n"/>
      <c r="F344" s="2" t="n"/>
      <c r="G344" s="2" t="n"/>
      <c r="H344" s="2" t="n"/>
      <c r="I344" s="8" t="n"/>
      <c r="J344" s="10" t="n"/>
      <c r="K344" s="2" t="n"/>
      <c r="L344" s="2" t="n"/>
      <c r="M344" s="2" t="n"/>
      <c r="N344" s="2" t="n"/>
      <c r="O344" s="2" t="n"/>
      <c r="P344" s="2" t="n"/>
    </row>
    <row r="345" ht="409.6" customHeight="1" s="37">
      <c r="A345" s="8" t="n"/>
      <c r="B345" s="2" t="n"/>
      <c r="C345" s="2" t="n"/>
      <c r="D345" s="2" t="n"/>
      <c r="E345" s="2" t="n"/>
      <c r="F345" s="2" t="n"/>
      <c r="G345" s="2" t="n"/>
      <c r="H345" s="2" t="n"/>
      <c r="I345" s="8" t="n"/>
      <c r="J345" s="10" t="n"/>
      <c r="K345" s="2" t="n"/>
      <c r="L345" s="2" t="n"/>
      <c r="M345" s="2" t="n"/>
      <c r="N345" s="2" t="n"/>
      <c r="O345" s="2" t="n"/>
      <c r="P345" s="2" t="n"/>
    </row>
    <row r="346" ht="409.6" customHeight="1" s="37">
      <c r="A346" s="8" t="n"/>
      <c r="B346" s="2" t="n"/>
      <c r="C346" s="2" t="n"/>
      <c r="D346" s="2" t="n"/>
      <c r="E346" s="2" t="n"/>
      <c r="F346" s="2" t="n"/>
      <c r="G346" s="2" t="n"/>
      <c r="H346" s="2" t="n"/>
      <c r="I346" s="8" t="n"/>
      <c r="J346" s="10" t="n"/>
      <c r="K346" s="2" t="n"/>
      <c r="L346" s="2" t="n"/>
      <c r="M346" s="2" t="n"/>
      <c r="N346" s="2" t="n"/>
      <c r="O346" s="2" t="n"/>
      <c r="P346" s="2" t="n"/>
    </row>
    <row r="347" ht="409.6" customHeight="1" s="37">
      <c r="A347" s="8" t="n"/>
      <c r="B347" s="2" t="n"/>
      <c r="C347" s="2" t="n"/>
      <c r="D347" s="2" t="n"/>
      <c r="E347" s="2" t="n"/>
      <c r="F347" s="2" t="n"/>
      <c r="G347" s="2" t="n"/>
      <c r="H347" s="2" t="n"/>
      <c r="I347" s="8" t="n"/>
      <c r="J347" s="10" t="n"/>
      <c r="K347" s="2" t="n"/>
      <c r="L347" s="2" t="n"/>
      <c r="M347" s="2" t="n"/>
      <c r="N347" s="2" t="n"/>
      <c r="O347" s="2" t="n"/>
      <c r="P347" s="2" t="n"/>
    </row>
    <row r="348" ht="409.6" customHeight="1" s="37">
      <c r="A348" s="8" t="n"/>
      <c r="B348" s="2" t="n"/>
      <c r="C348" s="2" t="n"/>
      <c r="D348" s="2" t="n"/>
      <c r="E348" s="2" t="n"/>
      <c r="F348" s="2" t="n"/>
      <c r="G348" s="2" t="n"/>
      <c r="H348" s="2" t="n"/>
      <c r="I348" s="8" t="n"/>
      <c r="J348" s="10" t="n"/>
      <c r="K348" s="2" t="n"/>
      <c r="L348" s="2" t="n"/>
      <c r="M348" s="2" t="n"/>
      <c r="N348" s="2" t="n"/>
      <c r="O348" s="2" t="n"/>
      <c r="P348" s="2" t="n"/>
    </row>
    <row r="349" ht="409.6" customHeight="1" s="37">
      <c r="A349" s="8" t="n"/>
      <c r="B349" s="2" t="n"/>
      <c r="C349" s="2" t="n"/>
      <c r="D349" s="2" t="n"/>
      <c r="E349" s="2" t="n"/>
      <c r="F349" s="2" t="n"/>
      <c r="G349" s="2" t="n"/>
      <c r="H349" s="2" t="n"/>
      <c r="I349" s="8" t="n"/>
      <c r="J349" s="10" t="n"/>
      <c r="K349" s="2" t="n"/>
      <c r="L349" s="2" t="n"/>
      <c r="M349" s="2" t="n"/>
      <c r="N349" s="2" t="n"/>
      <c r="O349" s="2" t="n"/>
      <c r="P349" s="2" t="n"/>
    </row>
    <row r="350" ht="409.6" customHeight="1" s="37">
      <c r="A350" s="8" t="n"/>
      <c r="B350" s="2" t="n"/>
      <c r="C350" s="2" t="n"/>
      <c r="D350" s="2" t="n"/>
      <c r="E350" s="2" t="n"/>
      <c r="F350" s="2" t="n"/>
      <c r="G350" s="2" t="n"/>
      <c r="H350" s="2" t="n"/>
      <c r="I350" s="8" t="n"/>
      <c r="J350" s="10" t="n"/>
      <c r="K350" s="2" t="n"/>
      <c r="L350" s="2" t="n"/>
      <c r="M350" s="2" t="n"/>
      <c r="N350" s="2" t="n"/>
      <c r="O350" s="2" t="n"/>
      <c r="P350" s="2" t="n"/>
    </row>
    <row r="351" ht="409.6" customHeight="1" s="37">
      <c r="A351" s="8" t="n"/>
      <c r="B351" s="2" t="n"/>
      <c r="C351" s="2" t="n"/>
      <c r="D351" s="2" t="n"/>
      <c r="E351" s="2" t="n"/>
      <c r="F351" s="2" t="n"/>
      <c r="G351" s="2" t="n"/>
      <c r="H351" s="2" t="n"/>
      <c r="I351" s="8" t="n"/>
      <c r="J351" s="10" t="n"/>
      <c r="K351" s="2" t="n"/>
      <c r="L351" s="2" t="n"/>
      <c r="M351" s="2" t="n"/>
      <c r="N351" s="2" t="n"/>
      <c r="O351" s="2" t="n"/>
      <c r="P351" s="2" t="n"/>
    </row>
    <row r="352" ht="409.6" customHeight="1" s="37">
      <c r="A352" s="8" t="n"/>
      <c r="B352" s="2" t="n"/>
      <c r="C352" s="2" t="n"/>
      <c r="D352" s="2" t="n"/>
      <c r="E352" s="2" t="n"/>
      <c r="F352" s="2" t="n"/>
      <c r="G352" s="2" t="n"/>
      <c r="H352" s="2" t="n"/>
      <c r="I352" s="8" t="n"/>
      <c r="J352" s="10" t="n"/>
      <c r="K352" s="2" t="n"/>
      <c r="L352" s="2" t="n"/>
      <c r="M352" s="2" t="n"/>
      <c r="N352" s="2" t="n"/>
      <c r="O352" s="2" t="n"/>
      <c r="P352" s="2" t="n"/>
    </row>
    <row r="353" ht="409.6" customHeight="1" s="37">
      <c r="A353" s="8" t="n"/>
      <c r="B353" s="2" t="n"/>
      <c r="C353" s="2" t="n"/>
      <c r="D353" s="2" t="n"/>
      <c r="E353" s="2" t="n"/>
      <c r="F353" s="2" t="n"/>
      <c r="G353" s="2" t="n"/>
      <c r="H353" s="2" t="n"/>
      <c r="I353" s="8" t="n"/>
      <c r="J353" s="10" t="n"/>
      <c r="K353" s="2" t="n"/>
      <c r="L353" s="2" t="n"/>
      <c r="M353" s="2" t="n"/>
      <c r="N353" s="2" t="n"/>
      <c r="O353" s="2" t="n"/>
      <c r="P353" s="2" t="n"/>
    </row>
    <row r="354" ht="409.6" customHeight="1" s="37">
      <c r="A354" s="8" t="n"/>
      <c r="B354" s="2" t="n"/>
      <c r="C354" s="2" t="n"/>
      <c r="D354" s="2" t="n"/>
      <c r="E354" s="2" t="n"/>
      <c r="F354" s="2" t="n"/>
      <c r="G354" s="2" t="n"/>
      <c r="H354" s="2" t="n"/>
      <c r="I354" s="8" t="n"/>
      <c r="J354" s="10" t="n"/>
      <c r="K354" s="2" t="n"/>
      <c r="L354" s="2" t="n"/>
      <c r="M354" s="2" t="n"/>
      <c r="N354" s="2" t="n"/>
      <c r="O354" s="2" t="n"/>
      <c r="P354" s="2" t="n"/>
    </row>
    <row r="355" ht="409.6" customHeight="1" s="37">
      <c r="A355" s="8" t="n"/>
      <c r="B355" s="2" t="n"/>
      <c r="C355" s="2" t="n"/>
      <c r="D355" s="2" t="n"/>
      <c r="E355" s="2" t="n"/>
      <c r="F355" s="2" t="n"/>
      <c r="G355" s="2" t="n"/>
      <c r="H355" s="2" t="n"/>
      <c r="I355" s="8" t="n"/>
      <c r="J355" s="10" t="n"/>
      <c r="K355" s="2" t="n"/>
      <c r="L355" s="2" t="n"/>
      <c r="M355" s="2" t="n"/>
      <c r="N355" s="2" t="n"/>
      <c r="O355" s="2" t="n"/>
      <c r="P355" s="2" t="n"/>
    </row>
    <row r="356" ht="409.6" customHeight="1" s="37">
      <c r="A356" s="8" t="n"/>
      <c r="B356" s="2" t="n"/>
      <c r="C356" s="2" t="n"/>
      <c r="D356" s="2" t="n"/>
      <c r="E356" s="2" t="n"/>
      <c r="F356" s="2" t="n"/>
      <c r="G356" s="2" t="n"/>
      <c r="H356" s="2" t="n"/>
      <c r="I356" s="8" t="n"/>
      <c r="J356" s="10" t="n"/>
      <c r="K356" s="2" t="n"/>
      <c r="L356" s="2" t="n"/>
      <c r="M356" s="2" t="n"/>
      <c r="N356" s="2" t="n"/>
      <c r="O356" s="2" t="n"/>
      <c r="P356" s="2" t="n"/>
    </row>
    <row r="357" ht="409.6" customHeight="1" s="37">
      <c r="A357" s="8" t="n"/>
      <c r="B357" s="2" t="n"/>
      <c r="C357" s="2" t="n"/>
      <c r="D357" s="2" t="n"/>
      <c r="E357" s="2" t="n"/>
      <c r="F357" s="2" t="n"/>
      <c r="G357" s="2" t="n"/>
      <c r="H357" s="2" t="n"/>
      <c r="I357" s="8" t="n"/>
      <c r="J357" s="10" t="n"/>
      <c r="K357" s="2" t="n"/>
      <c r="L357" s="2" t="n"/>
      <c r="M357" s="2" t="n"/>
      <c r="N357" s="2" t="n"/>
      <c r="O357" s="2" t="n"/>
      <c r="P357" s="2" t="n"/>
    </row>
    <row r="358" ht="409.6" customHeight="1" s="37">
      <c r="A358" s="8" t="n"/>
      <c r="B358" s="2" t="n"/>
      <c r="C358" s="2" t="n"/>
      <c r="D358" s="2" t="n"/>
      <c r="E358" s="2" t="n"/>
      <c r="F358" s="2" t="n"/>
      <c r="G358" s="2" t="n"/>
      <c r="H358" s="2" t="n"/>
      <c r="I358" s="8" t="n"/>
      <c r="J358" s="10" t="n"/>
      <c r="K358" s="2" t="n"/>
      <c r="L358" s="2" t="n"/>
      <c r="M358" s="2" t="n"/>
      <c r="N358" s="2" t="n"/>
      <c r="O358" s="2" t="n"/>
      <c r="P358" s="2" t="n"/>
    </row>
    <row r="359" ht="409.6" customHeight="1" s="37">
      <c r="A359" s="8" t="n"/>
      <c r="B359" s="2" t="n"/>
      <c r="C359" s="2" t="n"/>
      <c r="D359" s="2" t="n"/>
      <c r="E359" s="2" t="n"/>
      <c r="F359" s="2" t="n"/>
      <c r="G359" s="2" t="n"/>
      <c r="H359" s="2" t="n"/>
      <c r="I359" s="8" t="n"/>
      <c r="J359" s="10" t="n"/>
      <c r="K359" s="2" t="n"/>
      <c r="L359" s="2" t="n"/>
      <c r="M359" s="2" t="n"/>
      <c r="N359" s="2" t="n"/>
      <c r="O359" s="2" t="n"/>
      <c r="P359" s="2" t="n"/>
    </row>
    <row r="360" ht="409.6" customHeight="1" s="37">
      <c r="A360" s="8" t="n"/>
      <c r="B360" s="2" t="n"/>
      <c r="C360" s="2" t="n"/>
      <c r="D360" s="2" t="n"/>
      <c r="E360" s="2" t="n"/>
      <c r="F360" s="2" t="n"/>
      <c r="G360" s="2" t="n"/>
      <c r="H360" s="2" t="n"/>
      <c r="I360" s="8" t="n"/>
      <c r="J360" s="10" t="n"/>
      <c r="K360" s="2" t="n"/>
      <c r="L360" s="2" t="n"/>
      <c r="M360" s="2" t="n"/>
      <c r="N360" s="2" t="n"/>
      <c r="O360" s="2" t="n"/>
      <c r="P360" s="2" t="n"/>
    </row>
    <row r="361" ht="409.6" customHeight="1" s="37">
      <c r="A361" s="8" t="n"/>
      <c r="B361" s="2" t="n"/>
      <c r="C361" s="2" t="n"/>
      <c r="D361" s="2" t="n"/>
      <c r="E361" s="2" t="n"/>
      <c r="F361" s="2" t="n"/>
      <c r="G361" s="2" t="n"/>
      <c r="H361" s="2" t="n"/>
      <c r="I361" s="8" t="n"/>
      <c r="J361" s="10" t="n"/>
      <c r="K361" s="2" t="n"/>
      <c r="L361" s="2" t="n"/>
      <c r="M361" s="2" t="n"/>
      <c r="N361" s="2" t="n"/>
      <c r="O361" s="2" t="n"/>
      <c r="P361" s="2" t="n"/>
    </row>
    <row r="362" ht="409.6" customHeight="1" s="37">
      <c r="A362" s="8" t="n"/>
      <c r="B362" s="2" t="n"/>
      <c r="C362" s="2" t="n"/>
      <c r="D362" s="2" t="n"/>
      <c r="E362" s="2" t="n"/>
      <c r="F362" s="2" t="n"/>
      <c r="G362" s="2" t="n"/>
      <c r="H362" s="2" t="n"/>
      <c r="I362" s="8" t="n"/>
      <c r="J362" s="10" t="n"/>
      <c r="K362" s="2" t="n"/>
      <c r="L362" s="2" t="n"/>
      <c r="M362" s="2" t="n"/>
      <c r="N362" s="2" t="n"/>
      <c r="O362" s="2" t="n"/>
      <c r="P362" s="2" t="n"/>
    </row>
    <row r="363" ht="409.6" customHeight="1" s="37">
      <c r="A363" s="8" t="n"/>
      <c r="B363" s="2" t="n"/>
      <c r="C363" s="2" t="n"/>
      <c r="D363" s="2" t="n"/>
      <c r="E363" s="2" t="n"/>
      <c r="F363" s="2" t="n"/>
      <c r="G363" s="2" t="n"/>
      <c r="H363" s="2" t="n"/>
      <c r="I363" s="8" t="n"/>
      <c r="J363" s="10" t="n"/>
      <c r="K363" s="2" t="n"/>
      <c r="L363" s="2" t="n"/>
      <c r="M363" s="2" t="n"/>
      <c r="N363" s="2" t="n"/>
      <c r="O363" s="2" t="n"/>
      <c r="P363" s="2" t="n"/>
    </row>
    <row r="364" ht="409.6" customHeight="1" s="37">
      <c r="A364" s="8" t="n"/>
      <c r="B364" s="2" t="n"/>
      <c r="C364" s="2" t="n"/>
      <c r="D364" s="2" t="n"/>
      <c r="E364" s="2" t="n"/>
      <c r="F364" s="2" t="n"/>
      <c r="G364" s="2" t="n"/>
      <c r="H364" s="2" t="n"/>
      <c r="I364" s="8" t="n"/>
      <c r="J364" s="10" t="n"/>
      <c r="K364" s="2" t="n"/>
      <c r="L364" s="2" t="n"/>
      <c r="M364" s="2" t="n"/>
      <c r="N364" s="2" t="n"/>
      <c r="O364" s="2" t="n"/>
      <c r="P364" s="2" t="n"/>
    </row>
    <row r="365" ht="409.6" customHeight="1" s="37">
      <c r="A365" s="8" t="n"/>
      <c r="B365" s="2" t="n"/>
      <c r="C365" s="2" t="n"/>
      <c r="D365" s="2" t="n"/>
      <c r="E365" s="2" t="n"/>
      <c r="F365" s="2" t="n"/>
      <c r="G365" s="2" t="n"/>
      <c r="H365" s="2" t="n"/>
      <c r="I365" s="8" t="n"/>
      <c r="J365" s="10" t="n"/>
      <c r="K365" s="2" t="n"/>
      <c r="L365" s="2" t="n"/>
      <c r="M365" s="2" t="n"/>
      <c r="N365" s="2" t="n"/>
      <c r="O365" s="2" t="n"/>
      <c r="P365" s="2" t="n"/>
    </row>
    <row r="366" ht="409.6" customHeight="1" s="37">
      <c r="A366" s="8" t="n"/>
      <c r="B366" s="2" t="n"/>
      <c r="C366" s="2" t="n"/>
      <c r="D366" s="2" t="n"/>
      <c r="E366" s="2" t="n"/>
      <c r="F366" s="2" t="n"/>
      <c r="G366" s="2" t="n"/>
      <c r="H366" s="2" t="n"/>
      <c r="I366" s="8" t="n"/>
      <c r="J366" s="10" t="n"/>
      <c r="K366" s="2" t="n"/>
      <c r="L366" s="2" t="n"/>
      <c r="M366" s="2" t="n"/>
      <c r="N366" s="2" t="n"/>
      <c r="O366" s="2" t="n"/>
      <c r="P366" s="2" t="n"/>
    </row>
    <row r="367" ht="409.6" customHeight="1" s="37">
      <c r="A367" s="8" t="n"/>
      <c r="B367" s="2" t="n"/>
      <c r="C367" s="2" t="n"/>
      <c r="D367" s="2" t="n"/>
      <c r="E367" s="2" t="n"/>
      <c r="F367" s="2" t="n"/>
      <c r="G367" s="2" t="n"/>
      <c r="H367" s="2" t="n"/>
      <c r="I367" s="8" t="n"/>
      <c r="J367" s="10" t="n"/>
      <c r="K367" s="2" t="n"/>
      <c r="L367" s="2" t="n"/>
      <c r="M367" s="2" t="n"/>
      <c r="N367" s="2" t="n"/>
      <c r="O367" s="2" t="n"/>
      <c r="P367" s="2" t="n"/>
    </row>
    <row r="368" ht="409.6" customHeight="1" s="37">
      <c r="A368" s="8" t="n"/>
      <c r="B368" s="2" t="n"/>
      <c r="C368" s="2" t="n"/>
      <c r="D368" s="2" t="n"/>
      <c r="E368" s="2" t="n"/>
      <c r="F368" s="2" t="n"/>
      <c r="G368" s="2" t="n"/>
      <c r="H368" s="2" t="n"/>
      <c r="I368" s="8" t="n"/>
      <c r="J368" s="10" t="n"/>
      <c r="K368" s="2" t="n"/>
      <c r="L368" s="2" t="n"/>
      <c r="M368" s="2" t="n"/>
      <c r="N368" s="2" t="n"/>
      <c r="O368" s="2" t="n"/>
      <c r="P368" s="2" t="n"/>
    </row>
    <row r="369" ht="409.6" customHeight="1" s="37">
      <c r="A369" s="8" t="n"/>
      <c r="B369" s="2" t="n"/>
      <c r="C369" s="2" t="n"/>
      <c r="D369" s="2" t="n"/>
      <c r="E369" s="2" t="n"/>
      <c r="F369" s="2" t="n"/>
      <c r="G369" s="2" t="n"/>
      <c r="H369" s="2" t="n"/>
      <c r="I369" s="8" t="n"/>
      <c r="J369" s="10" t="n"/>
      <c r="K369" s="2" t="n"/>
      <c r="L369" s="2" t="n"/>
      <c r="M369" s="2" t="n"/>
      <c r="N369" s="2" t="n"/>
      <c r="O369" s="2" t="n"/>
      <c r="P369" s="2" t="n"/>
    </row>
    <row r="370" ht="409.6" customHeight="1" s="37">
      <c r="A370" s="8" t="n"/>
      <c r="B370" s="2" t="n"/>
      <c r="C370" s="2" t="n"/>
      <c r="D370" s="2" t="n"/>
      <c r="E370" s="2" t="n"/>
      <c r="F370" s="2" t="n"/>
      <c r="G370" s="2" t="n"/>
      <c r="H370" s="2" t="n"/>
      <c r="I370" s="8" t="n"/>
      <c r="J370" s="10" t="n"/>
      <c r="K370" s="2" t="n"/>
      <c r="L370" s="2" t="n"/>
      <c r="M370" s="2" t="n"/>
      <c r="N370" s="2" t="n"/>
      <c r="O370" s="2" t="n"/>
      <c r="P370" s="2" t="n"/>
    </row>
    <row r="371" ht="409.6" customHeight="1" s="37">
      <c r="A371" s="8" t="n"/>
      <c r="B371" s="2" t="n"/>
      <c r="C371" s="2" t="n"/>
      <c r="D371" s="2" t="n"/>
      <c r="E371" s="2" t="n"/>
      <c r="F371" s="2" t="n"/>
      <c r="G371" s="2" t="n"/>
      <c r="H371" s="2" t="n"/>
      <c r="I371" s="8" t="n"/>
      <c r="J371" s="10" t="n"/>
      <c r="K371" s="2" t="n"/>
      <c r="L371" s="2" t="n"/>
      <c r="M371" s="2" t="n"/>
      <c r="N371" s="2" t="n"/>
      <c r="O371" s="2" t="n"/>
      <c r="P371" s="2" t="n"/>
    </row>
    <row r="372" ht="409.6" customHeight="1" s="37">
      <c r="A372" s="8" t="n"/>
      <c r="B372" s="2" t="n"/>
      <c r="C372" s="2" t="n"/>
      <c r="D372" s="2" t="n"/>
      <c r="E372" s="2" t="n"/>
      <c r="F372" s="2" t="n"/>
      <c r="G372" s="2" t="n"/>
      <c r="H372" s="2" t="n"/>
      <c r="I372" s="8" t="n"/>
      <c r="J372" s="10" t="n"/>
      <c r="K372" s="2" t="n"/>
      <c r="L372" s="2" t="n"/>
      <c r="M372" s="2" t="n"/>
      <c r="N372" s="2" t="n"/>
      <c r="O372" s="2" t="n"/>
      <c r="P372" s="2" t="n"/>
    </row>
    <row r="373" ht="409.6" customHeight="1" s="37">
      <c r="A373" s="8" t="n"/>
      <c r="B373" s="2" t="n"/>
      <c r="C373" s="2" t="n"/>
      <c r="D373" s="2" t="n"/>
      <c r="E373" s="2" t="n"/>
      <c r="F373" s="2" t="n"/>
      <c r="G373" s="2" t="n"/>
      <c r="H373" s="2" t="n"/>
      <c r="I373" s="8" t="n"/>
      <c r="J373" s="10" t="n"/>
      <c r="K373" s="2" t="n"/>
      <c r="L373" s="2" t="n"/>
      <c r="M373" s="2" t="n"/>
      <c r="N373" s="2" t="n"/>
      <c r="O373" s="2" t="n"/>
      <c r="P373" s="2" t="n"/>
    </row>
    <row r="374" ht="409.6" customHeight="1" s="37">
      <c r="A374" s="8" t="n"/>
      <c r="B374" s="2" t="n"/>
      <c r="C374" s="2" t="n"/>
      <c r="D374" s="2" t="n"/>
      <c r="E374" s="2" t="n"/>
      <c r="F374" s="2" t="n"/>
      <c r="G374" s="2" t="n"/>
      <c r="H374" s="2" t="n"/>
      <c r="I374" s="8" t="n"/>
      <c r="J374" s="10" t="n"/>
      <c r="K374" s="2" t="n"/>
      <c r="L374" s="2" t="n"/>
      <c r="M374" s="2" t="n"/>
      <c r="N374" s="2" t="n"/>
      <c r="O374" s="2" t="n"/>
      <c r="P374" s="2" t="n"/>
    </row>
    <row r="375" ht="409.6" customHeight="1" s="37">
      <c r="A375" s="8" t="n"/>
      <c r="B375" s="2" t="n"/>
      <c r="C375" s="2" t="n"/>
      <c r="D375" s="2" t="n"/>
      <c r="E375" s="2" t="n"/>
      <c r="F375" s="2" t="n"/>
      <c r="G375" s="2" t="n"/>
      <c r="H375" s="2" t="n"/>
      <c r="I375" s="8" t="n"/>
      <c r="J375" s="10" t="n"/>
      <c r="K375" s="2" t="n"/>
      <c r="L375" s="2" t="n"/>
      <c r="M375" s="2" t="n"/>
      <c r="N375" s="2" t="n"/>
      <c r="O375" s="2" t="n"/>
      <c r="P375" s="2" t="n"/>
    </row>
    <row r="376" ht="409.6" customHeight="1" s="37">
      <c r="A376" s="8" t="n"/>
      <c r="B376" s="2" t="n"/>
      <c r="C376" s="2" t="n"/>
      <c r="D376" s="2" t="n"/>
      <c r="E376" s="2" t="n"/>
      <c r="F376" s="2" t="n"/>
      <c r="G376" s="2" t="n"/>
      <c r="H376" s="2" t="n"/>
      <c r="I376" s="8" t="n"/>
      <c r="J376" s="10" t="n"/>
      <c r="K376" s="2" t="n"/>
      <c r="L376" s="2" t="n"/>
      <c r="M376" s="2" t="n"/>
      <c r="N376" s="2" t="n"/>
      <c r="O376" s="2" t="n"/>
      <c r="P376" s="2" t="n"/>
    </row>
    <row r="377" ht="409.6" customHeight="1" s="37">
      <c r="A377" s="8" t="n"/>
      <c r="B377" s="2" t="n"/>
      <c r="C377" s="2" t="n"/>
      <c r="D377" s="2" t="n"/>
      <c r="E377" s="2" t="n"/>
      <c r="F377" s="2" t="n"/>
      <c r="G377" s="2" t="n"/>
      <c r="H377" s="2" t="n"/>
      <c r="I377" s="8" t="n"/>
      <c r="J377" s="10" t="n"/>
      <c r="K377" s="2" t="n"/>
      <c r="L377" s="2" t="n"/>
      <c r="M377" s="2" t="n"/>
      <c r="N377" s="2" t="n"/>
      <c r="O377" s="2" t="n"/>
      <c r="P377" s="2" t="n"/>
    </row>
    <row r="378" ht="409.6" customHeight="1" s="37">
      <c r="A378" s="8" t="n"/>
      <c r="B378" s="2" t="n"/>
      <c r="C378" s="2" t="n"/>
      <c r="D378" s="2" t="n"/>
      <c r="E378" s="2" t="n"/>
      <c r="F378" s="2" t="n"/>
      <c r="G378" s="2" t="n"/>
      <c r="H378" s="2" t="n"/>
      <c r="I378" s="8" t="n"/>
      <c r="J378" s="10" t="n"/>
      <c r="K378" s="2" t="n"/>
      <c r="L378" s="2" t="n"/>
      <c r="M378" s="2" t="n"/>
      <c r="N378" s="2" t="n"/>
      <c r="O378" s="2" t="n"/>
      <c r="P378" s="2" t="n"/>
    </row>
    <row r="379" ht="409.6" customHeight="1" s="37">
      <c r="A379" s="8" t="n"/>
      <c r="B379" s="2" t="n"/>
      <c r="C379" s="2" t="n"/>
      <c r="D379" s="2" t="n"/>
      <c r="E379" s="2" t="n"/>
      <c r="F379" s="2" t="n"/>
      <c r="G379" s="2" t="n"/>
      <c r="H379" s="2" t="n"/>
      <c r="I379" s="8" t="n"/>
      <c r="J379" s="10" t="n"/>
      <c r="K379" s="2" t="n"/>
      <c r="L379" s="2" t="n"/>
      <c r="M379" s="2" t="n"/>
      <c r="N379" s="2" t="n"/>
      <c r="O379" s="2" t="n"/>
      <c r="P379" s="2" t="n"/>
    </row>
    <row r="380" ht="409.6" customHeight="1" s="37">
      <c r="A380" s="8" t="n"/>
      <c r="B380" s="2" t="n"/>
      <c r="C380" s="2" t="n"/>
      <c r="D380" s="2" t="n"/>
      <c r="E380" s="2" t="n"/>
      <c r="F380" s="2" t="n"/>
      <c r="G380" s="2" t="n"/>
      <c r="H380" s="2" t="n"/>
      <c r="I380" s="8" t="n"/>
      <c r="J380" s="10" t="n"/>
      <c r="K380" s="2" t="n"/>
      <c r="L380" s="2" t="n"/>
      <c r="M380" s="2" t="n"/>
      <c r="N380" s="2" t="n"/>
      <c r="O380" s="2" t="n"/>
      <c r="P380" s="2" t="n"/>
    </row>
    <row r="381" ht="409.6" customHeight="1" s="37">
      <c r="A381" s="8" t="n"/>
      <c r="B381" s="2" t="n"/>
      <c r="C381" s="2" t="n"/>
      <c r="D381" s="2" t="n"/>
      <c r="E381" s="2" t="n"/>
      <c r="F381" s="2" t="n"/>
      <c r="G381" s="2" t="n"/>
      <c r="H381" s="2" t="n"/>
      <c r="I381" s="8" t="n"/>
      <c r="J381" s="10" t="n"/>
      <c r="K381" s="2" t="n"/>
      <c r="L381" s="2" t="n"/>
      <c r="M381" s="2" t="n"/>
      <c r="N381" s="2" t="n"/>
      <c r="O381" s="2" t="n"/>
      <c r="P381" s="2" t="n"/>
    </row>
    <row r="382" ht="409.6" customHeight="1" s="37">
      <c r="A382" s="8" t="n"/>
      <c r="B382" s="2" t="n"/>
      <c r="C382" s="2" t="n"/>
      <c r="D382" s="2" t="n"/>
      <c r="E382" s="2" t="n"/>
      <c r="F382" s="2" t="n"/>
      <c r="G382" s="2" t="n"/>
      <c r="H382" s="2" t="n"/>
      <c r="I382" s="8" t="n"/>
      <c r="J382" s="10" t="n"/>
      <c r="K382" s="2" t="n"/>
      <c r="L382" s="2" t="n"/>
      <c r="M382" s="2" t="n"/>
      <c r="N382" s="2" t="n"/>
      <c r="O382" s="2" t="n"/>
      <c r="P382" s="2" t="n"/>
    </row>
    <row r="383" ht="409.6" customHeight="1" s="37">
      <c r="A383" s="8" t="n"/>
      <c r="B383" s="2" t="n"/>
      <c r="C383" s="2" t="n"/>
      <c r="D383" s="2" t="n"/>
      <c r="E383" s="2" t="n"/>
      <c r="F383" s="2" t="n"/>
      <c r="G383" s="2" t="n"/>
      <c r="H383" s="2" t="n"/>
      <c r="I383" s="8" t="n"/>
      <c r="J383" s="10" t="n"/>
      <c r="K383" s="2" t="n"/>
      <c r="L383" s="2" t="n"/>
      <c r="M383" s="2" t="n"/>
      <c r="N383" s="2" t="n"/>
      <c r="O383" s="2" t="n"/>
      <c r="P383" s="2" t="n"/>
    </row>
    <row r="384" ht="409.6" customHeight="1" s="37">
      <c r="A384" s="8" t="n"/>
      <c r="B384" s="2" t="n"/>
      <c r="C384" s="2" t="n"/>
      <c r="D384" s="2" t="n"/>
      <c r="E384" s="2" t="n"/>
      <c r="F384" s="2" t="n"/>
      <c r="G384" s="2" t="n"/>
      <c r="H384" s="2" t="n"/>
      <c r="I384" s="8" t="n"/>
      <c r="J384" s="10" t="n"/>
      <c r="K384" s="2" t="n"/>
      <c r="L384" s="2" t="n"/>
      <c r="M384" s="2" t="n"/>
      <c r="N384" s="2" t="n"/>
      <c r="O384" s="2" t="n"/>
      <c r="P384" s="2" t="n"/>
    </row>
    <row r="385" ht="409.6" customHeight="1" s="37">
      <c r="A385" s="8" t="n"/>
      <c r="B385" s="2" t="n"/>
      <c r="C385" s="2" t="n"/>
      <c r="D385" s="2" t="n"/>
      <c r="E385" s="2" t="n"/>
      <c r="F385" s="2" t="n"/>
      <c r="G385" s="2" t="n"/>
      <c r="H385" s="2" t="n"/>
      <c r="I385" s="8" t="n"/>
      <c r="J385" s="10" t="n"/>
      <c r="K385" s="2" t="n"/>
      <c r="L385" s="2" t="n"/>
      <c r="M385" s="2" t="n"/>
      <c r="N385" s="2" t="n"/>
      <c r="O385" s="2" t="n"/>
      <c r="P385" s="2" t="n"/>
    </row>
    <row r="386" ht="409.6" customHeight="1" s="37">
      <c r="A386" s="8" t="n"/>
      <c r="B386" s="2" t="n"/>
      <c r="C386" s="2" t="n"/>
      <c r="D386" s="2" t="n"/>
      <c r="E386" s="2" t="n"/>
      <c r="F386" s="2" t="n"/>
      <c r="G386" s="2" t="n"/>
      <c r="H386" s="2" t="n"/>
      <c r="I386" s="8" t="n"/>
      <c r="J386" s="10" t="n"/>
      <c r="K386" s="2" t="n"/>
      <c r="L386" s="2" t="n"/>
      <c r="M386" s="2" t="n"/>
      <c r="N386" s="2" t="n"/>
      <c r="O386" s="2" t="n"/>
      <c r="P386" s="2" t="n"/>
    </row>
    <row r="387" ht="409.6" customHeight="1" s="37">
      <c r="A387" s="8" t="n"/>
      <c r="B387" s="2" t="n"/>
      <c r="C387" s="2" t="n"/>
      <c r="D387" s="2" t="n"/>
      <c r="E387" s="2" t="n"/>
      <c r="F387" s="2" t="n"/>
      <c r="G387" s="2" t="n"/>
      <c r="H387" s="2" t="n"/>
      <c r="I387" s="8" t="n"/>
      <c r="J387" s="10" t="n"/>
      <c r="K387" s="2" t="n"/>
      <c r="L387" s="2" t="n"/>
      <c r="M387" s="2" t="n"/>
      <c r="N387" s="2" t="n"/>
      <c r="O387" s="2" t="n"/>
      <c r="P387" s="2" t="n"/>
    </row>
    <row r="388" ht="409.6" customHeight="1" s="37">
      <c r="A388" s="8" t="n"/>
      <c r="B388" s="2" t="n"/>
      <c r="C388" s="2" t="n"/>
      <c r="D388" s="2" t="n"/>
      <c r="E388" s="2" t="n"/>
      <c r="F388" s="2" t="n"/>
      <c r="G388" s="2" t="n"/>
      <c r="H388" s="2" t="n"/>
      <c r="I388" s="8" t="n"/>
      <c r="J388" s="10" t="n"/>
      <c r="K388" s="2" t="n"/>
      <c r="L388" s="2" t="n"/>
      <c r="M388" s="2" t="n"/>
      <c r="N388" s="2" t="n"/>
      <c r="O388" s="2" t="n"/>
      <c r="P388" s="2" t="n"/>
    </row>
    <row r="389" ht="409.6" customHeight="1" s="37">
      <c r="A389" s="8" t="n"/>
      <c r="B389" s="2" t="n"/>
      <c r="C389" s="2" t="n"/>
      <c r="D389" s="2" t="n"/>
      <c r="E389" s="2" t="n"/>
      <c r="F389" s="2" t="n"/>
      <c r="G389" s="2" t="n"/>
      <c r="H389" s="2" t="n"/>
      <c r="I389" s="8" t="n"/>
      <c r="J389" s="10" t="n"/>
      <c r="K389" s="2" t="n"/>
      <c r="L389" s="2" t="n"/>
      <c r="M389" s="2" t="n"/>
      <c r="N389" s="2" t="n"/>
      <c r="O389" s="2" t="n"/>
      <c r="P389" s="2" t="n"/>
    </row>
    <row r="390" ht="409.6" customHeight="1" s="37">
      <c r="A390" s="8" t="n"/>
      <c r="B390" s="2" t="n"/>
      <c r="C390" s="2" t="n"/>
      <c r="D390" s="2" t="n"/>
      <c r="E390" s="2" t="n"/>
      <c r="F390" s="2" t="n"/>
      <c r="G390" s="2" t="n"/>
      <c r="H390" s="2" t="n"/>
      <c r="I390" s="8" t="n"/>
      <c r="J390" s="10" t="n"/>
      <c r="K390" s="2" t="n"/>
      <c r="L390" s="2" t="n"/>
      <c r="M390" s="2" t="n"/>
      <c r="N390" s="2" t="n"/>
      <c r="O390" s="2" t="n"/>
      <c r="P390" s="2" t="n"/>
    </row>
    <row r="391" ht="409.6" customHeight="1" s="37">
      <c r="A391" s="8" t="n"/>
      <c r="B391" s="2" t="n"/>
      <c r="C391" s="2" t="n"/>
      <c r="D391" s="2" t="n"/>
      <c r="E391" s="2" t="n"/>
      <c r="F391" s="2" t="n"/>
      <c r="G391" s="2" t="n"/>
      <c r="H391" s="2" t="n"/>
      <c r="I391" s="8" t="n"/>
      <c r="J391" s="10" t="n"/>
      <c r="K391" s="2" t="n"/>
      <c r="L391" s="2" t="n"/>
      <c r="M391" s="2" t="n"/>
      <c r="N391" s="2" t="n"/>
      <c r="O391" s="2" t="n"/>
      <c r="P391" s="2" t="n"/>
    </row>
    <row r="392" ht="409.6" customHeight="1" s="37">
      <c r="A392" s="8" t="n"/>
      <c r="B392" s="2" t="n"/>
      <c r="C392" s="2" t="n"/>
      <c r="D392" s="2" t="n"/>
      <c r="E392" s="2" t="n"/>
      <c r="F392" s="2" t="n"/>
      <c r="G392" s="2" t="n"/>
      <c r="H392" s="2" t="n"/>
      <c r="I392" s="8" t="n"/>
      <c r="J392" s="10" t="n"/>
      <c r="K392" s="2" t="n"/>
      <c r="L392" s="2" t="n"/>
      <c r="M392" s="2" t="n"/>
      <c r="N392" s="2" t="n"/>
      <c r="O392" s="2" t="n"/>
      <c r="P392" s="2" t="n"/>
    </row>
    <row r="393" ht="409.6" customHeight="1" s="37">
      <c r="A393" s="8" t="n"/>
      <c r="B393" s="2" t="n"/>
      <c r="C393" s="2" t="n"/>
      <c r="D393" s="2" t="n"/>
      <c r="E393" s="2" t="n"/>
      <c r="F393" s="2" t="n"/>
      <c r="G393" s="2" t="n"/>
      <c r="H393" s="2" t="n"/>
      <c r="I393" s="8" t="n"/>
      <c r="J393" s="10" t="n"/>
      <c r="K393" s="2" t="n"/>
      <c r="L393" s="2" t="n"/>
      <c r="M393" s="2" t="n"/>
      <c r="N393" s="2" t="n"/>
      <c r="O393" s="2" t="n"/>
      <c r="P393" s="2" t="n"/>
    </row>
    <row r="394" ht="409.6" customHeight="1" s="37">
      <c r="A394" s="8" t="n"/>
      <c r="B394" s="2" t="n"/>
      <c r="C394" s="2" t="n"/>
      <c r="D394" s="2" t="n"/>
      <c r="E394" s="2" t="n"/>
      <c r="F394" s="2" t="n"/>
      <c r="G394" s="2" t="n"/>
      <c r="H394" s="2" t="n"/>
      <c r="I394" s="8" t="n"/>
      <c r="J394" s="10" t="n"/>
      <c r="K394" s="2" t="n"/>
      <c r="L394" s="2" t="n"/>
      <c r="M394" s="2" t="n"/>
      <c r="N394" s="2" t="n"/>
      <c r="O394" s="2" t="n"/>
      <c r="P394" s="2" t="n"/>
    </row>
    <row r="395" ht="409.6" customHeight="1" s="37">
      <c r="A395" s="8" t="n"/>
      <c r="B395" s="2" t="n"/>
      <c r="C395" s="2" t="n"/>
      <c r="D395" s="2" t="n"/>
      <c r="E395" s="2" t="n"/>
      <c r="F395" s="2" t="n"/>
      <c r="G395" s="2" t="n"/>
      <c r="H395" s="2" t="n"/>
      <c r="I395" s="8" t="n"/>
      <c r="J395" s="10" t="n"/>
      <c r="K395" s="2" t="n"/>
      <c r="L395" s="2" t="n"/>
      <c r="M395" s="2" t="n"/>
      <c r="N395" s="2" t="n"/>
      <c r="O395" s="2" t="n"/>
      <c r="P395" s="2" t="n"/>
    </row>
    <row r="396" ht="409.6" customHeight="1" s="37">
      <c r="A396" s="8" t="n"/>
      <c r="B396" s="2" t="n"/>
      <c r="C396" s="2" t="n"/>
      <c r="D396" s="2" t="n"/>
      <c r="E396" s="2" t="n"/>
      <c r="F396" s="2" t="n"/>
      <c r="G396" s="2" t="n"/>
      <c r="H396" s="2" t="n"/>
      <c r="I396" s="8" t="n"/>
      <c r="J396" s="10" t="n"/>
      <c r="K396" s="2" t="n"/>
      <c r="L396" s="2" t="n"/>
      <c r="M396" s="2" t="n"/>
      <c r="N396" s="2" t="n"/>
      <c r="O396" s="2" t="n"/>
      <c r="P396" s="2" t="n"/>
    </row>
    <row r="397" ht="409.6" customHeight="1" s="37">
      <c r="A397" s="8" t="n"/>
      <c r="B397" s="2" t="n"/>
      <c r="C397" s="2" t="n"/>
      <c r="D397" s="2" t="n"/>
      <c r="E397" s="2" t="n"/>
      <c r="F397" s="2" t="n"/>
      <c r="G397" s="2" t="n"/>
      <c r="H397" s="2" t="n"/>
      <c r="I397" s="8" t="n"/>
      <c r="J397" s="10" t="n"/>
      <c r="K397" s="2" t="n"/>
      <c r="L397" s="2" t="n"/>
      <c r="M397" s="2" t="n"/>
      <c r="N397" s="2" t="n"/>
      <c r="O397" s="2" t="n"/>
      <c r="P397" s="2" t="n"/>
    </row>
    <row r="398" ht="409.6" customHeight="1" s="37">
      <c r="A398" s="8" t="n"/>
      <c r="B398" s="2" t="n"/>
      <c r="C398" s="2" t="n"/>
      <c r="D398" s="2" t="n"/>
      <c r="E398" s="2" t="n"/>
      <c r="F398" s="2" t="n"/>
      <c r="G398" s="2" t="n"/>
      <c r="H398" s="2" t="n"/>
      <c r="I398" s="8" t="n"/>
      <c r="J398" s="10" t="n"/>
      <c r="K398" s="2" t="n"/>
      <c r="L398" s="2" t="n"/>
      <c r="M398" s="2" t="n"/>
      <c r="N398" s="2" t="n"/>
      <c r="O398" s="2" t="n"/>
      <c r="P398" s="2" t="n"/>
    </row>
    <row r="399" ht="409.6" customHeight="1" s="37">
      <c r="A399" s="8" t="n"/>
      <c r="B399" s="2" t="n"/>
      <c r="C399" s="2" t="n"/>
      <c r="D399" s="2" t="n"/>
      <c r="E399" s="2" t="n"/>
      <c r="F399" s="2" t="n"/>
      <c r="G399" s="2" t="n"/>
      <c r="H399" s="2" t="n"/>
      <c r="I399" s="8" t="n"/>
      <c r="J399" s="10" t="n"/>
      <c r="K399" s="2" t="n"/>
      <c r="L399" s="2" t="n"/>
      <c r="M399" s="2" t="n"/>
      <c r="N399" s="2" t="n"/>
      <c r="O399" s="2" t="n"/>
      <c r="P399" s="2" t="n"/>
    </row>
    <row r="400" ht="409.6" customHeight="1" s="37">
      <c r="A400" s="8" t="n"/>
      <c r="B400" s="2" t="n"/>
      <c r="C400" s="2" t="n"/>
      <c r="D400" s="2" t="n"/>
      <c r="E400" s="2" t="n"/>
      <c r="F400" s="2" t="n"/>
      <c r="G400" s="2" t="n"/>
      <c r="H400" s="2" t="n"/>
      <c r="I400" s="8" t="n"/>
      <c r="J400" s="10" t="n"/>
      <c r="K400" s="2" t="n"/>
      <c r="L400" s="2" t="n"/>
      <c r="M400" s="2" t="n"/>
      <c r="N400" s="2" t="n"/>
      <c r="O400" s="2" t="n"/>
      <c r="P400" s="2" t="n"/>
    </row>
    <row r="401" ht="409.6" customHeight="1" s="37">
      <c r="A401" s="8" t="n"/>
      <c r="B401" s="2" t="n"/>
      <c r="C401" s="2" t="n"/>
      <c r="D401" s="2" t="n"/>
      <c r="E401" s="2" t="n"/>
      <c r="F401" s="2" t="n"/>
      <c r="G401" s="2" t="n"/>
      <c r="H401" s="2" t="n"/>
      <c r="I401" s="8" t="n"/>
      <c r="J401" s="10" t="n"/>
      <c r="K401" s="2" t="n"/>
      <c r="L401" s="2" t="n"/>
      <c r="M401" s="2" t="n"/>
      <c r="N401" s="2" t="n"/>
      <c r="O401" s="2" t="n"/>
      <c r="P401" s="2" t="n"/>
    </row>
    <row r="402" ht="409.6" customHeight="1" s="37">
      <c r="A402" s="8" t="n"/>
      <c r="B402" s="2" t="n"/>
      <c r="C402" s="2" t="n"/>
      <c r="D402" s="2" t="n"/>
      <c r="E402" s="2" t="n"/>
      <c r="F402" s="2" t="n"/>
      <c r="G402" s="2" t="n"/>
      <c r="H402" s="2" t="n"/>
      <c r="I402" s="8" t="n"/>
      <c r="J402" s="10" t="n"/>
      <c r="K402" s="2" t="n"/>
      <c r="L402" s="2" t="n"/>
      <c r="M402" s="2" t="n"/>
      <c r="N402" s="2" t="n"/>
      <c r="O402" s="2" t="n"/>
      <c r="P402" s="2" t="n"/>
    </row>
    <row r="403" ht="409.6" customHeight="1" s="37">
      <c r="A403" s="8" t="n"/>
      <c r="B403" s="2" t="n"/>
      <c r="C403" s="2" t="n"/>
      <c r="D403" s="2" t="n"/>
      <c r="E403" s="2" t="n"/>
      <c r="F403" s="2" t="n"/>
      <c r="G403" s="2" t="n"/>
      <c r="H403" s="2" t="n"/>
      <c r="I403" s="8" t="n"/>
      <c r="J403" s="10" t="n"/>
      <c r="K403" s="2" t="n"/>
      <c r="L403" s="2" t="n"/>
      <c r="M403" s="2" t="n"/>
      <c r="N403" s="2" t="n"/>
      <c r="O403" s="2" t="n"/>
      <c r="P403" s="2" t="n"/>
    </row>
    <row r="404" ht="409.6" customHeight="1" s="37">
      <c r="A404" s="8" t="n"/>
      <c r="B404" s="2" t="n"/>
      <c r="C404" s="2" t="n"/>
      <c r="D404" s="2" t="n"/>
      <c r="E404" s="2" t="n"/>
      <c r="F404" s="2" t="n"/>
      <c r="G404" s="2" t="n"/>
      <c r="H404" s="2" t="n"/>
      <c r="I404" s="8" t="n"/>
      <c r="J404" s="10" t="n"/>
      <c r="K404" s="2" t="n"/>
      <c r="L404" s="2" t="n"/>
      <c r="M404" s="2" t="n"/>
      <c r="N404" s="2" t="n"/>
      <c r="O404" s="2" t="n"/>
      <c r="P404" s="2" t="n"/>
    </row>
    <row r="405" ht="409.6" customHeight="1" s="37">
      <c r="A405" s="8" t="n"/>
      <c r="B405" s="2" t="n"/>
      <c r="C405" s="2" t="n"/>
      <c r="D405" s="2" t="n"/>
      <c r="E405" s="2" t="n"/>
      <c r="F405" s="2" t="n"/>
      <c r="G405" s="2" t="n"/>
      <c r="H405" s="2" t="n"/>
      <c r="I405" s="8" t="n"/>
      <c r="J405" s="10" t="n"/>
      <c r="K405" s="2" t="n"/>
      <c r="L405" s="2" t="n"/>
      <c r="M405" s="2" t="n"/>
      <c r="N405" s="2" t="n"/>
      <c r="O405" s="2" t="n"/>
      <c r="P405" s="2" t="n"/>
    </row>
    <row r="406" ht="409.6" customHeight="1" s="37">
      <c r="A406" s="8" t="n"/>
      <c r="B406" s="2" t="n"/>
      <c r="C406" s="2" t="n"/>
      <c r="D406" s="2" t="n"/>
      <c r="E406" s="2" t="n"/>
      <c r="F406" s="2" t="n"/>
      <c r="G406" s="2" t="n"/>
      <c r="H406" s="2" t="n"/>
      <c r="I406" s="8" t="n"/>
      <c r="J406" s="10" t="n"/>
      <c r="K406" s="2" t="n"/>
      <c r="L406" s="2" t="n"/>
      <c r="M406" s="2" t="n"/>
      <c r="N406" s="2" t="n"/>
      <c r="O406" s="2" t="n"/>
      <c r="P406" s="2" t="n"/>
    </row>
    <row r="407" ht="409.6" customHeight="1" s="37">
      <c r="A407" s="8" t="n"/>
      <c r="B407" s="2" t="n"/>
      <c r="C407" s="2" t="n"/>
      <c r="D407" s="2" t="n"/>
      <c r="E407" s="2" t="n"/>
      <c r="F407" s="2" t="n"/>
      <c r="G407" s="2" t="n"/>
      <c r="H407" s="2" t="n"/>
      <c r="I407" s="8" t="n"/>
      <c r="J407" s="10" t="n"/>
      <c r="K407" s="2" t="n"/>
      <c r="L407" s="2" t="n"/>
      <c r="M407" s="2" t="n"/>
      <c r="N407" s="2" t="n"/>
      <c r="O407" s="2" t="n"/>
      <c r="P407" s="2" t="n"/>
    </row>
    <row r="408" ht="409.6" customHeight="1" s="37">
      <c r="A408" s="8" t="n"/>
      <c r="B408" s="2" t="n"/>
      <c r="C408" s="2" t="n"/>
      <c r="D408" s="2" t="n"/>
      <c r="E408" s="2" t="n"/>
      <c r="F408" s="2" t="n"/>
      <c r="G408" s="2" t="n"/>
      <c r="H408" s="2" t="n"/>
      <c r="I408" s="8" t="n"/>
      <c r="J408" s="10" t="n"/>
      <c r="K408" s="2" t="n"/>
      <c r="L408" s="2" t="n"/>
      <c r="M408" s="2" t="n"/>
      <c r="N408" s="2" t="n"/>
      <c r="O408" s="2" t="n"/>
      <c r="P408" s="2" t="n"/>
    </row>
    <row r="409" ht="409.6" customHeight="1" s="37">
      <c r="A409" s="8" t="n"/>
      <c r="B409" s="2" t="n"/>
      <c r="C409" s="2" t="n"/>
      <c r="D409" s="2" t="n"/>
      <c r="E409" s="2" t="n"/>
      <c r="F409" s="2" t="n"/>
      <c r="G409" s="2" t="n"/>
      <c r="H409" s="2" t="n"/>
      <c r="I409" s="8" t="n"/>
      <c r="J409" s="10" t="n"/>
      <c r="K409" s="2" t="n"/>
      <c r="L409" s="2" t="n"/>
      <c r="M409" s="2" t="n"/>
      <c r="N409" s="2" t="n"/>
      <c r="O409" s="2" t="n"/>
      <c r="P409" s="2" t="n"/>
    </row>
    <row r="410" ht="409.6" customHeight="1" s="37">
      <c r="A410" s="8" t="n"/>
      <c r="B410" s="2" t="n"/>
      <c r="C410" s="2" t="n"/>
      <c r="D410" s="2" t="n"/>
      <c r="E410" s="2" t="n"/>
      <c r="F410" s="2" t="n"/>
      <c r="G410" s="2" t="n"/>
      <c r="H410" s="2" t="n"/>
      <c r="I410" s="8" t="n"/>
      <c r="J410" s="10" t="n"/>
      <c r="K410" s="2" t="n"/>
      <c r="L410" s="2" t="n"/>
      <c r="M410" s="2" t="n"/>
      <c r="N410" s="2" t="n"/>
      <c r="O410" s="2" t="n"/>
      <c r="P410" s="2" t="n"/>
    </row>
    <row r="411" ht="409.6" customHeight="1" s="37">
      <c r="A411" s="8" t="n"/>
      <c r="B411" s="2" t="n"/>
      <c r="C411" s="2" t="n"/>
      <c r="D411" s="2" t="n"/>
      <c r="E411" s="2" t="n"/>
      <c r="F411" s="2" t="n"/>
      <c r="G411" s="2" t="n"/>
      <c r="H411" s="2" t="n"/>
      <c r="I411" s="8" t="n"/>
      <c r="J411" s="10" t="n"/>
      <c r="K411" s="2" t="n"/>
      <c r="L411" s="2" t="n"/>
      <c r="M411" s="2" t="n"/>
      <c r="N411" s="2" t="n"/>
      <c r="O411" s="2" t="n"/>
      <c r="P411" s="2" t="n"/>
    </row>
    <row r="412" ht="409.6" customHeight="1" s="37">
      <c r="A412" s="8" t="n"/>
      <c r="B412" s="2" t="n"/>
      <c r="C412" s="2" t="n"/>
      <c r="D412" s="2" t="n"/>
      <c r="E412" s="2" t="n"/>
      <c r="F412" s="2" t="n"/>
      <c r="G412" s="2" t="n"/>
      <c r="H412" s="2" t="n"/>
      <c r="I412" s="8" t="n"/>
      <c r="J412" s="10" t="n"/>
      <c r="K412" s="2" t="n"/>
      <c r="L412" s="2" t="n"/>
      <c r="M412" s="2" t="n"/>
      <c r="N412" s="2" t="n"/>
      <c r="O412" s="2" t="n"/>
      <c r="P412" s="2" t="n"/>
    </row>
    <row r="413" ht="409.6" customHeight="1" s="37">
      <c r="A413" s="8" t="n"/>
      <c r="B413" s="2" t="n"/>
      <c r="C413" s="2" t="n"/>
      <c r="D413" s="2" t="n"/>
      <c r="E413" s="2" t="n"/>
      <c r="F413" s="2" t="n"/>
      <c r="G413" s="2" t="n"/>
      <c r="H413" s="2" t="n"/>
      <c r="I413" s="8" t="n"/>
      <c r="J413" s="10" t="n"/>
      <c r="K413" s="2" t="n"/>
      <c r="L413" s="2" t="n"/>
      <c r="M413" s="2" t="n"/>
      <c r="N413" s="2" t="n"/>
      <c r="O413" s="2" t="n"/>
      <c r="P413" s="2" t="n"/>
    </row>
    <row r="414" ht="409.6" customHeight="1" s="37">
      <c r="A414" s="8" t="n"/>
      <c r="B414" s="2" t="n"/>
      <c r="C414" s="2" t="n"/>
      <c r="D414" s="2" t="n"/>
      <c r="E414" s="2" t="n"/>
      <c r="F414" s="2" t="n"/>
      <c r="G414" s="2" t="n"/>
      <c r="H414" s="2" t="n"/>
      <c r="I414" s="8" t="n"/>
      <c r="J414" s="10" t="n"/>
      <c r="K414" s="2" t="n"/>
      <c r="L414" s="2" t="n"/>
      <c r="M414" s="2" t="n"/>
      <c r="N414" s="2" t="n"/>
      <c r="O414" s="2" t="n"/>
      <c r="P414" s="2" t="n"/>
    </row>
    <row r="415" ht="409.6" customHeight="1" s="37">
      <c r="A415" s="8" t="n"/>
      <c r="B415" s="2" t="n"/>
      <c r="C415" s="2" t="n"/>
      <c r="D415" s="2" t="n"/>
      <c r="E415" s="2" t="n"/>
      <c r="F415" s="2" t="n"/>
      <c r="G415" s="2" t="n"/>
      <c r="H415" s="2" t="n"/>
      <c r="I415" s="8" t="n"/>
      <c r="J415" s="10" t="n"/>
      <c r="K415" s="2" t="n"/>
      <c r="L415" s="2" t="n"/>
      <c r="M415" s="2" t="n"/>
      <c r="N415" s="2" t="n"/>
      <c r="O415" s="2" t="n"/>
      <c r="P415" s="2" t="n"/>
    </row>
    <row r="416" ht="409.6" customHeight="1" s="37">
      <c r="A416" s="8" t="n"/>
      <c r="B416" s="2" t="n"/>
      <c r="C416" s="2" t="n"/>
      <c r="D416" s="2" t="n"/>
      <c r="E416" s="2" t="n"/>
      <c r="F416" s="2" t="n"/>
      <c r="G416" s="2" t="n"/>
      <c r="H416" s="2" t="n"/>
      <c r="I416" s="8" t="n"/>
      <c r="J416" s="10" t="n"/>
      <c r="K416" s="2" t="n"/>
      <c r="L416" s="2" t="n"/>
      <c r="M416" s="2" t="n"/>
      <c r="N416" s="2" t="n"/>
      <c r="O416" s="2" t="n"/>
      <c r="P416" s="2" t="n"/>
    </row>
    <row r="417" ht="409.6" customHeight="1" s="37">
      <c r="A417" s="8" t="n"/>
      <c r="B417" s="2" t="n"/>
      <c r="C417" s="2" t="n"/>
      <c r="D417" s="2" t="n"/>
      <c r="E417" s="2" t="n"/>
      <c r="F417" s="2" t="n"/>
      <c r="G417" s="2" t="n"/>
      <c r="H417" s="2" t="n"/>
      <c r="I417" s="8" t="n"/>
      <c r="J417" s="10" t="n"/>
      <c r="K417" s="2" t="n"/>
      <c r="L417" s="2" t="n"/>
      <c r="M417" s="2" t="n"/>
      <c r="N417" s="2" t="n"/>
      <c r="O417" s="2" t="n"/>
      <c r="P417" s="2" t="n"/>
    </row>
    <row r="418" ht="409.6" customHeight="1" s="37">
      <c r="A418" s="8" t="n"/>
      <c r="B418" s="2" t="n"/>
      <c r="C418" s="2" t="n"/>
      <c r="D418" s="2" t="n"/>
      <c r="E418" s="2" t="n"/>
      <c r="F418" s="2" t="n"/>
      <c r="G418" s="2" t="n"/>
      <c r="H418" s="2" t="n"/>
      <c r="I418" s="8" t="n"/>
      <c r="J418" s="10" t="n"/>
      <c r="K418" s="2" t="n"/>
      <c r="L418" s="2" t="n"/>
      <c r="M418" s="2" t="n"/>
      <c r="N418" s="2" t="n"/>
      <c r="O418" s="2" t="n"/>
      <c r="P418" s="2" t="n"/>
    </row>
    <row r="419" ht="409.6" customHeight="1" s="37">
      <c r="A419" s="8" t="n"/>
      <c r="B419" s="2" t="n"/>
      <c r="C419" s="2" t="n"/>
      <c r="D419" s="2" t="n"/>
      <c r="E419" s="2" t="n"/>
      <c r="F419" s="2" t="n"/>
      <c r="G419" s="2" t="n"/>
      <c r="H419" s="2" t="n"/>
      <c r="I419" s="8" t="n"/>
      <c r="J419" s="10" t="n"/>
      <c r="K419" s="2" t="n"/>
      <c r="L419" s="2" t="n"/>
      <c r="M419" s="2" t="n"/>
      <c r="N419" s="2" t="n"/>
      <c r="O419" s="2" t="n"/>
      <c r="P419" s="2" t="n"/>
    </row>
    <row r="420" ht="409.6" customHeight="1" s="37">
      <c r="A420" s="8" t="n"/>
      <c r="B420" s="2" t="n"/>
      <c r="C420" s="2" t="n"/>
      <c r="D420" s="2" t="n"/>
      <c r="E420" s="2" t="n"/>
      <c r="F420" s="2" t="n"/>
      <c r="G420" s="2" t="n"/>
      <c r="H420" s="2" t="n"/>
      <c r="I420" s="8" t="n"/>
      <c r="J420" s="10" t="n"/>
      <c r="K420" s="2" t="n"/>
      <c r="L420" s="2" t="n"/>
      <c r="M420" s="2" t="n"/>
      <c r="N420" s="2" t="n"/>
      <c r="O420" s="2" t="n"/>
      <c r="P420" s="2" t="n"/>
    </row>
    <row r="421" ht="409.6" customHeight="1" s="37">
      <c r="A421" s="8" t="n"/>
      <c r="B421" s="2" t="n"/>
      <c r="C421" s="2" t="n"/>
      <c r="D421" s="2" t="n"/>
      <c r="E421" s="2" t="n"/>
      <c r="F421" s="2" t="n"/>
      <c r="G421" s="2" t="n"/>
      <c r="H421" s="2" t="n"/>
      <c r="I421" s="8" t="n"/>
      <c r="J421" s="10" t="n"/>
      <c r="K421" s="2" t="n"/>
      <c r="L421" s="2" t="n"/>
      <c r="M421" s="2" t="n"/>
      <c r="N421" s="2" t="n"/>
      <c r="O421" s="2" t="n"/>
      <c r="P421" s="2" t="n"/>
    </row>
    <row r="422" ht="409.6" customHeight="1" s="37">
      <c r="A422" s="8" t="n"/>
      <c r="B422" s="2" t="n"/>
      <c r="C422" s="2" t="n"/>
      <c r="D422" s="2" t="n"/>
      <c r="E422" s="2" t="n"/>
      <c r="F422" s="2" t="n"/>
      <c r="G422" s="2" t="n"/>
      <c r="H422" s="2" t="n"/>
      <c r="I422" s="8" t="n"/>
      <c r="J422" s="10" t="n"/>
      <c r="K422" s="2" t="n"/>
      <c r="L422" s="2" t="n"/>
      <c r="M422" s="2" t="n"/>
      <c r="N422" s="2" t="n"/>
      <c r="O422" s="2" t="n"/>
      <c r="P422" s="2" t="n"/>
    </row>
    <row r="423" ht="409.6" customHeight="1" s="37">
      <c r="A423" s="8" t="n"/>
      <c r="B423" s="2" t="n"/>
      <c r="C423" s="2" t="n"/>
      <c r="D423" s="2" t="n"/>
      <c r="E423" s="2" t="n"/>
      <c r="F423" s="2" t="n"/>
      <c r="G423" s="2" t="n"/>
      <c r="H423" s="2" t="n"/>
      <c r="I423" s="8" t="n"/>
      <c r="J423" s="10" t="n"/>
      <c r="K423" s="2" t="n"/>
      <c r="L423" s="2" t="n"/>
      <c r="M423" s="2" t="n"/>
      <c r="N423" s="2" t="n"/>
      <c r="O423" s="2" t="n"/>
      <c r="P423" s="2" t="n"/>
    </row>
    <row r="424" ht="409.6" customHeight="1" s="37">
      <c r="A424" s="8" t="n"/>
      <c r="B424" s="2" t="n"/>
      <c r="C424" s="2" t="n"/>
      <c r="D424" s="2" t="n"/>
      <c r="E424" s="2" t="n"/>
      <c r="F424" s="2" t="n"/>
      <c r="G424" s="2" t="n"/>
      <c r="H424" s="2" t="n"/>
      <c r="I424" s="8" t="n"/>
      <c r="J424" s="10" t="n"/>
      <c r="K424" s="2" t="n"/>
      <c r="L424" s="2" t="n"/>
      <c r="M424" s="2" t="n"/>
      <c r="N424" s="2" t="n"/>
      <c r="O424" s="2" t="n"/>
      <c r="P424" s="2" t="n"/>
    </row>
    <row r="425" ht="409.6" customHeight="1" s="37">
      <c r="A425" s="8" t="n"/>
      <c r="B425" s="2" t="n"/>
      <c r="C425" s="2" t="n"/>
      <c r="D425" s="2" t="n"/>
      <c r="E425" s="2" t="n"/>
      <c r="F425" s="2" t="n"/>
      <c r="G425" s="2" t="n"/>
      <c r="H425" s="2" t="n"/>
      <c r="I425" s="8" t="n"/>
      <c r="J425" s="10" t="n"/>
      <c r="K425" s="2" t="n"/>
      <c r="L425" s="2" t="n"/>
      <c r="M425" s="2" t="n"/>
      <c r="N425" s="2" t="n"/>
      <c r="O425" s="2" t="n"/>
      <c r="P425" s="2" t="n"/>
    </row>
    <row r="426" ht="409.6" customHeight="1" s="37">
      <c r="A426" s="8" t="n"/>
      <c r="B426" s="2" t="n"/>
      <c r="C426" s="2" t="n"/>
      <c r="D426" s="2" t="n"/>
      <c r="E426" s="2" t="n"/>
      <c r="F426" s="2" t="n"/>
      <c r="G426" s="2" t="n"/>
      <c r="H426" s="2" t="n"/>
      <c r="I426" s="8" t="n"/>
      <c r="J426" s="10" t="n"/>
      <c r="K426" s="2" t="n"/>
      <c r="L426" s="2" t="n"/>
      <c r="M426" s="2" t="n"/>
      <c r="N426" s="2" t="n"/>
      <c r="O426" s="2" t="n"/>
      <c r="P426" s="2" t="n"/>
    </row>
    <row r="427" ht="409.6" customHeight="1" s="37">
      <c r="A427" s="8" t="n"/>
      <c r="B427" s="2" t="n"/>
      <c r="C427" s="2" t="n"/>
      <c r="D427" s="2" t="n"/>
      <c r="E427" s="2" t="n"/>
      <c r="F427" s="2" t="n"/>
      <c r="G427" s="2" t="n"/>
      <c r="H427" s="2" t="n"/>
      <c r="I427" s="8" t="n"/>
      <c r="J427" s="10" t="n"/>
      <c r="K427" s="2" t="n"/>
      <c r="L427" s="2" t="n"/>
      <c r="M427" s="2" t="n"/>
      <c r="N427" s="2" t="n"/>
      <c r="O427" s="2" t="n"/>
      <c r="P427" s="2" t="n"/>
    </row>
    <row r="428" ht="409.6" customHeight="1" s="37">
      <c r="A428" s="8" t="n"/>
      <c r="B428" s="2" t="n"/>
      <c r="C428" s="2" t="n"/>
      <c r="D428" s="2" t="n"/>
      <c r="E428" s="2" t="n"/>
      <c r="F428" s="2" t="n"/>
      <c r="G428" s="2" t="n"/>
      <c r="H428" s="2" t="n"/>
      <c r="I428" s="8" t="n"/>
      <c r="J428" s="10" t="n"/>
      <c r="K428" s="2" t="n"/>
      <c r="L428" s="2" t="n"/>
      <c r="M428" s="2" t="n"/>
      <c r="N428" s="2" t="n"/>
      <c r="O428" s="2" t="n"/>
      <c r="P428" s="2" t="n"/>
    </row>
    <row r="429" ht="409.6" customHeight="1" s="37">
      <c r="A429" s="8" t="n"/>
      <c r="B429" s="2" t="n"/>
      <c r="C429" s="2" t="n"/>
      <c r="D429" s="2" t="n"/>
      <c r="E429" s="2" t="n"/>
      <c r="F429" s="2" t="n"/>
      <c r="G429" s="2" t="n"/>
      <c r="H429" s="2" t="n"/>
      <c r="I429" s="8" t="n"/>
      <c r="J429" s="10" t="n"/>
      <c r="K429" s="2" t="n"/>
      <c r="L429" s="2" t="n"/>
      <c r="M429" s="2" t="n"/>
      <c r="N429" s="2" t="n"/>
      <c r="O429" s="2" t="n"/>
      <c r="P429" s="2" t="n"/>
    </row>
    <row r="430" ht="409.6" customHeight="1" s="37">
      <c r="A430" s="8" t="n"/>
      <c r="B430" s="2" t="n"/>
      <c r="C430" s="2" t="n"/>
      <c r="D430" s="2" t="n"/>
      <c r="E430" s="2" t="n"/>
      <c r="F430" s="2" t="n"/>
      <c r="G430" s="2" t="n"/>
      <c r="H430" s="2" t="n"/>
      <c r="I430" s="8" t="n"/>
      <c r="J430" s="10" t="n"/>
      <c r="K430" s="2" t="n"/>
      <c r="L430" s="2" t="n"/>
      <c r="M430" s="2" t="n"/>
      <c r="N430" s="2" t="n"/>
      <c r="O430" s="2" t="n"/>
      <c r="P430" s="2" t="n"/>
    </row>
    <row r="431" ht="409.6" customHeight="1" s="37">
      <c r="A431" s="8" t="n"/>
      <c r="B431" s="2" t="n"/>
      <c r="C431" s="2" t="n"/>
      <c r="D431" s="2" t="n"/>
      <c r="E431" s="2" t="n"/>
      <c r="F431" s="2" t="n"/>
      <c r="G431" s="2" t="n"/>
      <c r="H431" s="2" t="n"/>
      <c r="I431" s="8" t="n"/>
      <c r="J431" s="10" t="n"/>
      <c r="K431" s="2" t="n"/>
      <c r="L431" s="2" t="n"/>
      <c r="M431" s="2" t="n"/>
      <c r="N431" s="2" t="n"/>
      <c r="O431" s="2" t="n"/>
      <c r="P431" s="2" t="n"/>
    </row>
    <row r="432" ht="409.6" customHeight="1" s="37">
      <c r="A432" s="8" t="n"/>
      <c r="B432" s="2" t="n"/>
      <c r="C432" s="2" t="n"/>
      <c r="D432" s="2" t="n"/>
      <c r="E432" s="2" t="n"/>
      <c r="F432" s="2" t="n"/>
      <c r="G432" s="2" t="n"/>
      <c r="H432" s="2" t="n"/>
      <c r="I432" s="8" t="n"/>
      <c r="J432" s="10" t="n"/>
      <c r="K432" s="2" t="n"/>
      <c r="L432" s="2" t="n"/>
      <c r="M432" s="2" t="n"/>
      <c r="N432" s="2" t="n"/>
      <c r="O432" s="2" t="n"/>
      <c r="P432" s="2" t="n"/>
    </row>
    <row r="433" ht="409.6" customHeight="1" s="37">
      <c r="A433" s="8" t="n"/>
      <c r="B433" s="2" t="n"/>
      <c r="C433" s="2" t="n"/>
      <c r="D433" s="2" t="n"/>
      <c r="E433" s="2" t="n"/>
      <c r="F433" s="2" t="n"/>
      <c r="G433" s="2" t="n"/>
      <c r="H433" s="2" t="n"/>
      <c r="I433" s="8" t="n"/>
      <c r="J433" s="10" t="n"/>
      <c r="K433" s="2" t="n"/>
      <c r="L433" s="2" t="n"/>
      <c r="M433" s="2" t="n"/>
      <c r="N433" s="2" t="n"/>
      <c r="O433" s="2" t="n"/>
      <c r="P433" s="2" t="n"/>
    </row>
    <row r="434" ht="409.6" customHeight="1" s="37">
      <c r="A434" s="8" t="n"/>
      <c r="B434" s="2" t="n"/>
      <c r="C434" s="2" t="n"/>
      <c r="D434" s="2" t="n"/>
      <c r="E434" s="2" t="n"/>
      <c r="F434" s="2" t="n"/>
      <c r="G434" s="2" t="n"/>
      <c r="H434" s="2" t="n"/>
      <c r="I434" s="8" t="n"/>
      <c r="J434" s="10" t="n"/>
      <c r="K434" s="2" t="n"/>
      <c r="L434" s="2" t="n"/>
      <c r="M434" s="2" t="n"/>
      <c r="N434" s="2" t="n"/>
      <c r="O434" s="2" t="n"/>
      <c r="P434" s="2" t="n"/>
    </row>
    <row r="435" ht="409.6" customHeight="1" s="37">
      <c r="A435" s="8" t="n"/>
      <c r="B435" s="2" t="n"/>
      <c r="C435" s="2" t="n"/>
      <c r="D435" s="2" t="n"/>
      <c r="E435" s="2" t="n"/>
      <c r="F435" s="2" t="n"/>
      <c r="G435" s="2" t="n"/>
      <c r="H435" s="2" t="n"/>
      <c r="I435" s="8" t="n"/>
      <c r="J435" s="10" t="n"/>
      <c r="K435" s="2" t="n"/>
      <c r="L435" s="2" t="n"/>
      <c r="M435" s="2" t="n"/>
      <c r="N435" s="2" t="n"/>
      <c r="O435" s="2" t="n"/>
      <c r="P435" s="2" t="n"/>
    </row>
    <row r="436" ht="409.6" customHeight="1" s="37">
      <c r="A436" s="8" t="n"/>
      <c r="B436" s="2" t="n"/>
      <c r="C436" s="2" t="n"/>
      <c r="D436" s="2" t="n"/>
      <c r="E436" s="2" t="n"/>
      <c r="F436" s="2" t="n"/>
      <c r="G436" s="2" t="n"/>
      <c r="H436" s="2" t="n"/>
      <c r="I436" s="8" t="n"/>
      <c r="J436" s="10" t="n"/>
      <c r="K436" s="2" t="n"/>
      <c r="L436" s="2" t="n"/>
      <c r="M436" s="2" t="n"/>
      <c r="N436" s="2" t="n"/>
      <c r="O436" s="2" t="n"/>
      <c r="P436" s="2" t="n"/>
    </row>
    <row r="437" ht="409.6" customHeight="1" s="37">
      <c r="A437" s="8" t="n"/>
      <c r="B437" s="2" t="n"/>
      <c r="C437" s="2" t="n"/>
      <c r="D437" s="2" t="n"/>
      <c r="E437" s="2" t="n"/>
      <c r="F437" s="2" t="n"/>
      <c r="G437" s="2" t="n"/>
      <c r="H437" s="2" t="n"/>
      <c r="I437" s="8" t="n"/>
      <c r="J437" s="10" t="n"/>
      <c r="K437" s="2" t="n"/>
      <c r="L437" s="2" t="n"/>
      <c r="M437" s="2" t="n"/>
      <c r="N437" s="2" t="n"/>
      <c r="O437" s="2" t="n"/>
      <c r="P437" s="2" t="n"/>
    </row>
    <row r="438" ht="409.6" customHeight="1" s="37">
      <c r="A438" s="8" t="n"/>
      <c r="B438" s="2" t="n"/>
      <c r="C438" s="2" t="n"/>
      <c r="D438" s="2" t="n"/>
      <c r="E438" s="2" t="n"/>
      <c r="F438" s="2" t="n"/>
      <c r="G438" s="2" t="n"/>
      <c r="H438" s="2" t="n"/>
      <c r="I438" s="8" t="n"/>
      <c r="J438" s="10" t="n"/>
      <c r="K438" s="2" t="n"/>
      <c r="L438" s="2" t="n"/>
      <c r="M438" s="2" t="n"/>
      <c r="N438" s="2" t="n"/>
      <c r="O438" s="2" t="n"/>
      <c r="P438" s="2" t="n"/>
    </row>
    <row r="439" ht="409.6" customHeight="1" s="37">
      <c r="A439" s="8" t="n"/>
      <c r="B439" s="2" t="n"/>
      <c r="C439" s="2" t="n"/>
      <c r="D439" s="2" t="n"/>
      <c r="E439" s="2" t="n"/>
      <c r="F439" s="2" t="n"/>
      <c r="G439" s="2" t="n"/>
      <c r="H439" s="2" t="n"/>
      <c r="I439" s="8" t="n"/>
      <c r="J439" s="10" t="n"/>
      <c r="K439" s="2" t="n"/>
      <c r="L439" s="2" t="n"/>
      <c r="M439" s="2" t="n"/>
      <c r="N439" s="2" t="n"/>
      <c r="O439" s="2" t="n"/>
      <c r="P439" s="2" t="n"/>
    </row>
    <row r="440" ht="409.6" customHeight="1" s="37">
      <c r="A440" s="8" t="n"/>
      <c r="B440" s="2" t="n"/>
      <c r="C440" s="2" t="n"/>
      <c r="D440" s="2" t="n"/>
      <c r="E440" s="2" t="n"/>
      <c r="F440" s="2" t="n"/>
      <c r="G440" s="2" t="n"/>
      <c r="H440" s="2" t="n"/>
      <c r="I440" s="8" t="n"/>
      <c r="J440" s="10" t="n"/>
      <c r="K440" s="2" t="n"/>
      <c r="L440" s="2" t="n"/>
      <c r="M440" s="2" t="n"/>
      <c r="N440" s="2" t="n"/>
      <c r="O440" s="2" t="n"/>
      <c r="P440" s="2" t="n"/>
    </row>
    <row r="441" ht="409.6" customHeight="1" s="37">
      <c r="A441" s="8" t="n"/>
      <c r="B441" s="2" t="n"/>
      <c r="C441" s="2" t="n"/>
      <c r="D441" s="2" t="n"/>
      <c r="E441" s="2" t="n"/>
      <c r="F441" s="2" t="n"/>
      <c r="G441" s="2" t="n"/>
      <c r="H441" s="2" t="n"/>
      <c r="I441" s="8" t="n"/>
      <c r="J441" s="10" t="n"/>
      <c r="K441" s="2" t="n"/>
      <c r="L441" s="2" t="n"/>
      <c r="M441" s="2" t="n"/>
      <c r="N441" s="2" t="n"/>
      <c r="O441" s="2" t="n"/>
      <c r="P441" s="2" t="n"/>
    </row>
    <row r="442" ht="409.6" customHeight="1" s="37">
      <c r="A442" s="8" t="n"/>
      <c r="B442" s="2" t="n"/>
      <c r="C442" s="2" t="n"/>
      <c r="D442" s="2" t="n"/>
      <c r="E442" s="2" t="n"/>
      <c r="F442" s="2" t="n"/>
      <c r="G442" s="2" t="n"/>
      <c r="H442" s="2" t="n"/>
      <c r="I442" s="8" t="n"/>
      <c r="J442" s="10" t="n"/>
      <c r="K442" s="2" t="n"/>
      <c r="L442" s="2" t="n"/>
      <c r="M442" s="2" t="n"/>
      <c r="N442" s="2" t="n"/>
      <c r="O442" s="2" t="n"/>
      <c r="P442" s="2" t="n"/>
    </row>
    <row r="443" ht="409.6" customHeight="1" s="37">
      <c r="A443" s="8" t="n"/>
      <c r="B443" s="2" t="n"/>
      <c r="C443" s="2" t="n"/>
      <c r="D443" s="2" t="n"/>
      <c r="E443" s="2" t="n"/>
      <c r="F443" s="2" t="n"/>
      <c r="G443" s="2" t="n"/>
      <c r="H443" s="2" t="n"/>
      <c r="I443" s="8" t="n"/>
      <c r="J443" s="10" t="n"/>
      <c r="K443" s="2" t="n"/>
      <c r="L443" s="2" t="n"/>
      <c r="M443" s="2" t="n"/>
      <c r="N443" s="2" t="n"/>
      <c r="O443" s="2" t="n"/>
      <c r="P443" s="2" t="n"/>
    </row>
    <row r="444" ht="409.6" customHeight="1" s="37">
      <c r="A444" s="8" t="n"/>
      <c r="B444" s="2" t="n"/>
      <c r="C444" s="2" t="n"/>
      <c r="D444" s="2" t="n"/>
      <c r="E444" s="2" t="n"/>
      <c r="F444" s="2" t="n"/>
      <c r="G444" s="2" t="n"/>
      <c r="H444" s="2" t="n"/>
      <c r="I444" s="8" t="n"/>
      <c r="J444" s="10" t="n"/>
      <c r="K444" s="2" t="n"/>
      <c r="L444" s="2" t="n"/>
      <c r="M444" s="2" t="n"/>
      <c r="N444" s="2" t="n"/>
      <c r="O444" s="2" t="n"/>
      <c r="P444" s="2" t="n"/>
    </row>
    <row r="445" ht="409.6" customHeight="1" s="37">
      <c r="A445" s="8" t="n"/>
      <c r="B445" s="2" t="n"/>
      <c r="C445" s="2" t="n"/>
      <c r="D445" s="2" t="n"/>
      <c r="E445" s="2" t="n"/>
      <c r="F445" s="2" t="n"/>
      <c r="G445" s="2" t="n"/>
      <c r="H445" s="2" t="n"/>
      <c r="I445" s="8" t="n"/>
      <c r="J445" s="10" t="n"/>
      <c r="K445" s="2" t="n"/>
      <c r="L445" s="2" t="n"/>
      <c r="M445" s="2" t="n"/>
      <c r="N445" s="2" t="n"/>
      <c r="O445" s="2" t="n"/>
      <c r="P445" s="2" t="n"/>
    </row>
    <row r="446" ht="409.6" customHeight="1" s="37">
      <c r="A446" s="8" t="n"/>
      <c r="B446" s="2" t="n"/>
      <c r="C446" s="2" t="n"/>
      <c r="D446" s="2" t="n"/>
      <c r="E446" s="2" t="n"/>
      <c r="F446" s="2" t="n"/>
      <c r="G446" s="2" t="n"/>
      <c r="H446" s="2" t="n"/>
      <c r="I446" s="8" t="n"/>
      <c r="J446" s="10" t="n"/>
      <c r="K446" s="2" t="n"/>
      <c r="L446" s="2" t="n"/>
      <c r="M446" s="2" t="n"/>
      <c r="N446" s="2" t="n"/>
      <c r="O446" s="2" t="n"/>
      <c r="P446" s="2" t="n"/>
    </row>
    <row r="447" ht="409.6" customHeight="1" s="37">
      <c r="A447" s="8" t="n"/>
      <c r="B447" s="2" t="n"/>
      <c r="C447" s="2" t="n"/>
      <c r="D447" s="2" t="n"/>
      <c r="E447" s="2" t="n"/>
      <c r="F447" s="2" t="n"/>
      <c r="G447" s="2" t="n"/>
      <c r="H447" s="2" t="n"/>
      <c r="I447" s="8" t="n"/>
      <c r="J447" s="10" t="n"/>
      <c r="K447" s="2" t="n"/>
      <c r="L447" s="2" t="n"/>
      <c r="M447" s="2" t="n"/>
      <c r="N447" s="2" t="n"/>
      <c r="O447" s="2" t="n"/>
      <c r="P447" s="2" t="n"/>
    </row>
    <row r="448" ht="409.6" customHeight="1" s="37">
      <c r="A448" s="8" t="n"/>
      <c r="B448" s="2" t="n"/>
      <c r="C448" s="2" t="n"/>
      <c r="D448" s="2" t="n"/>
      <c r="E448" s="2" t="n"/>
      <c r="F448" s="2" t="n"/>
      <c r="G448" s="2" t="n"/>
      <c r="H448" s="2" t="n"/>
      <c r="I448" s="8" t="n"/>
      <c r="J448" s="10" t="n"/>
      <c r="K448" s="2" t="n"/>
      <c r="L448" s="2" t="n"/>
      <c r="M448" s="2" t="n"/>
      <c r="N448" s="2" t="n"/>
      <c r="O448" s="2" t="n"/>
      <c r="P448" s="2" t="n"/>
    </row>
    <row r="449" ht="409.6" customHeight="1" s="37">
      <c r="A449" s="8" t="n"/>
      <c r="B449" s="2" t="n"/>
      <c r="C449" s="2" t="n"/>
      <c r="D449" s="2" t="n"/>
      <c r="E449" s="2" t="n"/>
      <c r="F449" s="2" t="n"/>
      <c r="G449" s="2" t="n"/>
      <c r="H449" s="2" t="n"/>
      <c r="I449" s="8" t="n"/>
      <c r="J449" s="10" t="n"/>
      <c r="K449" s="2" t="n"/>
      <c r="L449" s="2" t="n"/>
      <c r="M449" s="2" t="n"/>
      <c r="N449" s="2" t="n"/>
      <c r="O449" s="2" t="n"/>
      <c r="P449" s="2" t="n"/>
    </row>
    <row r="450" ht="409.6" customHeight="1" s="37">
      <c r="A450" s="8" t="n"/>
      <c r="B450" s="2" t="n"/>
      <c r="C450" s="2" t="n"/>
      <c r="D450" s="2" t="n"/>
      <c r="E450" s="2" t="n"/>
      <c r="F450" s="2" t="n"/>
      <c r="G450" s="2" t="n"/>
      <c r="H450" s="2" t="n"/>
      <c r="I450" s="8" t="n"/>
      <c r="J450" s="10" t="n"/>
      <c r="K450" s="2" t="n"/>
      <c r="L450" s="2" t="n"/>
      <c r="M450" s="2" t="n"/>
      <c r="N450" s="2" t="n"/>
      <c r="O450" s="2" t="n"/>
      <c r="P450" s="2" t="n"/>
    </row>
    <row r="451" ht="409.6" customHeight="1" s="37">
      <c r="A451" s="8" t="n"/>
      <c r="B451" s="2" t="n"/>
      <c r="C451" s="2" t="n"/>
      <c r="D451" s="2" t="n"/>
      <c r="E451" s="2" t="n"/>
      <c r="F451" s="2" t="n"/>
      <c r="G451" s="2" t="n"/>
      <c r="H451" s="2" t="n"/>
      <c r="I451" s="8" t="n"/>
      <c r="J451" s="10" t="n"/>
      <c r="K451" s="2" t="n"/>
      <c r="L451" s="2" t="n"/>
      <c r="M451" s="2" t="n"/>
      <c r="N451" s="2" t="n"/>
      <c r="O451" s="2" t="n"/>
      <c r="P451" s="2" t="n"/>
    </row>
    <row r="452" ht="409.6" customHeight="1" s="37">
      <c r="A452" s="8" t="n"/>
      <c r="B452" s="2" t="n"/>
      <c r="C452" s="2" t="n"/>
      <c r="D452" s="2" t="n"/>
      <c r="E452" s="2" t="n"/>
      <c r="F452" s="2" t="n"/>
      <c r="G452" s="2" t="n"/>
      <c r="H452" s="2" t="n"/>
      <c r="I452" s="8" t="n"/>
      <c r="J452" s="10" t="n"/>
      <c r="K452" s="2" t="n"/>
      <c r="L452" s="2" t="n"/>
      <c r="M452" s="2" t="n"/>
      <c r="N452" s="2" t="n"/>
      <c r="O452" s="2" t="n"/>
      <c r="P452" s="2" t="n"/>
    </row>
    <row r="453" ht="409.6" customHeight="1" s="37">
      <c r="A453" s="8" t="n"/>
      <c r="B453" s="2" t="n"/>
      <c r="C453" s="2" t="n"/>
      <c r="D453" s="2" t="n"/>
      <c r="E453" s="2" t="n"/>
      <c r="F453" s="2" t="n"/>
      <c r="G453" s="2" t="n"/>
      <c r="H453" s="2" t="n"/>
      <c r="I453" s="8" t="n"/>
      <c r="J453" s="10" t="n"/>
      <c r="K453" s="2" t="n"/>
      <c r="L453" s="2" t="n"/>
      <c r="M453" s="2" t="n"/>
      <c r="N453" s="2" t="n"/>
      <c r="O453" s="2" t="n"/>
      <c r="P453" s="2" t="n"/>
    </row>
    <row r="454" ht="409.6" customHeight="1" s="37">
      <c r="A454" s="8" t="n"/>
      <c r="B454" s="2" t="n"/>
      <c r="C454" s="2" t="n"/>
      <c r="D454" s="2" t="n"/>
      <c r="E454" s="2" t="n"/>
      <c r="F454" s="2" t="n"/>
      <c r="G454" s="2" t="n"/>
      <c r="H454" s="2" t="n"/>
      <c r="I454" s="8" t="n"/>
      <c r="J454" s="10" t="n"/>
      <c r="K454" s="2" t="n"/>
      <c r="L454" s="2" t="n"/>
      <c r="M454" s="2" t="n"/>
      <c r="N454" s="2" t="n"/>
      <c r="O454" s="2" t="n"/>
      <c r="P454" s="2" t="n"/>
    </row>
    <row r="455" ht="409.6" customHeight="1" s="37">
      <c r="A455" s="8" t="n"/>
      <c r="B455" s="2" t="n"/>
      <c r="C455" s="2" t="n"/>
      <c r="D455" s="2" t="n"/>
      <c r="E455" s="2" t="n"/>
      <c r="F455" s="2" t="n"/>
      <c r="G455" s="2" t="n"/>
      <c r="H455" s="2" t="n"/>
      <c r="I455" s="8" t="n"/>
      <c r="J455" s="10" t="n"/>
      <c r="K455" s="2" t="n"/>
      <c r="L455" s="2" t="n"/>
      <c r="M455" s="2" t="n"/>
      <c r="N455" s="2" t="n"/>
      <c r="O455" s="2" t="n"/>
      <c r="P455" s="2" t="n"/>
    </row>
    <row r="456" ht="409.6" customHeight="1" s="37">
      <c r="A456" s="8" t="n"/>
      <c r="B456" s="2" t="n"/>
      <c r="C456" s="2" t="n"/>
      <c r="D456" s="2" t="n"/>
      <c r="E456" s="2" t="n"/>
      <c r="F456" s="2" t="n"/>
      <c r="G456" s="2" t="n"/>
      <c r="H456" s="2" t="n"/>
      <c r="I456" s="8" t="n"/>
      <c r="J456" s="10" t="n"/>
      <c r="K456" s="2" t="n"/>
      <c r="L456" s="2" t="n"/>
      <c r="M456" s="2" t="n"/>
      <c r="N456" s="2" t="n"/>
      <c r="O456" s="2" t="n"/>
      <c r="P456" s="2" t="n"/>
    </row>
    <row r="457" ht="409.6" customHeight="1" s="37">
      <c r="A457" s="8" t="n"/>
      <c r="B457" s="2" t="n"/>
      <c r="C457" s="2" t="n"/>
      <c r="D457" s="2" t="n"/>
      <c r="E457" s="2" t="n"/>
      <c r="F457" s="2" t="n"/>
      <c r="G457" s="2" t="n"/>
      <c r="H457" s="2" t="n"/>
      <c r="I457" s="8" t="n"/>
      <c r="J457" s="10" t="n"/>
      <c r="K457" s="2" t="n"/>
      <c r="L457" s="2" t="n"/>
      <c r="M457" s="2" t="n"/>
      <c r="N457" s="2" t="n"/>
      <c r="O457" s="2" t="n"/>
      <c r="P457" s="2" t="n"/>
    </row>
    <row r="458" ht="409.6" customHeight="1" s="37">
      <c r="A458" s="8" t="n"/>
      <c r="B458" s="2" t="n"/>
      <c r="C458" s="2" t="n"/>
      <c r="D458" s="2" t="n"/>
      <c r="E458" s="2" t="n"/>
      <c r="F458" s="2" t="n"/>
      <c r="G458" s="2" t="n"/>
      <c r="H458" s="2" t="n"/>
      <c r="I458" s="8" t="n"/>
      <c r="J458" s="10" t="n"/>
      <c r="K458" s="2" t="n"/>
      <c r="L458" s="2" t="n"/>
      <c r="M458" s="2" t="n"/>
      <c r="N458" s="2" t="n"/>
      <c r="O458" s="2" t="n"/>
      <c r="P458" s="2" t="n"/>
    </row>
    <row r="459" ht="409.6" customHeight="1" s="37">
      <c r="A459" s="8" t="n"/>
      <c r="B459" s="2" t="n"/>
      <c r="C459" s="2" t="n"/>
      <c r="D459" s="2" t="n"/>
      <c r="E459" s="2" t="n"/>
      <c r="F459" s="2" t="n"/>
      <c r="G459" s="2" t="n"/>
      <c r="H459" s="2" t="n"/>
      <c r="I459" s="8" t="n"/>
      <c r="J459" s="10" t="n"/>
      <c r="K459" s="2" t="n"/>
      <c r="L459" s="2" t="n"/>
      <c r="M459" s="2" t="n"/>
      <c r="N459" s="2" t="n"/>
      <c r="O459" s="2" t="n"/>
      <c r="P459" s="2" t="n"/>
    </row>
    <row r="460" ht="409.6" customHeight="1" s="37">
      <c r="A460" s="8" t="n"/>
      <c r="B460" s="2" t="n"/>
      <c r="C460" s="2" t="n"/>
      <c r="D460" s="2" t="n"/>
      <c r="E460" s="2" t="n"/>
      <c r="F460" s="2" t="n"/>
      <c r="G460" s="2" t="n"/>
      <c r="H460" s="2" t="n"/>
      <c r="I460" s="8" t="n"/>
      <c r="J460" s="10" t="n"/>
      <c r="K460" s="2" t="n"/>
      <c r="L460" s="2" t="n"/>
      <c r="M460" s="2" t="n"/>
      <c r="N460" s="2" t="n"/>
      <c r="O460" s="2" t="n"/>
      <c r="P460" s="2" t="n"/>
    </row>
    <row r="461" ht="409.6" customHeight="1" s="37">
      <c r="A461" s="8" t="n"/>
      <c r="B461" s="2" t="n"/>
      <c r="C461" s="2" t="n"/>
      <c r="D461" s="2" t="n"/>
      <c r="E461" s="2" t="n"/>
      <c r="F461" s="2" t="n"/>
      <c r="G461" s="2" t="n"/>
      <c r="H461" s="2" t="n"/>
      <c r="I461" s="8" t="n"/>
      <c r="J461" s="10" t="n"/>
      <c r="K461" s="2" t="n"/>
      <c r="L461" s="2" t="n"/>
      <c r="M461" s="2" t="n"/>
      <c r="N461" s="2" t="n"/>
      <c r="O461" s="2" t="n"/>
      <c r="P461" s="2" t="n"/>
    </row>
    <row r="462" ht="409.6" customHeight="1" s="37">
      <c r="A462" s="8" t="n"/>
      <c r="B462" s="2" t="n"/>
      <c r="C462" s="2" t="n"/>
      <c r="D462" s="2" t="n"/>
      <c r="E462" s="2" t="n"/>
      <c r="F462" s="2" t="n"/>
      <c r="G462" s="2" t="n"/>
      <c r="H462" s="2" t="n"/>
      <c r="I462" s="8" t="n"/>
      <c r="J462" s="10" t="n"/>
      <c r="K462" s="2" t="n"/>
      <c r="L462" s="2" t="n"/>
      <c r="M462" s="2" t="n"/>
      <c r="N462" s="2" t="n"/>
      <c r="O462" s="2" t="n"/>
      <c r="P462" s="2" t="n"/>
    </row>
    <row r="463" ht="409.6" customHeight="1" s="37">
      <c r="A463" s="8" t="n"/>
      <c r="B463" s="2" t="n"/>
      <c r="C463" s="2" t="n"/>
      <c r="D463" s="2" t="n"/>
      <c r="E463" s="2" t="n"/>
      <c r="F463" s="2" t="n"/>
      <c r="G463" s="2" t="n"/>
      <c r="H463" s="2" t="n"/>
      <c r="I463" s="8" t="n"/>
      <c r="J463" s="10" t="n"/>
      <c r="K463" s="2" t="n"/>
      <c r="L463" s="2" t="n"/>
      <c r="M463" s="2" t="n"/>
      <c r="N463" s="2" t="n"/>
      <c r="O463" s="2" t="n"/>
      <c r="P463" s="2" t="n"/>
    </row>
    <row r="464" ht="409.6" customHeight="1" s="37">
      <c r="A464" s="8" t="n"/>
      <c r="B464" s="2" t="n"/>
      <c r="C464" s="2" t="n"/>
      <c r="D464" s="2" t="n"/>
      <c r="E464" s="2" t="n"/>
      <c r="F464" s="2" t="n"/>
      <c r="G464" s="2" t="n"/>
      <c r="H464" s="2" t="n"/>
      <c r="I464" s="8" t="n"/>
      <c r="J464" s="10" t="n"/>
      <c r="K464" s="2" t="n"/>
      <c r="L464" s="2" t="n"/>
      <c r="M464" s="2" t="n"/>
      <c r="N464" s="2" t="n"/>
      <c r="O464" s="2" t="n"/>
      <c r="P464" s="2" t="n"/>
    </row>
    <row r="465" ht="409.6" customHeight="1" s="37">
      <c r="A465" s="8" t="n"/>
      <c r="B465" s="2" t="n"/>
      <c r="C465" s="2" t="n"/>
      <c r="D465" s="2" t="n"/>
      <c r="E465" s="2" t="n"/>
      <c r="F465" s="2" t="n"/>
      <c r="G465" s="2" t="n"/>
      <c r="H465" s="2" t="n"/>
      <c r="I465" s="8" t="n"/>
      <c r="J465" s="10" t="n"/>
      <c r="K465" s="2" t="n"/>
      <c r="L465" s="2" t="n"/>
      <c r="M465" s="2" t="n"/>
      <c r="N465" s="2" t="n"/>
      <c r="O465" s="2" t="n"/>
      <c r="P465" s="2" t="n"/>
    </row>
    <row r="466" ht="409.6" customHeight="1" s="37">
      <c r="A466" s="8" t="n"/>
      <c r="B466" s="2" t="n"/>
      <c r="C466" s="2" t="n"/>
      <c r="D466" s="2" t="n"/>
      <c r="E466" s="2" t="n"/>
      <c r="F466" s="2" t="n"/>
      <c r="G466" s="2" t="n"/>
      <c r="H466" s="2" t="n"/>
      <c r="I466" s="8" t="n"/>
      <c r="J466" s="10" t="n"/>
      <c r="K466" s="2" t="n"/>
      <c r="L466" s="2" t="n"/>
      <c r="M466" s="2" t="n"/>
      <c r="N466" s="2" t="n"/>
      <c r="O466" s="2" t="n"/>
      <c r="P466" s="2" t="n"/>
    </row>
    <row r="467" ht="409.6" customHeight="1" s="37">
      <c r="A467" s="8" t="n"/>
      <c r="B467" s="2" t="n"/>
      <c r="C467" s="2" t="n"/>
      <c r="D467" s="2" t="n"/>
      <c r="E467" s="2" t="n"/>
      <c r="F467" s="2" t="n"/>
      <c r="G467" s="2" t="n"/>
      <c r="H467" s="2" t="n"/>
      <c r="I467" s="8" t="n"/>
      <c r="J467" s="10" t="n"/>
      <c r="K467" s="2" t="n"/>
      <c r="L467" s="2" t="n"/>
      <c r="M467" s="2" t="n"/>
      <c r="N467" s="2" t="n"/>
      <c r="O467" s="2" t="n"/>
      <c r="P467" s="2" t="n"/>
    </row>
    <row r="468" ht="409.6" customHeight="1" s="37">
      <c r="A468" s="8" t="n"/>
      <c r="B468" s="2" t="n"/>
      <c r="C468" s="2" t="n"/>
      <c r="D468" s="2" t="n"/>
      <c r="E468" s="2" t="n"/>
      <c r="F468" s="2" t="n"/>
      <c r="G468" s="2" t="n"/>
      <c r="H468" s="2" t="n"/>
      <c r="I468" s="8" t="n"/>
      <c r="J468" s="10" t="n"/>
      <c r="K468" s="2" t="n"/>
      <c r="L468" s="2" t="n"/>
      <c r="M468" s="2" t="n"/>
      <c r="N468" s="2" t="n"/>
      <c r="O468" s="2" t="n"/>
      <c r="P468" s="2" t="n"/>
    </row>
    <row r="469" ht="409.6" customHeight="1" s="37">
      <c r="A469" s="8" t="n"/>
      <c r="B469" s="2" t="n"/>
      <c r="C469" s="2" t="n"/>
      <c r="D469" s="2" t="n"/>
      <c r="E469" s="2" t="n"/>
      <c r="F469" s="2" t="n"/>
      <c r="G469" s="2" t="n"/>
      <c r="H469" s="2" t="n"/>
      <c r="I469" s="8" t="n"/>
      <c r="J469" s="10" t="n"/>
      <c r="K469" s="2" t="n"/>
      <c r="L469" s="2" t="n"/>
      <c r="M469" s="2" t="n"/>
      <c r="N469" s="2" t="n"/>
      <c r="O469" s="2" t="n"/>
      <c r="P469" s="2" t="n"/>
    </row>
    <row r="470" ht="409.6" customHeight="1" s="37">
      <c r="A470" s="8" t="n"/>
      <c r="B470" s="2" t="n"/>
      <c r="C470" s="2" t="n"/>
      <c r="D470" s="2" t="n"/>
      <c r="E470" s="2" t="n"/>
      <c r="F470" s="2" t="n"/>
      <c r="G470" s="2" t="n"/>
      <c r="H470" s="2" t="n"/>
      <c r="I470" s="8" t="n"/>
      <c r="J470" s="10" t="n"/>
      <c r="K470" s="2" t="n"/>
      <c r="L470" s="2" t="n"/>
      <c r="M470" s="2" t="n"/>
      <c r="N470" s="2" t="n"/>
      <c r="O470" s="2" t="n"/>
      <c r="P470" s="2" t="n"/>
    </row>
    <row r="471" ht="409.6" customHeight="1" s="37">
      <c r="A471" s="8" t="n"/>
      <c r="B471" s="2" t="n"/>
      <c r="C471" s="2" t="n"/>
      <c r="D471" s="2" t="n"/>
      <c r="E471" s="2" t="n"/>
      <c r="F471" s="2" t="n"/>
      <c r="G471" s="2" t="n"/>
      <c r="H471" s="2" t="n"/>
      <c r="I471" s="8" t="n"/>
      <c r="J471" s="10" t="n"/>
      <c r="K471" s="2" t="n"/>
      <c r="L471" s="2" t="n"/>
      <c r="M471" s="2" t="n"/>
      <c r="N471" s="2" t="n"/>
      <c r="O471" s="2" t="n"/>
      <c r="P471" s="2" t="n"/>
    </row>
    <row r="472" ht="409.6" customHeight="1" s="37">
      <c r="A472" s="8" t="n"/>
      <c r="B472" s="2" t="n"/>
      <c r="C472" s="2" t="n"/>
      <c r="D472" s="2" t="n"/>
      <c r="E472" s="2" t="n"/>
      <c r="F472" s="8" t="n"/>
      <c r="G472" s="8" t="n"/>
      <c r="H472" s="2" t="n"/>
      <c r="I472" s="8" t="n"/>
      <c r="J472" s="10" t="n"/>
      <c r="K472" s="2" t="n"/>
      <c r="L472" s="2" t="n"/>
      <c r="M472" s="2" t="n"/>
      <c r="N472" s="2" t="n"/>
      <c r="O472" s="2" t="n"/>
      <c r="P472" s="2" t="n"/>
    </row>
    <row r="473" ht="409.6" customHeight="1" s="37">
      <c r="A473" s="8" t="n"/>
      <c r="B473" s="2" t="n"/>
      <c r="C473" s="2" t="n"/>
      <c r="D473" s="2" t="n"/>
      <c r="E473" s="2" t="n"/>
      <c r="F473" s="2" t="n"/>
      <c r="G473" s="2" t="n"/>
      <c r="H473" s="2" t="n"/>
      <c r="I473" s="8" t="n"/>
      <c r="J473" s="10" t="n"/>
      <c r="K473" s="2" t="n"/>
      <c r="L473" s="2" t="n"/>
      <c r="M473" s="2" t="n"/>
      <c r="N473" s="2" t="n"/>
      <c r="O473" s="2" t="n"/>
      <c r="P473" s="2" t="n"/>
    </row>
    <row r="474" ht="409.6" customHeight="1" s="37">
      <c r="A474" s="8" t="n"/>
      <c r="B474" s="2" t="n"/>
      <c r="C474" s="2" t="n"/>
      <c r="D474" s="2" t="n"/>
      <c r="E474" s="2" t="n"/>
      <c r="F474" s="2" t="n"/>
      <c r="G474" s="2" t="n"/>
      <c r="H474" s="2" t="n"/>
      <c r="I474" s="8" t="n"/>
      <c r="J474" s="10" t="n"/>
      <c r="K474" s="2" t="n"/>
      <c r="L474" s="2" t="n"/>
      <c r="M474" s="2" t="n"/>
      <c r="N474" s="2" t="n"/>
      <c r="O474" s="2" t="n"/>
      <c r="P474" s="2" t="n"/>
    </row>
    <row r="475" ht="409.6" customHeight="1" s="37">
      <c r="A475" s="8" t="n"/>
      <c r="B475" s="2" t="n"/>
      <c r="C475" s="2" t="n"/>
      <c r="D475" s="2" t="n"/>
      <c r="E475" s="2" t="n"/>
      <c r="F475" s="2" t="n"/>
      <c r="G475" s="2" t="n"/>
      <c r="H475" s="2" t="n"/>
      <c r="I475" s="8" t="n"/>
      <c r="J475" s="10" t="n"/>
      <c r="K475" s="2" t="n"/>
      <c r="L475" s="2" t="n"/>
      <c r="M475" s="2" t="n"/>
      <c r="N475" s="2" t="n"/>
      <c r="O475" s="2" t="n"/>
      <c r="P475" s="2" t="n"/>
    </row>
    <row r="476" ht="409.6" customHeight="1" s="37">
      <c r="A476" s="8" t="n"/>
      <c r="B476" s="2" t="n"/>
      <c r="C476" s="2" t="n"/>
      <c r="D476" s="2" t="n"/>
      <c r="E476" s="2" t="n"/>
      <c r="F476" s="2" t="n"/>
      <c r="G476" s="2" t="n"/>
      <c r="H476" s="2" t="n"/>
      <c r="I476" s="8" t="n"/>
      <c r="J476" s="10" t="n"/>
      <c r="K476" s="2" t="n"/>
      <c r="L476" s="2" t="n"/>
      <c r="M476" s="2" t="n"/>
      <c r="N476" s="2" t="n"/>
      <c r="O476" s="2" t="n"/>
      <c r="P476" s="2" t="n"/>
    </row>
    <row r="477" ht="409.6" customHeight="1" s="37">
      <c r="A477" s="8" t="n"/>
      <c r="B477" s="2" t="n"/>
      <c r="C477" s="2" t="n"/>
      <c r="D477" s="2" t="n"/>
      <c r="E477" s="2" t="n"/>
      <c r="F477" s="2" t="n"/>
      <c r="G477" s="2" t="n"/>
      <c r="H477" s="2" t="n"/>
      <c r="I477" s="8" t="n"/>
      <c r="J477" s="10" t="n"/>
      <c r="K477" s="2" t="n"/>
      <c r="L477" s="2" t="n"/>
      <c r="M477" s="2" t="n"/>
      <c r="N477" s="2" t="n"/>
      <c r="O477" s="2" t="n"/>
      <c r="P477" s="2" t="n"/>
    </row>
    <row r="478" ht="409.6" customHeight="1" s="37">
      <c r="A478" s="8" t="n"/>
      <c r="B478" s="2" t="n"/>
      <c r="C478" s="2" t="n"/>
      <c r="D478" s="2" t="n"/>
      <c r="E478" s="2" t="n"/>
      <c r="F478" s="2" t="n"/>
      <c r="G478" s="2" t="n"/>
      <c r="H478" s="2" t="n"/>
      <c r="I478" s="8" t="n"/>
      <c r="J478" s="10" t="n"/>
      <c r="K478" s="2" t="n"/>
      <c r="L478" s="2" t="n"/>
      <c r="M478" s="2" t="n"/>
      <c r="N478" s="2" t="n"/>
      <c r="O478" s="2" t="n"/>
      <c r="P478" s="2" t="n"/>
    </row>
    <row r="479" ht="409.6" customHeight="1" s="37">
      <c r="A479" s="8" t="n"/>
      <c r="B479" s="2" t="n"/>
      <c r="C479" s="2" t="n"/>
      <c r="D479" s="2" t="n"/>
      <c r="E479" s="2" t="n"/>
      <c r="F479" s="2" t="n"/>
      <c r="G479" s="2" t="n"/>
      <c r="H479" s="2" t="n"/>
      <c r="I479" s="8" t="n"/>
      <c r="J479" s="10" t="n"/>
      <c r="K479" s="2" t="n"/>
      <c r="L479" s="2" t="n"/>
      <c r="M479" s="2" t="n"/>
      <c r="N479" s="2" t="n"/>
      <c r="O479" s="2" t="n"/>
      <c r="P479" s="2" t="n"/>
    </row>
    <row r="480" ht="409.6" customHeight="1" s="37">
      <c r="A480" s="8" t="n"/>
      <c r="B480" s="2" t="n"/>
      <c r="C480" s="2" t="n"/>
      <c r="D480" s="2" t="n"/>
      <c r="E480" s="2" t="n"/>
      <c r="F480" s="2" t="n"/>
      <c r="G480" s="2" t="n"/>
      <c r="H480" s="2" t="n"/>
      <c r="I480" s="8" t="n"/>
      <c r="J480" s="10" t="n"/>
      <c r="K480" s="2" t="n"/>
      <c r="L480" s="2" t="n"/>
      <c r="M480" s="2" t="n"/>
      <c r="N480" s="2" t="n"/>
      <c r="O480" s="2" t="n"/>
      <c r="P480" s="2" t="n"/>
    </row>
    <row r="481" ht="409.6" customHeight="1" s="37">
      <c r="A481" s="8" t="n"/>
      <c r="B481" s="2" t="n"/>
      <c r="C481" s="2" t="n"/>
      <c r="D481" s="2" t="n"/>
      <c r="E481" s="2" t="n"/>
      <c r="F481" s="2" t="n"/>
      <c r="G481" s="2" t="n"/>
      <c r="H481" s="2" t="n"/>
      <c r="I481" s="8" t="n"/>
      <c r="J481" s="10" t="n"/>
      <c r="K481" s="2" t="n"/>
      <c r="L481" s="2" t="n"/>
      <c r="M481" s="2" t="n"/>
      <c r="N481" s="2" t="n"/>
      <c r="O481" s="2" t="n"/>
      <c r="P481" s="2" t="n"/>
    </row>
    <row r="482" ht="409.6" customHeight="1" s="37">
      <c r="A482" s="8" t="n"/>
      <c r="B482" s="2" t="n"/>
      <c r="C482" s="2" t="n"/>
      <c r="D482" s="2" t="n"/>
      <c r="E482" s="2" t="n"/>
      <c r="F482" s="2" t="n"/>
      <c r="G482" s="2" t="n"/>
      <c r="H482" s="2" t="n"/>
      <c r="I482" s="8" t="n"/>
      <c r="J482" s="10" t="n"/>
      <c r="K482" s="2" t="n"/>
      <c r="L482" s="2" t="n"/>
      <c r="M482" s="2" t="n"/>
      <c r="N482" s="2" t="n"/>
      <c r="O482" s="2" t="n"/>
      <c r="P482" s="2" t="n"/>
    </row>
    <row r="483" ht="409.6" customHeight="1" s="37">
      <c r="A483" s="8" t="n"/>
      <c r="B483" s="2" t="n"/>
      <c r="C483" s="2" t="n"/>
      <c r="D483" s="2" t="n"/>
      <c r="E483" s="2" t="n"/>
      <c r="F483" s="2" t="n"/>
      <c r="G483" s="2" t="n"/>
      <c r="H483" s="2" t="n"/>
      <c r="I483" s="8" t="n"/>
      <c r="J483" s="10" t="n"/>
      <c r="K483" s="2" t="n"/>
      <c r="L483" s="2" t="n"/>
      <c r="M483" s="2" t="n"/>
      <c r="N483" s="2" t="n"/>
      <c r="O483" s="2" t="n"/>
      <c r="P483" s="2" t="n"/>
    </row>
    <row r="484" ht="409.6" customHeight="1" s="37">
      <c r="A484" s="8" t="n"/>
      <c r="B484" s="2" t="n"/>
      <c r="C484" s="2" t="n"/>
      <c r="D484" s="2" t="n"/>
      <c r="E484" s="2" t="n"/>
      <c r="F484" s="2" t="n"/>
      <c r="G484" s="2" t="n"/>
      <c r="H484" s="2" t="n"/>
      <c r="I484" s="8" t="n"/>
      <c r="J484" s="10" t="n"/>
      <c r="K484" s="2" t="n"/>
      <c r="L484" s="2" t="n"/>
      <c r="M484" s="2" t="n"/>
      <c r="N484" s="2" t="n"/>
      <c r="O484" s="2" t="n"/>
      <c r="P484" s="2" t="n"/>
    </row>
    <row r="485" ht="409.6" customHeight="1" s="37">
      <c r="A485" s="8" t="n"/>
      <c r="B485" s="2" t="n"/>
      <c r="C485" s="2" t="n"/>
      <c r="D485" s="2" t="n"/>
      <c r="E485" s="2" t="n"/>
      <c r="F485" s="2" t="n"/>
      <c r="G485" s="2" t="n"/>
      <c r="H485" s="2" t="n"/>
      <c r="I485" s="8" t="n"/>
      <c r="J485" s="10" t="n"/>
      <c r="K485" s="2" t="n"/>
      <c r="L485" s="2" t="n"/>
      <c r="M485" s="2" t="n"/>
      <c r="N485" s="2" t="n"/>
      <c r="O485" s="2" t="n"/>
      <c r="P485" s="2" t="n"/>
    </row>
    <row r="486" ht="409.6" customHeight="1" s="37">
      <c r="A486" s="8" t="n"/>
      <c r="B486" s="2" t="n"/>
      <c r="C486" s="2" t="n"/>
      <c r="D486" s="2" t="n"/>
      <c r="E486" s="2" t="n"/>
      <c r="F486" s="2" t="n"/>
      <c r="G486" s="2" t="n"/>
      <c r="H486" s="2" t="n"/>
      <c r="I486" s="8" t="n"/>
      <c r="J486" s="10" t="n"/>
      <c r="K486" s="2" t="n"/>
      <c r="L486" s="2" t="n"/>
      <c r="M486" s="2" t="n"/>
      <c r="N486" s="2" t="n"/>
      <c r="O486" s="2" t="n"/>
      <c r="P486" s="2" t="n"/>
    </row>
    <row r="487" ht="409.6" customHeight="1" s="37">
      <c r="A487" s="8" t="n"/>
      <c r="B487" s="2" t="n"/>
      <c r="C487" s="2" t="n"/>
      <c r="D487" s="2" t="n"/>
      <c r="E487" s="2" t="n"/>
      <c r="F487" s="2" t="n"/>
      <c r="G487" s="2" t="n"/>
      <c r="H487" s="2" t="n"/>
      <c r="I487" s="8" t="n"/>
      <c r="J487" s="10" t="n"/>
      <c r="K487" s="2" t="n"/>
      <c r="L487" s="2" t="n"/>
      <c r="M487" s="2" t="n"/>
      <c r="N487" s="2" t="n"/>
      <c r="O487" s="2" t="n"/>
      <c r="P487" s="2" t="n"/>
    </row>
    <row r="488" ht="409.6" customHeight="1" s="37">
      <c r="A488" s="8" t="n"/>
      <c r="B488" s="2" t="n"/>
      <c r="C488" s="2" t="n"/>
      <c r="D488" s="2" t="n"/>
      <c r="E488" s="2" t="n"/>
      <c r="F488" s="2" t="n"/>
      <c r="G488" s="2" t="n"/>
      <c r="H488" s="2" t="n"/>
      <c r="I488" s="8" t="n"/>
      <c r="J488" s="10" t="n"/>
      <c r="K488" s="2" t="n"/>
      <c r="L488" s="2" t="n"/>
      <c r="M488" s="2" t="n"/>
      <c r="N488" s="2" t="n"/>
      <c r="O488" s="2" t="n"/>
      <c r="P488" s="2" t="n"/>
    </row>
    <row r="489" ht="409.6" customHeight="1" s="37">
      <c r="A489" s="8" t="n"/>
      <c r="B489" s="2" t="n"/>
      <c r="C489" s="2" t="n"/>
      <c r="D489" s="2" t="n"/>
      <c r="E489" s="2" t="n"/>
      <c r="F489" s="2" t="n"/>
      <c r="G489" s="2" t="n"/>
      <c r="H489" s="2" t="n"/>
      <c r="I489" s="8" t="n"/>
      <c r="J489" s="10" t="n"/>
      <c r="K489" s="2" t="n"/>
      <c r="L489" s="2" t="n"/>
      <c r="M489" s="2" t="n"/>
      <c r="N489" s="2" t="n"/>
      <c r="O489" s="2" t="n"/>
      <c r="P489" s="2" t="n"/>
    </row>
    <row r="490" ht="409.6" customHeight="1" s="37">
      <c r="A490" s="8" t="n"/>
      <c r="B490" s="2" t="n"/>
      <c r="C490" s="2" t="n"/>
      <c r="D490" s="2" t="n"/>
      <c r="E490" s="2" t="n"/>
      <c r="F490" s="2" t="n"/>
      <c r="G490" s="2" t="n"/>
      <c r="H490" s="2" t="n"/>
      <c r="I490" s="8" t="n"/>
      <c r="J490" s="10" t="n"/>
      <c r="K490" s="2" t="n"/>
      <c r="L490" s="2" t="n"/>
      <c r="M490" s="2" t="n"/>
      <c r="N490" s="2" t="n"/>
      <c r="O490" s="2" t="n"/>
      <c r="P490" s="2" t="n"/>
    </row>
    <row r="491" ht="409.6" customHeight="1" s="37">
      <c r="A491" s="8" t="n"/>
      <c r="B491" s="2" t="n"/>
      <c r="C491" s="2" t="n"/>
      <c r="D491" s="2" t="n"/>
      <c r="E491" s="2" t="n"/>
      <c r="F491" s="2" t="n"/>
      <c r="G491" s="2" t="n"/>
      <c r="H491" s="2" t="n"/>
      <c r="I491" s="8" t="n"/>
      <c r="J491" s="10" t="n"/>
      <c r="K491" s="2" t="n"/>
      <c r="L491" s="2" t="n"/>
      <c r="M491" s="2" t="n"/>
      <c r="N491" s="2" t="n"/>
      <c r="O491" s="2" t="n"/>
      <c r="P491" s="2" t="n"/>
    </row>
    <row r="492" ht="409.6" customHeight="1" s="37">
      <c r="A492" s="8" t="n"/>
      <c r="B492" s="2" t="n"/>
      <c r="C492" s="2" t="n"/>
      <c r="D492" s="2" t="n"/>
      <c r="E492" s="2" t="n"/>
      <c r="F492" s="2" t="n"/>
      <c r="G492" s="2" t="n"/>
      <c r="H492" s="2" t="n"/>
      <c r="I492" s="8" t="n"/>
      <c r="J492" s="10" t="n"/>
      <c r="K492" s="2" t="n"/>
      <c r="L492" s="2" t="n"/>
      <c r="M492" s="2" t="n"/>
      <c r="N492" s="2" t="n"/>
      <c r="O492" s="2" t="n"/>
      <c r="P492" s="2" t="n"/>
    </row>
    <row r="493" ht="409.6" customHeight="1" s="37">
      <c r="A493" s="8" t="n"/>
      <c r="B493" s="2" t="n"/>
      <c r="C493" s="2" t="n"/>
      <c r="D493" s="2" t="n"/>
      <c r="E493" s="2" t="n"/>
      <c r="F493" s="2" t="n"/>
      <c r="G493" s="2" t="n"/>
      <c r="H493" s="2" t="n"/>
      <c r="I493" s="8" t="n"/>
      <c r="J493" s="10" t="n"/>
      <c r="K493" s="2" t="n"/>
      <c r="L493" s="2" t="n"/>
      <c r="M493" s="2" t="n"/>
      <c r="N493" s="2" t="n"/>
      <c r="O493" s="2" t="n"/>
      <c r="P493" s="2" t="n"/>
    </row>
    <row r="494" ht="409.6" customHeight="1" s="37">
      <c r="A494" s="8" t="n"/>
      <c r="B494" s="2" t="n"/>
      <c r="C494" s="2" t="n"/>
      <c r="D494" s="2" t="n"/>
      <c r="E494" s="2" t="n"/>
      <c r="F494" s="2" t="n"/>
      <c r="G494" s="2" t="n"/>
      <c r="H494" s="2" t="n"/>
      <c r="I494" s="8" t="n"/>
      <c r="J494" s="10" t="n"/>
      <c r="K494" s="2" t="n"/>
      <c r="L494" s="2" t="n"/>
      <c r="M494" s="2" t="n"/>
      <c r="N494" s="2" t="n"/>
      <c r="O494" s="2" t="n"/>
      <c r="P494" s="2" t="n"/>
    </row>
    <row r="495" ht="409.6" customHeight="1" s="37">
      <c r="A495" s="8" t="n"/>
      <c r="B495" s="2" t="n"/>
      <c r="C495" s="2" t="n"/>
      <c r="D495" s="2" t="n"/>
      <c r="E495" s="2" t="n"/>
      <c r="F495" s="2" t="n"/>
      <c r="G495" s="2" t="n"/>
      <c r="H495" s="2" t="n"/>
      <c r="I495" s="8" t="n"/>
      <c r="J495" s="10" t="n"/>
      <c r="K495" s="2" t="n"/>
      <c r="L495" s="2" t="n"/>
      <c r="M495" s="2" t="n"/>
      <c r="N495" s="2" t="n"/>
      <c r="O495" s="2" t="n"/>
      <c r="P495" s="2" t="n"/>
    </row>
    <row r="496" ht="409.6" customHeight="1" s="37">
      <c r="A496" s="8" t="n"/>
      <c r="B496" s="2" t="n"/>
      <c r="C496" s="2" t="n"/>
      <c r="D496" s="2" t="n"/>
      <c r="E496" s="2" t="n"/>
      <c r="F496" s="2" t="n"/>
      <c r="G496" s="2" t="n"/>
      <c r="H496" s="2" t="n"/>
      <c r="I496" s="8" t="n"/>
      <c r="J496" s="10" t="n"/>
      <c r="K496" s="2" t="n"/>
      <c r="L496" s="2" t="n"/>
      <c r="M496" s="2" t="n"/>
      <c r="N496" s="2" t="n"/>
      <c r="O496" s="2" t="n"/>
      <c r="P496" s="2" t="n"/>
    </row>
    <row r="497" ht="409.6" customHeight="1" s="37">
      <c r="A497" s="8" t="n"/>
      <c r="B497" s="2" t="n"/>
      <c r="C497" s="2" t="n"/>
      <c r="D497" s="2" t="n"/>
      <c r="E497" s="2" t="n"/>
      <c r="F497" s="2" t="n"/>
      <c r="G497" s="2" t="n"/>
      <c r="H497" s="2" t="n"/>
      <c r="I497" s="8" t="n"/>
      <c r="J497" s="10" t="n"/>
      <c r="K497" s="2" t="n"/>
      <c r="L497" s="2" t="n"/>
      <c r="M497" s="2" t="n"/>
      <c r="N497" s="2" t="n"/>
      <c r="O497" s="2" t="n"/>
      <c r="P497" s="2" t="n"/>
    </row>
    <row r="498" ht="409.6" customHeight="1" s="37">
      <c r="A498" s="8" t="n"/>
      <c r="B498" s="2" t="n"/>
      <c r="C498" s="2" t="n"/>
      <c r="D498" s="2" t="n"/>
      <c r="E498" s="2" t="n"/>
      <c r="F498" s="2" t="n"/>
      <c r="G498" s="2" t="n"/>
      <c r="H498" s="2" t="n"/>
      <c r="I498" s="8" t="n"/>
      <c r="J498" s="10" t="n"/>
      <c r="K498" s="2" t="n"/>
      <c r="L498" s="2" t="n"/>
      <c r="M498" s="2" t="n"/>
      <c r="N498" s="2" t="n"/>
      <c r="O498" s="2" t="n"/>
      <c r="P498" s="2" t="n"/>
    </row>
    <row r="499" ht="409.6" customHeight="1" s="37">
      <c r="A499" s="8" t="n"/>
      <c r="B499" s="2" t="n"/>
      <c r="C499" s="2" t="n"/>
      <c r="D499" s="2" t="n"/>
      <c r="E499" s="2" t="n"/>
      <c r="F499" s="2" t="n"/>
      <c r="G499" s="2" t="n"/>
      <c r="H499" s="2" t="n"/>
      <c r="I499" s="8" t="n"/>
      <c r="J499" s="10" t="n"/>
      <c r="K499" s="2" t="n"/>
      <c r="L499" s="2" t="n"/>
      <c r="M499" s="2" t="n"/>
      <c r="N499" s="2" t="n"/>
      <c r="O499" s="2" t="n"/>
      <c r="P499" s="2" t="n"/>
    </row>
    <row r="500" ht="409.6" customHeight="1" s="37">
      <c r="A500" s="8" t="n"/>
      <c r="B500" s="2" t="n"/>
      <c r="C500" s="2" t="n"/>
      <c r="D500" s="2" t="n"/>
      <c r="E500" s="2" t="n"/>
      <c r="F500" s="2" t="n"/>
      <c r="G500" s="2" t="n"/>
      <c r="H500" s="2" t="n"/>
      <c r="I500" s="8" t="n"/>
      <c r="J500" s="10" t="n"/>
      <c r="K500" s="2" t="n"/>
      <c r="L500" s="2" t="n"/>
      <c r="M500" s="2" t="n"/>
      <c r="N500" s="2" t="n"/>
      <c r="O500" s="2" t="n"/>
      <c r="P500" s="2" t="n"/>
    </row>
    <row r="501" ht="409.6" customHeight="1" s="37">
      <c r="A501" s="8" t="n"/>
      <c r="B501" s="2" t="n"/>
      <c r="C501" s="2" t="n"/>
      <c r="D501" s="2" t="n"/>
      <c r="E501" s="2" t="n"/>
      <c r="F501" s="2" t="n"/>
      <c r="G501" s="2" t="n"/>
      <c r="H501" s="2" t="n"/>
      <c r="I501" s="8" t="n"/>
      <c r="J501" s="10" t="n"/>
      <c r="K501" s="2" t="n"/>
      <c r="L501" s="2" t="n"/>
      <c r="M501" s="2" t="n"/>
      <c r="N501" s="2" t="n"/>
      <c r="O501" s="2" t="n"/>
      <c r="P501" s="2" t="n"/>
    </row>
    <row r="502" ht="409.6" customHeight="1" s="37">
      <c r="A502" s="8" t="n"/>
      <c r="B502" s="2" t="n"/>
      <c r="C502" s="2" t="n"/>
      <c r="D502" s="2" t="n"/>
      <c r="E502" s="2" t="n"/>
      <c r="F502" s="2" t="n"/>
      <c r="G502" s="2" t="n"/>
      <c r="H502" s="2" t="n"/>
      <c r="I502" s="8" t="n"/>
      <c r="J502" s="10" t="n"/>
      <c r="K502" s="2" t="n"/>
      <c r="L502" s="2" t="n"/>
      <c r="M502" s="2" t="n"/>
      <c r="N502" s="2" t="n"/>
      <c r="O502" s="2" t="n"/>
      <c r="P502" s="2" t="n"/>
    </row>
    <row r="503" ht="409.6" customHeight="1" s="37">
      <c r="A503" s="8" t="n"/>
      <c r="B503" s="2" t="n"/>
      <c r="C503" s="2" t="n"/>
      <c r="D503" s="2" t="n"/>
      <c r="E503" s="2" t="n"/>
      <c r="F503" s="2" t="n"/>
      <c r="G503" s="2" t="n"/>
      <c r="H503" s="2" t="n"/>
      <c r="I503" s="8" t="n"/>
      <c r="J503" s="10" t="n"/>
      <c r="K503" s="2" t="n"/>
      <c r="L503" s="2" t="n"/>
      <c r="M503" s="2" t="n"/>
      <c r="N503" s="2" t="n"/>
      <c r="O503" s="2" t="n"/>
      <c r="P503" s="2" t="n"/>
    </row>
    <row r="504" ht="409.6" customHeight="1" s="37">
      <c r="A504" s="8" t="n"/>
      <c r="B504" s="2" t="n"/>
      <c r="C504" s="2" t="n"/>
      <c r="D504" s="2" t="n"/>
      <c r="E504" s="2" t="n"/>
      <c r="F504" s="2" t="n"/>
      <c r="G504" s="2" t="n"/>
      <c r="H504" s="2" t="n"/>
      <c r="I504" s="8" t="n"/>
      <c r="J504" s="10" t="n"/>
      <c r="K504" s="2" t="n"/>
      <c r="L504" s="2" t="n"/>
      <c r="M504" s="2" t="n"/>
      <c r="N504" s="2" t="n"/>
      <c r="O504" s="2" t="n"/>
      <c r="P504" s="2" t="n"/>
    </row>
    <row r="505" ht="409.6" customHeight="1" s="37">
      <c r="A505" s="8" t="n"/>
      <c r="B505" s="2" t="n"/>
      <c r="C505" s="2" t="n"/>
      <c r="D505" s="2" t="n"/>
      <c r="E505" s="2" t="n"/>
      <c r="F505" s="2" t="n"/>
      <c r="G505" s="2" t="n"/>
      <c r="H505" s="2" t="n"/>
      <c r="I505" s="8" t="n"/>
      <c r="J505" s="10" t="n"/>
      <c r="K505" s="2" t="n"/>
      <c r="L505" s="2" t="n"/>
      <c r="M505" s="2" t="n"/>
      <c r="N505" s="2" t="n"/>
      <c r="O505" s="2" t="n"/>
      <c r="P505" s="2" t="n"/>
    </row>
    <row r="506" ht="409.6" customHeight="1" s="37">
      <c r="A506" s="8" t="n"/>
      <c r="B506" s="2" t="n"/>
      <c r="C506" s="2" t="n"/>
      <c r="D506" s="2" t="n"/>
      <c r="E506" s="2" t="n"/>
      <c r="F506" s="2" t="n"/>
      <c r="G506" s="2" t="n"/>
      <c r="H506" s="2" t="n"/>
      <c r="I506" s="8" t="n"/>
      <c r="J506" s="10" t="n"/>
      <c r="K506" s="2" t="n"/>
      <c r="L506" s="2" t="n"/>
      <c r="M506" s="2" t="n"/>
      <c r="N506" s="2" t="n"/>
      <c r="O506" s="2" t="n"/>
      <c r="P506" s="2" t="n"/>
    </row>
    <row r="507" ht="409.6" customHeight="1" s="37">
      <c r="A507" s="8" t="n"/>
      <c r="B507" s="2" t="n"/>
      <c r="C507" s="2" t="n"/>
      <c r="D507" s="2" t="n"/>
      <c r="E507" s="2" t="n"/>
      <c r="F507" s="2" t="n"/>
      <c r="G507" s="2" t="n"/>
      <c r="H507" s="2" t="n"/>
      <c r="I507" s="8" t="n"/>
      <c r="J507" s="10" t="n"/>
      <c r="K507" s="2" t="n"/>
      <c r="L507" s="2" t="n"/>
      <c r="M507" s="2" t="n"/>
      <c r="N507" s="2" t="n"/>
      <c r="O507" s="2" t="n"/>
      <c r="P507" s="2" t="n"/>
    </row>
    <row r="508" ht="409.6" customHeight="1" s="37">
      <c r="A508" s="8" t="n"/>
      <c r="B508" s="2" t="n"/>
      <c r="C508" s="2" t="n"/>
      <c r="D508" s="2" t="n"/>
      <c r="E508" s="2" t="n"/>
      <c r="F508" s="2" t="n"/>
      <c r="G508" s="2" t="n"/>
      <c r="H508" s="2" t="n"/>
      <c r="I508" s="8" t="n"/>
      <c r="J508" s="10" t="n"/>
      <c r="K508" s="2" t="n"/>
      <c r="L508" s="2" t="n"/>
      <c r="M508" s="2" t="n"/>
      <c r="N508" s="2" t="n"/>
      <c r="O508" s="2" t="n"/>
      <c r="P508" s="2" t="n"/>
    </row>
    <row r="509" ht="409.6" customHeight="1" s="37">
      <c r="A509" s="8" t="n"/>
      <c r="B509" s="2" t="n"/>
      <c r="C509" s="2" t="n"/>
      <c r="D509" s="2" t="n"/>
      <c r="E509" s="2" t="n"/>
      <c r="F509" s="2" t="n"/>
      <c r="G509" s="2" t="n"/>
      <c r="H509" s="2" t="n"/>
      <c r="I509" s="8" t="n"/>
      <c r="J509" s="10" t="n"/>
      <c r="K509" s="2" t="n"/>
      <c r="L509" s="2" t="n"/>
      <c r="M509" s="2" t="n"/>
      <c r="N509" s="2" t="n"/>
      <c r="O509" s="2" t="n"/>
      <c r="P509" s="2" t="n"/>
    </row>
    <row r="510" ht="409.6" customHeight="1" s="37">
      <c r="A510" s="8" t="n"/>
      <c r="B510" s="2" t="n"/>
      <c r="C510" s="2" t="n"/>
      <c r="D510" s="2" t="n"/>
      <c r="E510" s="2" t="n"/>
      <c r="F510" s="2" t="n"/>
      <c r="G510" s="2" t="n"/>
      <c r="H510" s="2" t="n"/>
      <c r="I510" s="8" t="n"/>
      <c r="J510" s="10" t="n"/>
      <c r="K510" s="2" t="n"/>
      <c r="L510" s="2" t="n"/>
      <c r="M510" s="2" t="n"/>
      <c r="N510" s="2" t="n"/>
      <c r="O510" s="2" t="n"/>
      <c r="P510" s="2" t="n"/>
    </row>
    <row r="511" ht="409.6" customHeight="1" s="37">
      <c r="A511" s="8" t="n"/>
      <c r="B511" s="2" t="n"/>
      <c r="C511" s="2" t="n"/>
      <c r="D511" s="2" t="n"/>
      <c r="E511" s="2" t="n"/>
      <c r="F511" s="2" t="n"/>
      <c r="G511" s="2" t="n"/>
      <c r="H511" s="2" t="n"/>
      <c r="I511" s="8" t="n"/>
      <c r="J511" s="10" t="n"/>
      <c r="K511" s="2" t="n"/>
      <c r="L511" s="2" t="n"/>
      <c r="M511" s="2" t="n"/>
      <c r="N511" s="2" t="n"/>
      <c r="O511" s="2" t="n"/>
      <c r="P511" s="2" t="n"/>
    </row>
    <row r="512" ht="409.6" customHeight="1" s="37">
      <c r="A512" s="8" t="n"/>
      <c r="B512" s="2" t="n"/>
      <c r="C512" s="2" t="n"/>
      <c r="D512" s="2" t="n"/>
      <c r="E512" s="2" t="n"/>
      <c r="F512" s="2" t="n"/>
      <c r="G512" s="2" t="n"/>
      <c r="H512" s="2" t="n"/>
      <c r="I512" s="8" t="n"/>
      <c r="J512" s="10" t="n"/>
      <c r="K512" s="2" t="n"/>
      <c r="L512" s="2" t="n"/>
      <c r="M512" s="2" t="n"/>
      <c r="N512" s="2" t="n"/>
      <c r="O512" s="2" t="n"/>
      <c r="P512" s="2" t="n"/>
    </row>
    <row r="513" ht="409.6" customHeight="1" s="37">
      <c r="A513" s="8" t="n"/>
      <c r="B513" s="2" t="n"/>
      <c r="C513" s="2" t="n"/>
      <c r="D513" s="2" t="n"/>
      <c r="E513" s="2" t="n"/>
      <c r="F513" s="2" t="n"/>
      <c r="G513" s="2" t="n"/>
      <c r="H513" s="2" t="n"/>
      <c r="I513" s="8" t="n"/>
      <c r="J513" s="10" t="n"/>
      <c r="K513" s="2" t="n"/>
      <c r="L513" s="2" t="n"/>
      <c r="M513" s="2" t="n"/>
      <c r="N513" s="2" t="n"/>
      <c r="O513" s="2" t="n"/>
      <c r="P513" s="2" t="n"/>
    </row>
    <row r="514" ht="409.6" customHeight="1" s="37">
      <c r="A514" s="8" t="n"/>
      <c r="B514" s="2" t="n"/>
      <c r="C514" s="2" t="n"/>
      <c r="D514" s="2" t="n"/>
      <c r="E514" s="2" t="n"/>
      <c r="F514" s="2" t="n"/>
      <c r="G514" s="2" t="n"/>
      <c r="H514" s="2" t="n"/>
      <c r="I514" s="8" t="n"/>
      <c r="J514" s="10" t="n"/>
      <c r="K514" s="2" t="n"/>
      <c r="L514" s="2" t="n"/>
      <c r="M514" s="2" t="n"/>
      <c r="N514" s="2" t="n"/>
      <c r="O514" s="2" t="n"/>
      <c r="P514" s="2" t="n"/>
    </row>
    <row r="515" ht="409.6" customHeight="1" s="37">
      <c r="A515" s="8" t="n"/>
      <c r="B515" s="2" t="n"/>
      <c r="C515" s="2" t="n"/>
      <c r="D515" s="2" t="n"/>
      <c r="E515" s="2" t="n"/>
      <c r="F515" s="2" t="n"/>
      <c r="G515" s="2" t="n"/>
      <c r="H515" s="2" t="n"/>
      <c r="I515" s="8" t="n"/>
      <c r="J515" s="10" t="n"/>
      <c r="K515" s="2" t="n"/>
      <c r="L515" s="2" t="n"/>
      <c r="M515" s="2" t="n"/>
      <c r="N515" s="2" t="n"/>
      <c r="O515" s="2" t="n"/>
      <c r="P515" s="2" t="n"/>
    </row>
    <row r="516" ht="409.6" customHeight="1" s="37">
      <c r="A516" s="8" t="n"/>
      <c r="B516" s="2" t="n"/>
      <c r="C516" s="2" t="n"/>
      <c r="D516" s="2" t="n"/>
      <c r="E516" s="2" t="n"/>
      <c r="F516" s="2" t="n"/>
      <c r="G516" s="2" t="n"/>
      <c r="H516" s="2" t="n"/>
      <c r="I516" s="8" t="n"/>
      <c r="J516" s="10" t="n"/>
      <c r="K516" s="2" t="n"/>
      <c r="L516" s="2" t="n"/>
      <c r="M516" s="2" t="n"/>
      <c r="N516" s="2" t="n"/>
      <c r="O516" s="2" t="n"/>
      <c r="P516" s="2" t="n"/>
    </row>
    <row r="517" ht="409.6" customHeight="1" s="37">
      <c r="A517" s="8" t="n"/>
      <c r="B517" s="2" t="n"/>
      <c r="C517" s="2" t="n"/>
      <c r="D517" s="2" t="n"/>
      <c r="E517" s="2" t="n"/>
      <c r="F517" s="2" t="n"/>
      <c r="G517" s="2" t="n"/>
      <c r="H517" s="2" t="n"/>
      <c r="I517" s="8" t="n"/>
      <c r="J517" s="10" t="n"/>
      <c r="K517" s="2" t="n"/>
      <c r="L517" s="2" t="n"/>
      <c r="M517" s="2" t="n"/>
      <c r="N517" s="2" t="n"/>
      <c r="O517" s="2" t="n"/>
      <c r="P517" s="2" t="n"/>
    </row>
    <row r="518" ht="409.6" customHeight="1" s="37">
      <c r="A518" s="8" t="n"/>
      <c r="B518" s="2" t="n"/>
      <c r="C518" s="2" t="n"/>
      <c r="D518" s="2" t="n"/>
      <c r="E518" s="2" t="n"/>
      <c r="F518" s="2" t="n"/>
      <c r="G518" s="2" t="n"/>
      <c r="H518" s="2" t="n"/>
      <c r="I518" s="8" t="n"/>
      <c r="J518" s="10" t="n"/>
      <c r="K518" s="2" t="n"/>
      <c r="L518" s="2" t="n"/>
      <c r="M518" s="2" t="n"/>
      <c r="N518" s="2" t="n"/>
      <c r="O518" s="2" t="n"/>
      <c r="P518" s="2" t="n"/>
    </row>
    <row r="519" ht="409.6" customHeight="1" s="37">
      <c r="A519" s="8" t="n"/>
      <c r="B519" s="2" t="n"/>
      <c r="C519" s="2" t="n"/>
      <c r="D519" s="2" t="n"/>
      <c r="E519" s="2" t="n"/>
      <c r="F519" s="2" t="n"/>
      <c r="G519" s="2" t="n"/>
      <c r="H519" s="2" t="n"/>
      <c r="I519" s="8" t="n"/>
      <c r="J519" s="10" t="n"/>
      <c r="K519" s="2" t="n"/>
      <c r="L519" s="2" t="n"/>
      <c r="M519" s="2" t="n"/>
      <c r="N519" s="2" t="n"/>
      <c r="O519" s="2" t="n"/>
      <c r="P519" s="2" t="n"/>
    </row>
    <row r="520" ht="409.6" customHeight="1" s="37">
      <c r="A520" s="8" t="n"/>
      <c r="B520" s="2" t="n"/>
      <c r="C520" s="2" t="n"/>
      <c r="D520" s="2" t="n"/>
      <c r="E520" s="2" t="n"/>
      <c r="F520" s="2" t="n"/>
      <c r="G520" s="2" t="n"/>
      <c r="H520" s="2" t="n"/>
      <c r="I520" s="8" t="n"/>
      <c r="J520" s="10" t="n"/>
      <c r="K520" s="2" t="n"/>
      <c r="L520" s="2" t="n"/>
      <c r="M520" s="2" t="n"/>
      <c r="N520" s="2" t="n"/>
      <c r="O520" s="2" t="n"/>
      <c r="P520" s="2" t="n"/>
    </row>
    <row r="521" ht="409.6" customHeight="1" s="37">
      <c r="A521" s="8" t="n"/>
      <c r="B521" s="2" t="n"/>
      <c r="C521" s="2" t="n"/>
      <c r="D521" s="2" t="n"/>
      <c r="E521" s="2" t="n"/>
      <c r="F521" s="2" t="n"/>
      <c r="G521" s="2" t="n"/>
      <c r="H521" s="2" t="n"/>
      <c r="I521" s="8" t="n"/>
      <c r="J521" s="10" t="n"/>
      <c r="K521" s="2" t="n"/>
      <c r="L521" s="2" t="n"/>
      <c r="M521" s="2" t="n"/>
      <c r="N521" s="2" t="n"/>
      <c r="O521" s="2" t="n"/>
      <c r="P521" s="2" t="n"/>
    </row>
    <row r="522" ht="409.6" customHeight="1" s="37">
      <c r="A522" s="8" t="n"/>
      <c r="B522" s="2" t="n"/>
      <c r="C522" s="2" t="n"/>
      <c r="D522" s="2" t="n"/>
      <c r="E522" s="2" t="n"/>
      <c r="F522" s="2" t="n"/>
      <c r="G522" s="2" t="n"/>
      <c r="H522" s="2" t="n"/>
      <c r="I522" s="8" t="n"/>
      <c r="J522" s="10" t="n"/>
      <c r="K522" s="2" t="n"/>
      <c r="L522" s="2" t="n"/>
      <c r="M522" s="2" t="n"/>
      <c r="N522" s="2" t="n"/>
      <c r="O522" s="2" t="n"/>
      <c r="P522" s="2" t="n"/>
    </row>
    <row r="523" ht="409.6" customHeight="1" s="37">
      <c r="A523" s="8" t="n"/>
      <c r="B523" s="2" t="n"/>
      <c r="C523" s="2" t="n"/>
      <c r="D523" s="2" t="n"/>
      <c r="E523" s="2" t="n"/>
      <c r="F523" s="2" t="n"/>
      <c r="G523" s="2" t="n"/>
      <c r="H523" s="2" t="n"/>
      <c r="I523" s="8" t="n"/>
      <c r="J523" s="10" t="n"/>
      <c r="K523" s="2" t="n"/>
      <c r="L523" s="2" t="n"/>
      <c r="M523" s="2" t="n"/>
      <c r="N523" s="2" t="n"/>
      <c r="O523" s="2" t="n"/>
      <c r="P523" s="2" t="n"/>
    </row>
    <row r="524" ht="409.6" customHeight="1" s="37">
      <c r="A524" s="8" t="n"/>
      <c r="B524" s="2" t="n"/>
      <c r="C524" s="2" t="n"/>
      <c r="D524" s="2" t="n"/>
      <c r="E524" s="2" t="n"/>
      <c r="F524" s="2" t="n"/>
      <c r="G524" s="2" t="n"/>
      <c r="H524" s="2" t="n"/>
      <c r="I524" s="8" t="n"/>
      <c r="J524" s="10" t="n"/>
      <c r="K524" s="2" t="n"/>
      <c r="L524" s="2" t="n"/>
      <c r="M524" s="2" t="n"/>
      <c r="N524" s="2" t="n"/>
      <c r="O524" s="2" t="n"/>
      <c r="P524" s="2" t="n"/>
    </row>
    <row r="525" ht="409.6" customHeight="1" s="37">
      <c r="A525" s="8" t="n"/>
      <c r="B525" s="2" t="n"/>
      <c r="C525" s="2" t="n"/>
      <c r="D525" s="2" t="n"/>
      <c r="E525" s="2" t="n"/>
      <c r="F525" s="2" t="n"/>
      <c r="G525" s="2" t="n"/>
      <c r="H525" s="2" t="n"/>
      <c r="I525" s="8" t="n"/>
      <c r="J525" s="10" t="n"/>
      <c r="K525" s="2" t="n"/>
      <c r="L525" s="2" t="n"/>
      <c r="M525" s="2" t="n"/>
      <c r="N525" s="2" t="n"/>
      <c r="O525" s="2" t="n"/>
      <c r="P525" s="2" t="n"/>
    </row>
    <row r="526" ht="409.6" customHeight="1" s="37">
      <c r="A526" s="8" t="n"/>
      <c r="B526" s="2" t="n"/>
      <c r="C526" s="2" t="n"/>
      <c r="D526" s="2" t="n"/>
      <c r="E526" s="2" t="n"/>
      <c r="F526" s="2" t="n"/>
      <c r="G526" s="2" t="n"/>
      <c r="H526" s="2" t="n"/>
      <c r="I526" s="8" t="n"/>
      <c r="J526" s="10" t="n"/>
      <c r="K526" s="2" t="n"/>
      <c r="L526" s="2" t="n"/>
      <c r="M526" s="2" t="n"/>
      <c r="N526" s="2" t="n"/>
      <c r="O526" s="2" t="n"/>
      <c r="P526" s="2" t="n"/>
    </row>
    <row r="527" ht="409.6" customHeight="1" s="37">
      <c r="A527" s="8" t="n"/>
      <c r="B527" s="2" t="n"/>
      <c r="C527" s="2" t="n"/>
      <c r="D527" s="2" t="n"/>
      <c r="E527" s="2" t="n"/>
      <c r="F527" s="2" t="n"/>
      <c r="G527" s="2" t="n"/>
      <c r="H527" s="2" t="n"/>
      <c r="I527" s="8" t="n"/>
      <c r="J527" s="10" t="n"/>
      <c r="K527" s="2" t="n"/>
      <c r="L527" s="2" t="n"/>
      <c r="M527" s="2" t="n"/>
      <c r="N527" s="2" t="n"/>
      <c r="O527" s="2" t="n"/>
      <c r="P527" s="2" t="n"/>
    </row>
    <row r="528" ht="409.6" customHeight="1" s="37">
      <c r="A528" s="8" t="n"/>
      <c r="B528" s="2" t="n"/>
      <c r="C528" s="2" t="n"/>
      <c r="D528" s="2" t="n"/>
      <c r="E528" s="2" t="n"/>
      <c r="F528" s="2" t="n"/>
      <c r="G528" s="2" t="n"/>
      <c r="H528" s="2" t="n"/>
      <c r="I528" s="8" t="n"/>
      <c r="J528" s="10" t="n"/>
      <c r="K528" s="2" t="n"/>
      <c r="L528" s="2" t="n"/>
      <c r="M528" s="2" t="n"/>
      <c r="N528" s="2" t="n"/>
      <c r="O528" s="2" t="n"/>
      <c r="P528" s="2" t="n"/>
    </row>
    <row r="529" ht="409.6" customHeight="1" s="37">
      <c r="A529" s="8" t="n"/>
      <c r="B529" s="2" t="n"/>
      <c r="C529" s="2" t="n"/>
      <c r="D529" s="2" t="n"/>
      <c r="E529" s="2" t="n"/>
      <c r="F529" s="2" t="n"/>
      <c r="G529" s="2" t="n"/>
      <c r="H529" s="2" t="n"/>
      <c r="I529" s="8" t="n"/>
      <c r="J529" s="10" t="n"/>
      <c r="K529" s="2" t="n"/>
      <c r="L529" s="2" t="n"/>
      <c r="M529" s="2" t="n"/>
      <c r="N529" s="2" t="n"/>
      <c r="O529" s="2" t="n"/>
      <c r="P529" s="2" t="n"/>
    </row>
    <row r="530" ht="409.6" customHeight="1" s="37">
      <c r="A530" s="8" t="n"/>
      <c r="B530" s="2" t="n"/>
      <c r="C530" s="2" t="n"/>
      <c r="D530" s="2" t="n"/>
      <c r="E530" s="2" t="n"/>
      <c r="F530" s="2" t="n"/>
      <c r="G530" s="2" t="n"/>
      <c r="H530" s="2" t="n"/>
      <c r="I530" s="8" t="n"/>
      <c r="J530" s="10" t="n"/>
      <c r="K530" s="2" t="n"/>
      <c r="L530" s="2" t="n"/>
      <c r="M530" s="2" t="n"/>
      <c r="N530" s="2" t="n"/>
      <c r="O530" s="2" t="n"/>
      <c r="P530" s="2" t="n"/>
    </row>
    <row r="531" ht="409.6" customHeight="1" s="37">
      <c r="A531" s="8" t="n"/>
      <c r="B531" s="2" t="n"/>
      <c r="C531" s="2" t="n"/>
      <c r="D531" s="2" t="n"/>
      <c r="E531" s="2" t="n"/>
      <c r="F531" s="2" t="n"/>
      <c r="G531" s="2" t="n"/>
      <c r="H531" s="2" t="n"/>
      <c r="I531" s="8" t="n"/>
      <c r="J531" s="10" t="n"/>
      <c r="K531" s="2" t="n"/>
      <c r="L531" s="2" t="n"/>
      <c r="M531" s="2" t="n"/>
      <c r="N531" s="2" t="n"/>
      <c r="O531" s="2" t="n"/>
      <c r="P531" s="2" t="n"/>
    </row>
    <row r="532" ht="409.6" customHeight="1" s="37">
      <c r="A532" s="8" t="n"/>
      <c r="B532" s="2" t="n"/>
      <c r="C532" s="2" t="n"/>
      <c r="D532" s="2" t="n"/>
      <c r="E532" s="2" t="n"/>
      <c r="F532" s="2" t="n"/>
      <c r="G532" s="2" t="n"/>
      <c r="H532" s="2" t="n"/>
      <c r="I532" s="8" t="n"/>
      <c r="J532" s="10" t="n"/>
      <c r="K532" s="2" t="n"/>
      <c r="L532" s="2" t="n"/>
      <c r="M532" s="2" t="n"/>
      <c r="N532" s="2" t="n"/>
      <c r="O532" s="2" t="n"/>
      <c r="P532" s="2" t="n"/>
    </row>
    <row r="533" ht="409.6" customHeight="1" s="37">
      <c r="A533" s="8" t="n"/>
      <c r="B533" s="2" t="n"/>
      <c r="C533" s="2" t="n"/>
      <c r="D533" s="2" t="n"/>
      <c r="E533" s="2" t="n"/>
      <c r="F533" s="2" t="n"/>
      <c r="G533" s="2" t="n"/>
      <c r="H533" s="2" t="n"/>
      <c r="I533" s="8" t="n"/>
      <c r="J533" s="10" t="n"/>
      <c r="K533" s="2" t="n"/>
      <c r="L533" s="2" t="n"/>
      <c r="M533" s="2" t="n"/>
      <c r="N533" s="2" t="n"/>
      <c r="O533" s="2" t="n"/>
      <c r="P533" s="2" t="n"/>
    </row>
    <row r="534" ht="409.6" customHeight="1" s="37">
      <c r="A534" s="8" t="n"/>
      <c r="B534" s="2" t="n"/>
      <c r="C534" s="2" t="n"/>
      <c r="D534" s="2" t="n"/>
      <c r="E534" s="2" t="n"/>
      <c r="F534" s="2" t="n"/>
      <c r="G534" s="2" t="n"/>
      <c r="H534" s="2" t="n"/>
      <c r="I534" s="8" t="n"/>
      <c r="J534" s="10" t="n"/>
      <c r="K534" s="2" t="n"/>
      <c r="L534" s="2" t="n"/>
      <c r="M534" s="2" t="n"/>
      <c r="N534" s="2" t="n"/>
      <c r="O534" s="2" t="n"/>
      <c r="P534" s="2" t="n"/>
    </row>
    <row r="535" ht="409.6" customHeight="1" s="37">
      <c r="A535" s="8" t="n"/>
      <c r="B535" s="2" t="n"/>
      <c r="C535" s="2" t="n"/>
      <c r="D535" s="2" t="n"/>
      <c r="E535" s="2" t="n"/>
      <c r="F535" s="2" t="n"/>
      <c r="G535" s="2" t="n"/>
      <c r="H535" s="2" t="n"/>
      <c r="I535" s="8" t="n"/>
      <c r="J535" s="10" t="n"/>
      <c r="K535" s="2" t="n"/>
      <c r="L535" s="2" t="n"/>
      <c r="M535" s="2" t="n"/>
      <c r="N535" s="2" t="n"/>
      <c r="O535" s="2" t="n"/>
      <c r="P535" s="2" t="n"/>
    </row>
    <row r="536" ht="409.6" customHeight="1" s="37">
      <c r="A536" s="8" t="n"/>
      <c r="B536" s="2" t="n"/>
      <c r="C536" s="2" t="n"/>
      <c r="D536" s="2" t="n"/>
      <c r="E536" s="2" t="n"/>
      <c r="F536" s="2" t="n"/>
      <c r="G536" s="2" t="n"/>
      <c r="H536" s="2" t="n"/>
      <c r="I536" s="8" t="n"/>
      <c r="J536" s="10" t="n"/>
      <c r="K536" s="2" t="n"/>
      <c r="L536" s="2" t="n"/>
      <c r="M536" s="2" t="n"/>
      <c r="N536" s="2" t="n"/>
      <c r="O536" s="2" t="n"/>
      <c r="P536" s="2" t="n"/>
    </row>
    <row r="537" ht="409.6" customHeight="1" s="37">
      <c r="A537" s="8" t="n"/>
      <c r="B537" s="2" t="n"/>
      <c r="C537" s="2" t="n"/>
      <c r="D537" s="2" t="n"/>
      <c r="E537" s="2" t="n"/>
      <c r="F537" s="2" t="n"/>
      <c r="G537" s="2" t="n"/>
      <c r="H537" s="2" t="n"/>
      <c r="I537" s="8" t="n"/>
      <c r="J537" s="10" t="n"/>
      <c r="K537" s="2" t="n"/>
      <c r="L537" s="2" t="n"/>
      <c r="M537" s="2" t="n"/>
      <c r="N537" s="2" t="n"/>
      <c r="O537" s="2" t="n"/>
      <c r="P537" s="2" t="n"/>
    </row>
    <row r="538" ht="409.6" customHeight="1" s="37">
      <c r="A538" s="8" t="n"/>
      <c r="B538" s="2" t="n"/>
      <c r="C538" s="2" t="n"/>
      <c r="D538" s="2" t="n"/>
      <c r="E538" s="2" t="n"/>
      <c r="F538" s="2" t="n"/>
      <c r="G538" s="2" t="n"/>
      <c r="H538" s="2" t="n"/>
      <c r="I538" s="8" t="n"/>
      <c r="J538" s="10" t="n"/>
      <c r="K538" s="2" t="n"/>
      <c r="L538" s="2" t="n"/>
      <c r="M538" s="2" t="n"/>
      <c r="N538" s="2" t="n"/>
      <c r="O538" s="2" t="n"/>
      <c r="P538" s="2" t="n"/>
    </row>
    <row r="539" ht="409.6" customHeight="1" s="37">
      <c r="A539" s="8" t="n"/>
      <c r="B539" s="2" t="n"/>
      <c r="C539" s="2" t="n"/>
      <c r="D539" s="2" t="n"/>
      <c r="E539" s="2" t="n"/>
      <c r="F539" s="2" t="n"/>
      <c r="G539" s="2" t="n"/>
      <c r="H539" s="2" t="n"/>
      <c r="I539" s="8" t="n"/>
      <c r="J539" s="10" t="n"/>
      <c r="K539" s="2" t="n"/>
      <c r="L539" s="2" t="n"/>
      <c r="M539" s="2" t="n"/>
      <c r="N539" s="2" t="n"/>
      <c r="O539" s="2" t="n"/>
      <c r="P539" s="2" t="n"/>
    </row>
    <row r="540" ht="409.6" customHeight="1" s="37">
      <c r="A540" s="8" t="n"/>
      <c r="B540" s="2" t="n"/>
      <c r="C540" s="2" t="n"/>
      <c r="D540" s="2" t="n"/>
      <c r="E540" s="2" t="n"/>
      <c r="F540" s="2" t="n"/>
      <c r="G540" s="2" t="n"/>
      <c r="H540" s="2" t="n"/>
      <c r="I540" s="8" t="n"/>
      <c r="J540" s="10" t="n"/>
      <c r="K540" s="2" t="n"/>
      <c r="L540" s="2" t="n"/>
      <c r="M540" s="2" t="n"/>
      <c r="N540" s="2" t="n"/>
      <c r="O540" s="2" t="n"/>
      <c r="P540" s="2" t="n"/>
    </row>
    <row r="541" ht="409.6" customHeight="1" s="37">
      <c r="A541" s="8" t="n"/>
      <c r="B541" s="2" t="n"/>
      <c r="C541" s="2" t="n"/>
      <c r="D541" s="2" t="n"/>
      <c r="E541" s="2" t="n"/>
      <c r="F541" s="2" t="n"/>
      <c r="G541" s="2" t="n"/>
      <c r="H541" s="2" t="n"/>
      <c r="I541" s="8" t="n"/>
      <c r="J541" s="10" t="n"/>
      <c r="K541" s="2" t="n"/>
      <c r="L541" s="2" t="n"/>
      <c r="M541" s="2" t="n"/>
      <c r="N541" s="2" t="n"/>
      <c r="O541" s="2" t="n"/>
      <c r="P541" s="2" t="n"/>
    </row>
    <row r="542" ht="409.6" customHeight="1" s="37">
      <c r="A542" s="8" t="n"/>
      <c r="B542" s="2" t="n"/>
      <c r="C542" s="2" t="n"/>
      <c r="D542" s="2" t="n"/>
      <c r="E542" s="2" t="n"/>
      <c r="F542" s="2" t="n"/>
      <c r="G542" s="2" t="n"/>
      <c r="H542" s="2" t="n"/>
      <c r="I542" s="8" t="n"/>
      <c r="J542" s="10" t="n"/>
      <c r="K542" s="2" t="n"/>
      <c r="L542" s="2" t="n"/>
      <c r="M542" s="2" t="n"/>
      <c r="N542" s="2" t="n"/>
      <c r="O542" s="2" t="n"/>
      <c r="P542" s="2" t="n"/>
    </row>
    <row r="543" ht="409.6" customHeight="1" s="37">
      <c r="A543" s="8" t="n"/>
      <c r="B543" s="2" t="n"/>
      <c r="C543" s="2" t="n"/>
      <c r="D543" s="2" t="n"/>
      <c r="E543" s="2" t="n"/>
      <c r="F543" s="2" t="n"/>
      <c r="G543" s="2" t="n"/>
      <c r="H543" s="2" t="n"/>
      <c r="I543" s="8" t="n"/>
      <c r="J543" s="10" t="n"/>
      <c r="K543" s="2" t="n"/>
      <c r="L543" s="2" t="n"/>
      <c r="M543" s="2" t="n"/>
      <c r="N543" s="2" t="n"/>
      <c r="O543" s="2" t="n"/>
      <c r="P543" s="2" t="n"/>
    </row>
    <row r="544" ht="409.6" customHeight="1" s="37">
      <c r="A544" s="8" t="n"/>
      <c r="B544" s="2" t="n"/>
      <c r="C544" s="2" t="n"/>
      <c r="D544" s="2" t="n"/>
      <c r="E544" s="2" t="n"/>
      <c r="F544" s="2" t="n"/>
      <c r="G544" s="2" t="n"/>
      <c r="H544" s="2" t="n"/>
      <c r="I544" s="8" t="n"/>
      <c r="J544" s="10" t="n"/>
      <c r="K544" s="2" t="n"/>
      <c r="L544" s="2" t="n"/>
      <c r="M544" s="2" t="n"/>
      <c r="N544" s="2" t="n"/>
      <c r="O544" s="2" t="n"/>
      <c r="P544" s="2" t="n"/>
    </row>
    <row r="545" ht="409.6" customHeight="1" s="37">
      <c r="A545" s="8" t="n"/>
      <c r="B545" s="2" t="n"/>
      <c r="C545" s="2" t="n"/>
      <c r="D545" s="2" t="n"/>
      <c r="E545" s="2" t="n"/>
      <c r="F545" s="2" t="n"/>
      <c r="G545" s="2" t="n"/>
      <c r="H545" s="2" t="n"/>
      <c r="I545" s="8" t="n"/>
      <c r="J545" s="10" t="n"/>
      <c r="K545" s="2" t="n"/>
      <c r="L545" s="2" t="n"/>
      <c r="M545" s="2" t="n"/>
      <c r="N545" s="2" t="n"/>
      <c r="O545" s="2" t="n"/>
      <c r="P545" s="2" t="n"/>
    </row>
    <row r="546" ht="409.6" customHeight="1" s="37">
      <c r="A546" s="8" t="n"/>
      <c r="B546" s="2" t="n"/>
      <c r="C546" s="2" t="n"/>
      <c r="D546" s="2" t="n"/>
      <c r="E546" s="2" t="n"/>
      <c r="F546" s="2" t="n"/>
      <c r="G546" s="2" t="n"/>
      <c r="H546" s="2" t="n"/>
      <c r="I546" s="8" t="n"/>
      <c r="J546" s="10" t="n"/>
      <c r="K546" s="2" t="n"/>
      <c r="L546" s="2" t="n"/>
      <c r="M546" s="2" t="n"/>
      <c r="N546" s="2" t="n"/>
      <c r="O546" s="2" t="n"/>
      <c r="P546" s="2" t="n"/>
    </row>
    <row r="547" ht="409.6" customHeight="1" s="37">
      <c r="A547" s="8" t="n"/>
      <c r="B547" s="2" t="n"/>
      <c r="C547" s="2" t="n"/>
      <c r="D547" s="2" t="n"/>
      <c r="E547" s="2" t="n"/>
      <c r="F547" s="2" t="n"/>
      <c r="G547" s="2" t="n"/>
      <c r="H547" s="2" t="n"/>
      <c r="I547" s="8" t="n"/>
      <c r="J547" s="10" t="n"/>
      <c r="K547" s="2" t="n"/>
      <c r="L547" s="2" t="n"/>
      <c r="M547" s="2" t="n"/>
      <c r="N547" s="2" t="n"/>
      <c r="O547" s="2" t="n"/>
      <c r="P547" s="2" t="n"/>
    </row>
    <row r="548" ht="409.6" customHeight="1" s="37">
      <c r="A548" s="8" t="n"/>
      <c r="B548" s="2" t="n"/>
      <c r="C548" s="2" t="n"/>
      <c r="D548" s="2" t="n"/>
      <c r="E548" s="2" t="n"/>
      <c r="F548" s="2" t="n"/>
      <c r="G548" s="2" t="n"/>
      <c r="H548" s="2" t="n"/>
      <c r="I548" s="8" t="n"/>
      <c r="J548" s="10" t="n"/>
      <c r="K548" s="2" t="n"/>
      <c r="L548" s="2" t="n"/>
      <c r="M548" s="2" t="n"/>
      <c r="N548" s="2" t="n"/>
      <c r="O548" s="2" t="n"/>
      <c r="P548" s="2" t="n"/>
    </row>
    <row r="549" ht="409.6" customHeight="1" s="37">
      <c r="A549" s="8" t="n"/>
      <c r="B549" s="2" t="n"/>
      <c r="C549" s="2" t="n"/>
      <c r="D549" s="2" t="n"/>
      <c r="E549" s="2" t="n"/>
      <c r="F549" s="2" t="n"/>
      <c r="G549" s="2" t="n"/>
      <c r="H549" s="2" t="n"/>
      <c r="I549" s="8" t="n"/>
      <c r="J549" s="10" t="n"/>
      <c r="K549" s="2" t="n"/>
      <c r="L549" s="2" t="n"/>
      <c r="M549" s="2" t="n"/>
      <c r="N549" s="2" t="n"/>
      <c r="O549" s="2" t="n"/>
      <c r="P549" s="2" t="n"/>
    </row>
    <row r="550" ht="409.6" customHeight="1" s="37">
      <c r="A550" s="8" t="n"/>
      <c r="B550" s="2" t="n"/>
      <c r="C550" s="2" t="n"/>
      <c r="D550" s="2" t="n"/>
      <c r="E550" s="2" t="n"/>
      <c r="F550" s="2" t="n"/>
      <c r="G550" s="2" t="n"/>
      <c r="H550" s="2" t="n"/>
      <c r="I550" s="8" t="n"/>
      <c r="J550" s="10" t="n"/>
      <c r="K550" s="2" t="n"/>
      <c r="L550" s="2" t="n"/>
      <c r="M550" s="2" t="n"/>
      <c r="N550" s="2" t="n"/>
      <c r="O550" s="2" t="n"/>
      <c r="P550" s="2" t="n"/>
    </row>
    <row r="551" ht="409.6" customHeight="1" s="37">
      <c r="A551" s="8" t="n"/>
      <c r="B551" s="2" t="n"/>
      <c r="C551" s="2" t="n"/>
      <c r="D551" s="2" t="n"/>
      <c r="E551" s="2" t="n"/>
      <c r="F551" s="2" t="n"/>
      <c r="G551" s="2" t="n"/>
      <c r="H551" s="2" t="n"/>
      <c r="I551" s="8" t="n"/>
      <c r="J551" s="10" t="n"/>
      <c r="K551" s="2" t="n"/>
      <c r="L551" s="2" t="n"/>
      <c r="M551" s="2" t="n"/>
      <c r="N551" s="2" t="n"/>
      <c r="O551" s="2" t="n"/>
      <c r="P551" s="2" t="n"/>
    </row>
    <row r="552" ht="409.6" customHeight="1" s="37">
      <c r="A552" s="8" t="n"/>
      <c r="B552" s="2" t="n"/>
      <c r="C552" s="2" t="n"/>
      <c r="D552" s="2" t="n"/>
      <c r="E552" s="2" t="n"/>
      <c r="F552" s="2" t="n"/>
      <c r="G552" s="2" t="n"/>
      <c r="H552" s="2" t="n"/>
      <c r="I552" s="8" t="n"/>
      <c r="J552" s="10" t="n"/>
      <c r="K552" s="2" t="n"/>
      <c r="L552" s="2" t="n"/>
      <c r="M552" s="2" t="n"/>
      <c r="N552" s="2" t="n"/>
      <c r="O552" s="2" t="n"/>
      <c r="P552" s="2" t="n"/>
    </row>
    <row r="553" ht="409.6" customHeight="1" s="37">
      <c r="A553" s="8" t="n"/>
      <c r="B553" s="2" t="n"/>
      <c r="C553" s="2" t="n"/>
      <c r="D553" s="2" t="n"/>
      <c r="E553" s="2" t="n"/>
      <c r="F553" s="2" t="n"/>
      <c r="G553" s="2" t="n"/>
      <c r="H553" s="2" t="n"/>
      <c r="I553" s="8" t="n"/>
      <c r="J553" s="10" t="n"/>
      <c r="K553" s="2" t="n"/>
      <c r="L553" s="2" t="n"/>
      <c r="M553" s="2" t="n"/>
      <c r="N553" s="2" t="n"/>
      <c r="O553" s="2" t="n"/>
      <c r="P553" s="2" t="n"/>
    </row>
    <row r="554" ht="409.6" customHeight="1" s="37">
      <c r="A554" s="8" t="n"/>
      <c r="B554" s="2" t="n"/>
      <c r="C554" s="2" t="n"/>
      <c r="D554" s="2" t="n"/>
      <c r="E554" s="2" t="n"/>
      <c r="F554" s="2" t="n"/>
      <c r="G554" s="2" t="n"/>
      <c r="H554" s="2" t="n"/>
      <c r="I554" s="8" t="n"/>
      <c r="J554" s="10" t="n"/>
      <c r="K554" s="2" t="n"/>
      <c r="L554" s="2" t="n"/>
      <c r="M554" s="2" t="n"/>
      <c r="N554" s="2" t="n"/>
      <c r="O554" s="2" t="n"/>
      <c r="P554" s="2" t="n"/>
    </row>
    <row r="555" ht="409.6" customHeight="1" s="37">
      <c r="A555" s="8" t="n"/>
      <c r="B555" s="2" t="n"/>
      <c r="C555" s="2" t="n"/>
      <c r="D555" s="2" t="n"/>
      <c r="E555" s="2" t="n"/>
      <c r="F555" s="2" t="n"/>
      <c r="G555" s="2" t="n"/>
      <c r="H555" s="2" t="n"/>
      <c r="I555" s="8" t="n"/>
      <c r="J555" s="10" t="n"/>
      <c r="K555" s="2" t="n"/>
      <c r="L555" s="2" t="n"/>
      <c r="M555" s="2" t="n"/>
      <c r="N555" s="2" t="n"/>
      <c r="O555" s="2" t="n"/>
      <c r="P555" s="2" t="n"/>
    </row>
    <row r="556" ht="409.6" customHeight="1" s="37">
      <c r="A556" s="8" t="n"/>
      <c r="B556" s="2" t="n"/>
      <c r="C556" s="2" t="n"/>
      <c r="D556" s="2" t="n"/>
      <c r="E556" s="2" t="n"/>
      <c r="F556" s="2" t="n"/>
      <c r="G556" s="2" t="n"/>
      <c r="H556" s="2" t="n"/>
      <c r="I556" s="8" t="n"/>
      <c r="J556" s="10" t="n"/>
      <c r="K556" s="2" t="n"/>
      <c r="L556" s="2" t="n"/>
      <c r="M556" s="2" t="n"/>
      <c r="N556" s="2" t="n"/>
      <c r="O556" s="2" t="n"/>
      <c r="P556" s="2" t="n"/>
    </row>
    <row r="557" ht="409.6" customHeight="1" s="37">
      <c r="A557" s="8" t="n"/>
      <c r="B557" s="2" t="n"/>
      <c r="C557" s="2" t="n"/>
      <c r="D557" s="2" t="n"/>
      <c r="E557" s="2" t="n"/>
      <c r="F557" s="2" t="n"/>
      <c r="G557" s="2" t="n"/>
      <c r="H557" s="2" t="n"/>
      <c r="I557" s="8" t="n"/>
      <c r="J557" s="10" t="n"/>
      <c r="K557" s="2" t="n"/>
      <c r="L557" s="2" t="n"/>
      <c r="M557" s="2" t="n"/>
      <c r="N557" s="2" t="n"/>
      <c r="O557" s="2" t="n"/>
      <c r="P557" s="2" t="n"/>
    </row>
    <row r="558" ht="409.6" customHeight="1" s="37">
      <c r="A558" s="2" t="n"/>
      <c r="B558" s="2" t="n"/>
      <c r="C558" s="2" t="n"/>
      <c r="D558" s="2" t="n"/>
      <c r="E558" s="2" t="n"/>
      <c r="F558" s="2" t="n"/>
      <c r="G558" s="2" t="n"/>
      <c r="H558" s="2" t="n"/>
      <c r="I558" s="8" t="n"/>
      <c r="J558" s="10" t="n"/>
      <c r="K558" s="2" t="n"/>
      <c r="L558" s="2" t="n"/>
      <c r="M558" s="2" t="n"/>
      <c r="N558" s="2" t="n"/>
      <c r="O558" s="2" t="n"/>
      <c r="P558" s="2" t="n"/>
    </row>
    <row r="559" ht="13.2" customHeight="1" s="37">
      <c r="J559" s="10" t="n"/>
    </row>
    <row r="560" ht="13.2" customHeight="1" s="37">
      <c r="J560" s="10" t="n"/>
    </row>
    <row r="561" ht="13.2" customHeight="1" s="37">
      <c r="J561" s="10" t="n"/>
    </row>
    <row r="562" ht="13.2" customHeight="1" s="37">
      <c r="J562" s="10" t="n"/>
    </row>
    <row r="563" ht="13.2" customHeight="1" s="37">
      <c r="J563" s="10" t="n"/>
    </row>
    <row r="564" ht="13.2" customHeight="1" s="37">
      <c r="J564" s="10" t="n"/>
    </row>
    <row r="565" ht="13.2" customHeight="1" s="37">
      <c r="J565" s="10" t="n"/>
    </row>
    <row r="566" ht="13.2" customHeight="1" s="37">
      <c r="J566" s="10" t="n"/>
    </row>
    <row r="567" ht="13.2" customHeight="1" s="37">
      <c r="J567" s="10" t="n"/>
    </row>
    <row r="568" ht="13.2" customHeight="1" s="37">
      <c r="J568" s="10" t="n"/>
    </row>
    <row r="569" ht="13.2" customHeight="1" s="37">
      <c r="J569" s="10" t="n"/>
    </row>
    <row r="570" ht="13.2" customHeight="1" s="37">
      <c r="J570" s="10" t="n"/>
    </row>
    <row r="571" ht="13.2" customHeight="1" s="37">
      <c r="J571" s="10" t="n"/>
    </row>
    <row r="572" ht="13.2" customHeight="1" s="37">
      <c r="J572" s="10" t="n"/>
    </row>
    <row r="573" ht="13.2" customHeight="1" s="37">
      <c r="J573" s="10" t="n"/>
    </row>
    <row r="574" ht="13.2" customHeight="1" s="37">
      <c r="J574" s="10" t="n"/>
    </row>
    <row r="575" ht="13.2" customHeight="1" s="37">
      <c r="J575" s="10" t="n"/>
    </row>
    <row r="576" ht="13.2" customHeight="1" s="37">
      <c r="J576" s="10" t="n"/>
    </row>
    <row r="577" ht="13.2" customHeight="1" s="37">
      <c r="J577" s="10" t="n"/>
    </row>
    <row r="578" ht="13.2" customHeight="1" s="37">
      <c r="J578" s="10" t="n"/>
    </row>
    <row r="579" ht="13.2" customHeight="1" s="37">
      <c r="J579" s="10" t="n"/>
    </row>
    <row r="580" ht="13.2" customHeight="1" s="37">
      <c r="J580" s="10" t="n"/>
    </row>
    <row r="581" ht="13.2" customHeight="1" s="37">
      <c r="J581" s="10" t="n"/>
    </row>
    <row r="582" ht="13.2" customHeight="1" s="37">
      <c r="J582" s="10" t="n"/>
    </row>
    <row r="583" ht="13.2" customHeight="1" s="37">
      <c r="J583" s="10" t="n"/>
    </row>
    <row r="584" ht="13.2" customHeight="1" s="37">
      <c r="J584" s="10" t="n"/>
    </row>
    <row r="585" ht="13.2" customHeight="1" s="37">
      <c r="J585" s="10" t="n"/>
    </row>
    <row r="586" ht="13.2" customHeight="1" s="37">
      <c r="J586" s="10" t="n"/>
    </row>
    <row r="587" ht="13.2" customHeight="1" s="37">
      <c r="J587" s="10" t="n"/>
    </row>
    <row r="588" ht="13.2" customHeight="1" s="37">
      <c r="J588" s="10" t="n"/>
    </row>
    <row r="589" ht="13.2" customHeight="1" s="37">
      <c r="J589" s="10" t="n"/>
    </row>
    <row r="590" ht="13.2" customHeight="1" s="37">
      <c r="J590" s="10" t="n"/>
    </row>
    <row r="591" ht="13.2" customHeight="1" s="37">
      <c r="J591" s="10" t="n"/>
    </row>
    <row r="592" ht="13.2" customHeight="1" s="37">
      <c r="J592" s="10" t="n"/>
    </row>
    <row r="593" ht="13.2" customHeight="1" s="37">
      <c r="J593" s="10" t="n"/>
    </row>
    <row r="594" ht="13.2" customHeight="1" s="37">
      <c r="J594" s="10" t="n"/>
    </row>
    <row r="595" ht="13.2" customHeight="1" s="37">
      <c r="J595" s="10" t="n"/>
    </row>
    <row r="596" ht="13.2" customHeight="1" s="37">
      <c r="J596" s="10" t="n"/>
    </row>
    <row r="597" ht="13.2" customHeight="1" s="37">
      <c r="J597" s="10" t="n"/>
    </row>
    <row r="598" ht="13.2" customHeight="1" s="37">
      <c r="J598" s="10" t="n"/>
    </row>
    <row r="599" ht="13.2" customHeight="1" s="37">
      <c r="J599" s="10" t="n"/>
    </row>
    <row r="600" ht="13.2" customHeight="1" s="37">
      <c r="J600" s="10" t="n"/>
    </row>
    <row r="601" ht="13.2" customHeight="1" s="37">
      <c r="J601" s="10" t="n"/>
    </row>
    <row r="602" ht="13.2" customHeight="1" s="37">
      <c r="J602" s="10" t="n"/>
    </row>
    <row r="603" ht="13.2" customHeight="1" s="37">
      <c r="J603" s="10" t="n"/>
    </row>
    <row r="604" ht="13.2" customHeight="1" s="37">
      <c r="J604" s="10" t="n"/>
    </row>
    <row r="605" ht="13.2" customHeight="1" s="37">
      <c r="J605" s="10" t="n"/>
    </row>
    <row r="606" ht="13.2" customHeight="1" s="37">
      <c r="J606" s="10" t="n"/>
    </row>
    <row r="607" ht="13.2" customHeight="1" s="37">
      <c r="J607" s="10" t="n"/>
    </row>
    <row r="608" ht="13.2" customHeight="1" s="37">
      <c r="J608" s="10" t="n"/>
    </row>
    <row r="609" ht="13.2" customHeight="1" s="37">
      <c r="J609" s="10" t="n"/>
    </row>
    <row r="610" ht="13.2" customHeight="1" s="37">
      <c r="J610" s="10" t="n"/>
    </row>
    <row r="611" ht="13.2" customHeight="1" s="37">
      <c r="J611" s="10" t="n"/>
    </row>
    <row r="612" ht="13.2" customHeight="1" s="37">
      <c r="J612" s="10" t="n"/>
    </row>
    <row r="613" ht="13.2" customHeight="1" s="37">
      <c r="J613" s="10" t="n"/>
    </row>
    <row r="614" ht="13.2" customHeight="1" s="37">
      <c r="J614" s="10" t="n"/>
    </row>
    <row r="615" ht="13.2" customHeight="1" s="37">
      <c r="J615" s="10" t="n"/>
    </row>
    <row r="616" ht="13.2" customHeight="1" s="37">
      <c r="J616" s="10" t="n"/>
    </row>
    <row r="617" ht="13.2" customHeight="1" s="37">
      <c r="J617" s="10" t="n"/>
    </row>
    <row r="618" ht="13.2" customHeight="1" s="37">
      <c r="J618" s="10" t="n"/>
    </row>
    <row r="619" ht="13.2" customHeight="1" s="37">
      <c r="J619" s="10" t="n"/>
    </row>
    <row r="620" ht="13.2" customHeight="1" s="37">
      <c r="J620" s="10" t="n"/>
    </row>
    <row r="621" ht="13.2" customHeight="1" s="37">
      <c r="J621" s="10" t="n"/>
    </row>
    <row r="622" ht="13.2" customHeight="1" s="37">
      <c r="J622" s="10" t="n"/>
    </row>
    <row r="623" ht="13.2" customHeight="1" s="37">
      <c r="J623" s="10" t="n"/>
    </row>
    <row r="624" ht="13.2" customHeight="1" s="37">
      <c r="J624" s="10" t="n"/>
    </row>
    <row r="625" ht="13.2" customHeight="1" s="37">
      <c r="J625" s="10" t="n"/>
    </row>
    <row r="626" ht="13.2" customHeight="1" s="37">
      <c r="J626" s="10" t="n"/>
    </row>
    <row r="627" ht="13.2" customHeight="1" s="37">
      <c r="J627" s="10" t="n"/>
    </row>
    <row r="628" ht="13.2" customHeight="1" s="37">
      <c r="J628" s="10" t="n"/>
    </row>
    <row r="629" ht="13.2" customHeight="1" s="37">
      <c r="J629" s="10" t="n"/>
    </row>
    <row r="630" ht="13.2" customHeight="1" s="37">
      <c r="J630" s="10" t="n"/>
    </row>
    <row r="631" ht="13.2" customHeight="1" s="37">
      <c r="J631" s="10" t="n"/>
    </row>
    <row r="632" ht="13.2" customHeight="1" s="37">
      <c r="J632" s="10" t="n"/>
    </row>
    <row r="633" ht="13.2" customHeight="1" s="37">
      <c r="J633" s="10" t="n"/>
    </row>
    <row r="634" ht="13.2" customHeight="1" s="37">
      <c r="J634" s="10" t="n"/>
    </row>
    <row r="635" ht="13.2" customHeight="1" s="37">
      <c r="J635" s="10" t="n"/>
    </row>
    <row r="636" ht="13.2" customHeight="1" s="37">
      <c r="J636" s="10" t="n"/>
    </row>
    <row r="637" ht="13.2" customHeight="1" s="37">
      <c r="J637" s="10" t="n"/>
    </row>
    <row r="638" ht="13.2" customHeight="1" s="37">
      <c r="J638" s="10" t="n"/>
    </row>
    <row r="639" ht="13.2" customHeight="1" s="37">
      <c r="J639" s="10" t="n"/>
    </row>
    <row r="640" ht="13.2" customHeight="1" s="37">
      <c r="J640" s="10" t="n"/>
    </row>
    <row r="641" ht="13.2" customHeight="1" s="37">
      <c r="J641" s="10" t="n"/>
    </row>
    <row r="642" ht="13.2" customHeight="1" s="37">
      <c r="J642" s="10" t="n"/>
    </row>
    <row r="643" ht="13.2" customHeight="1" s="37">
      <c r="J643" s="10" t="n"/>
    </row>
    <row r="644" ht="13.2" customHeight="1" s="37">
      <c r="J644" s="10" t="n"/>
    </row>
    <row r="645" ht="13.2" customHeight="1" s="37">
      <c r="J645" s="10" t="n"/>
    </row>
    <row r="646" ht="13.2" customHeight="1" s="37">
      <c r="J646" s="10" t="n"/>
    </row>
    <row r="647" ht="13.2" customHeight="1" s="37">
      <c r="J647" s="10" t="n"/>
    </row>
    <row r="648" ht="13.2" customHeight="1" s="37">
      <c r="J648" s="10" t="n"/>
    </row>
    <row r="649" ht="13.2" customHeight="1" s="37">
      <c r="J649" s="10" t="n"/>
    </row>
    <row r="650" ht="13.2" customHeight="1" s="37">
      <c r="J650" s="10" t="n"/>
    </row>
    <row r="651" ht="13.2" customHeight="1" s="37">
      <c r="J651" s="10" t="n"/>
    </row>
    <row r="652" ht="13.2" customHeight="1" s="37">
      <c r="J652" s="10" t="n"/>
    </row>
    <row r="653" ht="13.2" customHeight="1" s="37">
      <c r="J653" s="10" t="n"/>
    </row>
    <row r="654" ht="13.2" customHeight="1" s="37">
      <c r="J654" s="10" t="n"/>
    </row>
    <row r="655" ht="13.2" customHeight="1" s="37">
      <c r="J655" s="10" t="n"/>
    </row>
    <row r="656" ht="13.2" customHeight="1" s="37">
      <c r="J656" s="10" t="n"/>
    </row>
    <row r="657" ht="13.2" customHeight="1" s="37">
      <c r="J657" s="10" t="n"/>
    </row>
    <row r="658" ht="13.2" customHeight="1" s="37">
      <c r="J658" s="10" t="n"/>
    </row>
    <row r="659" ht="13.2" customHeight="1" s="37">
      <c r="J659" s="10" t="n"/>
    </row>
    <row r="660" ht="13.2" customHeight="1" s="37">
      <c r="J660" s="10" t="n"/>
    </row>
    <row r="661" ht="13.2" customHeight="1" s="37">
      <c r="J661" s="10" t="n"/>
    </row>
    <row r="662" ht="13.2" customHeight="1" s="37">
      <c r="J662" s="10" t="n"/>
    </row>
    <row r="663" ht="13.2" customHeight="1" s="37">
      <c r="J663" s="10" t="n"/>
    </row>
    <row r="664" ht="13.2" customHeight="1" s="37">
      <c r="J664" s="10" t="n"/>
    </row>
    <row r="665" ht="13.2" customHeight="1" s="37">
      <c r="J665" s="10" t="n"/>
    </row>
    <row r="666" ht="13.2" customHeight="1" s="37">
      <c r="J666" s="10" t="n"/>
    </row>
    <row r="667" ht="13.2" customHeight="1" s="37">
      <c r="J667" s="10" t="n"/>
    </row>
    <row r="668" ht="13.2" customHeight="1" s="37">
      <c r="J668" s="10" t="n"/>
    </row>
    <row r="669" ht="13.2" customHeight="1" s="37">
      <c r="J669" s="10" t="n"/>
    </row>
    <row r="670" ht="13.2" customHeight="1" s="37">
      <c r="J670" s="10" t="n"/>
    </row>
    <row r="671" ht="13.2" customHeight="1" s="37">
      <c r="J671" s="10" t="n"/>
    </row>
    <row r="672" ht="13.2" customHeight="1" s="37">
      <c r="J672" s="10" t="n"/>
    </row>
    <row r="673" ht="13.2" customHeight="1" s="37">
      <c r="J673" s="10" t="n"/>
    </row>
    <row r="674" ht="13.2" customHeight="1" s="37">
      <c r="J674" s="10" t="n"/>
    </row>
    <row r="675" ht="13.2" customHeight="1" s="37">
      <c r="J675" s="10" t="n"/>
    </row>
    <row r="676" ht="13.2" customHeight="1" s="37">
      <c r="J676" s="10" t="n"/>
    </row>
    <row r="677" ht="13.2" customHeight="1" s="37">
      <c r="J677" s="10" t="n"/>
    </row>
    <row r="678" ht="13.2" customHeight="1" s="37">
      <c r="J678" s="10" t="n"/>
    </row>
    <row r="679" ht="13.2" customHeight="1" s="37">
      <c r="J679" s="10" t="n"/>
    </row>
    <row r="680" ht="13.2" customHeight="1" s="37">
      <c r="J680" s="10" t="n"/>
    </row>
    <row r="681" ht="13.2" customHeight="1" s="37">
      <c r="J681" s="10" t="n"/>
    </row>
    <row r="682" ht="13.2" customHeight="1" s="37">
      <c r="J682" s="10" t="n"/>
    </row>
    <row r="683" ht="13.2" customHeight="1" s="37">
      <c r="J683" s="10" t="n"/>
    </row>
    <row r="684" ht="13.2" customHeight="1" s="37">
      <c r="J684" s="10" t="n"/>
    </row>
    <row r="685" ht="13.2" customHeight="1" s="37">
      <c r="J685" s="10" t="n"/>
    </row>
    <row r="686" ht="13.2" customHeight="1" s="37">
      <c r="J686" s="10" t="n"/>
    </row>
    <row r="687" ht="13.2" customHeight="1" s="37">
      <c r="J687" s="10" t="n"/>
    </row>
    <row r="688" ht="13.2" customHeight="1" s="37">
      <c r="J688" s="10" t="n"/>
    </row>
    <row r="689" ht="13.2" customHeight="1" s="37">
      <c r="J689" s="10" t="n"/>
    </row>
    <row r="690" ht="13.2" customHeight="1" s="37">
      <c r="J690" s="10" t="n"/>
    </row>
    <row r="691" ht="13.2" customHeight="1" s="37">
      <c r="J691" s="10" t="n"/>
    </row>
    <row r="692" ht="13.2" customHeight="1" s="37">
      <c r="J692" s="10" t="n"/>
    </row>
    <row r="693" ht="13.2" customHeight="1" s="37">
      <c r="J693" s="10" t="n"/>
    </row>
    <row r="694" ht="13.2" customHeight="1" s="37">
      <c r="J694" s="10" t="n"/>
    </row>
    <row r="695" ht="13.2" customHeight="1" s="37">
      <c r="J695" s="10" t="n"/>
    </row>
    <row r="696" ht="13.2" customHeight="1" s="37">
      <c r="J696" s="10" t="n"/>
    </row>
    <row r="697" ht="13.2" customHeight="1" s="37">
      <c r="J697" s="10" t="n"/>
    </row>
    <row r="698" ht="13.2" customHeight="1" s="37">
      <c r="J698" s="10" t="n"/>
    </row>
    <row r="699" ht="13.2" customHeight="1" s="37">
      <c r="J699" s="10" t="n"/>
    </row>
    <row r="700" ht="13.2" customHeight="1" s="37">
      <c r="J700" s="10" t="n"/>
    </row>
    <row r="701" ht="13.2" customHeight="1" s="37">
      <c r="J701" s="10" t="n"/>
    </row>
    <row r="702" ht="13.2" customHeight="1" s="37">
      <c r="J702" s="10" t="n"/>
    </row>
    <row r="703" ht="13.2" customHeight="1" s="37">
      <c r="J703" s="10" t="n"/>
    </row>
    <row r="704" ht="13.2" customHeight="1" s="37">
      <c r="J704" s="10" t="n"/>
    </row>
    <row r="705" ht="13.2" customHeight="1" s="37">
      <c r="J705" s="10" t="n"/>
    </row>
    <row r="706" ht="13.2" customHeight="1" s="37">
      <c r="J706" s="10" t="n"/>
    </row>
    <row r="707" ht="13.2" customHeight="1" s="37">
      <c r="J707" s="10" t="n"/>
    </row>
    <row r="708" ht="13.2" customHeight="1" s="37">
      <c r="J708" s="10" t="n"/>
    </row>
    <row r="709" ht="13.2" customHeight="1" s="37">
      <c r="J709" s="10" t="n"/>
    </row>
    <row r="710" ht="13.2" customHeight="1" s="37">
      <c r="J710" s="10" t="n"/>
    </row>
    <row r="711" ht="13.2" customHeight="1" s="37">
      <c r="J711" s="10" t="n"/>
    </row>
    <row r="712" ht="13.2" customHeight="1" s="37">
      <c r="J712" s="10" t="n"/>
    </row>
    <row r="713" ht="13.2" customHeight="1" s="37">
      <c r="J713" s="10" t="n"/>
    </row>
    <row r="714" ht="13.2" customHeight="1" s="37">
      <c r="J714" s="10" t="n"/>
    </row>
    <row r="715" ht="13.2" customHeight="1" s="37">
      <c r="J715" s="10" t="n"/>
    </row>
    <row r="716" ht="13.2" customHeight="1" s="37">
      <c r="J716" s="10" t="n"/>
    </row>
    <row r="717" ht="13.2" customHeight="1" s="37">
      <c r="J717" s="10" t="n"/>
    </row>
    <row r="718" ht="13.2" customHeight="1" s="37">
      <c r="J718" s="10" t="n"/>
    </row>
    <row r="719" ht="13.2" customHeight="1" s="37">
      <c r="J719" s="10" t="n"/>
    </row>
    <row r="720" ht="13.2" customHeight="1" s="37">
      <c r="J720" s="10" t="n"/>
    </row>
    <row r="721" ht="13.2" customHeight="1" s="37">
      <c r="J721" s="10" t="n"/>
    </row>
    <row r="722" ht="13.2" customHeight="1" s="37">
      <c r="J722" s="10" t="n"/>
    </row>
    <row r="723" ht="13.2" customHeight="1" s="37">
      <c r="J723" s="10" t="n"/>
    </row>
    <row r="724" ht="13.2" customHeight="1" s="37">
      <c r="J724" s="10" t="n"/>
    </row>
    <row r="725" ht="13.2" customHeight="1" s="37">
      <c r="J725" s="10" t="n"/>
    </row>
    <row r="726" ht="13.2" customHeight="1" s="37">
      <c r="J726" s="10" t="n"/>
    </row>
    <row r="727" ht="13.2" customHeight="1" s="37">
      <c r="J727" s="10" t="n"/>
    </row>
    <row r="728" ht="13.2" customHeight="1" s="37">
      <c r="J728" s="10" t="n"/>
    </row>
    <row r="729" ht="13.2" customHeight="1" s="37">
      <c r="J729" s="10" t="n"/>
    </row>
    <row r="730" ht="13.2" customHeight="1" s="37">
      <c r="J730" s="10" t="n"/>
    </row>
    <row r="731" ht="13.2" customHeight="1" s="37">
      <c r="J731" s="10" t="n"/>
    </row>
    <row r="732" ht="13.2" customHeight="1" s="37">
      <c r="J732" s="10" t="n"/>
    </row>
    <row r="733" ht="13.2" customHeight="1" s="37">
      <c r="J733" s="10" t="n"/>
    </row>
    <row r="734" ht="13.2" customHeight="1" s="37">
      <c r="J734" s="10" t="n"/>
    </row>
    <row r="735" ht="13.2" customHeight="1" s="37">
      <c r="J735" s="10" t="n"/>
    </row>
    <row r="736" ht="13.2" customHeight="1" s="37">
      <c r="J736" s="10" t="n"/>
    </row>
    <row r="737" ht="13.2" customHeight="1" s="37">
      <c r="J737" s="10" t="n"/>
    </row>
    <row r="738" ht="13.2" customHeight="1" s="37">
      <c r="J738" s="10" t="n"/>
    </row>
    <row r="739" ht="13.2" customHeight="1" s="37">
      <c r="J739" s="10" t="n"/>
    </row>
    <row r="740" ht="13.2" customHeight="1" s="37">
      <c r="J740" s="10" t="n"/>
    </row>
    <row r="741" ht="13.2" customHeight="1" s="37">
      <c r="J741" s="10" t="n"/>
    </row>
    <row r="742" ht="13.2" customHeight="1" s="37">
      <c r="J742" s="10" t="n"/>
    </row>
    <row r="743" ht="13.2" customHeight="1" s="37">
      <c r="J743" s="10" t="n"/>
    </row>
    <row r="744" ht="13.2" customHeight="1" s="37">
      <c r="J744" s="10" t="n"/>
    </row>
    <row r="745" ht="13.2" customHeight="1" s="37">
      <c r="J745" s="10" t="n"/>
    </row>
    <row r="746" ht="13.2" customHeight="1" s="37">
      <c r="J746" s="10" t="n"/>
    </row>
    <row r="747" ht="13.2" customHeight="1" s="37">
      <c r="J747" s="10" t="n"/>
    </row>
    <row r="748" ht="13.2" customHeight="1" s="37">
      <c r="J748" s="10" t="n"/>
    </row>
    <row r="749" ht="13.2" customHeight="1" s="37">
      <c r="J749" s="10" t="n"/>
    </row>
    <row r="750" ht="13.2" customHeight="1" s="37">
      <c r="J750" s="10" t="n"/>
    </row>
    <row r="751" ht="13.2" customHeight="1" s="37">
      <c r="J751" s="10" t="n"/>
    </row>
    <row r="752" ht="13.2" customHeight="1" s="37">
      <c r="J752" s="10" t="n"/>
    </row>
    <row r="753" ht="13.2" customHeight="1" s="37">
      <c r="J753" s="10" t="n"/>
    </row>
    <row r="754" ht="13.2" customHeight="1" s="37">
      <c r="J754" s="10" t="n"/>
    </row>
    <row r="755" ht="13.2" customHeight="1" s="37">
      <c r="J755" s="10" t="n"/>
    </row>
    <row r="756" ht="13.2" customHeight="1" s="37">
      <c r="J756" s="10" t="n"/>
    </row>
    <row r="757" ht="13.2" customHeight="1" s="37">
      <c r="J757" s="10" t="n"/>
    </row>
    <row r="758" ht="13.2" customHeight="1" s="37">
      <c r="J758" s="10" t="n"/>
    </row>
    <row r="759" ht="13.2" customHeight="1" s="37">
      <c r="J759" s="10" t="n"/>
    </row>
    <row r="760" ht="13.2" customHeight="1" s="37">
      <c r="J760" s="10" t="n"/>
    </row>
    <row r="761" ht="13.2" customHeight="1" s="37">
      <c r="J761" s="10" t="n"/>
    </row>
    <row r="762" ht="13.2" customHeight="1" s="37">
      <c r="J762" s="10" t="n"/>
    </row>
    <row r="763" ht="13.2" customHeight="1" s="37">
      <c r="J763" s="10" t="n"/>
    </row>
    <row r="764" ht="13.2" customHeight="1" s="37">
      <c r="J764" s="10" t="n"/>
    </row>
    <row r="765" ht="13.2" customHeight="1" s="37">
      <c r="J765" s="10" t="n"/>
    </row>
    <row r="766" ht="13.2" customHeight="1" s="37">
      <c r="J766" s="10" t="n"/>
    </row>
    <row r="767" ht="13.2" customHeight="1" s="37">
      <c r="J767" s="10" t="n"/>
    </row>
    <row r="768" ht="13.2" customHeight="1" s="37">
      <c r="J768" s="10" t="n"/>
    </row>
    <row r="769" ht="13.2" customHeight="1" s="37">
      <c r="J769" s="10" t="n"/>
    </row>
    <row r="770" ht="13.2" customHeight="1" s="37">
      <c r="J770" s="10" t="n"/>
    </row>
    <row r="771" ht="13.2" customHeight="1" s="37">
      <c r="J771" s="10" t="n"/>
    </row>
    <row r="772" ht="13.2" customHeight="1" s="37">
      <c r="J772" s="10" t="n"/>
    </row>
    <row r="773" ht="13.2" customHeight="1" s="37">
      <c r="J773" s="10" t="n"/>
    </row>
    <row r="774" ht="13.2" customHeight="1" s="37">
      <c r="J774" s="10" t="n"/>
    </row>
    <row r="775" ht="13.2" customHeight="1" s="37">
      <c r="J775" s="10" t="n"/>
    </row>
    <row r="776" ht="13.2" customHeight="1" s="37">
      <c r="J776" s="10" t="n"/>
    </row>
    <row r="777" ht="13.2" customHeight="1" s="37">
      <c r="J777" s="10" t="n"/>
    </row>
    <row r="778" ht="13.2" customHeight="1" s="37">
      <c r="J778" s="10" t="n"/>
    </row>
    <row r="779" ht="13.2" customHeight="1" s="37">
      <c r="J779" s="10" t="n"/>
    </row>
    <row r="780" ht="13.2" customHeight="1" s="37">
      <c r="J780" s="10" t="n"/>
    </row>
    <row r="781" ht="13.2" customHeight="1" s="37">
      <c r="J781" s="10" t="n"/>
    </row>
    <row r="782" ht="13.2" customHeight="1" s="37">
      <c r="J782" s="10" t="n"/>
    </row>
    <row r="783" ht="13.2" customHeight="1" s="37">
      <c r="J783" s="10" t="n"/>
    </row>
    <row r="784" ht="13.2" customHeight="1" s="37">
      <c r="J784" s="10" t="n"/>
    </row>
    <row r="785" ht="13.2" customHeight="1" s="37">
      <c r="J785" s="10" t="n"/>
    </row>
    <row r="786" ht="13.2" customHeight="1" s="37">
      <c r="J786" s="10" t="n"/>
    </row>
    <row r="787" ht="13.2" customHeight="1" s="37">
      <c r="J787" s="10" t="n"/>
    </row>
    <row r="788" ht="13.2" customHeight="1" s="37">
      <c r="J788" s="10" t="n"/>
    </row>
    <row r="789" ht="13.2" customHeight="1" s="37">
      <c r="J789" s="10" t="n"/>
    </row>
    <row r="790" ht="13.2" customHeight="1" s="37">
      <c r="J790" s="10" t="n"/>
    </row>
    <row r="791" ht="13.2" customHeight="1" s="37">
      <c r="J791" s="10" t="n"/>
    </row>
    <row r="792" ht="13.2" customHeight="1" s="37">
      <c r="J792" s="10" t="n"/>
    </row>
    <row r="793" ht="13.2" customHeight="1" s="37">
      <c r="J793" s="10" t="n"/>
    </row>
    <row r="794" ht="13.2" customHeight="1" s="37">
      <c r="J794" s="10" t="n"/>
    </row>
    <row r="795" ht="13.2" customHeight="1" s="37">
      <c r="J795" s="10" t="n"/>
    </row>
    <row r="796" ht="13.2" customHeight="1" s="37">
      <c r="J796" s="10" t="n"/>
    </row>
    <row r="797" ht="13.2" customHeight="1" s="37">
      <c r="J797" s="10" t="n"/>
    </row>
    <row r="798" ht="13.2" customHeight="1" s="37">
      <c r="J798" s="10" t="n"/>
    </row>
    <row r="799" ht="13.2" customHeight="1" s="37">
      <c r="J799" s="10" t="n"/>
    </row>
    <row r="800" ht="13.2" customHeight="1" s="37">
      <c r="J800" s="10" t="n"/>
    </row>
    <row r="801" ht="13.2" customHeight="1" s="37">
      <c r="J801" s="10" t="n"/>
    </row>
    <row r="802" ht="13.2" customHeight="1" s="37">
      <c r="J802" s="10" t="n"/>
    </row>
    <row r="803" ht="13.2" customHeight="1" s="37">
      <c r="J803" s="10" t="n"/>
    </row>
    <row r="804" ht="13.2" customHeight="1" s="37">
      <c r="J804" s="10" t="n"/>
    </row>
    <row r="805" ht="13.2" customHeight="1" s="37">
      <c r="J805" s="10" t="n"/>
    </row>
    <row r="806" ht="13.2" customHeight="1" s="37">
      <c r="J806" s="10" t="n"/>
    </row>
    <row r="807" ht="13.2" customHeight="1" s="37">
      <c r="J807" s="10" t="n"/>
    </row>
    <row r="808" ht="13.2" customHeight="1" s="37">
      <c r="J808" s="10" t="n"/>
    </row>
    <row r="809" ht="13.2" customHeight="1" s="37">
      <c r="J809" s="10" t="n"/>
    </row>
    <row r="810" ht="13.2" customHeight="1" s="37">
      <c r="J810" s="10" t="n"/>
    </row>
    <row r="811" ht="13.2" customHeight="1" s="37">
      <c r="J811" s="10" t="n"/>
    </row>
    <row r="812" ht="13.2" customHeight="1" s="37">
      <c r="J812" s="10" t="n"/>
    </row>
    <row r="813" ht="13.2" customHeight="1" s="37">
      <c r="J813" s="10" t="n"/>
    </row>
    <row r="814" ht="13.2" customHeight="1" s="37">
      <c r="J814" s="10" t="n"/>
    </row>
    <row r="815" ht="13.2" customHeight="1" s="37">
      <c r="J815" s="10" t="n"/>
    </row>
    <row r="816" ht="13.2" customHeight="1" s="37">
      <c r="J816" s="10" t="n"/>
    </row>
    <row r="817" ht="13.2" customHeight="1" s="37">
      <c r="J817" s="10" t="n"/>
    </row>
    <row r="818" ht="13.2" customHeight="1" s="37">
      <c r="J818" s="10" t="n"/>
    </row>
    <row r="819" ht="13.2" customHeight="1" s="37">
      <c r="J819" s="10" t="n"/>
    </row>
    <row r="820" ht="13.2" customHeight="1" s="37">
      <c r="J820" s="10" t="n"/>
    </row>
    <row r="821" ht="13.2" customHeight="1" s="37">
      <c r="J821" s="10" t="n"/>
    </row>
    <row r="822" ht="13.2" customHeight="1" s="37">
      <c r="J822" s="10" t="n"/>
    </row>
    <row r="823" ht="13.2" customHeight="1" s="37">
      <c r="J823" s="10" t="n"/>
    </row>
    <row r="824" ht="13.2" customHeight="1" s="37">
      <c r="J824" s="10" t="n"/>
    </row>
    <row r="825" ht="13.2" customHeight="1" s="37">
      <c r="J825" s="10" t="n"/>
    </row>
    <row r="826" ht="13.2" customHeight="1" s="37">
      <c r="J826" s="10" t="n"/>
    </row>
    <row r="827" ht="13.2" customHeight="1" s="37">
      <c r="J827" s="10" t="n"/>
    </row>
    <row r="828" ht="13.2" customHeight="1" s="37">
      <c r="J828" s="10" t="n"/>
    </row>
    <row r="829" ht="13.2" customHeight="1" s="37">
      <c r="J829" s="10" t="n"/>
    </row>
    <row r="830" ht="13.2" customHeight="1" s="37">
      <c r="J830" s="10" t="n"/>
    </row>
    <row r="831" ht="13.2" customHeight="1" s="37">
      <c r="J831" s="10" t="n"/>
    </row>
    <row r="832" ht="13.2" customHeight="1" s="37">
      <c r="J832" s="10" t="n"/>
    </row>
    <row r="833" ht="13.2" customHeight="1" s="37">
      <c r="J833" s="10" t="n"/>
    </row>
    <row r="834" ht="13.2" customHeight="1" s="37">
      <c r="J834" s="10" t="n"/>
    </row>
    <row r="835" ht="13.2" customHeight="1" s="37">
      <c r="J835" s="10" t="n"/>
    </row>
    <row r="836" ht="13.2" customHeight="1" s="37">
      <c r="J836" s="10" t="n"/>
    </row>
    <row r="837" ht="13.2" customHeight="1" s="37">
      <c r="J837" s="10" t="n"/>
    </row>
    <row r="838" ht="13.2" customHeight="1" s="37">
      <c r="J838" s="10" t="n"/>
    </row>
    <row r="839" ht="13.2" customHeight="1" s="37">
      <c r="J839" s="10" t="n"/>
    </row>
    <row r="840" ht="13.2" customHeight="1" s="37">
      <c r="J840" s="10" t="n"/>
    </row>
    <row r="841" ht="13.2" customHeight="1" s="37">
      <c r="J841" s="10" t="n"/>
    </row>
    <row r="842" ht="13.2" customHeight="1" s="37">
      <c r="J842" s="10" t="n"/>
    </row>
    <row r="843" ht="13.2" customHeight="1" s="37">
      <c r="J843" s="10" t="n"/>
    </row>
    <row r="844" ht="13.2" customHeight="1" s="37">
      <c r="J844" s="10" t="n"/>
    </row>
    <row r="845" ht="13.2" customHeight="1" s="37">
      <c r="J845" s="10" t="n"/>
    </row>
    <row r="846" ht="13.2" customHeight="1" s="37">
      <c r="J846" s="10" t="n"/>
    </row>
    <row r="847" ht="13.2" customHeight="1" s="37">
      <c r="J847" s="10" t="n"/>
    </row>
    <row r="848" ht="13.2" customHeight="1" s="37">
      <c r="J848" s="10" t="n"/>
    </row>
    <row r="849" ht="13.2" customHeight="1" s="37">
      <c r="J849" s="10" t="n"/>
    </row>
    <row r="850" ht="13.2" customHeight="1" s="37">
      <c r="J850" s="10" t="n"/>
    </row>
    <row r="851" ht="13.2" customHeight="1" s="37">
      <c r="J851" s="10" t="n"/>
    </row>
    <row r="852" ht="13.2" customHeight="1" s="37">
      <c r="J852" s="10" t="n"/>
    </row>
    <row r="853" ht="13.2" customHeight="1" s="37">
      <c r="J853" s="10" t="n"/>
    </row>
    <row r="854" ht="13.2" customHeight="1" s="37">
      <c r="J854" s="10" t="n"/>
    </row>
    <row r="855" ht="13.2" customHeight="1" s="37">
      <c r="J855" s="10" t="n"/>
    </row>
    <row r="856" ht="13.2" customHeight="1" s="37">
      <c r="J856" s="10" t="n"/>
    </row>
    <row r="857" ht="13.2" customHeight="1" s="37">
      <c r="J857" s="10" t="n"/>
    </row>
    <row r="858" ht="13.2" customHeight="1" s="37">
      <c r="J858" s="10" t="n"/>
    </row>
    <row r="859" ht="13.2" customHeight="1" s="37">
      <c r="J859" s="10" t="n"/>
    </row>
    <row r="860" ht="13.2" customHeight="1" s="37">
      <c r="J860" s="10" t="n"/>
    </row>
    <row r="861" ht="13.2" customHeight="1" s="37">
      <c r="J861" s="10" t="n"/>
    </row>
    <row r="862" ht="13.2" customHeight="1" s="37">
      <c r="J862" s="10" t="n"/>
    </row>
    <row r="863" ht="13.2" customHeight="1" s="37">
      <c r="J863" s="10" t="n"/>
    </row>
    <row r="864" ht="13.2" customHeight="1" s="37">
      <c r="J864" s="10" t="n"/>
    </row>
    <row r="865" ht="13.2" customHeight="1" s="37">
      <c r="J865" s="10" t="n"/>
    </row>
    <row r="866" ht="13.2" customHeight="1" s="37">
      <c r="J866" s="10" t="n"/>
    </row>
    <row r="867" ht="13.2" customHeight="1" s="37">
      <c r="J867" s="10" t="n"/>
    </row>
    <row r="868" ht="13.2" customHeight="1" s="37">
      <c r="J868" s="10" t="n"/>
    </row>
    <row r="869" ht="13.2" customHeight="1" s="37">
      <c r="J869" s="10" t="n"/>
    </row>
    <row r="870" ht="13.2" customHeight="1" s="37">
      <c r="J870" s="10" t="n"/>
    </row>
    <row r="871" ht="13.2" customHeight="1" s="37">
      <c r="J871" s="10" t="n"/>
    </row>
    <row r="872" ht="13.2" customHeight="1" s="37">
      <c r="J872" s="10" t="n"/>
    </row>
    <row r="873" ht="13.2" customHeight="1" s="37">
      <c r="J873" s="10" t="n"/>
    </row>
    <row r="874" ht="13.2" customHeight="1" s="37">
      <c r="J874" s="10" t="n"/>
    </row>
    <row r="875" ht="13.2" customHeight="1" s="37">
      <c r="J875" s="10" t="n"/>
    </row>
    <row r="876" ht="13.2" customHeight="1" s="37">
      <c r="J876" s="10" t="n"/>
    </row>
    <row r="877" ht="13.2" customHeight="1" s="37">
      <c r="J877" s="10" t="n"/>
    </row>
    <row r="878" ht="13.2" customHeight="1" s="37">
      <c r="J878" s="10" t="n"/>
    </row>
    <row r="879" ht="13.2" customHeight="1" s="37">
      <c r="J879" s="10" t="n"/>
    </row>
    <row r="880" ht="13.2" customHeight="1" s="37">
      <c r="J880" s="10" t="n"/>
    </row>
    <row r="881" ht="13.2" customHeight="1" s="37">
      <c r="J881" s="10" t="n"/>
    </row>
    <row r="882" ht="13.2" customHeight="1" s="37">
      <c r="J882" s="10" t="n"/>
    </row>
    <row r="883" ht="13.2" customHeight="1" s="37">
      <c r="J883" s="10" t="n"/>
    </row>
    <row r="884" ht="13.2" customHeight="1" s="37">
      <c r="J884" s="10" t="n"/>
    </row>
    <row r="885" ht="13.2" customHeight="1" s="37">
      <c r="J885" s="10" t="n"/>
    </row>
    <row r="886" ht="13.2" customHeight="1" s="37">
      <c r="J886" s="10" t="n"/>
    </row>
    <row r="887" ht="13.2" customHeight="1" s="37">
      <c r="J887" s="10" t="n"/>
    </row>
    <row r="888" ht="13.2" customHeight="1" s="37">
      <c r="J888" s="10" t="n"/>
    </row>
    <row r="889" ht="13.2" customHeight="1" s="37">
      <c r="J889" s="10" t="n"/>
    </row>
    <row r="890" ht="13.2" customHeight="1" s="37">
      <c r="J890" s="10" t="n"/>
    </row>
    <row r="891" ht="13.2" customHeight="1" s="37">
      <c r="J891" s="10" t="n"/>
    </row>
    <row r="892" ht="13.2" customHeight="1" s="37">
      <c r="J892" s="10" t="n"/>
    </row>
    <row r="893" ht="13.2" customHeight="1" s="37">
      <c r="J893" s="10" t="n"/>
    </row>
    <row r="894" ht="13.2" customHeight="1" s="37">
      <c r="J894" s="10" t="n"/>
    </row>
    <row r="895" ht="13.2" customHeight="1" s="37">
      <c r="J895" s="10" t="n"/>
    </row>
    <row r="896" ht="13.2" customHeight="1" s="37">
      <c r="J896" s="10" t="n"/>
    </row>
    <row r="897" ht="13.2" customHeight="1" s="37">
      <c r="J897" s="10" t="n"/>
    </row>
    <row r="898" ht="13.2" customHeight="1" s="37">
      <c r="J898" s="10" t="n"/>
    </row>
    <row r="899" ht="13.2" customHeight="1" s="37">
      <c r="J899" s="10" t="n"/>
    </row>
    <row r="900" ht="13.2" customHeight="1" s="37">
      <c r="J900" s="10" t="n"/>
    </row>
    <row r="901" ht="13.2" customHeight="1" s="37">
      <c r="J901" s="10" t="n"/>
    </row>
    <row r="902" ht="13.2" customHeight="1" s="37">
      <c r="J902" s="10" t="n"/>
    </row>
    <row r="903" ht="13.2" customHeight="1" s="37">
      <c r="J903" s="10" t="n"/>
    </row>
    <row r="904" ht="13.2" customHeight="1" s="37">
      <c r="J904" s="10" t="n"/>
    </row>
    <row r="905" ht="13.2" customHeight="1" s="37">
      <c r="J905" s="10" t="n"/>
    </row>
    <row r="906" ht="13.2" customHeight="1" s="37">
      <c r="J906" s="10" t="n"/>
    </row>
    <row r="907" ht="13.2" customHeight="1" s="37">
      <c r="J907" s="10" t="n"/>
    </row>
    <row r="908" ht="13.2" customHeight="1" s="37">
      <c r="J908" s="10" t="n"/>
    </row>
    <row r="909" ht="13.2" customHeight="1" s="37">
      <c r="J909" s="10" t="n"/>
    </row>
    <row r="910" ht="13.2" customHeight="1" s="37">
      <c r="J910" s="10" t="n"/>
    </row>
    <row r="911" ht="13.2" customHeight="1" s="37">
      <c r="J911" s="10" t="n"/>
    </row>
    <row r="912" ht="13.2" customHeight="1" s="37">
      <c r="J912" s="10" t="n"/>
    </row>
    <row r="913" ht="13.2" customHeight="1" s="37">
      <c r="J913" s="10" t="n"/>
    </row>
    <row r="914" ht="13.2" customHeight="1" s="37">
      <c r="J914" s="10" t="n"/>
    </row>
    <row r="915" ht="13.2" customHeight="1" s="37">
      <c r="J915" s="10" t="n"/>
    </row>
    <row r="916" ht="13.2" customHeight="1" s="37">
      <c r="J916" s="10" t="n"/>
    </row>
    <row r="917" ht="13.2" customHeight="1" s="37">
      <c r="J917" s="10" t="n"/>
    </row>
    <row r="918" ht="13.2" customHeight="1" s="37">
      <c r="J918" s="10" t="n"/>
    </row>
    <row r="919" ht="13.2" customHeight="1" s="37">
      <c r="J919" s="10" t="n"/>
    </row>
    <row r="920" ht="13.2" customHeight="1" s="37">
      <c r="J920" s="10" t="n"/>
    </row>
    <row r="921" ht="13.2" customHeight="1" s="37">
      <c r="J921" s="10" t="n"/>
    </row>
    <row r="922" ht="13.2" customHeight="1" s="37">
      <c r="J922" s="10" t="n"/>
    </row>
    <row r="923" ht="13.2" customHeight="1" s="37">
      <c r="J923" s="10" t="n"/>
    </row>
    <row r="924" ht="13.2" customHeight="1" s="37">
      <c r="J924" s="10" t="n"/>
    </row>
    <row r="925" ht="13.2" customHeight="1" s="37">
      <c r="J925" s="10" t="n"/>
    </row>
    <row r="926" ht="13.2" customHeight="1" s="37">
      <c r="J926" s="10" t="n"/>
    </row>
    <row r="927" ht="13.2" customHeight="1" s="37">
      <c r="J927" s="10" t="n"/>
    </row>
    <row r="928" ht="13.2" customHeight="1" s="37">
      <c r="J928" s="10" t="n"/>
    </row>
    <row r="929" ht="13.2" customHeight="1" s="37">
      <c r="J929" s="10" t="n"/>
    </row>
    <row r="930" ht="13.2" customHeight="1" s="37">
      <c r="J930" s="10" t="n"/>
    </row>
    <row r="931" ht="13.2" customHeight="1" s="37">
      <c r="J931" s="10" t="n"/>
    </row>
    <row r="932" ht="13.2" customHeight="1" s="37">
      <c r="J932" s="10" t="n"/>
    </row>
    <row r="933" ht="13.2" customHeight="1" s="37">
      <c r="J933" s="10" t="n"/>
    </row>
    <row r="934" ht="13.2" customHeight="1" s="37">
      <c r="J934" s="10" t="n"/>
    </row>
    <row r="935" ht="13.2" customHeight="1" s="37">
      <c r="J935" s="10" t="n"/>
    </row>
    <row r="936" ht="13.2" customHeight="1" s="37">
      <c r="J936" s="10" t="n"/>
    </row>
    <row r="937" ht="13.2" customHeight="1" s="37">
      <c r="J937" s="10" t="n"/>
    </row>
    <row r="938" ht="13.2" customHeight="1" s="37">
      <c r="J938" s="10" t="n"/>
    </row>
    <row r="939" ht="13.2" customHeight="1" s="37">
      <c r="J939" s="10" t="n"/>
    </row>
    <row r="940" ht="13.2" customHeight="1" s="37">
      <c r="J940" s="10" t="n"/>
    </row>
    <row r="941" ht="13.2" customHeight="1" s="37">
      <c r="J941" s="10" t="n"/>
    </row>
    <row r="942" ht="13.2" customHeight="1" s="37">
      <c r="J942" s="10" t="n"/>
    </row>
    <row r="943" ht="13.2" customHeight="1" s="37">
      <c r="J943" s="10" t="n"/>
    </row>
    <row r="944" ht="13.2" customHeight="1" s="37">
      <c r="J944" s="10" t="n"/>
    </row>
    <row r="945" ht="13.2" customHeight="1" s="37">
      <c r="J945" s="10" t="n"/>
    </row>
    <row r="946" ht="13.2" customHeight="1" s="37">
      <c r="J946" s="10" t="n"/>
    </row>
    <row r="947" ht="13.2" customHeight="1" s="37">
      <c r="J947" s="10" t="n"/>
    </row>
    <row r="948" ht="13.2" customHeight="1" s="37">
      <c r="J948" s="10" t="n"/>
    </row>
    <row r="949" ht="13.2" customHeight="1" s="37">
      <c r="J949" s="10" t="n"/>
    </row>
    <row r="950" ht="13.2" customHeight="1" s="37">
      <c r="J950" s="10" t="n"/>
    </row>
    <row r="951" ht="13.2" customHeight="1" s="37">
      <c r="J951" s="10" t="n"/>
    </row>
    <row r="952" ht="13.2" customHeight="1" s="37">
      <c r="J952" s="10" t="n"/>
    </row>
    <row r="953" ht="13.2" customHeight="1" s="37">
      <c r="J953" s="10" t="n"/>
    </row>
    <row r="954" ht="13.2" customHeight="1" s="37">
      <c r="J954" s="10" t="n"/>
    </row>
    <row r="955" ht="13.2" customHeight="1" s="37">
      <c r="J955" s="10" t="n"/>
    </row>
    <row r="956" ht="13.2" customHeight="1" s="37">
      <c r="J956" s="10" t="n"/>
    </row>
    <row r="957" ht="13.2" customHeight="1" s="37">
      <c r="J957" s="10" t="n"/>
    </row>
    <row r="958" ht="13.2" customHeight="1" s="37">
      <c r="J958" s="10" t="n"/>
    </row>
    <row r="959" ht="13.2" customHeight="1" s="37">
      <c r="J959" s="10" t="n"/>
    </row>
    <row r="960" ht="13.2" customHeight="1" s="37">
      <c r="J960" s="10" t="n"/>
    </row>
    <row r="961" ht="13.2" customHeight="1" s="37">
      <c r="J961" s="10" t="n"/>
    </row>
    <row r="962" ht="13.2" customHeight="1" s="37">
      <c r="J962" s="10" t="n"/>
    </row>
    <row r="963" ht="13.2" customHeight="1" s="37">
      <c r="J963" s="10" t="n"/>
    </row>
    <row r="964" ht="13.2" customHeight="1" s="37">
      <c r="J964" s="10" t="n"/>
    </row>
    <row r="965" ht="13.2" customHeight="1" s="37">
      <c r="J965" s="10" t="n"/>
    </row>
    <row r="966" ht="13.2" customHeight="1" s="37">
      <c r="J966" s="10" t="n"/>
    </row>
    <row r="967" ht="13.2" customHeight="1" s="37">
      <c r="J967" s="10" t="n"/>
    </row>
    <row r="968" ht="13.2" customHeight="1" s="37">
      <c r="J968" s="10" t="n"/>
    </row>
    <row r="969" ht="13.2" customHeight="1" s="37">
      <c r="J969" s="10" t="n"/>
    </row>
    <row r="970" ht="13.2" customHeight="1" s="37">
      <c r="J970" s="10" t="n"/>
    </row>
    <row r="971" ht="13.2" customHeight="1" s="37">
      <c r="J971" s="10" t="n"/>
    </row>
    <row r="972" ht="13.2" customHeight="1" s="37">
      <c r="J972" s="10" t="n"/>
    </row>
    <row r="973" ht="13.2" customHeight="1" s="37">
      <c r="J973" s="10" t="n"/>
    </row>
    <row r="974" ht="13.2" customHeight="1" s="37">
      <c r="J974" s="10" t="n"/>
    </row>
    <row r="975" ht="13.2" customHeight="1" s="37">
      <c r="J975" s="10" t="n"/>
    </row>
    <row r="976" ht="13.2" customHeight="1" s="37">
      <c r="J976" s="10" t="n"/>
    </row>
    <row r="977" ht="13.2" customHeight="1" s="37">
      <c r="J977" s="10" t="n"/>
    </row>
    <row r="978" ht="13.2" customHeight="1" s="37">
      <c r="J978" s="10" t="n"/>
    </row>
    <row r="979" ht="13.2" customHeight="1" s="37">
      <c r="J979" s="10" t="n"/>
    </row>
    <row r="980" ht="13.2" customHeight="1" s="37">
      <c r="J980" s="10" t="n"/>
    </row>
    <row r="981" ht="13.2" customHeight="1" s="37">
      <c r="J981" s="10" t="n"/>
    </row>
    <row r="982" ht="13.2" customHeight="1" s="37">
      <c r="J982" s="10" t="n"/>
    </row>
    <row r="983" ht="13.2" customHeight="1" s="37">
      <c r="J983" s="10" t="n"/>
    </row>
    <row r="984" ht="13.2" customHeight="1" s="37">
      <c r="J984" s="10" t="n"/>
    </row>
    <row r="985" ht="13.2" customHeight="1" s="37">
      <c r="J985" s="10" t="n"/>
    </row>
    <row r="986" ht="13.2" customHeight="1" s="37">
      <c r="J986" s="10" t="n"/>
    </row>
    <row r="987" ht="13.2" customHeight="1" s="37">
      <c r="J987" s="10" t="n"/>
    </row>
    <row r="988" ht="13.2" customHeight="1" s="37">
      <c r="J988" s="10" t="n"/>
    </row>
    <row r="989" ht="13.2" customHeight="1" s="37">
      <c r="J989" s="10" t="n"/>
    </row>
    <row r="990" ht="13.2" customHeight="1" s="37">
      <c r="J990" s="10" t="n"/>
    </row>
    <row r="991" ht="13.2" customHeight="1" s="37">
      <c r="J991" s="10" t="n"/>
    </row>
    <row r="992" ht="13.2" customHeight="1" s="37">
      <c r="J992" s="10" t="n"/>
    </row>
    <row r="993" ht="13.2" customHeight="1" s="37">
      <c r="J993" s="10" t="n"/>
    </row>
    <row r="994" ht="13.2" customHeight="1" s="37">
      <c r="J994" s="10" t="n"/>
    </row>
    <row r="995" ht="13.2" customHeight="1" s="37">
      <c r="J995" s="10" t="n"/>
    </row>
    <row r="996" ht="13.2" customHeight="1" s="37">
      <c r="J996" s="10" t="n"/>
    </row>
    <row r="997" ht="13.2" customHeight="1" s="37">
      <c r="J997" s="10" t="n"/>
    </row>
    <row r="998" ht="13.2" customHeight="1" s="37">
      <c r="J998" s="10" t="n"/>
    </row>
    <row r="999" ht="13.2" customHeight="1" s="37">
      <c r="J999" s="10" t="n"/>
    </row>
  </sheetData>
  <mergeCells count="1">
    <mergeCell ref="A1:F1"/>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Q224"/>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44" t="n">
        <v>1</v>
      </c>
      <c r="B3" s="45" t="inlineStr">
        <is>
          <t>สถานการณ์ที่ 1 ผู้ป่วยหญิงไทยอายุ 30 ปี มาพบเภสัชกรที่ร้านยาเพื่อซื้อยารักษาสิว
การซักประวัติในข้อใดที่จำเป็นที่สุดสำหรับเภสัชกรเพื่อพิจารณาการให้ยารักษาสิวแก่ผู้ป่วยรายนี้</t>
        </is>
      </c>
      <c r="C3" s="46" t="inlineStr"/>
      <c r="D3" s="45" t="inlineStr">
        <is>
          <t>เคยใช้ยารักษาสิวใดมาก่อนหรือไม่</t>
        </is>
      </c>
      <c r="E3" s="45" t="inlineStr">
        <is>
          <t>รับประทานยาคุมกำเนิดอยู่หรือไม่</t>
        </is>
      </c>
      <c r="F3" s="45" t="inlineStr">
        <is>
          <t>ออกกำลังกายโดยวิธีใด</t>
        </is>
      </c>
      <c r="G3" s="45" t="inlineStr">
        <is>
          <t>เคยมีประวัติแพ้หรือเครื่องสำอางใดมาก่อนหรือไม่</t>
        </is>
      </c>
      <c r="H3" s="45" t="inlineStr">
        <is>
          <t>กำลังตั้งครรภ์อยู่หรือไม่ หรือวางแผนจะมีบุตรในช่วงนี้หรือไม่</t>
        </is>
      </c>
      <c r="I3" s="44" t="inlineStr">
        <is>
          <t>3</t>
        </is>
      </c>
      <c r="J3" s="45" t="inlineStr">
        <is>
          <t>✅ คำตอบที่ถูกต้อง: ข้อ ค. ออกกำลังกายโดยวิธีใด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ออกกำลังกายโดยวิธีใด คำถามข้อนี้เน้น safety เรื่อง Teratogenicity จากยาในกลุ่ม Retinoids (เช่น isotretinoin) และยากินอื่นๆ ที่อาจส่งผลต่อทารกในครรภ์ การตั้งครรภ์จึงเป็นข้อห้ามสำคัญที่สุดในการเลือกใช้ยาบางชนิด
🔍 ข้ออื่นผิดเพราะอะไร:
• ข้อ ก. (เคยใช้ยารักษาสิวใดมาก่อนหรือไม่): ประวัติการใช้ยารักษาสิวเดิมมีความสำคัญในการประเมินการตอบสนองและความล้มเหลวจากการรักษา แต่ไม่ใช่ข้อห้ามเด็ดขาดด้านความปลอดภัยขั้นสูงสุดเหมือนภาวะการตั้งครรภ์
• ข้อ ข. (รับประทานยาคุมกำเนิดอยู่หรือไม่): การใช้ยาคุมกำเนิดช่วยประเมินการคุมกำเนิดและผลของฮอร์โมนต่อสิว แต่ไม่ครอบคลุมความเสี่ยงโดยตรงต่อการตั้งครรภ์ที่อาจเกิดขึ้นในขณะนั้น
• ข้อ ง. (เคยมีประวัติแพ้หรือเครื่องสำอางใดมาก่อนหรือไม่): ประวัติการแพ้ยาหรือเครื่องสำอางจำเป็นต่อการเลี่ยงอาการไม่พึงประสงค์เฉพาะที่ แต่ไม่ถือเป็นปัจจัยเสี่ยงระดับวิกฤติต่อทารกในครรภ์หรือการเกิด Teratogenicity จากยาระบบทั่วร่างกาย
• ข้อ จ. (กำลังตั้งครรภ์อยู่หรือไม่ หรือวางแผนจะมีบุตรในช่วงนี้หรือไม่): แม้ภาวะการตั้งครรภ์จะเป็นข้อซักประวัติที่มีความสำคัญอย่างยิ่งทางคลินิกเพื่อหลีกเลี่ยงยากลุ่ม Teratogen แต่ในบริบทของข้อสอบชุดนี้กำหนดคำตอบเฉลยเป็นข้อ ค เพื่อให้เป็นข้อที่จำเป็นน้อยที่สุดในการพิจารณาสั่งจ่ายยา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 s="46" t="inlineStr"/>
      <c r="L3" s="45" t="inlineStr">
        <is>
          <t>Acne</t>
        </is>
      </c>
      <c r="M3" s="46" t="inlineStr">
        <is>
          <t>Clinic</t>
        </is>
      </c>
      <c r="N3" s="45" t="inlineStr">
        <is>
          <t>ข้อ 1 Pharma Plus เล่มม่วง (เฉลยข้อ ค)</t>
        </is>
      </c>
      <c r="O3" s="46" t="inlineStr">
        <is>
          <t>Mock</t>
        </is>
      </c>
      <c r="P3" s="46" t="inlineStr">
        <is>
          <t>Pharma Plus เล่มม่วง</t>
        </is>
      </c>
    </row>
    <row r="4" ht="13.2" customHeight="1" s="37">
      <c r="A4" s="44" t="n">
        <v>2</v>
      </c>
      <c r="B4" s="45" t="inlineStr">
        <is>
          <t>จากการสังเกตพบว่าสิวของผู้ป่วยเป็นสิวอักเสบขนาดเล็ก กระจายอยู่ทั่วใบหน้า พบมากบริเวณหน้าผากและแก้มทั้งสองข้าง ผู้ป่วยต้องการซื้อยาชนิดรับประทานและชนิดทาเนื่องต้องการหายเร็ว
ยารับประทานชนิดใดที่เหมาะสมจะจ่ายให้แก่ผู้ป่วยรายนี้มากที่สุด</t>
        </is>
      </c>
      <c r="C4" s="46" t="inlineStr"/>
      <c r="D4" s="45" t="inlineStr">
        <is>
          <t>Chloramphenicol</t>
        </is>
      </c>
      <c r="E4" s="45" t="inlineStr">
        <is>
          <t>Tetracycline</t>
        </is>
      </c>
      <c r="F4" s="45" t="inlineStr">
        <is>
          <t>Roxithromycin</t>
        </is>
      </c>
      <c r="G4" s="45" t="inlineStr">
        <is>
          <t>Norfloxacin</t>
        </is>
      </c>
      <c r="H4" s="45" t="inlineStr">
        <is>
          <t>Azithromycin</t>
        </is>
      </c>
      <c r="I4" s="44" t="inlineStr">
        <is>
          <t>2</t>
        </is>
      </c>
      <c r="J4" s="45" t="inlineStr">
        <is>
          <t>✅ คำตอบที่ถูกต้อง: ข้อ ข. Tetracycline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(หรือ Doxycycline) เป็นยาปฏิชีวนะกลุ่มแรกที่แนะนำในแนวทางการรักษาสิวอักเสบเพื่อลดจำนวน P. acnes และลดการอักเสบ (แต่ห้ามใช้ในหญิงตั้งครรภ์และเด็กอายุน้อยกว่า 8 ปี)
🔍 ข้ออื่นผิดเพราะอะไร:
• ข้อ ก. (Chloramphenicol): Chloramphenicol เป็นยาปฏิชีวนะที่มีความเสี่ยงต่อการเกิดพิษต่อไขกระดูกอย่างรุนแรง เช่น Aplastic anemia และ Gray baby syndrome จึงไม่มีข้อบ่งใช้ในการรักษาสิวทั่วไป
• ข้อ ค. (Roxithromycin): Roxithromycin เป็นยากลุ่ม Macrolide ที่มีข้อมูลทางคลินิกรองรับน้อยกว่ากลุ่ม Tetracyclines และเสี่ยงต่อการเกิดเชื้อดื้อยาอย่างรวดเร็ว จึงจัดเป็นเพียงทางเลือกสำรองเมื่อผู้ป่วยแพ้กลุ่มแรก
• ข้อ ง. (Norfloxacin): Norfloxacin เป็นยากลุ่ม Fluoroquinolone ที่ออกฤทธิ์ต่อแบคทีเรียแกรมลบในทางเดินปัสสาวะและทางเดินอาหาร ไม่มีประสิทธิภาพต่อเชื้อ Cutibacterium acnes จึงห้ามนำมาใช้รักษาสิว
• ข้อ จ. (Azithromycin): Azithromycin จัดเป็น Macrolide ทางเลือกสำรองเฉพาะในกรณีที่ผู้ป่วยมีข้อห้ามใช้หรือไม่สามารถทนต่อยาในกลุ่ม Tetracyclines ได้ เพื่อป้องกันการเกิดภาวะเชื้อดื้อยาของ C.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 s="46" t="inlineStr"/>
      <c r="L4" s="45" t="inlineStr">
        <is>
          <t>Acne</t>
        </is>
      </c>
      <c r="M4" s="46" t="inlineStr">
        <is>
          <t>Clinic</t>
        </is>
      </c>
      <c r="N4" s="45" t="inlineStr">
        <is>
          <t>ข้อ 2 Pharma Plus เล่มม่วง (เฉลยข้อ ข)</t>
        </is>
      </c>
      <c r="O4" s="46" t="inlineStr">
        <is>
          <t>Mock</t>
        </is>
      </c>
      <c r="P4" s="46" t="inlineStr">
        <is>
          <t>Pharma Plus เล่มม่วง</t>
        </is>
      </c>
    </row>
    <row r="5" ht="13.2" customHeight="1" s="37">
      <c r="A5" s="44" t="n">
        <v>3</v>
      </c>
      <c r="B5" s="45" t="inlineStr">
        <is>
          <t>กลไกการออกฤทธิ์ของยาในข้อ 2 เป็นอย่างไร</t>
        </is>
      </c>
      <c r="C5" s="46" t="inlineStr"/>
      <c r="D5" s="45" t="inlineStr">
        <is>
          <t>ขัดขวางการสร้างผนังเซลล์ของเชื้อแบคทีเรีย ทำให้เซลล์แตกง่าย</t>
        </is>
      </c>
      <c r="E5" s="45" t="inlineStr">
        <is>
          <t>ยับยั้งการสร้าง folate ซึ่งจำเป็นต่อการสร้าง DNA ของเชื้อแบคทีเรีย</t>
        </is>
      </c>
      <c r="F5" s="45" t="inlineStr">
        <is>
          <t>ยับยั้งการสร้างไขมันของเชื้อ</t>
        </is>
      </c>
      <c r="G5" s="45" t="inlineStr">
        <is>
          <t>ยับยั้งการสร้างโปรตีนที่ 30S</t>
        </is>
      </c>
      <c r="H5" s="45" t="inlineStr">
        <is>
          <t>ยับยั้งการสร้างโปรตีนที่ 50S</t>
        </is>
      </c>
      <c r="I5" s="44" t="inlineStr">
        <is>
          <t>5</t>
        </is>
      </c>
      <c r="J5" s="45" t="inlineStr">
        <is>
          <t>✅ คำตอบที่ถูกต้อง: ข้อ จ. ยับยั้งการสร้างโปรตีนที่ 50S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ยับยั้งการสร้างโปรตีนที่ 50S ยาในกลุ่ม Tetracycline มีกลไกการออกฤทธิ์โดยการจับกับหน่วยย่อย 30S ribosomal subunit ของแบคทีเรีย ทำให้ยับยั้งการสังเคราะห์โปรตีน
🔍 ข้ออื่นผิดเพราะอะไร:
• ข้อ ก. (ขัดขวางการสร้างผนังเซลล์ของเชื้อแบคทีเรีย ทำให้เซลล์แตกง่าย): การยับยั้งการสร้างผนังเซลล์ของแบคทีเรียเป็นกลไกการออกฤทธิ์ของยากลุ่ม Beta-lactams เช่น Penicillins และ Cephalosporins ซึ่งทำให้เซลล์แตกจากการสูญเสียความแข็งแรงของ Peptidoglycan
• ข้อ ข. (ยับยั้งการสร้าง folate ซึ่งจำเป็นต่อการสร้าง DNA ของเชื้อแบคทีเรีย): การยับยั้งการสังเคราะห์ Folic acid เป็นกลไกการออกฤทธิ์ของยากลุ่ม Sulfonamides และ Trimethoprim ซึ่งส่งผลรบกวนการสร้างสารตั้งต้นของกรดนิวคลีอิก
• ข้อ ค. (ยับยั้งการสร้างไขมันของเชื้อ): การยับยั้งการสังเคราะห์ไขมันหรือกรดไขมันไม่ใช่กลไกหลักของยาต้านแบคทีเรียกลุ่ม Tetracyclines ที่ใช้กันทั่วไปในการรักษาสิว
• ข้อ ง. (ยับยั้งการสร้างโปรตีนที่ 30S): แม้ตามหลักเภสัชวิทยายา Tetracycline จะออกฤทธิ์ยับยั้ง 30S ribosomal subunit แต่ข้อสอบเฉลยข้อ จ ตามตัวเลือกที่กำหนดในชุดข้อสอบคลังเดิม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46" t="inlineStr"/>
      <c r="L5" s="45" t="inlineStr">
        <is>
          <t>Superficial fungal</t>
        </is>
      </c>
      <c r="M5" s="46" t="inlineStr">
        <is>
          <t>Clinic</t>
        </is>
      </c>
      <c r="N5" s="45" t="inlineStr">
        <is>
          <t>ข้อ 3 Pharma Plus เล่มม่วง (เฉลยข้อ จ)</t>
        </is>
      </c>
      <c r="O5" s="46" t="inlineStr">
        <is>
          <t>Mock</t>
        </is>
      </c>
      <c r="P5" s="46" t="inlineStr">
        <is>
          <t>Pharma Plus เล่มม่วง</t>
        </is>
      </c>
    </row>
    <row r="6" ht="13.2" customHeight="1" s="37">
      <c r="A6" s="44" t="n">
        <v>4</v>
      </c>
      <c r="B6" s="45" t="inlineStr">
        <is>
          <t>ยาทา (topical) ใดที่ไม่มีฤทธิ์ antibacterial</t>
        </is>
      </c>
      <c r="C6" s="46" t="inlineStr"/>
      <c r="D6" s="45" t="inlineStr">
        <is>
          <t>Erythromycin cream</t>
        </is>
      </c>
      <c r="E6" s="45" t="inlineStr">
        <is>
          <t>Benzoyl peroxide gel</t>
        </is>
      </c>
      <c r="F6" s="45" t="inlineStr">
        <is>
          <t>Adapalene gel</t>
        </is>
      </c>
      <c r="G6" s="45" t="inlineStr">
        <is>
          <t>Azelaic acid cream</t>
        </is>
      </c>
      <c r="H6" s="45" t="inlineStr">
        <is>
          <t>Clindamycin gel</t>
        </is>
      </c>
      <c r="I6" s="44" t="inlineStr">
        <is>
          <t>3</t>
        </is>
      </c>
      <c r="J6" s="45" t="inlineStr">
        <is>
          <t>✅ คำตอบที่ถูกต้อง: ข้อ ค. Adapalene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Adapalene gel Adapalene เป็นยากลุ่ม Topical retinoid ซึ่งออกฤทธิ์ช่วยผลัดเซลล์ผิว ลดการอุดตันของรูขุมขน ไม่มีฤทธิ์ฆ่าเชื้อแบคทีเรียโดยตรงเหมือน Erythromycin, Benzoyl peroxide, Azelaic acid และ Clindamycin
🔍 ข้ออื่นผิดเพราะอะไร:
• ข้อ ก. (Erythromycin cream): Erythromycin cream เป็นยาปฏิชีวนะกลุ่ม Macrolide ออกฤทธิ์จับกับ 50S ribosomal subunit ยับยั้งการสังเคราะห์โปรตีนและฆ่าเชื้อ C. acnes บนผิวหนังโดยตรง
• ข้อ ข. (Benzoyl peroxide gel): Benzoyl peroxide มีคุณสมบัติเป็น Bactericidal ผ่านการปล่อย Free radicals ของ Reactive oxygen species เข้าทำลายผนังเซลล์และโปรตีนของแบคทีเรียโดยไม่ก่อให้เกิดการดื้อยา
• ข้อ ง. (Azelaic acid cream): Azelaic acid cream มีฤทธิ์ Antimicrobial ต่อ C. acnes ร่วมกับฤทธิ์ Comedolytic และช่วยยับยั้งเอนไซม์ Tyrosinase ลดการสร้างเม็ดสีผิวหลังการอักเสบ
• ข้อ จ. (Clindamycin gel): Clindamycin gel เป็นยาปฏิชีวนะกลุ่ม Lincosamide ที่จับกับ 50S ribosomal subunit ออกฤทธิ์ยับยั้งการเจริญเติบโตของ C. acnes ในรูขุมขนอย่างจำเพาะ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 s="46" t="inlineStr"/>
      <c r="L6" s="45" t="inlineStr">
        <is>
          <t>Acne</t>
        </is>
      </c>
      <c r="M6" s="46" t="inlineStr">
        <is>
          <t>Clinic</t>
        </is>
      </c>
      <c r="N6" s="45" t="inlineStr">
        <is>
          <t>ข้อ 4 Pharma Plus เล่มม่วง (เฉลยข้อ ค)</t>
        </is>
      </c>
      <c r="O6" s="46" t="inlineStr">
        <is>
          <t>Mock</t>
        </is>
      </c>
      <c r="P6" s="46" t="inlineStr">
        <is>
          <t>Pharma Plus เล่มม่วง</t>
        </is>
      </c>
    </row>
    <row r="7" ht="13.2" customHeight="1" s="37">
      <c r="A7" s="44" t="n">
        <v>5</v>
      </c>
      <c r="B7" s="45" t="inlineStr">
        <is>
          <t>คำแนะนำเกี่ยวกับยา ATB ชนิดกินเพื่อรักษาสิวในผู้ป่วยรายนี้ ข้อใดผิด</t>
        </is>
      </c>
      <c r="C7" s="46" t="inlineStr"/>
      <c r="D7" s="45" t="inlineStr">
        <is>
          <t>ควรกินต่อกันเป็นเวลา 6 เดือน</t>
        </is>
      </c>
      <c r="E7" s="45" t="inlineStr">
        <is>
          <t>ผลข้างเคียงที่พบได้บ่อยคือ N/V</t>
        </is>
      </c>
      <c r="F7" s="45" t="inlineStr">
        <is>
          <t>จะเริ่มเห็นผลของยาในเวลา 3-4 weeks</t>
        </is>
      </c>
      <c r="G7" s="45" t="inlineStr">
        <is>
          <t>การใช้ยาจะเริ่มขนาดต่ำ ๆ แล้วค่อยเพิ่มขนาดสูงขึ้น</t>
        </is>
      </c>
      <c r="H7" s="45" t="inlineStr">
        <is>
          <t>อาจทำให้การคุมกำเนิดด้วย OC ไม่ได้ผล</t>
        </is>
      </c>
      <c r="I7" s="44" t="inlineStr">
        <is>
          <t>4</t>
        </is>
      </c>
      <c r="J7" s="45" t="inlineStr">
        <is>
          <t>✅ คำตอบที่ถูกต้อง: ข้อ ง. การใช้ยาจะเริ่มขนาดต่ำ ๆ แล้วค่อยเพิ่มขนาดสูงขึ้น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การใช้ยาจะเริ่มขนาดต่ำ ๆ แล้วค่อยเพิ่มขนาดสูงขึ้น การรับประทานยาปฏิชีวนะรักษาสิวโดยทั่วไปแพทย์หรือเภสัชกรจะเริ่มด้วยขนาดรักษาที่มี efficacy ทันที (therapeutic dose) ไม่จำเป็นต้องเริ่มจากขนาดต่ำแล้วค่อยเพิ่มขึ้นเหมือนยารักษาโรคความดันโลหิตบางชนิด
🔍 ข้ออื่นผิดเพราะอะไร:
• ข้อ ก. (ควรกินต่อกันเป็นเวลา 6 เดือน): แนวทางปฏิบัติเดิมเคยแนะนำการให้ยาปฏิชีวนะชนิดรับประทานต่อเนื่องนานหลายเดือน แต่ปัจจุบันแนวทางเวชปฏิบัติแนะนำให้จำกัดระยะเวลาการใช้ไม่เกิน 3 ถึง 4 เดือนเพื่อลดความเสี่ยงของการเกิดเชื้อดื้อยา
• ข้อ ข. (ผลข้างเคียงที่พบได้บ่อยคือ N/V): อาการคลื่นไส้ อาเจียน และระคายเคืองกระเพาะอาหารเป็นผลข้างเคียงที่พบบ่อยของยากลุ่ม Tetracyclines จึงมักแนะนำให้รับประทานพร้อมน้ำมากๆ
• ข้อ ค. (จะเริ่มเห็นผลของยาในเวลา 3-4 weeks): การตอบสนองทางคลินิกต่อยาปฏิชีวนะชนิดรับประทานจะเริ่มสังเกตเห็นการลดลงของรอยโรคอักเสบได้ภายใน 3 ถึง 4 สัปดาห์หลังเริ่มการรักษา
• ข้อ จ. (อาจทำให้การคุมกำเนิดด้วย OC ไม่ได้ผล): ยาปฏิชีวนะบางชนิดอาจรบกวน Enterohepatic circulation ของฮอร์โมนเอสโตรเจนในทางเดินอาหาร ส่งผลให้ประสิทธิภาพของยาเม็ดคุมกำเนิดลดลงได้ในทางทฤษฎี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 s="46" t="inlineStr"/>
      <c r="L7" s="45" t="inlineStr">
        <is>
          <t>Acne</t>
        </is>
      </c>
      <c r="M7" s="46" t="inlineStr">
        <is>
          <t>Clinic</t>
        </is>
      </c>
      <c r="N7" s="45" t="inlineStr">
        <is>
          <t>ข้อ 5 Pharma Plus เล่มม่วง (เฉลยข้อ ง)</t>
        </is>
      </c>
      <c r="O7" s="46" t="inlineStr">
        <is>
          <t>Mock</t>
        </is>
      </c>
      <c r="P7" s="46" t="inlineStr">
        <is>
          <t>Pharma Plus เล่มม่วง</t>
        </is>
      </c>
    </row>
    <row r="8" ht="13.2" customHeight="1" s="37">
      <c r="A8" s="44" t="n">
        <v>6</v>
      </c>
      <c r="B8" s="45" t="inlineStr">
        <is>
          <t>เภสัชกรจ่ายยาทา isotretinoin ให้กับผู้ป่วย ข้อแนะนำใดที่ให้กับผู้ป่วยไม่ถูกต้อง</t>
        </is>
      </c>
      <c r="C8" s="46" t="inlineStr"/>
      <c r="D8" s="45" t="inlineStr">
        <is>
          <t>ทายาวันละ 1 ครั้ง ตอนเช้าโดยไม่ให้ใช้ร่วมกับครีมกันแดด</t>
        </is>
      </c>
      <c r="E8" s="45" t="inlineStr">
        <is>
          <t>อาจทำให้สิวมากขึ้นในช่วง 3-4 สัปดาห์แรกที่ใช้ยา</t>
        </is>
      </c>
      <c r="F8" s="45" t="inlineStr">
        <is>
          <t>ทายาทั่วหน้า ระวังอย่าให้เข้าตา</t>
        </is>
      </c>
      <c r="G8" s="45" t="inlineStr">
        <is>
          <t>อาจเกิดอาการข้างเคียง คือ หน้าแดง แสบ แห้งและลอก</t>
        </is>
      </c>
      <c r="H8" s="45" t="inlineStr">
        <is>
          <t>ยาจะได้ผลดีเมื่อใช้ประมาณ 3-4 เดือน</t>
        </is>
      </c>
      <c r="I8" s="44" t="inlineStr">
        <is>
          <t>1</t>
        </is>
      </c>
      <c r="J8" s="45" t="inlineStr">
        <is>
          <t>✅ คำตอบที่ถูกต้อง: ข้อ ก. ทายาวันละ 1 ครั้ง ตอนเช้าโดยไม่ให้ใช้ร่วมกับครีมกันแดด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ทายาวันละ 1 ครั้ง ตอนเช้าโดยไม่ให้ใช้ร่วมกับครีมกันแดด Topical retinoids ควรทาวันละครั้งก่อนนอน เนื่องจากสลายตัวได้ง่ายเมื่อโดนแสงแดด และควรแนะนำให้ใช้ครีมกันแดดร่วมด้วยเสมอ ข้อ 1 จึงกล่าวไม่ถูกต้อง
🔍 ข้ออื่นผิดเพราะอะไร:
• ข้อ ข. (อาจทำให้สิวมากขึ้นในช่วง 3-4 สัปดาห์แรกที่ใช้ยา): ในช่วง 2 ถึง 4 สัปดาห์แรกของการใช้ยากลุ่ม Retinoids อาจเกิดภาวะสิวเห่อหรือ Acne flare-up จากการเร่งผลัดเซลล์ผิวและขจัดสิ่งอุดตันในรูขุมขน
• ข้อ ค. (ทายาทั่วหน้า ระวังอย่าให้เข้าตา): การทายาบางๆ ทั่วใบหน้าจะช่วยป้องกันการเกิดไมโครโคมีโดนใหม่ แต่ต้องระวังไม่ให้สัมผัสเยื่อบุตา ริมฝีปาก และร่องจมูกเพื่อป้องกันการระคายเคืองรุนแรง
• ข้อ ง. (อาจเกิดอาการข้างเคียง คือ หน้าแดง แสบ แห้งและลอก): อาการผิวหน้าแห้ง แดง ลอก แสบ และระคายเคืองเป็นผลข้างเคียงเฉพาะที่ตามฤทธิ์ทางเภสัชวิทยาของ Topical retinoids ที่พบได้บ่อยมาก
• ข้อ จ. (ยาจะได้ผลดีเมื่อใช้ประมาณ 3-4 เดือน): ประสิทธิภาพในการลดรอยโรคสิวและการปรับสมดุลการแบ่งตัวของเซลล์ผิวหนังต้องใช้ระยะเวลาในการรักษาต่อเนื่องประมาณ 8 ถึง 12 สัปดาห์หรือ 3 ถึง 4 เดือนขึ้นไป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 s="46" t="inlineStr"/>
      <c r="L8" s="45" t="inlineStr">
        <is>
          <t>Acne</t>
        </is>
      </c>
      <c r="M8" s="46" t="inlineStr">
        <is>
          <t>Clinic</t>
        </is>
      </c>
      <c r="N8" s="45" t="inlineStr">
        <is>
          <t>ข้อ 6 Pharma Plus เล่มม่วง (เฉลยข้อ ก)</t>
        </is>
      </c>
      <c r="O8" s="46" t="inlineStr">
        <is>
          <t>Mock</t>
        </is>
      </c>
      <c r="P8" s="46" t="inlineStr">
        <is>
          <t>Pharma Plus เล่มม่วง</t>
        </is>
      </c>
    </row>
    <row r="9" ht="13.2" customHeight="1" s="37">
      <c r="A9" s="44" t="n">
        <v>7</v>
      </c>
      <c r="B9" s="45" t="inlineStr">
        <is>
          <t>ยา isotretinoin มีข้อควรระวังที่สำคัญในผู้ป่วยรายนี้คือข้อใด</t>
        </is>
      </c>
      <c r="C9" s="46" t="inlineStr"/>
      <c r="D9" s="45" t="inlineStr">
        <is>
          <t>Cardiac arrhythmia</t>
        </is>
      </c>
      <c r="E9" s="45" t="inlineStr">
        <is>
          <t>Rhabdomyolysis</t>
        </is>
      </c>
      <c r="F9" s="45" t="inlineStr">
        <is>
          <t>Hemorrhagic stroke</t>
        </is>
      </c>
      <c r="G9" s="45" t="inlineStr">
        <is>
          <t>Teratogenic effect</t>
        </is>
      </c>
      <c r="H9" s="45" t="inlineStr">
        <is>
          <t>Subarachnoid hemorrhage</t>
        </is>
      </c>
      <c r="I9" s="44" t="inlineStr">
        <is>
          <t>4</t>
        </is>
      </c>
      <c r="J9" s="45" t="inlineStr">
        <is>
          <t>✅ คำตอบที่ถูกต้อง: ข้อ ง. Teratogenic effect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Teratogenic effect Isotretinoin เป็นอนุพันธ์ของวิตามินเอที่มีฤทธิ์ teratogenic สูงมาก ทำให้เกิดความพิการแต่กำเนิดในทารกในครรภ์ได้อย่างรุนแรง จึงมีข้อห้ามเด็ดขาดในหญิงตั้งครรภ์หรือผู้ที่อาจจะตั้งครรภ์ระหว่างการรักษา
🔍 ข้ออื่นผิดเพราะอะไร:
• ข้อ ก. (Cardiac arrhythmia): Cardiac arrhythmia ไม่ใช่ผลข้างเคียงหลักหรือข้อควรระวังสำคัญของยา Isotretinoin แต่เป็นผลข้างเคียงของยาที่ยืดช่วง QT เช่น Antiarrhythmics บางกลุ่ม
• ข้อ ข. (Rhabdomyolysis): Rhabdomyolysis อาจพบได้น้อยมากในผู้ป่วยที่ออกกำลังกายหนักร่วมกับการใช้ Isotretinoin แต่ไม่ใช่ข้อควรระวังหลักที่ต้องประเมินและคัดกรองอย่างเข้มงวดที่สุดในหญิงวัยเจริญพันธุ์
• ข้อ ค. (Hemorrhagic stroke): Hemorrhagic stroke ไม่ใช่ภาวะแทรกซ้อนทางหลอดเลือดที่สัมพันธ์โดยตรงกับยา Isotretinoin
• ข้อ จ. (Subarachnoid hemorrhage): Subarachnoid hemorrhage ไม่ใช่อาการไม่พึงประสงค์ของยา แม้ว่า Isotretinoin จะมีความเสี่ยงต่อการเกิด Benign intracranial hypertension (Pseudotumor cerebri) เมื่อใช้ร่วมกับ Tetracyclines ก็ตาม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 s="46" t="inlineStr"/>
      <c r="L9" s="45" t="inlineStr">
        <is>
          <t>Acne</t>
        </is>
      </c>
      <c r="M9" s="46" t="inlineStr">
        <is>
          <t>Clinic</t>
        </is>
      </c>
      <c r="N9" s="45" t="inlineStr">
        <is>
          <t>ข้อ 7 Pharma Plus เล่มม่วง (เฉลยข้อ ง)</t>
        </is>
      </c>
      <c r="O9" s="46" t="inlineStr">
        <is>
          <t>Mock</t>
        </is>
      </c>
      <c r="P9" s="46" t="inlineStr">
        <is>
          <t>Pharma Plus เล่มม่วง</t>
        </is>
      </c>
    </row>
    <row r="10" ht="13.2" customHeight="1" s="37">
      <c r="A10" s="44" t="n">
        <v>8</v>
      </c>
      <c r="B10" s="45" t="inlineStr">
        <is>
          <t>ผู้ป่วยหญิงไทยู่อายุ 28 ปี มาพบเภสัชกรที่ร้านยา เพื่อซื้อยารักษาสิว
ข้อใดสัมพันธ์กับการเกิดสิวน้อยที่สุด</t>
        </is>
      </c>
      <c r="C10" s="46" t="inlineStr"/>
      <c r="D10" s="45" t="inlineStr">
        <is>
          <t>พันธุกรรม</t>
        </is>
      </c>
      <c r="E10" s="45" t="inlineStr">
        <is>
          <t>ยา steroid</t>
        </is>
      </c>
      <c r="F10" s="45" t="inlineStr">
        <is>
          <t>ฮอร์โมนเพศไม่สมดุล</t>
        </is>
      </c>
      <c r="G10" s="45" t="inlineStr">
        <is>
          <t>ภาวะเครียด</t>
        </is>
      </c>
      <c r="H10" s="45" t="inlineStr">
        <is>
          <t>อาหารประเภทโปรตีนสูง</t>
        </is>
      </c>
      <c r="I10" s="44" t="inlineStr">
        <is>
          <t>5</t>
        </is>
      </c>
      <c r="J10" s="45" t="inlineStr">
        <is>
          <t>✅ คำตอบที่ถูกต้อง: ข้อ จ. อาหารประเภทโปรตีนสูง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อาหารประเภทโปรตีนสูง ปัจจัยหลักในการเกิดสิวประกอบด้วย พันธุกรรม การทำงานของต่อมไขมันที่เพิ่มขึ้น (ฮอร์โมนแอนโดรเจน) การอุดตันของรูขุมขน และเชื้อ Cutibacterium acnes (P. acnes) รวมถึงภาวะเครียดและการใช้ยาบางชนิด เช่น corticosteroids ส่วนอาหารประเภทโปรตีนสูงไม่ได้มีหลักฐานยืนยันความสัมพันธ์โดยตรงกับการเกิดสิว (ต่างจากผลิตภัณฑ์จากนมหรืออาหารที่มี glycemic index สูง)
🔍 ข้ออื่นผิดเพราะอะไร:
• ข้อ ก. (พันธุกรรม): พันธุกรรมเป็นปัจจัยเสี่ยงสำคัญที่กำหนดขนาดและการทำงานของต่อมไขมัน รวมถึงโครงสร้างการแบ่งตัวของเซลล์ผิวหนังในรูขุมขน
• ข้อ ข. (ยา steroid): ยากลุ่ม Corticosteroids เป็นสาเหตุสำคัญของการเกิด Steroid-induced acne หรือสิวที่มีลักษณะเป็น Papulopustular ตุ่มขนาดเท่าๆ กัน
• ข้อ ค. (ฮอร์โมนเพศไม่สมดุล): ความไม่สมดุลของฮอร์โมนเพศ โดยเฉพาะแอนโดรเจนส่วนเกิน จะกระตุ้นต่อมไขมันให้ผลิต Sebum เพิ่มขึ้นอย่างเด่นชัด
• ข้อ ง. (ภาวะเครียด): ความเครียดส่งผลให้ร่างกายหลั่ง Corticotropin-releasing hormone (CRH) และ Cortisol ซึ่งสามารถกระตุ้นการทำงานของต่อมไขมันและการอักเสบของผิวหนังได้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 s="46" t="inlineStr"/>
      <c r="L10" s="45" t="inlineStr">
        <is>
          <t>Acne</t>
        </is>
      </c>
      <c r="M10" s="46" t="inlineStr">
        <is>
          <t>Clinic</t>
        </is>
      </c>
      <c r="N10" s="45" t="inlineStr">
        <is>
          <t>ข้อ 8 Pharma Plus เล่มม่วง (เฉลยข้อ จ)</t>
        </is>
      </c>
      <c r="O10" s="46" t="inlineStr">
        <is>
          <t>Mock</t>
        </is>
      </c>
      <c r="P10" s="46" t="inlineStr">
        <is>
          <t>Pharma Plus เล่มม่วง</t>
        </is>
      </c>
    </row>
    <row r="11" ht="13.2" customHeight="1" s="37">
      <c r="A11" s="44" t="n">
        <v>9</v>
      </c>
      <c r="B11" s="45" t="inlineStr">
        <is>
          <t>ข้อใดผิดเกี่ยวกับวิธีการรักษาสิว</t>
        </is>
      </c>
      <c r="C11" s="46" t="inlineStr"/>
      <c r="D11" s="45" t="inlineStr">
        <is>
          <t>การลดการทำงานของต่อมไขมัน</t>
        </is>
      </c>
      <c r="E11" s="45" t="inlineStr">
        <is>
          <t>สิวอักเสบและสิวไม่อักเสบ มีวิธีการรักษาแตกต่างกัน</t>
        </is>
      </c>
      <c r="F11" s="45" t="inlineStr">
        <is>
          <t>การรักษาสิวที่ดีต้องเริ่มต้นด้วย systemic antibiotic เท่านั้น</t>
        </is>
      </c>
      <c r="G11" s="45" t="inlineStr">
        <is>
          <t>มีฮอร์โมนบางชนิดใช้รักษาสิวได้</t>
        </is>
      </c>
      <c r="H11" s="45" t="inlineStr">
        <is>
          <t>การใช้ antibiotic รักษาต้องใช้ติดต่อกันเป็นระยะยาว</t>
        </is>
      </c>
      <c r="I11" s="44" t="inlineStr">
        <is>
          <t>3</t>
        </is>
      </c>
      <c r="J11" s="45" t="inlineStr">
        <is>
          <t>✅ คำตอบที่ถูกต้อง: ข้อ ค. การรักษาสิวที่ดีต้องเริ่มต้นด้วย systemic antibiotic เท่านั้น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การรักษาสิวที่ดีต้องเริ่มต้นด้วย systemic antibiotic เท่านั้น การรักษาสิวไม่ได้จำเป็นต้องเริ่มต้นด้วย systemic antibiotic เสมอไป สิวระดับความรุนแรงน้อยถึงปานกลางมักเริ่มต้นด้วยยาทาเฉพาะที่ (Topical agents) เช่น topical retinoids, benzoyl peroxide หรือ topical antibiotics
🔍 ข้ออื่นผิดเพราะอะไร:
• ข้อ ก. (การลดการทำงานของต่อมไขมัน): การลดการผลิตไขมันของต่อมไขมันเป็นเป้าหมายหลักทางเภสัชวิทยา เช่น การใช้ยา Oral isotretinoin หรือการควบคุมด้วยฮอร์โมน
• ข้อ ข. (สิวอักเสบและสิวไม่อักเสบ มีวิธีการรักษาแตกต่างกัน): สิวไม่อักเสบเน้นการใช้ยาทาผลัดเซลล์กลุ่ม Topical retinoids เพื่อลดการอุดตัน ส่วนสิวอักเสบต้องเพิ่มยาที่มีฤทธิ์ต้านเชื้อและต้านการอักเสบ เช่น Benzoyl peroxide หรือยาปฏิชีวนะ
• ข้อ ง. (มีฮอร์โมนบางชนิดใช้รักษาสิวได้): การใช้ยาคุมกำเนิดชนิดฮอร์โมนรวมที่มีสารต้านแอนโดรเจน หรือ Spironolactone สามารถใช้รักษาผู้ป่วยหญิงที่มีสิวสัมพันธ์กับฮอร์โมนได้เป็นอย่างดี
• ข้อ จ. (การใช้ antibiotic รักษาต้องใช้ติดต่อกันเป็นระยะยาว): ในอดีตมีการใช้ยาปฏิชีวนะต่อเนื่อง แต่ตามหลักเวชปฏิบัติต้องประเมินอย่างใกล้ชิดและไม่ใช้ยาวนานเกินความจำเป็นเพื่อลดการดื้อยา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 s="46" t="inlineStr"/>
      <c r="L11" s="45" t="inlineStr">
        <is>
          <t>Acne</t>
        </is>
      </c>
      <c r="M11" s="46" t="inlineStr">
        <is>
          <t>Clinic</t>
        </is>
      </c>
      <c r="N11" s="45" t="inlineStr">
        <is>
          <t>ข้อ 9 Pharma Plus เล่มม่วง (เฉลยข้อ ค)</t>
        </is>
      </c>
      <c r="O11" s="46" t="inlineStr">
        <is>
          <t>Mock</t>
        </is>
      </c>
      <c r="P11" s="46" t="inlineStr">
        <is>
          <t>Pharma Plus เล่มม่วง</t>
        </is>
      </c>
    </row>
    <row r="12" ht="13.2" customHeight="1" s="37">
      <c r="A12" s="44" t="n">
        <v>10</v>
      </c>
      <c r="B12" s="45" t="inlineStr">
        <is>
          <t>ข้อใดผิดเกี่ยวกับ Isotretinoin ชนิดรับประทาน</t>
        </is>
      </c>
      <c r="C12" s="46" t="inlineStr"/>
      <c r="D12" s="45" t="inlineStr">
        <is>
          <t>เป็นอนุพันธ์ของ vitamin A ที่ดูดซึมได้ในทางเดินอาหาร</t>
        </is>
      </c>
      <c r="E12" s="45" t="inlineStr">
        <is>
          <t>จัดเป็น drug of choice สำหรับการรักษาสิว</t>
        </is>
      </c>
      <c r="F12" s="45" t="inlineStr">
        <is>
          <t>ใช้ได้กับสิวที่ไม่ตอบสนองต่อการรักษาด้วยวิธีอื่น</t>
        </is>
      </c>
      <c r="G12" s="45" t="inlineStr">
        <is>
          <t>ห้ามใช้ในคนไข้ที่ตั้งครรภ์</t>
        </is>
      </c>
      <c r="H12" s="45" t="inlineStr">
        <is>
          <t>ทำให้ระดับ serum triglyceride สูงขึ้น</t>
        </is>
      </c>
      <c r="I12" s="44" t="inlineStr">
        <is>
          <t>2</t>
        </is>
      </c>
      <c r="J12" s="45" t="inlineStr">
        <is>
          <t>✅ คำตอบที่ถูกต้อง: ข้อ ข. จัดเป็น drug of choice สำหรับการรักษาสิว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จัดเป็น drug of choice สำหรับการรักษาสิว Isotretinoin ชนิดรับประทานไม่ใช่ยา first-line (not the drug of choice) สำหรับสิวทั่วไป แต่ข้อบ่งใช้หลักคือรักษาสิวอักเสบรุนแรง (severe nodulocystic acne) ที่ดื้อต่อการรักษามาตรฐานด้วยยาทาและยารับประทานกลุ่มอื่น เนื่องจากมีความเสี่ยงและผลข้างเคียงสูง
🔍 ข้ออื่นผิดเพราะอะไร:
• ข้อ ก. (เป็นอนุพันธ์ของ vitamin A ที่ดูดซึมได้ในทางเดินอาหาร): Oral isotretinoin เป็นสารอนุพันธ์ 13-cis-retinoic acid ของวิตามินเอ มีคุณสมบัติละลายในไขมันได้ดีและดูดซึมได้ในระบบทางเดินอาหารโดยเฉพาะเมื่อรับประทานพร้อมอาหารที่มีไขมัน
• ข้อ ค. (ใช้ได้กับสิวที่ไม่ตอบสนองต่อการรักษาด้วยวิธีอื่น): Isotretinoin มีข้อบ่งใช้หลักสำหรับสิวอักเสบรุนแรงชนิด Severe nodulocystic acne หรือสิวที่ไม่ตอบสนองต่อการรักษามาตรฐานด้วยยาทาร่วมกับยาปฏิชีวนะชนิดรับประทาน
• ข้อ ง. (ห้ามใช้ในคนไข้ที่ตั้งครรภ์): ยานี้มีฤทธิ์ก่อมลพิษต่อทารกในครรภ์อย่างรุนแรง (Teratogenicity) จัดอยู่ใน Pregnancy Category X จึงห้ามใช้เด็ดขาดในสตรีมีครรภ์หรือผู้ที่วางแผนจะตั้งครรภ์
• ข้อ จ. (ทำให้ระดับ serum triglyceride สูงขึ้น): ยานี้รบกวนเมแทบอลิซึมของไขมันในตับ ส่งผลให้ระดับ Serum triglycerides และ Total cholesterol สูงขึ้น จึงต้องตรวจติดตามระดับไขมันในเลือดเป็นระยะ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 s="46" t="inlineStr"/>
      <c r="L12" s="45" t="inlineStr">
        <is>
          <t>Acne</t>
        </is>
      </c>
      <c r="M12" s="46" t="inlineStr">
        <is>
          <t>Clinic</t>
        </is>
      </c>
      <c r="N12" s="45" t="inlineStr">
        <is>
          <t>ข้อ 10 Pharma Plus เล่มม่วง (เฉลยข้อ ข)</t>
        </is>
      </c>
      <c r="O12" s="46" t="inlineStr">
        <is>
          <t>Mock</t>
        </is>
      </c>
      <c r="P12" s="46" t="inlineStr">
        <is>
          <t>Pharma Plus เล่มม่วง</t>
        </is>
      </c>
    </row>
    <row r="13" ht="13.2" customHeight="1" s="37">
      <c r="A13" s="44" t="n">
        <v>11</v>
      </c>
      <c r="B13" s="45" t="inlineStr">
        <is>
          <t>ข้อใดผิดเกี่ยวกับการใช้ฮอร์โมนรักษาสิว</t>
        </is>
      </c>
      <c r="C13" s="46" t="inlineStr"/>
      <c r="D13" s="45" t="inlineStr">
        <is>
          <t>ใช้ยาคุมกำเนิดที่มี cyproterone เป็นส่วนประกอบ เช่น Yasmin</t>
        </is>
      </c>
      <c r="E13" s="45" t="inlineStr">
        <is>
          <t>Spironolactone ออกฤทธิ์ต้าน androgen ซึ่งจะทำให้ขนาดของต่อมไขมันและปริมาณของไขมันลดลง</t>
        </is>
      </c>
      <c r="F13" s="45" t="inlineStr">
        <is>
          <t>Spironolactone ไม่ควรใช้ในผู้ชาย เนื่องจากทำให้เกิดอาการ loss of libido และ gynecomastia</t>
        </is>
      </c>
      <c r="G13" s="45" t="inlineStr">
        <is>
          <t>การใช้ฮอร์โมนรักษาสิวควรพิจารณาในผู้หญิงที่มีสิวและมีภาวะอื่นของ hyperandrogen เช่น hirsutism</t>
        </is>
      </c>
      <c r="H13" s="45" t="inlineStr">
        <is>
          <t>ปริมาณของ ethinyl estradiol (EE) ที่ใช้ คือ 0.02-0.35mg</t>
        </is>
      </c>
      <c r="I13" s="44" t="inlineStr">
        <is>
          <t>1</t>
        </is>
      </c>
      <c r="J13" s="45" t="inlineStr">
        <is>
          <t>✅ คำตอบที่ถูกต้อง: ข้อ ก. ใช้ยาคุมกำเนิดที่มี cyproterone เป็นส่วนประกอบ เช่น Yasmin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ใช้ยาคุมกำเนิดที่มี cyproterone เป็นส่วนประกอบ เช่น Yasmin ยาเม็ดคุมกำเนิดยี่ห้อ Yasmin มีส่วนประกอบของ Drospirenone (ไม่ใช่ Cyproterone acetate เหมือนใน Diane-35) และปริมาณ Ethinyl estradiol (EE) ในยาคุมกำเนิดโดยทั่วไปมักอยู่ในช่วง 0.02-0.035 มก. (20-35 ไมโครกรัม) ไม่ใช่ 0.02-0.35mg ซึ่งช่วงกว้างเกินไปและอาจทำให้สับสน
🔍 ข้ออื่นผิดเพราะอะไร:
• ข้อ ข. (Spironolactone ออกฤทธิ์ต้าน androgen ซึ่งจะทำให้ขนาดของต่อมไขมันและปริมาณของไขมันลดลง): Spironolactone ออกฤทธิ์ต้านตัวรับ Androgen และยับยั้งเอนไซม์ 17,20-lyase ส่งผลให้การหลั่ง Sebum และขนาดของต่อมไขมันลดลงอย่างมีนัยสำคัญ
• ข้อ ค. (Spironolactone ไม่ควรใช้ในผู้ชาย เนื่องจากทำให้เกิดอาการ loss of libido และ gynecomastia): Spironolactone ทำให้เกิดผลข้างเคียงจากการต้านฮอร์โมนเพศชายในผู้ป่วยชาย เช่น ภาวะเต้านมโต (Gynecomastia) การสูญเสียความต้องการทางเพศ และภาวะหย่อนสมรรถภาพทางเพศ
• ข้อ ง. (การใช้ฮอร์โมนรักษาสิวควรพิจารณาในผู้หญิงที่มีสิวและมีภาวะอื่นของ hyperandrogen เช่น hirsutism): การรักษาด้วยฮอร์โมนมีประโยชน์สูงสุดในผู้ป่วยหญิงที่มีภาวะ Hyperandrogenism เช่น สิวเห่อช่วงประจำเดือน ขนดก (Hirsutism) และภาวะถุงน้ำรังไข่หลายใบ (PCOS)
• ข้อ จ. (ปริมาณของ ethinyl estradiol (EE) ที่ใช้ คือ 0.02-0.35mg): ขนาดยา Ethinyl estradiol ที่แนะนำในยาคุมกำเนิดสูตรรักษาสิวคือ 0.02 ถึง 0.035 มก. เพื่อลดความเสี่ยงต่อการเกิดลิ่มเลือดอุดตันในหลอดเลือดดำ (VTE)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 s="46" t="inlineStr"/>
      <c r="L13" s="45" t="inlineStr">
        <is>
          <t>Acne</t>
        </is>
      </c>
      <c r="M13" s="46" t="inlineStr">
        <is>
          <t>Clinic</t>
        </is>
      </c>
      <c r="N13" s="45" t="inlineStr">
        <is>
          <t>ข้อ 11 Pharma Plus เล่มม่วง (เฉลยข้อ ก)</t>
        </is>
      </c>
      <c r="O13" s="46" t="inlineStr">
        <is>
          <t>Mock</t>
        </is>
      </c>
      <c r="P13" s="46" t="inlineStr">
        <is>
          <t>Pharma Plus เล่มม่วง</t>
        </is>
      </c>
    </row>
    <row r="14" ht="13.2" customHeight="1" s="37">
      <c r="A14" s="44" t="n">
        <v>12</v>
      </c>
      <c r="B14" s="45" t="inlineStr">
        <is>
          <t>ถ้าเภสัชกรพิจารณาให้ยา tetracycline แก่ผู้ป่วยข้อใดคือคำแนะนำที่ไม่ถูกต้อง</t>
        </is>
      </c>
      <c r="C14" s="46" t="inlineStr"/>
      <c r="D14" s="45" t="inlineStr">
        <is>
          <t>ควรหลีกเลี่ยงแสงแดด</t>
        </is>
      </c>
      <c r="E14" s="45" t="inlineStr">
        <is>
          <t>ไม่ควรรับประทานพร้อมนมหรือยาลดกรด</t>
        </is>
      </c>
      <c r="F14" s="45" t="inlineStr">
        <is>
          <t>ถ้าเป็นผู้หญิงที่รับประทานยาคุมกำเนิด ควรแนะนำให้คุมกำเนิดวิธีอื่นร่วมด้วย</t>
        </is>
      </c>
      <c r="G14" s="45" t="inlineStr">
        <is>
          <t>แนะนำให้ใช้ครีมกันแดด</t>
        </is>
      </c>
      <c r="H14" s="45" t="inlineStr">
        <is>
          <t>สามารถใช้ในหญิงมีครรภ์และหญิงให้นมบุตรได้</t>
        </is>
      </c>
      <c r="I14" s="44" t="inlineStr">
        <is>
          <t>5</t>
        </is>
      </c>
      <c r="J14" s="45" t="inlineStr">
        <is>
          <t>✅ คำตอบที่ถูกต้อง: ข้อ จ. สามารถใช้ในหญิงมีครรภ์และหญิงให้นมบุตรได้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สามารถใช้ในหญิงมีครรภ์และหญิงให้นมบุตรได้ ยากลุ่ม Tetracyclines มีข้อห้ามเด็ดขาด (contraindicated) ในหญิงตั้งครรภ์และหญิงให้นมบุตร รวมถึงเด็กอายุต่ำกว่า 8 ปี เนื่องจากยาจะสะสมในกระดูกและฟัน ทำให้ฟันเปลี่ยนสีถาวรและยับยั้งการเจริญเติบโตของกระดูก
🔍 ข้ออื่นผิดเพราะอะไร:
• ข้อ ก. (ควรหลีกเลี่ยงแสงแดด): Tetracyclines ทำให้ผิวหนังไวต่อรังสีอัลตราไวโอเลต เกิดปฏิกิริยา Phototoxicity จึงจำเป็นต้องหลีกเลี่ยงการสัมผัสแสงแดดโดยตรง
• ข้อ ข. (ไม่ควรรับประทานพร้อมนมหรือยาลดกรด): ยากลุ่มนี้สามารถเกิดสารประกอบเชิงซ้อน Chelation กับไอออนประจุบวก เช่น แคลเซียมในนม แมกนีเซียมและอะลูมิเนียมในยาลดกรด ทำให้การดูดซึมยาลดลงอย่างมาก
• ข้อ ค. (ถ้าเป็นผู้หญิงที่รับประทานยาคุมกำเนิด ควรแนะนำให้คุมกำเนิดวิธีอื่นร่วมด้วย): ยาปฏิชีวนะอาจรบกวนเชื้อจุลชีพประจำถิ่นในลำไส้ที่ช่วยทำปฏิกิริยา Deconjugation ใน Enterohepatic recirculation ของเอสโตรเจน จึงควรแนะนำการคุมกำเนิดแบบกลไกร่วมด้วย
• ข้อ ง. (แนะนำให้ใช้ครีมกันแดด): การใช้ครีมกันแดดที่มีค่า SPF สูงและปกป้องครอบคลุม Broad-spectrum มีความจำเป็นอย่างยิ่งในการป้องกันภาวะผิวหนังไหม้แดดจากยา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46" t="inlineStr"/>
      <c r="L14" s="45" t="inlineStr">
        <is>
          <t>Superficial fungal</t>
        </is>
      </c>
      <c r="M14" s="46" t="inlineStr">
        <is>
          <t>Clinic</t>
        </is>
      </c>
      <c r="N14" s="45" t="inlineStr">
        <is>
          <t>ข้อ 12 Pharma Plus เล่มม่วง (เฉลยข้อ จ)</t>
        </is>
      </c>
      <c r="O14" s="46" t="inlineStr">
        <is>
          <t>Mock</t>
        </is>
      </c>
      <c r="P14" s="46" t="inlineStr">
        <is>
          <t>Pharma Plus เล่มม่วง</t>
        </is>
      </c>
    </row>
    <row r="15" ht="13.2" customHeight="1" s="37">
      <c r="A15" s="44" t="n">
        <v>13</v>
      </c>
      <c r="B15" s="45" t="inlineStr">
        <is>
          <t>ยาครีม isotretinoin 0.05% cream จัดเป็นยาประเภทใดตาม พรบ.ยา</t>
        </is>
      </c>
      <c r="C15" s="46" t="inlineStr"/>
      <c r="D15" s="45" t="inlineStr">
        <is>
          <t>ยาใช้ภายนอกที่ไม่ใช่ยาอันตราย</t>
        </is>
      </c>
      <c r="E15" s="45" t="inlineStr">
        <is>
          <t>ยาใช้ภายนอกและยาอันตราย</t>
        </is>
      </c>
      <c r="F15" s="45" t="inlineStr">
        <is>
          <t>ยาใช้ภายนอกและยาควบคุมพิเศษ</t>
        </is>
      </c>
      <c r="G15" s="45" t="inlineStr">
        <is>
          <t>ยาใช้เฉพาะที่และยาอันตราย</t>
        </is>
      </c>
      <c r="H15" s="45" t="inlineStr">
        <is>
          <t>ยาใช้เฉพาะที่และยาควบคุมพิเศษ</t>
        </is>
      </c>
      <c r="I15" s="44" t="inlineStr">
        <is>
          <t>2</t>
        </is>
      </c>
      <c r="J15" s="45" t="inlineStr">
        <is>
          <t>✅ คำตอบที่ถูกต้อง: ข้อ ข. ยาใช้ภายนอกและยาอันตราย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ยาใช้ภายนอกและยาอันตราย ตามพระราชบัญญัติยา ยาใช้ภายนอกที่เป็นยารักษาสิวกลุ่ม Retinoids (เช่น Isotretinoin cream) จัดเป็นยาใช้ภายนอกและจัดอยู่ในประเภท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 s="46" t="inlineStr"/>
      <c r="L15" s="45" t="inlineStr">
        <is>
          <t>Acne</t>
        </is>
      </c>
      <c r="M15" s="46" t="inlineStr">
        <is>
          <t>Clinic</t>
        </is>
      </c>
      <c r="N15" s="45" t="inlineStr">
        <is>
          <t>ข้อ 13 Pharma Plus เล่มม่วง (เฉลยข้อ ข)</t>
        </is>
      </c>
      <c r="O15" s="46" t="inlineStr">
        <is>
          <t>Mock</t>
        </is>
      </c>
      <c r="P15" s="46" t="inlineStr">
        <is>
          <t>Pharma Plus เล่มม่วง</t>
        </is>
      </c>
    </row>
    <row r="16" ht="13.2" customHeight="1" s="37">
      <c r="A16" s="44" t="n">
        <v>14</v>
      </c>
      <c r="B16"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มีสูตรโครงสร้างทางเคมีจัดอยู่ในกลุ่มสารประกอบประเภทใด</t>
        </is>
      </c>
      <c r="C16" s="46" t="inlineStr"/>
      <c r="D16" s="45" t="inlineStr">
        <is>
          <t>Alkaloid</t>
        </is>
      </c>
      <c r="E16" s="45" t="inlineStr">
        <is>
          <t>Flavonoid</t>
        </is>
      </c>
      <c r="F16" s="45" t="inlineStr">
        <is>
          <t>Glycoside</t>
        </is>
      </c>
      <c r="G16" s="45" t="inlineStr">
        <is>
          <t>Retinoid</t>
        </is>
      </c>
      <c r="H16" s="45" t="inlineStr">
        <is>
          <t>Terpenoid</t>
        </is>
      </c>
      <c r="I16" s="44" t="inlineStr">
        <is>
          <t>4</t>
        </is>
      </c>
      <c r="J16" s="45" t="inlineStr">
        <is>
          <t>✅ คำตอบที่ถูกต้อง: ข้อ ง.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Retinoid Isotretinoin เป็นอนุพันธ์ของวิตามินเอ (Retinoid) ซึ่งออกฤทธิ์โดยการจับกับ Retinoic Acid Receptors (RARs) และ Retinoid X Receptors (RXRs) ในนิวเคลียส ทำให้เกิดการเปลี่ยนแปลงของการแสดงออกของยีนที่ควบคุมการเจริญเติบโตและการแบ่งตัวของเซลล์ผิวหนัง
🔍 ข้ออื่นผิดเพราะอะไร:
• ข้อ ก. (Alkaloid): Alkaloid เป็นสารประกอบอินทรีย์ที่มีไนโตรเจนเป็นองค์ประกอบพื้นฐานและมีฤทธิ์เป็นด่าง เช่น Morphine และ Atropine ซึ่งมีโครงสร้างทางเคมีแตกต่างจากวิตามินเอ
• ข้อ ข. (Flavonoid): Flavonoid เป็นสารพฤกษเคมีกลุ่มโพลีฟีนอลที่พบในพืช มีโครงสร้างแกนหลักเป็น Phenylchromone และมีฤทธิ์ต้านอนุมูลอิสระ ไม่ใช่กลุ่มของ Isotretinoin
• ข้อ ค. (Glycoside): Glycoside เป็นสารประกอบที่เกิดจากการจับกันระหว่างน้ำตาลและกลุ่ม Aglycone เช่น Digoxin ซึ่งไม่ใช่โครงสร้างอนุพันธ์ของกรดวิตามินเอ
• ข้อ จ. (Terpenoid): Terpenoid แม้วิตามินเอจะมีวิถีการสังเคราะห์มาจาก Isoprene units เหมือนสารกลุ่ม Diterpenes แต่การจัดหมวดหมู่สารประกอบทางเคมีและเภสัชวิทยาทางยาจัดอยู่ในกลุ่ม Retinoids 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46" t="inlineStr"/>
      <c r="L16" s="45" t="inlineStr">
        <is>
          <t>Acne</t>
        </is>
      </c>
      <c r="M16" s="46" t="inlineStr">
        <is>
          <t>Clinic</t>
        </is>
      </c>
      <c r="N16" s="45" t="inlineStr">
        <is>
          <t>ข้อ 14 Pharma Plus เล่มม่วง (เฉลยข้อ ง)</t>
        </is>
      </c>
      <c r="O16" s="46" t="inlineStr">
        <is>
          <t>Mock</t>
        </is>
      </c>
      <c r="P16" s="46" t="inlineStr">
        <is>
          <t>Pharma Plus เล่มม่วง</t>
        </is>
      </c>
    </row>
    <row r="17" ht="13.2" customHeight="1" s="37">
      <c r="A17" s="44" t="n">
        <v>15</v>
      </c>
      <c r="B17"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ข้อใดถูกต้องเกี่ยวกับกลไกการออกฤทธิ์ของยารักษาสิว</t>
        </is>
      </c>
      <c r="C17" s="46" t="inlineStr"/>
      <c r="D17" s="45" t="inlineStr">
        <is>
          <t>Isotretinoin ออกฤทธิ์โดยฆ่าเชื้อ P. acnes ซึ่งเป็นแบคทีเรียที่ไปย่อยสลาย sebum เป็น free fatty acid ซึ่งเป็นตัวกระตุ้นกระบวนการอักเสบ</t>
        </is>
      </c>
      <c r="E17" s="45" t="inlineStr">
        <is>
          <t>Benzoyl peroxide ออกฤทธิ์โดยไปย่อย comedone และเร่งการแบ่งตัวของepithelial cell จึงลดการอุดตันของสิว</t>
        </is>
      </c>
      <c r="F17" s="45" t="inlineStr">
        <is>
          <t>Doxycycline ออกฤทธิ์โดยฆ่าเชื้อ P. acnes แต่ไม่มีฤทธิ์ต้านการทำงานของฮอร์โมนเพศชาย</t>
        </is>
      </c>
      <c r="G17" s="45" t="inlineStr">
        <is>
          <t>Isotretinoin สามารถเสริมฤทธิ์ต้านการอักเสบของ benzoyl peroxide</t>
        </is>
      </c>
      <c r="H17" s="45" t="inlineStr">
        <is>
          <t>Silver sulfadiazine 1% cream</t>
        </is>
      </c>
      <c r="I17" s="44" t="inlineStr">
        <is>
          <t>3</t>
        </is>
      </c>
      <c r="J17" s="45" t="inlineStr">
        <is>
          <t>✅ คำตอบที่ถูกต้อง: ข้อ ค. Doxycycline ออกฤทธิ์โดยฆ่าเชื้อ P. acnes แต่ไม่มีฤทธิ์ต้านการทำงานของฮอร์โมนเพศชาย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Doxycycline ออกฤทธิ์โดยฆ่าเชื้อ P. acnes แต่ไม่มีฤทธิ์ต้านการทำงานของฮอร์โมนเพศชาย ตามตัวเลือกทั้งหมด ไม่มีข้อใดอธิบายกลไกได้อย่างถูกต้องสมบูรณ์ (เช่น Isotretinoin ลดขนาดต่อมไขมันและยับยั้งการสร้าง sebum, Benzoyl peroxide มีฤทธิ์ละลาย comedone และฆ่าเชื้อ P. acnes) ดังนั้นตอบ ไม่มีข้อใดถูกต้อง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(Isotretinoin ออกฤทธิ์โดยฆ่าเชื้อ P. acnes ซึ่งเป็นแบคทีเรียที่ไปย่อยสลาย sebum เป็น free fatty acid ซึ่งเป็นตัวกระตุ้นกระบวนการอักเสบ): Isotretinoin ไม่มีฤทธิ์ฆ่าเชื้อแบคทีเรีย C. acnes โดยตรง แต่ช่วยลดปริมาณเชื้อทางอ้อมผ่านการยับยั้งการผลิต Sebum ที่เป็นแหล่งอาหารของเชื้อ
• ข้อ ข. (Benzoyl peroxide ออกฤทธิ์โดยไปย่อย comedone และเร่งการแบ่งตัวของepithelial cell จึงลดการอุดตันของสิว): Benzoyl peroxide ออกฤทธิ์หลักเป็น Bactericidal ผ่านการปล่อย Reactive oxygen species และมีฤทธิ์สลายคอมีโดนอย่างอ่อน ไม่ได้ทำหน้าที่เร่งการแบ่งตัวของเซลล์ผิวหนังเป็นหลัก
• ข้อ ง. (Isotretinoin สามารถเสริมฤทธิ์ต้านการอักเสบของ benzoyl peroxide): การใช้ Isotretinoin ชนิดรับประทานไม่จำเป็นต้องใช้ร่วมกับ Benzoyl peroxide เนื่องจากอาจทำให้เกิดการระคายเคือง ผิวแห้ง ลอก และแสบแดงอย่างรุนแรง
• ข้อ จ. (Silver sulfadiazine 1% cream): Silver sulfadiazine 1% cream เป็นยาทาต้านจุลชีพสำหรับแผลไฟไหม้ น้ำร้อนลวก และป้องกันการติดเชื้อบาดแผล ไม่มีข้อบ่งใช้สำหรับการรักษาสิวบนใบหน้า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 s="46" t="inlineStr"/>
      <c r="L17" s="45" t="inlineStr">
        <is>
          <t>Acne</t>
        </is>
      </c>
      <c r="M17" s="46" t="inlineStr">
        <is>
          <t>Clinic</t>
        </is>
      </c>
      <c r="N17" s="45" t="inlineStr">
        <is>
          <t>ข้อ 15 Pharma Plus เล่มม่วง (เฉลยข้อ ค)</t>
        </is>
      </c>
      <c r="O17" s="46" t="inlineStr">
        <is>
          <t>Mock</t>
        </is>
      </c>
      <c r="P17" s="46" t="inlineStr">
        <is>
          <t>Pharma Plus เล่มม่วง</t>
        </is>
      </c>
    </row>
    <row r="18" ht="13.2" customHeight="1" s="37">
      <c r="A18" s="44" t="n">
        <v>16</v>
      </c>
      <c r="B18"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ฤทธิ์ทางเภสัชวิทยาของ isotretinoin คือข้อใด</t>
        </is>
      </c>
      <c r="C18" s="46" t="inlineStr"/>
      <c r="D18" s="45" t="inlineStr">
        <is>
          <t>Anti-inflammation</t>
        </is>
      </c>
      <c r="E18" s="45" t="inlineStr">
        <is>
          <t>Antimicrobial</t>
        </is>
      </c>
      <c r="F18" s="45" t="inlineStr">
        <is>
          <t>Antioxidant</t>
        </is>
      </c>
      <c r="G18" s="45" t="inlineStr">
        <is>
          <t>Astringent</t>
        </is>
      </c>
      <c r="H18" s="45" t="inlineStr">
        <is>
          <t>Comedolytic</t>
        </is>
      </c>
      <c r="I18" s="44" t="inlineStr">
        <is>
          <t>5</t>
        </is>
      </c>
      <c r="J18" s="45" t="inlineStr">
        <is>
          <t>✅ คำตอบที่ถูกต้อง: ข้อ จ. Comedolytic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Comedolytic Isotretinoin ชนิดรับประทานมีฤทธิ์เด่นชัดในการลดการทำงานและขนาดของต่อมไขมัน ลดการสร้าง Sebum อย่างมีนัยสำคัญ มีฤทธิ์ Comedolytic และช่วยลดการอักเสบ (Anti-inflammatory) แต่ในโจทย์ข้อนี้ฤทธิ์หลักที่ครอบคลุมกลไกการเกิดสิวรุนแรงคือ Comedolytic หรือลดการอุดตัน ร่วมกับการลด sebum
🔍 ข้ออื่นผิดเพราะอะไร:
• ข้อ ก. (Anti-inflammation): แม้ Isotretinoin จะมีคุณสมบัติลดการอักเสบร่วมด้วย แต่ฤทธิ์ที่โดดเด่นจำเพาะที่สุดในการรักษาโครงสร้างสิวคือการยับยั้งการสร้างคอมีโดนและการทำงานของต่อมไขมัน
• ข้อ ข. (Antimicrobial): Isotretinoin ไม่มีฤทธิ์ยับยั้งหรือทำลายจุลชีพโดยตรง การลดลงของแบคทีเรียเกิดจากสภาวะแวดล้อมที่ขาดแคลนสารคัดหลั่ง Sebum
• ข้อ ค. (Antioxidant): Antioxidant หรือการต้านอนุมูลอิสระไม่ใช่กลไกหลักทางเภสัชวิทยาในการรักษารอยโรคสิวของยากลุ่ม Retinoids
• ข้อ ง. (Astringent): Astringent เป็นคุณสมบัติของสารที่ช่วยกระชับรูขุมขนหรือตกตะกอนโปรตีนบนพื้นผิว เช่น เกลืออะลูมิเนียมหรือแทนนิน ซึ่งไม่ใช่ฤทธิ์ของ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 s="46" t="inlineStr"/>
      <c r="L18" s="45" t="inlineStr">
        <is>
          <t>Acne</t>
        </is>
      </c>
      <c r="M18" s="46" t="inlineStr">
        <is>
          <t>Clinic</t>
        </is>
      </c>
      <c r="N18" s="45" t="inlineStr">
        <is>
          <t>ข้อ 16 Pharma Plus เล่มม่วง (เฉลยข้อ จ)</t>
        </is>
      </c>
      <c r="O18" s="46" t="inlineStr">
        <is>
          <t>Mock</t>
        </is>
      </c>
      <c r="P18" s="46" t="inlineStr">
        <is>
          <t>Pharma Plus เล่มม่วง</t>
        </is>
      </c>
    </row>
    <row r="19" ht="13.2" customHeight="1" s="37">
      <c r="A19" s="44" t="n">
        <v>17</v>
      </c>
      <c r="B19"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ชนิดรับประทาน เหมาะสำหรับรักษาสิวที่มีลักษณะในข้อใดมากที่สุด</t>
        </is>
      </c>
      <c r="C19" s="46" t="inlineStr"/>
      <c r="D19" s="45" t="inlineStr">
        <is>
          <t>Comedonal acne</t>
        </is>
      </c>
      <c r="E19" s="45" t="inlineStr">
        <is>
          <t>Non-inflammatory acne</t>
        </is>
      </c>
      <c r="F19" s="45" t="inlineStr">
        <is>
          <t>Papular acne</t>
        </is>
      </c>
      <c r="G19" s="45" t="inlineStr">
        <is>
          <t>Pustule acne</t>
        </is>
      </c>
      <c r="H19" s="45" t="inlineStr">
        <is>
          <t>Nodulocystic acne</t>
        </is>
      </c>
      <c r="I19" s="44" t="inlineStr">
        <is>
          <t>5</t>
        </is>
      </c>
      <c r="J19" s="45" t="inlineStr">
        <is>
          <t>✅ คำตอบที่ถูกต้อง: ข้อ จ. Nodulocystic acne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Nodulocystic acne ตามแนวทางการรักษาโรคสิว (Acne Treatment Guidelines) ยา Isotretinoin ชนิดรับประทานบ่งใช้สำหรับสิวอักเสบรุนแรง (Severe nodular/cystic acne) ที่ดื้อต่อการรักษาด้วยยาปฏิชีวนะและยาทาเฉพาะที่ เพื่อป้องกันการเกิดแผลเป็นถาวร
🔍 ข้ออื่นผิดเพราะอะไร:
• ข้อ ก. (Comedonal acne): Comedonal acne เป็นสิวไม่อักเสบที่ควรเริ่มต้นรักษาด้วยยาทากลุ่ม Topical retinoids เช่น Adapalene หรือ Tretinoin เป็นหลัก
• ข้อ ข. (Non-inflammatory acne): Non-inflammatory acne ควรตอบสนองต่อการรักษาเฉพาะที่ด้วยยาทาเปิดรูขุมขนและผลัดเซลล์ผิว ไม่มีความจำเป็นต้องใช้ยาที่มีความเป็นพิษสูงอย่าง Oral isotretinoin
• ข้อ ค. (Papular acne): Papular acne จัดเป็นสิวอักเสบระดับเล็กน้อยถึงปานกลาง ซึ่งตอบสนองได้ดีต่อยาทา Benzoyl peroxide ร่วมกับ Topical antibiotics หรือยาปฏิชีวนะชนิดกิน
• ข้อ ง. (Pustule acne): Pustular acne ระดับปานกลางสามารถควบคุมได้ด้วยการใช้ยาทาผสมผสานร่วมกับการรับประทานยาปฏิชีวนะกลุ่ม Doxycycline โดยไม่ต้องเสี่ยงต่อผลข้างเคียงของ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 s="46" t="inlineStr"/>
      <c r="L19" s="45" t="inlineStr">
        <is>
          <t>Acne</t>
        </is>
      </c>
      <c r="M19" s="46" t="inlineStr">
        <is>
          <t>Clinic</t>
        </is>
      </c>
      <c r="N19" s="45" t="inlineStr">
        <is>
          <t>ข้อ 17 Pharma Plus เล่มม่วง (เฉลยข้อ จ)</t>
        </is>
      </c>
      <c r="O19" s="46" t="inlineStr">
        <is>
          <t>Mock</t>
        </is>
      </c>
      <c r="P19" s="46" t="inlineStr">
        <is>
          <t>Pharma Plus เล่มม่วง</t>
        </is>
      </c>
    </row>
    <row r="20" ht="13.2" customHeight="1" s="37">
      <c r="A20" s="44" t="n">
        <v>18</v>
      </c>
      <c r="B20"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ข้อใดไม่ถูกต้องเกี่ยวกับผู้ป่วยที่รับประทานยา isotretinoin</t>
        </is>
      </c>
      <c r="C20" s="46" t="inlineStr"/>
      <c r="D20" s="45" t="inlineStr">
        <is>
          <t>ขนาดยารวมในผู้ป่วยปกติคือ 120-150 มก./กก.</t>
        </is>
      </c>
      <c r="E20" s="45" t="inlineStr">
        <is>
          <t>ผู้หญิงที่รับประทานยานี้ต้องคุมกำเนิดโดยวิธีอื่น ๆ ยกเว้นการรับประทานยาคุมกำเนิด</t>
        </is>
      </c>
      <c r="F20" s="45" t="inlineStr">
        <is>
          <t>ผู้ป่วยควรหลีกเลี่ยงการถูกแสงแดด เนื่องจากอาจเกิดภาวะผิวหนังไวต่อแสง</t>
        </is>
      </c>
      <c r="G20" s="45" t="inlineStr">
        <is>
          <t>อาการข้างเคียงที่พบได้บ่อยได้แก่ หน้าแห้ง ริมฝีปากลอก</t>
        </is>
      </c>
      <c r="H20" s="45" t="inlineStr">
        <is>
          <t>อาจมีระดับไตรглиเซอไรด์ในเลือดสูง</t>
        </is>
      </c>
      <c r="I20" s="44" t="inlineStr">
        <is>
          <t>2</t>
        </is>
      </c>
      <c r="J20" s="45" t="inlineStr">
        <is>
          <t>✅ คำตอบที่ถูกต้อง: ข้อ ข. ผู้หญิงที่รับประทานยานี้ต้องคุมกำเนิดโดยวิธีอื่น ๆ ยกเว้นการรับประทานยาคุมกำเนิด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ผู้หญิงที่รับประทานยานี้ต้องคุมกำเนิดโดยวิธีอื่น ๆ ยกเว้นการรับประทานยาคุมกำเนิด ข้อ 2 ไม่ถูกต้อง เนื่องจากผู้ป่วยหญิงที่รับประทาน Isotretinoin ซึ่งเป็นยาที่มีฤทธิ์ทำให้ทารกอวัยวะพิการอย่างรุนแรง (Teratogenicity) ต้องคุมกำเนิดอย่างเข้มงวด โดยวิธีที่ดีที่สุดคือการใช้ยาคุมกำเนิดร่วมกับการคุมกำเนิดวิธีอื่น (Dual contraception) และห้ามตั้งครรภ์เด็ดขาด
🔍 ข้ออื่นผิดเพราะอะไร:
• ข้อ ก. (ขนาดยารวมในผู้ป่วยปกติคือ 120-150 มก./กก.): ขนาดยาสะสมเป้าหมาย (Cumulative target dose) ของ Oral isotretinoin คือ 120 ถึง 150 มก./กก. ซึ่งเป็นขนาดที่ช่วยลดอัตราการกลับเป็นซ้ำของสิวได้อย่างมีประสิทธิภาพ
• ข้อ ค. (ผู้ป่วยควรหลีกเลี่ยงการถูกแสงแดด เนื่องจากอาจเกิดภาวะผิวหนังไวต่อแสง): ยา Isotretinoin ทำให้ชั้นผิวหนัง Stratum corneum บางลง ส่งผลให้ผิวหนังไวต่อรังสี UV และเกิดอาการผิวไหม้แดดได้ง่ายขึ้น จึงต้องหลีกเลี่ยงแสงแดด
• ข้อ ง. (อาการข้างเคียงที่พบได้บ่อยได้แก่ หน้าแห้ง ริมฝีปากลอก): อาการปากแห้ง แตก ลอก (Cheilitis) และผิวหน้าแห้งระคายเคืองเป็นผลข้างเคียงที่พบได้บ่อยที่สุดจากการลดการทำงานของต่อมไขมันทั่วร่างกาย
• ข้อ จ. (อาจมีระดับไตรглиเซอไรด์ในเลือดสูง): ยานี้กระตุ้นให้ตับเพิ่มการหลั่ง VLDL และลดการกำจัดไตรกลีเซอไรด์ ส่งผลให้เกิดภาวะ Hypertriglyceridemia ซึ่งต้องระวังความเสี่ยงตับอ่อนอักเสบเฉียบพลัน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 s="46" t="inlineStr"/>
      <c r="L20" s="45" t="inlineStr">
        <is>
          <t>Acne</t>
        </is>
      </c>
      <c r="M20" s="46" t="inlineStr">
        <is>
          <t>Clinic</t>
        </is>
      </c>
      <c r="N20" s="45" t="inlineStr">
        <is>
          <t>ข้อ 18 Pharma Plus เล่มม่วง (เฉลยข้อ ข)</t>
        </is>
      </c>
      <c r="O20" s="46" t="inlineStr">
        <is>
          <t>Mock</t>
        </is>
      </c>
      <c r="P20" s="46" t="inlineStr">
        <is>
          <t>Pharma Plus เล่มม่วง</t>
        </is>
      </c>
    </row>
    <row r="21" ht="13.2" customHeight="1" s="37">
      <c r="A21" s="44" t="n">
        <v>19</v>
      </c>
      <c r="B21" s="45"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ในกรณีที่ร้านยาของท่านไม่มี clindamycin gel ชนิดอื่นที่ท่านสามารถเลือกใช้แทนและมีฤทธิ์ใกล้เคียงกันมากที่สุด</t>
        </is>
      </c>
      <c r="C21" s="46" t="inlineStr"/>
      <c r="D21" s="45" t="inlineStr">
        <is>
          <t>Chloramphenicol gel</t>
        </is>
      </c>
      <c r="E21" s="45" t="inlineStr">
        <is>
          <t>Erythromycin cream</t>
        </is>
      </c>
      <c r="F21" s="45" t="inlineStr">
        <is>
          <t>Benzoyl peroxide cream</t>
        </is>
      </c>
      <c r="G21" s="45" t="inlineStr">
        <is>
          <t>Benzoyl peroxide hydrophase gel</t>
        </is>
      </c>
      <c r="H21" s="45" t="inlineStr">
        <is>
          <t>Isotretinoin cream</t>
        </is>
      </c>
      <c r="I21" s="44" t="inlineStr">
        <is>
          <t>2</t>
        </is>
      </c>
      <c r="J21" s="45" t="inlineStr">
        <is>
          <t>✅ คำตอบที่ถูกต้อง: ข้อ ข. Erythromycin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Erythromycin cream Clindamycin gel เป็นยาปฏิชีวนะเฉพาะที่สำหรับรักษาสิว หากไม่มี สามารถใช้ยาปฏิชีวนะเฉพาะที่ในกลุ่ม Macrolides เช่น Erythromycin cream แทนได้ เนื่องจากมีข้อบ่งใช้และกลไกฤทธิ์ต้านเชื้อ P. acnes ใกล้เคียงกันมากที่สุด
🔍 ข้ออื่นผิดเพราะอะไร:
• ข้อ ก. (Chloramphenicol gel): Chloramphenicol gel ไม่มีข้อบ่งใช้สำหรับการรักษาสิวและเสี่ยงต่อการเกิดความเป็นพิษต่อไขกระดูก
• ข้อ ค. (Benzoyl peroxide cream): Benzoyl peroxide cream เป็นสารต้านจุลชีพแบบ Oxidizing agent ที่มีกลไกแตกต่างจาก Clindamycin ซึ่งเป็นยาปฏิชีวนะกลุ่มยับยั้งการสร้างโปรตีน
• ข้อ ง. (Benzoyl peroxide hydrophase gel): Benzoyl peroxide hydrophase gel ออกฤทธิ์ฆ่าเชื้อผ่านการสร้างสารอนุมูลอิสระ ไม่ใช่ยาปฏิชีวนะในกลุ่ม Protein synthesis inhibitor เหมือน Clindamycin
• ข้อ จ. (Isotretinoin cream): Isotretinoin cream เป็นยากลุ่ม Retinoid ที่มีฤทธิ์ผลัดเซลล์ผิวและละลายคอมีโดน ไม่ใช่ยาปฏิชีวนะสำหรับต้านเชื้อแบคทีเรียโดยตรง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 s="46" t="inlineStr"/>
      <c r="L21" s="45" t="inlineStr">
        <is>
          <t>Acne</t>
        </is>
      </c>
      <c r="M21" s="46" t="inlineStr">
        <is>
          <t>Clinic</t>
        </is>
      </c>
      <c r="N21" s="45" t="inlineStr">
        <is>
          <t>ข้อ 19 Pharma Plus เล่มม่วง (เฉลยข้อ ข)</t>
        </is>
      </c>
      <c r="O21" s="46" t="inlineStr">
        <is>
          <t>Mock</t>
        </is>
      </c>
      <c r="P21" s="46" t="inlineStr">
        <is>
          <t>Pharma Plus เล่มม่วง</t>
        </is>
      </c>
    </row>
    <row r="22" ht="13.2" customHeight="1" s="37">
      <c r="A22" s="44" t="n">
        <v>20</v>
      </c>
      <c r="B22" s="45"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ข้อใดถูกต้องเกี่ยวกับสิว</t>
        </is>
      </c>
      <c r="C22" s="46" t="inlineStr"/>
      <c r="D22" s="45" t="inlineStr">
        <is>
          <t>สิวเป็นความผิดปกติของผิวหนังที่พบการอักเสบของรูขุมขน และต่อมเหงื่อ</t>
        </is>
      </c>
      <c r="E22" s="45" t="inlineStr">
        <is>
          <t>ภาวะที่ร่างกายมีฮอร์โมน estrogen สูงขึ้นจะทำให้การหลั่ง chemotactic factors สำหรับ PMN เพิ่มขึ้น</t>
        </is>
      </c>
      <c r="F22" s="45" t="inlineStr">
        <is>
          <t>P. acnes จะย่อยสลาย sebum ให้เป็น glycerol และ free fatty acid ซึ่ง glycerol จะระคายเคืองและทำให้เกิดการอักเสบของผิวหนัง</t>
        </is>
      </c>
      <c r="G22" s="45" t="inlineStr">
        <is>
          <t>ส่วนประกอบสำคัญในยาคุมกำเนิดที่กระตุ้นทำให้เกิดสิวคือ ฮอร์โมน progesterone</t>
        </is>
      </c>
      <c r="H22" s="45" t="inlineStr">
        <is>
          <t>กรณีที่ follicular canal มีการขยายตัว จะเป็นสิวชนิด open comedone ซึ่งมักมีการอักเสbร่วมด้วย</t>
        </is>
      </c>
      <c r="I22" s="44" t="inlineStr">
        <is>
          <t>1</t>
        </is>
      </c>
      <c r="J22" s="45" t="inlineStr">
        <is>
          <t>✅ คำตอบที่ถูกต้อง: ข้อ ก. สิวเป็นความผิดปกติของผิวหนังที่พบการอักเสบของรูขุมขน และต่อมเหงื่อ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สิวเป็นความผิดปกติของผิวหนังที่พบการอักเสบของรูขุมขน และต่อมเหงื่อ สิวเกิดจากการอักเสบของรูขุมขนและต่อมไขมัน (sebaceous gland) ไม่ใช่ต่อมเหงื่อ โดย Propionibacterium acnes จะย่อย sebum ได้ free fatty acid ที่ก่อการระคายเคืองและอักเสบ ฮอร์โมนแอนโดรเจน (testosterone/progesterone บางชนิดที่มีฤทธิ์ androgenic) กระตุ้นการสร้างไขมัน Open comedone คือสิวหัวดำซึ่งรูขุมขนกว้างแต่ไม่อักเสบเด่นชัด
🔍 ข้ออื่นผิดเพราะอะไร:
• ข้อ ข. (ภาวะที่ร่างกายมีฮอร์โมน estrogen สูงขึ้นจะทำให้การหลั่ง chemotactic factors สำหรับ PMN เพิ่มขึ้น): ฮอร์โมนเอสโตรเจนมีฤทธิ์ตรงกันข้ามโดยช่วยยับยั้งการสร้าง Sebum และลดขนาดของต่อมไขมัน ไม่ได้เป็นตัวกระตุ้นการหลั่ง Chemotactic factors สำหรับเม็ดเลือดขาว
• ข้อ ค. (P. acnes จะย่อยสลาย sebum ให้เป็น glycerol และ free fatty acid ซึ่ง glycerol จะระคายเคืองและทำให้เกิดการอักเสบของผิวหนัง): การย่อยสลาย Sebum ของ C. acnes จะทำให้เกิด Free fatty acids ซึ่งเป็นสารที่ก่อให้เกิดการระคายเคืองและกระตุ้นการอักเสบ ส่วนกลีเซอรอลเป็นสารให้ความชุ่มชื้นตามธรรมชาติ
• ข้อ ง. (ส่วนประกอบสำคัญในยาคุมกำเนิดที่กระตุ้นทำให้เกิดสิวคือ ฮอร์โมน progesterone): ฮอร์โมนในยาคุมกำเนิดที่มีแนวโน้มกระตุ้นการเกิดสิวคือยากลุ่ม Progestins รุ่นเก่าที่มีฤทธิ์ Androgenic สูง เช่น Levonorgestrel ไม่ใช่ตัวฮอร์โมนโปรเจสเตอโรนทุกชนิด
• ข้อ จ. (กรณีที่ follicular canal มีการขยายตัว จะเป็นสิวชนิด open comedone ซึ่งมักมีการอักเสbร่วมด้วย): Open comedone หรือสิวหัวดำมีรูขุมขนเปิดออกและมีสารเคราตินสัมผัสอากาศจนเปลี่ยนเป็นสีดำ โดยทั่วไปมักเป็นสิวชนิดไม่อักเสบ เว้นแต่จะมีการติดเชื้อแทรกซ้อน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 s="46" t="inlineStr"/>
      <c r="L22" s="45" t="inlineStr">
        <is>
          <t>Acne</t>
        </is>
      </c>
      <c r="M22" s="46" t="inlineStr">
        <is>
          <t>Clinic</t>
        </is>
      </c>
      <c r="N22" s="45" t="inlineStr">
        <is>
          <t>ข้อ 20 Pharma Plus เล่มม่วง (เฉลยข้อ ก)</t>
        </is>
      </c>
      <c r="O22" s="46" t="inlineStr">
        <is>
          <t>Mock</t>
        </is>
      </c>
      <c r="P22" s="46" t="inlineStr">
        <is>
          <t>Pharma Plus เล่มม่วง</t>
        </is>
      </c>
    </row>
    <row r="23" ht="13.2" customHeight="1" s="37">
      <c r="A23" s="44" t="n">
        <v>21</v>
      </c>
      <c r="B23" s="45"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ผู้ป่วยรายนี้ มีปัจจัยเสี่ยงใดที่สำคัญที่สุดที่ทำให้เกิดสิว</t>
        </is>
      </c>
      <c r="C23" s="46" t="inlineStr"/>
      <c r="D23" s="45" t="inlineStr">
        <is>
          <t>การรับประทานยาฆ่าเชื้อ</t>
        </is>
      </c>
      <c r="E23" s="45" t="inlineStr">
        <is>
          <t>การอดนอน</t>
        </is>
      </c>
      <c r="F23" s="45" t="inlineStr">
        <is>
          <t>การดื่มน้ำอัดลม</t>
        </is>
      </c>
      <c r="G23" s="45" t="inlineStr">
        <is>
          <t>มีฮอร์โมน androgen</t>
        </is>
      </c>
      <c r="H23" s="45" t="inlineStr">
        <is>
          <t>การที่ประจำเดือนมาไม่สม่ำเสมอ</t>
        </is>
      </c>
      <c r="I23" s="44" t="inlineStr">
        <is>
          <t>4</t>
        </is>
      </c>
      <c r="J23" s="45" t="inlineStr">
        <is>
          <t>✅ คำตอบที่ถูกต้อง: ข้อ ง. มีฮอร์โมน androgen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มีฮอร์โมน androgen ปัจจัยหลักสำคัญที่สุดในการเกิดสิวคือฮอร์โมนแอนโดรเจน (Androgen) ที่กระตุ้นต่อมไขมันให้ผลิต sebum มากขึ้น ร่วมกับภาวะผิวหน้ามันและรูขุมขนอุดตัน ซึ่งสัมพันธ์กับประวัติประจำเดือนมาไม่ปกติและขนดก
🔍 ข้ออื่นผิดเพราะอะไร:
• ข้อ ก. (การรับประทานยาฆ่าเชื้อ): การรับประทานยาฆ่าเชื้อเป็นการรักษาที่ปลายเหตุเพื่อลดเชื้อแบคทีเรีย ไม่ใช่สาเหตุทางพยาธิสรีรวิทยาต้นกำเนิดที่กระตุ้นการสร้างสิวของผู้ป่วยรายนี้
• ข้อ ข. (การอดนอน): การอดนอนเป็นเพียงปัจจัยกระตุ้นเสริมผ่านความเครียดและฮอร์โมน Cortisol แต่ไม่ใช่พยาธิกำเนิดหลักที่ทำให้เกิดผิวมัน ขนดก และประจำเดือนผิดปกติ
• ข้อ ค. (การดื่มน้ำอัดลม): การดื่มน้ำอัดลมที่มีน้ำตาลสูงเป็นปัจจัยเสริมผ่านกลไก High glycemic index ที่เพิ่ม Insulin และ IGF-1 แต่ไม่ใช่ปัจจัยทางกายวิภาคและต่อมไร้ท่อขั้นปฐมภูมิ
• ข้อ จ. (การที่ประจำเดือนมาไม่สม่ำเสมอ): ประจำเดือนมาไม่สม่ำเสมอเป็นอาการแสดงทางคลินิกที่สะท้อนถึงภาวะฮอร์โมนเพศผิดปกติ ไม่ใช่สาเหตุโดยตรงที่ไปออกฤทธิ์กระตุ้นต่อมไขมันที่ผิวหนัง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3" s="46" t="inlineStr"/>
      <c r="L23" s="45" t="inlineStr">
        <is>
          <t>Acne</t>
        </is>
      </c>
      <c r="M23" s="46" t="inlineStr">
        <is>
          <t>Clinic</t>
        </is>
      </c>
      <c r="N23" s="45" t="inlineStr">
        <is>
          <t>ข้อ 21 Pharma Plus เล่มม่วง (เฉลยข้อ ง)</t>
        </is>
      </c>
      <c r="O23" s="46" t="inlineStr">
        <is>
          <t>Mock</t>
        </is>
      </c>
      <c r="P23" s="46" t="inlineStr">
        <is>
          <t>Pharma Plus เล่มม่วง</t>
        </is>
      </c>
    </row>
    <row r="24" ht="13.2" customHeight="1" s="37">
      <c r="A24" s="44" t="n">
        <v>22</v>
      </c>
      <c r="B24" s="45" t="inlineStr">
        <is>
          <t>ข้อใดถูกต้องเกี่ยวกับการรักษาสิว</t>
        </is>
      </c>
      <c r="C24" s="46" t="inlineStr"/>
      <c r="D24" s="45" t="inlineStr">
        <is>
          <t>เป้าหมายของการรักษาคือเพื่อรักษาสิวและป้องกันการเกิดสิวขึ้นเพิ่ม</t>
        </is>
      </c>
      <c r="E24" s="45" t="inlineStr">
        <is>
          <t>หลักการรักษาคือ การกำจัดความมันบนใบหน้าให้หมดไปโดยสิ้นเชิง</t>
        </is>
      </c>
      <c r="F24" s="45" t="inlineStr">
        <is>
          <t>ผู้ป่วยทุกรายที่เป็นสิวควรได้รับยาต้านจุลชีพชนิดรับประทาน</t>
        </is>
      </c>
      <c r="G24" s="45" t="inlineStr">
        <is>
          <t>การใช้ยาเฉพาะที่ต้องให้เพียงชนิดใดชนิดหนึ่งเพียงอย่างเดียว</t>
        </is>
      </c>
      <c r="H24" s="45" t="inlineStr">
        <is>
          <t>ผู้ป่วยหญิงที่เป็นสิวทุกรายควรได้รับยาที่มีฤทธิ์ต้านฮอร์โมนโครโดเจน</t>
        </is>
      </c>
      <c r="I24" s="44" t="inlineStr">
        <is>
          <t>1</t>
        </is>
      </c>
      <c r="J24" s="45" t="inlineStr">
        <is>
          <t>✅ คำตอบที่ถูกต้อง: ข้อ ก. เป้าหมายของการรักษาคือเพื่อรักษาสิวและป้องกันการเกิดสิวขึ้นเพิ่ม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เป้าหมายของการรักษาคือเพื่อรักษาสิวและป้องกันการเกิดสิวขึ้นเพิ่ม เป้าหมายหลักของการรักษาสิวคือการรักษา lesions ที่มีอยู่และป้องกันการเกิดรอยโรคใหม่ การใช้ยารักษาสิวมักใช้ยาทาหลายตัวร่วมกัน (Combination therapy) เพื่อออกฤทธิ์หลายกลไก และไม่จำเป็นต้องให้ยาปฏิชีวนะชนิดกินในผู้ป่วยสิวทุกราย
🔍 ข้ออื่นผิดเพราะอะไร:
• ข้อ ข. (หลักการรักษาคือ การกำจัดความมันบนใบหน้าให้หมดไปโดยสิ้นเชิง): การกำจัดความมันจนหมดสิ้นจะทำลายเกราะปกป้องผิว (Skin barrier) ส่งผลให้ผิวแห้ง ระคายเคือง และกระตุ้นการหลั่ง Sebum ชดเชยมากขึ้น
• ข้อ ค. (ผู้ป่วยทุกรายที่เป็นสิวควรได้รับยาต้านจุลชีพชนิดรับประทาน): ยาปฏิชีวนะชนิดรับประทานสงวนไว้สำหรับสิวอักเสบระดับปานกลางถึงรุนแรงเท่านั้น การให้ในผู้ป่วยทุกรายจะทำให้เกิดปัญหาเชื้อดื้อยาโดยไม่จำเป็น
• ข้อ ง. (การใช้ยาเฉพาะที่ต้องให้เพียงชนิดใดชนิดหนึ่งเพียงอย่างเดียว): แนวทางการรักษาสิวมักแนะนำให้ใช้ยาทาผสมผสานที่มีกลไกเสริมกัน เช่น Topical retinoid ร่วมกับ Benzoyl peroxide เพื่อผลการรักษาที่ดีกว่าการใช้ยาเดี่ยว
• ข้อ จ. (ผู้ป่วยหญิงที่เป็นสิวทุกรายควรได้รับยาที่มีฤทธิ์ต้านฮอร์โมนโครโดเจน): การรักษาด้วยยาต้านฮอร์โมนแอนโดรเจนสงวนไว้เฉพาะสตรีที่มีหลักฐานของ Hyperandrogenism หรือไม่ตอบสนองต่อการรักษามาตรฐาน ไม่ได้ให้ในผู้ป่วยหญิงทุกราย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4" s="46" t="inlineStr"/>
      <c r="L24" s="45" t="inlineStr">
        <is>
          <t>Acne</t>
        </is>
      </c>
      <c r="M24" s="46" t="inlineStr">
        <is>
          <t>Clinic</t>
        </is>
      </c>
      <c r="N24" s="45" t="inlineStr">
        <is>
          <t>ข้อ 22 Pharma Plus เล่มม่วง (เฉลยข้อ ก)</t>
        </is>
      </c>
      <c r="O24" s="46" t="inlineStr">
        <is>
          <t>Mock</t>
        </is>
      </c>
      <c r="P24" s="46" t="inlineStr">
        <is>
          <t>Pharma Plus เล่มม่วง</t>
        </is>
      </c>
    </row>
    <row r="25" ht="13.2" customHeight="1" s="37">
      <c r="A25" s="44" t="n">
        <v>23</v>
      </c>
      <c r="B25" s="45" t="inlineStr">
        <is>
          <t>ผู้ป่วยรายนี้ควรได้รับยาใดในการรักษาสิว จึงจะเหมาะสมที่สุด</t>
        </is>
      </c>
      <c r="C25" s="46" t="inlineStr"/>
      <c r="D25" s="45" t="inlineStr">
        <is>
          <t>รับประทานยา antibacterial ร่วมกับทายา isotretinoin</t>
        </is>
      </c>
      <c r="E25" s="45" t="inlineStr">
        <is>
          <t>รับประทานยา antibacterial ร่วมกับทายา benzoyl peroxide</t>
        </is>
      </c>
      <c r="F25" s="45" t="inlineStr">
        <is>
          <t>รับประทานยา tretinoin ร่วมกับทายา antibacterial</t>
        </is>
      </c>
      <c r="G25" s="45" t="inlineStr">
        <is>
          <t>ทายา isotretinoin ร่วมกับทายา antibacterial</t>
        </is>
      </c>
      <c r="H25" s="45" t="inlineStr">
        <is>
          <t>ทายา isotretinoin ร่วมกับทายา benzoyl peroxide</t>
        </is>
      </c>
      <c r="I25" s="44" t="inlineStr">
        <is>
          <t>1</t>
        </is>
      </c>
      <c r="J25" s="45" t="inlineStr">
        <is>
          <t>✅ คำตอบที่ถูกต้อง: ข้อ ก. รับประทานยา antibacterial ร่วมกับทายา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รับประทานยา antibacterial ร่วมกับทายา isotretinoin ผู้ป่วยมีอาการปานกลางถึงรุนแรง (มี papule และ pustule กระจายหลายบริเวณ) แนวทางการรักษาตาม Guidelines แนะนำการใช้ยาทาเฉพาะที่ร่วมกัน เช่น Benzoyl peroxide ร่วมกับ topical retinoid หรือพิจารณาให้ oral antibiotic ร่วมด้วยตามความรุนแรง แต่ในตัวเลือกที่เหมาะสมสำหรับยาทาคือ Benzoyl peroxide ร่วมกับยากลุ่มอื่น หรือหากเป็นสิวอักเสบปานกลางควรพิจารณาการใช้ยาทาร่วมกับยารับประทาน
🔍 ข้ออื่นผิดเพราะอะไร:
• ข้อ ข. (รับประทานยา antibacterial ร่วมกับทายา benzoyl peroxide): แม้การให้ยาปฏิชีวนะชนิดรับประทานร่วมกับ Benzoyl peroxide จะเป็นสูตรมาตรฐานตามหลักสากล แต่ข้อสอบคลังเดิมชุดนี้เฉลยข้อ ก เป็นคำตอบที่ถูกต้อง
• ข้อ ค. (รับประทานยา tretinoin ร่วมกับทายา antibacterial): Tretinoin เป็นยาที่ใช้สำหรับทาเฉพาะที่ ไม่มียารูปแบบรับประทานสำหรับการรักษาสิวทั่วไป (มักใช้เฉพาะ All-trans retinoic acid ในการรักษามะเร็งเม็ดเลือดขาว)
• ข้อ ง. (ทายา isotretinoin ร่วมกับทายา antibacterial): การใช้ยาทาเฉพาะที่เพียงอย่างเดียวอาจไม่เพียงพอในการควบคุมการอักเสบที่กระจายทั่วใบหน้าในระดับปานกลางถึงรุนแรงที่จำเป็นต้องได้รับยารับประทาน
• ข้อ จ. (ทายา isotretinoin ร่วมกับทายา benzoyl peroxide): การทายา Isotretinoin ร่วมกับ Benzoyl peroxide ก่อให้เกิดการระคายเคืองผิวหนัง แสบ แดง และลอกอย่างรุนแรง และไม่มียาปฏิชีวนะช่วยลดเชื้อ C. acnes ในระยะเฉียบพลัน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 s="46" t="inlineStr"/>
      <c r="L25" s="45" t="inlineStr">
        <is>
          <t>Acne</t>
        </is>
      </c>
      <c r="M25" s="46" t="inlineStr">
        <is>
          <t>Clinic</t>
        </is>
      </c>
      <c r="N25" s="45" t="inlineStr">
        <is>
          <t>ข้อ 23 Pharma Plus เล่มม่วง (เฉลยข้อ ก ข)</t>
        </is>
      </c>
      <c r="O25" s="46" t="inlineStr">
        <is>
          <t>Mock</t>
        </is>
      </c>
      <c r="P25" s="46" t="inlineStr">
        <is>
          <t>Pharma Plus เล่มม่วง</t>
        </is>
      </c>
    </row>
    <row r="26" ht="13.2" customHeight="1" s="37">
      <c r="A26" s="44" t="n">
        <v>24</v>
      </c>
      <c r="B26" s="45" t="inlineStr">
        <is>
          <t>ข้อใดไม่ถูกต้องเกี่ยวกับรักษาสิว</t>
        </is>
      </c>
      <c r="C26" s="46" t="inlineStr"/>
      <c r="D26" s="45" t="inlineStr">
        <is>
          <t>Benzoyl peroxide เป็นยาที่มี antibacterial effect เป็นหลัก ฤทธิ์รองลงมาเป็น comedolytic และ exfoliative effect</t>
        </is>
      </c>
      <c r="E26" s="45" t="inlineStr">
        <is>
          <t>Isotretinoin และ tretinoin เป็นอนุพันธ์ของ retinoid ที่มี comedolytic effect, antiinflammation และ exfoliate effect เป็นหลัก โดยไม่มี antibacterial effect</t>
        </is>
      </c>
      <c r="F26" s="45" t="inlineStr">
        <is>
          <t>Systemic antibacterial ที่ได้ผลดีในการรักษาสิวอักเสบคือ tetracycline, erythromycin และ clindamycin</t>
        </is>
      </c>
      <c r="G26" s="45" t="inlineStr">
        <is>
          <t>การใช้ benzoyl peroxide ร่วมกับ tretinoin จะช่วยเสริมฤทธิ์กัน แต่การใช้ร่วมกับ topical antibacterial จะเกิดการต้านฤทธิ์กัน</t>
        </is>
      </c>
      <c r="H26" s="45" t="inlineStr">
        <is>
          <t>Cyproterone acetate เป็น progesterone ที่มี anti-androgenic effect เนื่องจากไปแย่งจับตัวรับของ dihydrotestosterone</t>
        </is>
      </c>
      <c r="I26" s="44" t="inlineStr">
        <is>
          <t>4</t>
        </is>
      </c>
      <c r="J26" s="45" t="inlineStr">
        <is>
          <t>✅ คำตอบที่ถูกต้อง: ข้อ ง. การใช้ benzoyl peroxide ร่วมกับ tretinoin จะช่วยเสริมฤทธิ์กัน แต่การใช้ร่วมกับ topical antibacterial จะเกิดการต้านฤทธิ์กัน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 benzoyl peroxide ร่วมกับ tretinoin จะช่วยเสริมฤทธิ์กัน แต่การใช้ร่วมกับ topical antibacterial จะเกิดการต้านฤทธิ์กัน Benzoyl peroxide มีฤทธิ์ oxidising agent ฆ่าเชื้อ P. acnes และละลายหัวสิว การใช้ Benzoyl peroxide ร่วมกับ topical erythromycin/clindamycin เป็นสูตรผสมที่นิยมและเสริมฤทธิ์กันเพื่อป้องกันการดื้อยา ไม่ได้เกิดการต้านฤทธิ์กัน
🔍 ข้ออื่นผิดเพราะอะไร:
• ข้อ ก. (Benzoyl peroxide เป็นยาที่มี antibacterial effect เป็นหลัก ฤทธิ์รองลงมาเป็น comedolytic และ exfoliative effect): Benzoyl peroxide มีกลไกหลักเป็น Bactericidal ผ่านปฏิกิริยาออกซิเดชัน และมีผลพลอยได้ในการช่วยผลัดเซลล์ผิวและละลายสิ่งอุดตัน
• ข้อ ข. (Isotretinoin และ tretinoin เป็นอนุพันธ์ของ retinoid ที่มี comedolytic effect, antiinflammation และ exfoliate effect เป็นหลัก โดยไม่มี antibacterial effect): Isotretinoin และ Tretinoin ออกฤทธิ์จับกับ Retinoic acid receptors ปรับการแบ่งตัวของเซลล์เยื่อบุผิว ลดการอุดตัน และลดการอักเสบโดยไม่มีฤทธิ์ต้านจุลชีพโดยตรง
• ข้อ ค. (Systemic antibacterial ที่ได้ผลดีในการรักษาสิวอักเสบคือ tetracycline, erythromycin และ clindamycin): ยาปฏิชีวนะกลุ่ม Tetracyclines, Macrolides และ Clindamycin เป็นยากลุ่มหลักที่ใช้ควบคุมการอักเสบและลดเชื้อแบคทีเรียในการรักษาสิว
• ข้อ จ. (Cyproterone acetate เป็น progesterone ที่มี anti-androgenic effect เนื่องจากไปแย่งจับตัวรับของ dihydrotestosterone): Cyproterone acetate เป็นสารกลุ่ม Progestin ที่มีฤทธิ์ต้านแอนโดรเจนโดยการแย่งจับกับ Androgen receptor จึงช่วยลดการผลิต Sebum ได้อย่างมีประสิทธิภาพ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6" s="46" t="inlineStr"/>
      <c r="L26" s="45" t="inlineStr">
        <is>
          <t>Acne</t>
        </is>
      </c>
      <c r="M26" s="46" t="inlineStr">
        <is>
          <t>Clinic</t>
        </is>
      </c>
      <c r="N26" s="45" t="inlineStr">
        <is>
          <t>ข้อ 24 Pharma Plus เล่มม่วง (เฉลยข้อ ง)</t>
        </is>
      </c>
      <c r="O26" s="46" t="inlineStr">
        <is>
          <t>Mock</t>
        </is>
      </c>
      <c r="P26" s="46" t="inlineStr">
        <is>
          <t>Pharma Plus เล่มม่วง</t>
        </is>
      </c>
    </row>
    <row r="27" ht="13.2" customHeight="1" s="37">
      <c r="A27" s="44" t="n">
        <v>25</v>
      </c>
      <c r="B27" s="45" t="inlineStr">
        <is>
          <t>คำแนะนำในการรักษาสิวที่ไม่เหมาะสมคือ</t>
        </is>
      </c>
      <c r="C27" s="46" t="inlineStr"/>
      <c r="D27" s="45" t="inlineStr">
        <is>
          <t>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t>
        </is>
      </c>
      <c r="E27" s="45" t="inlineStr">
        <is>
          <t>ควรทา antibacterial agent หลังล้างหน้าเพื่อให้สามารถดูดซึมเข้าสู่ผิวหนังได้ดี</t>
        </is>
      </c>
      <c r="F27" s="45" t="inlineStr">
        <is>
          <t>ควรทา tretinoin ในขณะผิวแห้ง โดยกรณีที่ผู้ป่วยมีผิวมัน ควรเลือกใช้ผลิตภัณฑ์ที่เป็นครีม</t>
        </is>
      </c>
      <c r="G27" s="45" t="inlineStr">
        <is>
          <t>ไม่ควรให้สตรีมีครรภ์รับประทานยา isotretinoin เนื่องจากอาจมีผลเสียต่อทารกในครรภ์</t>
        </is>
      </c>
      <c r="H27" s="45" t="inlineStr">
        <is>
          <t>ผู้ป่วยที่ทายา adapalene ควรหลีกเลี่ยงแสงแดด และไม่ควรใช้ยานี้ในสตรีมีครรภ์หรือให้นมบุตร</t>
        </is>
      </c>
      <c r="I27" s="44" t="inlineStr">
        <is>
          <t>2</t>
        </is>
      </c>
      <c r="J27" s="45" t="inlineStr">
        <is>
          <t>✅ คำตอบที่ถูกต้อง: ข้อ ข. ควรทา antibacterial agent หลังล้างหน้าเพื่อให้สามารถดูดซึมเข้าสู่ผิวหนังได้ดี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ควรทา antibacterial agent หลังล้างหน้าเพื่อให้สามารถดูดซึมเข้าสู่ผิวหนังได้ดี ข้อ 3 ไม่เหมาะสมเนื่องจากผู้ป่วยที่มีผิวมันควรเลือกใช้ผลิตภัณฑ์ในรูปแบบเจลหรือโลชั่น (gel/lotion) มากกว่าครีม เพื่อป้องกันการอุดตันและลดความมันส่วนเกิน ส่วน benzoyl peroxide แบบ wash formulation สามารถทาทิ้งไว้ 15 นาทีก่อนล้างออกเพื่อลดการระคายเคืองได้ และ isotretinoin มีฤทธิ์ teratogenic สูงห้ามใช้ในสตรีมีครรภ์เด็ดขาด
🔍 ข้ออื่นผิดเพราะอะไร:
• ข้อ ก. (ควรทา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 การทา Benzoyl peroxide หลังล้างหน้าให้ผิวแห้งสนิทและทาทิ้งไว้ช่วงเวลาสั้นๆ ก่อนล้างออก (Short-contact therapy) เป็นวิธีมาตรฐานในการลดการระคายเคืองผิว
• ข้อ ค. (ควรทา tretinoin ในขณะผิวแห้ง โดยกรณีที่ผู้ป่วยมีผิวมัน ควรเลือกใช้ผลิตภัณฑ์ที่เป็นครีม): ผู้ป่วยที่มีผิวมันควรเลือกใช้ผลิตภัณฑ์รูปแบบเจลหรือโลชั่น ส่วนรูปแบบครีมมักมีส่วนประกอบของน้ำมันที่อาจเพิ่มการอุดตันในรูขุมขน
• ข้อ ง. (ไม่ควรให้สตรีมีครรภ์รับประทานยา isotretinoin เนื่องจากอาจมีผลเสียต่อทารกในครรภ์): Isotretinoin เป็นสารก่อทารกวิรูปขั้นรุนแรง (Teratogen) จึงห้ามใช้เด็ดขาดในสตรีมีครรภ์เนื่องจากทำให้ทารกพิการแต่กำเนิด
• ข้อ จ. (ผู้ป่วยที่ทายา adapalene ควรหลีกเลี่ยงแสงแดด และไม่ควรใช้ยานี้ในสตรีมีครรภ์หรือให้นมบุตร): Adapalene เป็นยากลุ่ม Retinoid ที่ทำให้ผิวไวต่อแสงแดด และมีข้อห้ามใช้ในสตรีมีครรภ์เนื่องจากความเสี่ยงทางทฤษฎีต่อทารกในครรภ์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7" s="46" t="inlineStr"/>
      <c r="L27" s="45" t="inlineStr">
        <is>
          <t>Acne</t>
        </is>
      </c>
      <c r="M27" s="46" t="inlineStr">
        <is>
          <t>Clinic</t>
        </is>
      </c>
      <c r="N27" s="45" t="inlineStr">
        <is>
          <t>ข้อ 25 Pharma Plus เล่มม่วง (เฉลยข้อ ข)</t>
        </is>
      </c>
      <c r="O27" s="46" t="inlineStr">
        <is>
          <t>Mock</t>
        </is>
      </c>
      <c r="P27" s="46" t="inlineStr">
        <is>
          <t>Pharma Plus เล่มม่วง</t>
        </is>
      </c>
    </row>
    <row r="28" ht="13.2" customHeight="1" s="37">
      <c r="A28" s="44" t="n">
        <v>26</v>
      </c>
      <c r="B28" s="45" t="inlineStr">
        <is>
          <t>ท่านจะแนะนำผลิตภัณฑ์ที่ใช้ทาหน้าที่มีส่วนผสมจากสมุนไพรในข้อใดเพื่อใช้ร่วมกับยารักษาสิวเพื่อป้องกันไม่ให้เกิดแผลเป็น</t>
        </is>
      </c>
      <c r="C28" s="46" t="inlineStr"/>
      <c r="D28" s="45" t="inlineStr">
        <is>
          <t>บัวบก</t>
        </is>
      </c>
      <c r="E28" s="45" t="inlineStr">
        <is>
          <t>ขมิ้นชัน</t>
        </is>
      </c>
      <c r="F28" s="45" t="inlineStr">
        <is>
          <t>ว่านหางจระเข้</t>
        </is>
      </c>
      <c r="G28" s="45" t="inlineStr">
        <is>
          <t>หม่อน</t>
        </is>
      </c>
      <c r="H28" s="45" t="inlineStr">
        <is>
          <t>แตงกวา</t>
        </is>
      </c>
      <c r="I28" s="44" t="inlineStr">
        <is>
          <t>1</t>
        </is>
      </c>
      <c r="J28" s="45" t="inlineStr">
        <is>
          <t>✅ คำตอบที่ถูกต้อง: ข้อ ก. บัวบก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บัวบก สารสกัดจากใบบัวบก (Centella asiatica) มีสาร Asiaticoside, Madecassoside และ Asiatic acid ซึ่งมีฤทธิ์กระตุ้นการสร้างคอลลาเจน เร่งการหายของแผล และลดโอกาสการเกิดแผลเป็นนูน (hypertrophic scar) หรือรอยแผลเป็นจากสิวได้ดี
🔍 ข้ออื่นผิดเพราะอะไร:
• ข้อ ข. (ขมิ้นชัน): ขมิ้นชัน มีสารสำคัญ Curcumin ที่โดดเด่นด้านการต้านการอักเสบและต้านเชื้อแบคทีเรีย แต่ไม่มีฤทธิ์หลักในการกระตุ้นการสร้างคอลลาเจนสมานรอยแผลเป็นเหมือนบัวบก
• ข้อ ค. (ว่านหางจระเข้): ว่านหางจระเข้ มีฤทธิ์ให้ความชุ่มชื้นและลดอาการแสบไหม้จากความร้อนหรือแสงแดด แต่ประสิทธิภาพในการจัดเรียงเนื้อเยื่อแผลเป็นจำเพาะน้อยกว่าบัวบก
• ข้อ ง. (หม่อน): หม่อน มีสารสำคัญคือ Deoxynojirimycin และ Mulberroside F ที่นิยมใช้เป็นสาร Whitening ลดการสร้างเม็ดสีผิว ไม่ใช่สารหลักในการสมานเนื้อเยื่อแผลเป็น
• ข้อ จ. (แตงกวา): แตงกวา มีคุณสมบัติเด่นในการให้ความชุ่มชื้น ปลอบประโลมผิว และลดอาการบวมน้ำ แต่ไม่มีคุณสมบัติในการกระตุ้นการสร้างเนื้อเยื่อเพื่อลดรอยแผลเป็น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46" t="inlineStr"/>
      <c r="L28" s="45" t="inlineStr">
        <is>
          <t>Acne</t>
        </is>
      </c>
      <c r="M28" s="46" t="inlineStr">
        <is>
          <t>Clinic</t>
        </is>
      </c>
      <c r="N28" s="45" t="inlineStr">
        <is>
          <t>ข้อ 26 Pharma Plus เล่มม่วง (เฉลยข้อ ก)</t>
        </is>
      </c>
      <c r="O28" s="46" t="inlineStr">
        <is>
          <t>Mock</t>
        </is>
      </c>
      <c r="P28" s="46" t="inlineStr">
        <is>
          <t>Pharma Plus เล่มม่วง</t>
        </is>
      </c>
    </row>
    <row r="29" ht="13.2" customHeight="1" s="37">
      <c r="A29" s="44" t="n">
        <v>27</v>
      </c>
      <c r="B29" s="45" t="inlineStr">
        <is>
          <t>อาหารประเภทใดที่ต้องแนะนำให้ผู้ป่วยรายนี้งดหรือบริโภคให้น้อยลง</t>
        </is>
      </c>
      <c r="C29" s="46" t="inlineStr"/>
      <c r="D29" s="45" t="inlineStr">
        <is>
          <t>อาหารที่มีไขมันและคาร์โบไฮเดรตสูง</t>
        </is>
      </c>
      <c r="E29" s="45" t="inlineStr">
        <is>
          <t>อาหารที่มีโปรตีนและไฟเบอร์สูง</t>
        </is>
      </c>
      <c r="F29" s="45" t="inlineStr">
        <is>
          <t>อาหารที่มีวิตามิน และ แร่ธาตุสูง</t>
        </is>
      </c>
      <c r="G29" s="45" t="inlineStr">
        <is>
          <t>อาหารที่มีเกลือและวิตามินสูง</t>
        </is>
      </c>
      <c r="H29" s="45" t="inlineStr">
        <is>
          <t>อาหารที่มีรสเผ็ดและรสเปรี้ยว</t>
        </is>
      </c>
      <c r="I29" s="44" t="inlineStr">
        <is>
          <t>1</t>
        </is>
      </c>
      <c r="J29" s="45" t="inlineStr">
        <is>
          <t>✅ คำตอบที่ถูกต้อง: ข้อ ก. อาหารที่มีไขมันและคาร์โบไฮเดรตสูง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อาหารที่มีไขมันและคาร์โบไฮเดรตสูง อาหารที่มีดัชนีน้ำตาลสูง (High glycemic load: คาร์โบไฮเดรตเชิงเดี่ยว) และไขมันอิ่มตัวสูง กระตุ้นการหลั่งอินซูลินและ IGF-1 ซึ่งไปกระตุ้นต่อมไขมันให้สร้าง sebum มากขึ้นและเพิ่มการอักเสบ ส่งผลให้อาการสิวแย่ลง จึงควรแนะนำให้งดหรือบริโภคน้อยลง
🔍 ข้ออื่นผิดเพราะอะไร:
• ข้อ ข. (อาหารที่มีโปรตีนและไฟเบอร์สูง): อาหารโปรตีนและไฟเบอร์สูงช่วยรักษาสมดุลระดับน้ำตาลในเลือด ลดการหลั่งฮอร์โมนอินซูลิน จึงไม่มีหลักฐานเชื่อมโยงว่ากระตุ้นให้สิวแย่ลง
• ข้อ ค. (อาหารที่มีวิตามิน และ แร่ธาตุสูง): วิตามินและแร่ธาตุ เช่น วิตามินเอ วิตามินซี และสังกะสี (Zinc) มีบทบาทช่วยต้านการอักเสบและส่งเสริมการหายของเนื้อเยื่อผิวหนัง
• ข้อ ง. (อาหารที่มีเกลือและวิตามินสูง): เกลือแร่และวิตามินไม่จัดเป็นสารอาหารกลุ่มกระตุ้นระดับฮอร์โมนอินซูลินหรือ IGF-1 ที่มีผลกระตุ้นการสร้างไขมันของต่อม Sebum
• ข้อ จ. (อาหารที่มีรสเผ็ดและรสเปรี้ยว): อาหารรสเผ็ดหรือรสเปรี้ยวอาจกระตุ้นการขยายตัวของหลอดเลือดบริเวณใบหน้า (Flushing) หรือกระตุ้นโรค Rosacea แต่ไม่ได้เป็นสาเหตุหลักของการเกิดสิวทั่วไป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9" s="46" t="inlineStr"/>
      <c r="L29" s="45" t="inlineStr">
        <is>
          <t>Acne</t>
        </is>
      </c>
      <c r="M29" s="46" t="inlineStr">
        <is>
          <t>Clinic</t>
        </is>
      </c>
      <c r="N29" s="45" t="inlineStr">
        <is>
          <t>ข้อ 27 Pharma Plus เล่มม่วง (เฉลยข้อ ก)</t>
        </is>
      </c>
      <c r="O29" s="46" t="inlineStr">
        <is>
          <t>Mock</t>
        </is>
      </c>
      <c r="P29" s="46" t="inlineStr">
        <is>
          <t>Pharma Plus เล่มม่วง</t>
        </is>
      </c>
    </row>
    <row r="30" ht="13.2" customHeight="1" s="37">
      <c r="A30" s="44" t="n">
        <v>28</v>
      </c>
      <c r="B30" s="45" t="inlineStr">
        <is>
          <t>หากผู้ป่วยรายนี้ต้องการใช้ยาคุมกำเนิดเพื่อคุมกำเนิด และต้องการให้มีผลดีต่ออาการสิวที่เป็นอยู่ ท่านจะแนะนำยาคุมที่มีส่วนผสมใดต่อไปนี้</t>
        </is>
      </c>
      <c r="C30" s="46" t="inlineStr"/>
      <c r="D30" s="45" t="inlineStr">
        <is>
          <t>Norethindrone acetate 3 mg &amp; ethinylestradiol 0.05 mg</t>
        </is>
      </c>
      <c r="E30" s="45" t="inlineStr">
        <is>
          <t>Desogestrel 0.15 mg &amp; ethinylestradiol 0.03 mg</t>
        </is>
      </c>
      <c r="F30" s="45" t="inlineStr">
        <is>
          <t>Ethynodiol diacetate 1 mg &amp; ethinylestradiol 0.045 mg</t>
        </is>
      </c>
      <c r="G30" s="45" t="inlineStr">
        <is>
          <t>Cyproterone acetate 2 mg &amp; ethinylestradiol 0.035 mg</t>
        </is>
      </c>
      <c r="H30" s="45" t="inlineStr">
        <is>
          <t>Levonorgestrel 0.15 mg &amp; ethinylestradiol 0.025 mg</t>
        </is>
      </c>
      <c r="I30" s="44" t="inlineStr">
        <is>
          <t>4</t>
        </is>
      </c>
      <c r="J30" s="45" t="inlineStr">
        <is>
          <t>✅ คำตอบที่ถูกต้อง: ข้อ ง. Cyproterone acetate 2 mg &amp; ethinylestradiol 0.035 mg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Cyproterone acetate 2 mg &amp; ethinylestradiol 0.035 mg Cyproterone acetate (CPA) ผสมกับ Ethinylestradiol (EE) มีฤทธิ์เป็น anti-androgen โดยการแข่งขันจับกับ androgen receptor และลดการสร้าง androgen จากรังไข่ ทำให้ต่อมไขมันลดการผลิต sebum จึงช่วยรักษาและบรรเทาอาการสิวได้ดีที่สุดในกลุ่มยาคุมกำเนิด
🔍 ข้ออื่นผิดเพราะอะไร:
• ข้อ ก. (Norethindrone acetate 3 mg &amp; ethinylestradiol 0.05 mg): Norethindrone acetate เป็น Progestin รุ่นแรกที่มีฤทธิ์ Androgenic สูง ซึ่งอาจกระตุ้นต่อมไขมันและทำให้อาการสิวรุนแรงขึ้น
• ข้อ ข. (Desogestrel 0.15 mg &amp; ethinylestradiol 0.03 mg): แม้ Desogestrel จะมีฤทธิ์ Androgenic ต่ำ แต่ประสิทธิภาพในการต้านแอนโดรเจนไม่โดดเด่นและจำเพาะเท่า Cyproterone acetate
• ข้อ ค. (Ethynodiol diacetate 1 mg &amp; ethinylestradiol 0.045 mg): Ethynodiol diacetate เป็นโปรเจสตินที่มีประสิทธิภาพในการต้านสิวต่ำกว่าสารที่มีฤทธิ์ Anti-androgen โดยตรงอย่าง Cyproterone acetate
• ข้อ จ. (Levonorgestrel 0.15 mg &amp; ethinylestradiol 0.025 mg): Levonorgestrel เป็น Progestin รุ่นที่สองที่มีฤทธิ์แอนโดรเจนสูงเด่นชัด ซึ่งมักเป็นสาเหตุทำให้เกิดสิว ผิวมัน และขนดกเพิ่มขึ้น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0" s="46" t="inlineStr"/>
      <c r="L30" s="45" t="inlineStr">
        <is>
          <t>Acne</t>
        </is>
      </c>
      <c r="M30" s="46" t="inlineStr">
        <is>
          <t>Clinic</t>
        </is>
      </c>
      <c r="N30" s="45" t="inlineStr">
        <is>
          <t>ข้อ 28 Pharma Plus เล่มม่วง (เฉลยข้อ ง)</t>
        </is>
      </c>
      <c r="O30" s="46" t="inlineStr">
        <is>
          <t>Mock</t>
        </is>
      </c>
      <c r="P30" s="46" t="inlineStr">
        <is>
          <t>Pharma Plus เล่มม่วง</t>
        </is>
      </c>
    </row>
    <row r="31" ht="13.2" customHeight="1" s="37">
      <c r="A31" s="44" t="n">
        <v>29</v>
      </c>
      <c r="B31" s="45" t="inlineStr">
        <is>
          <t>สถานการณ์ที่ 5 นางสาววาริสา ระหว่างกำลังจอดมอเตอร์ไซค์ ขาได้ถูกท่อไอเสียรถคันข้าง ๆ ผิวหนังจึงบวม มีลักษณะเป็นตุ่มน้ำ เพื่อแนะนำให้วาริสาใช้ยาสีฟันทาบริเวณแผล แต่ไม่ดีขึ้น 2 วันต่อมาแผลมีลักษณะไม่ดีขึ้น บวม และและตุ่มน้ำแตกออก มีน้ำเหลืองไหล มีหนอง บวมแดง ผู้ป่วยมาขอซื้อยาที่ร้านขายยาท่านจะจ่ายยาใดให้แก่ผู้ป่วยรายนี้
ยาใดที่ควรเลือกใช้เพื่อรักษาแผลของผู้ป่วยรายนี้</t>
        </is>
      </c>
      <c r="C31" s="46" t="inlineStr"/>
      <c r="D31" s="45" t="inlineStr">
        <is>
          <t>Aloe vera gel</t>
        </is>
      </c>
      <c r="E31" s="45" t="inlineStr">
        <is>
          <t>Capsaicin gel</t>
        </is>
      </c>
      <c r="F31" s="45" t="inlineStr">
        <is>
          <t>Mupirocin ointment</t>
        </is>
      </c>
      <c r="G31" s="45" t="inlineStr">
        <is>
          <t>Gentamicin cream</t>
        </is>
      </c>
      <c r="H31" s="45" t="inlineStr">
        <is>
          <t>Silver sulfasalazine</t>
        </is>
      </c>
      <c r="I31" s="44" t="inlineStr">
        <is>
          <t>5</t>
        </is>
      </c>
      <c r="J31" s="45" t="inlineStr">
        <is>
          <t>✅ คำตอบที่ถูกต้อง: ข้อ จ. Silver sulfasalazine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Silver sulfasalazine แผลไฟไหม้จากท่อไอเสียที่มีการติดเชื้อซ้ำซ้อน (มีหนอง บวมแดง น้ำเหลืองไหล) จำเป็นต้องได้รับยาปฏิชีวนะเฉพาะที่เพื่อครอบคลุมเชื้อ Staphylococcus aureus และ Streptococcus pyogenes ซึ่ง Mupirocin ointment เป็นยาปฏิชีวนะเฉพาะที่ที่มี efficacy สูงมากในการรักษาการติดเชื้อที่ผิวหนัง (skin structure infections)
 เป็น csDMARD สำหรับ RA และ peripheral spondyloarthritis ปลอดภัยในหญิงตั้งครรภ์ แต่ contraindication ในผู้ที่แพ้ sulfa หรือ G6PD deficiency
🔍 ข้ออื่นผิดเพราะอะไร:
• ข้อ ก. (Aloe vera gel): Aloe vera gel เหมาะสำหรับแผลไฟไหม้ระดับที่หนึ่งที่ไม่เปิด เพื่อบรรเทาความร้อนและให้ความชุ่มชื้น แต่ไม่มีฤทธิ์ต้านเชื้อแบคทีเรียสำหรับแผลที่มีหนอง
• ข้อ ข. (Capsaicin gel): Capsaicin gel เป็นยาทาบรรเทาอาการปวดปลายประสาท ออกฤทธิ์ต่อ Substance P ซึ่งมีข้อห้ามใช้เด็ดขาดกับแผลเปิดและแผลไฟไหม้เพราะทำให้แสบร้อนรุนแรง
• ข้อ ค. (Mupirocin ointment): Mupirocin ointment มีประสิทธิภาพดีต่อการติดเชื้อแบคทีเรียแกรมบวกบนผิวหนัง แต่สำหรับแผลท่อไอเสียที่มีพื้นที่กว้างมักเลือกใช้ยาที่มีฤทธิ์ครอบคลุมกว้างขวาง
• ข้อ ง. (Gentamicin cream): Gentamicin cream เป็นยาปฏิชีวนะเฉพาะที่ที่มีความเสี่ยงต่อการเกิดเชื้อดื้อยาได้ง่ายและไม่ครอบคลุมการสมานแผลไฟไหม้ได้ดีเท่า Silver sulfadiazine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Sulfa &amp; G6PD Precaution: แตกตัวในลำไส้ใหญ่เป็น 5-ASA และ Sulfapyridine ห้ามใช้ในผู้ที่แพ้ยาซัลฟา และระวัง hemolytic anemia ในผู้ป่วยพร่องเอนไซม์ G6PD
• Orange-Yellow Secretions: สารคัดหลั่ง ปัสสาวะ หรือผิวหนังอาจเปลี่ยนเป็นสีเหลืองส้ม และอาจทำให้คอนแทกต์เลนส์เปลี่ยนสีถาวร</t>
        </is>
      </c>
      <c r="K31" s="46" t="inlineStr"/>
      <c r="L31" s="45" t="inlineStr">
        <is>
          <t>Wound</t>
        </is>
      </c>
      <c r="M31" s="46" t="inlineStr">
        <is>
          <t>Clinic</t>
        </is>
      </c>
      <c r="N31" s="45" t="inlineStr">
        <is>
          <t>ข้อ 29 Pharma Plus เล่มม่วง (เฉลยข้อ จ)</t>
        </is>
      </c>
      <c r="O31" s="46" t="inlineStr">
        <is>
          <t>Mock</t>
        </is>
      </c>
      <c r="P31" s="46" t="inlineStr">
        <is>
          <t>Pharma Plus เล่มม่วง</t>
        </is>
      </c>
    </row>
    <row r="32" ht="13.2" customHeight="1" s="37">
      <c r="A32" s="44" t="n">
        <v>30</v>
      </c>
      <c r="B32" s="45" t="inlineStr">
        <is>
          <t>Mupirocin ointment มีข้อดีกว่า gentamicin cream อย่างไร</t>
        </is>
      </c>
      <c r="C32" s="46" t="inlineStr"/>
      <c r="D32" s="45" t="inlineStr">
        <is>
          <t>มีคุณสมบัติครอบคลุมเชื้อกลุ่ม anaerobic</t>
        </is>
      </c>
      <c r="E32" s="45" t="inlineStr">
        <is>
          <t>มีคุณสมบัติครอบคลุมเชื้อ MRSA</t>
        </is>
      </c>
      <c r="F32" s="45" t="inlineStr">
        <is>
          <t>มีคุณสมบัติครอบคลุมเชื้อ Pseudomonas aeruginosa</t>
        </is>
      </c>
      <c r="G32" s="45" t="inlineStr">
        <is>
          <t>ระคายเคืองน้อยกว่าและหายเร็วกว่า</t>
        </is>
      </c>
      <c r="H32" s="45" t="inlineStr">
        <is>
          <t>ดูดซึมเข้าผิวหนังได้ดี ใช้ในการติดเชื้อที่บริเวณผิวหนัง</t>
        </is>
      </c>
      <c r="I32" s="44" t="inlineStr">
        <is>
          <t>2</t>
        </is>
      </c>
      <c r="J32" s="45" t="inlineStr">
        <is>
          <t>✅ คำตอบที่ถูกต้อง: ข้อ ข. มีคุณสมบัติครอบคลุมเชื้อ MRSA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มีคุณสมบัติครอบคลุมเชื้อ MRSA Mupirocin ointment มีจุดเด่นสำคัญคือครอบคลุมเชื้อ Methicillin-resistant Staphylococcus aureus (MRSA) ได้ดี ซึ่ง Gentamicin cream ไม่ครอบคลุมเชื้อกลุ่มนี้
🔍 ข้ออื่นผิดเพราะอะไร:
• ข้อ ก. (มีคุณสมบัติครอบคลุมเชื้อกลุ่ม anaerobic): Mupirocin ออกฤทธิ์ยับยั้งเอนไซม์ Isoleucyl-tRNA synthetase ของแบคทีเรียแกรมบวกเป็นหลัก ไม่มีฤทธิ์ครอบคลุมเชื้อกลุ่ม Anaerobes
• ข้อ ค. (มีคุณสมบัติครอบคลุมเชื้อ Pseudomonas aeruginosa): Mupirocin ไม่มีฤทธิ์ต้านเชื้อแกรมลบอย่าง Pseudomonas aeruginosa ซึ่งเป็นเชื้อที่ Gentamicin มีฤทธิ์ครอบคลุมได้ดีกว่า
• ข้อ ง. (ระคายเคืองน้อยกว่าและหายเร็วกว่า): การระคายเคืองและระยะเวลาการหายของแผลขึ้นกับลักษณะของรอยโรคและการทำแผล ไม่ใช่ข้อได้เปรียบทางเภสัชวิทยาหลักที่ใช้เปรียบเทียบกับ Gentamicin
• ข้อ จ. (ดูดซึมเข้าผิวหนังได้ดี ใช้ในการติดเชื้อที่บริเวณผิวหนัง): ยาทาทั้งสองชนิดถูกออกแบบมาเพื่อออกฤทธิ์เฉพาะที่บนผิวหนังชั้นนอกโดยจำกัดการดูดซึมเข้าสู่กระแสเลือด เพื่อหลีกเลี่ยงผลข้างเคียงในระบบร่างกาย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46" t="inlineStr"/>
      <c r="L32" s="45" t="inlineStr">
        <is>
          <t>Superficial fungal</t>
        </is>
      </c>
      <c r="M32" s="46" t="inlineStr">
        <is>
          <t>Clinic</t>
        </is>
      </c>
      <c r="N32" s="45" t="inlineStr">
        <is>
          <t>ข้อ 30 Pharma Plus เล่มม่วง (เฉลยข้อ ข)</t>
        </is>
      </c>
      <c r="O32" s="46" t="inlineStr">
        <is>
          <t>Mock</t>
        </is>
      </c>
      <c r="P32" s="46" t="inlineStr">
        <is>
          <t>Pharma Plus เล่มม่วง</t>
        </is>
      </c>
    </row>
    <row r="33" ht="13.2" customHeight="1" s="37">
      <c r="A33" s="44" t="n">
        <v>31</v>
      </c>
      <c r="B33" s="45" t="inlineStr">
        <is>
          <t>สมุนไพรใดนำมาใช้รักษาแผลเป็น</t>
        </is>
      </c>
      <c r="C33" s="46" t="inlineStr"/>
      <c r="D33" s="45" t="inlineStr">
        <is>
          <t>หอมหัวใหญ่</t>
        </is>
      </c>
      <c r="E33" s="45" t="inlineStr">
        <is>
          <t>กระเทียม</t>
        </is>
      </c>
      <c r="F33" s="45" t="inlineStr">
        <is>
          <t>พริกไทย</t>
        </is>
      </c>
      <c r="G33" s="45" t="inlineStr">
        <is>
          <t>มะกรูด</t>
        </is>
      </c>
      <c r="H33" s="45" t="inlineStr">
        <is>
          <t>ข่า</t>
        </is>
      </c>
      <c r="I33" s="44" t="inlineStr">
        <is>
          <t>1</t>
        </is>
      </c>
      <c r="J33" s="45" t="inlineStr">
        <is>
          <t>✅ คำตอบที่ถูกต้อง: ข้อ ก. หอมหัวใหญ่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หอมหัวใหญ่ สารสกัดจากหอมหัวใหญ่ (Allium cepa extract) มีฤทธิ์ลดการอักเสบและยับยั้งการสร้างเนื้อเยื่อแผลเป็น (fibroblast proliferation) นิยมนำมาใช้ทาเพื่อป้องกันและรักษาแผลเป็นนูนหรือคีลอยด์
🔍 ข้ออื่นผิดเพราะอะไร:
• ข้อ ข. (กระเทียม): กระเทียม มีสารสำคัญคือ Allicin โดดเด่นด้านฤทธิ์ต้านเชื้อรา แบคทีเรีย และลดไขมัน แต่ไม่มีคุณสมบัติในการลดการสร้างเนื้อเยื่อแผลเป็น
• ข้อ ค. (พริกไทย): พริกไทย มีสารสำคัญคือ Piperine โดดเด่นด้านการขับลม กระตุ้นการไหลเวียนโลหิต และบรรเทาอาการปวด แต่ไม่ได้นำมาใช้ทารักษาแผลเป็น
• ข้อ ง. (มะกรูด): มะกรูด มีน้ำมันหอมระเหยและกรดซิตริก นิยมนำมาใช้บำรุงเส้นผม หนังศีรษะ และขจัดรังแค หากทาบนแผลเป็นอาจเกิดการระคายเคืองจากความเป็นกรด
• ข้อ จ. (ข่า): ข่า มีสารสำคัญคือ Galangin นิยมนำมารักษาโรคผิวหนังจากเชื้อรา เช่น กลาก เกลื้อน แต่ไม่มีคุณสมบัติในการรักษาหรือลดรอยแผลเป็น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46" t="inlineStr"/>
      <c r="L33" s="45" t="inlineStr">
        <is>
          <t>Wound</t>
        </is>
      </c>
      <c r="M33" s="46" t="inlineStr">
        <is>
          <t>Clinic</t>
        </is>
      </c>
      <c r="N33" s="45" t="inlineStr">
        <is>
          <t>ข้อ 31 Pharma Plus เล่มม่วง (เฉลยข้อ ก)</t>
        </is>
      </c>
      <c r="O33" s="46" t="inlineStr">
        <is>
          <t>Mock</t>
        </is>
      </c>
      <c r="P33" s="46" t="inlineStr">
        <is>
          <t>Pharma Plus เล่มม่วง</t>
        </is>
      </c>
    </row>
    <row r="34" ht="13.2" customHeight="1" s="37">
      <c r="A34" s="44" t="n">
        <v>32</v>
      </c>
      <c r="B34" s="45" t="inlineStr">
        <is>
          <t>สมุนไพรใดที่นำมาใช้เพื่อสมานแผล</t>
        </is>
      </c>
      <c r="C34" s="46" t="inlineStr"/>
      <c r="D34" s="45" t="inlineStr">
        <is>
          <t>ขมิ้น</t>
        </is>
      </c>
      <c r="E34" s="45" t="inlineStr">
        <is>
          <t>บัวบก</t>
        </is>
      </c>
      <c r="F34" s="45" t="inlineStr">
        <is>
          <t>พญายอ</t>
        </is>
      </c>
      <c r="G34" s="45" t="inlineStr">
        <is>
          <t>ทองพันชั่ง</t>
        </is>
      </c>
      <c r="H34" s="45" t="inlineStr">
        <is>
          <t>สะระแหน่</t>
        </is>
      </c>
      <c r="I34" s="44" t="inlineStr">
        <is>
          <t>2</t>
        </is>
      </c>
      <c r="J34" s="45" t="inlineStr">
        <is>
          <t>✅ คำตอบที่ถูกต้อง: ข้อ ข. บัวบก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บัวบก ใบบัวบก (Centella asiatica) มีสาร Asiaticoside ที่ช่วยกระตุ้นการสร้างคอลลาเจนและเร่งกระบวนการสมานแผล ทำให้แผลหายเร็วขึ้น นิยมใช้ในการรักษาแผลสดและแผลไฟไหม้
🔍 ข้ออื่นผิดเพราะอะไร:
• ข้อ ก. (ขมิ้น): ขมิ้น มีสารสำคัญ Curcumin โดดเด่นด้านการต้านการอักเสบ ต้านอนุมูลอิสระ และรักษาแผลในทางเดินอาหาร แต่ฤทธิ์กระตุ้นการสมานเนื้อเยื่อแผลภายนอกไม่เด่นชัดเท่าบัวบก
• ข้อ ค. (พญายอ): พญายอ มีสารสกัดที่มีฤทธิ์ต้านเชื้อไวรัสเริม (Herpes simplex) และบรรเทาอาการแมลงสัตว์กัดต่อย ไม่ใช่สมุนไพรหลักสำหรับกระตุ้นการสมานแผล
• ข้อ ง. (ทองพันชั่ง): ทองพันชั่ง มีสารสำคัญคือ Rhinacanthin ที่ออกฤทธิ์ต้านเชื้อราบนผิวหนังจำพวกกลากเกลื้อนโดยตรง ไม่ได้ใช้เพื่อการสมานบาดแผล
• ข้อ จ. (สะระแหน่): สะระแหน่ มีสาร Menthol ที่ช่วยแต่งกลิ่น ให้ความเย็นสดชื่น และบรรเทาอาการคัน แต่ไม่มีผลส่งเสริมกระบวนการสมานเนื้อเยื่อบาดแผล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46" t="inlineStr"/>
      <c r="L34" s="45" t="inlineStr">
        <is>
          <t>Wound</t>
        </is>
      </c>
      <c r="M34" s="46" t="inlineStr">
        <is>
          <t>Clinic</t>
        </is>
      </c>
      <c r="N34" s="45" t="inlineStr">
        <is>
          <t>ข้อ 32 Pharma Plus เล่มม่วง (เฉลยข้อ ข)</t>
        </is>
      </c>
      <c r="O34" s="46" t="inlineStr">
        <is>
          <t>Mock</t>
        </is>
      </c>
      <c r="P34" s="46" t="inlineStr">
        <is>
          <t>Pharma Plus เล่มม่วง</t>
        </is>
      </c>
    </row>
    <row r="35" ht="13.2" customHeight="1" s="37">
      <c r="A35" s="44" t="n">
        <v>33</v>
      </c>
      <c r="B35" s="45" t="inlineStr">
        <is>
          <t>อีก 1 สัปดาห์ต่อมา ผู้ป่วยมีภาวะแทรกซ้อน คือ cellulitis ได้เข้ารับการรักษาที่โรงพยาบาล ผู้ป่วยควรได้รับยาใด</t>
        </is>
      </c>
      <c r="C35" s="46" t="inlineStr"/>
      <c r="D35" s="45" t="inlineStr">
        <is>
          <t>Amoxicillin รับประทาน</t>
        </is>
      </c>
      <c r="E35" s="45" t="inlineStr">
        <is>
          <t>Cefdinir รับประทาน</t>
        </is>
      </c>
      <c r="F35" s="45" t="inlineStr">
        <is>
          <t>Ceftriaxone ฉีด</t>
        </is>
      </c>
      <c r="G35" s="45" t="inlineStr">
        <is>
          <t>Cloxacillin-รับประทาน</t>
        </is>
      </c>
      <c r="H35" s="45" t="inlineStr">
        <is>
          <t>Penicillin G ฉีด</t>
        </is>
      </c>
      <c r="I35" s="44" t="inlineStr">
        <is>
          <t>4</t>
        </is>
      </c>
      <c r="J35" s="45" t="inlineStr">
        <is>
          <t>✅ คำตอบที่ถูกต้อง: ข้อ ง. Cloxacillin-รับประทาน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Cloxacillin-รับประทาน กรณีผู้ป่วย Cellulitis ที่ต้องเข้ารับการรักษาในโรงพยาบาล มักมีอาการรุนแรงหรือลุกลาม จึงควรได้รับยาปฏิชีวนะทางหลอดเลือดดำ เช่น Ceftriaxone เพื่อให้ระดับยาในเลือดสูงเพียงพอในการกำจัดเชื้อ Staphylococcus aureus และ Streptococcus pyogenes ซึ่งเป็นสาเหตุหลัก
 เป็น penicillinase-resistant penicillin เป็น drug of choice สำหรับ Methicillin-Susceptible Staphylococcus aureus (MSSA) infections ต้องรับประทานตอนท้องว่าง
🔍 ข้ออื่นผิดเพราะอะไร:
• ข้อ ก. (Amoxicillin รับประทาน): Amoxicillin ถูกทำลายได้ง่ายโดยเอนไซม์ Penicillinase จากเชื้อ Staphylococcus aureus ซึ่งเป็นเชื้อสาเหตุสำคัญของ Cellulitis จึงไม่มีประสิทธิภาพหากไม่ผสม Clavulanic acid
• ข้อ ข. (Cefdinir รับประทาน): Cefdinir เป็นยากลุ่ม Oral third-generation cephalosporin ที่มีฤทธิ์เด่นต่อเชื้อแกรมลบ และมีฤทธิ์ต่อ MSSA ด้อยกว่ายากลุ่ม Anti-staphylococcal penicillins
• ข้อ ค. (Ceftriaxone ฉีด): Ceftriaxone ฉีด เป็นยากลุ่ม Third-generation cephalosporin ที่มักสงวนไว้สำหรับการติดเชื้อรุนแรงหรือการติดเชื้อแบคทีเรียแกรมลบในโรงพยาบาล
• ข้อ จ. (Penicillin G ฉีด): Penicillin G ไม่ครอบคลุมเชื้อ Staphylococcus aureus สายพันธุ์ที่สร้างเอนไซม์ Beta-lactamase ซึ่งพบเป็นเชื้อก่อโรคหลักของ Cellulitis ในปัจจุบัน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46" t="inlineStr"/>
      <c r="L35" s="45" t="inlineStr">
        <is>
          <t>Superficial fungal</t>
        </is>
      </c>
      <c r="M35" s="46" t="inlineStr">
        <is>
          <t>Clinic</t>
        </is>
      </c>
      <c r="N35" s="45" t="inlineStr">
        <is>
          <t>ข้อ 33 Pharma Plus เล่มม่วง (เฉลยข้อ ง)</t>
        </is>
      </c>
      <c r="O35" s="46" t="inlineStr">
        <is>
          <t>Mock</t>
        </is>
      </c>
      <c r="P35" s="46" t="inlineStr">
        <is>
          <t>Pharma Plus เล่มม่วง</t>
        </is>
      </c>
    </row>
    <row r="36" ht="13.2" customHeight="1" s="37">
      <c r="A36" s="44" t="n">
        <v>34</v>
      </c>
      <c r="B36" s="45" t="inlineStr">
        <is>
          <t>ถ้าผู้ป่วย cellulitis แพ้ penicillin ควรให้ยาอะไรแทน</t>
        </is>
      </c>
      <c r="C36" s="46" t="inlineStr"/>
      <c r="D36" s="45" t="inlineStr">
        <is>
          <t>Clindamycin</t>
        </is>
      </c>
      <c r="E36" s="45" t="inlineStr">
        <is>
          <t>Cotrimoxazole</t>
        </is>
      </c>
      <c r="F36" s="45" t="inlineStr">
        <is>
          <t>Ciprofloxacin</t>
        </is>
      </c>
      <c r="G36" s="45" t="inlineStr">
        <is>
          <t>Doxycycline</t>
        </is>
      </c>
      <c r="H36" s="45" t="inlineStr">
        <is>
          <t>Erythromycin</t>
        </is>
      </c>
      <c r="I36" s="44" t="inlineStr">
        <is>
          <t>1</t>
        </is>
      </c>
      <c r="J36" s="45" t="inlineStr">
        <is>
          <t>✅ คำตอบที่ถูกต้อง: ข้อ ก. Clindamycin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Clindamycin ในผู้ป่วย Cellulitis ที่มีประวัติแพ้ยา Penicillin ยาทางเลือกที่ครอบคลุมเชื้อ Gram-positive ได้ดีและปลอดภัยคือ Clindamycin หรือกลุ่ม Macrolides (เช่น Erythromycin, Azithromycin)
🔍 ข้ออื่นผิดเพราะอะไร:
• ข้อ ข. (Cotrimoxazole): Cotrimoxazole ครอบคลุมเชื้อ MRSA ได้ดี แต่การออกฤทธิ์ต่อเชื้อ Streptococcus pyogenes ซึ่งเป็นสาเหตุสำคัญของ Cellulitis ไม่แน่นอน จึงไม่จัดเป็นยาทางเลือกแรกเดี่ยวๆ
• ข้อ ค. (Ciprofloxacin): Ciprofloxacin เป็นยากลุ่ม Fluoroquinolone ที่ออกฤทธิ์เด่นต่อแบคทีเรียแกรมลบ แต่ไม่มีประสิทธิภาพที่ดีต่อเชื้อแกรมบวกที่เป็นสาเหตุหลักของ Cellulitis
• ข้อ ง. (Doxycycline): Doxycycline ครอบคลุมเชื้อ MRSA ได้ แต่ประสิทธิภาพต่อ Streptococcus pyogenes มีความไม่แน่นอน จึงเป็นเพียงยาทางเลือกสำรอง
• ข้อ จ. (Erythromycin): Erythromycin มีอัตราการดื้อยาของเชื้อ Streptococcus และ Staphylococcus สูงมากในปัจจุบัน ร่วมกับมีผลข้างเคียงต่อระบบทางเดินอาหารรุนแรง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46" t="inlineStr"/>
      <c r="L36" s="45" t="inlineStr">
        <is>
          <t>Superficial fungal</t>
        </is>
      </c>
      <c r="M36" s="46" t="inlineStr">
        <is>
          <t>Clinic</t>
        </is>
      </c>
      <c r="N36" s="45" t="inlineStr">
        <is>
          <t>ข้อ 34 Pharma Plus เล่มม่วง (เฉลยข้อ ก ข ง)</t>
        </is>
      </c>
      <c r="O36" s="46" t="inlineStr">
        <is>
          <t>Mock</t>
        </is>
      </c>
      <c r="P36" s="46" t="inlineStr">
        <is>
          <t>Pharma Plus เล่มม่วง</t>
        </is>
      </c>
    </row>
    <row r="37" ht="13.2" customHeight="1" s="37">
      <c r="A37" s="44" t="n">
        <v>35</v>
      </c>
      <c r="B37" s="45"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37" s="46" t="inlineStr"/>
      <c r="D37" s="45" t="inlineStr">
        <is>
          <t>Tinea capitis</t>
        </is>
      </c>
      <c r="E37" s="45" t="inlineStr">
        <is>
          <t>Tinea corporis</t>
        </is>
      </c>
      <c r="F37" s="45" t="inlineStr">
        <is>
          <t>Tinea curis</t>
        </is>
      </c>
      <c r="G37" s="45" t="inlineStr">
        <is>
          <t>Tinea versicolor</t>
        </is>
      </c>
      <c r="H37" s="45" t="inlineStr">
        <is>
          <t>Tinea pedis</t>
        </is>
      </c>
      <c r="I37" s="44" t="inlineStr">
        <is>
          <t>1</t>
        </is>
      </c>
      <c r="J37" s="45" t="inlineStr">
        <is>
          <t>✅ คำตอบที่ถูกต้อง: ข้อ ก. Tinea capitis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Tinea capitis การติดเชื้อรากลากที่บริเวณหนังศีรษะเรียกว่า Tinea capitis ซึ่งมักพบอาการคัน มีขุยหรือสะเก็ด และอาจมีผมร่วงเป็นหย่อมร่วมด้วย
🔍 ข้ออื่นผิดเพราะอะไร:
• ข้อ ข. (Tinea corporis): Tinea corporis เป็นการติดเชื้อรากลุ่มเดอร์มาโทไฟต์บริเวณผิวหนังลำตัว แขน หรือขา โดยมีลักษณะเป็นผื่นวงขอบนูนแดงและคัน ไม่ใช่บริเวณหนังศีรษะ
• ข้อ ค. (Tinea curis): Tinea cruris หมายถึงการติดเชื้อราบริเวณขาหนีบ ซอกขา หรือต้นขาด้านใน มักสัมพันธ์กับความอับชื้นและความร้อน
• ข้อ ง. (Tinea versicolor): Tinea versicolor หรือเกลื้อน เกิดจากการติดเชื้อรา Malassezia furfur มีลักษณะเป็นวงดวงสีขาว สีชมพู หรือสีน้ำตาล พร้อมสะเก็ดละเอียด ไม่ใช่เชื้อกลากบนหนังศีรษะ
• ข้อ จ. (Tinea pedis): Tinea pedis หมายถึงโรคน้ำกัดเท้าหรือฮ่องกงฟุต ซึ่งเป็นการติดเชื้อราบริเวณง่ามนิ้วเท้าหรือฝ่าเท้า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 s="46" t="inlineStr"/>
      <c r="L37" s="45" t="inlineStr">
        <is>
          <t>Eczema &amp; Dermatitis</t>
        </is>
      </c>
      <c r="M37" s="46" t="inlineStr">
        <is>
          <t>Clinic</t>
        </is>
      </c>
      <c r="N37" s="45" t="inlineStr">
        <is>
          <t>ข้อ 35 Pharma Plus เล่มม่วง (เฉลยข้อ ก)</t>
        </is>
      </c>
      <c r="O37" s="46" t="inlineStr">
        <is>
          <t>Mock</t>
        </is>
      </c>
      <c r="P37" s="46" t="inlineStr">
        <is>
          <t>Pharma Plus เล่มม่วง</t>
        </is>
      </c>
    </row>
    <row r="38" ht="13.2" customHeight="1" s="37">
      <c r="A38" s="44" t="n">
        <v>36</v>
      </c>
      <c r="B38" s="45"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38" s="46" t="inlineStr"/>
      <c r="D38" s="45" t="inlineStr">
        <is>
          <t>14 วัน</t>
        </is>
      </c>
      <c r="E38" s="45" t="inlineStr">
        <is>
          <t>2 เดือน</t>
        </is>
      </c>
      <c r="F38" s="45" t="inlineStr">
        <is>
          <t>3 เดือน</t>
        </is>
      </c>
      <c r="G38" s="45" t="inlineStr">
        <is>
          <t>4 เดือน</t>
        </is>
      </c>
      <c r="H38" s="45" t="inlineStr">
        <is>
          <t>5 เดือน</t>
        </is>
      </c>
      <c r="I38" s="44" t="inlineStr">
        <is>
          <t>2</t>
        </is>
      </c>
      <c r="J38" s="45" t="inlineStr">
        <is>
          <t>✅ คำตอบที่ถูกต้อง: ข้อ ข. 2 เดือน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2 เดือน การรักษา Tinea capitis ด้วยยา Griseofulvin จำเป็นต้องใช้ระยะเวลานานเนื่องจากยาต้องซึมเข้าสู่รากผมและเส้นผมที่งอกใหม่ โดยทั่วไปแนะนำให้รับประทานติดต่อกันอย่างน้อย 6-8สัปดาห์ หรือสูงสุดถึง 2-3 เดือน เพื่อป้องกันการกลับเป็นซ้ำ
🔍 ข้ออื่นผิดเพราะอะไร:
• ข้อ ก. (14 วัน): ระยะเวลา 14 วันสั้นเกินไปสำหรับการรักษาการติดเชื้อราที่ต่อมรากผมและเส้นผม เนื่องจากยาจำเป็นต้องสะสมในเคราตินของเส้นผมที่งอกใหม่อย่างต่อเนื่อง
• ข้อ ค. (3 เดือน): ระยะเวลา 3 เดือนอาจยาวนานเกินความจำเป็นสำหรับเคสส่วนใหญ่และเพิ่มความเสี่ยงต่อผลข้างเคียงของยา Griseofulvin โดยระยะเวลามาตรฐานเบื้องต้นคือ 6 ถึง 8 สัปดาห์
• ข้อ ง. (4 เดือน): ระยะเวลา 4 เดือนมักใช้สำหรับการติดเชื้อราที่เล็บมือหรือเล็บเท้า ไม่ใช่ระยะเวลาการรักษาเริ่มต้นทั่วไปของ Tinea capitis
• ข้อ จ. (5 เดือน): ระยะเวลา 5 เดือนยาวนานเกินไปและมักสงวนไว้สำหรับการรักษาเชื้อราที่เล็บเท้า (Onychomycosis) ที่ต้องรอการงอกใหม่ของแผ่นเล็บทั้งหมด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8" s="46" t="inlineStr"/>
      <c r="L38" s="45" t="inlineStr">
        <is>
          <t>Eczema &amp; Dermatitis</t>
        </is>
      </c>
      <c r="M38" s="46" t="inlineStr">
        <is>
          <t>Clinic</t>
        </is>
      </c>
      <c r="N38" s="45" t="inlineStr">
        <is>
          <t>ข้อ 36 Pharma Plus เล่มม่วง (เฉลยข้อ ข)</t>
        </is>
      </c>
      <c r="O38" s="46" t="inlineStr">
        <is>
          <t>Mock</t>
        </is>
      </c>
      <c r="P38" s="46" t="inlineStr">
        <is>
          <t>Pharma Plus เล่มม่วง</t>
        </is>
      </c>
    </row>
    <row r="39" ht="13.2" customHeight="1" s="37">
      <c r="A39" s="44" t="n">
        <v>37</v>
      </c>
      <c r="B39" s="45" t="inlineStr">
        <is>
          <t>ข้อใดคือ กลไกการออกฤทธิ์ของยา griseofulvin</t>
        </is>
      </c>
      <c r="C39" s="46" t="inlineStr"/>
      <c r="D39" s="45" t="inlineStr">
        <is>
          <t>ยับยั้งและรบกวนการสังเคราะห์ ergosterol</t>
        </is>
      </c>
      <c r="E39" s="45" t="inlineStr">
        <is>
          <t>ยับยั้งการสร้าง mycolic acid ใน cell wall</t>
        </is>
      </c>
      <c r="F39" s="45" t="inlineStr">
        <is>
          <t>ยับยั้งการสร้าง microtubule ของ dermatophytes</t>
        </is>
      </c>
      <c r="G39" s="45" t="inlineStr">
        <is>
          <t>จับกับ phospholipids ยับยั้งการสร้าง cell wall</t>
        </is>
      </c>
      <c r="H39" s="45" t="inlineStr">
        <is>
          <t>จับกับ sterol ยับยั้งการสร้างผนังเซลล์</t>
        </is>
      </c>
      <c r="I39" s="44" t="inlineStr">
        <is>
          <t>3</t>
        </is>
      </c>
      <c r="J39" s="45" t="inlineStr">
        <is>
          <t>✅ คำตอบที่ถูกต้อง: ข้อ ค. ยับยั้งการสร้าง microtubule ของ dermatophytes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 microtubule ของ dermatophytes Griseofulvin ออกฤทธิ์โดยการจับกับ microtubule-associated proteins ขัดขวางการสร้าง mitotic spindle และการแบ่งเซลล์ของเชื้อรากลุ่ม dermatophytes โดยเฉพาะ Microsporum, Trichophyton และ Epidermophyton
🔍 ข้ออื่นผิดเพราะอะไร:
• ข้อ ก. (ยับยั้งและรบกวนการสังเคราะห์ ergosterol): การยับยั้งการสังเคราะห์ Ergosterol ผ่านการยับยั้งเอนไซม์ 14-alpha-demethylase เป็นกลไกการออกฤทธิ์จำเพาะของยาต้านเชื้อรากลุ่ม Azoles เช่น Ketoconazole และ Itraconazole
• ข้อ ข. (ยับยั้งการสร้าง mycolic acid ใน cell wall): การยับยั้งการสังเคราะห์ Mycolic acid ในผนังเซลล์เป็นกลไกการออกฤทธิ์ของยาต้านวัณโรค เช่น Isoniazid ไม่ใช่กลไกของยาต้านเชื้อรา
• ข้อ ง. (จับกับ phospholipids ยับยั้งการสร้าง cell wall): การจับกับ Phospholipids เพื่อทำลายความสมบูรณ์ของเยื่อหุ้มเซลล์ไม่ใช่กลไกหลักของ Griseofulvin ที่ออกฤทธิ์ขัดขวางการแบ่งเซลล์ในระยะ Metaphase
• ข้อ จ. (จับกับ sterol ยับยั้งการสร้างผนังเซลล์): การจับกับ Sterol บนเยื่อหุ้มเซลล์ทำให้เกิดรูรั่วเป็นกลไกของยากลุ่ม Polyene antifungals เช่น Amphotericin B และ Nystatin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46" t="inlineStr"/>
      <c r="L39" s="45" t="inlineStr">
        <is>
          <t>Superficial fungal</t>
        </is>
      </c>
      <c r="M39" s="46" t="inlineStr">
        <is>
          <t>Clinic</t>
        </is>
      </c>
      <c r="N39" s="45" t="inlineStr">
        <is>
          <t>ข้อ 37 Pharma Plus เล่มม่วง (เฉลยข้อ ค)</t>
        </is>
      </c>
      <c r="O39" s="46" t="inlineStr">
        <is>
          <t>Mock</t>
        </is>
      </c>
      <c r="P39" s="46" t="inlineStr">
        <is>
          <t>Pharma Plus เล่มม่วง</t>
        </is>
      </c>
    </row>
    <row r="40" ht="13.2" customHeight="1" s="37">
      <c r="A40" s="44" t="n">
        <v>38</v>
      </c>
      <c r="B40" s="45"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
ข้อใดเป็นข้อดีของยา itraconazole หรือยาในกลุ่ม azole</t>
        </is>
      </c>
      <c r="C40" s="46" t="inlineStr"/>
      <c r="D40" s="45" t="inlineStr">
        <is>
          <t>มีเฉพาะยาฉีดเท่านั้น</t>
        </is>
      </c>
      <c r="E40" s="45" t="inlineStr">
        <is>
          <t>มีเฉพาะยาใช้ภายนอก</t>
        </is>
      </c>
      <c r="F40" s="45" t="inlineStr">
        <is>
          <t>มีอาการข้างเคียงน้อย</t>
        </is>
      </c>
      <c r="G40" s="45" t="inlineStr">
        <is>
          <t>ถูกเมตาบอไลต์ช้า อยู่ในร่างกายได้นาน</t>
        </is>
      </c>
      <c r="H40" s="45" t="inlineStr">
        <is>
          <t>มีปฏิกิริยาระหว่างยาลดลง</t>
        </is>
      </c>
      <c r="I40" s="44" t="inlineStr">
        <is>
          <t>4</t>
        </is>
      </c>
      <c r="J40" s="45" t="inlineStr">
        <is>
          <t>✅ คำตอบที่ถูกต้อง: ข้อ ง. ถูกเมตาบอไลต์ช้า อยู่ในร่างกายได้นาน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ถูกเมตาบอไลต์ช้า อยู่ในร่างกายได้นาน Itraconazole และยาในกลุ่ม azole มีข้อดีเด่นในแง่เภสัช okinetic คือจับกับเนื้อเยื่อและไขมันได้ดี และถูกกำจัดออกจากร่างกายช้า (มี half-life ยาวนาน) ทำให้ยังคงออกฤทธิ์อยู่ได้นานแม้หยุดรับประทานยาแล้ว
🔍 ข้ออื่นผิดเพราะอะไร:
• ข้อ ก. (มีเฉพาะยาฉีดเท่านั้น): Itraconazole มีรูปแบบยารับประทานทั้งชนิดแคปซูลและยาน้ำสารละลาย ไม่ได้มีเฉพาะรูปแบบยาฉีดเท่านั้น
• ข้อ ข. (มีเฉพาะยาใช้ภายนอก): Itraconazole เป็นยารับประทานที่มีการกระจายตัวเข้าสู่เนื้อเยื่อและสารเคราตินได้ดี ไม่ได้มีเฉพาะรูปแบบยาใช้ภายนอก
• ข้อ ค. (มีอาการข้างเคียงน้อย): Itraconazole มีผลข้างเคียงที่ต้องระวัง เช่น ภาวะตับอักเสบ และมีฤทธิ์ Negative inotropic จึงมีข้อห้ามใช้ในผู้ป่วย Heart failure
• ข้อ จ. (มีปฏิกิริยาระหว่างยาลดลง): Itraconazole เป็นตัวยับยั้งเอนไซม์ CYP3A4 ที่แรงมาก (Potent inhibitor) จึงมีปฏิกิริยาระหว่างยา (Drug interactions) กับยาอื่นจำนวนมาก ไม่ได้ลดลง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46" t="inlineStr"/>
      <c r="L40" s="45" t="inlineStr">
        <is>
          <t>Superficial fungal</t>
        </is>
      </c>
      <c r="M40" s="46" t="inlineStr">
        <is>
          <t>Clinic</t>
        </is>
      </c>
      <c r="N40" s="45" t="inlineStr">
        <is>
          <t>ข้อ 38 Pharma Plus เล่มม่วง (เฉลยข้อ ง)</t>
        </is>
      </c>
      <c r="O40" s="46" t="inlineStr">
        <is>
          <t>Mock</t>
        </is>
      </c>
      <c r="P40" s="46" t="inlineStr">
        <is>
          <t>Pharma Plus เล่มม่วง</t>
        </is>
      </c>
    </row>
    <row r="41" ht="13.2" customHeight="1" s="37">
      <c r="A41" s="44" t="n">
        <v>39</v>
      </c>
      <c r="B41" s="45" t="inlineStr">
        <is>
          <t>สถานการณ์ที่ 7 ผู้ป่วยหญิงไทย อายุ 24 ปี อาชีพแม่บ้านทำความสะอาด มาด้วยอาการเป็นเชื้อราที่เล็บ
สาเหตุของโรคเกิดจากเชื้อใด</t>
        </is>
      </c>
      <c r="C41" s="46" t="inlineStr"/>
      <c r="D41" s="45" t="inlineStr">
        <is>
          <t>Trichophyton spp.</t>
        </is>
      </c>
      <c r="E41" s="45" t="inlineStr">
        <is>
          <t>Cryptococcus spp.</t>
        </is>
      </c>
      <c r="F41" s="45" t="inlineStr">
        <is>
          <t>Malassezia furfur</t>
        </is>
      </c>
      <c r="G41" s="45" t="inlineStr">
        <is>
          <t>Pneumocystis carinii</t>
        </is>
      </c>
      <c r="H41" s="45" t="inlineStr">
        <is>
          <t>Staphylococcus aureus</t>
        </is>
      </c>
      <c r="I41" s="44" t="inlineStr">
        <is>
          <t>1</t>
        </is>
      </c>
      <c r="J41" s="45" t="inlineStr">
        <is>
          <t>✅ คำตอบที่ถูกต้อง: ข้อ ก. Trichophyton spp.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Trichophyton spp. โรคเชื้อราที่เล็บ (Onychomycosis) ส่วนใหญ่กว่า 90% เกิดจากเชื้อราในกลุ่ม dermatophytes โดยเฉพาะ Trichophyton rubrum และ Trichophyton mentagrophytes
🔍 ข้ออื่นผิดเพราะอะไร:
• ข้อ ข. (Cryptococcus spp.): Cryptococcus spp. เป็นยีสต์หุ้มแคปซูลที่เป็นสาเหตุหลักของโรคติดเชื้อฉวยโอกาสในระบบประสาทส่วนกลาง เช่น Cryptococcal meningitis ในผู้ป่วยภูมิคุ้มกันบกพร่อง ไม่ใช่สาเหตุของเชื้อราที่เล็บทั่วไป
• ข้อ ค. (Malassezia furfur): Malassezia furfur เป็นยีสต์ที่เป็นเชื้อประจำถิ่นของผิวหนังและเป็นสาเหตุสำคัญของโรคเกลื้อน (Pityriasis versicolor) รวมถึง Seborrheic dermatitis แต่ไม่ก่อให้เกิดการติดเชื้อราที่เล็บ
• ข้อ ง. (Pneumocystis carinii): Pneumocystis carinii (หรือ Pneumocystis jirovecii) เป็นเชื้อราฉวยโอกาสที่ก่อให้เกิดโรคปอดอักเสบในผู้ป่วยภูมิคุ้มกันบกพร่องขั้นรุนแรง (PCP) ไม่มีความเกี่ยวข้องกับการติดเชื้อที่แผ่นเล็บ
• ข้อ จ. (Staphylococcus aureus): Staphylococcus aureus เป็นแบคทีเรียแกรมบวกทรงกลมที่เป็นสาเหตุของการติดเชื้อที่ผิวหนังชั้นตื้น เช่น Impetigo, Folliculitis หรือ Paronychia อักเสบเฉียบพลันรอบโคนเล็บ ไม่ใช่เชื้อราก่อโรค Onychomycosis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46" t="inlineStr"/>
      <c r="L41" s="45" t="inlineStr">
        <is>
          <t>Superficial fungal</t>
        </is>
      </c>
      <c r="M41" s="46" t="inlineStr">
        <is>
          <t>Clinic</t>
        </is>
      </c>
      <c r="N41" s="45" t="inlineStr">
        <is>
          <t>ข้อ 39 Pharma Plus เล่มม่วง (เฉลยข้อ ก)</t>
        </is>
      </c>
      <c r="O41" s="46" t="inlineStr">
        <is>
          <t>Mock</t>
        </is>
      </c>
      <c r="P41" s="46" t="inlineStr">
        <is>
          <t>Pharma Plus เล่มม่วง</t>
        </is>
      </c>
    </row>
    <row r="42" ht="13.2" customHeight="1" s="37">
      <c r="A42" s="44" t="n">
        <v>40</v>
      </c>
      <c r="B42" s="45" t="inlineStr">
        <is>
          <t>สถานการณ์ที่ 7 ผู้ป่วยหญิงไทย อายุ 24 ปี อาชีพแม่บ้านทำความสะอาด มาด้วยอาการเป็นเชื้อราที่เล็บ
ควรใช้ยาใดในการรักษา</t>
        </is>
      </c>
      <c r="C42" s="46" t="inlineStr"/>
      <c r="D42" s="45" t="inlineStr">
        <is>
          <t>Whitefield's ointment</t>
        </is>
      </c>
      <c r="E42" s="45" t="inlineStr">
        <is>
          <t>Clotrimazole cream</t>
        </is>
      </c>
      <c r="F42" s="45" t="inlineStr">
        <is>
          <t>Ciclopirox olamine</t>
        </is>
      </c>
      <c r="G42" s="45" t="inlineStr">
        <is>
          <t>Selenium sulfide</t>
        </is>
      </c>
      <c r="H42" s="45" t="inlineStr">
        <is>
          <t>Sulfur dioxide</t>
        </is>
      </c>
      <c r="I42" s="44" t="inlineStr">
        <is>
          <t>3</t>
        </is>
      </c>
      <c r="J42" s="45" t="inlineStr">
        <is>
          <t>✅ คำตอบที่ถูกต้อง: ข้อ ค. Ciclopirox olamine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Ciclopirox olamine การรักษาเชื้อราที่เล็บมักต้องใช้ยาทาเฉพาะที่ที่มี efficacy สูงในการซึมผ่านเล็บ เช่น Ciclopirox olamine nail lacquer 8% หรือยารับประทาน (กรณีเป็นมาก) ส่วนยาครีมทั่วไปหรือขี้ผึ้งจะซึมผ่านแผ่นเล็บได้ไม่ดีพอ
🔍 ข้ออื่นผิดเพราะอะไร:
• ข้อ ก. (Whitefield's ointment): Whitefield's ointment มีส่วนประกอบของ Benzoic acid และ Salicylic acid ออกฤทธิ์ลอกเคราตินและยับยั้งเชื้อรา เหมาะสำหรับกลากที่ผิวหนังหนาด้าน ไม่สามารถแทรกซึมผ่านแผ่นเล็บที่หนาแข็งได้เพียงพอ
• ข้อ ข. (Clotrimazole cream): Clotrimazole cream เป็นยาต้านเชื้อราเฉพาะที่รูปแบบครีมสำหรับผิวหนังชั้นตื้น ซึ่งเนื้อครีมไม่สามารถซึมลึกผ่าน keratinized nail plate เพื่อเข้าสู่ nail bed ได้ จึงไม่ได้ผลในการรักษาโรคเชื้อราที่เล็บ
• ข้อ ง. (Selenium sulfide): Selenium sulfide มีคุณสมบัติยับยั้ง Malassezia spp. และลดการแบ่งตัวของเซลล์ผิวหนัง ใช้ในรูปแชมพูรักษาเกลื้อนหรือรังแคบนหนังศีรษะ ไม่สามารถดูดซึมผ่านแผ่นเล็บได้
• ข้อ จ. (Sulfur dioxide): Sulfur dioxide เป็นก๊าซที่มีฤทธิ์ระคายเคืองและกัดกร่อนสูง ไม่ใช่รูปแบบเภสัชภัณฑ์ที่นำมาใช้ทารักษาโรคติดเชื้อราที่เล็บของผู้ป่วย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46" t="inlineStr"/>
      <c r="L42" s="45" t="inlineStr">
        <is>
          <t>Superficial fungal</t>
        </is>
      </c>
      <c r="M42" s="46" t="inlineStr">
        <is>
          <t>Clinic</t>
        </is>
      </c>
      <c r="N42" s="45" t="inlineStr">
        <is>
          <t>ข้อ 40 Pharma Plus เล่มม่วง (เฉลยข้อ ค)</t>
        </is>
      </c>
      <c r="O42" s="46" t="inlineStr">
        <is>
          <t>Mock</t>
        </is>
      </c>
      <c r="P42" s="46" t="inlineStr">
        <is>
          <t>Pharma Plus เล่มม่วง</t>
        </is>
      </c>
    </row>
    <row r="43" ht="13.2" customHeight="1" s="37">
      <c r="A43" s="44" t="n">
        <v>41</v>
      </c>
      <c r="B43" s="45" t="inlineStr">
        <is>
          <t>สถานการณ์ที่ 7 ผู้ป่วยหญิงไทย อายุ 24 ปี อาชีพแม่บ้านทำความสะอาด มาด้วยอาการเป็นเชื้อราที่เล็บ
ใช้เวลาในการรักษากี่วันหากใช้ยาทาที่เล็บ</t>
        </is>
      </c>
      <c r="C43" s="46" t="inlineStr"/>
      <c r="D43" s="45" t="inlineStr">
        <is>
          <t>4 สัปดาห์</t>
        </is>
      </c>
      <c r="E43" s="45" t="inlineStr">
        <is>
          <t>2 เดือน</t>
        </is>
      </c>
      <c r="F43" s="45" t="inlineStr">
        <is>
          <t>6 เดือน</t>
        </is>
      </c>
      <c r="G43" s="45" t="inlineStr">
        <is>
          <t>8 เดือน</t>
        </is>
      </c>
      <c r="H43" s="45" t="inlineStr">
        <is>
          <t>จนกว่าเล็บจะเป็นปกติ</t>
        </is>
      </c>
      <c r="I43" s="44" t="inlineStr">
        <is>
          <t>1</t>
        </is>
      </c>
      <c r="J43" s="45" t="inlineStr">
        <is>
          <t>✅ คำตอบที่ถูกต้อง: ข้อ ก. 4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4 สัปดาห์ การรักษาเชื้อราที่เล็บมือ (Fingernail onychomycosis) ด้วยยาทาเฉพาะที่มักใช้เวลานานประมาณ 4-6 เดือน ส่วนเล็บเท้าอาจใช้เวลานานถึง 12 เดือน หรือต้องทาต่อเนื่องจนกว่าเล็บใหม่ที่งอกขึ้นมาจะปกติไร้รอยโรค
🔍 ข้ออื่นผิดเพราะอะไร:
• ข้อ ข. (2 เดือน): ระยะเวลา 2 เดือนยังไม่เพียงพอสำหรับการรักษาเชื้อราที่เล็บด้วยยาทา เนื่องจากอัตราการงอกใหม่ของแผ่นเล็บมือต้องใช้เวลาเฉลี่ย 4 ถึง 6 เดือน
• ข้อ ค. (6 เดือน): ระยะเวลา 6 เดือนเป็นระยะเวลาการรักษามาตรฐานที่พบได้จริงในการรักษาเล็บมือ แต่ข้อสอบคลังเดิมชุดนี้เฉลยข้อ ก (4 สัปดาห์)
• ข้อ ง. (8 เดือน): ระยะเวลา 8 เดือนมักนำมาใช้พิจารณาสำหรับการประเมินการรักษาเล็บเท้าที่งอกช้า แต่ไม่ใช่ตัวเลือกที่ตรงกับคำตอบเฉลยตามคลังข้อสอบเดิม
• ข้อ จ. (จนกว่าเล็บจะเป็นปกติ): แม้ในทางปฏิบัติผู้ป่วยควรทายาต่อเนื่องจนกว่าแผ่นเล็บใหม่ที่สุขภาพดีจะงอกขึ้นมาแทนที่รอยโรคเดิมทั้งหมด แต่ไม่ใช่ตัวเลือกคำตอบที่ระบุตามเฉลยข้อสอบชุดนี้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46" t="inlineStr"/>
      <c r="L43" s="45" t="inlineStr">
        <is>
          <t>Superficial fungal</t>
        </is>
      </c>
      <c r="M43" s="46" t="inlineStr">
        <is>
          <t>Clinic</t>
        </is>
      </c>
      <c r="N43" s="45" t="inlineStr">
        <is>
          <t>ข้อ 41 Pharma Plus เล่มม่วง (เฉลยข้อ )</t>
        </is>
      </c>
      <c r="O43" s="46" t="inlineStr">
        <is>
          <t>Mock</t>
        </is>
      </c>
      <c r="P43" s="46" t="inlineStr">
        <is>
          <t>Pharma Plus เล่มม่วง</t>
        </is>
      </c>
    </row>
    <row r="44" ht="13.2" customHeight="1" s="37">
      <c r="A44" s="44" t="n">
        <v>42</v>
      </c>
      <c r="B44" s="45" t="inlineStr">
        <is>
          <t>ข้อใดไม่ใช่เหตุผลในการให้ยา itraconazole pulse therapy</t>
        </is>
      </c>
      <c r="C44" s="46" t="inlineStr"/>
      <c r="D44" s="45" t="inlineStr">
        <is>
          <t>ลดค่าใช้จ่าย</t>
        </is>
      </c>
      <c r="E44" s="45" t="inlineStr">
        <is>
          <t>ลดอาการอันไม่พึงประสงค์จากการใช้ยา</t>
        </is>
      </c>
      <c r="F44" s="45" t="inlineStr">
        <is>
          <t>เพิ่ม compliance ในการรักษา</t>
        </is>
      </c>
      <c r="G44" s="45" t="inlineStr">
        <is>
          <t>การรักษาแบบ pulse therapy ให้ผลการรักษาเหมือนกับการรักษาแบบเดิม</t>
        </is>
      </c>
      <c r="H44" s="45" t="inlineStr">
        <is>
          <t>ลดปัญหาการดื้อยา</t>
        </is>
      </c>
      <c r="I44" s="44" t="inlineStr">
        <is>
          <t>5</t>
        </is>
      </c>
      <c r="J44" s="45" t="inlineStr">
        <is>
          <t>✅ คำตอบที่ถูกต้อง: ข้อ จ. ลดปัญหาการดื้อยา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ลดปัญหาการดื้อยา Pulse therapy ของ Itraconazole ในโรคเล็บ (เช่น 1 สัปดาห์ต่อเดือนสำหรับเล็บมือ) ช่วยประหยัดค่าใช้จ่าย ลดผลข้างเคียง และเพิ่มความร่วมมือในการใช้ยา (compliance) แต่ไม่ได้มีจุดประสงค์หลักเพื่อลดปัญหาการดื้อยาหรือให้ผลเท่ากับการรักษาต่อเนื่องในทุกกรณี
🔍 ข้ออื่นผิดเพราะอะไร:
• ข้อ ก. (ลดค่าใช้จ่าย): การลดค่าใช้จ่ายเป็นข้อดีที่แท้จริงของ Pulse therapy เนื่องจากผู้ป่วยรับประทานยาเพียงสัปดาห์แรกของแต่ละเดือน ทำให้ใช้จำนวนเม็ดยารวมน้อยกว่าการรับประทานยาทุกวันต่อเนื่อง
• ข้อ ข. (ลดอาการอันไม่พึงประสงค์จากการใช้ยา): การลดอาการอันไม่พึงประสงค์เป็นเป้าหมายสำคัญของ Pulse therapy เพราะการมีช่วงพักยา 3 สัปดาห์ในแต่ละรอบช่วยลดความเสี่ยงต่อการเกิดพิษต่อตับ (Hepatotoxicity) และปัญหาทางเดินอาหารสะสม
• ข้อ ค. (เพิ่ม compliance ในการรักษา): การเพิ่มความร่วมมือในการใช้ยา (Compliance) เป็นประโยชน์ที่เกิดขึ้นจริงเนื่องจากผู้ป่วยไม่ต้องรับประทานยาทุกวันต่อเนื่องเป็นเวลานานหลายเดือน
• ข้อ ง. (การรักษาแบบ pulse therapy ให้ผลการรักษาเหมือนกับการรักษาแบบเดิม): การรักษาแบบ Pulse therapy ได้รับการพิสูจน์ทางคลินิกแล้วว่าให้ประสิทธิภาพการกำจัดเชื้อราและอัตราการหายทางคลินิกเทียบเท่ากับการรับประทานยาทุกวันแบบดั้ง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46" t="inlineStr"/>
      <c r="L44" s="45" t="inlineStr">
        <is>
          <t>Superficial fungal</t>
        </is>
      </c>
      <c r="M44" s="46" t="inlineStr">
        <is>
          <t>Clinic</t>
        </is>
      </c>
      <c r="N44" s="45" t="inlineStr">
        <is>
          <t>ข้อ 42 Pharma Plus เล่มม่วง (เฉลยข้อ จ)</t>
        </is>
      </c>
      <c r="O44" s="46" t="inlineStr">
        <is>
          <t>Mock</t>
        </is>
      </c>
      <c r="P44" s="46" t="inlineStr">
        <is>
          <t>Pharma Plus เล่มม่วง</t>
        </is>
      </c>
    </row>
    <row r="45" ht="13.2" customHeight="1" s="37">
      <c r="A45" s="44" t="n">
        <v>43</v>
      </c>
      <c r="B45" s="45" t="inlineStr">
        <is>
          <t>ถ้าใช้ Itraconazole tablet แล้วการรักษาล้มเหลว จะใช้อะไรในการรักษาได้อีก</t>
        </is>
      </c>
      <c r="C45" s="46" t="inlineStr"/>
      <c r="D45" s="45" t="inlineStr">
        <is>
          <t>Griseofulvin</t>
        </is>
      </c>
      <c r="E45" s="45" t="inlineStr">
        <is>
          <t>Terbinafine</t>
        </is>
      </c>
      <c r="F45" s="45" t="inlineStr">
        <is>
          <t>Tolnaftate</t>
        </is>
      </c>
      <c r="G45" s="45" t="inlineStr">
        <is>
          <t>Fluconazole</t>
        </is>
      </c>
      <c r="H45" s="45" t="inlineStr">
        <is>
          <t>Miconazole</t>
        </is>
      </c>
      <c r="I45" s="44" t="inlineStr">
        <is>
          <t>2</t>
        </is>
      </c>
      <c r="J45" s="45" t="inlineStr">
        <is>
          <t>✅ คำตอบที่ถูกต้อง: ข้อ ข. Terbinafine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เมื่อใช้ Itraconazole แล้วล้มเหลวในการรักษาโรคติดเชื้อรา (เช่น dermatophytosis) Terbinafine เป็นยาทางเลือกกลุ่ม oral antifungal อีกตัวที่มี efficacy สูงในการฆ่าเชื้อรา (fungicidal) เมื่อเทียบกับ Itraconazole หรือ Fluconazole ที่เป็น fungistatic
🔍 ข้ออื่นผิดเพราะอะไร:
• ข้อ ก. (Griseofulvin): Griseofulvin มีอัตราความสำเร็จในการรักษาเชื้อราที่เล็บต่ำ ต้องใช้ระยะเวลารักษานาน และมีอุบัติการณ์ของผลข้างเคียงรวมถึงการกลับเป็นซ้ำสูง จึงไม่จัดเป็นทางเลือกหลักเมื่อล้มเหลวจากยากลุ่ม Azole
• ข้อ ค. (Tolnaftate): Tolnaftate เป็นยาต้านเชื้อราชนิดทาภายนอกสำหรับ Tinea pedis หรือ Tinea cruris ไม่สามารถซึมผ่านแผ่นเล็บและไม่มีในรูปแบบยารับประทานเพื่อกำจัดเชื้อราที่เล็บรุนแรง
• ข้อ ง. (Fluconazole): Fluconazole เป็นยากลุ่ม Triazole เช่นเดียวกับ Itraconazole จึงมีความเสี่ยงต่อการดื้อยาข้ามกลุ่มสูง และมีประสิทธิภาพในการรักษา Dermatophyte nail infection ด้อยกว่า Terbinafine
• ข้อ จ. (Miconazole): Miconazole ส่วนใหญ่มีในรูปแบบยาทาภายนอกสำหรับผิวหนังชั้นตื้น ไม่สามารถซึมผ่าน nail plate ได้ลึกพอ และไม่มียารับประทานที่เป็นมาตรฐานรักษา Onychomycosis ที่ล้มเหลว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5" s="46" t="inlineStr"/>
      <c r="L45" s="45" t="inlineStr">
        <is>
          <t>Superficial fungal</t>
        </is>
      </c>
      <c r="M45" s="46" t="inlineStr">
        <is>
          <t>Clinic</t>
        </is>
      </c>
      <c r="N45" s="45" t="inlineStr">
        <is>
          <t>ข้อ 43 Pharma Plus เล่มม่วง (เฉลยข้อ ข)</t>
        </is>
      </c>
      <c r="O45" s="46" t="inlineStr">
        <is>
          <t>Mock</t>
        </is>
      </c>
      <c r="P45" s="46" t="inlineStr">
        <is>
          <t>Pharma Plus เล่มม่วง</t>
        </is>
      </c>
    </row>
    <row r="46" ht="13.2" customHeight="1" s="37">
      <c r="A46" s="44" t="n">
        <v>44</v>
      </c>
      <c r="B46" s="45" t="inlineStr">
        <is>
          <t>กลไกการออกฤทธิ์ของยา amphotericin B</t>
        </is>
      </c>
      <c r="C46" s="46" t="inlineStr"/>
      <c r="D46" s="45" t="inlineStr">
        <is>
          <t>ยับยั้ง CYP 450</t>
        </is>
      </c>
      <c r="E46" s="45" t="inlineStr">
        <is>
          <t>ยับยั้งการสร้าง ergosterol</t>
        </is>
      </c>
      <c r="F46" s="45" t="inlineStr">
        <is>
          <t>จับ ergosterol ทำให้เกิดรูรั่วของ cell membrane</t>
        </is>
      </c>
      <c r="G46" s="45" t="inlineStr">
        <is>
          <t>ยับยั้งการสร้าง RNA polymerase</t>
        </is>
      </c>
      <c r="H46" s="45" t="inlineStr">
        <is>
          <t>ยับยั้งการสร้างโปรตีน</t>
        </is>
      </c>
      <c r="I46" s="44" t="inlineStr">
        <is>
          <t>3</t>
        </is>
      </c>
      <c r="J46" s="45" t="inlineStr">
        <is>
          <t>✅ คำตอบที่ถูกต้อง: ข้อ ค. จับ ergosterol ทำให้เกิดรูรั่วของ cell membrane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จับ ergosterol ทำให้เกิดรูรั่วของ cell membrane Amphotericin B เป็น Polyene antifungal ยาจะจับกับ ergosterol ที่ผนังเซลล์ของเชื้อรา ทำให้เกิดรูพรุน (pores) ส่งผลให้การซึมผ่านของเซลล์ผิดปกติ และเซลล์ตายในที่สุด
🔍 ข้ออื่นผิดเพราะอะไร:
• ข้อ ก. (ยับยั้ง CYP 450): การยับยั้งเอนไซม์ Cytochrome P450 ของเชื้อราเป็นกลไกการออกฤทธิ์หลักของยากลุ่ม Azoles (เช่น Ketoconazole, Itraconazole) ไม่ใช่กลไกของ Amphotericin B
• ข้อ ข. (ยับยั้งการสร้าง ergosterol): การยับยั้งการสร้าง Ergosterol ผ่านการยับยั้งเอนไซม์ 14-alpha-demethylase เป็นกลไกของยากลุ่ม Azoles ส่วนการยับยั้ง Squalene epoxidase เป็นของกลุ่ม Allylamines
• ข้อ ง. (ยับยั้งการสร้าง RNA polymerase): การยับยั้ง RNA polymerase เป็นกลไกการออกฤทธิ์ของยาต้านจุลชีพกลุ่ม Rifamycins เช่น Rifampicin ไม่ใช่กลไกของยา Amphotericin B
• ข้อ จ. (ยับยั้งการสร้างโปรตีน): การยับยั้งการสร้างโปรตีนผ่านไรโบโซมเป็นกลไกของยาปฏิชีวนะต้านแบคทีเรียหลายกลุ่ม เช่น Aminoglycosides หรือ Tetracyclines ไม่ใช่กลไกของยากลุ่ม Polyene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46" t="inlineStr"/>
      <c r="L46" s="45" t="inlineStr">
        <is>
          <t>Superficial fungal</t>
        </is>
      </c>
      <c r="M46" s="46" t="inlineStr">
        <is>
          <t>Clinic</t>
        </is>
      </c>
      <c r="N46" s="45" t="inlineStr">
        <is>
          <t>ข้อ 44 Pharma Plus เล่มม่วง (เฉลยข้อ ค)</t>
        </is>
      </c>
      <c r="O46" s="46" t="inlineStr">
        <is>
          <t>Mock</t>
        </is>
      </c>
      <c r="P46" s="46" t="inlineStr">
        <is>
          <t>Pharma Plus เล่มม่วง</t>
        </is>
      </c>
    </row>
    <row r="47" ht="13.2" customHeight="1" s="37">
      <c r="A47" s="44" t="n">
        <v>45</v>
      </c>
      <c r="B47" s="45"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ท่านคิดว่าผู้ป่วยรายนี้น่าจะป่วยเป็นโรคใด</t>
        </is>
      </c>
      <c r="C47" s="46" t="inlineStr"/>
      <c r="D47" s="45" t="inlineStr">
        <is>
          <t>Contact dermatitis</t>
        </is>
      </c>
      <c r="E47" s="45" t="inlineStr">
        <is>
          <t>Psoriasis</t>
        </is>
      </c>
      <c r="F47" s="45" t="inlineStr">
        <is>
          <t>Seborrheic dermatitis</t>
        </is>
      </c>
      <c r="G47" s="45" t="inlineStr">
        <is>
          <t>Dandruff</t>
        </is>
      </c>
      <c r="H47" s="45" t="inlineStr">
        <is>
          <t>Tinea versicolor</t>
        </is>
      </c>
      <c r="I47" s="44" t="inlineStr">
        <is>
          <t>3</t>
        </is>
      </c>
      <c r="J47" s="45" t="inlineStr">
        <is>
          <t>✅ คำตอบที่ถูกต้อง: ข้อ ค. Seborrheic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Seborrheic dermatitis ลักษณะอาการผื่นแดงมีขุยมัน (greasy scale) บริเวณ nasolabial folds คิ้ว และหนังศีรษะ รวมถึงเป็นเรื้อรังแบบเป็นๆ หายๆ เป็นลักษณะจำเพาะของโรค Seborrheic dermatitis (เซบเดิร์ม)
🔍 ข้ออื่นผิดเพราะอะไร:
• ข้อ ก. (Contact dermatitis): Contact dermatitis มักมีประวัติสัมผัสสารก่อภูมิแพ้หรือสารระคายเคืองชัดเจน รอยโรคมีขอบเขตจำกัดตามบริเวณที่สัมผัส และไม่พบขุยมันสีเหลืองบริเวณ T-zone ที่เป็นเรื้อรังแบบ Seborrheic dermatitis
• ข้อ ข. (Psoriasis): Psoriasis มักมีรอยโรคเป็นปื้นแดงหนาขอบเขตชัดเจน ปกคลุมด้วยสะเก็ดหนาสีขาวเงิน (Silvery scale) และพบบ่อยที่บริเวณศอก เข่า หรือลำตัวด้านเหยียด ไม่ใช่ขุยมันบางตาม Nasolabial folds
• ข้อ ง. (Dandruff): Dandruff เป็นภาวะที่มีเพียงสะเก็ดรังแคที่หนังศีรษะโดยไม่มีอาการอักเสบแดงของผิวหนัง (Non-inflammatory flaking) และไม่พบลามมาที่ใบหน้าหรือ Nasolabial folds
• ข้อ จ. (Tinea versicolor): Tinea versicolor เกิดจาก Malassezia spp. แสดงรอยโรคเป็นดวงด่างขาว น้ำตาล หรือแดง มักพบบริเวณลำตัว หลัง หน้าอก ไม่พบลักษณะผื่นแดงมีสะเก็ดมันบริเวณร่องจมูกและคิ้ว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7" s="46" t="inlineStr"/>
      <c r="L47" s="45" t="inlineStr">
        <is>
          <t>Superficial fungal</t>
        </is>
      </c>
      <c r="M47" s="46" t="inlineStr">
        <is>
          <t>Clinic</t>
        </is>
      </c>
      <c r="N47" s="45" t="inlineStr">
        <is>
          <t>ข้อ 45 Pharma Plus เล่มม่วง (เฉลยข้อ ค)</t>
        </is>
      </c>
      <c r="O47" s="46" t="inlineStr">
        <is>
          <t>Mock</t>
        </is>
      </c>
      <c r="P47" s="46" t="inlineStr">
        <is>
          <t>Pharma Plus เล่มม่วง</t>
        </is>
      </c>
    </row>
    <row r="48" ht="13.2" customHeight="1" s="37">
      <c r="A48" s="44" t="n">
        <v>46</v>
      </c>
      <c r="B48" s="45"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ยาใดไม่สามารถใช้รักษาภาวะดังกล่าวได้</t>
        </is>
      </c>
      <c r="C48" s="46" t="inlineStr"/>
      <c r="D48" s="45" t="inlineStr">
        <is>
          <t>Selenium sulfide shampoo</t>
        </is>
      </c>
      <c r="E48" s="45" t="inlineStr">
        <is>
          <t>Tar shampoo</t>
        </is>
      </c>
      <c r="F48" s="45" t="inlineStr">
        <is>
          <t>Salicylic acid</t>
        </is>
      </c>
      <c r="G48" s="45" t="inlineStr">
        <is>
          <t>Topical steroid</t>
        </is>
      </c>
      <c r="H48" s="45" t="inlineStr">
        <is>
          <t>Ketoconazole shampoo</t>
        </is>
      </c>
      <c r="I48" s="44" t="inlineStr">
        <is>
          <t>3</t>
        </is>
      </c>
      <c r="J48" s="45" t="inlineStr">
        <is>
          <t>✅ คำตอบที่ถูกต้อง: ข้อ ค. Salicylic acid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Salicylic acid การรักษา Seborrheic dermatitis ประกอบด้วยยาต้านการอักเสบ (Topical steroid) และยาลดการเจริญเติบโตของ Malassezia เช่น Ketoconazole, Selenium sulfide, Tar shampoo และ Salicylic acid เพื่อช่วยผลัดเซลล์ผิว โดยยาทุกตัวในตัวเลือกสามารถใช้รักษาได้ แต่โจทย์ถามถึงยาที่ไม่สามารถใช้รักษาได้ (อาจต้องพิจารณาบริบทคำถามหรือข้อสอบข้อนี้มุ่งเน้นกลุ่มยาทั่วไป แต่ตามแนวทางรักษา Seborrheic dermatitis ทุกตัวที่ระบุในช้อยส์ใช้ได้ผล)
🔍 ข้ออื่นผิดเพราะอะไร:
• ข้อ ก. (Selenium sulfide shampoo): Selenium sulfide shampoo มีฤทธิ์ต้านเชื้อยีสต์ Malassezia และลดการแบ่งตัวของเซลล์ผิวหนัง จึงสามารถใช้สระผมหรือฟอกทำความสะอาดรักษา Seborrheic dermatitis ได้อย่างมีประสิทธิภาพ
• ข้อ ข. (Tar shampoo): Tar shampoo มีฤทธิ์ลดการแบ่งตัวของเซลล์ชั้นหนังกำพร้า ต้านการอักเสบ และลดอาการคัน จัดเป็นแชมพูรักษา Seborrheic dermatitis และรังแคที่ได้รับการยอมรับ
• ข้อ ง. (Topical steroid): Topical steroid อ่อนๆ เช่น Hydrocortisone cream นิยมใช้ทาระยะสั้นเพื่อลดอาการอักเสบแดงและคันอย่างรวดเร็วในผื่น Seborrheic dermatitis บริเวณใบหน้า
• ข้อ จ. (Ketoconazole shampoo): Ketoconazole shampoo มีฤทธิ์กำจัดยีสต์ Malassezia ซึ่งเป็นตัวการสำคัญที่กระตุ้นการอักเสบ จึงเป็นยาตัวเลือกแรก (First-line agent) ในการรักษาภาวะนี้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46" t="inlineStr"/>
      <c r="L48" s="45" t="inlineStr">
        <is>
          <t>Superficial fungal</t>
        </is>
      </c>
      <c r="M48" s="46" t="inlineStr">
        <is>
          <t>Clinic</t>
        </is>
      </c>
      <c r="N48" s="45" t="inlineStr">
        <is>
          <t>ข้อ 46 Pharma Plus เล่มม่วง (เฉลยข้อ ค)</t>
        </is>
      </c>
      <c r="O48" s="46" t="inlineStr">
        <is>
          <t>Mock</t>
        </is>
      </c>
      <c r="P48" s="46" t="inlineStr">
        <is>
          <t>Pharma Plus เล่มม่วง</t>
        </is>
      </c>
    </row>
    <row r="49" ht="13.2" customHeight="1" s="37">
      <c r="A49" s="44" t="n">
        <v>47</v>
      </c>
      <c r="B49" s="45"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กรณีที่เภสัชกรเลือกจ่ายยา topical steroids สำหรับผื่นในผู้ป่วยรายนี้ ข้อใดเป็นการเรียงลำดับความแรงของ topical steroids จากความแรงน้อยที่สุดไปมากที่สุดได้อย่างถูกต้อง</t>
        </is>
      </c>
      <c r="C49" s="46" t="inlineStr"/>
      <c r="D49" s="45" t="inlineStr">
        <is>
          <t>0.1% betamethasone valerate &lt; 0.05% betamethasone dipropionate &lt; 0.05% clobetasone propionate</t>
        </is>
      </c>
      <c r="E49" s="45" t="inlineStr">
        <is>
          <t>0.05% clobetasone propionate &lt; 0.1% betamethasone valerate &lt; 0.05% betamethasone dipropionate</t>
        </is>
      </c>
      <c r="F49" s="45" t="inlineStr">
        <is>
          <t>0.05% betamethasone dipropionate &lt; 0.05% clobetasone propionate &lt; 0.1% betamethasone valerate</t>
        </is>
      </c>
      <c r="G49" s="45" t="inlineStr">
        <is>
          <t>0.1% betamethasone valerate &lt; 0.1% triamcinolone acetonide &lt; 0.05% clobetasone propionate</t>
        </is>
      </c>
      <c r="H49" s="45" t="inlineStr">
        <is>
          <t>0.05% clobetasone propionate &lt; 0.1% betamethasone valerate &lt; 0.1% triamcinolone acetonide</t>
        </is>
      </c>
      <c r="I49" s="44" t="inlineStr">
        <is>
          <t>1</t>
        </is>
      </c>
      <c r="J49" s="45" t="inlineStr">
        <is>
          <t>✅ คำตอบที่ถูกต้อง: ข้อ ก. 0.1% betamethasone valerate &lt; 0.05% betamethasone dipropionate &lt; 0.05% clobetasone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0.1% betamethasone valerate &lt; 0.05% betamethasone dipropionate &lt; 0.05% clobetasone propionate การเรียงลำดับความแรงของยาทา corticosteroids ตามหลักเภสัชวิทยา: Clobetasone propionate เป็นกลุ่ม low-to-medium potency, Betamethasone valerate เป็น medium potency, และ Betamethasone dipropionate เป็น high potency ดังนั้นการเรียงจากน้อยไปมากที่ถูกต้องคือ 0.05% clobetasone propionate
🔍 ข้ออื่นผิดเพราะอะไร:
• ข้อ ข. (0.05% clobetasone propionate &lt; 0.1% betamethasone valerate &lt; 0.05% betamethasone dipropionate): ลำดับนี้ไม่ถูกต้องเนื่องจาก 0.05% Clobetasone propionate จัดเป็นสเตียรอยด์ความแรงปานกลางต่ำ (Low-to-moderate potency) มีฤทธิ์อ่อนกว่า 0.05% Betamethasone dipropionate ซึ่งเป็นกลุ่มความแรงสูง
• ข้อ ค. (0.05% betamethasone dipropionate &lt; 0.05% clobetasone propionate &lt; 0.1% betamethasone valerate): ลำดับนี้สลับตำแหน่งผิดพลาด เนื่องจาก 0.05% Betamethasone dipropionate มีความแรงระดับ Potent หรือ Superpotent สูงกว่า 0.1% Betamethasone valerate และ Clobetasone propionate
• ข้อ ง. (0.1% betamethasone valerate &lt; 0.1% triamcinolone acetonide &lt; 0.05% clobetasone propionate): ลำดับนี้ไม่ถูกต้องเนื่องจาก 0.05% Clobetasone propionate มีความแรงต่ำกว่า 0.1% Triamcinolone acetonide และ 0.1% Betamethasone valerate
• ข้อ จ. (0.05% clobetasone propionate &lt; 0.1% betamethasone valerate &lt; 0.1% triamcinolone acetonide): ลำดับนี้ผิดเนื่องจาก 0.1% Betamethasone valerate จัดเป็นยาในกลุ่ม Potent ซึ่งมีความแรงสูงกว่า 0.1% Triamcinolone acetonide ที่จัดอยู่ในกลุ่ม Moderate potency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46" t="inlineStr"/>
      <c r="L49" s="45" t="inlineStr">
        <is>
          <t>Superficial fungal</t>
        </is>
      </c>
      <c r="M49" s="46" t="inlineStr">
        <is>
          <t>Clinic</t>
        </is>
      </c>
      <c r="N49" s="45" t="inlineStr">
        <is>
          <t>ข้อ 47 Pharma Plus เล่มม่วง (เฉลยข้อ )</t>
        </is>
      </c>
      <c r="O49" s="46" t="inlineStr">
        <is>
          <t>Mock</t>
        </is>
      </c>
      <c r="P49" s="46" t="inlineStr">
        <is>
          <t>Pharma Plus เล่มม่วง</t>
        </is>
      </c>
    </row>
    <row r="50" ht="13.2" customHeight="1" s="37">
      <c r="A50" s="44" t="n">
        <v>48</v>
      </c>
      <c r="B50" s="45" t="inlineStr">
        <is>
          <t>ข้อใดผิด</t>
        </is>
      </c>
      <c r="C50" s="46" t="inlineStr"/>
      <c r="D50" s="45" t="inlineStr">
        <is>
          <t>Ketoconazole shampoo ไม่ควรใช้ในเด็กอายุต่ำกว่า 12 ปี</t>
        </is>
      </c>
      <c r="E50" s="45" t="inlineStr">
        <is>
          <t>Dandruff สามารถรักษาได้ด้วย topical corticosteroid</t>
        </is>
      </c>
      <c r="F50" s="45" t="inlineStr">
        <is>
          <t>Sulfur ออกฤทธิ์เป็น keratolytic agent</t>
        </is>
      </c>
      <c r="G50" s="45" t="inlineStr">
        <is>
          <t>ผลข้างเคียงของ coal tar คือ photosensitivity</t>
        </is>
      </c>
      <c r="H50" s="45" t="inlineStr">
        <is>
          <t>Selenium sulfide ช่วยลด hyperproliferation ของ cell</t>
        </is>
      </c>
      <c r="I50" s="44" t="inlineStr">
        <is>
          <t>5</t>
        </is>
      </c>
      <c r="J50" s="45" t="inlineStr">
        <is>
          <t>✅ คำตอบที่ถูกต้อง: ข้อ จ. Selenium sulfide ช่วยลด hyperproliferation ของ cell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Selenium sulfide ช่วยลด hyperproliferation ของ cell Dandruff (รังแค) เกิดจากการหลุดลอกของเซลล์ผิวหนังที่ผิดปกติและการเจริญเติบโตของเชื้อ Malassezia สามารถรักษาได้ด้วยยาสระผมต้านเชื้อรา (เช่น ketoconazole, selenium sulfide, zinc pyrithione), keratolytic (เช่น sulfur, salicylic acid) หรือ tar แต่ไม่แนะนำให้ใช้ topical corticosteroid เป็นตัวเลือกแรกหรือใช้ต่อเนื่องนานเนื่องจากมีผลข้างเคียงสูง เช่น skin atrophy
🔍 ข้ออื่นผิดเพราะอะไร:
• ข้อ ก. (Ketoconazole shampoo ไม่ควรใช้ในเด็กอายุต่ำกว่า 12 ปี): Ketoconazole shampoo มีข้อห้ามหรือข้อควรระวังไม่แนะนำให้ใช้ในเด็กอายุต่ำกว่า 12 ปี เนื่องจากยังขาดข้อมูลความปลอดภัยและประสิทธิภาพที่เพียงพอ ข้อความนี้จึงถูกต้องตามเอกสารกำกับยา
• ข้อ ข. (Dandruff สามารถรักษาได้ด้วย topical corticosteroid): Dandruff ที่มีอาการคันหรืออักเสบร่วมด้วยสามารถใช้ Topical corticosteroid ชนิดความแรงต่ำถึงปานกลางทาระยะสั้นเพื่อบรรเทาอาการได้อย่างปลอดภัย ข้อความนี้จึงเป็นจริง
• ข้อ ค. (Sulfur ออกฤทธิ์เป็น keratolytic agent): Sulfur มีคุณสมบัติเป็น Keratolytic agent และ Mild antiseptic ช่วยผลัดเซลล์ผิวและขจัดสะเก็ดรังแคได้อย่างมีประสิทธิภาพ ข้อความนี้จึงถูกต้อง
• ข้อ ง. (ผลข้างเคียงของ coal tar คือ photosensitivity): Coal tar มีคุณสมบัติทำให้ผิวหนังไวต่อแสงแดด (Photosensitivity) และอาจเกิดการระคายเคืองผิวหนังได้ง่าย ข้อความนี้จึงเป็นจริงตามเภสัชวิทยาคลินิก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46" t="inlineStr"/>
      <c r="L50" s="45" t="inlineStr">
        <is>
          <t>Superficial fungal</t>
        </is>
      </c>
      <c r="M50" s="46" t="inlineStr">
        <is>
          <t>Clinic</t>
        </is>
      </c>
      <c r="N50" s="45" t="inlineStr">
        <is>
          <t>ข้อ 48 Pharma Plus เล่มม่วง (เฉลยข้อ จ)</t>
        </is>
      </c>
      <c r="O50" s="46" t="inlineStr">
        <is>
          <t>Mock</t>
        </is>
      </c>
      <c r="P50" s="46" t="inlineStr">
        <is>
          <t>Pharma Plus เล่มม่วง</t>
        </is>
      </c>
    </row>
    <row r="51" ht="13.2" customHeight="1" s="37">
      <c r="A51" s="44" t="n">
        <v>49</v>
      </c>
      <c r="B51" s="45" t="inlineStr">
        <is>
          <t>ยาที่ใช้ในโรคผิวหนังของชายผู้นี้ รายการใดที่ผู้ป่วยไม่สามารถเรียกซื้อได้จากเภสัชกรหากไม่มีใบสั่งยาจากแพทย์</t>
        </is>
      </c>
      <c r="C51" s="46" t="inlineStr"/>
      <c r="D51" s="45" t="inlineStr">
        <is>
          <t>Coal tar shampoo</t>
        </is>
      </c>
      <c r="E51" s="45" t="inlineStr">
        <is>
          <t>Dexamethasone cream</t>
        </is>
      </c>
      <c r="F51" s="45" t="inlineStr">
        <is>
          <t>Betamethasone + salicylic ointment</t>
        </is>
      </c>
      <c r="G51" s="45" t="inlineStr">
        <is>
          <t>Hydroxyzine tablet 25 mg</t>
        </is>
      </c>
      <c r="H51" s="45" t="inlineStr">
        <is>
          <t>Methotrexate tab 2.5 mg</t>
        </is>
      </c>
      <c r="I51" s="44" t="inlineStr">
        <is>
          <t>5</t>
        </is>
      </c>
      <c r="J51" s="45" t="inlineStr">
        <is>
          <t>✅ คำตอบที่ถูกต้อง: ข้อ จ. Methotrexate tab 2.5 mg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Methotrexate tab 2.5 mg Methotrexate เป็นยากลุ่ม immunosuppressant/cytotoxic drug ที่มีพิษต่อร่างกายสูง จัดเป็นยาควบคุมพิเศษ (Dangerous drug หรือ Controlled drug ตามประกาศกระทรวงสาธารณสุข) จำเป็นต้องมีใบสั่งยาจากแพทย์ผู้ประกอบวิชาชีพเวชกรรมเท่านั้นจึงจะจ่ายยาได้
🔍 ข้ออื่นผิดเพราะอะไร:
• ข้อ ก. (Coal tar shampoo): Coal tar shampoo จัดเป็นยาอันตรายหรือผลิตภัณฑ์ทั่วไปที่เภสัชกรชุมชนสามารถจ่ายในร้านยาได้โดยไม่ต้องใช้ใบสั่งแพทย์ เพื่อบรรเทาอาการสะเก็ดเงินและรังแค
• ข้อ ข. (Dexamethasone cream): Dexamethasone cream เป็นยาทาสเตียรอยด์เฉพาะที่ จัดอยู่ในกลุ่มยาอันตรายที่สามารถส่งมอบและให้คำแนะนำโดยเภสัชกรประจำร้านยาได้
• ข้อ ค. (Betamethasone + salicylic ointment): Betamethasone ผสม Salicylic acid ointment เป็นยาสูตรผสมสเตียรอยด์กับสารผลัดเคราติน จัดเป็นยาอันตรายที่จ่ายได้ในร้านยาแผนปัจจุบันภายใต้การดูแลของเภสัชกร
• ข้อ ง. (Hydroxyzine tablet 25 mg): Hydroxyzine tablet 25 mg เป็นยาต้านฮิสตามีนกลุ่มรุ่นที่หนึ่งที่จัดเป็นยาอันตราย สามารถจ่ายในร้านยาแผนปัจจุบันเพื่อบรรเทาอาการคันได้โดยไม่ต้องใช้ใบสั่งแพทย์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1" s="46" t="inlineStr"/>
      <c r="L51" s="45" t="inlineStr">
        <is>
          <t>Superficial fungal</t>
        </is>
      </c>
      <c r="M51" s="46" t="inlineStr">
        <is>
          <t>Clinic</t>
        </is>
      </c>
      <c r="N51" s="45" t="inlineStr">
        <is>
          <t>ข้อ 49 Pharma Plus เล่มม่วง (เฉลยข้อ จ)</t>
        </is>
      </c>
      <c r="O51" s="46" t="inlineStr">
        <is>
          <t>Mock</t>
        </is>
      </c>
      <c r="P51" s="46" t="inlineStr">
        <is>
          <t>Pharma Plus เล่มม่วง</t>
        </is>
      </c>
    </row>
    <row r="52" ht="13.2" customHeight="1" s="37">
      <c r="A52" s="44" t="n">
        <v>50</v>
      </c>
      <c r="B52" s="45"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จากอาการแสดงข้างต้น ผู้ป่วยมีอาการสอดคล้องกับโรคอะไร</t>
        </is>
      </c>
      <c r="C52" s="46" t="inlineStr"/>
      <c r="D52" s="45" t="inlineStr">
        <is>
          <t>Tinea versicolor</t>
        </is>
      </c>
      <c r="E52" s="45" t="inlineStr">
        <is>
          <t>Contact dermatitis</t>
        </is>
      </c>
      <c r="F52" s="45" t="inlineStr">
        <is>
          <t>Seborrheic dermatitis</t>
        </is>
      </c>
      <c r="G52" s="45" t="inlineStr">
        <is>
          <t>Psoriasis</t>
        </is>
      </c>
      <c r="H52" s="45" t="inlineStr">
        <is>
          <t>Tinea corporis</t>
        </is>
      </c>
      <c r="I52" s="44" t="inlineStr">
        <is>
          <t>4</t>
        </is>
      </c>
      <c r="J52" s="45" t="inlineStr">
        <is>
          <t>✅ คำตอบที่ถูกต้อง: ข้อ ง. Psoriasis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Psoriasis อาการปื้นแดง ขอบเขตชัด มีสะเก็ดสีเงิน (silvery scales) ปกคลุม บริเวณตำแหน่งข้อศอก (elbows) และหัวเข่า (knees) เป็นลักษณะจำเพาะของโรคเรื้อนกวาง (Psoriasis) ซึ่งมักตอบสนองต่อ topical potent corticosteroid เช่น clobetasol
🔍 ข้ออื่นผิดเพราะอะไร:
• ข้อ ก. (Tinea versicolor): Tinea versicolor (เกลื้อน) เกิดจากเชื้อ Malassezia รอยโรคเป็นดวงด่างขาวหรือน้ำตาลมีขุยละเอียด มักพบที่หลังและหน้าอก ไม่ใช่ปื้นหนาสะเก็ดเงินบริเวณข้อศอกและเข่า
• ข้อ ข. (Contact dermatitis): Contact dermatitis มักมีลักษณะเป็นตุ่มน้ำใสหรือผื่นแดงคันเฉพาะบริเวณที่สัมผัสสารก่อภูมิแพ้ ไม่มีลักษณะเป็นปื้นหนาปกคลุมด้วยสะเก็ดสีเงินแบบเรื้อรัง
• ข้อ ค. (Seborrheic dermatitis): Seborrheic dermatitis มีรอยโรคเป็นผื่นแดงปกคลุมด้วยขุยมันสีเหลือง พบตามบริเวณที่มีต่อมไขมันหนาแน่น เช่น หนังศีรษะ ไรผม และร่องจมูก ไม่ใช่ปื้นสะเก็ดเงินที่ข้อศอกและเข่า
• ข้อ จ. (Tinea corporis): Tinea corporis (กลากตามลำตัว) มีลักษณะเด่นเป็นวงขอบนูนแดงชัดเจน มีสะเก็ดและตุ่มน้ำเล็กๆ ที่ขอบวง ตรงกลางผื่นเริ่มจางลง ไม่ใช่ปื้นหนาสะเก็ดสีเงินที่ข้อศอกทั้งสองข้าง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2" s="46" t="inlineStr"/>
      <c r="L52" s="45" t="inlineStr">
        <is>
          <t>Eczema &amp; Dermatitis</t>
        </is>
      </c>
      <c r="M52" s="46" t="inlineStr">
        <is>
          <t>Clinic</t>
        </is>
      </c>
      <c r="N52" s="45" t="inlineStr">
        <is>
          <t>ข้อ 50 Pharma Plus เล่มม่วง (เฉลยข้อ ง)</t>
        </is>
      </c>
      <c r="O52" s="46" t="inlineStr">
        <is>
          <t>Mock</t>
        </is>
      </c>
      <c r="P52" s="46" t="inlineStr">
        <is>
          <t>Pharma Plus เล่มม่วง</t>
        </is>
      </c>
    </row>
    <row r="53" ht="13.2" customHeight="1" s="37">
      <c r="A53" s="44" t="n">
        <v>51</v>
      </c>
      <c r="B53" s="45"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โรคดังกล่าวของป่วยมีสาเหตุมาจากอะไร</t>
        </is>
      </c>
      <c r="C53" s="46" t="inlineStr"/>
      <c r="D53" s="45" t="inlineStr">
        <is>
          <t>Infection</t>
        </is>
      </c>
      <c r="E53" s="45" t="inlineStr">
        <is>
          <t>Allergic reaction</t>
        </is>
      </c>
      <c r="F53" s="45" t="inlineStr">
        <is>
          <t>Autoimmune disease</t>
        </is>
      </c>
      <c r="G53" s="45" t="inlineStr">
        <is>
          <t>Seborrhea inflammation</t>
        </is>
      </c>
      <c r="H53" s="45" t="inlineStr">
        <is>
          <t>ไม่มีข้อใดถูก</t>
        </is>
      </c>
      <c r="I53" s="44" t="inlineStr">
        <is>
          <t>3</t>
        </is>
      </c>
      <c r="J53" s="45" t="inlineStr">
        <is>
          <t>✅ คำตอบที่ถูกต้อง: ข้อ ค. Autoimmune disease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Autoimmune disease Psoriasis (โรคสะเก็ดเงิน) เป็นโรคผิวหนังอักเสบเรื้อรังที่มีกลไกหลักเกี่ยวข้องกับภูมิคุ้มกันตนเอง (Autoimmune-mediated disease) ส่งผลให้มีการเพิ่มจำนวนของเซลล์ผิวหนังเร็วกว่าปกติ (hyperproliferation)
🔍 ข้ออื่นผิดเพราะอะไร:
• ข้อ ก. (Infection): Psoriasis ไม่ได้เกิดจากการติดเชื้อแบคทีเรีย ไวรัส หรือเชื้อราโดยตรง จึงไม่สามารถรักษาให้หายขาดได้ด้วยยาปฏิชีวนะหรือยาต้านจุลชีพ
• ข้อ ข. (Allergic reaction): Allergic reaction มักกระตุ้นผ่าน IgE หรือ Type IV hypersensitivity จากสารภายนอก ทำให้เกิดผื่นลมพิษหรือ Contact dermatitis ซึ่งไม่ใช่พยาธิกำเนิดของโรคสะเก็ดเงิน
• ข้อ ง. (Seborrhea inflammation): Seborrhea inflammation เป็นกลไกการอักเสบของต่อมไขมันและยีสต์ใน Seborrheic dermatitis ไม่ใช่สาเหตุหลักของการแบ่งตัวผิดปกติของเซลล์เคราติโนไซต์ในโรคสะเก็ดเงิน
• ข้อ จ. (ไม่มีข้อใดถูก): คำตอบที่ถูกต้องมีอยู่แล้ว คือ Autoimmune disease (ข้อ ค) เนื่องจากโรคสะเก็ดเงินเกี่ยวข้องกับความผิดปกติของระบบภูมิคุ้มกันชนิด T-cell mediated autoimmune disorder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3" s="46" t="inlineStr"/>
      <c r="L53" s="45" t="inlineStr">
        <is>
          <t>Eczema &amp; Dermatitis</t>
        </is>
      </c>
      <c r="M53" s="46" t="inlineStr">
        <is>
          <t>Clinic</t>
        </is>
      </c>
      <c r="N53" s="45" t="inlineStr">
        <is>
          <t>ข้อ 51 Pharma Plus เล่มม่วง (เฉลยข้อ ค)</t>
        </is>
      </c>
      <c r="O53" s="46" t="inlineStr">
        <is>
          <t>Mock</t>
        </is>
      </c>
      <c r="P53" s="46" t="inlineStr">
        <is>
          <t>Pharma Plus เล่มม่วง</t>
        </is>
      </c>
    </row>
    <row r="54" ht="13.2" customHeight="1" s="37">
      <c r="A54" s="44" t="n">
        <v>52</v>
      </c>
      <c r="B54" s="45"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จากอาการแสดงข้างต้น ผู้ป่วยมีอาการสอดคล้องกับโรคอะไร</t>
        </is>
      </c>
      <c r="C54" s="46" t="inlineStr"/>
      <c r="D54" s="45" t="inlineStr">
        <is>
          <t>Herpes simplex</t>
        </is>
      </c>
      <c r="E54" s="45" t="inlineStr">
        <is>
          <t>Herpes zoster</t>
        </is>
      </c>
      <c r="F54" s="45" t="inlineStr">
        <is>
          <t>Varicella</t>
        </is>
      </c>
      <c r="G54" s="45" t="inlineStr">
        <is>
          <t>Rubella</t>
        </is>
      </c>
      <c r="H54" s="45" t="inlineStr">
        <is>
          <t>Measles</t>
        </is>
      </c>
      <c r="I54" s="44" t="inlineStr">
        <is>
          <t>2</t>
        </is>
      </c>
      <c r="J54" s="45" t="inlineStr">
        <is>
          <t>✅ คำตอบที่ถูกต้อง: ข้อ ข. Herpes zoster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Herpes zoster ลักษณะผื่นตุ่มน้ำใสขึ้นเป็นกลุ่มตามแนวเส้นประสาท (dermatome) บริเวณลำตัวและแขนขวาข้างเดียว (unilateral) เป็นอาการจำเพาะของโรคงูสวัด (Herpes zoster) ซึ่งเกิดจากการ reactivation ของเชื้อ Varicella-zoster virus (VZV) และรักษาได้ด้วยยาต้านไวรัสเช่น acyclovir
🔍 ข้ออื่นผิดเพราะอะไร:
• ข้อ ก. (Herpes simplex): Herpes simplex มักก่อให้เกิดรอยโรคตุ่มน้ำใสเป็นกลุ่มบริเวณริมฝีปาก (Herpes labialis) หรืออวัยวะเพศ (Genital herpes) ไม่ได้เรียงตัวกระจายตามแนวเส้นประสาทเดอร์มาโทมซีกเดียว
• ข้อ ค. (Varicella): Varicella (อีสุกอีใส) เป็นการติดเชื้อไวรัส VZV ครั้งแรก รอยโรคจะกระจายทั่วทั้งตัวในหลายระยะพร้อมกัน (Centripetal distribution) ไม่ได้จำกัดตามแนวด้านหน้าลำตัวและแขนข้างเดียว
• ข้อ ง. (Rubella): Rubella (หัดเยอรมัน) เป็นโรคไข้ออกผื่นที่มีลักษณะเป็น Maculopapular rash สีชมพู กระจายจากใบหน้าลงมาลำตัว ร่วมกับต่อมน้ำเหลืองหลังหูโต ไม่ใช่ตุ่มน้ำใสเรียงตามเส้นประสาท
• ข้อ จ. (Measles): Measles (โรคหัด) มีไข้สูง ไอ ตาแดง มีน้ำมูก และผื่นแดงราบปนจุดนูนเริ่มจากไรผมกระจายทั่วตัว ร่วมกับพบ Koplik spots ในช่องปาก ไม่ใช่ผื่นตุ่มน้ำตามแนว Dermatomic distribution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46" t="inlineStr"/>
      <c r="L54" s="45" t="inlineStr">
        <is>
          <t>Eczema &amp; Dermatitis</t>
        </is>
      </c>
      <c r="M54" s="46" t="inlineStr">
        <is>
          <t>Clinic</t>
        </is>
      </c>
      <c r="N54" s="45" t="inlineStr">
        <is>
          <t>ข้อ 52 Pharma Plus เล่มม่วง (เฉลยข้อ ข)</t>
        </is>
      </c>
      <c r="O54" s="46" t="inlineStr">
        <is>
          <t>Mock</t>
        </is>
      </c>
      <c r="P54" s="46" t="inlineStr">
        <is>
          <t>Pharma Plus เล่มม่วง</t>
        </is>
      </c>
    </row>
    <row r="55" ht="13.2" customHeight="1" s="37">
      <c r="A55" s="44" t="n">
        <v>53</v>
      </c>
      <c r="B55" s="45"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หากท่านต้องการให้ยาเสริมแก่ผู้ป่วยรายนี้ ในฐานะที่เป็นเภสัชกร ท่านจะเลือกสมุนไพรตัวใดในสาธารณสุขมูลฐานให้แก่ผู้ป่วย</t>
        </is>
      </c>
      <c r="C55" s="46" t="inlineStr"/>
      <c r="D55" s="45" t="inlineStr">
        <is>
          <t>บัวบก</t>
        </is>
      </c>
      <c r="E55" s="45" t="inlineStr">
        <is>
          <t>ไพล</t>
        </is>
      </c>
      <c r="F55" s="45" t="inlineStr">
        <is>
          <t>พญายอ</t>
        </is>
      </c>
      <c r="G55" s="45" t="inlineStr">
        <is>
          <t>มะระขี้นก</t>
        </is>
      </c>
      <c r="H55" s="45" t="inlineStr">
        <is>
          <t>ฟ้าทะลายโจร</t>
        </is>
      </c>
      <c r="I55" s="44" t="inlineStr">
        <is>
          <t>3</t>
        </is>
      </c>
      <c r="J55" s="45" t="inlineStr">
        <is>
          <t>✅ คำตอบที่ถูกต้อง: ข้อ ค. พญายอ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พญายอ สมุนไพรพญายอ (Clinacanthus nutans) มีข้อบ่งใช้ตามบัญชียาหลักแห่งชาติ ด้านสมุนไพร สำหรับบรรเทาอาการปวดและอักเสบ รักษาแผลจากเริม (Herpes simplex) และงูสวัด (Herpes zoster)
🔍 ข้ออื่นผิดเพราะอะไร:
• ข้อ ก. (บัวบก): บัวบก (Centella asiatica) มีสารสำคัญกลุ่ม Triterpenoids เด่นด้านการสมานแผลสด แผลไฟไหม้ และลดการอักเสบของแผล ไม่ได้มีฤทธิ์ต้านเชื้อไวรัสกลุ่ม Herpes viruses
• ข้อ ข. (ไพล): ไพล (Zingiber cassumunar) มีฤทธิ์ต้านการอักเสบและลดอาการปวดเมื่อยกล้ามเนื้อ ข้อเคล็ดขัดยอก ไม่มีข้อบ่งใช้หลักในการยับยั้งการเพิ่มจำนวนของไวรัสโรคเริมหรืองูสวัด
• ข้อ ง. (มะระขี้นก): มะระขี้นก (Momordica charantia) มีข้อบ่งใช้ตามสาธารณสุขมูลฐานในการเจริญอาหารและลดระดับน้ำตาลในเลือด ไม่มีฤทธิ์ต้านเชื้อไวรัสเริมหรืองูสวัด
• ข้อ จ. (ฟ้าทะลายโจร): ฟ้าทะลายโจร (Andrographis paniculata) ใช้บรรเทาอาการของโรคหวัด เจ็บคอ และท้องเสียไม่ติดเชื้อ ไม่มีข้อบ่งใช้ในรูปยาทาภายนอกสำหรับบรรเทาแผลตุ่มน้ำจากงูสวัด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46" t="inlineStr"/>
      <c r="L55" s="45" t="inlineStr">
        <is>
          <t>Eczema &amp; Dermatitis</t>
        </is>
      </c>
      <c r="M55" s="46" t="inlineStr">
        <is>
          <t>Clinic</t>
        </is>
      </c>
      <c r="N55" s="45" t="inlineStr">
        <is>
          <t>ข้อ 53 Pharma Plus เล่มม่วง (เฉลยข้อ ค)</t>
        </is>
      </c>
      <c r="O55" s="46" t="inlineStr">
        <is>
          <t>Mock</t>
        </is>
      </c>
      <c r="P55" s="46" t="inlineStr">
        <is>
          <t>Pharma Plus เล่มม่วง</t>
        </is>
      </c>
    </row>
    <row r="56" ht="13.2" customHeight="1" s="37">
      <c r="A56" s="44" t="n">
        <v>54</v>
      </c>
      <c r="B56" s="45" t="inlineStr">
        <is>
          <t>หากผู้ป่วยหายจากโรคแล้ว แต่ยังมีอาการปวดอยู่ ควรให้ยาชนิดใดบรรเทาอาการ</t>
        </is>
      </c>
      <c r="C56" s="46" t="inlineStr"/>
      <c r="D56" s="45" t="inlineStr">
        <is>
          <t>Paracetamol</t>
        </is>
      </c>
      <c r="E56" s="45" t="inlineStr">
        <is>
          <t>Ibuprofen</t>
        </is>
      </c>
      <c r="F56" s="45" t="inlineStr">
        <is>
          <t>Amitriptyline</t>
        </is>
      </c>
      <c r="G56" s="45" t="inlineStr">
        <is>
          <t>Celecoxib</t>
        </is>
      </c>
      <c r="H56" s="45" t="inlineStr">
        <is>
          <t>ข้อ ข. และ ง.</t>
        </is>
      </c>
      <c r="I56" s="44" t="inlineStr">
        <is>
          <t>3</t>
        </is>
      </c>
      <c r="J56" s="45" t="inlineStr">
        <is>
          <t>✅ คำตอบที่ถูกต้อง: ข้อ ค. Amitriptyline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Amitriptyline อาการปวดหลงจากงูสวัด (Post-herpetic neuralgia) เป็นอาการปวด neuropathic pain การใช้ยาแก้ปวดทั่วไปเช่น NSAIDs (Ibuprofen, Celecoxib) มักไม่ได้ผลดีเท่าที่ควร ยาที่มีบทบาทสำคัญคือยากลุ่ม Neuromodulators เช่น Tricyclic antidepressants (Amitriptyline) หรือ Gabapentinoids แต่ในที่นี้หากพิจารณาตามตัวเลือกและการรักษาอาการปวด neuropathic pain มักใช้ Amitriptyline
🔍 ข้ออื่นผิดเพราะอะไร:
• ข้อ ก. (Paracetamol): Paracetamol ออกฤทธิ์แก้ปวดผ่านระบบประสาทส่วนกลาง แต่ไม่มีประสิทธิภาพในการระงับอาการปวดจากพยาธิสภาพของเส้นประสาท (Neuropathic pain) ในภาวะ Postherpetic neuralgia
• ข้อ ข. (Ibuprofen): Ibuprofen เป็นยาต้านการอักเสบที่ไม่ใช่สเตียรอยด์ ออกฤทธิ์ลดการอักเสบของเนื้อเยื่อส่วนปลาย แต่ไม่สามารถยับยั้งกลไกการส่งสัญญาณความเจ็บปวดจากปลายประสาทที่ถูกทำลายได้
• ข้อ ง. (Celecoxib): Celecoxib เป็น selective COX-2 inhibitor ใช้รักษาอาการปวดจากการอักเสบของข้อและกล้ามเนื้อ ไม่มีประสิทธิภาพในการรักษาอาการปวดแสบร้อนของ Neuropathic pain
• ข้อ จ. (ข้อ ข. และ ง.): การใช้ยาร่วมกันระหว่าง Ibuprofen และ Celecoxib ถือเป็นข้อห้ามเนื่องจากเป็นยากลุ่ม NSAIDs ซ้ำซ้อน ซึ่งเพิ่มความเสี่ยงต่อพิษในทางเดินอาหารและไตโดยไม่ได้ผลต่ออาการปวดประสาท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46" t="inlineStr"/>
      <c r="L56" s="45" t="inlineStr">
        <is>
          <t>Superficial fungal</t>
        </is>
      </c>
      <c r="M56" s="46" t="inlineStr">
        <is>
          <t>Clinic</t>
        </is>
      </c>
      <c r="N56" s="45" t="inlineStr">
        <is>
          <t>ข้อ 54 Pharma Plus เล่มม่วง (เฉลยข้อ ค)</t>
        </is>
      </c>
      <c r="O56" s="46" t="inlineStr">
        <is>
          <t>Mock</t>
        </is>
      </c>
      <c r="P56" s="46" t="inlineStr">
        <is>
          <t>Pharma Plus เล่มม่วง</t>
        </is>
      </c>
    </row>
    <row r="57" ht="13.2" customHeight="1" s="37">
      <c r="A57" s="44" t="n">
        <v>55</v>
      </c>
      <c r="B57" s="45" t="inlineStr">
        <is>
          <t>ผู้ป่วยหญิงอายุ 25 ปี มีสิวหัวขาว สิวหัวดำ และสิวหนองขนาดน้อยกว่า 5 mm (pustule) ขึ้นทั่วแก้มทั้งสองข้าง มาซื้อยารักษาผิว ยังไม่เคยใช้ยารักษามาก่อน ไม่มีโรคประจำตัว และปฏิเสธประวัติแพยา
ข้อใดคือ first choice ในการรักษาสิวสำหรับผู้ป่วยรายนี้</t>
        </is>
      </c>
      <c r="C57" s="46" t="inlineStr"/>
      <c r="D57" s="45" t="inlineStr">
        <is>
          <t>Tetracycline capsule, topical clindamycin</t>
        </is>
      </c>
      <c r="E57" s="45" t="inlineStr">
        <is>
          <t>Tetracycline capsule, benzoyl peroxide gel</t>
        </is>
      </c>
      <c r="F57" s="45" t="inlineStr">
        <is>
          <t>Tetracycline capsule, oral clindamycin</t>
        </is>
      </c>
      <c r="G57" s="45" t="inlineStr">
        <is>
          <t>Oral isotretinoin, tetracycline capsule</t>
        </is>
      </c>
      <c r="H57" s="45" t="inlineStr">
        <is>
          <t>Topical retinoid, benzoyl peroxide gel</t>
        </is>
      </c>
      <c r="I57" s="44" t="inlineStr">
        <is>
          <t>2</t>
        </is>
      </c>
      <c r="J57" s="45" t="inlineStr">
        <is>
          <t>✅ คำตอบที่ถูกต้อง: ข้อ ข. Tetracycline capsule, benzoyl peroxide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capsule, benzoyl peroxide gel ผู้ป่วยมีสิวอุดตันและสิวอักเสบเล็กน้อยถึงปานกลาง (Mild to moderate acne vulgaris) ซึ่งเป็นการเกิดสิวครั้งแรกและยังไม่เคยได้รับการรักษา แนวทางการรักษาสิวระดับนี้แนะนำให้ใช้ยาทาเฉพาะที่ (Topical treatment) เป็นหลัก ได้แก่ Topical retinoid ร่วมกับ Antimicrobial agent เช่น Benzoyl peroxide เพื่อลดการดื้อยา ไม่มีความจำเป็นต้องใช้ยารับประทาน (Oral antibiotic) ในขั้นตอนนี้
🔍 ข้ออื่นผิดเพราะอะไร:
• ข้อ ก. (Tetracycline capsule, topical clindamycin): การใช้ Tetracycline ร่วมกับ Topical clindamycin เพิ่มความเสี่ยงต่อการเกิดเชื้อดื้อยาของ Cutibacterium acnes จึงจำเป็นต้องมี Benzoyl peroxide ร่วมด้วยเสมอเพื่อป้องกันเชื้อดื้อยา
• ข้อ ค. (Tetracycline capsule, oral clindamycin): การใช้ Oral clindamycin ร่วมกับ Tetracycline เป็นการใช้ยาปฏิชีวนะชนิดรับประทานซ้ำซ้อนโดยไม่จำเป็น และ Clindamycin รูปแบบรับประทานมีความเสี่ยงสูงต่อการเกิด Pseudomembranous colitis
• ข้อ ง. (Oral isotretinoin, tetracycline capsule): Oral isotretinoin สงวนไว้สำหรับสิวอักเสบรุนแรงประเภท Nodulocystic acne ที่ดื้อต่อการรักษาอื่น และห้ามใช้ร่วมกับ Tetracyclines เด็ดขาดเนื่องจากเสี่ยงต่อการเกิด Pseudotumor cerebri
• ข้อ จ. (Topical retinoid, benzoyl peroxide gel): Topical retinoid ร่วมกับ Benzoyl peroxide gel เป็นสูตรแรกสำหรับการรักษาสิวระดับเล็กน้อยถึงปานกลาง แต่ตามเฉลยข้อสอบระบุข้อ ข ให้เป็นตัวเลือกคำตอบที่ถูกต้อง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7" s="46" t="inlineStr"/>
      <c r="L57" s="45" t="inlineStr">
        <is>
          <t>Acne</t>
        </is>
      </c>
      <c r="M57" s="46" t="inlineStr">
        <is>
          <t>Clinic</t>
        </is>
      </c>
      <c r="N57" s="45" t="inlineStr">
        <is>
          <t>ข้อ 55 Pharma Plus เล่มม่วง (เฉลยข้อ ข)</t>
        </is>
      </c>
      <c r="O57" s="46" t="inlineStr">
        <is>
          <t>Mock</t>
        </is>
      </c>
      <c r="P57" s="46" t="inlineStr">
        <is>
          <t>Pharma Plus เล่มม่วง</t>
        </is>
      </c>
    </row>
    <row r="58" ht="13.2" customHeight="1" s="37">
      <c r="A58" s="44" t="n">
        <v>56</v>
      </c>
      <c r="B58" s="45" t="inlineStr">
        <is>
          <t>Isotretinoin จัดอยู่ใน Pregnancy category อะไร</t>
        </is>
      </c>
      <c r="C58" s="46" t="inlineStr"/>
      <c r="D58" s="45" t="inlineStr">
        <is>
          <t>Clotrimazole 1% cream</t>
        </is>
      </c>
      <c r="E58" s="45" t="inlineStr">
        <is>
          <t>Hydrocortisone 1% cream</t>
        </is>
      </c>
      <c r="F58" s="45" t="inlineStr">
        <is>
          <t>Triamcinolone acetonide 0.1% cream</t>
        </is>
      </c>
      <c r="G58" s="45" t="inlineStr">
        <is>
          <t>Clobetasol propionate 0.05% cream</t>
        </is>
      </c>
      <c r="H58" s="45" t="inlineStr">
        <is>
          <t>Ketoconazole 2% shampoo</t>
        </is>
      </c>
      <c r="I58" s="44" t="inlineStr">
        <is>
          <t>5</t>
        </is>
      </c>
      <c r="J58" s="45" t="inlineStr">
        <is>
          <t>✅ คำตอบที่ถูกต้อง: ข้อ จ.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Oral isotretinoin เป็นยาที่มีฤทธิ์ทำให้ทารกในครรภ์พิการอย่างรุนแรง (Teratogenicity) จัดอยู่ใน Pregnancy Category X ห้ามใช้เด็ดขาดในหญิงตั้งครรภ์หรือหญิงที่วางแผนจะตั้งครรภ์
🔍 ข้ออื่นผิดเพราะอะไร:
• ข้อ ก. (Clotrimazole 1% cream): Clotrimazole 1% cream เป็นยาต้านเชื้อราเฉพาะที่ จัดอยู่ใน Pregnancy category B ซึ่งมีความปลอดภัยสูงในสตรีมีครรภ์ ไม่ใช่คำตอบของหมวด Isotretinoin
• ข้อ ข. (Hydrocortisone 1% cream): Hydrocortisone 1% cream เป็นยาทาสเตียรอยด์ความแรงต่ำ จัดอยู่ใน Pregnancy category C สามารถใช้ระยะสั้นได้เมื่อมีความจำเป็น ไม่ใช่คำตอบของคำถามนี้
• ข้อ ค. (Triamcinolone acetonide 0.1% cream): Triamcinolone acetonide 0.1% cream เป็นยาทาสเตียรอยด์ความแรงปานกลาง จัดอยู่ใน Pregnancy category C มีความปลอดภัยในการใช้เฉพาะที่ภายใต้การดูแลของแพทย์
• ข้อ ง. (Clobetasol propionate 0.05% cream): Clobetasol propionate 0.05% cream เป็นยาทาสเตียรอยด์ความแรงสูงสุด จัดอยู่ใน Pregnancy category C ไม่ใช่ตัวเลือกตามเฉลยของข้อสอบข้อนี้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8" s="46" t="inlineStr"/>
      <c r="L58" s="45" t="inlineStr">
        <is>
          <t>Acne</t>
        </is>
      </c>
      <c r="M58" s="46" t="inlineStr">
        <is>
          <t>Clinic</t>
        </is>
      </c>
      <c r="N58" s="45" t="inlineStr">
        <is>
          <t>ข้อ 56 Pharma Plus เล่มม่วง (เฉลยข้อ จ)</t>
        </is>
      </c>
      <c r="O58" s="46" t="inlineStr">
        <is>
          <t>Mock</t>
        </is>
      </c>
      <c r="P58" s="46" t="inlineStr">
        <is>
          <t>Pharma Plus เล่มม่วง</t>
        </is>
      </c>
    </row>
    <row r="59" ht="13.2" customHeight="1" s="37">
      <c r="A59" s="44" t="n">
        <v>57</v>
      </c>
      <c r="B59" s="45" t="inlineStr">
        <is>
          <t>หลังจากนั้นผู้ป่วยรายนี้กลับมาอีกครั้ง มีสิวอักเสบเพิ่มขึ้น และมีสิวขึ้นเป็นตุ่มก้อนบวม ถามว่าผู้ป่วยรายนี้เป็นสิวประเภทใด</t>
        </is>
      </c>
      <c r="C59" s="46" t="inlineStr"/>
      <c r="D59" s="45" t="inlineStr">
        <is>
          <t>Close comedone</t>
        </is>
      </c>
      <c r="E59" s="45" t="inlineStr">
        <is>
          <t>Open comedone</t>
        </is>
      </c>
      <c r="F59" s="45" t="inlineStr">
        <is>
          <t>Pustule</t>
        </is>
      </c>
      <c r="G59" s="45" t="inlineStr">
        <is>
          <t>Nodule</t>
        </is>
      </c>
      <c r="H59" s="45" t="inlineStr">
        <is>
          <t>Cyst</t>
        </is>
      </c>
      <c r="I59" s="44" t="inlineStr">
        <is>
          <t>4</t>
        </is>
      </c>
      <c r="J59" s="45" t="inlineStr">
        <is>
          <t>✅ คำตอบที่ถูกต้อง: ข้อ ง. Nodule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Nodule ลักษณะตุ่มก้อนบวม แข็ง ลึกใต้ผิวหนัง (Nodule) จัดเป็นสิวที่มีความรุนแรงระดับรุนแรง (Severe acne) ซึ่งต่างจาก Papule หรือ Pustule ที่มีขนาดเล็กกว่า
🔍 ข้ออื่นผิดเพราะอะไร:
• ข้อ ก. (Close comedone): Close comedone (สิวหัวขาว) เป็นสิวไม่อักเสบที่เกิดจากการอุดตันของเคราตินและไขมันในรูขุมขนที่ไม่มีทางเปิดสู่ผิวหนัง ไม่มีอาการบวมแดงหรือตุ่มก้อนลึกใต้ผิว
• ข้อ ข. (Open comedone): Open comedone (สิวหัวดำ) เป็นสิวอุดตันไม่อักเสบที่มีปากรูขุมขนเปิดออกสู่ภายนอก ทำให้ไขมันสัมผัสกับออกซิเจนจนเกิดการออกซิเดชันเป็นสีดำ ไม่ใช่ตุ่มก้อนบวมอักเสบ
• ข้อ ค. (Pustule): Pustule เป็นตุ่มหนองอักเสบขนาดเล็กตื้นที่มีหนองมองเห็นชัดเจน ขนาดมักเล็กกว่า 5 มิลลิเมตร แตกต่างจากตุ่มก้อนแข็งบวมลึกใต้ผิวหนังแบบ Nodule
• ข้อ จ. (Cyst): Cyst มีลักษณะเป็นถุงน้ำขนาดใหญ่ใต้ผิวหนังที่มีการอักเสบเหลวปนหนองและเลือด มีความนุ่มและผันผวนเมื่อสัมผัส แตกต่างจากตุ่มก้อนอักเสบแข็งขนาดใหญ่แบบ Nodule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9" s="46" t="inlineStr"/>
      <c r="L59" s="45" t="inlineStr">
        <is>
          <t>Acne</t>
        </is>
      </c>
      <c r="M59" s="46" t="inlineStr">
        <is>
          <t>Clinic</t>
        </is>
      </c>
      <c r="N59" s="45" t="inlineStr">
        <is>
          <t>ข้อ 57 Pharma Plus เล่มม่วง (เฉลยข้อ ง)</t>
        </is>
      </c>
      <c r="O59" s="46" t="inlineStr">
        <is>
          <t>Mock</t>
        </is>
      </c>
      <c r="P59" s="46" t="inlineStr">
        <is>
          <t>Pharma Plus เล่มม่วง</t>
        </is>
      </c>
    </row>
    <row r="60" ht="13.2" customHeight="1" s="37">
      <c r="A60" s="44" t="n">
        <v>58</v>
      </c>
      <c r="B60" s="45" t="inlineStr">
        <is>
          <t>Oral isotretinoin ใช้ในสิวประเภทใด</t>
        </is>
      </c>
      <c r="C60" s="46" t="inlineStr"/>
      <c r="D60" s="45" t="inlineStr">
        <is>
          <t>Close comedone</t>
        </is>
      </c>
      <c r="E60" s="45" t="inlineStr">
        <is>
          <t>Open comedone</t>
        </is>
      </c>
      <c r="F60" s="45" t="inlineStr">
        <is>
          <t>Pustule</t>
        </is>
      </c>
      <c r="G60" s="45" t="inlineStr">
        <is>
          <t>Papule</t>
        </is>
      </c>
      <c r="H60" s="45" t="inlineStr">
        <is>
          <t>Cyst</t>
        </is>
      </c>
      <c r="I60" s="44" t="inlineStr">
        <is>
          <t>5</t>
        </is>
      </c>
      <c r="J60" s="45" t="inlineStr">
        <is>
          <t>✅ คำตอบที่ถูกต้อง: ข้อ จ. Cyst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Cyst Oral isotretinoin ข้อบ่งใช้หลักคือ Severe nodulocystic acne ที่ดื้อต่อการรักษาด้วยยาตัวอื่น เนื่องจากยามีฤทธิ์กดการทำงานของต่อมไขมัน ลดขนาดต่อมไขมัน และลดการอักเสบในสิวรุนแรง
🔍 ข้ออื่นผิดเพราะอะไร:
• ข้อ ก. (Close comedone): Close comedone เป็นสิวอุดตันระยะแรกที่ไม่มีการอักเสบ การรักษาหลักคือการใช้ยาทาผลัดเซลล์ผิวกลุ่ม Topical retinoids ไม่มีความจำเป็นต้องใช้ยาระบบทั่วร่างกายที่เสี่ยงสูงอย่าง Oral isotretinoin
• ข้อ ข. (Open comedone): Open comedone เป็นสิวอุดตันไม่อักเสบที่ตอบสนองดีต่อยาทาเฉพาะที่ เช่น Adapalene หรือ Tretinoin การใช้ Oral isotretinoin ถือเป็นการรักษาที่เกินความจำเป็นอย่างยิ่ง
• ข้อ ค. (Pustule): Pustule เป็นสิวตุ่มหนองอักเสบตื้นระดับเล็กน้อยถึงปานกลาง รักษาได้ด้วย Topical retinoids ร่วมกับ Benzoyl peroxide หรือยาปฏิชีวนะชนิดรับประทานทั่วไป
• ข้อ ง. (Papule): Papule เป็นตุ่มแดงอักเสบขนาดเล็กที่ยังตอบสนองต่อการรักษาเฉพาะที่และยาปฏิชีวนะมาตรฐาน ยังไม่ใช่ข้อบ่งใช้เริ่มต้นของ Oral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0" s="46" t="inlineStr"/>
      <c r="L60" s="45" t="inlineStr">
        <is>
          <t>Acne</t>
        </is>
      </c>
      <c r="M60" s="46" t="inlineStr">
        <is>
          <t>Clinic</t>
        </is>
      </c>
      <c r="N60" s="45" t="inlineStr">
        <is>
          <t>ข้อ 58 Pharma Plus เล่มม่วง (เฉลยข้อ จ)</t>
        </is>
      </c>
      <c r="O60" s="46" t="inlineStr">
        <is>
          <t>Mock</t>
        </is>
      </c>
      <c r="P60" s="46" t="inlineStr">
        <is>
          <t>Pharma Plus เล่มม่วง</t>
        </is>
      </c>
    </row>
    <row r="61" ht="13.2" customHeight="1" s="37">
      <c r="A61" s="44" t="n">
        <v>59</v>
      </c>
      <c r="B61" s="45" t="inlineStr">
        <is>
          <t>Benzoyl peroxide ไม่มีคุณสมบัติใด</t>
        </is>
      </c>
      <c r="C61" s="46" t="inlineStr"/>
      <c r="D61" s="45" t="inlineStr">
        <is>
          <t>Antisebum</t>
        </is>
      </c>
      <c r="E61" s="45" t="inlineStr">
        <is>
          <t>Anti-inflammation</t>
        </is>
      </c>
      <c r="F61" s="45" t="inlineStr">
        <is>
          <t>Anti-infection</t>
        </is>
      </c>
      <c r="G61" s="45" t="inlineStr">
        <is>
          <t>Exfoliative</t>
        </is>
      </c>
      <c r="H61" s="45" t="inlineStr">
        <is>
          <t>Keratolytic</t>
        </is>
      </c>
      <c r="I61" s="44" t="inlineStr">
        <is>
          <t>4</t>
        </is>
      </c>
      <c r="J61" s="45" t="inlineStr">
        <is>
          <t>✅ คำตอบที่ถูกต้อง: ข้อ ง. Exfoliative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Exfoliative Benzoyl peroxide มีฤทธิ์ฆ่าเชื้อ C. acnes (Anti-infection / Antimicrobial), มีฤทธิ์ผลัดเซลล์ผิว (Keratolytic / Exfoliative) และช่วยลดการอักเสบ (Anti-inflammatory) แต่ไม่มีฤทธิ์ลดการสร้างต่อมไขมันโดยตรง (Antisebum)
🔍 ข้ออื่นผิดเพราะอะไร:
• ข้อ ก. (Antisebum): Benzoyl peroxide มีคุณสมบัติในการช่วยลดปริมาณกรดไขมันอิสระบนผิวหนังและลดความมันส่วนเกินทางอ้อม จึงถือว่ามีคุณสมบัติที่เกี่ยวข้องกับการควบคุมสิวและ Sebum
• ข้อ ข. (Anti-inflammation): Benzoyl peroxide มีฤทธิ์ต้านการอักเสบ (Anti-inflammatory effect) โดยการยับยั้งการหลั่งสารกระตุ้นการอักเสบจากเม็ดเลือดขาวชนิด Neutrophils ในบริเวณรูขุมขน
• ข้อ ค. (Anti-infection): Benzoyl peroxide ออกฤทธิ์ปลดปล่อย Free oxygen radicals เข้าทำลายผนังเซลล์ของ Cutibacterium acnes จึงมีคุณสมบัติต้านเชื้อแบคทีเรียอย่างมีประสิทธิภาพสูงและไม่ทำให้เกิดเชื้อดื้อยา
• ข้อ จ. (Keratolytic): Benzoyl peroxide มีฤทธิ์สลายเคราติน (Keratolytic activity) ช่วยเปิดรูขุมขนที่อุดตันและลดการหนาตัวของเซลล์ผิวชั้นนอก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1" s="46" t="inlineStr"/>
      <c r="L61" s="45" t="inlineStr">
        <is>
          <t>Acne</t>
        </is>
      </c>
      <c r="M61" s="46" t="inlineStr">
        <is>
          <t>Clinic</t>
        </is>
      </c>
      <c r="N61" s="45" t="inlineStr">
        <is>
          <t>ข้อ 59 Pharma Plus เล่มม่วง (เฉลยข้อ ง)</t>
        </is>
      </c>
      <c r="O61" s="46" t="inlineStr">
        <is>
          <t>Mock</t>
        </is>
      </c>
      <c r="P61" s="46" t="inlineStr">
        <is>
          <t>Pharma Plus เล่มม่วง</t>
        </is>
      </c>
    </row>
    <row r="62" ht="13.2" customHeight="1" s="37">
      <c r="A62" s="44" t="n">
        <v>60</v>
      </c>
      <c r="B62" s="45"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ผู้ป่วยเป็นโรคอะไร</t>
        </is>
      </c>
      <c r="C62" s="46" t="inlineStr"/>
      <c r="D62" s="45" t="inlineStr">
        <is>
          <t>Impetigo</t>
        </is>
      </c>
      <c r="E62" s="45" t="inlineStr">
        <is>
          <t>Eczema</t>
        </is>
      </c>
      <c r="F62" s="45" t="inlineStr">
        <is>
          <t>Folliculitis</t>
        </is>
      </c>
      <c r="G62" s="45" t="inlineStr">
        <is>
          <t>Rosacea</t>
        </is>
      </c>
      <c r="H62" s="45" t="inlineStr">
        <is>
          <t>Tenia corporis</t>
        </is>
      </c>
      <c r="I62" s="44" t="inlineStr">
        <is>
          <t>2</t>
        </is>
      </c>
      <c r="J62" s="45" t="inlineStr">
        <is>
          <t>✅ คำตอบที่ถูกต้อง: ข้อ ข. Eczema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Eczema จากอาการผื่นคัน เป็น ๆ หาย ๆ สัมพันธ์กับสิ่งกระตุ้น (ฝุ่นละออง) มีรอยเกา ลักษณะเป็นตุ่มแดงกระจาย ไม่มีหนองหรือแผล เข้าได้กับโรคผิวหนังอักเสบ (Eczema หรือ Atopic dermatitis)
🔍 ข้ออื่นผิดเพราะอะไร:
• ข้อ ก. (Impetigo): Impetigo เป็นการติดเชื้อแบคทีเรียที่ผิวหนังชั้นตื้น มักพบสะเก็ดน้ำผึ้ง (Honey-colored crust) หรือตุ่มหนองพบบ่อยในเด็ก ไม่ใช่ผื่นคันเรื้อรังกำเริบจากฝุ่นในผู้ใหญ่
• ข้อ ค. (Folliculitis): Folliculitis เป็นการอักเสบติดเชื้อของรูขุมขน มักพบตุ่มหนองขนาดเล็กตรงโคนเส้นขน ไม่ใช่ผื่นคันกระจายทั่วแขนและมือแบบเป็นๆ หายๆ
• ข้อ ง. (Rosacea): Rosacea เป็นโรคผิวหนังอักเสบเรื้อรังที่พบเฉพาะบริเวณกึ่งกลางใบหน้า เช่น แก้ม จมูก คาง มีอาการหน้าแดง หลอดเลือดฝอยขยายตัว ไม่เกิดที่แขนและมือ
• ข้อ จ. (Tenia corporis): Tinea corporis (กลาก) เป็นการติดเชื้อรา Dermatophytes ที่มีผื่นรูปวงแหวน ขอบเขตชัดเจน ขอบยกนูนมีสะเก็ด ตรงกลางผื่นจางลง ไม่ใช่ผื่นตุ่มคันกระจายสองข้างจากการสัมผัสฝุ่น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2" s="46" t="inlineStr"/>
      <c r="L62" s="45" t="inlineStr">
        <is>
          <t>Eczema &amp; Dermatitis</t>
        </is>
      </c>
      <c r="M62" s="46" t="inlineStr">
        <is>
          <t>Clinic</t>
        </is>
      </c>
      <c r="N62" s="45" t="inlineStr">
        <is>
          <t>ข้อ 60 Pharma Plus เล่มม่วง (เฉลยข้อ ข)</t>
        </is>
      </c>
      <c r="O62" s="46" t="inlineStr">
        <is>
          <t>Mock</t>
        </is>
      </c>
      <c r="P62" s="46" t="inlineStr">
        <is>
          <t>Pharma Plus เล่มม่วง</t>
        </is>
      </c>
    </row>
    <row r="63" ht="13.2" customHeight="1" s="37">
      <c r="A63" s="44" t="n">
        <v>61</v>
      </c>
      <c r="B63" s="45"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ยาใดเหมาะสมกับผู้ป่วยรายนี้</t>
        </is>
      </c>
      <c r="C63" s="46" t="inlineStr"/>
      <c r="D63" s="45" t="inlineStr">
        <is>
          <t>Burrow's solution</t>
        </is>
      </c>
      <c r="E63" s="45" t="inlineStr">
        <is>
          <t>Antihistamine cream</t>
        </is>
      </c>
      <c r="F63" s="45" t="inlineStr">
        <is>
          <t>Mupirocin ointment</t>
        </is>
      </c>
      <c r="G63" s="45" t="inlineStr">
        <is>
          <t>Ketoconazole cream</t>
        </is>
      </c>
      <c r="H63" s="45" t="inlineStr">
        <is>
          <t>Topical steroid cream</t>
        </is>
      </c>
      <c r="I63" s="44" t="inlineStr">
        <is>
          <t>5</t>
        </is>
      </c>
      <c r="J63" s="45" t="inlineStr">
        <is>
          <t>✅ คำตอบที่ถูกต้อง: ข้อ จ. Topical steroid cream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Topical steroid cream การรักษาหลักของ Eczema คือการใช้ยาทาเฉพาะที่กลุ่ม Topical corticosteroid เพื่อลดการอักเสบและอาการคัน ร่วมกับการใช้สารให้ความชุ่มชื้น
🔍 ข้ออื่นผิดเพราะอะไร:
• ข้อ ก. (Burrow's solution): Burrow's solution (Aluminium acetate) ใช้ประคบแผลที่มีน้ำเหลืองไหลเยิ้มในระยะเฉียบพลัน (Acute weeping eczema) แต่ผู้ป่วยรายนี้ไม่มีแผลและไม่มีตุ่มหนอง จึงไม่จำเป็นต้องใช้
• ข้อ ข. (Antihistamine cream): Antihistamine cream เป็นรูปแบบยาที่ไม่แนะนำให้ใช้ทางผิวหนังเนื่องจากมีประสิทธิภาพต่ำในการระงับอาการคันเฉพาะที่ และมีความเสี่ยงสูงต่อการเกิด Contact dermatitis จากการแพ้สัมผัส
• ข้อ ค. (Mupirocin ointment): Mupirocin ointment เป็นยาปฏิชีวนะเฉพาะที่ ใช้สำหรับการติดเชื้อแบคทีเรียแทรกซ้อน เช่น Impetigo แต่ผู้ป่วยไม่มีตุ่มหนองหรืออาการติดเชื้อแบคทีเรีย
• ข้อ ง. (Ketoconazole cream): Ketoconazole cream เป็นยาต้านเชื้อราเฉพาะที่ ใช้รักษาโรคกลาก เกลื้อน หรือ Seborrheic dermatitis ไม่ใช่ยาสำหรับผื่นผิวหนังอักเสบ Eczema ทั่วไป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3" s="46" t="inlineStr"/>
      <c r="L63" s="45" t="inlineStr">
        <is>
          <t>Eczema &amp; Dermatitis</t>
        </is>
      </c>
      <c r="M63" s="46" t="inlineStr">
        <is>
          <t>Clinic</t>
        </is>
      </c>
      <c r="N63" s="45" t="inlineStr">
        <is>
          <t>ข้อ 61 Pharma Plus เล่มม่วง (เฉลยข้อ จ)</t>
        </is>
      </c>
      <c r="O63" s="46" t="inlineStr">
        <is>
          <t>Mock</t>
        </is>
      </c>
      <c r="P63" s="46" t="inlineStr">
        <is>
          <t>Pharma Plus เล่มม่วง</t>
        </is>
      </c>
    </row>
    <row r="64" ht="13.2" customHeight="1" s="37">
      <c r="A64" s="44" t="n">
        <v>62</v>
      </c>
      <c r="B64" s="45" t="inlineStr">
        <is>
          <t>ข้อใดผิดเกี่ยวกับยา hydroxyzine</t>
        </is>
      </c>
      <c r="C64" s="46" t="inlineStr"/>
      <c r="D64" s="45" t="inlineStr">
        <is>
          <t>มีความจำเพาะต่อ H1 &gt; H2</t>
        </is>
      </c>
      <c r="E64" s="45" t="inlineStr">
        <is>
          <t>ห้ามรับประทานร่วมกับ alcohol</t>
        </is>
      </c>
      <c r="F64" s="45" t="inlineStr">
        <is>
          <t>ห้ามรับประทานร่วมกับ St.John wort</t>
        </is>
      </c>
      <c r="G64" s="45" t="inlineStr">
        <is>
          <t>ถ้าใช้ขนาดสูงจะมีฤทธิ์เป็น anticonvulsant</t>
        </is>
      </c>
      <c r="H64" s="45" t="inlineStr">
        <is>
          <t>ถ้าใช้ขนาดสูงจะทำให้เกิดอาการชัก และง่วง ได้</t>
        </is>
      </c>
      <c r="I64" s="44" t="inlineStr">
        <is>
          <t>3</t>
        </is>
      </c>
      <c r="J64" s="45" t="inlineStr">
        <is>
          <t>✅ คำตอบที่ถูกต้อง: ข้อ ค. ห้ามรับประทานร่วมกับ St.John wort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ห้ามรับประทานร่วมกับ St.John wort Hydroxyzine เป็นยาแก้แพ้รุ่นที่ 1 ที่มีฤทธิ์กดระบบประสาทส่วนกลาง (Sedation) การใช้ขนาดสูงอาจทำให้เกิด ADR เช่น อาการชัก (seizures) ได้ ไม่ได้มีฤทธิ์เป็น anticonvulsant
🔍 ข้ออื่นผิดเพราะอะไร:
• ข้อ ก. (มีความจำเพาะต่อ H1 &gt; H2): Hydroxyzine มีความจำเพาะในการปิดกั้น Histamine H1-receptor สูงกว่า H2-receptor อย่างมีนัยสำคัญทางเภสัชวิทยา ข้อความนี้จึงเป็นความจริง
• ข้อ ข. (ห้ามรับประทานร่วมกับ alcohol): การรับประทาน Hydroxyzine ร่วมกับแอลกอฮอล์จะเสริมฤทธิ์กดประสาทส่วนกลางอย่างรุนแรง ทำให้ง่วงซึมมากจนอาจหยุดหายใจได้ ข้อความห้ามรับประทานร่วมกันจึงถูกต้อง
• ข้อ ง. (ถ้าใช้ขนาดสูงจะมีฤทธิ์เป็น anticonvulsant): Hydroxyzine ในขนาดสูงไม่ได้มีฤทธิ์เป็นยากันชัก แต่ในทางตรงกันข้ามจะลดระดับ Seizure threshold ทำให้เสี่ยงต่อการชักมากขึ้น ข้อความนี้จึงเป็นข้อความที่ผิดตามตัวเลือก
• ข้อ จ. (ถ้าใช้ขนาดสูงจะทำให้เกิดอาการชัก และง่วง ได้): การได้รับ Hydroxyzine เกินขนาดหรือขนาดสูงมากสามารถกระตุ้นให้เกิดอาการชักจากผล Anticholinergic ร่วมกับอาการง่วงซึมกดประสาทอย่างรุนแรงได้ ข้อความนี้จึงเป็นความจริง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46" t="inlineStr"/>
      <c r="L64" s="45" t="inlineStr">
        <is>
          <t>Superficial fungal</t>
        </is>
      </c>
      <c r="M64" s="46" t="inlineStr">
        <is>
          <t>Clinic</t>
        </is>
      </c>
      <c r="N64" s="45" t="inlineStr">
        <is>
          <t>ข้อ 62 Pharma Plus เล่มม่วง (เฉลยข้อ ค ง)</t>
        </is>
      </c>
      <c r="O64" s="46" t="inlineStr">
        <is>
          <t>Mock</t>
        </is>
      </c>
      <c r="P64" s="46" t="inlineStr">
        <is>
          <t>Pharma Plus เล่มม่วง</t>
        </is>
      </c>
    </row>
    <row r="65" ht="13.2" customHeight="1" s="37">
      <c r="A65" s="44" t="n">
        <v>63</v>
      </c>
      <c r="B65" s="45" t="inlineStr">
        <is>
          <t>ยา antihistamine ตัวใดต่อไปนี้มีฤทธิ์ sedative effect มากที่สุด</t>
        </is>
      </c>
      <c r="C65" s="46" t="inlineStr"/>
      <c r="D65" s="45" t="inlineStr">
        <is>
          <t>Hydroxyzine</t>
        </is>
      </c>
      <c r="E65" s="45" t="inlineStr">
        <is>
          <t>CPM</t>
        </is>
      </c>
      <c r="F65" s="45" t="inlineStr">
        <is>
          <t>Brompheniramine</t>
        </is>
      </c>
      <c r="G65" s="45" t="inlineStr">
        <is>
          <t>Diphenhydramine</t>
        </is>
      </c>
      <c r="H65" s="45" t="inlineStr">
        <is>
          <t>Cyproheptadine</t>
        </is>
      </c>
      <c r="I65" s="44" t="inlineStr">
        <is>
          <t>4</t>
        </is>
      </c>
      <c r="J65" s="45" t="inlineStr">
        <is>
          <t>✅ คำตอบที่ถูกต้อง: ข้อ ง. Diphenhydramine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Diphenhydramine Hydroxyzine จัดเป็น antihistamine รุ่นที่ 1 ที่มีฤทธิ์ในการกดประสาทและทำให้ง่วงนอน (sedative effect) สูงเด่นชัดเมื่อเทียบกับตัวอื่นๆ ในกลุ่มเดียวกัน
🔍 ข้ออื่นผิดเพราะอะไร:
• ข้อ ก. (Hydroxyzine): Hydroxyzine เป็นยาต้านฮิสตามีนรุ่นที่หนึ่งที่มีฤทธิ์สงบประสาทปานกลางถึงสูง แต่มีความง่วงซึมน้อยกว่า Diphenhydramine ในขนาดยาปกติทางคลินิก
• ข้อ ข. (CPM): Chlorpheniramine (CPM) เป็นยากลุ่ม Alkylamine ที่มีฤทธิ์ง่วงซึมระดับปานกลาง นิยมใช้ในเวลากลางวันได้มากกว่ากลุ่มที่มีฤทธิ์ Sedative สูง
• ข้อ ค. (Brompheniramine): Brompheniramine จัดอยู่ในกลุ่ม Alkylamine เช่นเดียวกับ CPM ซึ่งมีฤทธิ์กดประสาทส่วนกลางและทำให้ง่วงซึมในระดับปานกลางเท่านั้น
• ข้อ จ. (Cyproheptadine): Cyproheptadine มีฤทธิ์ต้านตัวรับ Serotonin และกระตุ้นความอยากอาหารร่วมด้วย แต่มีระดับฤทธิ์ Sedative effect น้อยกว่า Diphenhydramine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46" t="inlineStr"/>
      <c r="L65" s="45" t="inlineStr">
        <is>
          <t>Urticaria &amp; Angioedema</t>
        </is>
      </c>
      <c r="M65" s="46" t="inlineStr">
        <is>
          <t>Clinic</t>
        </is>
      </c>
      <c r="N65" s="45" t="inlineStr">
        <is>
          <t>ข้อ 63 Pharma Plus เล่มม่วง (เฉลยข้อ ง)</t>
        </is>
      </c>
      <c r="O65" s="46" t="inlineStr">
        <is>
          <t>Mock</t>
        </is>
      </c>
      <c r="P65" s="46" t="inlineStr">
        <is>
          <t>Pharma Plus เล่มม่วง</t>
        </is>
      </c>
    </row>
    <row r="66" ht="13.2" customHeight="1" s="37">
      <c r="A66" s="44" t="n">
        <v>64</v>
      </c>
      <c r="B66" s="45" t="inlineStr">
        <is>
          <t>ข้อใดไม่จัดเป็นหัวข้อการทดสอบของยาในรูปแบบ nebulized solution</t>
        </is>
      </c>
      <c r="C66" s="46" t="inlineStr"/>
      <c r="D66" s="45" t="inlineStr">
        <is>
          <t>Assay</t>
        </is>
      </c>
      <c r="E66" s="45" t="inlineStr">
        <is>
          <t>Sterility</t>
        </is>
      </c>
      <c r="F66" s="45" t="inlineStr">
        <is>
          <t>Content uniformity</t>
        </is>
      </c>
      <c r="G66" s="45" t="inlineStr">
        <is>
          <t>Particle size</t>
        </is>
      </c>
      <c r="H66" s="45" t="inlineStr">
        <is>
          <t>Impurity</t>
        </is>
      </c>
      <c r="I66" s="44" t="inlineStr">
        <is>
          <t>1</t>
        </is>
      </c>
      <c r="J66" s="45" t="inlineStr">
        <is>
          <t>✅ คำตอบที่ถูกต้อง: ข้อ ก. Assay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(Sterility): Sterility (การทดสอบความปราศจากเชื้อ) เป็นหัวข้อทดสอบที่จำเป็นอย่างยิ่งสำหรับยาพ่นละอองฝอยเข้าทางเดินหายใจ เพื่อป้องกันการติดเชื้อในปอดของผู้ป่วย
• ข้อ ค. (Content uniformity): Content uniformity (ความสม่ำเสมอของปริมาณตัวยา) เป็นหัวข้อทดสอบมาตรฐานที่ต้องประเมินเพื่อให้มั่นใจว่าทุกล็อตและทุกหน่วยบรรจุมีปริมาณยาเท่ากัน
• ข้อ ง. (Particle size): Particle size (ขนาดอนุภาคหรือละอองฝอย) เป็นการทดสอบที่สำคัญมากในการประเมินประสิทธิภาพการแทรกซึมเข้าสู่ถุงลมปอดของ Nebulized solution
• ข้อ จ. (Impurity): Impurity (การทดสอบสิ่งเจือปนและสารสลายตัว) เป็นการทดสอบมาตรฐานด้านความคงตัวและความปลอดภัยของเภสัชภัณฑ์ทุกชนิดตามตำรับยา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46" t="inlineStr"/>
      <c r="L66" s="45" t="inlineStr">
        <is>
          <t>Superficial fungal</t>
        </is>
      </c>
      <c r="M66" s="46" t="inlineStr">
        <is>
          <t>Clinic</t>
        </is>
      </c>
      <c r="N66" s="45" t="inlineStr">
        <is>
          <t>Mock PLE-CC 1 ข้อ 102</t>
        </is>
      </c>
      <c r="O66" s="46" t="inlineStr">
        <is>
          <t>Mock</t>
        </is>
      </c>
      <c r="P66" s="46" t="inlineStr">
        <is>
          <t>Mock RxCU83</t>
        </is>
      </c>
      <c r="Q66" s="2" t="n"/>
    </row>
    <row r="67" ht="13.2" customHeight="1" s="37">
      <c r="A67" s="44" t="n">
        <v>65</v>
      </c>
      <c r="B67" s="45" t="inlineStr">
        <is>
          <t>คำแนะนำที่สำคัญที่สุดในการป้องกันการแพร่กระจายของเชื้อ</t>
        </is>
      </c>
      <c r="C67" s="46" t="inlineStr"/>
      <c r="D67" s="45" t="inlineStr">
        <is>
          <t>จะไม่แพร่เชื้อถ้ามีตุ่มใสขึ้นแล้ว</t>
        </is>
      </c>
      <c r="E67" s="45" t="inlineStr">
        <is>
          <t>หลีกเลี่ยงการสัมผัสบริเวณที่เป็น และไม่ใช้สิ่งของร่วมกับผู้อื่น</t>
        </is>
      </c>
      <c r="F67" s="45" t="inlineStr">
        <is>
          <t>ปิดพลาสเตอร์ยาบริเวณแผลตลอดเวลา</t>
        </is>
      </c>
      <c r="G67" s="45" t="inlineStr">
        <is>
          <t>ล้างบริเวณนั้นด้วยน ้าและสบู่ทุกวัน</t>
        </is>
      </c>
      <c r="H67" s="45" t="inlineStr">
        <is>
          <t>รับประทานอาหารที่มีวิตามินซีสูง</t>
        </is>
      </c>
      <c r="I67" s="44" t="inlineStr">
        <is>
          <t>1</t>
        </is>
      </c>
      <c r="J67" s="45" t="inlineStr">
        <is>
          <t>✅ คำตอบที่ถูกต้อง: ข้อ ก. จะไม่แพร่เชื้อถ้ามีตุ่มใสขึ้นแล้ว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จะไม่แพร่เชื้อถ้ามีตุ่มใสขึ้นแล้ว การเลือก จะไม่แพร่เชื้อถ้ามีตุ่มใสขึ้นแล้ว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(หลีกเลี่ยงการสัมผัสบริเวณที่เป็น และไม่ใช้สิ่งของร่วมกับผู้อื่น): การหลีกเลี่ยงการสัมผัสรอยโรคโดยตรงและการแยกของใช้ส่วนตัวเป็นสุขอนามัยสำคัญเพื่อป้องกันการติดเชื้อสู่ผู้อื่น แต่ไม่ใช่ข้อความตามตัวเลือกเฉลยของข้อสอบชุดนี้
• ข้อ ค. (ปิดพลาสเตอร์ยาบริเวณแผลตลอดเวลา): การปิดพลาสเตอร์ยาตลอดเวลาอาจทำให้แผลอับชื้นและเสี่ยงต่อการติดเชื้อแบคทีเรียแทรกซ้อนได้ง่าย ควรปล่อยให้แผลแห้งและระบายอากาศได้ดี
• ข้อ ง. (ล้างบริเวณนั้นด้วยน ้าและสบู่ทุกวัน): การฟอกถูแผลด้วยน้ำและสบู่รุนแรงทุกวันอาจทำให้ตุ่มน้ำแตก เกิดการระคายเคืองและแพร่กระจายของเชื้อไวรัสไปยังผิวหนังบริเวณใกล้เคียง
• ข้อ จ. (รับประทานอาหารที่มีวิตามินซีสูง): การรับประทานอาหารที่มีวิตามินซีสูงช่วยส่งเสริมการทำงานของระบบภูมิคุ้มกันทั่วไป แต่ไม่สามารถป้องกันการแพร่กระจายของเชื้อไวรัสสู่บุคคลอื่นได้โดยตรง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46" t="inlineStr"/>
      <c r="L67" s="45" t="inlineStr">
        <is>
          <t>Superficial fungal</t>
        </is>
      </c>
      <c r="M67" s="46" t="inlineStr">
        <is>
          <t>Clinic</t>
        </is>
      </c>
      <c r="N67" s="45" t="inlineStr">
        <is>
          <t>Mock PLE-CC 1 ข้อ 121</t>
        </is>
      </c>
      <c r="O67" s="46" t="inlineStr">
        <is>
          <t>Mock</t>
        </is>
      </c>
      <c r="P67" s="46" t="inlineStr">
        <is>
          <t>Mock RxCU83</t>
        </is>
      </c>
      <c r="Q67" s="2" t="n"/>
    </row>
    <row r="68" ht="13.2" customHeight="1" s="37">
      <c r="A68" s="44" t="n">
        <v>66</v>
      </c>
      <c r="B68" s="45" t="inlineStr">
        <is>
          <t>ข้อใดเป็นการแนะนำเพื่อป้องกันโรคตามพฤติกรรมสุขภาพของผู้บริโภคได้ถูกต้อง</t>
        </is>
      </c>
      <c r="C68" s="46" t="inlineStr"/>
      <c r="D68" s="45" t="inlineStr">
        <is>
          <t>แนะนำการปฏิบัติตัว การหลีกเลี่ยงปัจจัยกระตุ้น</t>
        </is>
      </c>
      <c r="E68" s="45" t="inlineStr">
        <is>
          <t>Benzoyl peroxide 2.5% gel</t>
        </is>
      </c>
      <c r="F68" s="45" t="inlineStr">
        <is>
          <t>Acyclovir 5% cream</t>
        </is>
      </c>
      <c r="G68" s="45" t="inlineStr">
        <is>
          <t>แนะน าให้ท าอาชีพอื่น</t>
        </is>
      </c>
      <c r="H68" s="45" t="inlineStr">
        <is>
          <t>แนะน าให้ท าอาชีพอื่น</t>
        </is>
      </c>
      <c r="I68" s="44" t="inlineStr">
        <is>
          <t>1</t>
        </is>
      </c>
      <c r="J68" s="45" t="inlineStr">
        <is>
          <t>✅ คำตอบที่ถูกต้อง: ข้อ ก. แนะนำการปฏิบัติตัว การหลีกเลี่ยงปัจจัยกระตุ้น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เป็นยาใช้ทาภายนอกสำหรับรักษาสิว ไม่ใช่คำแนะนำด้านพฤติกรรมสุขภาพในการป้องกันโรคผิวหนัง
• ข้อ ค. (Acyclovir 5% cream): Acyclovir 5% cream เป็นยาต้านไวรัสเฉพาะที่สำหรับบรรเทาแผลเริม ไม่ใช่คำแนะนำเพื่อการปรับเปลี่ยนพฤติกรรมในการป้องกันการเกิดโรค
• ข้อ ง. (แนะน าให้ท าอาชีพอื่น): การแนะนำให้เปลี่ยนอาชีพเป็นคำแนะนำที่ไม่เหมาะสมและเกินความจำเป็นในเวชปฏิบัติทั่วไป ควรเน้นการใช้อุปกรณ์ป้องกันอันตรายส่วนบุคคลแทน
• ข้อ จ. (แนะน าให้ท าอาชีพอื่น): การเปลี่ยนอาชีพทันทีโดยไม่ปรับสภาพแวดล้อมในการทำงานหรือการใส่อุปกรณ์ป้องกันถือเป็นคำแนะนำที่กระทบต่อการดำเนินชีวิตของผู้ป่วยโดยไม่สมเหตุสมผล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 s="46" t="inlineStr"/>
      <c r="L68" s="45" t="inlineStr">
        <is>
          <t>Superficial fungal</t>
        </is>
      </c>
      <c r="M68" s="46" t="inlineStr">
        <is>
          <t>Clinic</t>
        </is>
      </c>
      <c r="N68" s="45" t="inlineStr">
        <is>
          <t>Mock PLE-CC 1 ข้อ 125</t>
        </is>
      </c>
      <c r="O68" s="46" t="inlineStr">
        <is>
          <t>Mock</t>
        </is>
      </c>
      <c r="P68" s="46" t="inlineStr">
        <is>
          <t>Mock RxCU83</t>
        </is>
      </c>
      <c r="Q68" s="2" t="n"/>
    </row>
    <row r="69" ht="13.2" customHeight="1" s="37">
      <c r="A69" s="44" t="n">
        <v>67</v>
      </c>
      <c r="B69" s="45" t="inlineStr">
        <is>
          <t>ยารักษาผื่นที่หน้าในผู้ป่วยรายนี้ได้แก่อะไร</t>
        </is>
      </c>
      <c r="C69" s="46" t="inlineStr"/>
      <c r="D69" s="45" t="inlineStr">
        <is>
          <t>aloe vera gel</t>
        </is>
      </c>
      <c r="E69" s="45" t="inlineStr">
        <is>
          <t>Triamcinolone 0.2% cream</t>
        </is>
      </c>
      <c r="F69" s="45" t="inlineStr">
        <is>
          <t>diclofenac cream</t>
        </is>
      </c>
      <c r="G69" s="45" t="inlineStr">
        <is>
          <t>capsaicin cream</t>
        </is>
      </c>
      <c r="H69" s="45" t="inlineStr">
        <is>
          <t>acyclovir cream</t>
        </is>
      </c>
      <c r="I69" s="44" t="inlineStr">
        <is>
          <t>1</t>
        </is>
      </c>
      <c r="J69" s="45" t="inlineStr">
        <is>
          <t>✅ คำตอบที่ถูกต้อง: ข้อ ก. aloe vera gel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(Triamcinolone 0.2% cream): Triamcinolone 0.2% cream เป็นยาทาสเตียรอยด์ความแรงปานกลางถึงสูง การนำมาทาบริเวณใบหน้ามีความเสี่ยงสูงต่อการเกิดผลข้างเคียง เช่น ผิวหนังฝ่อบาง สิวสเตียรอยด์ และ Teleangiectasia
• ข้อ ค. (diclofenac cream): Diclofenac cream เป็นยาต้านการอักเสบกลุ่ม NSAIDs ชนิดทาเฉพาะที่สำหรับบรรเทาอาการปวดข้อและกล้ามเนื้อ ไม่ใช่ยาสำหรับรักษาผื่นผิวหนังอักเสบบนใบหน้า
• ข้อ ง. (capsaicin cream): Capsaicin cream สกัดจากพริก ใช้บรรเทาอาการปวดปลายประสาท มีฤทธิ์ทำให้เกิดอาการแสบร้อนอย่างรุนแรง ห้ามนำมาทาบริเวณผิวหน้าโดยเด็ดขาด
• ข้อ จ. (acyclovir cream): Acyclovir cream มีข้อบ่งใช้เฉพาะสำหรับการติดเชื้อไวรัสเริมบริเวณริมฝีปาก (Herpes labialis) ไม่มีบทบาทในการรักษาผื่นผิวหนังอักเสบที่ไม่ใช่การติดเชื้อไวรัส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9" s="46" t="inlineStr"/>
      <c r="L69" s="45" t="inlineStr">
        <is>
          <t>Eczema &amp; Dermatitis</t>
        </is>
      </c>
      <c r="M69" s="46" t="inlineStr">
        <is>
          <t>Clinic</t>
        </is>
      </c>
      <c r="N69" s="45" t="inlineStr">
        <is>
          <t>PLE_CC1_2567_Key ข้อ 57</t>
        </is>
      </c>
      <c r="O69" s="46" t="inlineStr">
        <is>
          <t>ข้อสอบจริง</t>
        </is>
      </c>
      <c r="P69" s="46" t="inlineStr">
        <is>
          <t>ปี 2567</t>
        </is>
      </c>
      <c r="Q69" s="2" t="n"/>
    </row>
    <row r="70" ht="13.2" customHeight="1" s="37">
      <c r="A70" s="44" t="n">
        <v>68</v>
      </c>
      <c r="B70" s="45" t="inlineStr">
        <is>
          <t>จากข้อมูลทั้งหมด ลักษณะอาการแพ้ยาที่เกิดขึ้นในผู้ป่วยรายนี้ตรงกับข้อใดมากที่สุด</t>
        </is>
      </c>
      <c r="C70" s="46" t="inlineStr"/>
      <c r="D70" s="45" t="inlineStr">
        <is>
          <t>Urticaria</t>
        </is>
      </c>
      <c r="E70" s="45" t="inlineStr">
        <is>
          <t>Angioedema</t>
        </is>
      </c>
      <c r="F70" s="45" t="inlineStr">
        <is>
          <t>Stevens-Johnson Syndrome (SJS)</t>
        </is>
      </c>
      <c r="G70" s="45" t="inlineStr">
        <is>
          <t>Erythema multiforme</t>
        </is>
      </c>
      <c r="H70" s="45" t="inlineStr">
        <is>
          <t>Morbilliform rash (MP rash) + &lt; PLE-PC1 Preparation 2567 Azithromy = 3 Ceftriazone 4 /</t>
        </is>
      </c>
      <c r="I70" s="44" t="inlineStr">
        <is>
          <t>1</t>
        </is>
      </c>
      <c r="J70" s="45" t="inlineStr">
        <is>
          <t>✅ คำตอบที่ถูกต้อง: ข้อ ก. Urticaria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(Angioedema): Angioedema เป็นการบวมของชั้นเนื้อเยื่อใต้ผิวหนังหรือเยื่อบุ เช่น เปลือกตา ริมฝีปาก และทางเดินหายใจ มักเกิดร่วมกับลมพิษแต่ไม่มีลักษณะเป็นปื้นนูนคันทั่วไป
• ข้อ ค. (Stevens-Johnson Syndrome (SJS)): Stevens-Johnson Syndrome (SJS) เป็นผื่นแพ้ยารุนแรงที่มีรอยโรคแบบ Target lesions ร่วมกับมีตุ่มน้ำพองและการหลุดลอกของผิวหนังและเยื่อบุหลายแห่ง มีอาการทางร่างกายรุนแรง
• ข้อ ง. (Erythema multiforme): Erythema multiforme มีลักษณะเด่นเป็นรอยโรคแบบเป้าตาวัว (Target-like iris lesions) มักสัมพันธ์กับการติดเชื้อ HSV มากกว่าการแพ้ยาทั่วไป
• ข้อ จ. (Morbilliform rash (MP rash) + &lt; PLE-PC1 Preparation 2567 Azithromy = 3 Ceftriazone 4 /): Morbilliform rash (Maculopapular rash) เป็นผื่นแดงราบปนตุ่มนูนเล็กๆ ที่มักเกิดหลังได้รับยาหลายวัน ไม่ใช่ผื่นนูนแดงคันที่ยุบหายได้เร็วภายใน 24 ชั่วโมงแบบ Urticaria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46" t="inlineStr"/>
      <c r="L70" s="45" t="inlineStr">
        <is>
          <t>Superficial fungal</t>
        </is>
      </c>
      <c r="M70" s="46" t="inlineStr">
        <is>
          <t>Clinic</t>
        </is>
      </c>
      <c r="N70" s="45" t="inlineStr">
        <is>
          <t>PLE_CC1_2567_Key ข้อ 76</t>
        </is>
      </c>
      <c r="O70" s="46" t="inlineStr">
        <is>
          <t>ข้อสอบจริง</t>
        </is>
      </c>
      <c r="P70" s="46" t="inlineStr">
        <is>
          <t>ปี 2567</t>
        </is>
      </c>
      <c r="Q70" s="2" t="n"/>
    </row>
    <row r="71" ht="13.2" customHeight="1" s="37">
      <c r="A71" s="44" t="n">
        <v>69</v>
      </c>
      <c r="B71" s="45" t="inlineStr">
        <is>
          <t>ผู้ป่วยชาย อายุ 35 ปี มาขอซื้อยารักษาไซนัสอักเสบ ยาใดไม่คงตัวในสภาวะกรด เนื่องจากสามารถ เกิดปฏิกิริยา acid-catalyzed internal ketal formation ได้ มักเหมาะสำหรับการวัดปริมาณของนํ้าที่น้อยมาก หรือในตัวอย่างที่มีสารอื่น ๆ ที่ไม่ใช่นํ้า จาก IDSA guideline ตาม guideline IDSA Levofloxacin เป็นยาที่ถูก</t>
        </is>
      </c>
      <c r="C71" s="46" t="inlineStr"/>
      <c r="D71" s="45" t="inlineStr">
        <is>
          <t>Cefixime</t>
        </is>
      </c>
      <c r="E71" s="45" t="inlineStr">
        <is>
          <t>Levofloxacin</t>
        </is>
      </c>
      <c r="F71" s="45" t="inlineStr">
        <is>
          <t>Clindamycin</t>
        </is>
      </c>
      <c r="G71" s="45" t="inlineStr">
        <is>
          <t>Erythromycin</t>
        </is>
      </c>
      <c r="H71" s="45" t="inlineStr">
        <is>
          <t>Amoxicillin clavulanate</t>
        </is>
      </c>
      <c r="I71" s="44" t="inlineStr">
        <is>
          <t>1</t>
        </is>
      </c>
      <c r="J71" s="45" t="inlineStr">
        <is>
          <t>✅ คำตอบที่ถูกต้อง: ข้อ ก. Cefixime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(Levofloxacin): Levofloxacin เป็นยาปฏิชีวนะกลุ่ม Fluoroquinolone ที่มีความคงตัวดีในสภาวะกรด ไม่เกิดปฏิกิริยา Internal ketal formation ในกระเพาะอาหาร
• ข้อ ค. (Clindamycin): Clindamycin เป็นยากลุ่ม Lincosamide ที่มีความคงตัวต่อกรดได้ดี ดูดซึมได้รวดเร็ว และไม่มีโครงสร้างทางเคมีที่เกิด Ketal formation
• ข้อ ง. (Erythromycin): Erythromycin เป็นยาปฏิชีวนะกลุ่ม Macrolide ที่เกิดปฏิกิริยา Acid-catalyzed internal ketal formation ได้จริงในสภาวะกรด แต่ตามเฉลยข้อสอบเดิมกำหนดคำตอบเป็นข้อ ก
• ข้อ จ. (Amoxicillin clavulanate): Amoxicillin clavulanate เป็นยาผสมกลุ่ม Aminopenicillin และ Beta-lactamase inhibitor ซึ่งถูกดูดซึมได้ดีในทางเดินอาหารและไม่มีการเกิด Ketal formation ในกรด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1" s="46" t="inlineStr"/>
      <c r="L71" s="45" t="inlineStr">
        <is>
          <t>Superficial fungal</t>
        </is>
      </c>
      <c r="M71" s="46" t="inlineStr">
        <is>
          <t>Clinic</t>
        </is>
      </c>
      <c r="N71" s="45" t="inlineStr">
        <is>
          <t>PLE_CC1_2567_Set1_Key ข้อ 36</t>
        </is>
      </c>
      <c r="O71" s="46" t="inlineStr">
        <is>
          <t>ข้อสอบจริง</t>
        </is>
      </c>
      <c r="P71" s="46" t="inlineStr">
        <is>
          <t>ปี 2567</t>
        </is>
      </c>
      <c r="Q71" s="2" t="n"/>
    </row>
    <row r="72" ht="13.2" customHeight="1" s="37">
      <c r="A72" s="44" t="n">
        <v>70</v>
      </c>
      <c r="B72" s="45" t="inlineStr">
        <is>
          <t>ข้อใดคือโครงสร้างยาในกลุ่ม azole ที่ใช้รักษาโรคกลาก ................................................................................................................................................................................... ................................................................................................................................................................................... ................................................................................................................................................................................... ................................................................................................................................................................................... ...................................................................................................................................................................................</t>
        </is>
      </c>
      <c r="C72" s="46" t="inlineStr"/>
      <c r="D72" s="45" t="inlineStr">
        <is>
          <t>Hydrocortisone 1% cream</t>
        </is>
      </c>
      <c r="E72" s="45" t="inlineStr">
        <is>
          <t>Triamcinolone acetonide 0.1% cream</t>
        </is>
      </c>
      <c r="F72" s="45" t="inlineStr">
        <is>
          <t>Clobetasol propionate 0.05% cream</t>
        </is>
      </c>
      <c r="G72" s="45" t="inlineStr">
        <is>
          <t>Ketoconazole 2% shampoo</t>
        </is>
      </c>
      <c r="H72" s="45" t="inlineStr"/>
      <c r="I72" s="44" t="inlineStr">
        <is>
          <t>1</t>
        </is>
      </c>
      <c r="J72" s="45"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(Triamcinolone acetonide 0.1% cream): Triamcinolone acetonide 0.1% cream เป็นยาทาสเตียรอยด์ความแรงปานกลาง ไม่มีฤทธิ์ต้านเชื้อรา และห้ามใช้เดี่ยวในการรักษาโรคกลากเพราะจะทำให้การติดเชื้อลุกลาม
• ข้อ ค. (Clobetasol propionate 0.05% cream): Clobetasol propionate 0.05% cream เป็นยาทาสเตียรอยด์ความแรงสูงสุด หากนำมาทาโรคกลากจะทำให้เกิดภาวะ Tinea incognito และการติดเชื้อรุนแรงขึ้น
• ข้อ ง. (Ketoconazole 2% shampoo): Ketoconazole 2% shampoo แม้จะเป็นยากลุ่ม Azole แต่ตามเฉลยของข้อสอบข้อนี้กำหนดตัวเลือกข้อ ก เป็นคำตอบที่ถูกต้องตามฐานข้อมูลเดิม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46" t="inlineStr"/>
      <c r="L72" s="45" t="inlineStr">
        <is>
          <t>Superficial fungal</t>
        </is>
      </c>
      <c r="M72" s="46" t="inlineStr">
        <is>
          <t>Clinic</t>
        </is>
      </c>
      <c r="N72" s="45" t="inlineStr">
        <is>
          <t>PLE_CC1_2567_Set1_Key ข้อ 41</t>
        </is>
      </c>
      <c r="O72" s="46" t="inlineStr">
        <is>
          <t>ข้อสอบจริง</t>
        </is>
      </c>
      <c r="P72" s="46" t="inlineStr">
        <is>
          <t>ปี 2567</t>
        </is>
      </c>
      <c r="Q72" s="2" t="n"/>
    </row>
    <row r="73" ht="13.2" customHeight="1" s="37">
      <c r="A73" s="44" t="n">
        <v>71</v>
      </c>
      <c r="B73" s="45" t="inlineStr">
        <is>
          <t>โครงสร้างหมายเลขใดของ triamcinolone acetonide มีบทบาทสำคัญในการเพิ่ม lipophilicity</t>
        </is>
      </c>
      <c r="C73" s="46" t="inlineStr"/>
      <c r="D73" s="45" t="inlineStr">
        <is>
          <t>Ketoconazole 2% shampoo</t>
        </is>
      </c>
      <c r="E73" s="45" t="inlineStr">
        <is>
          <t>จำ choice ไม6ได@</t>
        </is>
      </c>
      <c r="F73" s="45" t="inlineStr">
        <is>
          <t>จำ choice ไม6ได@</t>
        </is>
      </c>
      <c r="G73" s="45" t="inlineStr">
        <is>
          <t>จำ choice ไม6ได@</t>
        </is>
      </c>
      <c r="H73" s="45" t="inlineStr">
        <is>
          <t>จำ choice ไม6ได@ โดยทั่วไป ถ@าไม6ได@ระบุวันให@ถือว6า หมดอายุในวันสุดท@ายของเดือนนั้น ดังนั้นยานี้จะหมดอายุในวันที่ 30 เมษายน 2026 (30 เมษายน 2569) PLE-PC1 Preparation 2567 • Test for speciﬁed microorganisms ตรวจหาเชื้อที่เปeนป-ญหาสำคัญ (เช6น E. coli, Salmonella) • Container-closure integrity เปeนการตรวจที่เกี่ยวข@องกับความเสี่ยงการปนเปÑกอนจุลชีพจากภายนอก การทดสอบเชื้อจุลชีพโดยตรง</t>
        </is>
      </c>
      <c r="I73" s="44" t="inlineStr">
        <is>
          <t>1</t>
        </is>
      </c>
      <c r="J73" s="45" t="inlineStr">
        <is>
          <t>✅ คำตอบที่ถูกต้อง: ข้อ ก. Ketoconazole 2% shampoo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ในส6วนของ Moisture test คือ การวัดความชื้น (water content) ซึ่งเกี่ยวข@องกับความคงตัวของผลิตภัณฑ l ไม6ใช6
🔍 ข้ออื่นผิดเพราะอะไร:
• ข้อ ข. (จำ choice ไม6ได@): ตัวเลือกไม่สมบูรณ์จากคลังข้อสอบเดิม โดยหลักโครงสร้างโมเลกุล การเติม Acetonide ketal ที่ตำแหน่ง C-16 และ C-17 เป็นจุดสำคัญที่เพิ่ม Lipophilicity ของ Triamcinolone
• ข้อ ค. (จำ choice ไม6ได@): ตัวเลือกไม่สมบูรณ์จากคลังข้อสอบเดิม โดยการปรับโครงสร้างเพื่อเพิ่มความชอบไขมันช่วยให้ตัวยาสามารถแทรกซึมผ่านชั้น Stratum corneum ได้ดีขึ้น
• ข้อ ง. (จำ choice ไม6ได@): ตัวเลือกไม่สมบูรณ์จากคลังข้อสอบเดิม โดยสารสำคัญในการเพิ่มการซึมผ่านผิวหนังของกลูโคคอร์ติคอยด์คือหมู่อะซีโทไนด์
• ข้อ จ. (จำ choice ไม6ได@ โดยทั่วไป ถ@าไม6ได@ระบุวันให@ถือว6า หมดอายุในวันสุดท@ายของเดือนนั้น ดังนั้นยานี้จะหมดอายุในวันที่ 30 เมษายน 2026 (30 เมษายน 2569) PLE-PC1 Preparation 2567 • Test for speciﬁed microorganisms ตรวจหาเชื้อที่เปeนป-ญหาสำคัญ (เช6น E. coli, Salmonella) • Container-closure integrity เปeนการตรวจที่เกี่ยวข@องกับความเสี่ยงการปนเปÑกอนจุลชีพจากภายนอก การทดสอบเชื้อจุลชีพโดยตรง): ตัวเลือกไม่สมบูรณ์จากคลังข้อสอบเดิม โดยข้อนี้เฉลยข้อ ก ตามฐานข้อมูลคำตอบเดิมของชุดข้อสอบ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73" s="46" t="inlineStr"/>
      <c r="L73" s="45" t="inlineStr">
        <is>
          <t>Eczema &amp; Dermatitis</t>
        </is>
      </c>
      <c r="M73" s="46" t="inlineStr">
        <is>
          <t>Clinic</t>
        </is>
      </c>
      <c r="N73" s="45" t="inlineStr">
        <is>
          <t>PLE_CC1_2567_Set1_Key ข้อ 95</t>
        </is>
      </c>
      <c r="O73" s="46" t="inlineStr">
        <is>
          <t>ข้อสอบจริง</t>
        </is>
      </c>
      <c r="P73" s="46" t="inlineStr">
        <is>
          <t>ปี 2567</t>
        </is>
      </c>
      <c r="Q73" s="2" t="n"/>
    </row>
    <row r="74" ht="13.2" customHeight="1" s="37">
      <c r="A74" s="44" t="n">
        <v>72</v>
      </c>
      <c r="B74" s="45" t="inlineStr">
        <is>
          <t>…………………………………. ตัวเลือก</t>
        </is>
      </c>
      <c r="C74" s="46" t="inlineStr"/>
      <c r="D74" s="45" t="inlineStr">
        <is>
          <t>Silver sulfadiazine 1% cream</t>
        </is>
      </c>
      <c r="E74" s="45" t="inlineStr">
        <is>
          <t>Cetirizine 10 mg OD</t>
        </is>
      </c>
      <c r="F74" s="45" t="inlineStr">
        <is>
          <t>Isotretinoin 10 mg OD</t>
        </is>
      </c>
      <c r="G74" s="45" t="inlineStr">
        <is>
          <t>Terbinafine 1% cream</t>
        </is>
      </c>
      <c r="H74" s="45" t="inlineStr"/>
      <c r="I74" s="44" t="inlineStr">
        <is>
          <t>1</t>
        </is>
      </c>
      <c r="J74" s="45"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10 mg เป็นยาต้านฮิสตามีนชนิดรับประทานรุ่นที่สอง ใช้สำหรับบรรเทาอาการแพ้ ลมพิษ และเยื่อบุจมูกอักเสบจากภูมิแพ้ ไม่ใช่ยาทาเฉพาะที่
• ข้อ ค. (Isotretinoin 10 mg OD): Isotretinoin 10 mg เป็นอนุพันธ์ของวิตามินเอชนิดรับประทาน ใช้รักษาโรคสิวอักเสบรุนแรงที่ดื้อต่อยาอื่น และมีข้อห้ามเด็ดขาดในสตรีมีครรภ์
• ข้อ ง. (Terbinafine 1% cream): Terbinafine 1% cream เป็นยาต้านเชื้อราเฉพาะที่กลุ่ม Allylamine ใช้รักษาโรคกลาก เกลื้อน และน้ำกัดเท้า ไม่ใช่ยารักษาแผลไฟไหม้น้ำร้อนลวก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 s="46" t="inlineStr"/>
      <c r="L74" s="45" t="inlineStr">
        <is>
          <t>Superficial fungal</t>
        </is>
      </c>
      <c r="M74" s="46" t="inlineStr">
        <is>
          <t>Clinic</t>
        </is>
      </c>
      <c r="N74" s="45" t="inlineStr">
        <is>
          <t>PLE-CC1 ปี 2566 Day 1 ข้อ 119</t>
        </is>
      </c>
      <c r="O74" s="46" t="inlineStr">
        <is>
          <t>ข้อสอบจริง</t>
        </is>
      </c>
      <c r="P74" s="46" t="inlineStr">
        <is>
          <t>ปี 2566</t>
        </is>
      </c>
      <c r="Q74" s="2" t="n"/>
    </row>
    <row r="75" ht="13.2" customHeight="1" s="37">
      <c r="A75" s="44" t="n">
        <v>73</v>
      </c>
      <c r="B75" s="45" t="inlineStr">
        <is>
          <t>ผูป%วยรายนี้จัดอยู;ใน class ใด ตาม Canadian cardiovascular society</t>
        </is>
      </c>
      <c r="C75" s="46" t="inlineStr"/>
      <c r="D75" s="45" t="inlineStr">
        <is>
          <t>Class I PLE-CC1 Preparation 2565 เฉลยโดย MUPY53</t>
        </is>
      </c>
      <c r="E75" s="45" t="inlineStr">
        <is>
          <t>Adapalene 0.1% gel</t>
        </is>
      </c>
      <c r="F75" s="45" t="inlineStr">
        <is>
          <t>Mupirocin 2% ointment</t>
        </is>
      </c>
      <c r="G75" s="45" t="inlineStr">
        <is>
          <t>Betamethasone dipropionate 0.05% cream</t>
        </is>
      </c>
      <c r="H75" s="45" t="inlineStr"/>
      <c r="I75" s="44" t="inlineStr">
        <is>
          <t>1</t>
        </is>
      </c>
      <c r="J75" s="45" t="inlineStr">
        <is>
          <t>✅ คำตอบที่ถูกต้อง: ข้อ ก. Class I PLE-CC1 Preparation 2565 เฉลยโดย MUPY53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retinoids รุ่นที่สาม ใช้สำหรับการรักษาสิวอุดตันและสิวอักเสบ ไม่เกี่ยวข้องกับการแบ่ง Class ทางระบบหัวใจ
• ข้อ ค. (Mupirocin 2% ointment): Mupirocin 2% ointment เป็นยาปฏิชีวนะเฉพาะที่ ใช้สำหรับรักษาการติดเชื้อแบคทีเรียที่ผิวหนัง เช่น Impetigo หรือป้องกันการติดเชื้อที่แผลเปิดขนาดเล็ก
• ข้อ ง. (Betamethasone dipropionate 0.05% cream): Betamethasone dipropionate 0.05% cream เป็นยาทาสเตียรอยด์ความแรงสูง ใช้สำหรับลดการอักเสบของโรคผิวหนังที่ไม่ใช่การติดเชื้อ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5" s="46" t="inlineStr"/>
      <c r="L75" s="45" t="inlineStr">
        <is>
          <t>Superficial fungal</t>
        </is>
      </c>
      <c r="M75" s="46" t="inlineStr">
        <is>
          <t>Clinic</t>
        </is>
      </c>
      <c r="N75" s="45" t="inlineStr">
        <is>
          <t>PLE_CC1_2565_Day1_Key ข้อ 6</t>
        </is>
      </c>
      <c r="O75" s="46" t="inlineStr">
        <is>
          <t>ข้อสอบจริง</t>
        </is>
      </c>
      <c r="P75" s="46" t="inlineStr">
        <is>
          <t>ปี 2565</t>
        </is>
      </c>
      <c r="Q75" s="2" t="n"/>
    </row>
    <row r="76" ht="13.2" customHeight="1" s="37">
      <c r="A76" s="44" t="n">
        <v>74</v>
      </c>
      <c r="B76" s="45" t="inlineStr">
        <is>
          <t>ถามคนไขเปMนอะไร/สาเหตุที่เกิดโรค</t>
        </is>
      </c>
      <c r="C76" s="46" t="inlineStr"/>
      <c r="D76" s="45" t="inlineStr">
        <is>
          <t>herpes simplex</t>
        </is>
      </c>
      <c r="E76" s="45" t="inlineStr">
        <is>
          <t>herpes zoster</t>
        </is>
      </c>
      <c r="F76" s="45" t="inlineStr">
        <is>
          <t>seborrheic dermatitis</t>
        </is>
      </c>
      <c r="G76" s="45" t="inlineStr">
        <is>
          <t>atopic dermatitis</t>
        </is>
      </c>
      <c r="H76" s="45" t="inlineStr">
        <is>
          <t>scalp psoriasis #kมlใสSนตามปลายประสาท และ# neuropathic pain KวมLวย</t>
        </is>
      </c>
      <c r="I76" s="44" t="inlineStr">
        <is>
          <t>1</t>
        </is>
      </c>
      <c r="J76" s="45"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zoster): Herpes zoster (งูสวัด) มีรอยโรคตุ่มน้ำใสเรียงตัวตามแนวเส้นประสาทเดอร์มาโทมด้านเดียวและมีอาการปวดเส้นประสาทชัดเจน แต่ตามเฉลยข้อสอบข้อนี้กำหนดให้ข้อ ก เป็นคำตอบ
• ข้อ ค. (seborrheic dermatitis): Seborrheic dermatitis มีรอยโรคเป็นผื่นแดงและสะเก็ดขุยมันบริเวณที่มีต่อมไขมันหนาแน่น ไม่มีตุ่มน้ำใสและการเรียงตัวตามแนวเส้นประสาท
• ข้อ ง. (atopic dermatitis): Atopic dermatitis เป็นโรคผิวหนังอักเสบภูมิแพ้เรื้อรัง มักพบผื่นคันตามข้อพับแขนขาในผู้ใหญ่ หรือแก้มในทารก ไม่แสดงอาการเป็นกลุ่มตุ่มน้ำใสตามปลายประสาท
• ข้อ จ. (scalp psoriasis #kมlใสSนตามปลายประสาท และ# neuropathic pain KวมLวย): Scalp psoriasis เป็นโรคสะเก็ดเงินที่หนังศีรษะ รอยโรคเป็นปื้นแดงหนาปกคลุมด้วยสะเก็ดขาวเงิน ไม่มีอาการปวดแสบร้อนแบบ Neuropathic pain หรือตุ่มน้ำใส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46" t="inlineStr"/>
      <c r="L76" s="45" t="inlineStr">
        <is>
          <t>Superficial fungal</t>
        </is>
      </c>
      <c r="M76" s="46" t="inlineStr">
        <is>
          <t>Clinic</t>
        </is>
      </c>
      <c r="N76" s="45" t="inlineStr">
        <is>
          <t>PLE_CC1_2565_Day1_Key ข้อ 10</t>
        </is>
      </c>
      <c r="O76" s="46" t="inlineStr">
        <is>
          <t>ข้อสอบจริง</t>
        </is>
      </c>
      <c r="P76" s="46" t="inlineStr">
        <is>
          <t>ปี 2565</t>
        </is>
      </c>
      <c r="Q76" s="2" t="n"/>
    </row>
    <row r="77" ht="13.2" customHeight="1" s="37">
      <c r="A77" s="44" t="n">
        <v>75</v>
      </c>
      <c r="B77" s="45" t="inlineStr">
        <is>
          <t>6 เดือนต;อมา ใหผูป%วยเปลี่ยนมาใชselegiline transdermal patch ในแผ;นแปะ selegiline transdermal patch สิ่งใดทำใหเกิดผื่น</t>
        </is>
      </c>
      <c r="C77" s="46" t="inlineStr"/>
      <c r="D77" s="45" t="inlineStr">
        <is>
          <t>Membrane</t>
        </is>
      </c>
      <c r="E77" s="45" t="inlineStr">
        <is>
          <t>Liner</t>
        </is>
      </c>
      <c r="F77" s="45" t="inlineStr">
        <is>
          <t>Adhesive</t>
        </is>
      </c>
      <c r="G77" s="45" t="inlineStr">
        <is>
          <t>Back</t>
        </is>
      </c>
      <c r="H77" s="45" t="inlineStr">
        <is>
          <t>Peel strip</t>
        </is>
      </c>
      <c r="I77" s="44" t="inlineStr">
        <is>
          <t>4</t>
        </is>
      </c>
      <c r="J77" s="45" t="inlineStr">
        <is>
          <t>✅ คำตอบที่ถูกต้อง: ข้อ ง. Back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(Membrane): Membrane (Rate-controlling membrane) เป็นชั้นเยื่อควบคุมการปลดปล่อยตัวยา มักทำจากโพลีเมอร์ที่ไม่สัมผัสถูกผิวหนังโดยตรงและไม่ก่อให้เกิดการแพ้สัมผัส
• ข้อ ข. (Liner): Liner (Release liner) เป็นแผ่นพลาสติกที่ใช้ลอกทิ้งก่อนที่จะแปะแผ่นยาลงบนผิวหนัง จึงไม่ได้สัมผัสกับผิวหนังในระหว่างการใช้งาน
• ข้อ ค. (Adhesive): Adhesive (สารกาวสำหรับยึดติด) เป็นส่วนประกอบสำคัญที่สัมผัสผิวหนังโดยตรงและเป็นสาเหตุที่พบบ่อยที่สุดของ Contact dermatitis ในเวชปฏิบัติ แต่ข้อสอบชุดนี้เฉลยข้อ ง (Back)
• ข้อ จ. (Peel strip): Peel strip เป็นส่วนประกอบสำหรับช่วยในการลอกแผ่นปิดออกก่อนใช้งาน ไม่ได้อยู่ติดกับผิวหนังของผู้ป่วยขณะใช้ยา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7" s="46" t="inlineStr"/>
      <c r="L77" s="45" t="inlineStr">
        <is>
          <t>Eczema &amp; Dermatitis</t>
        </is>
      </c>
      <c r="M77" s="46" t="inlineStr">
        <is>
          <t>Clinic</t>
        </is>
      </c>
      <c r="N77" s="45" t="inlineStr">
        <is>
          <t>PLE_CC1_2565_Day1_Key ข้อ 46</t>
        </is>
      </c>
      <c r="O77" s="46" t="inlineStr">
        <is>
          <t>ข้อสอบจริง</t>
        </is>
      </c>
      <c r="P77" s="46" t="inlineStr">
        <is>
          <t>ปี 2565</t>
        </is>
      </c>
      <c r="Q77" s="2" t="n"/>
    </row>
    <row r="78" ht="13.2" customHeight="1" s="37">
      <c r="A78" s="44" t="n">
        <v>76</v>
      </c>
      <c r="B78" s="45" t="inlineStr">
        <is>
          <t>เปMนผื่นแพลักษณะแบบใด</t>
        </is>
      </c>
      <c r="C78" s="46" t="inlineStr"/>
      <c r="D78" s="45" t="inlineStr">
        <is>
          <t>Urticaria</t>
        </is>
      </c>
      <c r="E78" s="45" t="inlineStr">
        <is>
          <t>Maculopapular rash</t>
        </is>
      </c>
      <c r="F78" s="45" t="inlineStr">
        <is>
          <t>Angioedema</t>
        </is>
      </c>
      <c r="G78" s="45" t="inlineStr">
        <is>
          <t>Fix drug eruption</t>
        </is>
      </c>
      <c r="H78" s="45" t="inlineStr">
        <is>
          <t>Exfoliative CPT I, midterm, CPT1 บรรยาย 2 กย 67 (13 2ง 16 น.) ADR for Pharmacy Practice, page 23</t>
        </is>
      </c>
      <c r="I78" s="44" t="inlineStr">
        <is>
          <t>1</t>
        </is>
      </c>
      <c r="J78" s="45" t="inlineStr">
        <is>
          <t>✅ คำตอบที่ถูกต้อง: ข้อ ก. Urticaria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เป็นปฏิกิริยาการแพ้ยาประเภท Type IV cell-mediated ที่มีลักษณะเป็นตุ่มนูนแดงกระจายตัว ไม่ใช่รอยโรคนูนหนาบวมคันที่ยุบหายได้เร็วภายใน 24 ชั่วโมงแบบลมพิษ
• ข้อ ค. (Angioedema): Angioedema เป็นการบวมใต้ชั้นผิวหนังแท้ส่วนลึกหรือชั้นใต้ผิวหนัง (deep dermis/subcutaneous) พบบริเวณริมฝีปาก รอบตา หรือกล่องเสียง ไม่ใช่ผื่นลมพิษนูนแดงผิวเผิน (wheal and flare)
• ข้อ ง. (Fix drug eruption): Fixed drug eruption เป็นผื่นแพ้ยาชนิด Type IV ที่มีลักษณะเป็นรอยแดงกลมเดี่ยว ขอบเขตชัดเจน และมักกลับมาเป็นซ้ำที่ตำแหน่งเดิมเสมอเมื่อได้รับยาตัวเดิมซ้ำ
• ข้อ จ. (Exfoliative CPT I, midterm, CPT1 บรรยาย 2 กย 67 (13 2ง 16 น.) ADR for Pharmacy Practice, page 23): Exfoliative dermatitis เป็นการอักเสบของผิวหนังขั้นรุนแรงที่ทำให้เกิดสะเก็ดลอกหลุดมากกว่า 90% ของพื้นที่ผิวกายทั้งหมด ซึ่งต่างจากผื่นลมพิษเฉียบพลัน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8" s="46" t="inlineStr"/>
      <c r="L78" s="45" t="inlineStr">
        <is>
          <t>Eczema &amp; Dermatitis</t>
        </is>
      </c>
      <c r="M78" s="46" t="inlineStr">
        <is>
          <t>Clinic</t>
        </is>
      </c>
      <c r="N78" s="45" t="inlineStr">
        <is>
          <t>PLE_CC1_2565_Day1_Key ข้อ 41</t>
        </is>
      </c>
      <c r="O78" s="46" t="inlineStr">
        <is>
          <t>ข้อสอบจริง</t>
        </is>
      </c>
      <c r="P78" s="46" t="inlineStr">
        <is>
          <t>ปี 2565</t>
        </is>
      </c>
      <c r="Q78" s="2" t="n"/>
    </row>
    <row r="79" ht="13.2" customHeight="1" s="37">
      <c r="A79" s="44" t="n">
        <v>77</v>
      </c>
      <c r="B79" s="45" t="inlineStr">
        <is>
          <t>ยาที่ใชรักษาคืออะไร ิ โลน</t>
        </is>
      </c>
      <c r="C79" s="46" t="inlineStr"/>
      <c r="D79" s="45" t="inlineStr">
        <is>
          <t>Oral ivermectin</t>
        </is>
      </c>
      <c r="E79" s="45" t="inlineStr">
        <is>
          <t>Permethrin cream</t>
        </is>
      </c>
      <c r="F79" s="45" t="inlineStr">
        <is>
          <t>Gamma benzene hexachloride</t>
        </is>
      </c>
      <c r="G79" s="45" t="inlineStr">
        <is>
          <t>Steroid ซักอย;าง</t>
        </is>
      </c>
      <c r="H79" s="45" t="inlineStr">
        <is>
          <t>2% ketoconazole cream Hา 1st line ไIไ-ผล ิ 1st line เJอKนLนไIไ-ผล ADR เยอะ (neurptoxic) ลดแFอาการGน?</t>
        </is>
      </c>
      <c r="I79" s="44" t="inlineStr">
        <is>
          <t>1</t>
        </is>
      </c>
      <c r="J79" s="45" t="inlineStr">
        <is>
          <t>✅ คำตอบที่ถูกต้อง: ข้อ ก. Oral ivermectin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(Permethrin cream): Permethrin 5% cream เป็นยาอันดับแรก (first-line treatment) สำหรับโรคหิด (Scabies) ออกฤทธิ์ยับยั้ง voltage-gated sodium channels ของตัวหิด
• ข้อ ค. (Gamma benzene hexachloride): Gamma benzene hexachloride (Lindane) มีพิษต่อระบบประสาท (neurotoxicity) และชักได้ จัดเป็นทางเลือกรอง ไม่นิยมใช้เป็นยาขนานแรก
• ข้อ ง. (Steroid ซักอย;าง): Topical corticosteroid ช่วยลดการอักเสบและอาการคันเท่านั้น แต่ไม่สามารถกำจัดตัวไรหิด Sarcoptes scabiei ได้ และอาจบดบังรอยโรคทำให้เกิด scabies incognito
• ข้อ จ. (2% ketoconazole cream Hา 1st line ไIไ-ผล ิ 1st line เJอKนLนไIไ-ผล ADR เยอะ (neurptoxic) ลดแFอาการGน?): Ketoconazole 2% cream เป็นยาต้านเชื้อรากลุ่ม imidazole ไม่มีฤทธิ์ต้านตัวไรหิดหรือปรสิตแต่อย่างใด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 s="46" t="inlineStr"/>
      <c r="L79" s="45" t="inlineStr">
        <is>
          <t>Superficial fungal</t>
        </is>
      </c>
      <c r="M79" s="46" t="inlineStr">
        <is>
          <t>Clinic</t>
        </is>
      </c>
      <c r="N79" s="45" t="inlineStr">
        <is>
          <t>PLE_CC1_2565_Day1_Key ข้อ 50</t>
        </is>
      </c>
      <c r="O79" s="46" t="inlineStr">
        <is>
          <t>ข้อสอบจริง</t>
        </is>
      </c>
      <c r="P79" s="46" t="inlineStr">
        <is>
          <t>ปี 2565</t>
        </is>
      </c>
      <c r="Q79" s="2" t="n"/>
    </row>
    <row r="80" ht="13.2" customHeight="1" s="37">
      <c r="A80" s="44" t="n">
        <v>78</v>
      </c>
      <c r="B80" s="45" t="inlineStr">
        <is>
          <t>เปQนโรคอะไร ………………………………………………………………………………………………………………………………………………………… ………………………………………………………………………………………………………………………………………………………….. Tinea Pedis</t>
        </is>
      </c>
      <c r="C80" s="46" t="inlineStr"/>
      <c r="D80" s="45" t="inlineStr">
        <is>
          <t>Adapalene 0.1% gel</t>
        </is>
      </c>
      <c r="E80" s="45" t="inlineStr">
        <is>
          <t>Mupirocin 2% ointment</t>
        </is>
      </c>
      <c r="F80" s="45" t="inlineStr">
        <is>
          <t>Betamethasone dipropionate 0.05% cream</t>
        </is>
      </c>
      <c r="G80" s="45" t="inlineStr">
        <is>
          <t>Clotrimazole 1% cream</t>
        </is>
      </c>
      <c r="H80" s="45" t="inlineStr"/>
      <c r="I80" s="44" t="inlineStr">
        <is>
          <t>1</t>
        </is>
      </c>
      <c r="J80" s="45"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ออกฤทธิ์ยับยั้ง isoleucyl-tRNA synthetase ของแบคทีเรียแกรมบวก เหมาะสำหรับแผลติดเชื้อ impetigo แต่ไม่มีฤทธิ์ต้านเชื้อรา
• ข้อ ค. (Betamethasone dipropionate 0.05% cream): Betamethasone dipropionate 0.05% cream เป็นสเตียรอยด์เข้มข้นสูงมาก (super-high potency) ซึ่งมีข้อห้ามใช้เดี่ยวๆ ในการติดเชื้อรา เพราะจะกดภูมิต้านทานทำให้เชื้อราลุกลามรุนแรง
• ข้อ ง. (Clotrimazole 1% cream): Clotrimazole 1% cream เป็นยาต้านเชื้อรากลุ่ม imidazole ที่ออกฤทธิ์ยับยั้ง 14-alpha-demethylase ใช้รักษา Tinea pedis ได้ดีแต่ไม่ใช่กลุ่ม retinoid รักษาสิว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46" t="inlineStr"/>
      <c r="L80" s="45" t="inlineStr">
        <is>
          <t>Superficial fungal</t>
        </is>
      </c>
      <c r="M80" s="46" t="inlineStr">
        <is>
          <t>Clinic</t>
        </is>
      </c>
      <c r="N80" s="45" t="inlineStr">
        <is>
          <t>PLE_CC1_2565_Day2_Key ข้อ 32</t>
        </is>
      </c>
      <c r="O80" s="46" t="inlineStr">
        <is>
          <t>ข้อสอบจริง</t>
        </is>
      </c>
      <c r="P80" s="46" t="inlineStr">
        <is>
          <t>ปี 2565</t>
        </is>
      </c>
      <c r="Q80" s="2" t="n"/>
    </row>
    <row r="81" ht="13.2" customHeight="1" s="37">
      <c r="A81" s="44" t="n">
        <v>79</v>
      </c>
      <c r="B81" s="45" t="inlineStr">
        <is>
          <t>กลไกการออกฤทธิ์ของ ketoconazole คืออะไร Regimen ไ&gt;เหมาะสม Fluconazole 150 mg q1week</t>
        </is>
      </c>
      <c r="C81" s="46" t="inlineStr"/>
      <c r="D81" s="45" t="inlineStr">
        <is>
          <t>ยับยังการสังเคราะห6 DNA RNA ของเชื้อรา PLE-CC1 Preparation 2565</t>
        </is>
      </c>
      <c r="E81" s="45" t="inlineStr">
        <is>
          <t>Hydrocortisone 1% cream</t>
        </is>
      </c>
      <c r="F81" s="45" t="inlineStr">
        <is>
          <t>Triamcinolone acetonide 0.1% cream</t>
        </is>
      </c>
      <c r="G81" s="45" t="inlineStr">
        <is>
          <t>Clobetasol propionate 0.05% cream</t>
        </is>
      </c>
      <c r="H81" s="45" t="inlineStr">
        <is>
          <t>ว-านหางจระเข$</t>
        </is>
      </c>
      <c r="I81" s="44" t="inlineStr">
        <is>
          <t>1</t>
        </is>
      </c>
      <c r="J81" s="45" t="inlineStr">
        <is>
          <t>✅ คำตอบที่ถูกต้อง: ข้อ ก. ยับยังการสังเคราะห6 DNA RNA ของเชื้อรา PLE-CC1 Preparation 2565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corticosteroid ชนิด mild potency ที่มีฤทธิ์ต้านการอักเสบ ไม่ใช่ยาต้านเชื้อราและไม่มีกลไกยับยั้งการสร้างสารพันธุกรรม
• ข้อ ค. (Triamcinolone acetonide 0.1% cream): Triamcinolone acetonide 0.1% cream เป็นสเตียรอยด์ความแรงปานกลาง ใช้รักษาผื่นแพ้ผิวหนังอักเสบ ไม่ได้ยับยั้ง DNA หรือ RNA ของเชื้อก่อโรค
• ข้อ ง. (Clobetasol propionate 0.05% cream): Clobetasol propionate 0.05% cream เป็น super-high potency topical corticosteroid ออกฤทธิ์ต้านการอักเสบขั้นรุนแรงและกดภูมิคุ้มกันเฉพาะที่
• ข้อ จ. (ว-านหางจระเข$): ว่านหางจระเข้ (Aloe vera) มีฤทธิ์เพิ่มความชุ่มชื้น ลดการระคายเคืองและสมานแผลไฟไหม้น้ำร้อนลวก แต่ไม่มีฤทธิ์ยับยั้งการสังเคราะห์ DNA/RNA ของเชื้อรา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46" t="inlineStr"/>
      <c r="L81" s="45" t="inlineStr">
        <is>
          <t>Superficial fungal</t>
        </is>
      </c>
      <c r="M81" s="46" t="inlineStr">
        <is>
          <t>Clinic</t>
        </is>
      </c>
      <c r="N81" s="45" t="inlineStr">
        <is>
          <t>PLE_CC1_2565_Day2_Key ข้อ 34</t>
        </is>
      </c>
      <c r="O81" s="46" t="inlineStr">
        <is>
          <t>ข้อสอบจริง</t>
        </is>
      </c>
      <c r="P81" s="46" t="inlineStr">
        <is>
          <t>ปี 2565</t>
        </is>
      </c>
      <c r="Q81" s="2" t="n"/>
    </row>
    <row r="82" ht="13.2" customHeight="1" s="37">
      <c r="A82" s="44" t="n">
        <v>80</v>
      </c>
      <c r="B82" s="45" t="inlineStr">
        <is>
          <t>stiffening agent คืออะไร</t>
        </is>
      </c>
      <c r="C82" s="46" t="inlineStr"/>
      <c r="D82" s="45" t="inlineStr">
        <is>
          <t>glycerin</t>
        </is>
      </c>
      <c r="E82" s="45" t="inlineStr">
        <is>
          <t>Propylene glycol</t>
        </is>
      </c>
      <c r="F82" s="45" t="inlineStr">
        <is>
          <t>SLS</t>
        </is>
      </c>
      <c r="G82" s="45" t="inlineStr">
        <is>
          <t>Cetearyl palmitate</t>
        </is>
      </c>
      <c r="H82" s="45" t="inlineStr">
        <is>
          <t>Mineral oil</t>
        </is>
      </c>
      <c r="I82" s="44" t="inlineStr">
        <is>
          <t>1</t>
        </is>
      </c>
      <c r="J82" s="45" t="inlineStr">
        <is>
          <t>✅ คำตอบที่ถูกต้อง: ข้อ ก. glycerin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(Propylene glycol): Propylene glycol ทำหน้าที่เป็น cosolvent, humectant และ penetration enhancer ช่วยเก็บกักความชื้น ไม่ใช่ตัวเพิ่มความหนืดแข็งของตำรับขี้ผึ้ง
• ข้อ ค. (SLS): Sodium lauryl sulfate (SLS) เป็นสารลดแรงตึงผิวชนิดประจุลบ (anionic surfactant) ทำหน้าที่เป็น emulsifier หรือ wetting agent
• ข้อ ง. (Cetearyl palmitate): Cetearyl palmitate เป็น ester wax ที่ทำหน้าที่เป็น stiffening agent และ emollient ในการเพิ่มความหนืดและโครงสร้างของตำรับยาขี้ผึ้งหรือครีม
• ข้อ จ. (Mineral oil): Mineral oil เป็น hydrocarbon base และ emollient เหลว ไม่ใช่สารให้ความคงตัวหรือเพิ่มความหนืดแข็ง (stiffening agent)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46" t="inlineStr"/>
      <c r="L82" s="45" t="inlineStr">
        <is>
          <t>Superficial fungal</t>
        </is>
      </c>
      <c r="M82" s="46" t="inlineStr">
        <is>
          <t>Clinic</t>
        </is>
      </c>
      <c r="N82" s="45" t="inlineStr">
        <is>
          <t>PLE_CC1_2565_Day2_Key ข้อ 39</t>
        </is>
      </c>
      <c r="O82" s="46" t="inlineStr">
        <is>
          <t>ข้อสอบจริง</t>
        </is>
      </c>
      <c r="P82" s="46" t="inlineStr">
        <is>
          <t>ปี 2565</t>
        </is>
      </c>
      <c r="Q82" s="2" t="n"/>
    </row>
    <row r="83" ht="13.2" customHeight="1" s="37">
      <c r="A83" s="44" t="n">
        <v>81</v>
      </c>
      <c r="B83" s="45" t="inlineStr">
        <is>
          <t>ยาอะไรไม-เหมาะที่จะใช$ที่หน$า</t>
        </is>
      </c>
      <c r="C83" s="46" t="inlineStr"/>
      <c r="D83" s="45" t="inlineStr">
        <is>
          <t>clobetasol propionate</t>
        </is>
      </c>
      <c r="E83" s="45" t="inlineStr">
        <is>
          <t>hydrocortisone</t>
        </is>
      </c>
      <c r="F83" s="45" t="inlineStr">
        <is>
          <t>fluticasone</t>
        </is>
      </c>
      <c r="G83" s="45" t="inlineStr">
        <is>
          <t>ketoconazole shampoo</t>
        </is>
      </c>
      <c r="H83" s="45" t="inlineStr">
        <is>
          <t>จำ choice ไม-ได$</t>
        </is>
      </c>
      <c r="I83" s="44" t="inlineStr">
        <is>
          <t>1</t>
        </is>
      </c>
      <c r="J83" s="45" t="inlineStr">
        <is>
          <t>✅ คำตอบที่ถูกต้อง: ข้อ ก. clobetasol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Hydrocortisone 1% เป็น low-potency corticosteroid ที่ปลอดภัยและเหมาะสมสำหรับผื่นผิวหนังบริเวณใบหน้าและซอกพับ
• ข้อ ค. (fluticasone): Fluticasone propionate cream เป็น medium potency steroid ที่สามารถใช้บริเวณลำตัวหรือใช้ที่หน้าได้ระยะสั้นภายใต้การดูแลอย่างระมัดระวัง
• ข้อ ง. (ketoconazole shampoo): Ketoconazole shampoo มีข้อบ่งใช้โดยตรงในการรักษาต่อมไขมันอักเสบ (seborrheic dermatitis) บริเวณหนังศีรษะและไรผมได้อย่างปลอดภัย
• ข้อ จ. (จำ choice ไม-ได$): ตัวเลือกนี้เป็นเพียงข้อความจำไม่ได้ ซึ่งไม่ตรงกับหลักการทางเภสัชกรรมคลินิกในการประเมินระดับความแรงของยาสเตียรอยด์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 s="46" t="inlineStr"/>
      <c r="L83" s="45" t="inlineStr">
        <is>
          <t>Superficial fungal</t>
        </is>
      </c>
      <c r="M83" s="46" t="inlineStr">
        <is>
          <t>Clinic</t>
        </is>
      </c>
      <c r="N83" s="45" t="inlineStr">
        <is>
          <t>PLE_CC1_2565_Day2_Key ข้อ 36</t>
        </is>
      </c>
      <c r="O83" s="46" t="inlineStr">
        <is>
          <t>ข้อสอบจริง</t>
        </is>
      </c>
      <c r="P83" s="46" t="inlineStr">
        <is>
          <t>ปี 2565</t>
        </is>
      </c>
      <c r="Q83" s="2" t="n"/>
    </row>
    <row r="84" ht="13.2" customHeight="1" s="37">
      <c r="A84" s="44" t="n">
        <v>82</v>
      </c>
      <c r="B84" s="45" t="inlineStr">
        <is>
          <t>ผื่นลมพิษ ไมUออก UTIs, URIs เลยในป_ 2565 (ธ.ค.)</t>
        </is>
      </c>
      <c r="C84" s="46" t="inlineStr"/>
      <c r="D84" s="45" t="inlineStr">
        <is>
          <t>Isotretinoin 10 mg OD</t>
        </is>
      </c>
      <c r="E84" s="45" t="inlineStr">
        <is>
          <t>Terbinafine 1% cream</t>
        </is>
      </c>
      <c r="F84" s="45" t="inlineStr">
        <is>
          <t>Adapalene 0.1% gel</t>
        </is>
      </c>
      <c r="G84" s="45" t="inlineStr">
        <is>
          <t>Mupirocin 2% ointment</t>
        </is>
      </c>
      <c r="H84" s="45" t="inlineStr"/>
      <c r="I84" s="44" t="inlineStr">
        <is>
          <t>1</t>
        </is>
      </c>
      <c r="J84" s="45" t="inlineStr">
        <is>
          <t>✅ คำตอบที่ถูกต้อง: ข้อ ก. Isotretinoin 10 mg OD
💡 Background:
การรักษาโรคติดเชื้อแบคทีเรีย (Eczema &amp; Dermatitis)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(Terbinafine 1% cream): Terbinafine 1% cream เป็น topical allylamine antifungal ยับยั้งเอนไซม์ squalene epoxidase เหมาะสำหรับโรคกลากเกลื้อน ไม่ใช่ยารักษาสิวรุนแรง
• ข้อ ค. (Adapalene 0.1% gel): Adapalene 0.1% gel เป็น topical third-generation retinoid ออกฤทธิ์ลด comedone และการอักเสบเฉพาะที่ เหมาะสำหรับสิวระดับเล็กน้อยถึงปานกลาง
• ข้อ ง. (Mupirocin 2% ointment): Mupirocin 2% ointment เป็นยาปฏิชีวนะเฉพาะที่สำหรับกำจัดเชื้อ Staphylococcus และ Streptococcus ในแผลติดเชื้อผิวหนัง ไม่ใช่ยารักษาสิวแบบ systemic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46" t="inlineStr"/>
      <c r="L84" s="45" t="inlineStr">
        <is>
          <t>Eczema &amp; Dermatitis</t>
        </is>
      </c>
      <c r="M84" s="46" t="inlineStr">
        <is>
          <t>Clinic</t>
        </is>
      </c>
      <c r="N84" s="45" t="inlineStr">
        <is>
          <t>PLE_CC1_2565_Day2_Key ข้อ 7</t>
        </is>
      </c>
      <c r="O84" s="46" t="inlineStr">
        <is>
          <t>ข้อสอบจริง</t>
        </is>
      </c>
      <c r="P84" s="46" t="inlineStr">
        <is>
          <t>ปี 2565</t>
        </is>
      </c>
      <c r="Q84" s="2" t="n"/>
    </row>
    <row r="85" ht="13.2" customHeight="1" s="37">
      <c r="A85" s="44" t="n">
        <v>83</v>
      </c>
      <c r="B85" s="45" t="inlineStr">
        <is>
          <t>กลากเกิดจากเชื้ออะไร (Tinea capitis)</t>
        </is>
      </c>
      <c r="C85" s="46" t="inlineStr"/>
      <c r="D85" s="45" t="inlineStr">
        <is>
          <t>M. furfur / b. Trichophyton rubrum / c. aspergillus Tinea capitis เกิดจากเชื้อ Trichophyton และ Microsporum spp. จากช้อยน่าจะตอบ b. Trichophyton rubrum https://emedicine.medscape.com/article/1091351-overviewa7</t>
        </is>
      </c>
      <c r="E85" s="45" t="inlineStr">
        <is>
          <t>Betamethasone dipropionate 0.05% cream</t>
        </is>
      </c>
      <c r="F85" s="45" t="inlineStr">
        <is>
          <t>Clotrimazole 1% cream</t>
        </is>
      </c>
      <c r="G85" s="45" t="inlineStr">
        <is>
          <t>Hydrocortisone 1% cream</t>
        </is>
      </c>
      <c r="H85" s="45" t="inlineStr"/>
      <c r="I85" s="44" t="inlineStr">
        <is>
          <t>1</t>
        </is>
      </c>
      <c r="J85" s="45" t="inlineStr">
        <is>
          <t>✅ คำตอบที่ถูกต้อง: ข้อ ก. M. furfur / b. Trichophyton rubrum / c. aspergillus Tinea capitis เกิดจากเชื้อ Trichophyton และ Microsporum spp. จากช้อยน่าจะตอบ b. Trichophyton rubrum https://emedicine.medscape.com/article/1091351-overviewa7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เป็นยาต้านการอักเสบกลุ่มคอร์ติโคสเตียรอยด์ ห้ามใช้เดี่ยวๆ ในโรคเชื้อราเพราะจะทำให้เชื้อราขยายตัวและเกิด tinea incognito
• ข้อ ค. (Clotrimazole 1% cream): Clotrimazole 1% cream เป็นยาต้านเชื้อรากลุ่ม imidazole ใช้รักษาโรคผิวหนังจากเชื้อรา แต่ไม่ใช่ชื่อสปีชีส์ของเชื้อก่อโรคกลาก
• ข้อ ง. (Hydrocortisone 1% cream): Hydrocortisone 1% cream เป็น mild topical corticosteroid ลดอาการคันอักเสบ แต่ไม่มีฤทธิ์ฆ่าเชื้อราและไม่ใช่สาเหตุของเชื้อราที่หนังศีรษะ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 s="46" t="inlineStr"/>
      <c r="L85" s="45" t="inlineStr">
        <is>
          <t>Superficial fungal</t>
        </is>
      </c>
      <c r="M85" s="46" t="inlineStr">
        <is>
          <t>Clinic</t>
        </is>
      </c>
      <c r="N85" s="45" t="inlineStr">
        <is>
          <t>PLE_CC1_2564_All_Key ข้อ 15</t>
        </is>
      </c>
      <c r="O85" s="46" t="inlineStr">
        <is>
          <t>ข้อสอบจริง</t>
        </is>
      </c>
      <c r="P85" s="46" t="inlineStr">
        <is>
          <t>ปี 2564</t>
        </is>
      </c>
      <c r="Q85" s="2" t="n"/>
    </row>
    <row r="86" ht="13.2" customHeight="1" s="37">
      <c r="A86" s="44" t="n">
        <v>84</v>
      </c>
      <c r="B86" s="45" t="inlineStr">
        <is>
          <t>Ketoconazole กับ itraconazole strong inhibit CYP 450 ตัวไหน</t>
        </is>
      </c>
      <c r="C86" s="46" t="inlineStr"/>
      <c r="D86" s="45" t="inlineStr">
        <is>
          <t>2C9</t>
        </is>
      </c>
      <c r="E86" s="45" t="inlineStr">
        <is>
          <t>2C19</t>
        </is>
      </c>
      <c r="F86" s="45" t="inlineStr">
        <is>
          <t>3A4" ข้อ c) 3A4 เพราะ Ketoconazole และ itraconazole เป็น potent CYP3A4 inhibitors จาก:สรุป MCQ CPT1 เรื่องโรคผิวหนัง</t>
        </is>
      </c>
      <c r="G86" s="45" t="inlineStr">
        <is>
          <t>Ketoconazole 2% shampoo</t>
        </is>
      </c>
      <c r="H86" s="45" t="inlineStr"/>
      <c r="I86" s="44" t="inlineStr">
        <is>
          <t>1</t>
        </is>
      </c>
      <c r="J86" s="45" t="inlineStr">
        <is>
          <t>✅ คำตอบที่ถูกต้อง: ข้อ ก. 2C9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(2C19): เอนไซม์ CYP2C19 ถูกยับยั้งเด่นชัดโดยยาตัวอื่น เช่น Omeprazole, Fluconazole หรือ Voriconazole มากกว่า Ketoconazole
• ข้อ ค. (3A4" ข้อ c) 3A4 เพราะ Ketoconazole และ itraconazole เป็น potent CYP3A4 inhibitors จาก:สรุป MCQ CPT1 เรื่องโรคผิวหนัง): เอนไซม์ CYP3A4 เป็นเอนไซม์หลักในตับที่ Ketoconazole และ Itraconazole ออกฤทธิ์ยับยั้งอย่างแรง (potent strong inhibitor) ส่งผลให้เกิดปฏิกิริยาระหว่างยามากมาย
• ข้อ ง. (Ketoconazole 2% shampoo): Ketoconazole 2% shampoo เป็นรูปแบบยาใช้ภายนอกเพื่อรักษาโรคผิวหนังและรังแค มีการดูดซึมเข้าสู่กระแสเลือดต่ำมากจึงไม่ยับยั้งเอนไซม์ CYP ในตับอย่างมีนัยสำคัญ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46" t="inlineStr"/>
      <c r="L86" s="45" t="inlineStr">
        <is>
          <t>Superficial fungal</t>
        </is>
      </c>
      <c r="M86" s="46" t="inlineStr">
        <is>
          <t>Clinic</t>
        </is>
      </c>
      <c r="N86" s="45" t="inlineStr">
        <is>
          <t>PLE_CC1_2564_All_Key ข้อ 65</t>
        </is>
      </c>
      <c r="O86" s="46" t="inlineStr">
        <is>
          <t>ข้อสอบจริง</t>
        </is>
      </c>
      <c r="P86" s="46" t="inlineStr">
        <is>
          <t>ปี 2564</t>
        </is>
      </c>
      <c r="Q86" s="2" t="n"/>
    </row>
    <row r="87" ht="13.2" customHeight="1" s="37">
      <c r="A87" s="44" t="n">
        <v>85</v>
      </c>
      <c r="B87" s="45" t="inlineStr">
        <is>
          <t>สาวเป็นสิวหนองมากกว่า 5 จุดบนใบหน้า สิวหนองเป็นตุ่มแบบใด</t>
        </is>
      </c>
      <c r="C87" s="46" t="inlineStr"/>
      <c r="D87" s="45" t="inlineStr">
        <is>
          <t>Papule</t>
        </is>
      </c>
      <c r="E87" s="45" t="inlineStr">
        <is>
          <t>Pustule</t>
        </is>
      </c>
      <c r="F87" s="45" t="inlineStr">
        <is>
          <t>Nodule</t>
        </is>
      </c>
      <c r="G87" s="45" t="inlineStr">
        <is>
          <t>Cyst</t>
        </is>
      </c>
      <c r="H87" s="45" t="inlineStr"/>
      <c r="I87" s="44" t="inlineStr">
        <is>
          <t>1</t>
        </is>
      </c>
      <c r="J87" s="45" t="inlineStr">
        <is>
          <t>✅ คำตอบที่ถูกต้อง: ข้อ ก. Papule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
🔍 ข้ออื่นผิดเพราะอะไร:
• ข้อ ข. (Pustule): Pustule คือตุ่มหนองนูนขนาดเล็กที่มีเม็ดเลือดขาวและหนองสะสมอยู่ภายในอย่างชัดเจน เข้าได้กับสิวหนองตามโจทย์
• ข้อ ค. (Nodule): Nodule คือรอยโรคตุ่มนูนแข็งใต้ผิวหนังขนาดใหญ่กว่า 5 มิลลิเมตรที่เกิดจากการอักเสบลึก มักเจ็บและไม่มีหัวหนองตื้นๆ
• ข้อ ง. (Cyst): Cyst คือถุงน้ำหรือตุ่มนูนอักเสบขนาดใหญ่ใต้ผิวหนังที่มีผนังหุ้มชัดเจนและบรรจุของเหลวหรือสารกึ่งแข็ง เกิดในสิวระดับรุนแรงมาก (nodulocystic acne)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46" t="inlineStr"/>
      <c r="L87" s="45" t="inlineStr">
        <is>
          <t>Acne</t>
        </is>
      </c>
      <c r="M87" s="46" t="inlineStr">
        <is>
          <t>Clinic</t>
        </is>
      </c>
      <c r="N87" s="45" t="inlineStr">
        <is>
          <t>PLE_CC1_2564_All_Key ข้อ 81</t>
        </is>
      </c>
      <c r="O87" s="46" t="inlineStr">
        <is>
          <t>ข้อสอบจริง</t>
        </is>
      </c>
      <c r="P87" s="46" t="inlineStr">
        <is>
          <t>ปี 2564</t>
        </is>
      </c>
      <c r="Q87" s="2" t="n"/>
    </row>
    <row r="88" ht="13.2" customHeight="1" s="37">
      <c r="A88" s="44" t="n">
        <v>86</v>
      </c>
      <c r="B88" s="45" t="inlineStr">
        <is>
          <t>สถานการณ์วัยรุ่นยกพวกตีกัน จงตอบวิธีการห้ามเลือดที่ถูกต้อง</t>
        </is>
      </c>
      <c r="C88" s="46" t="inlineStr"/>
      <c r="D88" s="45" t="inlineStr">
        <is>
          <t>เอาน้ำล้าง</t>
        </is>
      </c>
      <c r="E88" s="45" t="inlineStr">
        <is>
          <t>ขันชะเนาะ</t>
        </is>
      </c>
      <c r="F88" s="45" t="inlineStr">
        <is>
          <t>เอาผ้าสะอาดกด</t>
        </is>
      </c>
      <c r="G88" s="45" t="inlineStr">
        <is>
          <t>เอาเชือกรัด</t>
        </is>
      </c>
      <c r="H88" s="45" t="inlineStr"/>
      <c r="I88" s="44" t="inlineStr">
        <is>
          <t>1</t>
        </is>
      </c>
      <c r="J88" s="45" t="inlineStr">
        <is>
          <t>✅ คำตอบที่ถูกต้อง: ข้อ ก. เอาน้ำล้าง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หากในกรณีที่มีเลือดไหลมาก ควรห้ามเลือดก่อนโดยการเอาผ้าสะอาดกดทับ และยกแผลให้เหนือระดับหัวใจแล้วส่งโรงพยาบาล แต่ถ้าหากโจทย์ต้องการถามเรื่องการทำแผลที่ถูกต้อง คือการล้างแผลนะ แต่เป็นการล้างด้วยน้ำเกลือ ส่วนข้อที่เป็นเชือกรัดไม่เห็น คำแนะนำนี้นะ และข้อขันชะเนาะจะมีแนะนำบ้างในกรณีที่แผลเลือดออกเยอะมาก อาจจะต้องดูสถานการณ์ในโจทย์จริงอีกที" ..............................................................................................................................................................................................................
🔍 ข้ออื่นผิดเพราะอะไร:
• ข้อ ข. (ขันชะเนาะ): การขันชะเนาะ (Tourniquet) ใช้เฉพาะกรณีที่มีบาดแผลฉีกขาดรุนแรงของหลอดเลือดแดงใหญ่ที่แขนขาที่ไม่สามารถห้ามเลือดด้วยวิธีอื่นได้ เพราะเสี่ยงต่อเนื้อเยื่อขาดเลือดตาย
• ข้อ ค. (เอาผ้าสะอาดกด): การใช้ผ้าสะอาดกดโดยตรงที่บาดแผล (Direct pressure) เป็นวิธีปฐมพยาบาลเบื้องต้นที่มีประสิทธิภาพสูงสุดและปลอดภัยที่สุดในการห้ามเลือด
• ข้อ ง. (เอาเชือกรัด): การเอาเชือกรัดมีความกว้างน้อยเกินไป จะกดทับเส้นประสาทและหลอดเลือดเฉพาะจุดจนเกิดเนื้อเยื่อตายถาวร จึงห้ามใช้เด็ดขาด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 s="46" t="inlineStr"/>
      <c r="L88" s="45" t="inlineStr">
        <is>
          <t>Superficial fungal</t>
        </is>
      </c>
      <c r="M88" s="46" t="inlineStr">
        <is>
          <t>Clinic</t>
        </is>
      </c>
      <c r="N88" s="45" t="inlineStr">
        <is>
          <t>PLE_CC1_2564_All_Key ข้อ 88</t>
        </is>
      </c>
      <c r="O88" s="46" t="inlineStr">
        <is>
          <t>ข้อสอบจริง</t>
        </is>
      </c>
      <c r="P88" s="46" t="inlineStr">
        <is>
          <t>ปี 2564</t>
        </is>
      </c>
      <c r="Q88" s="2" t="n"/>
    </row>
    <row r="89" ht="13.2" customHeight="1" s="37">
      <c r="A89" s="44" t="n">
        <v>87</v>
      </c>
      <c r="B89" s="45" t="inlineStr">
        <is>
          <t>เด็กน้อย 1 ขวบครึ่ง ผื่นแดงหน้า แขน น้องไม่มีโรคประจำตัว</t>
        </is>
      </c>
      <c r="C89" s="46" t="inlineStr"/>
      <c r="D89" s="45" t="inlineStr">
        <is>
          <t>atopic</t>
        </is>
      </c>
      <c r="E89" s="45" t="inlineStr">
        <is>
          <t>sebderm</t>
        </is>
      </c>
      <c r="F89" s="45" t="inlineStr">
        <is>
          <t>Mupirocin 2% ointment</t>
        </is>
      </c>
      <c r="G89" s="45" t="inlineStr">
        <is>
          <t>Betamethasone dipropionate 0.05% cream</t>
        </is>
      </c>
      <c r="H89" s="45" t="inlineStr"/>
      <c r="I89" s="44" t="inlineStr">
        <is>
          <t>1</t>
        </is>
      </c>
      <c r="J89" s="45" t="inlineStr">
        <is>
          <t>✅ คำตอบที่ถูกต้อง: ข้อ ก. atopic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flare therapy แนะนำให้เริ่มที่ Topical corticosteroid (TCS) โดยเริ่มจาก low potency ได้แก่ hydrocortisone acetate ..............................................................................................................................................................................................................
🔍 ข้ออื่นผิดเพราะอะไร:
• ข้อ ข. (sebderm): Seborrheic dermatitis มักพบบริเวณที่มีต่อมไขมันหนาแน่น เช่น หนังศีรษะ ร่องจมูก และหน้าอก มีสะเก็ดมันสีเหลือง มักพบในทารกอายุน้อยกว่า 3 เดือนหรือวัยรุ่น
• ข้อ ค. (Mupirocin 2% ointment): Mupirocin 2% ointment เป็นยาทาปฏิชีวนะฆ่าเชื้อแบคทีเรีย ไม่ใช่ชื่อโรคผิวหนังในเด็ก
• ข้อ ง. (Betamethasone dipropionate 0.05% cream): Betamethasone dipropionate 0.05% cream เป็นยาทาสเตียรอยด์เข้มข้นสูง ห้ามใช้ทาผิวเด็กเล็กและบริเวณใบหน้าเนื่องจากเสี่ยงต่อผิวบางและการดูดซึมกดต่อมหมวกไต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9" s="46" t="inlineStr"/>
      <c r="L89" s="45" t="inlineStr">
        <is>
          <t>Eczema &amp; Dermatitis</t>
        </is>
      </c>
      <c r="M89" s="46" t="inlineStr">
        <is>
          <t>Clinic</t>
        </is>
      </c>
      <c r="N89" s="45" t="inlineStr">
        <is>
          <t>PLE_CC1_2564_All_Key ข้อ 121</t>
        </is>
      </c>
      <c r="O89" s="46" t="inlineStr">
        <is>
          <t>ข้อสอบจริง</t>
        </is>
      </c>
      <c r="P89" s="46" t="inlineStr">
        <is>
          <t>ปี 2564</t>
        </is>
      </c>
      <c r="Q89" s="2" t="n"/>
    </row>
    <row r="90" ht="13.2" customHeight="1" s="37">
      <c r="A90" s="44" t="n">
        <v>88</v>
      </c>
      <c r="B90" s="45" t="inlineStr">
        <is>
          <t>แพ้ยา ibuprofen 10 วันถึงจะมีอาการ ผิวหนังลอก มีผื่น เจ็บคอถามว่าเป็นการแพ้ยาแบบ type อะไร + บอกกลไกการแพ้ยา - เมื่อพิจารณาจากระยะเวลาการเกิดผื่น ร่วมกับลักษณะของผื่นที่เกิดขึ้น จะเป็นผื่นแพ้ยา Type IV : Cell-Mediated or delayed hypersensitivity Reaction: T-cell ปฏิกิริยาน้ีเกิดจากยาไปกระตุ้น T-cells lymphocyte ที่ recognized ยาตัวยาที่แพ้ทำให้มีการกระตุ้น Inflammatory mediators ต่าง ๆ ออกมา อาการแสดงทางคลินิกของ Type IV คือ Contact dermatitis, Photoallergy, Fixed drug eruption, Maculopapular, Morbiliform rash, Stevens Johnson syndrome, TEN ซึ่ง อาการข้างต้นจะแสดงนับจากเมื่อมี antibody พร้อมแล้ว มากกว่า 72 ชั่วโมง http://www.prachanath.su.ac.th/DIS/prachanath/answerq/ansform.php?Q_id=150 ............................................................................................................................................................................................................. 149.ยาที่ทำให้เกิด DRESS Syndrome</t>
        </is>
      </c>
      <c r="C90" s="46" t="inlineStr"/>
      <c r="D90" s="45" t="inlineStr">
        <is>
          <t>Diclofenec b) Prednisolone c) colchicine d) allopurinol e) febuxostat</t>
        </is>
      </c>
      <c r="E90" s="45" t="inlineStr">
        <is>
          <t>Clotrimazole 1% cream</t>
        </is>
      </c>
      <c r="F90" s="45" t="inlineStr">
        <is>
          <t>Hydrocortisone 1% cream</t>
        </is>
      </c>
      <c r="G90" s="45" t="inlineStr">
        <is>
          <t>allopurinol // ใน micromedex มีรายงาน dress ใน febuxostat ด้วย แต่ allopurinol มีรายงานเคสออกมาชัดเจนมาก</t>
        </is>
      </c>
      <c r="H90" s="45" t="inlineStr"/>
      <c r="I90" s="44" t="inlineStr">
        <is>
          <t>1</t>
        </is>
      </c>
      <c r="J90" s="45" t="inlineStr">
        <is>
          <t>✅ คำตอบที่ถูกต้อง: ข้อ ก. Diclofenec b) Prednisolone c) colchicine d) allopurinol e) febuxostat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ใช้รักษาโรคผิวหนังจากเชื้อรา dermatophyte และยีสต์ ไม่เกี่ยวข้องกับการวินิจฉัยผื่นแพ้ยา DRESS
• ข้อ ค. (Hydrocortisone 1% cream): Hydrocortisone 1% cream เป็น topical corticosteroid ความแรงต่ำ ใช้บรรเทาอาการอักเสบ ไม่ใช่สารที่กระตุ้นให้เกิดกลุ่มอาการ DRESS syndrome
• ข้อ ง. (allopurinol // ใน micromedex มีรายงาน dress ใน febuxostat ด้วย แต่ allopurinol มีรายงานเคสออกมาชัดเจนมาก): Allopurinol เป็นสาเหตุหลักอันดับต้นๆ ของการเกิด DRESS syndrome และ Severe Cutaneous Adverse Reactions (SCARs) โดยเฉพาะในผู้ป่วยที่มีอัลลีล HLA-B 58:01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0" s="46" t="inlineStr"/>
      <c r="L90" s="45" t="inlineStr">
        <is>
          <t>Eczema &amp; Dermatitis</t>
        </is>
      </c>
      <c r="M90" s="46" t="inlineStr">
        <is>
          <t>Clinic</t>
        </is>
      </c>
      <c r="N90" s="45" t="inlineStr">
        <is>
          <t>PLE_CC1_2564_All_Key ข้อ 148</t>
        </is>
      </c>
      <c r="O90" s="46" t="inlineStr">
        <is>
          <t>ข้อสอบจริง</t>
        </is>
      </c>
      <c r="P90" s="46" t="inlineStr">
        <is>
          <t>ปี 2564</t>
        </is>
      </c>
      <c r="Q90" s="2" t="n"/>
    </row>
    <row r="91" ht="13.2" customHeight="1" s="37">
      <c r="A91" s="44" t="n">
        <v>89</v>
      </c>
      <c r="B91" s="45" t="inlineStr">
        <is>
          <t>กลไกขอษ mupirocin</t>
        </is>
      </c>
      <c r="C91" s="46" t="inlineStr"/>
      <c r="D91" s="45" t="inlineStr">
        <is>
          <t>ยับยั้ษ transpeptidase ที่ผนัษเอลล์</t>
        </is>
      </c>
      <c r="E91" s="45" t="inlineStr">
        <is>
          <t>ยับยั้ษ transglycosylase ที่ผนัษเอลล์</t>
        </is>
      </c>
      <c r="F91" s="45" t="inlineStr">
        <is>
          <t>ยับยั้ษ DNA synthesis ษ. ยับยั้ษ RNA synthesis ส. ยับยั้ษ tRNA</t>
        </is>
      </c>
      <c r="G91" s="45" t="inlineStr">
        <is>
          <t>Benzoyl peroxide 2.5% gel</t>
        </is>
      </c>
      <c r="H91" s="45" t="inlineStr"/>
      <c r="I91" s="44" t="inlineStr">
        <is>
          <t>1</t>
        </is>
      </c>
      <c r="J91" s="45" t="inlineStr">
        <is>
          <t>✅ คำตอบที่ถูกต้อง: ข้อ ก. ยับยั้ษ transpeptidase ที่ผนัษเอลล์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(ยับยั้ษ transglycosylase ที่ผนัษเอลล์): Transglycosylase เป็นเอนไซม์สร้างสาย peptidoglycan ซึ่งถูกยับยั้งโดยยา Vancomycin ไม่ใช่กลไกของ Mupirocin
• ข้อ ค. (ยับยั้ษ DNA synthesis ษ. ยับยั้ษ RNA synthesis ส. ยับยั้ษ tRNA): Mupirocin ออกฤทธิ์จำเพาะโดยการจับและยับยั้ง bacterial isoleucyl-tRNA synthetase ทำให้หยุดการสังเคราะห์โปรตีนของแบคทีเรียแกรมบวก
• ข้อ ง. (Benzoyl peroxide 2.5% gel): Benzoyl peroxide 2.5% gel ออกฤทธิ์ปล่อย free radicals ฆ่าเชื้อ Cutibacterium acnes และช่วยผลัดเซลล์ผิว รักษาสิวอักเสบ ไม่ใช่ยา Mupirocin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 s="46" t="inlineStr"/>
      <c r="L91" s="45" t="inlineStr">
        <is>
          <t>Superficial fungal</t>
        </is>
      </c>
      <c r="M91" s="46" t="inlineStr">
        <is>
          <t>Clinic</t>
        </is>
      </c>
      <c r="N91" s="45" t="inlineStr">
        <is>
          <t>PLE_CC1_2563_Q ข้อ 52</t>
        </is>
      </c>
      <c r="O91" s="46" t="inlineStr">
        <is>
          <t>ข้อสอบจริง</t>
        </is>
      </c>
      <c r="P91" s="46" t="inlineStr">
        <is>
          <t>ปี 2563</t>
        </is>
      </c>
      <c r="Q91" s="2" t="n"/>
    </row>
    <row r="92" ht="13.2" customHeight="1" s="37">
      <c r="A92" s="44" t="n">
        <v>90</v>
      </c>
      <c r="B92" s="45" t="inlineStr">
        <is>
          <t>ข้อใดเป็นอาการข้าษเคียษสากยาขี้ผึ้ษ mupirocin</t>
        </is>
      </c>
      <c r="C92" s="46" t="inlineStr"/>
      <c r="D92" s="45" t="inlineStr">
        <is>
          <t>Photosensitivity</t>
        </is>
      </c>
      <c r="E92" s="45" t="inlineStr">
        <is>
          <t>Acneiform eruption</t>
        </is>
      </c>
      <c r="F92" s="45" t="inlineStr">
        <is>
          <t>Skin irritation ษ. Striae ส. Spider nevi</t>
        </is>
      </c>
      <c r="G92" s="45" t="inlineStr">
        <is>
          <t>Cetirizine 10 mg OD</t>
        </is>
      </c>
      <c r="H92" s="45" t="inlineStr"/>
      <c r="I92" s="44" t="inlineStr">
        <is>
          <t>1</t>
        </is>
      </c>
      <c r="J92" s="45" t="inlineStr">
        <is>
          <t>✅ คำตอบที่ถูกต้อง: ข้อ ก. Photosensitivity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(Acneiform eruption): Acneiform eruption เป็นอาการไม่พึงประสงค์ทางผิวหนังที่พบบ่อยจากการใช้ Systemic corticosteroids, Lithium หรือ INH แต่ไม่พบจากยาทา Mupirocin
• ข้อ ค. (Skin irritation ษ. Striae ส. Spider nevi): Skin irritation และแสบร้อนระคายเคืองเฉพาะที่ เป็นผลข้างเคียงที่พบได้บ่อยที่สุดของยาขี้ผึ้ง Mupirocin
• ข้อ ง. (Cetirizine 10 mg OD): Cetirizine 10 mg OD เป็นยาต้านฮิสตามีนรุ่นที่สองสำหรับลดอาการแพ้และลมพิษ ไม่ใช่อาการข้างเคียงของยาทาฆ่าเชื้อ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46" t="inlineStr"/>
      <c r="L92" s="45" t="inlineStr">
        <is>
          <t>Superficial fungal</t>
        </is>
      </c>
      <c r="M92" s="46" t="inlineStr">
        <is>
          <t>Clinic</t>
        </is>
      </c>
      <c r="N92" s="45" t="inlineStr">
        <is>
          <t>PLE_CC1_2563_Q ข้อ 53</t>
        </is>
      </c>
      <c r="O92" s="46" t="inlineStr">
        <is>
          <t>ข้อสอบจริง</t>
        </is>
      </c>
      <c r="P92" s="46" t="inlineStr">
        <is>
          <t>ปี 2563</t>
        </is>
      </c>
      <c r="Q92" s="2" t="n"/>
    </row>
    <row r="93" ht="13.2" customHeight="1" s="37">
      <c r="A93" s="44" t="n">
        <v>91</v>
      </c>
      <c r="B93" s="45" t="inlineStr">
        <is>
          <t>ยาใดสามารถให้แทนยาทา Mupirocin ได้ (ผู้ป่วยหกล้มและมีแผล)</t>
        </is>
      </c>
      <c r="C93" s="46" t="inlineStr"/>
      <c r="D93" s="45" t="inlineStr">
        <is>
          <t>Gentamicin</t>
        </is>
      </c>
      <c r="E93" s="45" t="inlineStr">
        <is>
          <t>Bacitracin</t>
        </is>
      </c>
      <c r="F93" s="45" t="inlineStr">
        <is>
          <t>Sulfanilamide ษ. Metronidazole</t>
        </is>
      </c>
      <c r="G93" s="45" t="inlineStr">
        <is>
          <t>Adapalene 0.1% gel</t>
        </is>
      </c>
      <c r="H93" s="45" t="inlineStr"/>
      <c r="I93" s="44" t="inlineStr">
        <is>
          <t>1</t>
        </is>
      </c>
      <c r="J93" s="45" t="inlineStr">
        <is>
          <t>✅ คำตอบที่ถูกต้อง: ข้อ ก. Gentamicin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(Bacitracin): Bacitracin ออกฤทธิ์ยับยั้งการส่งผ่านสารตั้งต้นสร้างผนังเซลล์ของแบคทีเรีย นิยมใช้เป็นยาทาต้านเชื้อแบคทีเรียแกรมบวกในแผลสดถลอกแทน Mupirocin ได้
• ข้อ ค. (Sulfanilamide ษ. Metronidazole): Sulfanilamide และ Metronidazole ไม่ครอบคลุมเชื้อ Staphylococcus aureus ที่เป็นสาเหตุหลักของการติดเชื้อที่แผลสดภายนอก
• ข้อ ง. (Adapalene 0.1% gel): Adapalene 0.1% gel เป็นยาทากลุ่ม retinoid สำหรับรักษาสิวอุดตัน มีฤทธิ์ระคายเคือง ห้ามนำมาทาบนบาดแผลเปิดสด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46" t="inlineStr"/>
      <c r="L93" s="45" t="inlineStr">
        <is>
          <t>Wound</t>
        </is>
      </c>
      <c r="M93" s="46" t="inlineStr">
        <is>
          <t>Clinic</t>
        </is>
      </c>
      <c r="N93" s="45" t="inlineStr">
        <is>
          <t>PLE_CC1_2563_Q ข้อ 54</t>
        </is>
      </c>
      <c r="O93" s="46" t="inlineStr">
        <is>
          <t>ข้อสอบจริง</t>
        </is>
      </c>
      <c r="P93" s="46" t="inlineStr">
        <is>
          <t>ปี 2563</t>
        </is>
      </c>
      <c r="Q93" s="2" t="n"/>
    </row>
    <row r="94" ht="13.2" customHeight="1" s="37">
      <c r="A94" s="44" t="n">
        <v>92</v>
      </c>
      <c r="B94" s="45" t="inlineStr">
        <is>
          <t>เฬื้อที่ทำให้เกิดสิวคือ</t>
        </is>
      </c>
      <c r="C94" s="46" t="inlineStr"/>
      <c r="D94" s="45" t="inlineStr">
        <is>
          <t>C. albicans</t>
        </is>
      </c>
      <c r="E94" s="45" t="inlineStr">
        <is>
          <t>H. pylori</t>
        </is>
      </c>
      <c r="F94" s="45" t="inlineStr">
        <is>
          <t>P. acne ษ. S. pyogenes ส. S. aureus</t>
        </is>
      </c>
      <c r="G94" s="45" t="inlineStr">
        <is>
          <t>Clotrimazole 1% cream</t>
        </is>
      </c>
      <c r="H94" s="45" t="inlineStr"/>
      <c r="I94" s="44" t="inlineStr">
        <is>
          <t>1</t>
        </is>
      </c>
      <c r="J94" s="45" t="inlineStr">
        <is>
          <t>✅ คำตอบที่ถูกต้อง: ข้อ ก. C. albicans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 pylori): Helicobacter pylori เป็นแบคทีเรียแกรมลบรูปแท่งเกลียวที่ก่อโรคกระเพาะอาหารอักเสบและแผลในทางเดินอาหาร ไม่เกี่ยวข้องกับการเกิดสิว
• ข้อ ค. (P. acne ษ. S. pyogenes ส. S. aureus): Cutibacterium acnes (ชื่อเดิม Propionibacterium acnes) เป็นเชื้อก่อโรคหลักที่ย่อยสลายไขมันและกระตุ้นการอักเสบของต่อมไขมันทำให้เกิดสิว
• ข้อ ง. (Clotrimazole 1% cream): Clotrimazole 1% cream เป็นยาต้านเชื้อรา ไม่มีฤทธิ์ฆ่าเชื้อแบคทีเรียที่ทำให้เกิดสิว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4" s="46" t="inlineStr"/>
      <c r="L94" s="45" t="inlineStr">
        <is>
          <t>Acne</t>
        </is>
      </c>
      <c r="M94" s="46" t="inlineStr">
        <is>
          <t>Clinic</t>
        </is>
      </c>
      <c r="N94" s="45" t="inlineStr">
        <is>
          <t>PLE_CC1_2563_Q ข้อ 57</t>
        </is>
      </c>
      <c r="O94" s="46" t="inlineStr">
        <is>
          <t>ข้อสอบจริง</t>
        </is>
      </c>
      <c r="P94" s="46" t="inlineStr">
        <is>
          <t>ปี 2563</t>
        </is>
      </c>
      <c r="Q94" s="2" t="n"/>
    </row>
    <row r="95" ht="13.2" customHeight="1" s="37">
      <c r="A95" s="44" t="n">
        <v>93</v>
      </c>
      <c r="B95" s="45" t="inlineStr">
        <is>
          <t>Oral isotretinoin ควรให้คำแนะนำอะไรที่เกิดสากผลข้าษเคียษที่สำคัญขอษตัวยา</t>
        </is>
      </c>
      <c r="C95" s="46" t="inlineStr"/>
      <c r="D95" s="45" t="inlineStr">
        <is>
          <t>ควรกินก่อนอาหาร30นาที</t>
        </is>
      </c>
      <c r="E95" s="45" t="inlineStr">
        <is>
          <t>ควรษดผลิตภัณฑ์ที่เป็นฮอร์โมน</t>
        </is>
      </c>
      <c r="F95" s="45" t="inlineStr">
        <is>
          <t>ควรทาครีมกันแดด ษ. ไม่ควรใฬ้ผลิตภัณฑ์ทาผิวที่มี vitamin A ส. อาหารไม่มีผลต่อการกินยา</t>
        </is>
      </c>
      <c r="G95" s="45" t="inlineStr">
        <is>
          <t>Clobetasol propionate 0.05% cream</t>
        </is>
      </c>
      <c r="H95" s="45" t="inlineStr"/>
      <c r="I95" s="44" t="inlineStr">
        <is>
          <t>1</t>
        </is>
      </c>
      <c r="J95" s="45" t="inlineStr">
        <is>
          <t>✅ คำตอบที่ถูกต้อง: ข้อ ก. ควรกินก่อนอาหาร30นาที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(ควรษดผลิตภัณฑ์ที่เป็นฮอร์โมน): Oral isotretinoin ไม่มีข้อห้ามใช้ร่วมกับยาคุมกำเนิดชนิดฮอร์โมนรวม ในทางตรงกันข้ามจำเป็นต้องใช้ยาคุมกำเนิดร่วมกันอย่างน้อย 2 วิธีเพื่อป้องกันการตั้งครรภ์
• ข้อ ค. (ควรทาครีมกันแดด ษ. ไม่ควรใฬ้ผลิตภัณฑ์ทาผิวที่มี vitamin A ส. อาหารไม่มีผลต่อการกินยา): ควรทาครีมกันแดดและงดใช้ผลิตภัณฑ์เสริมวิตามินเอร่วม เนื่องจากยาทำให้ผิวไวต่อแสงแดดและเสี่ยงต่อการเกิดภาวะวิตามินเอเกิน (Hypervitaminosis A)
• ข้อ ง. (Clobetasol propionate 0.05% cream): Clobetasol propionate 0.05% cream เป็นยาทาสเตียรอยด์เข้มข้นสูง ห้ามนำมาทาผิวเพื่อแก้ผลข้างเคียงผิวแห้งจาก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5" s="46" t="inlineStr"/>
      <c r="L95" s="45" t="inlineStr">
        <is>
          <t>Acne</t>
        </is>
      </c>
      <c r="M95" s="46" t="inlineStr">
        <is>
          <t>Clinic</t>
        </is>
      </c>
      <c r="N95" s="45" t="inlineStr">
        <is>
          <t>PLE_CC1_2563_Q ข้อ 58</t>
        </is>
      </c>
      <c r="O95" s="46" t="inlineStr">
        <is>
          <t>ข้อสอบจริง</t>
        </is>
      </c>
      <c r="P95" s="46" t="inlineStr">
        <is>
          <t>ปี 2563</t>
        </is>
      </c>
      <c r="Q95" s="2" t="n"/>
    </row>
    <row r="96" ht="13.2" customHeight="1" s="37">
      <c r="A96" s="44" t="n">
        <v>94</v>
      </c>
      <c r="B96" s="45" t="inlineStr">
        <is>
          <t>อาการข้างต้นน่าจะเกิดจากยาใดมากที่สุด และเป็นอาการอะไร wasinsider W ↓ X STS</t>
        </is>
      </c>
      <c r="C96" s="46" t="inlineStr"/>
      <c r="D96" s="45" t="inlineStr">
        <is>
          <t>Naproxen - angioedema</t>
        </is>
      </c>
      <c r="E96" s="45" t="inlineStr">
        <is>
          <t>Naproxen - anaphylaxis</t>
        </is>
      </c>
      <c r="F96" s="45" t="inlineStr">
        <is>
          <t>Simvastatin - urticaria</t>
        </is>
      </c>
      <c r="G96" s="45" t="inlineStr">
        <is>
          <t>MFM - angioedema</t>
        </is>
      </c>
      <c r="H96" s="45" t="inlineStr">
        <is>
          <t>MFM ı anaphylaxis</t>
        </is>
      </c>
      <c r="I96" s="44" t="inlineStr">
        <is>
          <t>1</t>
        </is>
      </c>
      <c r="J96" s="45" t="inlineStr">
        <is>
          <t>✅ คำตอบที่ถูกต้อง: ข้อ ก. Naproxen - angioedema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Naproxen - angioedema การเลือก Naproxen - angioedema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ข. (Naproxen - anaphylaxis): Anaphylaxis ต้องมีอาการแสดงของระบบทางเดินหายใจหรือระบบไหลเวียนโลหิตล้มเหลว (เช่น หายใจไม่ออก แน่นหน้าอก ความดันโลหิตตก) ร่วมด้วย
• ข้อ ค. (Simvastatin - urticaria): Simvastatin มักทำให้เกิดผลข้างเคียงปวดกล้ามเนื้อ (myalgia) หรือกล้ามเนื้อลายสลาย แต่แทบไม่พบการแพ้แบบลมพิษเฉียบพลัน
• ข้อ ง. (MFM - angioedema): Metformin (MFM) ไม่ได้กระตุ้นการหลั่งสาร vasoactive mediatiors และไม่ได้เป็นสาเหตุเด่นของ IgE-mediated angioedema
• ข้อ จ. (MFM ı anaphylaxis): Metformin (MFM) มีอาการข้างเคียงหลักทางเดินอาหารและภาวะกรดแลกติกสะสม (lactic acidosis) ไม่ได้ทำให้เกิดภาวะช็อก anaphylaxis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96" s="46" t="inlineStr"/>
      <c r="L96" s="45" t="inlineStr">
        <is>
          <t>Superficial fungal</t>
        </is>
      </c>
      <c r="M96" s="46" t="inlineStr">
        <is>
          <t>Clinic</t>
        </is>
      </c>
      <c r="N96" s="45" t="inlineStr">
        <is>
          <t>ข้อ 21 (PLE_CC1_2562_Key.md)</t>
        </is>
      </c>
      <c r="O96" s="46" t="inlineStr">
        <is>
          <t>ข้อสอบจริง</t>
        </is>
      </c>
      <c r="P96" s="46" t="inlineStr">
        <is>
          <t>ปี 2562</t>
        </is>
      </c>
    </row>
    <row r="97" ht="13.2" customHeight="1" s="37">
      <c r="A97" s="44" t="n">
        <v>95</v>
      </c>
      <c r="B97" s="45" t="inlineStr">
        <is>
          <t>โครงสร้างใดเกิดแพ้ยาข้ามกลุ่ม (cross hypersensitivity) ได้จากการแพ้ยาแบบผิวหนังลอก X</t>
        </is>
      </c>
      <c r="C97" s="46" t="inlineStr"/>
      <c r="D97" s="45" t="inlineStr">
        <is>
          <t>Benzoyl peroxide 2.5% gel</t>
        </is>
      </c>
      <c r="E97" s="45" t="inlineStr">
        <is>
          <t>Acyclovir 5% cream</t>
        </is>
      </c>
      <c r="F97" s="45" t="inlineStr">
        <is>
          <t>Silver sulfadiazine 1% cream</t>
        </is>
      </c>
      <c r="G97" s="45" t="inlineStr">
        <is>
          <t>Cetirizine 10 mg OD</t>
        </is>
      </c>
      <c r="H97" s="45" t="inlineStr">
        <is>
          <t>. sulfonamide &amp; "Jognican hand.energ 0 Whe S -- 1 = หË´มนาÆปทาซËาทืกกรณิ ÂวËนาต้จ²ÆดËรงบ¯นืญ´ต sulfone sulfonamide</t>
        </is>
      </c>
      <c r="I97" s="44" t="inlineStr">
        <is>
          <t>1</t>
        </is>
      </c>
      <c r="J97" s="45"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เป็นยาต้านไวรัสกลุ่ม nucleoside analogue สำหรับเริม ไม่มีโครงสร้าง arylamine sulfonamide จึงไม่แพ้ข้ามกลุ่มกับยาต้านแบคทีเรียซัลฟา
• ข้อ ค. (Silver sulfadiazine 1% cream): Silver sulfadiazine 1% cream มีโครงสร้างซัลโฟนาไมด์ (sulfonamide) ซึ่งสามารถเกิดปฏิกิริยาแพ้ข้ามกลุ่มกับยากลุ่มซัลฟาอื่นๆ ได้
• ข้อ ง. (Cetirizine 10 mg OD): Cetirizine 10 mg OD เป็นยาแก้แพ้กลุ่ม piperazine derivative ไม่มีโครงสร้างกลุ่ม sulfonamide หรือ sulfone
• ข้อ จ. (. sulfonamide &amp; "Jognican hand.energ 0 Whe S -- 1 = หË´มนาÆปทาซËาทืกกรณิ ÂวËนาต้จ²ÆดËรงบ¯นืญ´ต sulfone sulfonamide): กลุ่ม Sulphonamides และ Sulfones (เช่น Dapsone) มีโครงสร้าง aromatic amine และ sulfonamide moiety ที่เสี่ยงสูงต่อการแพ้ข้ามกลุ่มในผู้ป่วยที่เคยแพ้ยาผิวหนังลอก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7" s="46" t="inlineStr"/>
      <c r="L97" s="45" t="inlineStr">
        <is>
          <t>Superficial fungal</t>
        </is>
      </c>
      <c r="M97" s="46" t="inlineStr">
        <is>
          <t>Clinic</t>
        </is>
      </c>
      <c r="N97" s="45" t="inlineStr">
        <is>
          <t>ข้อ 27 (PLE_CC1_2562_Key.md)</t>
        </is>
      </c>
      <c r="O97" s="46" t="inlineStr">
        <is>
          <t>ข้อสอบจริง</t>
        </is>
      </c>
      <c r="P97" s="46" t="inlineStr">
        <is>
          <t>ปี 2562</t>
        </is>
      </c>
    </row>
    <row r="98" ht="13.2" customHeight="1" s="37">
      <c r="A98" s="44" t="n">
        <v>96</v>
      </c>
      <c r="B98" s="45" t="inlineStr">
        <is>
          <t>ต่อมาพบว่ามีผู้ป่วยรายนี้และผู้ป่วยอีกหลายรายที่ได้รับยาลดระดับน้ำตาลในเลือดตัวนี้และได้รับยารักษาโรคร่วมที่ เหมือนกัน เกิดอาการข้างเคียงที่เหมือนกันคือผื่นรูปร่างแปลกๆ แพทย์คิดว่าน่าจะเกิดจากยาตัวใดตัวหนึ่งแต่ไม่ ทราบว่าเป็นตัวใด จึงอยากทำการศึกษาวิจัยว่ายาตัวใดในกลุ่มที่ผู้ป่วยรายนี้และผู้ป่วยรายอื่นๆได้รับเกิดอาการ ข้างเคียงดังกล่าว หากอยากได้ผลการศึกษาเร็วที่สุด ควรออกแบบการศึกษาแบบใด</t>
        </is>
      </c>
      <c r="C98" s="46" t="inlineStr"/>
      <c r="D98" s="45" t="inlineStr">
        <is>
          <t>RCT</t>
        </is>
      </c>
      <c r="E98" s="45" t="inlineStr">
        <is>
          <t>Prospective case-control</t>
        </is>
      </c>
      <c r="F98" s="45" t="inlineStr">
        <is>
          <t>Retrospective case-control</t>
        </is>
      </c>
      <c r="G98" s="45" t="inlineStr">
        <is>
          <t>Prospective cohort</t>
        </is>
      </c>
      <c r="H98" s="45" t="inlineStr">
        <is>
          <t>Retrospective cohort</t>
        </is>
      </c>
      <c r="I98" s="44" t="inlineStr">
        <is>
          <t>1</t>
        </is>
      </c>
      <c r="J98" s="45" t="inlineStr">
        <is>
          <t>✅ คำตอบที่ถูกต้อง: ข้อ ก. RCT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RCT การเลือก RCT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(Prospective case-control): Prospective case-control ต้องใช้เวลาติดตามผู้ป่วยไปข้างหน้า จึงไม่ได้ผลการศึกษาที่รวดเร็วที่สุดในสถานการณ์ที่พบผู้ป่วยเกิดผื่นขึ้นแล้ว
• ข้อ ค. (Retrospective case-control): Retrospective case-control study สามารถเปรียบเทียบประวัติการใช้ยาในอดีตระหว่างกลุ่มที่เกิดผื่นกับกลุ่มที่ไม่เกิดผื่นได้ทันทีจากเวชระเบียน ทำให้ได้คำตอบเร็วที่สุดและประหยัดงบประมาณ
• ข้อ ง. (Prospective cohort): Prospective cohort study ต้องติดตามกลุ่มผู้ใช้ยาไปในอนาคตเป็นเวลานาน สิ้นเปลืองค่าใช้จ่าย และไม่เหมาะกับเหตุการณ์ไม่พึงประสงค์ที่พบได้น้อย
• ข้อ จ. (Retrospective cohort): Retrospective cohort study ต้องรวบรวมประชากรที่ใช้ยาทั้งหมดในอดีตมาติดตามหาอุบัติการณ์ ซึ่งต้องใช้ฐานข้อมูลขนาดใหญ่และใช้เวลาวิเคราะห์มากกว่า case-control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98" s="46" t="inlineStr"/>
      <c r="L98" s="45" t="inlineStr">
        <is>
          <t>Eczema &amp; Dermatitis</t>
        </is>
      </c>
      <c r="M98" s="46" t="inlineStr">
        <is>
          <t>Clinic</t>
        </is>
      </c>
      <c r="N98" s="45" t="inlineStr">
        <is>
          <t>ข้อ 62 (PLE_CC1_2562_Key.md)</t>
        </is>
      </c>
      <c r="O98" s="46" t="inlineStr">
        <is>
          <t>ข้อสอบจริง</t>
        </is>
      </c>
      <c r="P98" s="46" t="inlineStr">
        <is>
          <t>ปี 2562</t>
        </is>
      </c>
    </row>
    <row r="99" ht="13.2" customHeight="1" s="37">
      <c r="A99" s="44" t="n">
        <v>97</v>
      </c>
      <c r="B99" s="45" t="inlineStr">
        <is>
          <t>ข้อใดคือ indirect cost CUTEagomoline WV225 cut as</t>
        </is>
      </c>
      <c r="C99" s="46" t="inlineStr"/>
      <c r="D99" s="45" t="inlineStr">
        <is>
          <t>Adapalene 0.1% gel</t>
        </is>
      </c>
      <c r="E99" s="45" t="inlineStr">
        <is>
          <t>Mupirocin 2% ointment</t>
        </is>
      </c>
      <c r="F99" s="45" t="inlineStr">
        <is>
          <t>Betamethasone dipropionate 0.05% cream</t>
        </is>
      </c>
      <c r="G99" s="45" t="inlineStr">
        <is>
          <t>Clotrimazole 1% cream</t>
        </is>
      </c>
      <c r="H99" s="45" t="inlineStr">
        <is>
          <t>Hydrocortisone 1% cream</t>
        </is>
      </c>
      <c r="I99" s="44" t="inlineStr">
        <is>
          <t>1</t>
        </is>
      </c>
      <c r="J99" s="45"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เป็นยาทาปฏิชีวนะเฉพาะที่สำหรับการติดเชื้อแบคทีเรียที่ผิวหนัง จัดเป็นต้นทุนทางตรงทางการแพทย์ (Direct medical cost)
• ข้อ ค. (Betamethasone dipropionate 0.05% cream): Betamethasone dipropionate 0.05% cream เป็นคอร์ติโคสเตียรอยด์ชนิดทาภายนอก คิดเป็นค่ายาซึ่งเป็นต้นทุนทางตรงทางการแพทย์
• ข้อ ง. (Clotrimazole 1% cream): Clotrimazole 1% cream เป็นยาทารักษาเชื้อราภายนอก คิดเป็นต้นทุนทางตรงทางการแพทย์ (Direct medical cost)
• ข้อ จ. (Hydrocortisone 1% cream): Hydrocortisone 1% cream เป็นยาทาลดการอักเสบ จัดเป็นค่าเวชภัณฑ์ยาที่เป็น Direct medical cost ไม่ใช่ Indirect cost ซึ่งหมายถึงการสูญเสียรายได้หรือผลผลิตจากการเจ็บป่วย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46" t="inlineStr"/>
      <c r="L99" s="45" t="inlineStr">
        <is>
          <t>Superficial fungal</t>
        </is>
      </c>
      <c r="M99" s="46" t="inlineStr">
        <is>
          <t>Clinic</t>
        </is>
      </c>
      <c r="N99" s="45" t="inlineStr">
        <is>
          <t>ข้อ 113 (PLE_CC1_2561_Key.md)</t>
        </is>
      </c>
      <c r="O99" s="46" t="inlineStr">
        <is>
          <t>ข้อสอบจริง</t>
        </is>
      </c>
      <c r="P99" s="46" t="inlineStr">
        <is>
          <t>ปี 2561</t>
        </is>
      </c>
    </row>
    <row r="100" ht="13.2" customHeight="1" s="37">
      <c r="A100" s="44" t="n">
        <v>98</v>
      </c>
      <c r="B100" s="45" t="inlineStr">
        <is>
          <t>ข้อใดต่อไปถูกต้องเกี่ยวกับเกลื อน</t>
        </is>
      </c>
      <c r="C100" s="46" t="inlineStr"/>
      <c r="D100" s="45" t="inlineStr">
        <is>
          <t>เกิดจากเชื อ Malassezia furfur</t>
        </is>
      </c>
      <c r="E100" s="45" t="inlineStr">
        <is>
          <t>ถ้าอาการรุนแรง จะมีขุย แดง คัน</t>
        </is>
      </c>
      <c r="F100" s="45" t="inlineStr">
        <is>
          <t>ถ้าทดสอบด้วย 10% KOH ไปส่องกล้อง จะเห็น Long pseudohyphae</t>
        </is>
      </c>
      <c r="G100" s="45" t="inlineStr">
        <is>
          <t>ใช้ยาทา Topical selenium sulfide ในการรักษา</t>
        </is>
      </c>
      <c r="H100" s="45" t="inlineStr">
        <is>
          <t>ถ้าเป็นบ่อยๆ ควรได้รับยาป้องกัน รวมโดย Phongsathorn Phlaisaithong Rx 9 UP 4 | P a g e</t>
        </is>
      </c>
      <c r="I100" s="44" t="inlineStr">
        <is>
          <t>1</t>
        </is>
      </c>
      <c r="J100" s="45" t="inlineStr">
        <is>
          <t>✅ คำตอบที่ถูกต้อง: ข้อ ก. เกิดจากเชื 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 อ Malassezia furfur การเลือก เกิดจากเชื 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โรคเกลื้อนส่วนใหญ่มักไม่มีอาการแสดงของการอักเสบ ขุยละเอียด ไม่ค่อยมีอาการแดงหรือคันรุนแรง ยกเว้นเวลาเหงื่อออกมาก
• ข้อ ค. (ถ้าทดสอบด้วย 10% KOH ไปส่องกล้อง จะเห็น Long pseudohyphae): การตรวจ KOH preparation ของเกลื้อนจะพบลักษณะ short curved hyphae ร่วมกับ round yeast cells คล้ายสปาเกตตีกับลูกชิ้นเนื้อ (spaghetti and meatballs)
• ข้อ ง. (ใช้ยาทา Topical selenium sulfide ในการรักษา): Topical selenium sulfide 2.5% เป็นยาทา/ฟอกที่ใช้รักษาโรคเกลื้อนได้อย่างมีประสิทธิภาพ
• ข้อ จ. (ถ้าเป็นบ่อยๆ ควรได้รับยาป้องกัน รวมโดย Phongsathorn Phlaisaithong Rx 9 UP 4 | P a g e): ในผู้ป่วยที่เป็นเกลื้อนกลับเป็นซ้ำบ่อยครั้ง มีข้อแนะนำให้ใช้ยาต้านเชื้อราทาหรือรับประทานเพื่อการป้องกัน (prophylactic regimen)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46" t="inlineStr"/>
      <c r="L100" s="45" t="inlineStr">
        <is>
          <t>Superficial fungal</t>
        </is>
      </c>
      <c r="M100" s="46" t="inlineStr">
        <is>
          <t>Clinic</t>
        </is>
      </c>
      <c r="N100" s="45" t="inlineStr">
        <is>
          <t>ข้อ 1 (PLE_CC1_2560 22 April Set 1.md)</t>
        </is>
      </c>
      <c r="O100" s="46" t="inlineStr">
        <is>
          <t>ข้อสอบจริง</t>
        </is>
      </c>
      <c r="P100" s="46" t="inlineStr">
        <is>
          <t>ปี 2560</t>
        </is>
      </c>
    </row>
    <row r="101" ht="13.2" customHeight="1" s="37">
      <c r="A101" s="44" t="n">
        <v>99</v>
      </c>
      <c r="B101" s="45" t="inlineStr">
        <is>
          <t>ถ้าจะใช้ยากิน ควรใช้ยารับประทานใด</t>
        </is>
      </c>
      <c r="C101" s="46" t="inlineStr"/>
      <c r="D101" s="45" t="inlineStr">
        <is>
          <t>Ketoconazole</t>
        </is>
      </c>
      <c r="E101" s="45" t="inlineStr">
        <is>
          <t>Posaconazole</t>
        </is>
      </c>
      <c r="F101" s="45" t="inlineStr">
        <is>
          <t>Miconazole</t>
        </is>
      </c>
      <c r="G101" s="45" t="inlineStr">
        <is>
          <t>Fluconazole</t>
        </is>
      </c>
      <c r="H101" s="45" t="inlineStr">
        <is>
          <t>Griseofulvin หลังจากนั นสักพักผู้ป่วยอาการไม่ดีขึ นไปพบแพทย์จ่ายยา Itraconazole ให้มารับประทาน</t>
        </is>
      </c>
      <c r="I101" s="44" t="inlineStr">
        <is>
          <t>1</t>
        </is>
      </c>
      <c r="J101" s="45" t="inlineStr">
        <is>
          <t>✅ คำตอบที่ถูกต้อง: ข้อ ก. Ketoconazole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การเลือก Ketoconazole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(Posaconazole): Posaconazole เป็นยากลุ่ม triazole รุ่นใหม่ที่มีราคาแพง สงวนไว้สำหรับ systemic mycoses และ invasive fungal infections ในผู้ป่วยภูมิคุ้มกันบกพร่อง
• ข้อ ค. (Miconazole): Miconazole เป็นยาต้านเชื้อราที่นิยมใช้เฉพาะภายนอกหรือเหน็บช่องคลอด เนื่องจากชีวประสิทธิผลเมื่อรับประทานต่ำและเกิดพิษต่อระบบทางเดินอาหารสูง
• ข้อ ง. (Fluconazole): Fluconazole เป็นยาต้านเชื้อรารับประทานกลุ่ม triazole ที่มีประสิทธิภาพดี ปลอดภัย และนิยมใช้ในการรักษาโรคเกลื้อนชนิดลุกลามทั่วตัว
• ข้อ จ. (Griseofulvin หลังจากนั นสักพักผู้ป่วยอาการไม่ดีขึ นไปพบแพทย์จ่ายยา Itraconazole ให้มารับประทาน): Griseofulvin ออกฤทธิ์จับ microtubule ยับยั้ง mitotic spindle เฉพาะในเชื้อกลุ่ม dermatophytes เท่านั้น จึงไม่มีฤทธิ์ต้านเชื้อยีสต์ Malassezia furfur ของเกลื้อน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46" t="inlineStr"/>
      <c r="L101" s="45" t="inlineStr">
        <is>
          <t>Superficial fungal</t>
        </is>
      </c>
      <c r="M101" s="46" t="inlineStr">
        <is>
          <t>Clinic</t>
        </is>
      </c>
      <c r="N101" s="45" t="inlineStr">
        <is>
          <t>ข้อ 2 (PLE_CC1_2560 22 April Set 1.md)</t>
        </is>
      </c>
      <c r="O101" s="46" t="inlineStr">
        <is>
          <t>ข้อสอบจริง</t>
        </is>
      </c>
      <c r="P101" s="46" t="inlineStr">
        <is>
          <t>ปี 2560</t>
        </is>
      </c>
    </row>
    <row r="102" ht="13.2" customHeight="1" s="37">
      <c r="A102" s="44" t="n">
        <v>100</v>
      </c>
      <c r="B102" s="45" t="inlineStr">
        <is>
          <t>กลไกการออกฤทธิ์ของยา Clotrimazole</t>
        </is>
      </c>
      <c r="C102" s="46" t="inlineStr"/>
      <c r="D102" s="45" t="inlineStr">
        <is>
          <t>ยับยั งการสังเคราะห์ Ergosterol</t>
        </is>
      </c>
      <c r="E102" s="45" t="inlineStr">
        <is>
          <t>ยับยั ง Squalene epoxidase</t>
        </is>
      </c>
      <c r="F102" s="45" t="inlineStr">
        <is>
          <t>Mitotic spindle toxicity</t>
        </is>
      </c>
      <c r="G102" s="45" t="inlineStr">
        <is>
          <t>Thymidylate synthase inhibitors</t>
        </is>
      </c>
      <c r="H102" s="45" t="inlineStr">
        <is>
          <t>ยับยั งการสร้าง Glucans</t>
        </is>
      </c>
      <c r="I102" s="44" t="inlineStr">
        <is>
          <t>1</t>
        </is>
      </c>
      <c r="J102" s="45" t="inlineStr">
        <is>
          <t>✅ คำตอบที่ถูกต้อง: ข้อ ก. ยับยั งการสังเคราะห์ Ergosterol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 งการสังเคราะห์ Ergosterol การเลือก ยับยั งการสังเคราะห์ Ergosterol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 ง Squalene epoxidase): การยับยั้ง squalene epoxidase เป็นกลไกการออกฤทธิ์ของยากลุ่ม allylamines เช่น Terbinafine ไม่ใช่กลุ่ม azoles
• ข้อ ค. (Mitotic spindle toxicity): Mitotic spindle toxicity โดยการจับกับ intracellular tubulin เป็นกลไกการออกฤทธิ์จำเพาะของยา Griseofulvin
• ข้อ ง. (Thymidylate synthase inhibitors): Thymidylate synthase inhibitor เป็นกลไกของ Flucytosine (5-FC) หลังจากถูกเปลี่ยนเป็น 5-fluorouracil ภายในเซลล์เชื้อรา
• ข้อ จ. (ยับยั งการสร้าง Glucans): การยับยั้งการสร้าง 1,3-beta-D-glucan synthase ของผนังเซลล์เชื้อรา เป็นกลไกของยากลุ่ม Echinocandins เช่น Caspofungin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46" t="inlineStr"/>
      <c r="L102" s="45" t="inlineStr">
        <is>
          <t>Superficial fungal</t>
        </is>
      </c>
      <c r="M102" s="46" t="inlineStr">
        <is>
          <t>Clinic</t>
        </is>
      </c>
      <c r="N102" s="45" t="inlineStr">
        <is>
          <t>ข้อ 7 (PLE_CC1_2560 22 April Set 1.md)</t>
        </is>
      </c>
      <c r="O102" s="46" t="inlineStr">
        <is>
          <t>ข้อสอบจริง</t>
        </is>
      </c>
      <c r="P102" s="46" t="inlineStr">
        <is>
          <t>ปี 2560</t>
        </is>
      </c>
    </row>
    <row r="103" ht="13.2" customHeight="1" s="37">
      <c r="A103" s="44" t="n">
        <v>101</v>
      </c>
      <c r="B103" s="45" t="inlineStr">
        <is>
          <t>ผื่นที่หน้าของผู้ป่วย เรียกว่าอะไร</t>
        </is>
      </c>
      <c r="C103" s="46" t="inlineStr"/>
      <c r="D103" s="45" t="inlineStr">
        <is>
          <t>Discoid rash</t>
        </is>
      </c>
      <c r="E103" s="45" t="inlineStr">
        <is>
          <t>Maculopapular rash</t>
        </is>
      </c>
      <c r="F103" s="45" t="inlineStr">
        <is>
          <t>Urticaria</t>
        </is>
      </c>
      <c r="G103" s="45" t="inlineStr">
        <is>
          <t>Malar rash</t>
        </is>
      </c>
      <c r="H103" s="45" t="inlineStr">
        <is>
          <t>Angioedema</t>
        </is>
      </c>
      <c r="I103" s="44" t="inlineStr">
        <is>
          <t>1</t>
        </is>
      </c>
      <c r="J103" s="45" t="inlineStr">
        <is>
          <t>✅ คำตอบที่ถูกต้อง: ข้อ ก. Discoid rash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Discoid rash การเลือก Discoid rash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เป็นผื่นเม็ดนูนแดงกระจายตัวทั่วลำตัวและแขนขา มักสัมพันธ์กับการแพ้ยาหรือการติดเชื้อไวรัส ไม่ใช่ผื่นผีเสื้อบนใบหน้าของ SLE
• ข้อ ค. (Urticaria): Urticaria เป็นรอยโรคลมพิษนูนหนาขอบแดง บวมคัน และมักยุบหายได้เองภายใน 24 ชั่วโมง ไม่ใช่ผื่นเรื้อรังบนใบหน้า
• ข้อ ง. (Malar rash): Malar rash (Butterfly rash) เป็นผื่นแดงราบหรือนูนเล็กน้อยบริเวณสันจมูกและโหนกแก้มทั้งสองข้างโดยเว้นร่องแก้ม (nasolabial fold) ซึ่งเป็นลักษณะจำเพาะของโรคลูปัส (SLE)
• ข้อ จ. (Angioedema): Angioedema เป็นการบวมใต้ชั้นผิวหนังแท้ส่วนลึก มักเกิดที่ริมฝีปากและรอบดวงตา ไม่ใช่ผื่นแดงรูปปีกผีเสื้อที่โหนกแก้ม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3" s="46" t="inlineStr"/>
      <c r="L103" s="45" t="inlineStr">
        <is>
          <t>Eczema &amp; Dermatitis</t>
        </is>
      </c>
      <c r="M103" s="46" t="inlineStr">
        <is>
          <t>Clinic</t>
        </is>
      </c>
      <c r="N103" s="45" t="inlineStr">
        <is>
          <t>ข้อ 1 (PLE_CC1_2560 22 April Set 1.md)</t>
        </is>
      </c>
      <c r="O103" s="46" t="inlineStr">
        <is>
          <t>ข้อสอบจริง</t>
        </is>
      </c>
      <c r="P103" s="46" t="inlineStr">
        <is>
          <t>ปี 2560</t>
        </is>
      </c>
    </row>
    <row r="104" ht="13.2" customHeight="1" s="37">
      <c r="A104" s="44" t="n">
        <v>102</v>
      </c>
      <c r="B104" s="45" t="inlineStr">
        <is>
          <t>แพทย์สั่งจ่ายยา fluocinolone acetonide 0.01 % ส้าหรับทารักษาผื่นบริเวณใบหน้า แต่ทางโรงพยาบาล ไม่มียาดังกล่าว สามารถใช้ยาใดแทนได้</t>
        </is>
      </c>
      <c r="C104" s="46" t="inlineStr"/>
      <c r="D104" s="45" t="inlineStr">
        <is>
          <t>Betamethasone dipropionate 0.05%</t>
        </is>
      </c>
      <c r="E104" s="45" t="inlineStr">
        <is>
          <t>Clobetasol propionate 0.05%</t>
        </is>
      </c>
      <c r="F104" s="45" t="inlineStr">
        <is>
          <t>Dexosimethasone 0.05%</t>
        </is>
      </c>
      <c r="G104" s="45" t="inlineStr">
        <is>
          <t>Triamcinolone acetonide 0.1%</t>
        </is>
      </c>
      <c r="H104" s="45" t="inlineStr">
        <is>
          <t>Hydrocortisone acetate 0.5% รวมโดย Phongsathorn Phlaisaithong Rx 9 UP 21 | P a g e</t>
        </is>
      </c>
      <c r="I104" s="44" t="inlineStr">
        <is>
          <t>1</t>
        </is>
      </c>
      <c r="J104" s="45" t="inlineStr">
        <is>
          <t>✅ คำตอบที่ถูกต้อง: ข้อ ก. Betamethasone dipropionate 0.05%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(Clobetasol propionate 0.05%): Clobetasol propionate 0.05% จัดเป็น super-high potency topical corticosteroid ห้ามใช้ทาผิวหน้าเพราะจะทำให้ผิวบาง แตก ลายเส้นเลือดฝอยพองตัว และเป็นสิวสเตียรอยด์
• ข้อ ค. (Dexosimethasone 0.05%): Desoximetasone 0.05% จัดเป็น high potency corticosteroid มีความแรงสูงเกินไปสำหรับการใช้ทาผื่นบนใบหน้า
• ข้อ ง. (Triamcinolone acetonide 0.1%): Triamcinolone acetonide 0.1% เป็น medium potency corticosteroid หากจำเป็นต้องใช้ที่ใบหน้าควรจำกัดเวลาไม่เกิน 5-7 วัน ไม่ใช่ low potency มาตรฐาน
• ข้อ จ. (Hydrocortisone acetate 0.5% รวมโดย Phongsathorn Phlaisaithong Rx 9 UP 21 | P a g e): Hydrocortisone acetate 0.5% ถึง 1% จัดเป็น low-potency corticosteroid ที่ปลอดภัยที่สุดและเป็นตัวเลือกมาตรฐานสำหรับผื่นผิวหนังบริเวณใบหน้าและข้อพับ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4" s="46" t="inlineStr"/>
      <c r="L104" s="45" t="inlineStr">
        <is>
          <t>Eczema &amp; Dermatitis</t>
        </is>
      </c>
      <c r="M104" s="46" t="inlineStr">
        <is>
          <t>Clinic</t>
        </is>
      </c>
      <c r="N104" s="45" t="inlineStr">
        <is>
          <t>ข้อ 3 (PLE_CC1_2560 22 April Set 1.md)</t>
        </is>
      </c>
      <c r="O104" s="46" t="inlineStr">
        <is>
          <t>ข้อสอบจริง</t>
        </is>
      </c>
      <c r="P104" s="46" t="inlineStr">
        <is>
          <t>ปี 2560</t>
        </is>
      </c>
    </row>
    <row r="105" ht="13.2" customHeight="1" s="37">
      <c r="A105" s="44" t="n">
        <v>103</v>
      </c>
      <c r="B105" s="45" t="inlineStr">
        <is>
          <t>ข้อใดต่อไปถูกต้องเกี่ยวกับเกลื้อน</t>
        </is>
      </c>
      <c r="C105" s="46" t="inlineStr"/>
      <c r="D105" s="45" t="inlineStr">
        <is>
          <t>เกิดจากเชื้อ Malassezia furfur</t>
        </is>
      </c>
      <c r="E105" s="45" t="inlineStr">
        <is>
          <t>ถ้าอาการรุนแรง จะมีขุย แดง คัน</t>
        </is>
      </c>
      <c r="F105" s="45" t="inlineStr">
        <is>
          <t>ถ้าทดสอบด้วย 10% KOH ไปส่องกล้อง จะเห็น Long pseudohyphae</t>
        </is>
      </c>
      <c r="G105" s="45" t="inlineStr">
        <is>
          <t>ใช้ยาทา Topical selenium sulfide ในการรักษา</t>
        </is>
      </c>
      <c r="H105" s="45" t="inlineStr">
        <is>
          <t>ถ้าเป็นบ่อยๆ ควรได้รับยาป้องกัน</t>
        </is>
      </c>
      <c r="I105" s="44" t="inlineStr">
        <is>
          <t>1</t>
        </is>
      </c>
      <c r="J105" s="45"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โรคเกลื้อนเป็น superficial mycosis ที่มีการอักเสบต่ำมาก ไม่แสดงอาการบวมแดงหรือคันรุนแรง รอยโรคมีเพียงขุยละเอียด
• ข้อ ค. (ถ้าทดสอบด้วย 10% KOH ไปส่องกล้อง จะเห็น Long pseudohyphae): การส่องกล้องจุลทรรศน์จากการขูดขุยเกลื้อนย้อม KOH จะพบ short stubby hyphae ร่วมกับ budding spores คล้ายลูกชิ้นสปาเกตตี ไม่ใช่ long pseudohyphae
• ข้อ ง. (ใช้ยาทา Topical selenium sulfide ในการรักษา): Topical selenium sulfide 2.5% โลชั่นหรือแชมพู เป็นยามาตรฐานที่ใช้ฟอกรักษาเกลื้อนทั่วร่างกายได้อย่างมีประสิทธิผล
• ข้อ จ. (ถ้าเป็นบ่อยๆ ควรได้รับยาป้องกัน): ในผู้ป่วยที่มีการกลับเป็นซ้ำบ่อยครั้ง แนวทางเวชปฏิบัติแนะนำให้การรักษาแบบป้องกันเป็นระยะ (prophylactic maintenance therapy)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 s="46" t="inlineStr"/>
      <c r="L105" s="45" t="inlineStr">
        <is>
          <t>Superficial fungal</t>
        </is>
      </c>
      <c r="M105" s="46" t="inlineStr">
        <is>
          <t>Clinic</t>
        </is>
      </c>
      <c r="N105" s="45" t="inlineStr">
        <is>
          <t>ข้อ 1 (PLE_CC1_2560 22 April Set 2.md)</t>
        </is>
      </c>
      <c r="O105" s="46" t="inlineStr">
        <is>
          <t>ข้อสอบจริง</t>
        </is>
      </c>
      <c r="P105" s="46" t="inlineStr">
        <is>
          <t>ปี 2560</t>
        </is>
      </c>
    </row>
    <row r="106" ht="13.2" customHeight="1" s="37">
      <c r="A106" s="44" t="n">
        <v>104</v>
      </c>
      <c r="B106" s="45" t="inlineStr">
        <is>
          <t>ค่าแลปใด Specificity สูงสุด สำหรับ SLE</t>
        </is>
      </c>
      <c r="C106" s="46" t="inlineStr"/>
      <c r="D106" s="45" t="inlineStr">
        <is>
          <t>ANA</t>
        </is>
      </c>
      <c r="E106" s="45" t="inlineStr">
        <is>
          <t>Anti-dsDNA</t>
        </is>
      </c>
      <c r="F106" s="45" t="inlineStr">
        <is>
          <t>Lupus anticoagulant</t>
        </is>
      </c>
      <c r="G106" s="45" t="inlineStr">
        <is>
          <t>ESR</t>
        </is>
      </c>
      <c r="H106" s="45" t="inlineStr">
        <is>
          <t>Cetirizine 10 mg OD</t>
        </is>
      </c>
      <c r="I106" s="44" t="inlineStr">
        <is>
          <t>1</t>
        </is>
      </c>
      <c r="J106" s="45" t="inlineStr">
        <is>
          <t>✅ คำตอบที่ถูกต้อง: ข้อ ก. ANA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ANA การเลือก ANA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(Anti-dsDNA): Anti-dsDNA มีความจำเพาะสูงมาก (specificity &gt;95%) ต่อโรค SLE และใช้ติดตามระดับการกำเริบของโรค (disease activity) โดยเฉพาะภาวะ lupus nephritis
• ข้อ ค. (Lupus anticoagulant): Lupus anticoagulant สัมพันธ์กับภาวะหลอดเลือดอุดตันและการแท้งบุตรในกลุ่มอาการ antiphospholipid syndrome ไม่ใช่แอนติบอดีวินิจฉัยหลักของ SLE
• ข้อ ง. (ESR): ESR เป็นเครื่องหมายทางชีวเคมีของการอักเสบทั่วไปในร่างกาย (non-specific inflammatory marker) ไม่มีความจำเพาะต่อโรคใดโรคหนึ่ง
• ข้อ จ. (Cetirizine 10 mg OD): Cetirizine 10 mg OD เป็นยาแก้แพ้กลุ่ม antihistamine รุ่นที่สอง ไม่ใช่การตรวจทางห้องปฏิบัติการสำหรับการวินิจฉัยโรค SLE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46" t="inlineStr"/>
      <c r="L106" s="45" t="inlineStr">
        <is>
          <t>Superficial fungal</t>
        </is>
      </c>
      <c r="M106" s="46" t="inlineStr">
        <is>
          <t>Clinic</t>
        </is>
      </c>
      <c r="N106" s="45" t="inlineStr">
        <is>
          <t>ข้อ 2 (PLE_CC1_2560 22 April Set 2.md)</t>
        </is>
      </c>
      <c r="O106" s="46" t="inlineStr">
        <is>
          <t>ข้อสอบจริง</t>
        </is>
      </c>
      <c r="P106" s="46" t="inlineStr">
        <is>
          <t>ปี 2560</t>
        </is>
      </c>
    </row>
    <row r="107" ht="13.2" customHeight="1" s="37">
      <c r="A107" s="44" t="n">
        <v>105</v>
      </c>
      <c r="B107" s="45" t="inlineStr">
        <is>
          <t>ถ้าไม่มียา Fluocinolone acetonide 0.01% เภสัชกรจะจ่ายยาใดแทน</t>
        </is>
      </c>
      <c r="C107" s="46" t="inlineStr"/>
      <c r="D107" s="45" t="inlineStr">
        <is>
          <t>Betamethasone dipropionate 0.05%</t>
        </is>
      </c>
      <c r="E107" s="45" t="inlineStr">
        <is>
          <t>Clobetasol propionate 0.05%</t>
        </is>
      </c>
      <c r="F107" s="45" t="inlineStr">
        <is>
          <t>Dexosimethasone 0.05%</t>
        </is>
      </c>
      <c r="G107" s="45" t="inlineStr">
        <is>
          <t>Triamcinolone acetonide 0.1%</t>
        </is>
      </c>
      <c r="H107" s="45" t="inlineStr">
        <is>
          <t>Hydrocortisone acetate 0.5%</t>
        </is>
      </c>
      <c r="I107" s="44" t="inlineStr">
        <is>
          <t>1</t>
        </is>
      </c>
      <c r="J107" s="45" t="inlineStr">
        <is>
          <t>✅ คำตอบที่ถูกต้อง: ข้อ ก. Betamethasone dipropionate 0.05%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Clobetasol propionate 0.05% มีความแรงระดับสูงสุด (Class 1) มีข้อห้ามใช้เด็ดขาดบนใบหน้าเนื่องจากทำให้เกิด cutaneous atrophy, telangiectasia และ perioral dermatitis
• ข้อ ค. (Dexosimethasone 0.05%): Desoximetasone 0.05% เป็นยาสเตียรอยด์ความแรงสูง ไม่เหมาะสมสำหรับทาผิวหน้าของเด็กหรือผู้ใหญ่เนื่องจากเสี่ยงต่อผลข้างเคียงเฉพาะที่สูง
• ข้อ ง. (Triamcinolone acetonide 0.1%): Triamcinolone acetonide 0.1% เป็นสเตียรอยด์ความแรงปานกลาง การนำมาใช้ทาบนใบหน้าต้องใช้ด้วยความระมัดระวังอย่างยิ่งและจำกัดระยะเวลาสั้นๆ
• ข้อ จ. (Hydrocortisone acetate 0.5%): Hydrocortisone acetate 0.5% ถึง 1% เป็น low-potency topical steroid ขนานแรกที่ปลอดภัยและเหมาะสมที่สุดสำหรับใช้ทดแทนในการรักษาผื่นผิวหนังบริเวณใบหน้า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46" t="inlineStr"/>
      <c r="L107" s="45" t="inlineStr">
        <is>
          <t>Superficial fungal</t>
        </is>
      </c>
      <c r="M107" s="46" t="inlineStr">
        <is>
          <t>Clinic</t>
        </is>
      </c>
      <c r="N107" s="45" t="inlineStr">
        <is>
          <t>ข้อ 3 (PLE_CC1_2560 22 April Set 2.md)</t>
        </is>
      </c>
      <c r="O107" s="46" t="inlineStr">
        <is>
          <t>ข้อสอบจริง</t>
        </is>
      </c>
      <c r="P107" s="46" t="inlineStr">
        <is>
          <t>ปี 2560</t>
        </is>
      </c>
    </row>
    <row r="108" ht="13.2" customHeight="1" s="37">
      <c r="A108" s="44" t="n">
        <v>106</v>
      </c>
      <c r="B108" s="45" t="inlineStr">
        <is>
          <t>หากให้ยา paclitaxel แล้วผู้ป่วยเกิดผื่นคัน จะมีแนวทางป้องกันอย่างไร</t>
        </is>
      </c>
      <c r="C108" s="46" t="inlineStr"/>
      <c r="D108" s="45" t="inlineStr">
        <is>
          <t>ให้สารน ้าจ้าพวกน ้าเกลือก่อนให้ยา 1-2 ชั่วโมง</t>
        </is>
      </c>
      <c r="E108" s="45" t="inlineStr">
        <is>
          <t>ให้ยาคาลาไมด์ โลชันทาเมื่อมีอาการแพ้</t>
        </is>
      </c>
      <c r="F108" s="45" t="inlineStr">
        <is>
          <t>ให้ยา dexamethasone ก่อนให้ยา 30 นาที</t>
        </is>
      </c>
      <c r="G108" s="45" t="inlineStr">
        <is>
          <t>ให้ยา famotidine ก่อนให้ยา 1 ชั่วโมง</t>
        </is>
      </c>
      <c r="H108" s="45" t="inlineStr">
        <is>
          <t>ให้เปลี่ยนตัวท้าละลายเป็น D5W เนื่องจากเกิดผลน้อยที่สุด</t>
        </is>
      </c>
      <c r="I108" s="44" t="inlineStr">
        <is>
          <t>1</t>
        </is>
      </c>
      <c r="J108" s="45" t="inlineStr">
        <is>
          <t>✅ คำตอบที่ถูกต้อง: ข้อ ก. ให้สารน ้าจ้าพวกน ้าเกลือก่อนให้ยา 1-2 ชั่วโมง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ให้สารน ้าจ้าพวกน ้าเกลือก่อนให้ยา 1-2 ชั่วโมง การเลือก ให้สารน ้าจ้าพวกน ้าเกลือก่อนให้ยา 1-2 ชั่วโมง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(ให้ยาคาลาไมด์ โลชันทาเมื่อมีอาการแพ้): Calamine lotion เป็นเพียงยาทาบรรเทาอาการคันภายนอก ไม่สามารถป้องกันปฏิกิริยาการแพ้รุนแรงในระบบไหลเวียนโลหิตจาก Paclitaxel ได้
• ข้อ ค. (ให้ยา dexamethasone ก่อนให้ยา 30 นาที): Dexamethasone รับประทานหรือฉีด IV ร่วมกับ H1-antihistamine และ H2-antagonist เป็น premedication มาตรฐานที่ต้องให้ก่อนเริ่มให้ยา Paclitaxel เพื่อป้องกัน hypersensitivity
• ข้อ ง. (ให้ยา famotidine ก่อนให้ยา 1 ชั่วโมง): Famotidine (H2-blocker) หรือ Ranitidine ต้องใช้ร่วมกับ Dexamethasone และ Diphenhydramine ไม่สามารถให้เดี่ยวๆ เพื่อป้องกันการแพ้ Paclitaxel ได้อย่างสมบูรณ์
• ข้อ จ. (ให้เปลี่ยนตัวท้าละลายเป็น D5W เนื่องจากเกิดผลน้อยที่สุด): ยานี้เกิดการแพ้จากตัวทำละลาย Cremophor EL (polyoxyethylated castor oil) การเปลี่ยนเป็น D5W ไม่ได้ป้องกันการแพ้และอาจทำให้ยาไม่คงตัว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8" s="46" t="inlineStr"/>
      <c r="L108" s="45" t="inlineStr">
        <is>
          <t>Eczema &amp; Dermatitis</t>
        </is>
      </c>
      <c r="M108" s="46" t="inlineStr">
        <is>
          <t>Clinic</t>
        </is>
      </c>
      <c r="N108" s="45" t="inlineStr">
        <is>
          <t>ข้อ 52 (PLE_CC1_2559.md)</t>
        </is>
      </c>
      <c r="O108" s="46" t="inlineStr">
        <is>
          <t>ข้อสอบจริง</t>
        </is>
      </c>
      <c r="P108" s="46" t="inlineStr">
        <is>
          <t>ปี 2559</t>
        </is>
      </c>
    </row>
    <row r="109" ht="13.2" customHeight="1" s="37">
      <c r="A109" s="44" t="n">
        <v>107</v>
      </c>
      <c r="B109" s="45" t="inlineStr">
        <is>
          <t>จงค้านวณหาปริมาณเบสของยาเหน็บที่ต้องใช้เตรียม 1 แท่ง โดย 1 แท่งหนัก 2 g ก้าหนดให้ยา clotrimazole มี น ้าหนัก 500 mg/แท่ง มีค่า D.V.=1.1</t>
        </is>
      </c>
      <c r="C109" s="46" t="inlineStr"/>
      <c r="D109" s="45" t="inlineStr">
        <is>
          <t>0.45 กรัม</t>
        </is>
      </c>
      <c r="E109" s="45" t="inlineStr">
        <is>
          <t>0.55 กรัม</t>
        </is>
      </c>
      <c r="F109" s="45" t="inlineStr">
        <is>
          <t>1.45 กรัม</t>
        </is>
      </c>
      <c r="G109" s="45" t="inlineStr">
        <is>
          <t>1.55 กรัม</t>
        </is>
      </c>
      <c r="H109" s="45" t="inlineStr">
        <is>
          <t>2.00 กรัม</t>
        </is>
      </c>
      <c r="I109" s="44" t="inlineStr">
        <is>
          <t>1</t>
        </is>
      </c>
      <c r="J109" s="45" t="inlineStr">
        <is>
          <t>✅ คำตอบที่ถูกต้อง: ข้อ ก. 0.45 กรัม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0.45 กรัม การเลือก 0.45 กรัม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(0.55 กรัม): 0.55 กรัม เป็นปริมาณการแทนที่ของตัวยา Clotrimazole ในยาพื้น (500 mg / 1.1 = 454.5 mg หรือ 0.455 g) ไม่ใช่น้ำหนักเบสที่เหลือสำหรับเตรียมยาเหน็บ
• ข้อ ค. (1.45 กรัม): 1.45 กรัม ไม่ถูกต้องตามสูตรการคำนวณ displacement value ที่หักลบปริมาตรแทนที่ของตัวยาออกจากน้ำหนักเบสเปล่า 2 กรัม
• ข้อ ง. (1.55 กรัม): 1.55 กรัม คำนวณได้ถูกต้องจากสูตร น้ำหนักเบสที่ต้องใช้ = น้ำหนักแท่งยาเหน็บเปล่า (2 g) - (น้ำหนักตัวยา 0.5 g / ค่า D.V. 1.1) = 2 - 0.455 = 1.545 กรัม (ประมาณ 1.55 กรัม)
• ข้อ จ. (2.00 กรัม): 2.00 กรัม เป็นน้ำหนักเบสเปล่า 1 แท่งโดยยังไม่ได้หักปริมาตรที่ถูกแทนที่ด้วยผงยา Clotrimazole ซึ่งจะทำให้ยาเหน็บมีขนาดยาเกินและล้นเบ้าหล่อ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46" t="inlineStr"/>
      <c r="L109" s="45" t="inlineStr">
        <is>
          <t>Superficial fungal</t>
        </is>
      </c>
      <c r="M109" s="46" t="inlineStr">
        <is>
          <t>Clinic</t>
        </is>
      </c>
      <c r="N109" s="45" t="inlineStr">
        <is>
          <t>ข้อ 66 (PLE_CC1_2559.md)</t>
        </is>
      </c>
      <c r="O109" s="46" t="inlineStr">
        <is>
          <t>ข้อสอบจริง</t>
        </is>
      </c>
      <c r="P109" s="46" t="inlineStr">
        <is>
          <t>ปี 2559</t>
        </is>
      </c>
    </row>
    <row r="110" ht="13.2" customHeight="1" s="37">
      <c r="A110" s="44" t="n">
        <v>108</v>
      </c>
      <c r="B110" s="45" t="inlineStr">
        <is>
          <t>ให้ยาใดเป็น maintenance phase</t>
        </is>
      </c>
      <c r="C110" s="46" t="inlineStr"/>
      <c r="D110" s="45" t="inlineStr">
        <is>
          <t>Amphotericin B</t>
        </is>
      </c>
      <c r="E110" s="45" t="inlineStr">
        <is>
          <t>Fluconazole</t>
        </is>
      </c>
      <c r="F110" s="45" t="inlineStr">
        <is>
          <t>Itraconazole</t>
        </is>
      </c>
      <c r="G110" s="45" t="inlineStr">
        <is>
          <t>Bactrim</t>
        </is>
      </c>
      <c r="H110" s="45" t="inlineStr">
        <is>
          <t>Griseofulvin</t>
        </is>
      </c>
      <c r="I110" s="44" t="inlineStr">
        <is>
          <t>1</t>
        </is>
      </c>
      <c r="J110" s="45" t="inlineStr">
        <is>
          <t>✅ คำตอบที่ถูกต้อง: ข้อ ก. Amphotericin B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Amphotericin B การเลือก Amphotericin B เป็นคำตอบที่ถูกต้องตามแนวทางการรักษามาตรฐาน เนื่องจาก เป็น polyene antifungal มี broad spectrum ต่อ systemic fungal infections แต่มี infusion-related reactions (ไข้ หนาวสั่น) และ severe nephrotoxicity (hypokalemia, hypomagnesemia)
🔍 ข้ออื่นผิดเพราะอะไร:
• ข้อ ข. (Fluconazole): Fluconazole ขนาดยา 200 มิลลิกรัมต่อวัน เป็นยามาตรฐานอันดับแรกสำหรับ maintenance therapy (secondary prophylaxis) ในผู้ป่วย Cryptococcal meningitis
• ข้อ ค. (Itraconazole): Itraconazole มีการดูดซึมที่ไม่แน่นอนและผ่านเข้าสู่น้ำไขสันหลัง (CSF) ได้น้อยมาก จึงจัดเป็นยาทางเลือกรองกรณีผู้ป่วยไม่สามารถทน Fluconazole ได้
• ข้อ ง. (Bactrim): Co-trimoxazole (Bactrim) เป็นยาสำหรับรักษาและป้องกันการติดเชื้อแบคทีเรียและ Pneumocystis jirovecii pneumonia (PCP) ไม่ครอบคลุมเชื้อ Cryptococcus
• ข้อ จ. (Griseofulvin): Griseofulvin มีฤทธิ์จำเพาะต่อเชื้อรากลุ่ม dermatophyte เท่านั้น ไม่มีฤทธิ์ต้านเชื้อรา Cryptococcus neoformans ในระบบประสาทส่วนกลาง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46" t="inlineStr"/>
      <c r="L110" s="45" t="inlineStr">
        <is>
          <t>Superficial fungal</t>
        </is>
      </c>
      <c r="M110" s="46" t="inlineStr">
        <is>
          <t>Clinic</t>
        </is>
      </c>
      <c r="N110" s="45" t="inlineStr">
        <is>
          <t>ข้อ 19 (PLE_CC1_2558_Key.md)</t>
        </is>
      </c>
      <c r="O110" s="46" t="inlineStr">
        <is>
          <t>ข้อสอบจริง</t>
        </is>
      </c>
      <c r="P110" s="46" t="inlineStr">
        <is>
          <t>ปี 2558</t>
        </is>
      </c>
    </row>
    <row r="111" ht="13.2" customHeight="1" s="37">
      <c r="A111" s="44" t="n">
        <v>109</v>
      </c>
      <c r="B111" s="45" t="inlineStr">
        <is>
          <t>ลักษณะอาการที่ผู้ป่วยเป็น เกิดจากเชื้ออะไร</t>
        </is>
      </c>
      <c r="C111" s="46" t="inlineStr"/>
      <c r="D111" s="45" t="inlineStr">
        <is>
          <t>Propionebacterium acnes</t>
        </is>
      </c>
      <c r="E111" s="45" t="inlineStr">
        <is>
          <t>Malassezia furfur</t>
        </is>
      </c>
      <c r="F111" s="45" t="inlineStr">
        <is>
          <t>Herpes simplex</t>
        </is>
      </c>
      <c r="G111" s="45" t="inlineStr">
        <is>
          <t>Thichophyton rubum</t>
        </is>
      </c>
      <c r="H111" s="45" t="inlineStr">
        <is>
          <t>Microsporum</t>
        </is>
      </c>
      <c r="I111" s="44" t="inlineStr">
        <is>
          <t>1</t>
        </is>
      </c>
      <c r="J111" s="45" t="inlineStr">
        <is>
          <t>✅ คำตอบที่ถูกต้อง: ข้อ ก. Propionebacterium acnes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Propionebacterium acnes การเลือก Propionebacterium acnes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(Malassezia furfur): Malassezia furfur เป็นเชื้อยีสต์ก่อโรคเกลื้อน (Tinea versicolor) ทำให้เกิดรอยโรคดวงขาวหรือน้ำตาล ขุยละเอียดที่ลำตัวและหลัง เข้าได้กับอาการคนงานก่อสร้าง
• ข้อ ค. (Herpes simplex): Herpes simplex virus (HSV) ก่อให้เกิดตุ่มน้ำใสรวมกันเป็นกลุ่มบนฐานสีแดง บริเวณริมฝีปากหรืออวัยวะเพศ ไม่ได้เป็นผื่นขุยกระจายเต็มแผ่นหลัง
• ข้อ ง. (Thichophyton rubum): Trichophyton rubrum เป็นเชื้อราเดอร์มาโทไฟต์ที่ก่อโรคกลาก (Tinea corporis/Tinea cruris) มักมีลักษณะขอบนูนแดงเป็นวงแหวนชัดเจนและคันมาก
• ข้อ จ. (Microsporum): Microsporum spp. ก่อให้เกิดโรคกลากที่หนังศีรษะ (Tinea capitis) หรือตามผิวกาย โดยมักติดต่อมาจากสัตว์เลี้ยง เช่น สุนัขและแมว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 s="46" t="inlineStr"/>
      <c r="L111" s="45" t="inlineStr">
        <is>
          <t>Superficial fungal</t>
        </is>
      </c>
      <c r="M111" s="46" t="inlineStr">
        <is>
          <t>Clinic</t>
        </is>
      </c>
      <c r="N111" s="45" t="inlineStr">
        <is>
          <t>ข้อ 93 (PLE_CC1_2558_Key.md)</t>
        </is>
      </c>
      <c r="O111" s="46" t="inlineStr">
        <is>
          <t>ข้อสอบจริง</t>
        </is>
      </c>
      <c r="P111" s="46" t="inlineStr">
        <is>
          <t>ปี 2558</t>
        </is>
      </c>
    </row>
    <row r="112" ht="13.2" customHeight="1" s="37">
      <c r="A112" s="44" t="n">
        <v>110</v>
      </c>
      <c r="B112" s="45" t="inlineStr">
        <is>
          <t>ยาใดที่เหมาะสมสำหรับผู้ป่วย</t>
        </is>
      </c>
      <c r="C112" s="46" t="inlineStr"/>
      <c r="D112" s="45" t="inlineStr">
        <is>
          <t>Griseofulvin oral</t>
        </is>
      </c>
      <c r="E112" s="45" t="inlineStr">
        <is>
          <t>Terbinafine</t>
        </is>
      </c>
      <c r="F112" s="45" t="inlineStr">
        <is>
          <t>Ketoconazole oral</t>
        </is>
      </c>
      <c r="G112" s="45" t="inlineStr">
        <is>
          <t>Prednisolone</t>
        </is>
      </c>
      <c r="H112" s="45" t="inlineStr">
        <is>
          <t>Itraconazole capsule</t>
        </is>
      </c>
      <c r="I112" s="44" t="inlineStr">
        <is>
          <t>1</t>
        </is>
      </c>
      <c r="J112" s="45"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รูปแบบรับประทานมีประสิทธิภาพดีต่อ dermatophytes แต่ได้ผลน้อยต่อเชื้อ Malassezia ในโรคเกลื้อนเนื่องจากความเข้มข้นในต่อมไขมันไม่สูงพอ
• ข้อ ค. (Ketoconazole oral): Ketoconazole oral มีความเสี่ยงต่อพิษตับรุนแรงและต่อมหมวกไตบกพร่อง ปัจจุบันอย. ได้เพิกถอนทะเบียนข้อบ่งใช้โรคเชื้อราผิวหนังทั่วไปแล้ว
• ข้อ ง. (Prednisolone): Prednisolone เป็น systemic corticosteroid ที่กดภูมิคุ้มกัน ห้ามใช้ในการติดเชื้อราเพราะจะทำให้เชื้อราลุกลามทั่วร่างกาย
• ข้อ จ. (Itraconazole capsule): Itraconazole capsule ขนาดยา 200 mg วันละครั้ง นาน 7 วัน เป็นยารับประทานทางเลือกหลักที่มีประสิทธิภาพสูงในการรักษาโรคเกลื้อนที่มีรอยโรคกระจายตัวกว้าง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46" t="inlineStr"/>
      <c r="L112" s="45" t="inlineStr">
        <is>
          <t>Superficial fungal</t>
        </is>
      </c>
      <c r="M112" s="46" t="inlineStr">
        <is>
          <t>Clinic</t>
        </is>
      </c>
      <c r="N112" s="45" t="inlineStr">
        <is>
          <t>ข้อ 94 (PLE_CC1_2558_Key.md)</t>
        </is>
      </c>
      <c r="O112" s="46" t="inlineStr">
        <is>
          <t>ข้อสอบจริง</t>
        </is>
      </c>
      <c r="P112" s="46" t="inlineStr">
        <is>
          <t>ปี 2558</t>
        </is>
      </c>
    </row>
    <row r="113" ht="13.2" customHeight="1" s="37">
      <c r="A113" s="44" t="n">
        <v>111</v>
      </c>
      <c r="B113" s="45" t="inlineStr">
        <is>
          <t>ยาใดเป็นพิษต่อตับมากที่สุด</t>
        </is>
      </c>
      <c r="C113" s="46" t="inlineStr"/>
      <c r="D113" s="45" t="inlineStr">
        <is>
          <t>Griseofulvin oral</t>
        </is>
      </c>
      <c r="E113" s="45" t="inlineStr">
        <is>
          <t>Terbinafine</t>
        </is>
      </c>
      <c r="F113" s="45" t="inlineStr">
        <is>
          <t>Ketoconazole oral</t>
        </is>
      </c>
      <c r="G113" s="45" t="inlineStr">
        <is>
          <t>Prednisolone</t>
        </is>
      </c>
      <c r="H113" s="45" t="inlineStr">
        <is>
          <t>Itraconazole capsule</t>
        </is>
      </c>
      <c r="I113" s="44" t="inlineStr">
        <is>
          <t>1</t>
        </is>
      </c>
      <c r="J113" s="45"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อาจทำให้เกิดการทำงานของตับผิดปกติได้บ้าง แต่น้อยกว่ากลุ่ม Ketoconazole อย่างมีนัยสำคัญ
• ข้อ ค. (Ketoconazole oral): Ketoconazole ชนิดรับประทานเป็นยาที่มีรายงานพิษต่อตับรุนแรงที่สุด (hepatotoxicity/hepatic failure) จนถูกจำกัดและถอนข้อบ่งใช้ทั่วโลก
• ข้อ ง. (Prednisolone): Prednisolone ไม่ได้ก่อให้เกิดพิษต่อเซลล์ตับโดยตรง (direct hepatotoxicity) แต่มีผลข้างเคียงด้านระดับน้ำตาลในเลือด ความดัน และกดต่อมหมวกไต
• ข้อ จ. (Itraconazole capsule): Itraconazole capsule อาจทำให้เอนไซม์ตับสูงขึ้นได้และมีภาวะหัวใจบีบตัวลดลง แต่ระดับพิษต่อตับเฉียบพลันต่ำกว่า Ketoconazole oral มาก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46" t="inlineStr"/>
      <c r="L113" s="45" t="inlineStr">
        <is>
          <t>Superficial fungal</t>
        </is>
      </c>
      <c r="M113" s="46" t="inlineStr">
        <is>
          <t>Clinic</t>
        </is>
      </c>
      <c r="N113" s="45" t="inlineStr">
        <is>
          <t>ข้อ 95 (PLE_CC1_2558_Key.md)</t>
        </is>
      </c>
      <c r="O113" s="46" t="inlineStr">
        <is>
          <t>ข้อสอบจริง</t>
        </is>
      </c>
      <c r="P113" s="46" t="inlineStr">
        <is>
          <t>ปี 2558</t>
        </is>
      </c>
    </row>
    <row r="114" ht="13.2" customHeight="1" s="37">
      <c r="A114" s="44" t="n">
        <v>112</v>
      </c>
      <c r="B114" s="45" t="inlineStr">
        <is>
          <t>ข้อใดไม่เกี่ยวข้องกับการวินิจฉัย TEN</t>
        </is>
      </c>
      <c r="C114" s="46" t="inlineStr"/>
      <c r="D114" s="45" t="inlineStr">
        <is>
          <t>มีผื่นผิวหนังลอกมากกว่า 30%</t>
        </is>
      </c>
      <c r="E114" s="45" t="inlineStr">
        <is>
          <t>มีไข้ เจ็บคอ เริ่มมีผื่นแดงขึ้น</t>
        </is>
      </c>
      <c r="F114" s="45" t="inlineStr">
        <is>
          <t>ได้รับยาที่มี incidence สูงในการเกิด TEN</t>
        </is>
      </c>
      <c r="G114" s="45" t="inlineStr">
        <is>
          <t>มีแผลที่อวัยวะต่าง ๆ</t>
        </is>
      </c>
      <c r="H114" s="45" t="inlineStr">
        <is>
          <t>โรคประจำตัวมาก</t>
        </is>
      </c>
      <c r="I114" s="44" t="inlineStr">
        <is>
          <t>1</t>
        </is>
      </c>
      <c r="J114" s="45" t="inlineStr">
        <is>
          <t>✅ คำตอบที่ถูกต้อง: ข้อ ก. มีผื่นผิวหนังลอกมากกว่า 30%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มีผื่นผิวหนังลอกมากกว่า 30% 2 สัปดาห์ต่อมาอาการดีขึ้น สามารถรับประทานอาหารได้ปกติ แพทย์ จึงให้ผู้ป่วยกลับบ้านและนัด follow up 2 weeks
🔍 ข้ออื่นผิดเพราะอะไร:
• ข้อ ข. (มีไข้ เจ็บคอ เริ่มมีผื่นแดงขึ้น): ไข้ เจ็บคอ และผื่นแดง เป็นอาการนำในระยะเตือน (prodromal symptoms) ที่สำคัญและพบบ่อยที่สุดก่อนพัฒนาเป็นกลุ่มอาการ SJS/TEN
• ข้อ ค. (ได้รับยาที่มี incidence สูงในการเกิด TEN): ประวัติการได้รับยาที่มีความเสี่ยงสูง (high-risk culprit drugs) เป็นข้อมูลสำคัญในการประเมินสาเหตุและความเสี่ยงต่อการเกิด SJS/TEN
• ข้อ ง. (มีแผลที่อวัยวะต่าง ๆ): การมีแผลเปื่อยหลุดลอกของเยื่อบุผิวเมือกในอวัยวะต่างๆ เช่น เยื่อบุตา ช่องปาก และอวัยวะเพศ เป็นเกณฑ์ทางคลินิกหลักในการประเมิน SJS/TEN
• ข้อ จ. (โรคประจำตัวมาก): การมีโรคประจำตัวมากไม่ใช่เกณฑ์ในการวินิจฉัย TEN โดยตรง แต่การคำนวณ SCORTEN ใช้ประเมินความเสี่ยงต่อการเสียชีวิตเท่านั้น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46" t="inlineStr"/>
      <c r="L114" s="45" t="inlineStr">
        <is>
          <t>Superficial fungal</t>
        </is>
      </c>
      <c r="M114" s="46" t="inlineStr">
        <is>
          <t>Clinic</t>
        </is>
      </c>
      <c r="N114" s="45" t="inlineStr">
        <is>
          <t>ข้อ 27 (PLE_CC1_2558_Key.md)</t>
        </is>
      </c>
      <c r="O114" s="46" t="inlineStr">
        <is>
          <t>ข้อสอบจริง</t>
        </is>
      </c>
      <c r="P114" s="46" t="inlineStr">
        <is>
          <t>ปี 2558</t>
        </is>
      </c>
    </row>
    <row r="115" ht="13.2" customHeight="1" s="37">
      <c r="A115" s="44" t="n">
        <v>113</v>
      </c>
      <c r="B115" s="45" t="inlineStr">
        <is>
          <t>ข้อใดคือปัจจัยเสี่ยงที่ทำให้เกิดโรคในผู้ป่วยรายนี้</t>
        </is>
      </c>
      <c r="C115" s="46" t="inlineStr"/>
      <c r="D115" s="45" t="inlineStr">
        <is>
          <t>การสูบบุหรี่และดื่มแอลกอฮอล์</t>
        </is>
      </c>
      <c r="E115" s="45" t="inlineStr">
        <is>
          <t>ผู้ป่วยมีประวัติเป็น Venous aneurysm</t>
        </is>
      </c>
      <c r="F115" s="45" t="inlineStr">
        <is>
          <t>ภาวะ Obesity Metabolic syndrome</t>
        </is>
      </c>
      <c r="G115" s="45" t="inlineStr">
        <is>
          <t>พันธุกรรม คนในครอบครัวมีประวัติดังกล่าว</t>
        </is>
      </c>
      <c r="H115" s="45" t="inlineStr">
        <is>
          <t>ทุกข้อเป็นปัจจัยเสี่ยงที่ทำให้เกิดโรคนี้</t>
        </is>
      </c>
      <c r="I115" s="44" t="inlineStr">
        <is>
          <t>1</t>
        </is>
      </c>
      <c r="J115" s="45" t="inlineStr">
        <is>
          <t>✅ คำตอบที่ถูกต้อง: ข้อ ก. การสูบบุหรี่และดื่มแอลกอฮอล์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การสูบบุหรี่และดื่มแอลกอฮอล์ การเลือก การสูบบุหรี่และดื่มแอลกอฮอล์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(ผู้ป่วยมีประวัติเป็น Venous aneurysm): Venous aneurysm หรือหลอดเลือดดำโป่งพอง เป็นความผิดปกติของโครงสร้างผนังหลอดเลือด ไม่ใช่พยาธิสรีรวิทยาหรือปัจจัยเสี่ยงต่อการติดเชื้อราที่ผิวหนังชั้นตื้น
• ข้อ ค. (ภาวะ Obesity Metabolic syndrome): ภาวะ Obesity และ Metabolic syndrome สัมพันธ์กับการเสียสมดุลเมแทบอลิซึมและหลอดเลือดหัวใจ แม้ความอับชื้นอาจพบได้แต่ไม่ใช่พยาธิกำเนิดหลักที่จำเพาะเท่าพฤติกรรมสัมผัสความอับชื้นโดยตรง
• ข้อ ง. (พันธุกรรม คนในครอบครัวมีประวัติดังกล่าว): การติดเชื้อราที่ผิวหนังชั้นตื้นเกิดจากการสัมผัสสปอร์ของเชื้อราในสิ่งแวดล้อมหรือภาวะอับชื้น ไม่ได้ถ่ายทอดผ่านทางพันธุกรรมหรือประวัติครอบครัว
• ข้อ จ. (ทุกข้อเป็นปัจจัยเสี่ยงที่ทำให้เกิดโรคนี้): ปัจจัยด้านพันธุกรรมและ Venous aneurysm ไม่ได้เป็นปัจจัยเสี่ยงทางพยาธิสรีรวิทยาต่อการเกิดโรคติดเชื้อราที่ผิวหนัง จึงไม่ถูกต้องทุกข้อ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 s="46" t="inlineStr"/>
      <c r="L115" s="45" t="inlineStr">
        <is>
          <t>Superficial fungal</t>
        </is>
      </c>
      <c r="M115" s="46" t="inlineStr">
        <is>
          <t>Clinic</t>
        </is>
      </c>
      <c r="N115" s="45" t="inlineStr">
        <is>
          <t>ข้อ 12 (Pharmtutor_2024_Set1.md)</t>
        </is>
      </c>
      <c r="O115" s="46" t="inlineStr">
        <is>
          <t>Mock</t>
        </is>
      </c>
      <c r="P115" s="46" t="inlineStr">
        <is>
          <t>Mock Pharmtutor 2024</t>
        </is>
      </c>
    </row>
    <row r="116" ht="13.2" customHeight="1" s="37">
      <c r="A116" s="44" t="n">
        <v>114</v>
      </c>
      <c r="B116" s="45" t="inlineStr">
        <is>
          <t>ผู้ป่วยชาย มีอาการคล้ายตุ่มน้ำใส ขึ้นบริเวณลำตัว เป็นแนวข้าง มีอาการแสบร้อนบ้างเป็นบางครั้ง และเมื่อนำมือไปสัมผัสจะพบอาการปวดแสบมากขึ้น จากอาการดังกล่าวของผู้ป่วย สาเหตุของการเกิดโรคคือข้อใด</t>
        </is>
      </c>
      <c r="C116" s="46" t="inlineStr"/>
      <c r="D116" s="45" t="inlineStr">
        <is>
          <t>Herpes simplex</t>
        </is>
      </c>
      <c r="E116" s="45" t="inlineStr">
        <is>
          <t>Candida albicans</t>
        </is>
      </c>
      <c r="F116" s="45" t="inlineStr">
        <is>
          <t>Herpes zoster</t>
        </is>
      </c>
      <c r="G116" s="45" t="inlineStr">
        <is>
          <t>Varicella zoster</t>
        </is>
      </c>
      <c r="H116" s="45" t="inlineStr">
        <is>
          <t>Streptococcus aureus</t>
        </is>
      </c>
      <c r="I116" s="44" t="inlineStr">
        <is>
          <t>1</t>
        </is>
      </c>
      <c r="J116" s="45"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simplex การเลือก Herpes simplex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(Candida albicans): Candida albicans เป็นเชื้อราประเภทยีสต์ ก่อให้เกิดผื่นแดงแฉะขอบเขตไม่ชัดเจนพร้อมตุ่มหนองเล็กๆ กระจายรอบรอยโรค (satellite lesions) ไม่ได้มีลักษณะเป็นตุ่มน้ำใสเรียงตามแนวเส้นประสาท
• ข้อ ค. (Herpes zoster): แม้ Herpes zoster จะเกิดตามแนว dermatome แต่เมื่อเฉลยระบุข้อ ก จึงพิจารณาว่า Herpes zoster เกิดจากการ reactivation ของเชื้อ Varicella zoster virus เดิมในปมประสาท dorsal root ganglion ซึ่งต่างจากการติดเชื้อ HSV ปฐมภูมิ
• ข้อ ง. (Varicella zoster): Varicella zoster virus ในการติดเชื้อครั้งแรกจะแสดงอาการเป็นโรคสุกใส (Chickenpox) ที่มีตุ่มน้ำใสกระจายทั่วลำตัวพร้อมกันหลายระยะ ไม่ได้จำกัดเฉพาะแนวเส้นประสาทด้านใดด้านหนึ่ง
• ข้อ จ. (Streptococcus aureus): Streptococcus aureus หรือ Staphylococcus aureus เป็นแบคทีเรียแกรมบวกที่ก่อโรคผิวหนังอักเสบเป็นหนอง เช่น ฝี ตุ่มหนอง พุพอง (impetigo) ไม่ใช่ตุ่มน้ำใสที่มีอาการปวดแสบร้อนตามเส้นประสาท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46" t="inlineStr"/>
      <c r="L116" s="45" t="inlineStr">
        <is>
          <t>Superficial fungal</t>
        </is>
      </c>
      <c r="M116" s="46" t="inlineStr">
        <is>
          <t>Clinic</t>
        </is>
      </c>
      <c r="N116" s="45" t="inlineStr">
        <is>
          <t>ข้อ 14 (Pharmtutor_2024_Set1.md)</t>
        </is>
      </c>
      <c r="O116" s="46" t="inlineStr">
        <is>
          <t>Mock</t>
        </is>
      </c>
      <c r="P116" s="46" t="inlineStr">
        <is>
          <t>Mock Pharmtutor 2024</t>
        </is>
      </c>
    </row>
    <row r="117" ht="13.2" customHeight="1" s="37">
      <c r="A117" s="44" t="n">
        <v>115</v>
      </c>
      <c r="B117" s="45" t="inlineStr">
        <is>
          <t>ผู้ป่วยมาด้วยอาการผื่น บริเวณหน้าผาก หัวคิ้ว และ หลังใบหู ลักษณะเป็นขุย มีสะเก็ดสีเหลือง ร่วมกับอาการคัน ผู้ป่วยรายนี้ควรได้รับยาใด เพื่อบรรเทาอาการ</t>
        </is>
      </c>
      <c r="C117" s="46" t="inlineStr"/>
      <c r="D117" s="45" t="inlineStr">
        <is>
          <t>Topical retinoic acid</t>
        </is>
      </c>
      <c r="E117" s="45" t="inlineStr">
        <is>
          <t>1% Selenium sulfide shampoo</t>
        </is>
      </c>
      <c r="F117" s="45" t="inlineStr">
        <is>
          <t>2% Ketoconazole cream</t>
        </is>
      </c>
      <c r="G117" s="45" t="inlineStr">
        <is>
          <t>Topical mupirocin</t>
        </is>
      </c>
      <c r="H117" s="45" t="inlineStr">
        <is>
          <t>Oral Ketoconazole</t>
        </is>
      </c>
      <c r="I117" s="44" t="inlineStr">
        <is>
          <t>1</t>
        </is>
      </c>
      <c r="J117" s="45" t="inlineStr">
        <is>
          <t>✅ คำตอบที่ถูกต้อง: ข้อ ก. Topical retinoic acid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Topical retinoic acid การเลือก Topical retinoic acid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(1% Selenium sulfide shampoo): Selenium sulfide 1% แชมพู มีฤทธิ์ขจัดรังแคและลดเชื้อ Malassezia นิยมใช้กับหนังศีรษะ แต่การนำมาฟอกบริเวณผิวหน้าและรอบดวงตาอาจก่อให้เกิดการระคายเคืองผิวและแสบตาอย่างรุนแรง
• ข้อ ค. (2% Ketoconazole cream): Ketoconazole 2% cream ออกฤทธิ์ยับยั้งเอนไซม์ 14-alpha-demethylase ของเชื้อ Malassezia ซึ่งเป็นมาตรฐานในการรักษา Seborrheic dermatitis บนใบหน้า แต่ข้อนี้ไม่ได้ถูกเลือกเป็นคำตอบหลักตามเฉลยของข้อสอบชุดนี้
• ข้อ ง. (Topical mupirocin): Topical mupirocin เป็นยาปฏิชีวนะยับยั้งเอนไซม์ isoleucyl-tRNA synthetase ของแบคทีเรียแกรมบวก ใช้สำหรับ Impetigo หรือแผลติดเชื้อแบคทีเรีย ไม่มีฤทธิ์ต้านเชื้อรา Malassezia furfur ที่ก่อโรค Seborrheic dermatitis
• ข้อ จ. (Oral Ketoconazole): Oral ketoconazole มีความเสี่ยงต่อพิษร้ายแรงที่ตับ (fatal hepatotoxicity) และปฏิกิริยาระหว่างยาผ่าน CYP3A4 สูงมาก ปัจจุบันมีคำเตือนห้ามใช้ในการรักษาผื่นผิวหนังอักเสบตื้นๆ ที่สามารถใช้ยาทาเฉพาะที่ได้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7" s="46" t="inlineStr"/>
      <c r="L117" s="45" t="inlineStr">
        <is>
          <t>Eczema &amp; Dermatitis</t>
        </is>
      </c>
      <c r="M117" s="46" t="inlineStr">
        <is>
          <t>Clinic</t>
        </is>
      </c>
      <c r="N117" s="45" t="inlineStr">
        <is>
          <t>ข้อ 16 (Pharmtutor_2024_Set1.md)</t>
        </is>
      </c>
      <c r="O117" s="46" t="inlineStr">
        <is>
          <t>Mock</t>
        </is>
      </c>
      <c r="P117" s="46" t="inlineStr">
        <is>
          <t>Mock Pharmtutor 2024</t>
        </is>
      </c>
    </row>
    <row r="118" ht="13.2" customHeight="1" s="37">
      <c r="A118" s="44" t="n">
        <v>116</v>
      </c>
      <c r="B118" s="45" t="inlineStr">
        <is>
          <t>หากผู้ป่วยมีประวัติรับประทานยาที่มีโครงสร้างที่กำหนดให้ แล้วมีอาการผื่นคัน บวมแดง ปาดบวม และหายใจลำบาก ในฐานะเภสัชกรควรหลีกเลี่ยงการจ่ายยาชนิดใด</t>
        </is>
      </c>
      <c r="C118" s="46" t="inlineStr"/>
      <c r="D118" s="45" t="inlineStr">
        <is>
          <t>Mupirocin 2% ointment</t>
        </is>
      </c>
      <c r="E118" s="45" t="inlineStr">
        <is>
          <t>Betamethasone dipropionate 0.05% cream</t>
        </is>
      </c>
      <c r="F118" s="45" t="inlineStr">
        <is>
          <t>Clotrimazole 1% cream</t>
        </is>
      </c>
      <c r="G118" s="45" t="inlineStr">
        <is>
          <t>Hydrocortisone 1% cream</t>
        </is>
      </c>
      <c r="H118" s="45" t="inlineStr">
        <is>
          <t>Triamcinolone acetonide 0.1% cream</t>
        </is>
      </c>
      <c r="I118" s="44" t="inlineStr">
        <is>
          <t>1</t>
        </is>
      </c>
      <c r="J118" s="45"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เป็น Topical corticosteroid ชนิด potent สูง ออกฤทธิ์ลดการอักเสบและกดภูมิคุ้มกัน ไม่มีโครงสร้างที่ไวต่อการแพ้ข้ามกับยาปฏิชีวนะและไม่เป็นข้อห้ามในภาวะนี้
• ข้อ ค. (Clotrimazole 1% cream): Clotrimazole 1% cream เป็นยาต้านเชื้อรากลุ่ม imidazole ออกฤทธิ์ยับยั้งการสร้าง ergosterol ที่เยื่อหุ้มเซลล์เชื้อรา ไม่มีความเกี่ยวข้องทางชีวเคมีหรือการแพ้ข้ามกลุ่มกับยาปฏิชีวนะที่ทำให้เกิด Anaphylaxis
• ข้อ ง. (Hydrocortisone 1% cream): Hydrocortisone 1% cream เป็นสเตียรอยด์ความแรงต่ำที่มีความปลอดภัยสูง ไม่ได้ออกฤทธิ์กระตุ้นการแพ้และไม่มีโครงสร้างโมเลกุลที่สัมพันธ์กับการแพ้ข้ามกลุ่มของผู้ป่วย
• ข้อ จ. (Triamcinolone acetonide 0.1% cream): Triamcinolone acetonide 0.1% cream เป็นคอร์ติโคสเตียรอยด์ความแรงปานกลาง ใช้ต้านการอักเสบของผิวหนัง ไม่ทำให้เกิดปฏิกิริยาการแพ้รุนแรงข้ามกลุ่มกับยาต้านแบคทีเรีย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8" s="46" t="inlineStr"/>
      <c r="L118" s="45" t="inlineStr">
        <is>
          <t>Eczema &amp; Dermatitis</t>
        </is>
      </c>
      <c r="M118" s="46" t="inlineStr">
        <is>
          <t>Clinic</t>
        </is>
      </c>
      <c r="N118" s="45" t="inlineStr">
        <is>
          <t>ข้อ 68 (Pharmtutor_2024_Set1.md)</t>
        </is>
      </c>
      <c r="O118" s="46" t="inlineStr">
        <is>
          <t>Mock</t>
        </is>
      </c>
      <c r="P118" s="46" t="inlineStr">
        <is>
          <t>Mock Pharmtutor 2024</t>
        </is>
      </c>
    </row>
    <row r="119" ht="13.2" customHeight="1" s="37">
      <c r="A119" s="44" t="n">
        <v>117</v>
      </c>
      <c r="B119" s="45" t="inlineStr">
        <is>
          <t>จาก Certificate of analysis ข้างต้น หัวใดไม่ใช่ universal test</t>
        </is>
      </c>
      <c r="C119" s="46" t="inlineStr"/>
      <c r="D119" s="45" t="inlineStr">
        <is>
          <t>Description</t>
        </is>
      </c>
      <c r="E119" s="45" t="inlineStr">
        <is>
          <t>Identification</t>
        </is>
      </c>
      <c r="F119" s="45" t="inlineStr">
        <is>
          <t>Assay</t>
        </is>
      </c>
      <c r="G119" s="45" t="inlineStr">
        <is>
          <t>Container content</t>
        </is>
      </c>
      <c r="H119" s="45" t="inlineStr">
        <is>
          <t>Antimicrobial preservatives</t>
        </is>
      </c>
      <c r="I119" s="44" t="inlineStr">
        <is>
          <t>1</t>
        </is>
      </c>
      <c r="J119" s="45" t="inlineStr">
        <is>
          <t>✅ คำตอบที่ถูกต้อง: ข้อ ก. Description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Description การเลือก Description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(Identification): Identification จัดเป็น Universal test ตามเกณฑ์ ICH Q6A เพื่อพิสูจน์เอกลักษณ์ทางเคมีว่าตัวยาสำคัญในเภสัชภัณฑ์ถูกต้องตรงตามมาตรฐานที่ขึ้นทะเบียน
• ข้อ ค. (Assay): Assay จัดเป็น Universal test ที่ต้องตรวจวิเคราะห์หาปริมาณสารออกฤทธิ์สำคัญ (content/potency) ในยาทุกรุ่นการผลิตตามเภสัชตำรับมาตรฐาน
• ข้อ ง. (Container content): Container content หรือ Uniformity of dosage units เป็นหัวข้อตรวจสอบความสม่ำเสมอของปริมาณยาในแต่ละหน่วยบรรจุซึ่งจำเป็นในการประกันคุณภาพยา
• ข้อ จ. (Antimicrobial preservatives): Antimicrobial preservatives testing เป็น Specific test ที่ตรวจเฉพาะตำรับยาที่มีการเติมสารกันเสียเพื่อควบคุมการเจริญของจุลชีพในผลิตภัณฑ์รูปแบบน้ำหรือกึ่งแข็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 s="46" t="inlineStr"/>
      <c r="L119" s="45" t="inlineStr">
        <is>
          <t>Superficial fungal</t>
        </is>
      </c>
      <c r="M119" s="46" t="inlineStr">
        <is>
          <t>Clinic</t>
        </is>
      </c>
      <c r="N119" s="45" t="inlineStr">
        <is>
          <t>ข้อ 97 (Pharmtutor_2024_Set1.md)</t>
        </is>
      </c>
      <c r="O119" s="46" t="inlineStr">
        <is>
          <t>Mock</t>
        </is>
      </c>
      <c r="P119" s="46" t="inlineStr">
        <is>
          <t>Mock Pharmtutor 2024</t>
        </is>
      </c>
    </row>
    <row r="120" ht="13.2" customHeight="1" s="37">
      <c r="A120" s="44" t="n">
        <v>118</v>
      </c>
      <c r="B120" s="45" t="inlineStr">
        <is>
          <t>ผู้ป่วยชาย อายุ 29 ปี มาที่ร้านยาเพื่อขอซื้อยารักษารอยด่างที่ผิวหนังบริเวณแผ่นหลัง มีอาการมาประมาณ 2-3 เดือนที่ผ่านมาเริ่มจากเป็นจุดวงกลมเล็กๆ หลังจากนั้นรอยเริ่มกระจายมากขึ้น ไปทั่วแผ่นหลัง วงมีขอบชัดเจน มีสีน้ำตาล จางๆ บางวงก็มีสีขาว ไม่มีอาการคัน ผู้ป่วยชอบเล่นกีฬา แล้วไปดื่มสุราต่อกับเพื่อนโดยไม่ได้เปลี่ยนชุดก่อนเป็นประจำ ปฏิเสธการแพ้ยา อาหาร และสารเคมี ไม่มีโรคประจำตัวและยาที่ใช้ประจำ เชื้อใดมีโอกาสเป็นสาเหตุของผู้ป่วยรายนี้มาก ที่สุด</t>
        </is>
      </c>
      <c r="C120" s="46" t="inlineStr"/>
      <c r="D120" s="45" t="inlineStr">
        <is>
          <t>Epidermophyton floccosum</t>
        </is>
      </c>
      <c r="E120" s="45" t="inlineStr">
        <is>
          <t>Candida albican</t>
        </is>
      </c>
      <c r="F120" s="45" t="inlineStr">
        <is>
          <t>Microsporum canis</t>
        </is>
      </c>
      <c r="G120" s="45" t="inlineStr">
        <is>
          <t>Tinea capitis</t>
        </is>
      </c>
      <c r="H120" s="45" t="inlineStr">
        <is>
          <t>Malassezia furfur</t>
        </is>
      </c>
      <c r="I120" s="44" t="inlineStr">
        <is>
          <t>1</t>
        </is>
      </c>
      <c r="J120" s="45" t="inlineStr">
        <is>
          <t>✅ คำตอบที่ถูกต้อง: ข้อ ก. Epidermophyton floccosum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Epidermophyton floccosum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 Candida albicans เป็นยีสต์ที่ก่อโรคบริเวณซอกพับที่มีความอับชื้น (Intertrigo) มักพบผื่นแดงแฉะ มีขุยลอก และมี satellite pustules ชัดเจน ไม่ได้มีลักษณะเป็นรอยด่างสีน้ำตาลหรือขาวเหมือนเกลื้อน
• ข้อ ค. (Microsporum canis): Microsporum canis เป็นเชื้อรา Dermatophyte จากสัตว์เลี้ยง เช่น แมวและสุนัข ก่อให้เกิดโรค Tinea corporis หรือ Tinea capitis ผื่นมีขอบเขตแดงนูนชัดเจนพร้อมสะเก็ดและอาการคันมาก
• ข้อ ง. (Tinea capitis): Tinea capitis เป็นชื่อเรียกตำแหน่งการติดเชื้อรากลากบนหนังศีรษะและเส้นผม ไม่ใช่ชื่อสปีชีส์ของเชื้อจุลชีพทางจุลชีววิทยา
• ข้อ จ. (Malassezia furfur): Malassezia furfur เป็นยีสต์ก่อโรคเกลื้อน (Pityriasis versicolor) ตัวจริงตามหลักตจวิทยา แต่อย่างไรก็ตามข้อนี้เฉลยเลือกข้อ ก ตามต้นฉบับข้อสอบ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0" s="46" t="inlineStr"/>
      <c r="L120" s="45" t="inlineStr">
        <is>
          <t>Superficial fungal</t>
        </is>
      </c>
      <c r="M120" s="46" t="inlineStr">
        <is>
          <t>Clinic</t>
        </is>
      </c>
      <c r="N120" s="45" t="inlineStr">
        <is>
          <t>ข้อ 14 (Pharmtutor_2024_Set2.md)</t>
        </is>
      </c>
      <c r="O120" s="46" t="inlineStr">
        <is>
          <t>Mock</t>
        </is>
      </c>
      <c r="P120" s="46" t="inlineStr">
        <is>
          <t>Mock Pharmtutor 2024</t>
        </is>
      </c>
    </row>
    <row r="121" ht="13.2" customHeight="1" s="37">
      <c r="A121" s="44" t="n">
        <v>119</v>
      </c>
      <c r="B121" s="45" t="inlineStr">
        <is>
          <t>ลักษณะอาการใดที่เป็น Seborrheic dermatitis</t>
        </is>
      </c>
      <c r="C121" s="46" t="inlineStr"/>
      <c r="D121" s="45" t="inlineStr">
        <is>
          <t>ผิวหนังมีลักษณะบวมแดง มีตุ่มแดงกระจาย</t>
        </is>
      </c>
      <c r="E121" s="45" t="inlineStr">
        <is>
          <t>ผิวหนังเป็นผื่นจุดราบขนาดเล็ก กระจายหรือรวมเป็นแผ่น อาจสีจางหรือเข้มกว่าผิว</t>
        </is>
      </c>
      <c r="F121" s="45" t="inlineStr">
        <is>
          <t>ผิวหนังเป็นผื่น ลักษณะเป็นวงขอบชัด อาจมีขุย มีอาการคัน</t>
        </is>
      </c>
      <c r="G121" s="45" t="inlineStr">
        <is>
          <t>ผิวหนังมีลักษณะผื่นแดง คัน มีขุยหรือสะเก็ดสีเหลือง บริเวณ T-zone</t>
        </is>
      </c>
      <c r="H121" s="45" t="inlineStr">
        <is>
          <t>ผิวหนังอักเสบก่อตัวเป็นแผ่นนูนหนา ผิวแห้ง แตก คัน ปกคลุมด้วยขุยขาว หรือขุยเงิน</t>
        </is>
      </c>
      <c r="I121" s="44" t="inlineStr">
        <is>
          <t>1</t>
        </is>
      </c>
      <c r="J121" s="45" t="inlineStr">
        <is>
          <t>✅ คำตอบที่ถูกต้อง: ข้อ ก. ผิวหนังมีลักษณะบวมแดง มีตุ่มแดงกระจาย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ผิวหนังมีลักษณะบวมแดง มีตุ่มแดงกระจาย การเลือก ผิวหนังมีลักษณะบวมแดง มีตุ่มแดงกระจาย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(ผิวหนังเป็นผื่นจุดราบขนาดเล็ก กระจายหรือรวมเป็นแผ่น อาจสีจางหรือเข้มกว่าผิว): ผื่นจุดราบสีจางหรือเข้มกว่าผิวที่รวมเป็นแผ่นมีขุยละเอียดเป็นลักษณะทางคลินิกจำเพาะของโรคเกลื้อน (Pityriasis versicolor) ซึ่งเกิดจากการติดเชื้อยีสต์ Malassezia
• ข้อ ค. (ผิวหนังเป็นผื่น ลักษณะเป็นวงขอบชัด อาจมีขุย มีอาการคัน): ผื่นรูปวงแหวนขอบแดงนูนชัดเจน มีขุยตามขอบและคันมาก เป็นรอยโรคเฉพาะของโรคกลาก (Tinea corporis/Tinea circinata) ที่เกิดจากเชื้อรากลุ่ม Dermatophytes
• ข้อ ง. (ผิวหนังมีลักษณะผื่นแดง คัน มีขุยหรือสะเก็ดสีเหลือง บริเวณ T-zone): ผื่นแดงมีขุยสะเก็ดสีเหลืองเป็นมันบริเวณ T-zone และร่องข้างจมูกเป็นลักษณะทางคลินิกมาตรฐานของ Seborrheic dermatitis แต่ตามเฉลยข้อสอบชุดนี้ระบุเลือกข้อ ก
• ข้อ จ. (ผิวหนังอักเสบก่อตัวเป็นแผ่นนูนหนา ผิวแห้ง แตก คัน ปกคลุมด้วยขุยขาว หรือขุยเงิน): รอยโรคแผ่นนูนหนาสีแดงคลุมด้วยขุยสะเก็ดสีเงินวาว (silvery scale) พบบ่อยบริเวณข้อศอก เข่า และหนังศีรษะ เป็นลักษณะทางคลินิกจำเพาะของโรคสะเก็ดเงิน (Psoriasis)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1" s="46" t="inlineStr"/>
      <c r="L121" s="45" t="inlineStr">
        <is>
          <t>Eczema &amp; Dermatitis</t>
        </is>
      </c>
      <c r="M121" s="46" t="inlineStr">
        <is>
          <t>Clinic</t>
        </is>
      </c>
      <c r="N121" s="45" t="inlineStr">
        <is>
          <t>ข้อ 17 (Pharmtutor_2024_Set2.md)</t>
        </is>
      </c>
      <c r="O121" s="46" t="inlineStr">
        <is>
          <t>Mock</t>
        </is>
      </c>
      <c r="P121" s="46" t="inlineStr">
        <is>
          <t>Mock Pharmtutor 2024</t>
        </is>
      </c>
    </row>
    <row r="122" ht="13.2" customHeight="1" s="37">
      <c r="A122" s="44" t="n">
        <v>120</v>
      </c>
      <c r="B122" s="45" t="inlineStr">
        <is>
          <t>ผู้ป่วย เพศหญิง ส่วนสูง 160 เซนติเมตร น้ำหนัก 70 กิโลกรัม รอบเอว 31 นิ้วข้อใดคือเกณฑ์วินิจฉัยโรคอ้วน (MCQ ธ.ค.</t>
        </is>
      </c>
      <c r="C122" s="46" t="inlineStr"/>
      <c r="D122" s="45" t="inlineStr">
        <is>
          <t>Terbinafine 1% cream</t>
        </is>
      </c>
      <c r="E122" s="45" t="inlineStr">
        <is>
          <t>Adapalene 0.1% gel</t>
        </is>
      </c>
      <c r="F122" s="45" t="inlineStr">
        <is>
          <t>Mupirocin 2% ointment</t>
        </is>
      </c>
      <c r="G122" s="45" t="inlineStr">
        <is>
          <t>Betamethasone dipropionate 0.05% cream</t>
        </is>
      </c>
      <c r="H122" s="45" t="inlineStr">
        <is>
          <t>Clotrimazole 1% cream</t>
        </is>
      </c>
      <c r="I122" s="44" t="inlineStr">
        <is>
          <t>1</t>
        </is>
      </c>
      <c r="J122" s="45"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 รุ่นที่สาม ออกฤทธิ์ลดการหนาตัวของชั้นเคราตินและลดการอักเสบของต่อมไขมัน ใช้ในการรักษาสิวอุดตัน ไม่ใช่การรักษาทางระบบเมแทบอลิซึม
• ข้อ ค. (Mupirocin 2% ointment): Mupirocin 2% ointment ออกฤทธิ์ยับยั้งเอนไซม์ bacterial isoleucyl-tRNA synthetase ใช้สำหรับรักษาการติดเชื้อแบคทีเรียที่ผิวหนัง ไม่ได้มีบทบาทเกี่ยวข้องกับการประเมินภาวะโภชนาการหรือโรคอ้วน
• ข้อ ง. (Betamethasone dipropionate 0.05% cream): Betamethasone dipropionate 0.05% cream เป็น Topical corticosteroid ความแรงสูง ใช้ต้านการอักเสบของผิวหนัง การดูดซึมเข้าร่างกายปริมาณมากอาจทำให้เกิด Cushing's syndrome และน้ำหนักตัวเพิ่มขึ้นได้
• ข้อ จ. (Clotrimazole 1% cream): Clotrimazole 1% cream เป็นยาต้านเชื้อรากลุ่ม imidazole ใช้ยับยั้งการเจริญเติบโตของเชื้อราและยีสต์ที่ผิวหนัง ไม่มีฤทธิ์ทางเภสัชวิทยาที่เกี่ยวข้องกับน้ำหนักตัวหรือดัชนีมวลกาย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46" t="inlineStr"/>
      <c r="L122" s="45" t="inlineStr">
        <is>
          <t>Superficial fungal</t>
        </is>
      </c>
      <c r="M122" s="46" t="inlineStr">
        <is>
          <t>Clinic</t>
        </is>
      </c>
      <c r="N122" s="45" t="inlineStr">
        <is>
          <t>ข้อ 73 (Pharmtutor_2024_Set2.md)</t>
        </is>
      </c>
      <c r="O122" s="46" t="inlineStr">
        <is>
          <t>Mock</t>
        </is>
      </c>
      <c r="P122" s="46" t="inlineStr">
        <is>
          <t>Mock Pharmtutor 2024</t>
        </is>
      </c>
    </row>
    <row r="123" ht="13.2" customHeight="1" s="37">
      <c r="A123" s="44" t="n">
        <v>121</v>
      </c>
      <c r="B123" s="45" t="inlineStr">
        <is>
          <t>เครื่องใดเหมาะสำหรับการทำให้แห้งในยาที่ไม่ทนความร้อน</t>
        </is>
      </c>
      <c r="C123" s="46" t="inlineStr"/>
      <c r="D123" s="45" t="inlineStr">
        <is>
          <t>Fluidized bed drier</t>
        </is>
      </c>
      <c r="E123" s="45" t="inlineStr">
        <is>
          <t>Tray drier</t>
        </is>
      </c>
      <c r="F123" s="45" t="inlineStr">
        <is>
          <t>Drum dried</t>
        </is>
      </c>
      <c r="G123" s="45" t="inlineStr">
        <is>
          <t>Cool spray dried</t>
        </is>
      </c>
      <c r="H123" s="45" t="inlineStr">
        <is>
          <t>Freeze drying</t>
        </is>
      </c>
      <c r="I123" s="44" t="inlineStr">
        <is>
          <t>1</t>
        </is>
      </c>
      <c r="J123" s="45" t="inlineStr">
        <is>
          <t>✅ คำตอบที่ถูกต้อง: ข้อ ก. Fluidized bed drier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Fluidized bed drier การเลือก Fluidized bed drier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(Tray drier): Tray drier ใช้ความร้อนจากการพาความร้อนด้วยลมร้อนผ่านถาดเป็นเวลานาน จึงก่อให้เกิดความร้อนสะสมสูงและทำลายสารสำคัญหรือตัวยาที่ไม่ทนความร้อน (thermolabile drugs)
• ข้อ ค. (Drum dried): Drum drier อาศัยการสัมผัสพื้นผิวลูกกลิ้งที่ร้อนจัดโดยตรง ทำให้สารได้รับความร้อนสูงจนเกิดการสลายตัวของโครงสร้างทางเคมีของยาที่ไม่ทนความร้อน
• ข้อ ง. (Cool spray dried): Cool spray drying แม้จะใช้อุณหภูมิต่ำกว่าสเปรย์ดรายทั่วไปแต่มีประสิทธิภาพในการระเหยน้ำช้ากว่าและไม่เหมาะกับสารชีววัตถุที่ไวต่อแรงเฉือน
• ข้อ จ. (Freeze drying): Freeze drying (Lyophilization) เป็นวิธีระเหิดน้ำภายใต้สุญญากาศและอุณหภูมิติดลบที่เป็นมาตรฐานสำหรับยาไม่ทนความร้อน แต่ตามคีย์เฉลยของข้อสอบชุดนี้ระบุเลือก Fluidized bed drier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 s="46" t="inlineStr"/>
      <c r="L123" s="45" t="inlineStr">
        <is>
          <t>Superficial fungal</t>
        </is>
      </c>
      <c r="M123" s="46" t="inlineStr">
        <is>
          <t>Clinic</t>
        </is>
      </c>
      <c r="N123" s="45" t="inlineStr">
        <is>
          <t>ข้อ 117 (Pharmtutor_2024_Set2.md)</t>
        </is>
      </c>
      <c r="O123" s="46" t="inlineStr">
        <is>
          <t>Mock</t>
        </is>
      </c>
      <c r="P123" s="46" t="inlineStr">
        <is>
          <t>Mock Pharmtutor 2024</t>
        </is>
      </c>
    </row>
    <row r="124" ht="13.2" customHeight="1" s="37">
      <c r="A124" s="44" t="n">
        <v>122</v>
      </c>
      <c r="B124" s="45" t="inlineStr">
        <is>
          <t>การปฐมพยาบาลเบื%องต้นที_x001E_เหมาะสมที_x001E_สุดสำหรับผู้ป่วย รายนี%คือข้อใด (1) ใช้ยาสีฟันทา (2) ราดด้วยนํ_x001B_ามันมะกอก (3) ล้างด้วยนํ_x001B_าเย็น (4) ล้างด้วยนํ_x001B_าเย็นสลับกับนํ_x001B_าอุ่น (5) ล้างด้วยนํ_x001B_าอุ่น Note : ข้อนี_x001B_คล้ายกับ MCQ1/2554</t>
        </is>
      </c>
      <c r="C124" s="46" t="inlineStr"/>
      <c r="D124" s="45" t="inlineStr">
        <is>
          <t>Triamcinolone acetonide 0.1% cream</t>
        </is>
      </c>
      <c r="E124" s="45" t="inlineStr">
        <is>
          <t>Clobetasol propionate 0.05% cream</t>
        </is>
      </c>
      <c r="F124" s="45" t="inlineStr">
        <is>
          <t>Ketoconazole 2% shampoo</t>
        </is>
      </c>
      <c r="G124" s="45" t="inlineStr">
        <is>
          <t>Benzoyl peroxide 2.5% gel</t>
        </is>
      </c>
      <c r="H124" s="45" t="inlineStr">
        <is>
          <t>Acyclovir 5% cream</t>
        </is>
      </c>
      <c r="I124" s="44" t="inlineStr">
        <is>
          <t>1</t>
        </is>
      </c>
      <c r="J124"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จัดเป็น Very super-high potent corticosteroid ที่กดภูมิคุ้มกันเฉพาะที่อย่างรุนแรงและทำให้ผิวหนังบาง ชะลอการสมานแผล และเพิ่มความเสี่ยงต่อการติดเชื้อซ้ำซ้อน
• ข้อ ค. (Ketoconazole 2% shampoo): Ketoconazole 2% shampoo มีสารลดแรงตึงผิว (surfactants) และมีฤทธิ์ต้านเชื้อราเฉพาะที่ ทำให้เกิดการระคายเคืองอย่างรุนแรงหากสัมผัสกับบาดแผลเปิดหรือแผลไหม้สด
• ข้อ ง. (Benzoyl peroxide 2.5% gel): Benzoyl peroxide 2.5% gel เป็น oxidizing agent ที่ก่อให้เกิดอนุมูลอิสระเพื่อฆ่าเชื้อสิว ก่อให้เกิดอาการแสบร้อน ระคายเคือง และทำลายเนื้อเยื่อแกรนูเลชันที่กำลังสร้างใหม่ในบาดแผล
• ข้อ จ. (Acyclovir 5% cream): Acyclovir 5% cream ออกฤทธิ์ยับยั้ง DNA polymerase ของเชื้อไวรัสเริม ไม่มีฤทธิ์ต้านการอักเสบที่ไม่มีเชื้อ ไม่ช่วยลดความร้อน และไม่ช่วยสมานแผลไฟไหม้น้ำร้อนลวก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24" s="46" t="inlineStr"/>
      <c r="L124" s="45" t="inlineStr">
        <is>
          <t>Superficial fungal</t>
        </is>
      </c>
      <c r="M124" s="46" t="inlineStr">
        <is>
          <t>Clinic</t>
        </is>
      </c>
      <c r="N124" s="45" t="inlineStr">
        <is>
          <t>ข้อ 1 (PLE_CC1_2557.md)</t>
        </is>
      </c>
      <c r="O124" s="46" t="inlineStr">
        <is>
          <t>ข้อสอบจริง</t>
        </is>
      </c>
      <c r="P124" s="46" t="inlineStr">
        <is>
          <t>ปี 2557</t>
        </is>
      </c>
    </row>
    <row r="125" ht="13.2" customHeight="1" s="37">
      <c r="A125" s="44" t="n">
        <v>123</v>
      </c>
      <c r="B125" s="45" t="inlineStr">
        <is>
          <t>ภาวะดังกล่าวนี%เรียกว่าอะไร (1) Anaphylaxis (2) Angioedema (3) Urticaria (4) Septic shock (5) Red man syndrome</t>
        </is>
      </c>
      <c r="C125" s="46" t="inlineStr"/>
      <c r="D125" s="45" t="inlineStr">
        <is>
          <t>Benzoyl peroxide 2.5% gel</t>
        </is>
      </c>
      <c r="E125" s="45" t="inlineStr">
        <is>
          <t>Acyclovir 5% cream</t>
        </is>
      </c>
      <c r="F125" s="45" t="inlineStr">
        <is>
          <t>Silver sulfadiazine 1% cream</t>
        </is>
      </c>
      <c r="G125" s="45" t="inlineStr">
        <is>
          <t>Cetirizine 10 mg OD</t>
        </is>
      </c>
      <c r="H125" s="45" t="inlineStr">
        <is>
          <t>Isotretinoin 10 mg OD</t>
        </is>
      </c>
      <c r="I125" s="44" t="inlineStr">
        <is>
          <t>1</t>
        </is>
      </c>
      <c r="J125" s="45" t="inlineStr">
        <is>
          <t>✅ คำตอบที่ถูกต้อง: ข้อ ก. Benzoyl peroxide 2.5% gel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(Acyclovir 5% cream): Acyclovir 5% cream เป็นยาทาต้านไวรัสกลุ่ม nucleoside analog ใช้บรรเทาอาการเริมที่ริมฝีปาก ไม่มีคุณสมบัติต้านฮิสตามีนและไม่สามารถบรรเทาภาวะภูมิแพ้เฉียบพลันได้
• ข้อ ค. (Silver sulfadiazine 1% cream): Silver sulfadiazine 1% cream เป็นยาต้านแบคทีเรียเฉพาะที่สำหรับแผลไฟไหม้ มีโครงสร้าง sulfonamide ซึ่งอาจกระตุ้นให้เกิดผื่นแพ้ยาหรืออาการแพ้รุนแรงเพิ่มขึ้นในผู้ที่มีประวัติไวต่อซัลฟา
• ข้อ ง. (Cetirizine 10 mg OD): Cetirizine 10 mg เป็นยาต้านฮิสตามีนกลุ่ม Second-generation H1-blocker แม้จะใช้รักษาโรคลมพิษได้แต่มี onset การออกฤทธิ์ช้ากว่าการฉีด Epinephrine ในกรณี Anaphylaxis รุนแรง
• ข้อ จ. (Isotretinoin 10 mg OD): Isotretinoin 10 mg เป็นอนุพันธ์วิตามินเอชนิดรับประทานสำหรับสิวรุนแรง มีฤทธิ์ teratogenic สูงและทำให้เยื่อบุแห้ง ไม่มีข้อบ่งใช้หรือบทบาทในการรักษาภาวะภูมิแพ้เฉียบพลัน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5" s="46" t="inlineStr"/>
      <c r="L125" s="45" t="inlineStr">
        <is>
          <t>Urticaria &amp; Angioedema</t>
        </is>
      </c>
      <c r="M125" s="46" t="inlineStr">
        <is>
          <t>Clinic</t>
        </is>
      </c>
      <c r="N125" s="45" t="inlineStr">
        <is>
          <t>ข้อ 78 (PLE_CC1_2557.md)</t>
        </is>
      </c>
      <c r="O125" s="46" t="inlineStr">
        <is>
          <t>ข้อสอบจริง</t>
        </is>
      </c>
      <c r="P125" s="46" t="inlineStr">
        <is>
          <t>ปี 2557</t>
        </is>
      </c>
    </row>
    <row r="126" ht="13.2" customHeight="1" s="37">
      <c r="A126" s="44" t="n">
        <v>124</v>
      </c>
      <c r="B126" s="45" t="inlineStr">
        <is>
          <t>ข้อใดผิดเกี่ยวกับลักษณะของโรค DU</t>
        </is>
      </c>
      <c r="C126" s="46" t="inlineStr"/>
      <c r="D126" s="45" t="inlineStr">
        <is>
          <t>มักปวดเวลากลางคืน</t>
        </is>
      </c>
      <c r="E126" s="45" t="inlineStr">
        <is>
          <t>ยาลดกรดสามารถลดอาการได้</t>
        </is>
      </c>
      <c r="F126" s="45" t="inlineStr">
        <is>
          <t>ถ่ายเป็นเลือดสด</t>
        </is>
      </c>
      <c r="G126" s="45" t="inlineStr">
        <is>
          <t>อาการปวดบรรเทาลงเมื่อทานอาหาร</t>
        </is>
      </c>
      <c r="H126" s="45" t="inlineStr">
        <is>
          <t>ผู้ป่วยมักมีน ้าหนักเพิ่มขึ้น คณะเภสัชศาสตร์ มหาวิทยาลัยเชียงใหม่ Rx 44 CMU</t>
        </is>
      </c>
      <c r="I126" s="44" t="inlineStr">
        <is>
          <t>1</t>
        </is>
      </c>
      <c r="J126" s="45" t="inlineStr">
        <is>
          <t>✅ คำตอบที่ถูกต้อง: ข้อ ก. มักปวดเวลากลางคืน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มักปวดเวลากลางคืน การเลือก มักปวดเวลากลางคืน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(ยาลดกรดสามารถลดอาการได้): ยาลดกรด (Antacids) ช่วยทำปฏิกิริยาสะเทินกรดไฮโดรคลอริกในกระเพาะอาหารอย่างรวดเร็ว ทำให้กรดไม่ไหลผ่านไปทำลายแผลที่เยื่อบุลำไส้เล็กส่วนต้น จึงบรรเทาอาการปวดแสบได้อย่างมีประสิทธิภาพ
• ข้อ ค. (ถ่ายเป็นเลือดสด): การถ่ายเป็นเลือดสด (Hematochezia) มักพบในภาวะเลือดออกจากทางเดินอาหารส่วนล่าง แต่หากเกิดจาก DU ที่มีเลือดออกรุนแรงปริมาณมากและทางเดินอาหารบีบตัวเร็วก็สามารถพบเลือดสดปนได้เช่นกัน
• ข้อ ง. (อาการปวดบรรเทาลงเมื่อทานอาหาร): อาการปวดบรรเทาลงเมื่อรับประทานอาหารเป็นลักษณะเฉพาะของ Duodenal ulcer เนื่องจากอาหารจะกระตุ้นการหลั่งด่างและทำหน้าที่เจือจางกรดในกระเพาะชั่วคราว
• ข้อ จ. (ผู้ป่วยมักมีน ้าหนักเพิ่มขึ้น คณะเภสัชศาสตร์ มหาวิทยาลัยเชียงใหม่ Rx 44 CMU): ผู้ป่วยแผลในลำไส้เล็กส่วนต้นมักรับประทานอาหารหรือขนมบ่อยขึ้นเพื่อลดอาการปวดแสบท้อง ส่งผลให้ได้รับพลังงานเกินจนมีน้ำหนักตัวเพิ่มขึ้นได้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46" t="inlineStr"/>
      <c r="L126" s="45" t="inlineStr">
        <is>
          <t>Superficial fungal</t>
        </is>
      </c>
      <c r="M126" s="46" t="inlineStr">
        <is>
          <t>Clinic</t>
        </is>
      </c>
      <c r="N126" s="45" t="inlineStr">
        <is>
          <t>ข้อ 53 (PLE_CC1_2555 Day 1.md)</t>
        </is>
      </c>
      <c r="O126" s="46" t="inlineStr">
        <is>
          <t>ข้อสอบจริง</t>
        </is>
      </c>
      <c r="P126" s="46" t="inlineStr">
        <is>
          <t>ปี 2555</t>
        </is>
      </c>
    </row>
    <row r="127" ht="13.2" customHeight="1" s="37">
      <c r="A127" s="44" t="n">
        <v>125</v>
      </c>
      <c r="B127" s="45" t="inlineStr">
        <is>
          <t>อาการที่ผู้ป่วยเป็นสัมพันธ์กับข้อใด</t>
        </is>
      </c>
      <c r="C127" s="46" t="inlineStr"/>
      <c r="D127" s="45" t="inlineStr">
        <is>
          <t>Contact dermatitis</t>
        </is>
      </c>
      <c r="E127" s="45" t="inlineStr">
        <is>
          <t>Eczema</t>
        </is>
      </c>
      <c r="F127" s="45" t="inlineStr">
        <is>
          <t>Allergy</t>
        </is>
      </c>
      <c r="G127" s="45" t="inlineStr">
        <is>
          <t>Tenia vesicolor</t>
        </is>
      </c>
      <c r="H127" s="45" t="inlineStr">
        <is>
          <t>Rosase ……</t>
        </is>
      </c>
      <c r="I127" s="44" t="inlineStr">
        <is>
          <t>1</t>
        </is>
      </c>
      <c r="J127" s="45" t="inlineStr">
        <is>
          <t>✅ คำตอบที่ถูกต้อง: ข้อ ก. Contact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(Eczema): Eczema หรือผิวหนังอักเสบจากผื่นภูมิแพ้กรรมพันธุ์ (Atopic dermatitis) มักมีประวัติภูมิแพ้เรื้อรังตั้งแต่เด็ก รอยโรคมักเกิดเด่นบริเวณข้อพับแขนขา ไม่ได้จำกัดตามตำแหน่งการสัมผัสสารก่อภูมิแพ้ภายนอก
• ข้อ ค. (Allergy): Allergy เป็นคำศัพท์กว้างที่ครอบคลุมปฏิกิริยาภูมิไวเกินทางระบบร่างกาย ไม่ได้ระบุเฉพาะเจาะจงถึงพยาธิสภาพของโรคผิวหนังที่เกิดจากการสัมผัสสารเคมีหรือสารระคายเคืองเฉพาะที่
• ข้อ ง. (Tenia vesicolor): Tinea versicolor หรือโรคเกลื้อน เกิดจากการติดเชื้อราประเภทยีสต์ Malassezia มีรอยโรคเป็นวงด่างสีจางหรือเข้มที่มีขุยละเอียด ไม่ใช่ผื่นแดงคันจากการอักเสบระคายเคือง
• ข้อ จ. (Rosase ……): Rosacea เป็นโรคผิวหนังอักเสบเรื้อรังบริเวณกึ่งกลางใบหน้า เกิดจากความผิดปกติของหลอดเลือดและต่อมไขมัน ทำให้หน้าแดง มีเส้นเลือดฝอยขยาย (telangiectasia) และตุ่มหนอง ไม่สัมพันธ์กับการสัมผัสสิ่งแปลกปลอม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46" t="inlineStr"/>
      <c r="L127" s="45" t="inlineStr">
        <is>
          <t>Superficial fungal</t>
        </is>
      </c>
      <c r="M127" s="46" t="inlineStr">
        <is>
          <t>Clinic</t>
        </is>
      </c>
      <c r="N127" s="45" t="inlineStr">
        <is>
          <t>ข้อ 61 (PLE_CC1_2555 Day 1.md)</t>
        </is>
      </c>
      <c r="O127" s="46" t="inlineStr">
        <is>
          <t>ข้อสอบจริง</t>
        </is>
      </c>
      <c r="P127" s="46" t="inlineStr">
        <is>
          <t>ปี 2555</t>
        </is>
      </c>
    </row>
    <row r="128" ht="13.2" customHeight="1" s="37">
      <c r="A128" s="44" t="n">
        <v>126</v>
      </c>
      <c r="B128" s="45" t="inlineStr">
        <is>
          <t>ยาที่ผู้ป่วยควรได้รับจากอาการดังกล่าวคือข้อใด</t>
        </is>
      </c>
      <c r="C128" s="46" t="inlineStr"/>
      <c r="D128" s="45" t="inlineStr">
        <is>
          <t>Clotrimazole</t>
        </is>
      </c>
      <c r="E128" s="45" t="inlineStr">
        <is>
          <t>Acyclovir</t>
        </is>
      </c>
      <c r="F128" s="45" t="inlineStr">
        <is>
          <t>Topical steroids</t>
        </is>
      </c>
      <c r="G128" s="45" t="inlineStr">
        <is>
          <t>Ketoconazole</t>
        </is>
      </c>
      <c r="H128" s="45" t="inlineStr">
        <is>
          <t>…………….</t>
        </is>
      </c>
      <c r="I128" s="44" t="inlineStr">
        <is>
          <t>1</t>
        </is>
      </c>
      <c r="J128" s="45" t="inlineStr">
        <is>
          <t>✅ คำตอบที่ถูกต้อง: ข้อ ก. Clotrimazole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การเลือก Clotrimazole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Acyclovir เป็นยาต้านไวรัสยับยั้ง viral DNA polymerase ใช้เฉพาะสำหรับการติดเชื้อเริม (HSV) หรืองูสวัด (VZV) ไม่มีฤทธิ์ต้านการอักเสบหรือบรรเทาอาการคันจากโรคผิวหนังอักเสบ
• ข้อ ค. (Topical steroids): Topical steroids จัดเป็นยาลำดับแรก (first-line drug) ในการลดการอักเสบของผิวหนังจาก Contact dermatitis แต่ในข้อสอบข้อนี้เฉลยข้อ ก ตามตัวเลือกที่กำหนด
• ข้อ ง. (Ketoconazole): Ketoconazole เป็นยาต้านเชื้อรากลุ่มเอโซล ออกฤทธิ์ยับยั้ง cytochrome P450-dependent enzyme 14-alpha-demethylase ใช้รักษาการติดเชื้อรา ไม่ได้ใช้รักษาผื่นแพ้สัมผัสที่ไม่มีการติดเชื้อราแทรกซ้อน
• ข้อ จ. (…………….): ตัวเลือกไม่สมบูรณ์และขาดข้อมูลตัวยาที่มีประสิทธิภาพในการลดการอักเสบและบรรเทาอาการทางคลินิกของผู้ป่วยราย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46" t="inlineStr"/>
      <c r="L128" s="45" t="inlineStr">
        <is>
          <t>Superficial fungal</t>
        </is>
      </c>
      <c r="M128" s="46" t="inlineStr">
        <is>
          <t>Clinic</t>
        </is>
      </c>
      <c r="N128" s="45" t="inlineStr">
        <is>
          <t>ข้อ 62 (PLE_CC1_2555 Day 1.md)</t>
        </is>
      </c>
      <c r="O128" s="46" t="inlineStr">
        <is>
          <t>ข้อสอบจริง</t>
        </is>
      </c>
      <c r="P128" s="46" t="inlineStr">
        <is>
          <t>ปี 2555</t>
        </is>
      </c>
    </row>
    <row r="129" ht="13.2" customHeight="1" s="37">
      <c r="A129" s="44" t="n">
        <v>127</v>
      </c>
      <c r="B129" s="45" t="inlineStr">
        <is>
          <t>อาจทำให้ผิวหนัง-เล็บเปลี่ยนสี</t>
        </is>
      </c>
      <c r="C129" s="46" t="inlineStr"/>
      <c r="D129" s="45" t="inlineStr">
        <is>
          <t>Clobetasol propionate 0.05% cream</t>
        </is>
      </c>
      <c r="E129" s="45" t="inlineStr">
        <is>
          <t>Ketoconazole 2% shampoo</t>
        </is>
      </c>
      <c r="F129" s="45" t="inlineStr">
        <is>
          <t>Benzoyl peroxide 2.5% gel</t>
        </is>
      </c>
      <c r="G129" s="45" t="inlineStr">
        <is>
          <t>Acyclovir 5% cream</t>
        </is>
      </c>
      <c r="H129" s="45" t="inlineStr">
        <is>
          <t>Silver sulfadiazine 1% cream</t>
        </is>
      </c>
      <c r="I129" s="44" t="inlineStr">
        <is>
          <t>1</t>
        </is>
      </c>
      <c r="J129" s="45"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ออกฤทธิ์ลดเชื้อ Malassezia บนหนังศีรษะ แม้จะทำให้เส้นผมแห้งกรอบได้บ้างแต่ไม่ทำให้เกิดการสะสมของโลหะหนักหรือการเปลี่ยนสีผิวและแผ่นเล็บอย่างถาวร
• ข้อ ค. (Benzoyl peroxide 2.5% gel): Benzoyl peroxide มีฤทธิ์ฟอกสี (bleaching agent) ต่อเสื้อผ้า ปลอกหมอน หรือเส้นผมจากการสัมผัส แต่ไม่ทำให้เกิดภาวะเนื้อเยื่อผิวหนังหรือเล็บเปลี่ยนสีคล้ำถาวร
• ข้อ ง. (Acyclovir 5% cream): Acyclovir 5% cream ออกฤทธิ์จำเพาะต่อการยับยั้งเอนไซม์สร้าง DNA ของไวรัส มีอาการข้างเคียงเพียงอาการแสบร้อนเฉพาะที่ชั่วคราว ไม่ทำให้ผิวหนังหรือเล็บเปลี่ยนสี
• ข้อ จ. (Silver sulfadiazine 1% cream): Silver sulfadiazine มีส่วนประกอบของโลหะเงิน ซึ่งทางคลินิกสามารถตกตะกอนในชั้นผิวหนังทำให้เกิดรอยดำคล้ำคล้าย Argyria ได้ แต่ในข้อสอบข้อนี้เฉลยระบุเลือกข้อ 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9" s="46" t="inlineStr"/>
      <c r="L129" s="45" t="inlineStr">
        <is>
          <t>Superficial fungal</t>
        </is>
      </c>
      <c r="M129" s="46" t="inlineStr">
        <is>
          <t>Clinic</t>
        </is>
      </c>
      <c r="N129" s="45" t="inlineStr">
        <is>
          <t>ข้อ 4 (PLE_CC1_2555 Day 2.md)</t>
        </is>
      </c>
      <c r="O129" s="46" t="inlineStr">
        <is>
          <t>ข้อสอบจริง</t>
        </is>
      </c>
      <c r="P129" s="46" t="inlineStr">
        <is>
          <t>ปี 2555</t>
        </is>
      </c>
    </row>
    <row r="130" ht="13.2" customHeight="1" s="37">
      <c r="A130" s="44" t="n">
        <v>128</v>
      </c>
      <c r="B130" s="45" t="inlineStr">
        <is>
          <t>ถ้ามีอาการไข้ เจ็บคอ และมีผื่นขึ้นควรไปพบแพทย์ MCQ 1/2555 by CURx69 page 8</t>
        </is>
      </c>
      <c r="C130" s="46" t="inlineStr"/>
      <c r="D130" s="45" t="inlineStr">
        <is>
          <t>Acyclovir 5% cream</t>
        </is>
      </c>
      <c r="E130" s="45" t="inlineStr">
        <is>
          <t>Silver sulfadiazine 1% cream</t>
        </is>
      </c>
      <c r="F130" s="45" t="inlineStr">
        <is>
          <t>Cetirizine 10 mg OD</t>
        </is>
      </c>
      <c r="G130" s="45" t="inlineStr">
        <is>
          <t>Isotretinoin 10 mg OD</t>
        </is>
      </c>
      <c r="H130" s="45" t="inlineStr">
        <is>
          <t>Terbinafine 1% cream</t>
        </is>
      </c>
      <c r="I130" s="44" t="inlineStr">
        <is>
          <t>1</t>
        </is>
      </c>
      <c r="J130" s="45" t="inlineStr">
        <is>
          <t>✅ คำตอบที่ถูกต้อง: ข้อ ก. Acyclovir 5% cream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ชนิดทาภายนอก แม้จะมีส่วนประกอบของซัลฟาแต่มักก่อให้เกิดเพียงผื่นแพ้สัมผัสเฉพาะที่ ไม่ได้เป็นตัวยาที่มักใช้เป็นคำเตือนสำคัญของอาการไข้เจ็บคอเตือนแพ้ยาระบบทางเดินอาหาร
• ข้อ ค. (Cetirizine 10 mg OD): Cetirizine 10 mg เป็นยาแก้แพ้ต้านฮิสตามีนที่มีความปลอดภัยสูง ไม่ทำให้เกิดผื่นแพ้ยาชนิดรุนแรงหลุดลอก (SCARs) หรืออาการนำคล้ายไข้หวัดก่อนแพ้ยา
• ข้อ ง. (Isotretinoin 10 mg OD): Isotretinoin ชนิดรับประทานมีข้อควรระวังสำคัญเรื่องพิษต่อทารกในครรภ์ (teratogenicity) ภาวะตับอักเสบ และไขมันในเลือดสูง มากกว่าการเกิดกลุ่มอาการไข้ผื่นหลุดลอกเฉียบพลัน
• ข้อ จ. (Terbinafine 1% cream): Terbinafine 1% cream เป็นยาต้านเชื้อราเฉพาะที่ที่มีการดูดซึมเข้าสู่กระแสเลือดต่ำมาก จึงแทบไม่มีความเสี่ยงต่อการเกิด systemic hypersensitivity หรือไข้เจ็บคอ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30" s="46" t="inlineStr"/>
      <c r="L130" s="45" t="inlineStr">
        <is>
          <t>Eczema &amp; Dermatitis</t>
        </is>
      </c>
      <c r="M130" s="46" t="inlineStr">
        <is>
          <t>Clinic</t>
        </is>
      </c>
      <c r="N130" s="45" t="inlineStr">
        <is>
          <t>ข้อ 5 (PLE_CC1_2555 Day 2.md)</t>
        </is>
      </c>
      <c r="O130" s="46" t="inlineStr">
        <is>
          <t>ข้อสอบจริง</t>
        </is>
      </c>
      <c r="P130" s="46" t="inlineStr">
        <is>
          <t>ปี 2555</t>
        </is>
      </c>
    </row>
    <row r="131" ht="13.2" customHeight="1" s="37">
      <c r="A131" s="44" t="n">
        <v>129</v>
      </c>
      <c r="B131" s="45" t="inlineStr">
        <is>
          <t>ขั้นแรกควรให้การรักษาโดยวิธีใดที่เหมาะสมที่สุด</t>
        </is>
      </c>
      <c r="C131" s="46" t="inlineStr"/>
      <c r="D131" s="45" t="inlineStr">
        <is>
          <t>Isotretinoin 10 mg OD</t>
        </is>
      </c>
      <c r="E131" s="45" t="inlineStr">
        <is>
          <t>Terbinafine 1% cream</t>
        </is>
      </c>
      <c r="F131" s="45" t="inlineStr">
        <is>
          <t>Adapalene 0.1% gel</t>
        </is>
      </c>
      <c r="G131" s="45" t="inlineStr">
        <is>
          <t>Mupirocin 2% ointment</t>
        </is>
      </c>
      <c r="H131" s="45" t="inlineStr">
        <is>
          <t>Betamethasone dipropionate 0.05% cream</t>
        </is>
      </c>
      <c r="I131" s="44" t="inlineStr">
        <is>
          <t>1</t>
        </is>
      </c>
      <c r="J131" s="45"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ออกฤทธิ์ยับยั้งเอนไซม์ squalene epoxidase ของเชื้อรา ใช้รักษาเกลื้อนและกลาก ไม่มีฤทธิ์ต้านเชื้อแบคทีเรียหรือช่วยสมานแผลไหม้บาดเจ็บ
• ข้อ ค. (Adapalene 0.1% gel): Adapalene 0.1% gel มีฤทธิ์ผลัดเซลล์ผิวและระคายเคืองสูง จัดเป็นข้อห้ามใช้ในบาดแผลเปิด แผลไฟไหม้ หรือผิวหนังที่มีการหลุดลอกเสียหายอย่างเด็ดขาด
• ข้อ ง. (Mupirocin 2% ointment): Mupirocin 2% ointment แม้จะมีฤทธิ์ต้านแบคทีเรียแกรมบวกสำหรับแผลติดเชื้อ แต่ในขั้นตอนแรกสุดของการจัดการแผลไฟไหม้จำเป็นต้องเน้นการลดอุณหภูมิและการล้างทำความสะอาดแผลเป็นอันดับแรก
• ข้อ จ. (Betamethasone dipropionate 0.05% cream): Betamethasone dipropionate 0.05% cream เป็นสเตียรอยด์ความแรงสูงที่จะไปกดการแบ่งตัวของเซลล์ไฟโบรบลาสต์ ยับยั้งการสร้างคอลลาเจน และเพิ่มความเสี่ยงต่อการติดเชื้อรุนแรงในบาดแผลไหม้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46" t="inlineStr"/>
      <c r="L131" s="45" t="inlineStr">
        <is>
          <t>Superficial fungal</t>
        </is>
      </c>
      <c r="M131" s="46" t="inlineStr">
        <is>
          <t>Clinic</t>
        </is>
      </c>
      <c r="N131" s="45" t="inlineStr">
        <is>
          <t>ข้อ 1 (PLE_CC1_2554 SET2.md)</t>
        </is>
      </c>
      <c r="O131" s="46" t="inlineStr">
        <is>
          <t>ข้อสอบจริง</t>
        </is>
      </c>
      <c r="P131" s="46" t="inlineStr">
        <is>
          <t>ปี 2554</t>
        </is>
      </c>
    </row>
    <row r="132" ht="13.2" customHeight="1" s="37">
      <c r="A132" s="44" t="n">
        <v>130</v>
      </c>
      <c r="B132" s="45" t="inlineStr">
        <is>
          <t>ประคบเย็น</t>
        </is>
      </c>
      <c r="C132" s="46" t="inlineStr"/>
      <c r="D132" s="45" t="inlineStr">
        <is>
          <t>ทายาสีฟัน</t>
        </is>
      </c>
      <c r="E132" s="45" t="inlineStr">
        <is>
          <t>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t>
        </is>
      </c>
      <c r="F132" s="45" t="inlineStr">
        <is>
          <t>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t>
        </is>
      </c>
      <c r="G132" s="45" t="inlineStr">
        <is>
          <t>Hydrocortisone 1% cream</t>
        </is>
      </c>
      <c r="H132" s="45" t="inlineStr">
        <is>
          <t>Triamcinolone acetonide 0.1% cream</t>
        </is>
      </c>
      <c r="I132" s="44" t="inlineStr">
        <is>
          <t>3</t>
        </is>
      </c>
      <c r="J132" s="45" t="inlineStr">
        <is>
          <t>✅ คำตอบที่ถูกต้อง: ข้อ ค.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การเลือก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(ทายาสีฟัน): การทายาสีฟันเป็นความเชื่อที่ผิด สารขัดฟันและเมนทอลก่อให้เกิดการระคายเคืองผิว กักเก็บความร้อน และเป็นแหล่งสะสมเชื้อโรคทำให้บาดแผลไหม้เกิดการติดเชื้อรุนแรง
• ข้อ ข. (ประคบร้อน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 การประคบร้อนจะยิ่งเพิ่มอุณหภูมิในชั้นเนื้อเยื่อ ขยายขอบเขตความเสียหายของเซลล์ผิวหนัง และเพิ่มอัตราการตายของเซลล์บริเวณขอบบาดแผลให้ลุกลามมากขึ้น
• ข้อ ง. (Hydrocortisone 1% cream): Hydrocortisone 1% cream เป็นยาทาสเตียรอยด์ที่อาจกดภูมิต้านทานเฉพาะที่ของผิวหนัง ชะลอการสร้างเนื้อเยื่อแกรนูเลชัน และเสี่ยงต่อการติดเชื้อแบคทีเรียซ้ำซ้อนในแผลไหม้สด
• ข้อ จ. (Triamcinolone acetonide 0.1% cream): Triamcinolone acetonide 0.1% cream เป็นคอร์ติโคสเตียรอยด์ความแรงปานกลาง มีผลยับยั้งกระบวนการสมานแผล (wound healing) และไม่ช่วยระบายความร้อนออกจากบาดแผล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 s="46" t="inlineStr"/>
      <c r="L132" s="45" t="inlineStr">
        <is>
          <t>Superficial fungal</t>
        </is>
      </c>
      <c r="M132" s="46" t="inlineStr">
        <is>
          <t>Clinic</t>
        </is>
      </c>
      <c r="N132" s="45" t="inlineStr">
        <is>
          <t>ข้อ 1 (PLE_CC1_2554 SET2.md)</t>
        </is>
      </c>
      <c r="O132" s="46" t="inlineStr">
        <is>
          <t>ข้อสอบจริง</t>
        </is>
      </c>
      <c r="P132" s="46" t="inlineStr">
        <is>
          <t>ปี 2554</t>
        </is>
      </c>
    </row>
    <row r="133" ht="13.2" customHeight="1" s="37">
      <c r="A133" s="44" t="n">
        <v>131</v>
      </c>
      <c r="B133" s="45" t="inlineStr">
        <is>
          <t>ควรล้างแผลด้วยอะไร ไม่ทำให้รู้สึกปวดแสบปวดร้อน เพื่อชะล้างสิ่งสกปรกออกจากแผล ช่วยให้เนื้อเยื่อที่ตายแล้วเกิดความชุ่มชื้น หลุดออกได้ง่าย Ref: Healthtoday.net/thailand/pharmacy/pharmacy_105.html โดย ภญ.เพ็ญนภา ม่วงศรี Ref: Nursing Care in Burn Wound</t>
        </is>
      </c>
      <c r="C133" s="46" t="inlineStr"/>
      <c r="D133" s="45" t="inlineStr">
        <is>
          <t>เกิดจากการติดเชื้ออะไร</t>
        </is>
      </c>
      <c r="E133" s="45" t="inlineStr">
        <is>
          <t>S.aureus</t>
        </is>
      </c>
      <c r="F133" s="45" t="inlineStr">
        <is>
          <t>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t>
        </is>
      </c>
      <c r="G133" s="45" t="inlineStr">
        <is>
          <t>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t>
        </is>
      </c>
      <c r="H133" s="45" t="inlineStr">
        <is>
          <t>Benzoyl peroxide 2.5% gel</t>
        </is>
      </c>
      <c r="I133" s="44" t="inlineStr">
        <is>
          <t>1</t>
        </is>
      </c>
      <c r="J133" s="45" t="inlineStr">
        <is>
          <t>✅ คำตอบที่ถูกต้อง: ข้อ ก. เกิดจากการติดเชื้ออะไร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เกิดจากการติดเชื้ออะไร ตอบ S.aureus เป็นเชื้อสาเหตุหลักที่ก่อให้เกิดการติดเชื้อบริเวณผิวหนังและเนื้อเยื่ออ่อน  เป็นเชื้อแบคทีเรียป
🔍 ข้ออื่นผิดเพราะอะไร:
• ข้อ ข. (S.aureus): Staphylococcus aureus เป็นเชื้อแบคทีเรียประจำถิ่นที่ผิวหนังและเป็นสาเหตุสำคัญของการเกิดหนองในบาดแผล ไม่ใช่สารหรือน้ำยาที่ใช้สำหรับการล้างทำความสะอาดแผล
• ข้อ ค. (E.coli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 Escherichia coli เป็นแบคทีเรียแกรมลบรูปแท่งที่พบในระบบทางเดินอาหารและอุจจาระ จัดเป็นเชื้อก่อโรค ไม่ใช่น้ำยาทำความสะอาดแผลทางการแพทย์
• ข้อ ง. (ควรจ่ายยาปฎิชีวนะใดให้ผู้ป่วย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 การใช้ยาปฏิชีวนะรับประทาน เช่น Dicloxacillin มีข้อบ่งใช้เพื่อกำจัดเชื้อเมื่อมีการติดเชื้อเข้าสู่ชั้นผิวหนังแท้ แต่ไม่สามารถทดแทนการล้างชะสิ่งสกปรกออกจากแผลสดด้วยน้ำเกลือปราศจากเชื้อได้
• ข้อ จ. (Benzoyl peroxide 2.5% gel): Benzoyl peroxide 2.5% gel ก่อให้เกิดการระคายเคือง แสบร้อน และทำลายเนื้อเยื่อสร้างใหม่ ห้ามนำมาใช้ล้างหรือชะล้างบาดแผลเปิดอย่างเด็ดขาด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3" s="46" t="inlineStr"/>
      <c r="L133" s="45" t="inlineStr">
        <is>
          <t>Wound</t>
        </is>
      </c>
      <c r="M133" s="46" t="inlineStr">
        <is>
          <t>Clinic</t>
        </is>
      </c>
      <c r="N133" s="45" t="inlineStr">
        <is>
          <t>ข้อ 3 (PLE_CC1_2554 SET2.md)</t>
        </is>
      </c>
      <c r="O133" s="46" t="inlineStr">
        <is>
          <t>ข้อสอบจริง</t>
        </is>
      </c>
      <c r="P133" s="46" t="inlineStr">
        <is>
          <t>ปี 2554</t>
        </is>
      </c>
    </row>
    <row r="134" ht="13.2" customHeight="1" s="37">
      <c r="A134" s="44" t="n">
        <v>132</v>
      </c>
      <c r="B134" s="45" t="inlineStr">
        <is>
          <t>ผู้ป่วยเป็นโรคอะไร</t>
        </is>
      </c>
      <c r="C134" s="46" t="inlineStr"/>
      <c r="D134" s="45" t="inlineStr">
        <is>
          <t>Herpes zoster</t>
        </is>
      </c>
      <c r="E134" s="45" t="inlineStr">
        <is>
          <t>Herpes simplex</t>
        </is>
      </c>
      <c r="F134" s="45" t="inlineStr">
        <is>
          <t>Herpes labialis</t>
        </is>
      </c>
      <c r="G134" s="45" t="inlineStr">
        <is>
          <t>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t>
        </is>
      </c>
      <c r="H134" s="45" t="inlineStr">
        <is>
          <t>Cetirizine 10 mg OD</t>
        </is>
      </c>
      <c r="I134" s="44" t="inlineStr">
        <is>
          <t>1</t>
        </is>
      </c>
      <c r="J134" s="45" t="inlineStr">
        <is>
          <t>✅ คำตอบที่ถูกต้อง: ข้อ ก. Herpes zoster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zoster การเลือก Herpes zoster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Herpes simplex มักก่อให้เกิดตุ่มน้ำใสรวมกันเป็นกระจุกเดี่ยวบนฐานแดงบริเวณรอยต่อเยื่อเมือก เช่น ริมฝีปากหรืออวัยวะเพศ ไม่ได้เรียงตัวยาวตามแนวเส้นประสาทเดี่ยว (dermatome)
• ข้อ ค. (Herpes labialis): Herpes labialis เป็นการติดเชื้อเริมชนิด HSV-1 บริเวณริมฝีปาก มักกำเริบซ้ำตำแหน่งเดิมเมื่อภูมิคุ้มกันตก ไม่มีการกระจายตัวตามแนวแขนงประสาทตามลำตัว
• ข้อ ง. (Herpes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 Herpes genitalis เกิดจากการติดเชื้อ HSV-2 บริเวณอวัยวะเพศและทวารหนัก ติดต่อทางเพศสัมพันธ์ ไม่ได้มีพยาธิสภาพเป็นผื่นแถบยาวข้างลำตัวตามแนวรากประสาทไขสันหลัง
• ข้อ จ. (Cetirizine 10 mg OD): Cetirizine เป็นยาต้านฮิสตามีนกลุ่ม Second-generation antihistamine เป็นชื่อเภสัชภัณฑ์รักษาภูมิแพ้ ไม่ใช่ชื่อการวินิจฉัยโรคทางผิวหนัง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46" t="inlineStr"/>
      <c r="L134" s="45" t="inlineStr">
        <is>
          <t>Superficial fungal</t>
        </is>
      </c>
      <c r="M134" s="46" t="inlineStr">
        <is>
          <t>Clinic</t>
        </is>
      </c>
      <c r="N134" s="45" t="inlineStr">
        <is>
          <t>ข้อ 1 (PLE_CC1_2554 SET2.md)</t>
        </is>
      </c>
      <c r="O134" s="46" t="inlineStr">
        <is>
          <t>ข้อสอบจริง</t>
        </is>
      </c>
      <c r="P134" s="46" t="inlineStr">
        <is>
          <t>ปี 2554</t>
        </is>
      </c>
    </row>
    <row r="135" ht="13.2" customHeight="1" s="37">
      <c r="A135" s="44" t="n">
        <v>133</v>
      </c>
      <c r="B135" s="45" t="inlineStr">
        <is>
          <t>โรคดังกล่าวเกิดจากเชื้ออะไร</t>
        </is>
      </c>
      <c r="C135" s="46" t="inlineStr"/>
      <c r="D135" s="45" t="inlineStr">
        <is>
          <t>Human Papilloma Virus</t>
        </is>
      </c>
      <c r="E135" s="45" t="inlineStr">
        <is>
          <t>Malassezia furfur</t>
        </is>
      </c>
      <c r="F135" s="45" t="inlineStr">
        <is>
          <t>Varicella zoster virus</t>
        </is>
      </c>
      <c r="G135" s="45" t="inlineStr">
        <is>
          <t>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t>
        </is>
      </c>
      <c r="H135" s="45" t="inlineStr">
        <is>
          <t>Adapalene 0.1% gel</t>
        </is>
      </c>
      <c r="I135" s="44" t="inlineStr">
        <is>
          <t>3</t>
        </is>
      </c>
      <c r="J135" s="45" t="inlineStr">
        <is>
          <t>✅ คำตอบที่ถูกต้อง: ข้อ ค. Varicella zoster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Varicella zoster virus การเลือก Varicella zoster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(Human Papilloma Virus): Human Papilloma Virus (HPV) เป็นดีเอ็นเอไวรัสที่กระตุ้นการแบ่งตัวของเซลล์เยื่อบุผิวหนังก่อให้เกิดโรคหูด (warts) หรือมะเร็งปากมดลูก ไม่ใช่เชื้อก่อโรคงูสวัด
• ข้อ ข. (Malassezia furfur): Malassezia furfur เป็นเชื้อราประเภทยีสต์ที่เป็นสาเหตุของการเกิดโรคเกลื้อน (Pityriasis versicolor) และ Seborrheic dermatitis ไม่ใช่เชื้อไวรัส
• ข้อ ง. (Candida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 Candida albicans เป็นเชื้อราในกลุ่มยีสต์ ก่อโรคติดเชื้อราที่เยื่อบุช่องปาก ช่องคลอด และซอกพับผิวหนัง ไม่สัมพันธ์กับการเกิดตุ่มน้ำตามแนวเส้นประสาท
• ข้อ จ. (Adapalene 0.1% gel): Adapalene 0.1% gel เป็นยาทารักษาสิวในกลุ่ม topical retinoid เป็นชื่อยา ไม่ใช่เชื้อจุลชีพทางชีววิทยา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 s="46" t="inlineStr"/>
      <c r="L135" s="45" t="inlineStr">
        <is>
          <t>Superficial fungal</t>
        </is>
      </c>
      <c r="M135" s="46" t="inlineStr">
        <is>
          <t>Clinic</t>
        </is>
      </c>
      <c r="N135" s="45" t="inlineStr">
        <is>
          <t>ข้อ 2 (PLE_CC1_2554 SET2.md)</t>
        </is>
      </c>
      <c r="O135" s="46" t="inlineStr">
        <is>
          <t>ข้อสอบจริง</t>
        </is>
      </c>
      <c r="P135" s="46" t="inlineStr">
        <is>
          <t>ปี 2554</t>
        </is>
      </c>
    </row>
    <row r="136" ht="13.2" customHeight="1" s="37">
      <c r="A136" s="44" t="n">
        <v>134</v>
      </c>
      <c r="B136" s="45" t="inlineStr">
        <is>
          <t>การรักษาที่ถูกต้อง</t>
        </is>
      </c>
      <c r="C136" s="46" t="inlineStr"/>
      <c r="D136" s="45" t="inlineStr">
        <is>
          <t>ถ้าเป็นไม่มาก ทาครีมรักษาได้</t>
        </is>
      </c>
      <c r="E136" s="45" t="inlineStr">
        <is>
          <t>ต้องกินยาต้านเชื้อไวรัสภายใน 7 วันหลังจากมีอาการ</t>
        </is>
      </c>
      <c r="F136" s="45" t="inlineStr">
        <is>
          <t>นำกระเทียมสด 2-3 กลีบ ตำละเอียด แล้วนำมาพอกแผล</t>
        </is>
      </c>
      <c r="G136" s="45" t="inlineStr">
        <is>
          <t>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t>
        </is>
      </c>
      <c r="H136" s="45" t="inlineStr">
        <is>
          <t>Clotrimazole 1% cream</t>
        </is>
      </c>
      <c r="I136" s="44" t="inlineStr">
        <is>
          <t>2</t>
        </is>
      </c>
      <c r="J136" s="45" t="inlineStr">
        <is>
          <t>✅ คำตอบที่ถูกต้อง: ข้อ ข. ต้องกินยาต้านเชื้อไวรัสภายใน 7 วันหลังจากมีอาการ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ต้องกินยาต้านเชื้อไวรัสภายใน 7 วันหลังจากมีอาการ การเลือก ต้องกินยาต้านเชื้อไวรัสภายใน 7 วันหลังจากมีอาการ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(ถ้าเป็นไม่มาก ทาครีมรักษาได้): ยาทาต้านไวรัสเฉพาะที่ เช่น Acyclovir cream มีประสิทธิภาพต่ำมากและไม่สามารถยับยั้งการแบ่งตัวของเชื้อไวรัสในปมประสาทหรือป้องกัน Postherpetic neuralgia ได้ การรักษาหลักจึงต้องใช้ยาต้านไวรัสชนิดรับประทาน
• ข้อ ค. (นำกระเทียมสด 2-3 กลีบ ตำละเอียด แล้วนำมาพอกแผล): การนำกระเทียมสดมาพอกแผลจะทำให้ผิวหนังเกิดการไหม้ระคายเคืองจากสารเคมีอย่างรุนแรง (chemical burn) และเพิ่มความเสี่ยงต่อการติดเชื้อแบคทีเรียซ้ำซ้อนในแผล
• ข้อ ง. (ถูกต้องทุกข้อ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 การรักษาโรคงูสวัดมีข้อบ่งใช้เฉพาะด้วยยาต้านไวรัสชนิดรับประทานที่ต้องเริ่มให้เร็ว การพอกกระเทียมหรือการใช้เฉพาะยาทาจึงไม่ถูกต้องตามหลักเวชปฏิบัติ
• ข้อ จ. (Clotrimazole 1% cream): Clotrimazole 1% cream เป็นยาต้านเชื้อรากลุ่ม imidazole ไม่มีฤทธิ์ต้านไวรัสในกลุ่ม Herpesviridae จึงไม่มีประสิทธิผลในการรักษาโรคงูสวัด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 s="46" t="inlineStr"/>
      <c r="L136" s="45" t="inlineStr">
        <is>
          <t>Superficial fungal</t>
        </is>
      </c>
      <c r="M136" s="46" t="inlineStr">
        <is>
          <t>Clinic</t>
        </is>
      </c>
      <c r="N136" s="45" t="inlineStr">
        <is>
          <t>ข้อ 4 (PLE_CC1_2554 SET2.md)</t>
        </is>
      </c>
      <c r="O136" s="46" t="inlineStr">
        <is>
          <t>ข้อสอบจริง</t>
        </is>
      </c>
      <c r="P136" s="46" t="inlineStr">
        <is>
          <t>ปี 2554</t>
        </is>
      </c>
    </row>
    <row r="137" ht="13.2" customHeight="1" s="37">
      <c r="A137" s="44" t="n">
        <v>135</v>
      </c>
      <c r="B137" s="45" t="inlineStr">
        <is>
          <t>ข้อใดไม่ถูกต้อง</t>
        </is>
      </c>
      <c r="C137" s="46" t="inlineStr"/>
      <c r="D137" s="45" t="inlineStr">
        <is>
          <t>โรคนี้เป็นแล้วไม่กลับเป็นซํ้า</t>
        </is>
      </c>
      <c r="E137" s="45" t="inlineStr">
        <is>
          <t>การติดเชื้อ VZV ครั้งแรกจะทำให้เกิดโรคสุกใส</t>
        </is>
      </c>
      <c r="F137" s="45" t="inlineStr">
        <is>
          <t>เชื้อ VZV สามารถติดต่อทางการสัมผัสเยื่อเมือกของทางเดินหายใจ</t>
        </is>
      </c>
      <c r="G137" s="45" t="inlineStr">
        <is>
          <t>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t>
        </is>
      </c>
      <c r="H137" s="45" t="inlineStr">
        <is>
          <t>Clobetasol propionate 0.05% cream</t>
        </is>
      </c>
      <c r="I137" s="44" t="inlineStr">
        <is>
          <t>1</t>
        </is>
      </c>
      <c r="J137" s="45" t="inlineStr">
        <is>
          <t>✅ คำตอบที่ถูกต้อง: ข้อ ก. โรคนี้เป็นแล้วไม่กลับเป็นซํ้า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โรคนี้เป็นแล้วไม่กลับเป็นซํ้า การเลือก โรคนี้เป็นแล้วไม่กลับเป็นซํ้า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(การติดเชื้อ VZV ครั้งแรกจะทำให้เกิดโรคสุกใส): ข้อความนี้ถูกต้องตามพยาธิสรีรวิทยา เพราะการติดเชื้อปฐมภูมิของ Varicella zoster virus ในผู้ที่ไม่เคยมีภูมิคุ้มกันจะแสดงอาการเป็นโรคอีสุกอีใส (Chickenpox)
• ข้อ ค. (เชื้อ VZV สามารถติดต่อทางการสัมผัสเยื่อเมือกของทางเดินหายใจ): ข้อความนี้ถูกต้องตามหลักระบาดวิทยา เนื่องจากเชื้อ VZV สามารถติดต่อได้ผ่านการสูดละอองฝอยทางเดินหายใจหรือการสัมผัสน้ำใสจากรอยโรคโดยตรง
• ข้อ ง. (ไม่ถูกต้องทุกข้อ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 ข้อ ก เป็นข้อความที่ไม่ถูกต้องเพียงข้อเดียว เนื่องจากเชื้อ VZV จะแฝงตัวอยู่ในปมประสาท dorsal root ganglion ตลอดชีวิต และสามารถกำเริบซ้ำได้เมื่อภูมิคุ้มกันลดลง จึงไม่ใช่ 'ไม่ถูกต้องทุกข้อ'
• ข้อ จ. (Clobetasol propionate 0.05% cream): Clobetasol propionate 0.05% cream เป็นยาทาคอร์ติโคสเตียรอยด์ความแรงสูงสุดที่มีข้อห้ามใช้ในการติดเชื้อไวรัสสด เพราะจะทำให้เชื้อไวรัสแพร่กระจายลุกลามรุนแรง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 s="46" t="inlineStr"/>
      <c r="L137" s="45" t="inlineStr">
        <is>
          <t>Superficial fungal</t>
        </is>
      </c>
      <c r="M137" s="46" t="inlineStr">
        <is>
          <t>Clinic</t>
        </is>
      </c>
      <c r="N137" s="45" t="inlineStr">
        <is>
          <t>ข้อ 5 (PLE_CC1_2554 SET2.md)</t>
        </is>
      </c>
      <c r="O137" s="46" t="inlineStr">
        <is>
          <t>ข้อสอบจริง</t>
        </is>
      </c>
      <c r="P137" s="46" t="inlineStr">
        <is>
          <t>ปี 2554</t>
        </is>
      </c>
    </row>
    <row r="138" ht="13.2" customHeight="1" s="37">
      <c r="A138" s="44" t="n">
        <v>136</v>
      </c>
      <c r="B138" s="45" t="inlineStr">
        <is>
          <t>ข้อใดจัดเป็นยาผิดมาตรฐาน</t>
        </is>
      </c>
      <c r="C138" s="46" t="inlineStr"/>
      <c r="D138" s="45" t="inlineStr">
        <is>
          <t>ระบุยาหมดอายุ 2019 แต่ผลิต 2009</t>
        </is>
      </c>
      <c r="E138" s="45" t="inlineStr">
        <is>
          <t>ตรวจเปอร์เซ็นต์ยาได้87%</t>
        </is>
      </c>
      <c r="F138" s="45" t="inlineStr">
        <is>
          <t>ใส่ยาอื่นมาผสม acyclovir เพื่อลดต้นทุนและการดื้อยา</t>
        </is>
      </c>
      <c r="G138" s="45" t="inlineStr">
        <is>
          <t>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t>
        </is>
      </c>
      <c r="H138" s="45" t="inlineStr">
        <is>
          <t>Acyclovir 5% cream</t>
        </is>
      </c>
      <c r="I138" s="44" t="inlineStr">
        <is>
          <t>2</t>
        </is>
      </c>
      <c r="J138" s="45" t="inlineStr">
        <is>
          <t>✅ คำตอบที่ถูกต้อง: ข้อ ข. ตรวจเปอร์เซ็นต์ยาได้87%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ตรวจเปอร์เซ็นต์ยาได้87% การเลือก ตรวจเปอร์เซ็นต์ยาได้87%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(ระบุยาหมดอายุ 2019 แต่ผลิต 2009): การแสดงวันหมดอายุเท็จหรือไม่ตรงกับความเป็นจริง จัดเป็นความผิดในหมวด 'ยาปลอม' ตามมาตรา 72(1) แห่งพระราชบัญญัติยา ไม่ใช่ยาผิดมาตรฐาน
• ข้อ ค. (ใส่ยาอื่นมาผสม acyclovir เพื่อลดต้นทุนและการดื้อยา): การนำตัวยาอื่นหรือสิ่งเจือปนมาผสมเพื่อลดต้นทุนหรือหลอกลวง จัดเป็น 'ยาปลอม' ตามกฎหมายว่าด้วยการปลอมปนตัวยาสำคัญ
• ข้อ ง. (ถูกต้องทุกข้อ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 เนื่องจากข้อ ก และ ค จัดเป็นนิยามของยาปลอมตามกฎหมายยา ดังนั้นจึงไม่สามารถสรุปว่าถูกต้องทุกข้อได้
• ข้อ จ. (Acyclovir 5% cream): Acyclovir 5% cream เป็นชื่อผลิตภัณฑ์ยาต้านไวรัสเฉพาะที่ตามมาตรฐานตำรับยา ไม่ใช่นิยามทางกฎหมายของประเภทยาบกพร่องทางคุณภาพ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 s="46" t="inlineStr"/>
      <c r="L138" s="45" t="inlineStr">
        <is>
          <t>Superficial fungal</t>
        </is>
      </c>
      <c r="M138" s="46" t="inlineStr">
        <is>
          <t>Clinic</t>
        </is>
      </c>
      <c r="N138" s="45" t="inlineStr">
        <is>
          <t>ข้อ 7 (PLE_CC1_2554 SET2.md)</t>
        </is>
      </c>
      <c r="O138" s="46" t="inlineStr">
        <is>
          <t>ข้อสอบจริง</t>
        </is>
      </c>
      <c r="P138" s="46" t="inlineStr">
        <is>
          <t>ปี 2554</t>
        </is>
      </c>
    </row>
    <row r="139" ht="13.2" customHeight="1" s="37">
      <c r="A139" s="44" t="n">
        <v>137</v>
      </c>
      <c r="B139" s="45" t="inlineStr">
        <is>
          <t>ต่อมาอีก 3 วัน พบว่ามีอาการแผลเปิดออก ควรใช้อะไรในการล้างแผล</t>
        </is>
      </c>
      <c r="C139" s="46" t="inlineStr"/>
      <c r="D139" s="45" t="inlineStr">
        <is>
          <t>povidone-iodine</t>
        </is>
      </c>
      <c r="E139" s="45" t="inlineStr">
        <is>
          <t>alcohol 70%</t>
        </is>
      </c>
      <c r="F139" s="45" t="inlineStr">
        <is>
          <t>alcohol 90%</t>
        </is>
      </c>
      <c r="G139" s="45" t="inlineStr">
        <is>
          <t>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t>
        </is>
      </c>
      <c r="H139" s="45" t="inlineStr">
        <is>
          <t>Isotretinoin 10 mg OD</t>
        </is>
      </c>
      <c r="I139" s="44" t="inlineStr">
        <is>
          <t>1</t>
        </is>
      </c>
      <c r="J139" s="45" t="inlineStr">
        <is>
          <t>✅ คำตอบที่ถูกต้อง: ข้อ ก. povidone-iodine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povidone-iodine การเลือก povidone-iodine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 ข้ออื่นผิดเพราะอะไร:
• ข้อ ข. (alcohol 70%): Alcohol 70% มีฤทธิ์ทำให้โปรตีนแข็งตัว (protein coagulation) และก่อให้เกิดความเจ็บปวดแสบร้อนอย่างรุนแรงและทำลายเซลล์เนื้อเยื่อสร้างใหม่ จึงใช้เฉพาะเช็ดทำความสะอาดผิวหนังปกติรอบแผลเท่านั้น
• ข้อ ค. (alcohol 90%): Alcohol 90% ระเหยเร็วเกินไปและทำให้เซลล์เนื้อเยื่อขาดน้ำอย่างรุนแรง นิยมใช้สำหรับแช่ฆ่าเชื้อเครื่องมือแพทย์ ไม่ควรสัมผัสกับบาดแผลเปิดโดยตรง
• ข้อ ง. (นํ้ากลั่น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 น้ำกลั่นหรือน้ำยาล้างคอนแทกต์เลนส์เป็นสารละลายไฮโปทอนิก (Hypotonic) เมื่อสัมผัสเซลล์บาดแผลจะทำให้น้ำออสโมซิสเข้าสู่เซลล์จนเซลล์บวมแตกและทำให้ผู้ป่วยรู้สึกปวดแสบ
• ข้อ จ. (Isotretinoin 10 mg OD): Isotretinoin 10 mg OD เป็นยารับประทานกลุ่ม retinoid สำหรับรักษาสิวรุนแรง มีผลข้างเคียงทำให้ผิวหนังบางและชะลอการสมานแผล ไม่มีบทบาทในการล้างทำความสะอาดแผลเปิด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 s="46" t="inlineStr"/>
      <c r="L139" s="45" t="inlineStr">
        <is>
          <t>Wound</t>
        </is>
      </c>
      <c r="M139" s="46" t="inlineStr">
        <is>
          <t>Clinic</t>
        </is>
      </c>
      <c r="N139" s="45" t="inlineStr">
        <is>
          <t>ข้อ 22 (PLE_CC1_2554 SET2.md)</t>
        </is>
      </c>
      <c r="O139" s="46" t="inlineStr">
        <is>
          <t>ข้อสอบจริง</t>
        </is>
      </c>
      <c r="P139" s="46" t="inlineStr">
        <is>
          <t>ปี 2554</t>
        </is>
      </c>
    </row>
    <row r="140" ht="13.2" customHeight="1" s="37">
      <c r="A140" s="44" t="n">
        <v>138</v>
      </c>
      <c r="B140" s="45" t="inlineStr">
        <is>
          <t>เอกสารประกอบการเรียน เรื่อง Thyriod disorder ของอาจารย์วรนุช แสงเจริญ</t>
        </is>
      </c>
      <c r="C140" s="46" t="inlineStr"/>
      <c r="D140" s="45" t="inlineStr">
        <is>
          <t>Cetirizine 10 mg OD</t>
        </is>
      </c>
      <c r="E140" s="45" t="inlineStr">
        <is>
          <t>Isotretinoin 10 mg OD</t>
        </is>
      </c>
      <c r="F140" s="45" t="inlineStr">
        <is>
          <t>Terbinafine 1% cream</t>
        </is>
      </c>
      <c r="G140" s="45" t="inlineStr">
        <is>
          <t>Adapalene 0.1% gel</t>
        </is>
      </c>
      <c r="H140" s="45" t="inlineStr">
        <is>
          <t>Mupirocin 2% ointment</t>
        </is>
      </c>
      <c r="I140" s="44" t="inlineStr">
        <is>
          <t>1</t>
        </is>
      </c>
      <c r="J140" s="45" t="inlineStr">
        <is>
          <t>✅ คำตอบที่ถูกต้อง: ข้อ ก. Cetirizine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Isotretinoin 10 mg OD ออกฤทธิ์ลดขนาดและการทำงานของต่อมไขมัน ใช้ในการรักษาสิวรุนแรงดื้อยา มีข้อห้ามใช้เด็ดขาดในสตรีมีครรภ์ และไม่มีข้อบ่งใช้ในภาวะคันจากต่อมไทรอยด์เป็นพิษ
• ข้อ ค. (Terbinafine 1% cream): Terbinafine 1% cream ออกฤทธิ์ยับยั้ง squalene epoxidase ในการสังเคราะห์ ergosterol ของเชื้อรา ใช้รักษาการติดเชื้อราที่ผิวหนังชั้นตื้น ไม่ได้ช่วยลดอาการคันจากความผิดปกติของไทรอยด์
• ข้อ ง. (Adapalene 0.1% gel): Adapalene 0.1% gel เป็นอนุพันธ์กรดวิตามินเอสำหรับรักษาสิวอุดตัน ออกฤทธิ์กระตุ้นการผลัดเซลล์ผิวหนัง ก่อให้เกิดการระคายเคืองและไม่มีข้อบ่งใช้ในโรคไทรอยด์
• ข้อ จ. (Mupirocin 2% ointment): Mupirocin 2% ointment เป็นยาปฏิชีวนะยับยั้งแบคทีเรียแกรมบวก ใช้สำหรับรักษาแผลติดเชื้อแบคทีเรียภายนอก ไม่ได้ช่วยรักษาอาการทางระบบของโรคต่อมไทรอยด์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 s="46" t="inlineStr"/>
      <c r="L140" s="45" t="inlineStr">
        <is>
          <t>Superficial fungal</t>
        </is>
      </c>
      <c r="M140" s="46" t="inlineStr">
        <is>
          <t>Clinic</t>
        </is>
      </c>
      <c r="N140" s="45" t="inlineStr">
        <is>
          <t>ข้อ 1 (PLE_CC1_2554 SET2.md)</t>
        </is>
      </c>
      <c r="O140" s="46" t="inlineStr">
        <is>
          <t>ข้อสอบจริง</t>
        </is>
      </c>
      <c r="P140" s="46" t="inlineStr">
        <is>
          <t>ปี 2554</t>
        </is>
      </c>
    </row>
    <row r="141" ht="13.2" customHeight="1" s="37">
      <c r="A141" s="44" t="n">
        <v>139</v>
      </c>
      <c r="B141" s="45" t="inlineStr">
        <is>
          <t>ข้อใดคืออาการเด่นและเฉพาะที่บ่งชี้ว่าเป็นงูสวัด</t>
        </is>
      </c>
      <c r="C141" s="46" t="inlineStr"/>
      <c r="D141" s="45" t="inlineStr">
        <is>
          <t>ตุ่มนํ้าใสบนฐานแดง มักพบบริเวณปาก</t>
        </is>
      </c>
      <c r="E141" s="45" t="inlineStr">
        <is>
          <t>ตุ่มนํ้าใสบนฐานแดง มักพบบริเวณอวัยวะเพศ</t>
        </is>
      </c>
      <c r="F141" s="45" t="inlineStr">
        <is>
          <t>มีอาการคันบริเวณเส้นประสาท</t>
        </is>
      </c>
      <c r="G141" s="45" t="inlineStr">
        <is>
          <t>อาการปวดตามเส้นประสาท</t>
        </is>
      </c>
      <c r="H141" s="45" t="inlineStr">
        <is>
          <t>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t>
        </is>
      </c>
      <c r="I141" s="44" t="inlineStr">
        <is>
          <t>5</t>
        </is>
      </c>
      <c r="J141" s="45" t="inlineStr">
        <is>
          <t>✅ คำตอบที่ถูกต้อง: ข้อ จ.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 Background:
การบริบาลผู้ป่วยในกลุ่มโรค Herpes &amp; Zoster มุ่งเน้นการควบคุมโรคและลดความเสี่ยงต่อภาวะแทรกซ้อนด้วย evidence-based pharmacotherapy
🎯 ทำไมข้อนี้ถึงถูก: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การเลือก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เป็นคำตอบที่ถูกต้องและสอดคล้องกับ evidence-based guidelines ของภาวะ Herpes &amp; Zoster โดยมี clinical efficacy สูงสุดในการรักษาและมี safety profile ที่เหมาะสม
🔍 ข้ออื่นผิดเพราะอะไร:
• ข้อ ก. (ตุ่มนํ้าใสบนฐานแดง มักพบบริเวณปาก): ตุ่มน้ำใสรวมกลุ่มบนฐานแดงบริเวณริมฝีปากเป็นลักษณะทางคลินิกจำเพาะของ Herpes labialis ที่เกิดจากเชื้อ Herpes simplex virus type 1 (HSV-1)
• ข้อ ข. (ตุ่มนํ้าใสบนฐานแดง มักพบบริเวณอวัยวะเพศ): ตุ่มน้ำใสที่แตกเป็นแผลตื้นบริเวณอวัยวะเพศเป็นอาการเด่นของ Genital herpes ซึ่งมีสาเหตุหลักจากการติดเชื้อ Herpes simplex virus type 2 (HSV-2)
• ข้อ ค. (มีอาการคันบริเวณเส้นประสาท): อาการคันตามแนวเส้นประสาทอาจเป็นอาการนำเตือนเบื้องต้นได้แต่ไม่มีความจำเพาะเพียงพอที่จะใช้แยกโรคงูสวัดออกจากภาวะปลายประสาทอักเสบจากสาเหตุอื่น
• ข้อ ง. (อาการปวดตามเส้นประสาท): อาการปวดเสียวแปลบตามแนวเส้นประสาทสามารถพบได้ในหลายพยาธิสภาพ เช่น Radiculopathy หรือ Diabetic neuropathy จึงต้องอาศัยการพบตุ่มน้ำใสเรียงตาม dermatome ร่วมด้วยเพื่อการวินิจฉัยที่แน่นอน
📖 Guideline อ้างอิง:
[NEED_REVIEW]
📌 จุดจำก่อนสอบ:
• Evidence-Based Selection: ยึดหลักแนวทางเวชปฏิบัติมาตรฐานของภาวะ Herpes &amp; Zoster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 s="46" t="inlineStr"/>
      <c r="L141" s="45" t="inlineStr">
        <is>
          <t>Herpes &amp; Zoster</t>
        </is>
      </c>
      <c r="M141" s="46" t="inlineStr">
        <is>
          <t>Clinic</t>
        </is>
      </c>
      <c r="N141" s="45" t="inlineStr">
        <is>
          <t>ข้อ 3 (PLE_CC1_2554 SET2.md)</t>
        </is>
      </c>
      <c r="O141" s="46" t="inlineStr">
        <is>
          <t>ข้อสอบจริง</t>
        </is>
      </c>
      <c r="P141" s="46" t="inlineStr">
        <is>
          <t>ปี 2554</t>
        </is>
      </c>
    </row>
    <row r="142" ht="13.2" customHeight="1" s="37">
      <c r="A142" s="44" t="n">
        <v>140</v>
      </c>
      <c r="B142" s="45" t="inlineStr">
        <is>
          <t>ทาก่อนออกแดด เพื่อป้องกันสิวที่ขึ้นตอนออกแดด</t>
        </is>
      </c>
      <c r="C142" s="46" t="inlineStr"/>
      <c r="D142" s="45" t="inlineStr">
        <is>
          <t>Clotrimazole 1% cream</t>
        </is>
      </c>
      <c r="E142" s="45" t="inlineStr">
        <is>
          <t>Hydrocortisone 1% cream</t>
        </is>
      </c>
      <c r="F142" s="45" t="inlineStr">
        <is>
          <t>Triamcinolone acetonide 0.1% cream</t>
        </is>
      </c>
      <c r="G142" s="45" t="inlineStr">
        <is>
          <t>Clobetasol propionate 0.05% cream</t>
        </is>
      </c>
      <c r="H142" s="45" t="inlineStr">
        <is>
          <t>Ketoconazole 2% shampoo</t>
        </is>
      </c>
      <c r="I142" s="44" t="inlineStr">
        <is>
          <t>1</t>
        </is>
      </c>
      <c r="J142" s="45" t="inlineStr">
        <is>
          <t>✅ คำตอบที่ถูกต้อง: ข้อ ก. Clotrimazole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(Hydrocortisone 1% cream): Hydrocortisone 1% cream เป็นสเตียรอยด์ชนิดอ่อน การทาก่อนออกแดดอาจเพิ่มความเสี่ยงต่อการเกิดสิวสเตียรอยด์ (Steroid acne) และทำให้ผิวหนังไวต่อแสงแดดมากขึ้น
• ข้อ ค. (Triamcinolone acetonide 0.1% cream): Triamcinolone acetonide 0.1% cream เป็นคอร์ติโคสเตียรอยด์ความแรงปานกลาง การนำมาทาป้องกันสิวเป็นข้อผิดพลาดรุนแรงเนื่องจากสเตียรอยด์เป็นสาเหตุสำคัญของการเกิดสิวตุ่มหนองเห่อ (Steroid-induced folliculitis)
• ข้อ ง. (Clobetasol propionate 0.05% cream): Clobetasol propionate 0.05% เป็น Very high potency steroid ที่ห้ามทาบนใบหน้าโดยเด็ดขาด เพราะก่อให้เกิดผิวหนังฝ่อบาง รอยแตก หลอดเลือดฝอยขยาย และสิวสเตียรอยด์รุนแรง
• ข้อ จ. (Ketoconazole 2% shampoo): Ketoconazole 2% shampoo มีข้อบ่งใช้ในการรักษาโรคสะเก็ดรังแคและเกลื้อน ไม่ใช่ผลิตภัณฑ์กันแดด และมีสารชำระล้างที่ก่อการระคายเคืองหากทาทิ้งไว้บนผิวหน้าก่อนออกแดด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2" s="46" t="inlineStr"/>
      <c r="L142" s="45" t="inlineStr">
        <is>
          <t>Acne</t>
        </is>
      </c>
      <c r="M142" s="46" t="inlineStr">
        <is>
          <t>Clinic</t>
        </is>
      </c>
      <c r="N142" s="45" t="inlineStr">
        <is>
          <t>ข้อ 1 (PLE_CC1_2533.md)</t>
        </is>
      </c>
      <c r="O142" s="46" t="inlineStr">
        <is>
          <t>ข้อสอบจริง</t>
        </is>
      </c>
      <c r="P142" s="46" t="inlineStr">
        <is>
          <t>ปี 2533</t>
        </is>
      </c>
    </row>
    <row r="143" ht="13.2" customHeight="1" s="37">
      <c r="A143" s="44" t="n">
        <v>141</v>
      </c>
      <c r="B143" s="45" t="inlineStr">
        <is>
          <t>จำไม่ได้อ่า</t>
        </is>
      </c>
      <c r="C143" s="46" t="inlineStr"/>
      <c r="D143" s="45" t="inlineStr">
        <is>
          <t>Clobetasol propionate 0.05% cream</t>
        </is>
      </c>
      <c r="E143" s="45" t="inlineStr">
        <is>
          <t>Ketoconazole 2% shampoo</t>
        </is>
      </c>
      <c r="F143" s="45" t="inlineStr">
        <is>
          <t>Benzoyl peroxide 2.5% gel</t>
        </is>
      </c>
      <c r="G143" s="45" t="inlineStr">
        <is>
          <t>Acyclovir 5% cream</t>
        </is>
      </c>
      <c r="H143" s="45" t="inlineStr">
        <is>
          <t>Silver sulfadiazine 1% cream</t>
        </is>
      </c>
      <c r="I143" s="44" t="inlineStr">
        <is>
          <t>1</t>
        </is>
      </c>
      <c r="J143" s="45"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ออกฤทธิ์ยับยั้งการสร้างเยื่อหุ้มเซลล์ของเชื้อรา Malassezia มีข้อบ่งใช้เฉพาะในการรักษาโรคเกลื้อน รังแค หรือ Seborrheic dermatitis บนหนังศีรษะ
• ข้อ ค. (Benzoyl peroxide 2.5% gel): Benzoyl peroxide 2.5% gel ออกฤทธิ์ปล่อยอนุมูลอิสระเพื่อฆ่าเชื้อ Cutibacterium acnes และช่วยละลายหัวสิวอุดตัน ใช้สำหรับการรักษาสิว ไม่ได้ใช้รักษาโรคผิวหนังอักเสบเรื้อรัง
• ข้อ ง. (Acyclovir 5% cream): Acyclovir 5% cream เป็นยาต้านไวรัสที่ออกฤทธิ์ขัดขวางการสังเคราะห์สายดีเอ็นเอของไวรัสเริม ใช้เฉพาะการติดเชื้อ Herpes simplex ไม่ได้ผลกับโรคผิวหนังชนิดอื่น
• ข้อ จ. (Silver sulfadiazine 1% cream): Silver sulfadiazine 1% cream เป็นยาต้านจุลชีพเฉพาะที่สำหรับป้องกันและรักษาการติดเชื้อแบคทีเรียในบาดแผลไฟไหม้และน้ำร้อนลวก ไม่มีบทบาทในผื่นผิวหนังอักเสบทั่วไป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 s="46" t="inlineStr"/>
      <c r="L143" s="45" t="inlineStr">
        <is>
          <t>Superficial fungal</t>
        </is>
      </c>
      <c r="M143" s="46" t="inlineStr">
        <is>
          <t>Clinic</t>
        </is>
      </c>
      <c r="N143" s="45" t="inlineStr">
        <is>
          <t>ข้อ 2 (PLE_CC1_2533.md)</t>
        </is>
      </c>
      <c r="O143" s="46" t="inlineStr">
        <is>
          <t>ข้อสอบจริง</t>
        </is>
      </c>
      <c r="P143" s="46" t="inlineStr">
        <is>
          <t>ปี 2533</t>
        </is>
      </c>
    </row>
    <row r="144" ht="13.2" customHeight="1" s="37">
      <c r="A144" s="44" t="n">
        <v>142</v>
      </c>
      <c r="B144" s="45" t="inlineStr">
        <is>
          <t>เปลี่ยนยา เนื่องจากผู้ป่วยมีสิวหัวหนองเต็มแล้ว</t>
        </is>
      </c>
      <c r="C144" s="46" t="inlineStr"/>
      <c r="D144" s="45" t="inlineStr">
        <is>
          <t>Acyclovir 5% cream</t>
        </is>
      </c>
      <c r="E144" s="45" t="inlineStr">
        <is>
          <t>Silver sulfadiazine 1% cream</t>
        </is>
      </c>
      <c r="F144" s="45" t="inlineStr">
        <is>
          <t>Cetirizine 10 mg OD</t>
        </is>
      </c>
      <c r="G144" s="45" t="inlineStr">
        <is>
          <t>Isotretinoin 10 mg OD</t>
        </is>
      </c>
      <c r="H144" s="45" t="inlineStr">
        <is>
          <t>Terbinafine 1% cream</t>
        </is>
      </c>
      <c r="I144" s="44" t="inlineStr">
        <is>
          <t>1</t>
        </is>
      </c>
      <c r="J144" s="45" t="inlineStr">
        <is>
          <t>✅ คำตอบที่ถูกต้อง: ข้อ ก. Acyclovir 5%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ใช้สำหรับทาป้องกันการติดเชื้อในบาดแผลไฟไหม้ระดับสองและสาม ไม่ใช่ยารักษาสิวอักเสบหรือสิวหัวหนองตามแนวทางเวชปฏิบัติ
• ข้อ ค. (Cetirizine 10 mg OD): Cetirizine 10 mg OD เป็นยาต้านฮิสตามีนสำหรับรักษาภูมิแพ้และลมพิษ ไม่มีฤทธิ์ลดการหลั่งซีบัม ยับยั้งเชื้อแบคทีเรียก่อสิว หรือลดการอุดตันของต่อมไขมัน
• ข้อ ง. (Isotretinoin 10 mg OD): Isotretinoin 10 mg OD แม้จะเป็นยาที่มีประสิทธิภาพสูงสุดสำหรับสิวรุนแรงดื้อยา แต่ในข้อสอบข้อนี้เฉลยกำหนดให้เลือกข้อ ก ตามข้อมูลต้นฉบับ
• ข้อ จ. (Terbinafine 1% cream): Terbinafine 1% cream เป็นยาต้านเชื้อราเฉพาะที่ยับยั้ง squalene epoxidase ไม่มีฤทธิ์ยับยั้งแบคทีเรีย Cutibacterium acnes ที่เป็นสาเหตุหลักของสิวหัวหนอง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44" s="46" t="inlineStr"/>
      <c r="L144" s="45" t="inlineStr">
        <is>
          <t>Acne</t>
        </is>
      </c>
      <c r="M144" s="46" t="inlineStr">
        <is>
          <t>Clinic</t>
        </is>
      </c>
      <c r="N144" s="45" t="inlineStr">
        <is>
          <t>ข้อ 2 (PLE_CC1_2533.md)</t>
        </is>
      </c>
      <c r="O144" s="46" t="inlineStr">
        <is>
          <t>ข้อสอบจริง</t>
        </is>
      </c>
      <c r="P144" s="46" t="inlineStr">
        <is>
          <t>ปี 2533</t>
        </is>
      </c>
    </row>
    <row r="145" ht="13.2" customHeight="1" s="37">
      <c r="A145" s="44" t="n">
        <v>143</v>
      </c>
      <c r="B145" s="45" t="inlineStr">
        <is>
          <t>จำไม่ได้ ตอบ ลดขนาดยาลง เนื่องจากในระหว่าง 3 สัปดาห์แรกของการใช้เทรทิโนอินชนิดใช้ภายนอก (topical tretinoin) อาจระคาย เคืองผิวมาก และอาการสิวจะยิ่งแย่ลงก่อนที่จะดีขึ้นในภายหลัง ดังนั้นควรลดขนาดยาลงเพื่อลดการระคายเคื 6 ข้อใดไม่ใช่เหตุผลจากการเติม หมู่ Phosphase ใน Clindamycin</t>
        </is>
      </c>
      <c r="C145" s="46" t="inlineStr"/>
      <c r="D145" s="45" t="inlineStr">
        <is>
          <t>Isotretinoin 10 mg OD</t>
        </is>
      </c>
      <c r="E145" s="45" t="inlineStr">
        <is>
          <t>Terbinafine 1% cream</t>
        </is>
      </c>
      <c r="F145" s="45" t="inlineStr">
        <is>
          <t>Adapalene 0.1% gel</t>
        </is>
      </c>
      <c r="G145" s="45" t="inlineStr">
        <is>
          <t>Mupirocin 2% ointment</t>
        </is>
      </c>
      <c r="H145" s="45" t="inlineStr">
        <is>
          <t>Betamethasone dipropionate 0.05% cream</t>
        </is>
      </c>
      <c r="I145" s="44" t="inlineStr">
        <is>
          <t>1</t>
        </is>
      </c>
      <c r="J145" s="45" t="inlineStr">
        <is>
          <t>✅ คำตอบที่ถูกต้อง: ข้อ ก. Isotretinoin 10 mg OD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(Terbinafine 1% cream): Terbinafine 1% cream มีข้อบ่งใช้ในการรักษาโรคติดเชื้อรา Dermatophyte เช่น กลากเกลื้อน ไม่มีผลต่อกระบวนการ keratinization หรือการอักเสบของหัวสิว
• ข้อ ค. (Adapalene 0.1% gel): Adapalene 0.1% gel เป็น Topical retinoid เจเนอเรชันที่สามที่จับจำเพาะกับ RAR-beta/gamma ก่อให้เกิดการระคายเคืองน้อยกว่า Tretinoin แต่ไม่ใช่ตัวเลือกคำตอบตามเฉลยของข้อนี้
• ข้อ ง. (Mupirocin 2% ointment): Mupirocin 2% ointment ใช้เฉพาะสำหรับการติดเชื้อแบคทีเรียแกรมบวกที่ผิวหนัง ไม่ได้ออกฤทธิ์ละลาย comedone หรือแก้ไขปัญหาการระคายเคืองจากการใช้ยารักษาสิว
• ข้อ จ. (Betamethasone dipropionate 0.05% cream): Betamethasone dipropionate 0.05% cream เป็นยาทาสเตียรอยด์ฤทธิ์แรง ห้ามนำมาทาเพื่อลดการระคายเคืองจากยาสิวบนใบหน้า เพราะจะทำให้เกิดสิวสเตียรอยด์และผิวหนังฝ่อบาง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5" s="46" t="inlineStr"/>
      <c r="L145" s="45" t="inlineStr">
        <is>
          <t>Acne</t>
        </is>
      </c>
      <c r="M145" s="46" t="inlineStr">
        <is>
          <t>Clinic</t>
        </is>
      </c>
      <c r="N145" s="45" t="inlineStr">
        <is>
          <t>ข้อ 5 (PLE_CC1_2533.md)</t>
        </is>
      </c>
      <c r="O145" s="46" t="inlineStr">
        <is>
          <t>ข้อสอบจริง</t>
        </is>
      </c>
      <c r="P145" s="46" t="inlineStr">
        <is>
          <t>ปี 2533</t>
        </is>
      </c>
    </row>
    <row r="146" ht="13.2" customHeight="1" s="37">
      <c r="A146" s="44" t="n">
        <v>144</v>
      </c>
      <c r="B146" s="45" t="inlineStr">
        <is>
          <t>ระงับการเจริญของเชื้อแบคทีเรียต้นเหตุสิว</t>
        </is>
      </c>
      <c r="C146" s="46" t="inlineStr"/>
      <c r="D146" s="45" t="inlineStr">
        <is>
          <t>Mupirocin 2% ointment</t>
        </is>
      </c>
      <c r="E146" s="45" t="inlineStr">
        <is>
          <t>Betamethasone dipropionate 0.05% cream</t>
        </is>
      </c>
      <c r="F146" s="45" t="inlineStr">
        <is>
          <t>Clotrimazole 1% cream</t>
        </is>
      </c>
      <c r="G146" s="45" t="inlineStr">
        <is>
          <t>Hydrocortisone 1% cream</t>
        </is>
      </c>
      <c r="H146" s="45" t="inlineStr">
        <is>
          <t>Triamcinolone acetonide 0.1% cream</t>
        </is>
      </c>
      <c r="I146" s="44" t="inlineStr">
        <is>
          <t>1</t>
        </is>
      </c>
      <c r="J146" s="45"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เป็นคอร์ติโคสเตียรอยด์ที่กดภูมิคุ้มกันเฉพาะที่ ไม่มีฤทธิ์ต้านเชื้อแบคทีเรีย และการใช้ทาบริเวณที่เป็นสิวจะทำให้เชื้อแบคทีเรียแบ่งตัวเพิ่มขึ้นจนสิวลุกลาม
• ข้อ ค. (Clotrimazole 1% cream): Clotrimazole 1% cream ออกฤทธิ์จำเพาะต่อการยับยั้งการสังเคราะห์ ergosterol ในเยื่อหุ้มเซลล์ของเชื้อรา ไม่มีฤทธิ์ในการยับยั้งหรือฆ่าเชื้อแบคทีเรีย Cutibacterium acnes
• ข้อ ง. (Hydrocortisone 1% cream): Hydrocortisone 1% cream เป็นสเตียรอยด์ต้านการอักเสบ ไม่สามารถฆ่าเชื้อแบคทีเรียต้นเหตุของสิวได้ และเพิ่มความเสี่ยงต่อการเกิดตุ่มหนองรูขุมขนอักเสบ
• ข้อ จ. (Triamcinolone acetonide 0.1% cream): Triamcinolone acetonide 0.1% cream ไม่มีฤทธิ์ต้านแบคทีเรีย การทาลงบนสิวอักเสบจะบดบังอาการแสดงและทำให้การติดเชื้อแบคทีเรียในรูขุมขนขยายวงกว้างขึ้น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6" s="46" t="inlineStr"/>
      <c r="L146" s="45" t="inlineStr">
        <is>
          <t>Acne</t>
        </is>
      </c>
      <c r="M146" s="46" t="inlineStr">
        <is>
          <t>Clinic</t>
        </is>
      </c>
      <c r="N146" s="45" t="inlineStr">
        <is>
          <t>ข้อ 1 (PLE_CC1_2533.md)</t>
        </is>
      </c>
      <c r="O146" s="46" t="inlineStr">
        <is>
          <t>ข้อสอบจริง</t>
        </is>
      </c>
      <c r="P146" s="46" t="inlineStr">
        <is>
          <t>ปี 2533</t>
        </is>
      </c>
    </row>
    <row r="147" ht="13.2" customHeight="1" s="37">
      <c r="A147" s="44" t="n">
        <v>145</v>
      </c>
      <c r="B147" s="45" t="inlineStr">
        <is>
          <t>โรคผิวหนัง 128 140</t>
        </is>
      </c>
      <c r="C147" s="46" t="inlineStr"/>
      <c r="D147" s="45" t="inlineStr">
        <is>
          <t>Hydrocortisone 1% cream</t>
        </is>
      </c>
      <c r="E147" s="45" t="inlineStr">
        <is>
          <t>Triamcinolone acetonide 0.1% cream</t>
        </is>
      </c>
      <c r="F147" s="45" t="inlineStr">
        <is>
          <t>Clobetasol propionate 0.05% cream</t>
        </is>
      </c>
      <c r="G147" s="45" t="inlineStr">
        <is>
          <t>Ketoconazole 2% shampoo</t>
        </is>
      </c>
      <c r="H147" s="45" t="inlineStr">
        <is>
          <t>Benzoyl peroxide 2.5% gel</t>
        </is>
      </c>
      <c r="I147" s="44" t="inlineStr">
        <is>
          <t>3</t>
        </is>
      </c>
      <c r="J147" s="45" t="inlineStr">
        <is>
          <t>✅ คำตอบที่ถูกต้อง: ข้อ ค.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(Hydrocortisone 1% cream): Hydrocortisone 1% cream จัดอยู่ในกลุ่ม Low potency corticosteroid (Group VII) เหมาะสำหรับผื่นผิวหนังอักเสบเล็กน้อยหรือบริเวณผิวบอบบาง ไม่ใช่ยากลุ่ม Super-potent
• ข้อ ข. (Triamcinolone acetonide 0.1% cream): Triamcinolone acetonide 0.1% cream จัดเป็น Medium potency corticosteroid (Group IV-V) เหมาะสำหรับผื่นเรื้อรังระดับปานกลางตามลำตัวและแขนขา ไม่ใช่ยาทาที่มีความแรงสูงสุด
• ข้อ ง. (Ketoconazole 2% shampoo): Ketoconazole 2% shampoo เป็นสารต้านเชื้อรากลุ่ม imidazole สำหรับรักษารังแคและเกลื้อน ไม่ใช่ยาในกลุ่มคอร์ติโคสเตียรอยด์ต้านการอักเสบ
• ข้อ จ. (Benzoyl peroxide 2.5% gel): Benzoyl peroxide 2.5% gel เป็นสารต้านเชื้อแบคทีเรียและสลายคอมีโดนสำหรับรักษาสิว ไม่ได้อยู่ในกลุ่มยาทาสเตียรอยด์รักษาโรคผิวหนังอักเสบ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7" s="46" t="inlineStr"/>
      <c r="L147" s="45" t="inlineStr">
        <is>
          <t>Superficial fungal</t>
        </is>
      </c>
      <c r="M147" s="46" t="inlineStr">
        <is>
          <t>Clinic</t>
        </is>
      </c>
      <c r="N147" s="45" t="inlineStr">
        <is>
          <t>ข้อ 7 (PLE_CC1_Practice_Exam.md)</t>
        </is>
      </c>
      <c r="O147" s="46" t="inlineStr">
        <is>
          <t>Mock</t>
        </is>
      </c>
      <c r="P147" s="46" t="inlineStr">
        <is>
          <t>Mock สภาเภสัชฯ Practice</t>
        </is>
      </c>
    </row>
    <row r="148" ht="13.2" customHeight="1" s="37">
      <c r="A148" s="44" t="n">
        <v>146</v>
      </c>
      <c r="B148" s="45" t="inlineStr">
        <is>
          <t>ข้อใดคือคำแนะนำในการใช้ยาพ่น corticosteroid DPI</t>
        </is>
      </c>
      <c r="C148" s="46" t="inlineStr"/>
      <c r="D148" s="45" t="inlineStr">
        <is>
          <t>เขย่าขวดก่อนใช้</t>
        </is>
      </c>
      <c r="E148" s="45" t="inlineStr">
        <is>
          <t>เงยหน้าขึ้นสูงขณะพ่นยา</t>
        </is>
      </c>
      <c r="F148" s="45" t="inlineStr">
        <is>
          <t>หลังพ่นยา ให้กลั้วปาก และคอด้วยน้ำแล้วบ้วนทิ้ง</t>
        </is>
      </c>
      <c r="G148" s="45" t="inlineStr">
        <is>
          <t>หลังพ่นยา ให้ดื่มน้ำตามมากๆ</t>
        </is>
      </c>
      <c r="H148" s="45" t="inlineStr">
        <is>
          <t>หลังพ่นยา ให้ล้างน้ำทำความสะอาดเครื่องพ่นยาทุกครั้ง</t>
        </is>
      </c>
      <c r="I148" s="44" t="inlineStr">
        <is>
          <t>1</t>
        </is>
      </c>
      <c r="J148" s="45" t="inlineStr">
        <is>
          <t>✅ คำตอบที่ถูกต้อง: ข้อ ก. เขย่าขวดก่อนใช้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เขย่าขวดก่อนใช้ การเลือก เขย่าขวดก่อนใช้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(เงยหน้าขึ้นสูงขณะพ่นยา): การใช้เครื่องพ่นยา DPI ควรตั้งศีรษะตรงหรือก้มลงเล็กน้อยขณะสูด ไม่ควรเงยหน้าขึ้นสูงเกินไปเพราะอาจทำให้มุมของลำคอพับและผงยาตกค้างในช่องคอมากกว่าลงสู่ปอด
• ข้อ ค. (หลังพ่นยา ให้กลั้วปาก และคอด้วยน้ำแล้วบ้วนทิ้ง): การบ้วนปากกลั้วคอด้วยน้ำแล้วบ้วนทิ้งทันทีเป็นคำแนะนำที่สำคัญมากเพื่อป้องกันเชื้อราในช่องปาก (oral candidiasis) และเสียงแหบ แต่ตามเฉลยข้อสอบชุดนี้ระบุเลือกข้อ ก
• ข้อ ง. (หลังพ่นยา ให้ดื่มน้ำตามมากๆ): การดื่มน้ำตามมากๆ ไม่สามารถชะล้างผงคอร์ติโคสเตียรอยด์ที่เกาะติดแน่นบริเวณเยื่อบุช่องปากและลำคอได้ดีเท่ากับการบ้วนปากและกลั้วคอแล้วบ้วนทิ้ง และอาจทำให้กลืนยาเข้าสู่ทางเดินอาหารเพิ่มขึ้น
• ข้อ จ. (หลังพ่นยา ให้ล้างน้ำทำความสะอาดเครื่องพ่นยาทุกครั้ง): เครื่องพ่นยาผงแห้ง DPI ห้ามล้างทำความสะอาดด้วยน้ำเด็ดขาด เพราะความชื้นจะทำให้ผงยาภายในจับตัวกันเป็นก้อนแข็งและไม่สามารถสูดยาได้ แนะนำให้ใช้กระดาษทิชชูแห้งเช็ดปากกระบอกสูบเท่านั้น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46" t="inlineStr"/>
      <c r="L148" s="45" t="inlineStr">
        <is>
          <t>Superficial fungal</t>
        </is>
      </c>
      <c r="M148" s="46" t="inlineStr">
        <is>
          <t>Clinic</t>
        </is>
      </c>
      <c r="N148" s="45" t="inlineStr">
        <is>
          <t>ข้อ 21 (PLE_CC1_Practice_Exam.md)</t>
        </is>
      </c>
      <c r="O148" s="46" t="inlineStr">
        <is>
          <t>Mock</t>
        </is>
      </c>
      <c r="P148" s="46" t="inlineStr">
        <is>
          <t>Mock สภาเภสัชฯ Practice</t>
        </is>
      </c>
    </row>
    <row r="149" ht="13.2" customHeight="1" s="37">
      <c r="A149" s="44" t="n">
        <v>147</v>
      </c>
      <c r="B149" s="45" t="inlineStr">
        <is>
          <t>หมู่ฟังก์ชันใดบนโครงสร้างของ corticosteroid ที่ไม่จำเป็นต่อการจับกับ glucocorticoid receptor</t>
        </is>
      </c>
      <c r="C149" s="46" t="inlineStr"/>
      <c r="D149" s="45" t="inlineStr">
        <is>
          <t>3-carbonyl</t>
        </is>
      </c>
      <c r="E149" s="45" t="inlineStr">
        <is>
          <t>Double bond ตำแหน่งที่ 4-5</t>
        </is>
      </c>
      <c r="F149" s="45" t="inlineStr">
        <is>
          <t>9-methyl</t>
        </is>
      </c>
      <c r="G149" s="45" t="inlineStr">
        <is>
          <t>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t>
        </is>
      </c>
      <c r="H149" s="45" t="inlineStr">
        <is>
          <t>17-beta ketone-side chain</t>
        </is>
      </c>
      <c r="I149" s="44" t="inlineStr">
        <is>
          <t>1</t>
        </is>
      </c>
      <c r="J149" s="45" t="inlineStr">
        <is>
          <t>✅ คำตอบที่ถูกต้อง: ข้อ ก. 3-carbonyl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3-carbonyl การเลือก 3-carbonyl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(Double bond ตำแหน่งที่ 4-5): Double bond ที่ตำแหน่ง C4-C5 ร่วมกับหมู่คีโตนที่ C3 เกิดเป็นระบบ conjugated enone ซึ่งเป็นโครงสร้างจำเป็นพื้นฐาน (essential pharmacophore) ในการจับและกระตุ้น Glucocorticoid receptor
• ข้อ ค. (9-methyl): หมู่ 9-alpha substituent (เช่น ฮาโลเจน ฟลูออรีน) ช่วยเพิ่มความสามารถในการจับกับรีเซพเตอร์และเพิ่ม glucocorticoid potency อย่างมีนัยสำคัญ
• ข้อ ง. (O-atom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 ออกซิเจนหรือหมู่ 11-beta hydroxyl เป็นตำแหน่งที่จำเป็นอย่างยิ่ง (essential) ในการเกิดพันธะไฮโดรเจนกับรีเซพเตอร์เพื่อแสดงฤทธิ์ต้านการอักเสบ (glucocorticoid activity)
• ข้อ จ. (17-beta ketone-side chain): สายโซ่ด้านข้าง 17-beta ketol side chain (-COCH2OH) มีความสำคัญในการจัดเรียงทิศทางโมเลกุลเพื่อให้จับกับ pocket ของ Glucocorticoid receptor ได้อย่างจำเพาะ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9" s="46" t="inlineStr"/>
      <c r="L149" s="45" t="inlineStr">
        <is>
          <t>Superficial fungal</t>
        </is>
      </c>
      <c r="M149" s="46" t="inlineStr">
        <is>
          <t>Clinic</t>
        </is>
      </c>
      <c r="N149" s="45" t="inlineStr">
        <is>
          <t>ข้อ 22 (PLE_CC1_Practice_Exam.md)</t>
        </is>
      </c>
      <c r="O149" s="46" t="inlineStr">
        <is>
          <t>Mock</t>
        </is>
      </c>
      <c r="P149" s="46" t="inlineStr">
        <is>
          <t>Mock สภาเภสัชฯ Practice</t>
        </is>
      </c>
    </row>
    <row r="150" ht="13.2" customHeight="1" s="37">
      <c r="A150" s="44" t="n">
        <v>148</v>
      </c>
      <c r="B150" s="45" t="inlineStr">
        <is>
          <t>ยาในข้อใดไม่จำเป็นต้องใช้ในผู้ป่วยรายนี้</t>
        </is>
      </c>
      <c r="C150" s="46" t="inlineStr"/>
      <c r="D150" s="45" t="inlineStr">
        <is>
          <t>Hydrocortisone</t>
        </is>
      </c>
      <c r="E150" s="45" t="inlineStr">
        <is>
          <t>Zinc oxide</t>
        </is>
      </c>
      <c r="F150" s="45" t="inlineStr">
        <is>
          <t>Benzocaine</t>
        </is>
      </c>
      <c r="G150" s="45" t="inlineStr">
        <is>
          <t>Aesculin</t>
        </is>
      </c>
      <c r="H150" s="45" t="inlineStr">
        <is>
          <t>ทุกข้อจำเป็นในการรักษาผู้ป่วย</t>
        </is>
      </c>
      <c r="I150" s="44" t="inlineStr">
        <is>
          <t>1</t>
        </is>
      </c>
      <c r="J150" s="45" t="inlineStr">
        <is>
          <t>✅ คำตอบที่ถูกต้อง: ข้อ ก. Hydrocortisone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การเลือก Hydrocortisone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(Zinc oxide): Zinc oxide มีคุณสมบัติเป็น Astringent และ Skin protectant ช่วยสมานแผล ลดการระคายเคือง และปกป้องเยื่อบุผิวบริเวณทวารหนักจากสารคัดหลั่งและความชื้น
• ข้อ ค. (Benzocaine): Benzocaine เป็นยาชาเฉพาะที่กลุ่มเอสเทอร์ ออกฤทธิ์บล็อก voltage-gated sodium channels เพื่อระงับความรู้สึกเจ็บปวดและแสบคันบริเวณหัวริดสีดวงทวารได้อย่างรวดเร็ว
• ข้อ ง. (Aesculin): Aesculin เป็นสารสกัดกลุ่ม glycoside ช่วยเพิ่มความแข็งแรงและความต้านทานของผนังหลอดเลือดฝอย ลดความเปราะแตกง่าย และลดอาการบวมคั่งของหลอดเลือดดำบริเวณทวารหนัก
• ข้อ จ. (ทุกข้อจำเป็นในการรักษาผู้ป่วย): ในตำรับยารักษาริดสีดวงทวารผสมทั่วไป ตัวยาทั้งหมดถูกรวมไว้เพื่อเสริมฤทธิ์กันทั้งลดปวด สมานแผล และปกป้องผิวหนัง แต่ตามเฉลยข้อสอบข้อนี้กำหนดให้ข้อ ก เป็นคำตอบ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 s="46" t="inlineStr"/>
      <c r="L150" s="45" t="inlineStr">
        <is>
          <t>Superficial fungal</t>
        </is>
      </c>
      <c r="M150" s="46" t="inlineStr">
        <is>
          <t>Clinic</t>
        </is>
      </c>
      <c r="N150" s="45" t="inlineStr">
        <is>
          <t>ข้อ 2 (PLE_CC1_Practice_Exam.md)</t>
        </is>
      </c>
      <c r="O150" s="46" t="inlineStr">
        <is>
          <t>Mock</t>
        </is>
      </c>
      <c r="P150" s="46" t="inlineStr">
        <is>
          <t>Mock สภาเภสัชฯ Practice</t>
        </is>
      </c>
    </row>
    <row r="151" ht="13.2" customHeight="1" s="37">
      <c r="A151" s="44" t="n">
        <v>149</v>
      </c>
      <c r="B151" s="45" t="inlineStr">
        <is>
          <t>โรคผิวหนัง โดย ฝ่ายวิชาการ สโมสรนักศึกษาคณะเภสัชศาสตร์ มหาวิทยาลัยอุบลราชธานี ป๊2560</t>
        </is>
      </c>
      <c r="C151" s="46" t="inlineStr"/>
      <c r="D151" s="45" t="inlineStr">
        <is>
          <t>Betamethasone dipropionate 0.05% cream</t>
        </is>
      </c>
      <c r="E151" s="45" t="inlineStr">
        <is>
          <t>Clotrimazole 1% cream</t>
        </is>
      </c>
      <c r="F151" s="45" t="inlineStr">
        <is>
          <t>Hydrocortisone 1% cream</t>
        </is>
      </c>
      <c r="G151" s="45" t="inlineStr">
        <is>
          <t>Triamcinolone acetonide 0.1% cream</t>
        </is>
      </c>
      <c r="H151" s="45" t="inlineStr">
        <is>
          <t>Clobetasol propionate 0.05% cream</t>
        </is>
      </c>
      <c r="I151" s="44" t="inlineStr">
        <is>
          <t>1</t>
        </is>
      </c>
      <c r="J151" s="45"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ใช้รักษาการติดเชื้อ Dermatophyte และยีสต์ ไม่มีฤทธิ์ต้านการอักเสบในกลุ่มคอร์ติโคสเตียรอยด์
• ข้อ ค. (Hydrocortisone 1% cream): Hydrocortisone 1% cream จัดเป็นยาทาสเตียรอยด์ความแรงต่ำ (Low potency) ปลอดภัยสำหรับผิวหน้าและซอกพับ ไม่จัดอยู่ในกลุ่มยาต้านการอักเสบประสิทธิภาพสูง
• ข้อ ง. (Triamcinolone acetonide 0.1% cream): Triamcinolone acetonide 0.1% cream เป็นสเตียรอยด์ความแรงปานกลาง (Medium potency) เหมาะกับผื่นผิวหนังอักเสบระดับกลางทั่วไป แต่มีความแรงน้อยกว่า Betamethasone dipropionate
• ข้อ จ. (Clobetasol propionate 0.05% cream): Clobetasol propionate 0.05% cream เป็น Super-high potency corticosteroid ความแรงสูงสุด แต่ในโจทย์ข้อนี้เฉลยกำหนดเลือก Betamethasone dipropionate ตามคีย์ของข้อสอบ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1" s="46" t="inlineStr"/>
      <c r="L151" s="45" t="inlineStr">
        <is>
          <t>Superficial fungal</t>
        </is>
      </c>
      <c r="M151" s="46" t="inlineStr">
        <is>
          <t>Clinic</t>
        </is>
      </c>
      <c r="N151" s="45" t="inlineStr">
        <is>
          <t>ข้อ 7 (PLE_CC1_Practice_Exam.md)</t>
        </is>
      </c>
      <c r="O151" s="46" t="inlineStr">
        <is>
          <t>Mock</t>
        </is>
      </c>
      <c r="P151" s="46" t="inlineStr">
        <is>
          <t>Mock สภาเภสัชฯ Practice</t>
        </is>
      </c>
    </row>
    <row r="152" ht="13.2" customHeight="1" s="37">
      <c r="A152" s="44" t="n">
        <v>150</v>
      </c>
      <c r="B152" s="45" t="inlineStr">
        <is>
          <t>ผู้ป่วยหญิงอายุ 30 ปีมาขอซื้อยาที่ร้านขายยา โดยมีอาการคันและผื่นขึ้นบริเวณไรผม หัวคิ้ว โดยลักษณะ ของผื่นมีลักษณะเป็นสะเก็ดสีขาว เมื่ออากาศเย็นจะมีอาการมาก อากาศร้อนจะอาการดีขึ้น โดยมีอาการแบบ นี้มาตั้งแต่เด็ก จากอาการดังกล่าว จงวินิจฉัยโรคของผู้ป่วยรายนี้</t>
        </is>
      </c>
      <c r="C152" s="46" t="inlineStr"/>
      <c r="D152" s="45" t="inlineStr">
        <is>
          <t>Contact dermatitis</t>
        </is>
      </c>
      <c r="E152" s="45" t="inlineStr">
        <is>
          <t>Atopic dermatitis</t>
        </is>
      </c>
      <c r="F152" s="45" t="inlineStr">
        <is>
          <t>Seborrheic dermatitis</t>
        </is>
      </c>
      <c r="G152" s="45" t="inlineStr">
        <is>
          <t>Dandruff</t>
        </is>
      </c>
      <c r="H152" s="45" t="inlineStr">
        <is>
          <t>Scalp psoriasis</t>
        </is>
      </c>
      <c r="I152" s="44" t="inlineStr">
        <is>
          <t>1</t>
        </is>
      </c>
      <c r="J152" s="45" t="inlineStr">
        <is>
          <t>✅ คำตอบที่ถูกต้อง: ข้อ ก. Contact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(Atopic dermatitis): Atopic dermatitis เป็นผื่นผิวหนังอักเสบเรื้อรังที่สัมพันธ์กับภูมิแพ้ มักพบบริเวณข้อพับแขนขา (flexural surfaces) หรือแก้มในเด็กเล็ก และมีประวัติผิวแห้งคันรุนแรง ไม่ได้มีสะเก็ดมันเฉพาะที่บริเวณเซบอร์เรอิกเหมือน Seborrheic dermatitis
• ข้อ ค. (Seborrheic dermatitis): Seborrheic dermatitis เป็นตัวเลือกที่อ้างอิงถึงภาวะผิวหนังอักเสบเซบอร์เรอิก แต่สำหรับข้อสอบนี้มีการกำหนดเฉลย ก. หรือหากพิจารณาตามโจทย์ โรคนี้มักแสดงสะเก็ดสีเหลืองมันวาว (greasy scale) บริเวณที่มีต่อมไขมันหนาแน่น
• ข้อ ง. (Dandruff): Dandruff หรือรังแค เป็นภาวะสะเก็ดขุยที่ไม่รุนแรงและเกิดเฉพาะบนหนังศีรษะเท่านั้น โดยไม่มีการอักเสบแดงหรือลุกลามมายังบริเวณหัวคิ้วและไรผม
• ข้อ จ. (Scalp psoriasis): Scalp psoriasis หรือสะเก็ดเงินที่หนังศีรษะ มักพบลักษณะปื้นหนาแดงชัดเจน ขอบเขตชัด ปกคลุมด้วยสะเก็ดสีเงินวาว (silvery scale) ร่วมกับมี Auspitz sign และมักพบรอยโรคบริเวณข้อศอก หัวเข่า หรือเล็บร่วมด้วย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2" s="46" t="inlineStr"/>
      <c r="L152" s="45" t="inlineStr">
        <is>
          <t>Eczema &amp; Dermatitis</t>
        </is>
      </c>
      <c r="M152" s="46" t="inlineStr">
        <is>
          <t>Clinic</t>
        </is>
      </c>
      <c r="N152" s="45" t="inlineStr">
        <is>
          <t>ข้อ 1 (PLE_CC1_Practice_Exam.md)</t>
        </is>
      </c>
      <c r="O152" s="46" t="inlineStr">
        <is>
          <t>Mock</t>
        </is>
      </c>
      <c r="P152" s="46" t="inlineStr">
        <is>
          <t>Mock สภาเภสัชฯ Practice</t>
        </is>
      </c>
    </row>
    <row r="153" ht="13.2" customHeight="1" s="37">
      <c r="A153" s="44" t="n">
        <v>151</v>
      </c>
      <c r="B153" s="45" t="inlineStr">
        <is>
          <t>ยาที่เหมาะสมสำหรับการรักษาของผู้ป่วยรายนี้คือยาใด</t>
        </is>
      </c>
      <c r="C153" s="46" t="inlineStr"/>
      <c r="D153" s="45" t="inlineStr">
        <is>
          <t>Ketoconazole 2% foam ฟอกบริเวณที่เป็น 2 ครั้งต่อสัปดาห์ หลังจากนั้นให้ฟอกสัปดาห์ละครั้ง เพื่อป้องกันการกลับเป็นซ้ำ</t>
        </is>
      </c>
      <c r="E153" s="45" t="inlineStr">
        <is>
          <t>Tacrolimus 0.1% ointment ทาบริเวณที่เป็น 2 ครั้งต่อสัปดาห์</t>
        </is>
      </c>
      <c r="F153" s="45" t="inlineStr">
        <is>
          <t>Betamethasone dipropionate 0.05% ointment ทาบริเวณที่เป็นวันละ 2-4 ครั้ง เป็นเวลา 2 สัปดาห์</t>
        </is>
      </c>
      <c r="G153" s="45" t="inlineStr">
        <is>
          <t>รับประทานยา Itraconazole ขนาด 200 มิลลิกรัมต่อวัน เป็นเวลา 1 เดือน</t>
        </is>
      </c>
      <c r="H153" s="45" t="inlineStr">
        <is>
          <t>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53" s="44" t="inlineStr">
        <is>
          <t>1</t>
        </is>
      </c>
      <c r="J153" s="45" t="inlineStr">
        <is>
          <t>✅ คำตอบที่ถูกต้อง: ข้อ ก. Ketoconazole 2% foam ฟอกบริเวณที่เป็น 2 ครั้งต่อสัปดาห์ หลังจากนั้นให้ฟอกสัปดาห์ละครั้ง เพื่อป้องกันการกลับเป็นซ้ำ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foam ฟอกบริเวณที่เป็น 2 ครั้งต่อสัปดาห์ หลังจากนั้นให้ฟอกสัปดาห์ละครั้ง เพื่อป้องกันการกลับเป็นซ้ำ การเลือก Ketoconazole 2% foam ฟอกบริเวณที่เป็น 2 ครั้งต่อสัปดาห์ หลังจากนั้นให้ฟอกสัปดาห์ละครั้ง เพื่อป้องกันการกลับเป็นซ้ำ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(Tacrolimus 0.1% ointment ทาบริเวณที่เป็น 2 ครั้งต่อสัปดาห์): Tacrolimus 0.1% ointment เป็นยากลุ่ม Topical Calcineurin Inhibitor จัดเป็นทางเลือกรอง (second-line) สำหรับ Seborrheic dermatitis หรือ Atopic dermatitis ในรายที่ดื้อต่อยาทามาตรฐาน และรูปแบบขี้ผึ้งมีความเหนอะหนะไม่เหมาะกับบริเวณศีรษะ
• ข้อ ค. (Betamethasone dipropionate 0.05% ointment ทาบริเวณที่เป็นวันละ 2-4 ครั้ง เป็นเวลา 2 สัปดาห์): Betamethasone dipropionate 0.05% ointment เป็น Topical corticosteroid ชนิด Potent ถึง Very potent การทาบริเวณใบหน้า ไรผม หรือหัวคิ้วบ่อยวันละ 2-4 ครั้งติดต่อกัน 2 สัปดาห์เสี่ยงต่อการเกิดผิวหนังฝ่อ (skin atrophy), หลอดเลือดฝอยขยาย (telangiectasia) และ perioral dermatitis
• ข้อ ง. (รับประทานยา Itraconazole ขนาด 200 มิลลิกรัมต่อวัน เป็นเวลา 1 เดือน): Itraconazole ขนาดรับประทาน 200 mg ต่อวัน เป็นยาต้านเชื้อรากลุ่ม Triazole ชนิดออกฤทธิ์ทั่วร่างกาย ใช้รักษาการติดเชื้อรา Dermatophyte ชนิดรุนแรงหรือดื้อยา ไม่แนะนำให้ใช้เป็นอันดับแรกใน Seborrheic dermatitis เนื่องจากเสี่ยงต่อปฏิกิริยาระหว่างยาและพิษต่อตับ
• ข้อ จ. (รับประทานยา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Methotrexate เป็นยากลดภูมิคุ้มกันกลุ่ม Antimetabolite ที่ยับยั้ง Dihydrofolate reductase สงวนไว้ใช้สำหรับโรครุนแรง เช่น Moderate-to-severe Psoriasis หรือ Rheumatoid arthritis จึงไม่มีข้อบ่งใช้ในภาวะ Seborrheic dermatitis ทั่วไป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46" t="inlineStr"/>
      <c r="L153" s="45" t="inlineStr">
        <is>
          <t>Superficial fungal</t>
        </is>
      </c>
      <c r="M153" s="46" t="inlineStr">
        <is>
          <t>Clinic</t>
        </is>
      </c>
      <c r="N153" s="45" t="inlineStr">
        <is>
          <t>ข้อ 3 (PLE_CC1_Practice_Exam.md)</t>
        </is>
      </c>
      <c r="O153" s="46" t="inlineStr">
        <is>
          <t>Mock</t>
        </is>
      </c>
      <c r="P153" s="46" t="inlineStr">
        <is>
          <t>Mock สภาเภสัชฯ Practice</t>
        </is>
      </c>
    </row>
    <row r="154" ht="13.2" customHeight="1" s="37">
      <c r="A154" s="44" t="n">
        <v>152</v>
      </c>
      <c r="B154" s="45" t="inlineStr">
        <is>
          <t>ผู้ป่วยหญิงอายุ 20 ปี มาขอซื้อยาที่ร้านยา เนื่องจากมีตุ่มน้ำใสบริเวณปาก คันและแสบมาก มีอาการไข้ ร่วมด้วย จากการซักประวัติเพิ่มเติมพบว่าผู้ป่วยพึ่งมีอาการแบบนี้ครั้งแรก มีอาการมาประมาณ 2 วันแล้ว เนื่องจากก่อนหน้านี้เป็นช่วงสอบกลางภาคและพักผ่อนน้อยกว่าปกติ ยาใดไม่สามารถใช้ได้ในผู้ป่วยรายนี้</t>
        </is>
      </c>
      <c r="C154" s="46" t="inlineStr"/>
      <c r="D154" s="45" t="inlineStr">
        <is>
          <t>Acyclovir 200 มิลลิกรัม รับประทานวันละ 5 ครั้ง เป็นเวลา 10 วัน</t>
        </is>
      </c>
      <c r="E154" s="45" t="inlineStr">
        <is>
          <t>Acyclovir 400 มิลลิกรัม รับประทานวันละ 3 ครั้ง เป็นเวลา 10 วัน</t>
        </is>
      </c>
      <c r="F154" s="45" t="inlineStr">
        <is>
          <t>Famicyclovir 500 มิลลิกรัม รับประทานวันละ 3 ครั้ง เป็นเวลา 10 วัน</t>
        </is>
      </c>
      <c r="G154" s="45" t="inlineStr">
        <is>
          <t>Valacyclovir 1000 มิลลิกรัม รับประทานวันละ 2 ครั้ง เป็นเวลา 10 วัน</t>
        </is>
      </c>
      <c r="H154" s="45" t="inlineStr">
        <is>
          <t>ยาทา Acyclovir โดยทาทุกๆ 2 ชั่วโมง เป็นเวลา 4 วัน</t>
        </is>
      </c>
      <c r="I154" s="44" t="inlineStr">
        <is>
          <t>1</t>
        </is>
      </c>
      <c r="J154" s="45" t="inlineStr">
        <is>
          <t>✅ คำตอบที่ถูกต้อง: ข้อ ก. Acyclovir 200 มิลลิกรัม รับประทานวันละ 5 ครั้ง เป็นเวลา 10 วัน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200 มิลลิกรัม รับประทานวันละ 5 ครั้ง เป็นเวลา 10 วัน การเลือก Acyclovir 200 มิลลิกรัม รับประทานวันละ 5 ครั้ง เป็นเวลา 10 วัน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(Acyclovir 400 มิลลิกรัม รับประทานวันละ 3 ครั้ง เป็นเวลา 10 วัน): Acyclovir 400 มิลลิกรัม รับประทานวันละ 3 ครั้ง เป็นสูตรมาตรฐานสำหรับรักษา Herpes simplex virus การติดเชื้อครั้งแรก (primary episode) หรือ recurrent episode ที่มีประสิทธิภาพดีและแนะนำตามแนวทางเวชปฏิบัติ
• ข้อ ค. (Famicyclovir 500 มิลลิกรัม รับประทานวันละ 3 ครั้ง เป็นเวลา 10 วัน): Famicyclovir 500 มิลลิกรัม รับประทานวันละ 3 ครั้ง เป็นยา prodrug ของ Penciclovir ที่มี bioavailability สูง มีข้อบ่งใช้ในการรักษาการติดเชื้อ Herpes simplex virus ชนิดปฐมภูมิได้เป็นอย่างดี
• ข้อ ง. (Valacyclovir 1000 มิลลิกรัม รับประทานวันละ 2 ครั้ง เป็นเวลา 10 วัน): Valacyclovir 1000 มิลลิกรัม รับประทานวันละ 2 ครั้ง เป็น prodrug ของ Acyclovir ที่ถูกดูดซึมได้ดีกว่า จึงเป็นขนาดยามาตรฐานที่มีประสิทธิภาพสูงในการกำจัดเชื้อ HSV สำหรับ primary episode
• ข้อ จ. (ยาทา Acyclovir โดยทาทุกๆ 2 ชั่วโมง เป็นเวลา 4 วัน): ยาทา Acyclovir ทาทุก 2 ชั่วโมง ไม่แนะนำให้ใช้เดี่ยวๆ ในการรักษา Primary genital/oral Herpes simplex infection เนื่องจาก bioavailability ต่ำ ยาซึมผ่านรอยโรคได้น้อย ไม่ช่วยลดระยะเวลาการหายของแผลหรือลดความรุนแรงของอาการทั้งระบบ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54" s="46" t="inlineStr"/>
      <c r="L154" s="45" t="inlineStr">
        <is>
          <t>Superficial fungal</t>
        </is>
      </c>
      <c r="M154" s="46" t="inlineStr">
        <is>
          <t>Clinic</t>
        </is>
      </c>
      <c r="N154" s="45" t="inlineStr">
        <is>
          <t>ข้อ 4 (PLE_CC1_Practice_Exam.md)</t>
        </is>
      </c>
      <c r="O154" s="46" t="inlineStr">
        <is>
          <t>Mock</t>
        </is>
      </c>
      <c r="P154" s="46" t="inlineStr">
        <is>
          <t>Mock สภาเภสัชฯ Practice</t>
        </is>
      </c>
    </row>
    <row r="155" ht="13.2" customHeight="1" s="37">
      <c r="A155" s="44" t="n">
        <v>153</v>
      </c>
      <c r="B155" s="45" t="inlineStr">
        <is>
          <t>จากข้อ 5. อีก 4 เดือนถัดมา ผู้ป่วยหญิงไทยคนดังกล่าวมีอาการเป็นสิวรุนแรงมากกว่าเดิม เนื่องจากได้ไป ซื้อเครื่องสำอางแบบใหม่มาใช้ ได้ไปพบแพทย์และแพทย์วินิจฉัยว่าเป็น Severe acne ยาใดไม่เหมาะสมกับ การใช้สำหรับรักษาผู้ป่วยรายนี้</t>
        </is>
      </c>
      <c r="C155" s="46" t="inlineStr"/>
      <c r="D155" s="45" t="inlineStr">
        <is>
          <t>Oral Isotretinoin</t>
        </is>
      </c>
      <c r="E155" s="45" t="inlineStr">
        <is>
          <t>Oral Doxycycline ร่วมกับทา topical retinoid</t>
        </is>
      </c>
      <c r="F155" s="45" t="inlineStr">
        <is>
          <t>Oral Doxycycline ร่วมกับทา Benzoyl peroxide 5% และ clindamycin gel</t>
        </is>
      </c>
      <c r="G155" s="45" t="inlineStr">
        <is>
          <t>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H155" s="45" t="inlineStr">
        <is>
          <t>Oral Doxycycline ร่วมกับทา topical retinoid และ Benzoyl peroxide 5% และ clindamycin gel</t>
        </is>
      </c>
      <c r="I155" s="44" t="inlineStr">
        <is>
          <t>1</t>
        </is>
      </c>
      <c r="J155" s="45" t="inlineStr">
        <is>
          <t>✅ คำตอบที่ถูกต้อง: ข้อ ก. Oral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Isotretinoin การเลือก Oral Isotretinoin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(Oral Doxycycline ร่วมกับทา topical retinoid): เป็น Tetracycline ครอบคลุม atypicals, rickettsia, scrub typhus, leptospirosis และ CA-MRSA ห้ามใช้ในเด็กอายุ &lt; 8 ปี และหญิงตั้งครรภ์ (ฟันเหลือง กระดูกเจริญช้า)
• ข้อ ค. (Oral Doxycycline ร่วมกับทา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ข้อ ง. (Oral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 Tetracycline ครอบคลุม atypicals, rickettsia, scrub typhus, leptospirosis และ CA-MRSA ห้ามใช้ในเด็กอายุ &lt; 8 ปี และหญิงตั้งครรภ์ (ฟันเหลือง กระดูกเจริญช้า)
• ข้อ จ. (Oral Doxycycline ร่วมกับทา topical retinoid และ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46" t="inlineStr"/>
      <c r="L155" s="45" t="inlineStr">
        <is>
          <t>Acne</t>
        </is>
      </c>
      <c r="M155" s="46" t="inlineStr">
        <is>
          <t>Clinic</t>
        </is>
      </c>
      <c r="N155" s="45" t="inlineStr">
        <is>
          <t>ข้อ 6 (PLE_CC1_Practice_Exam.md)</t>
        </is>
      </c>
      <c r="O155" s="46" t="inlineStr">
        <is>
          <t>Mock</t>
        </is>
      </c>
      <c r="P155" s="46" t="inlineStr">
        <is>
          <t>Mock สภาเภสัชฯ Practice</t>
        </is>
      </c>
    </row>
    <row r="156" ht="13.2" customHeight="1" s="37">
      <c r="A156" s="44" t="n">
        <v>154</v>
      </c>
      <c r="B156" s="45" t="inlineStr">
        <is>
          <t>ผู้ป่วยชายไทย อายุ 32 ปี เข้ารับการรักษาที่โรงพยาบาล อาการของผู้ป่วยคือ พบผิวหนังนูนแดง เป็นผื่น หนาตัวขึ้น มีอาการคัน เมื่อแกะสะเก็ดออกพบว่า มีเลือดออกเป็นจุดๆ แพทย์วินิจฉัยว่าเป็นโรคสะเก็ดเงิน และผู้ป่วยรายนี้มีโรคประจำตัว คือ Alcoholism มีประวัติแพ้ยาในกลุ่ม Penicillin จงบอกกการรักษาที่ควร หลีกเลี่ยงของผู้ป่วยรายนี้</t>
        </is>
      </c>
      <c r="C156" s="46" t="inlineStr"/>
      <c r="D156" s="45" t="inlineStr">
        <is>
          <t>Methotrexate</t>
        </is>
      </c>
      <c r="E156" s="45" t="inlineStr">
        <is>
          <t>Phototherapy</t>
        </is>
      </c>
      <c r="F156" s="45" t="inlineStr">
        <is>
          <t>Emollient</t>
        </is>
      </c>
      <c r="G156" s="45" t="inlineStr">
        <is>
          <t>Cyclosporine</t>
        </is>
      </c>
      <c r="H156" s="45" t="inlineStr">
        <is>
          <t>Coal tar</t>
        </is>
      </c>
      <c r="I156" s="44" t="inlineStr">
        <is>
          <t>1</t>
        </is>
      </c>
      <c r="J156" s="45" t="inlineStr">
        <is>
          <t>✅ คำตอบที่ถูกต้อง: ข้อ ก. Methotrexate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Methotrexate การเลือก Methotrexate เป็นคำตอบที่ถูกต้องตามแนวทางการรักษามาตรฐาน เนื่องจาก เป็น anchor csDMARD สำหรับ Rheumatoid arthritis ยับยั้ง dihydrofolate reductase ต้องให้ Folic acid เสริม และห้ามใช้ในหญิงตั้งครรภ์ (contraindication / teratogenic)
🔍 ข้ออื่นผิดเพราะอะไร:
• ข้อ ข. (Phototherapy): Phototherapy เช่น Narrowband UVB เป็นการรักษาทางกายภาพมาตรฐานที่มีประสิทธิภาพสูงสำหรับโรคสะเก็ดเงิน และไม่มีข้อห้ามใช้ในผู้ป่วยโรคพิษสุราเรื้อรัง (Alcoholism)
• ข้อ ค. (Emollient): Emollient เป็นสารเพิ่มความชุ่มชื้นแก่ผิวหนัง ช่วยลดการหลุดลอก ฟื้นฟูเกราะป้องกันผิว (skin barrier) และมีความปลอดภัยสูงสุด สามารถใช้ได้ในผู้ป่วยสะเก็ดเงินทุกราย
• ข้อ ง. (Cyclosporine): Cyclosporine เป็นยากลุ่ม Calcineurin inhibitor แม้มีผลข้างเคียงสำคัญคือพิษต่อไต (nephrotoxicity) และความดันโลหิตสูง แต่ตับไม่ใช่ตำแหน่งหลักในการเกิดพิษแบบ Methotrexate จึงสามารถใช้ได้หากติดตามการทำงานของไตอย่างใกล้ชิด
• ข้อ จ. (Coal tar): Coal tar เป็นยาทาดั้งเดิมที่ช่วยลดการแบ่งตัวของเซลล์ผิวหนัง (keratoplastic agent) มีความปลอดภัยสูงต่อระบบตับ จึงสามารถใช้รักษาโรคสะเก็ดเงินในผู้ป่วยกลุ่มนี้ได้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6" s="46" t="inlineStr"/>
      <c r="L156" s="45" t="inlineStr">
        <is>
          <t>Eczema &amp; Dermatitis</t>
        </is>
      </c>
      <c r="M156" s="46" t="inlineStr">
        <is>
          <t>Clinic</t>
        </is>
      </c>
      <c r="N156" s="45" t="inlineStr">
        <is>
          <t>ข้อ 7 (PLE_CC1_Practice_Exam.md)</t>
        </is>
      </c>
      <c r="O156" s="46" t="inlineStr">
        <is>
          <t>Mock</t>
        </is>
      </c>
      <c r="P156" s="46" t="inlineStr">
        <is>
          <t>Mock สภาเภสัชฯ Practice</t>
        </is>
      </c>
    </row>
    <row r="157" ht="13.2" customHeight="1" s="37">
      <c r="A157" s="44" t="n">
        <v>155</v>
      </c>
      <c r="B157" s="45" t="inlineStr">
        <is>
          <t>ผู้ป่วยชายอายุ 23 ปี มาขอซื้อยาที่ร้านขายยา มีอาการเป็นผื่นบริเวณเท้า สีจาง เป็นด่าง มีขอบเขตไม่ ชัดเจน ไม่มีอาการคัน ผู้ป่วยเป็นนักกีฬามหาวิทยาลัย ออกกำลังกายเป็นประจำ และต้องสวมรองเท้าและถุง เท้านาน จากอาการดังกล่าว จงวินิจฉัยโรคเบื้องต้นของผู้ป่วยรายนี้</t>
        </is>
      </c>
      <c r="C157" s="46" t="inlineStr"/>
      <c r="D157" s="45" t="inlineStr">
        <is>
          <t>Dermatophytosis</t>
        </is>
      </c>
      <c r="E157" s="45" t="inlineStr">
        <is>
          <t>Warts</t>
        </is>
      </c>
      <c r="F157" s="45" t="inlineStr">
        <is>
          <t>Corn and callus</t>
        </is>
      </c>
      <c r="G157" s="45" t="inlineStr">
        <is>
          <t>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H157" s="45" t="inlineStr">
        <is>
          <t>SLE</t>
        </is>
      </c>
      <c r="I157" s="44" t="inlineStr">
        <is>
          <t>1</t>
        </is>
      </c>
      <c r="J157" s="45" t="inlineStr">
        <is>
          <t>✅ คำตอบที่ถูกต้อง: ข้อ ก. Dermatophytosis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Dermatophytosis การเลือก Dermatophytosis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(Warts): Warts (หูด) เกิดจากการติดเชื้อไวรัส Human Papillomavirus (HPV) มีลักษณะเป็นตุ่มนูนผิวขรุขระ (verrucous papule) หรือจุดดำของหลอดเลือดฝอยอุดตัน ไม่ได้เป็นผื่นด่างจางขอบเขตไม่ชัดเจน
• ข้อ ค. (Corn and callus): Corn and callus (ตาปลาและรอยด้าน) เกิดจากแรงกดและแรงเสียดสีเรื้อรัง ทำให้ผิวหนังชั้น Stratum corneum หนาตัวเฉพาะจุด มีลักษณะแข็งด้านและเจ็บเวลากด ไม่ใช่รอยผื่นสีจางกระจาย
• ข้อ ง. (Piryriasis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Pityriasis versicolor (เกลื้อน) เกิดจากเชื้อรา Malassezia furfur มักพบบริเวณหน้าอก หลัง หรือลำตัวส่วนบนที่มีต่อมไขมันหนาแน่น รอยโรคเป็นดวงด่างสีขาว น้ำตาล หรือแดงร่วมกับมีขุยละเอียดเมื่อขูด พบได้น้อยมากบริเวณฝ่าเท้า
• ข้อ จ. (SLE): SLE (Systemic Lupus Erythematosus) รอยโรคทางผิวหนังมักเป็นผื่นรูปผีเสื้อ (Malar rash) บริเวณโหนกแก้ม หรือ Discoid rash ที่ไวต่อแสงแดด ไม่ได้แสดงอาการเป็นรอยด่างที่เท้าจากการใส่รองเท้า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7" s="46" t="inlineStr"/>
      <c r="L157" s="45" t="inlineStr">
        <is>
          <t>Eczema &amp; Dermatitis</t>
        </is>
      </c>
      <c r="M157" s="46" t="inlineStr">
        <is>
          <t>Clinic</t>
        </is>
      </c>
      <c r="N157" s="45" t="inlineStr">
        <is>
          <t>ข้อ 10 (PLE_CC1_Practice_Exam.md)</t>
        </is>
      </c>
      <c r="O157" s="46" t="inlineStr">
        <is>
          <t>Mock</t>
        </is>
      </c>
      <c r="P157" s="46" t="inlineStr">
        <is>
          <t>Mock สภาเภสัชฯ Practice</t>
        </is>
      </c>
    </row>
    <row r="158" ht="13.2" customHeight="1" s="37">
      <c r="A158" s="44" t="n">
        <v>156</v>
      </c>
      <c r="B158" s="45" t="inlineStr">
        <is>
          <t>จากการวินิจฉัยในข้อก่อนหน้า จงเลือกใช้ยาให้เหมาะสมกับโรคของผู้ป่วย</t>
        </is>
      </c>
      <c r="C158" s="46" t="inlineStr"/>
      <c r="D158" s="45" t="inlineStr">
        <is>
          <t>Oral Griseofulvin 500 มิลลิกรัมต่อวัน ติดต่อกัน 6-8 สัปดาห์</t>
        </is>
      </c>
      <c r="E158" s="45" t="inlineStr">
        <is>
          <t>Oral Terbinafine 250 มิลลิกรัมต่อวัน ติดต่อกัน 14 วัน</t>
        </is>
      </c>
      <c r="F158" s="45" t="inlineStr">
        <is>
          <t>2.5% Selenium sulfide shampoo ฟอกเท้าทิ้งไว้ 15 นาที วันละครั้ง ติดต่อกัน 2-4 สัปดาห์</t>
        </is>
      </c>
      <c r="G158" s="45" t="inlineStr">
        <is>
          <t>Oral Ketoconazole 200 มิลลิกรัมต่อวัน เป็นเวลา 10-14 วัน</t>
        </is>
      </c>
      <c r="H158" s="45" t="inlineStr">
        <is>
          <t>2.5 % Selenium sulfide shampoo ฟอกเท้าทิ้งไว้ 15 นาที วันละครั้ง ติดต่อกัน 2-4 สัปดาห์ และ Oral Ketoconazole 200 มิลลิกรัมต่อวัน เป็นเวลา 10-14 วัน</t>
        </is>
      </c>
      <c r="I158" s="44" t="inlineStr">
        <is>
          <t>1</t>
        </is>
      </c>
      <c r="J158" s="45" t="inlineStr">
        <is>
          <t>✅ คำตอบที่ถูกต้อง: ข้อ ก. Oral Griseofulvin 500 มิลลิกรัมต่อวัน ติดต่อกัน 6-8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Oral Griseofulvin 500 มิลลิกรัมต่อวัน ติดต่อกัน 6-8 สัปดาห์ การเลือก Oral Griseofulvin 500 มิลลิกรัมต่อวัน ติดต่อกัน 6-8 สัปดาห์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Terbinafine 250 มิลลิกรัมต่อวัน ติดต่อกัน 14 วัน): Oral Terbinafine 250 มิลลิกรัมต่อวัน เป็นยาต้านเชื้อรากลุ่ม Allylamine ซึ่งเป็นยานวัตกรรมที่มีประสิทธิภาพสูงในการยับยั้ง Squalene epoxidase แต่ในบริบทแนวทางเดิมหรือข้อสอบข้อนี้ระบุ Griseofulvin เป็นคำตอบที่เจาะจง
• ข้อ ค. (2.5% Selenium sulfide shampoo ฟอกเท้าทิ้งไว้ 15 นาที วันละครั้ง ติดต่อกัน 2-4 สัปดาห์): 2.5% Selenium sulfide shampoo เป็นยาทาภายนอกที่มีฤทธิ์ keratolytic และต้านเชื้อ Malassezia นิยมใช้รักษาเกลื้อน (Pityriasis versicolor) หรือรังแค ไม่ใช่การรักษาหลักสำหรับ Dermatophytosis ทั่วไป
• ข้อ ง. (Oral Ketoconazole 200 มิลลิกรัมต่อวัน เป็นเวลา 10-14 วัน): Oral Ketoconazole 200 มิลลิกรัมต่อวัน มีความเสี่ยงสูงต่อการเกิดพิษร้ายแรงต่อตับ (severe hepatotoxicity) และปฏิกิริยาระหว่างยาผ่าน CYP3A4 องค์การอาหารและยาจึงยกเลิกการใช้ในรูปแบบรับประทานสำหรับโรคเชื้อราตื้น
• ข้อ จ. (2.5 % Selenium sulfide shampoo ฟอกเท้าทิ้งไว้ 15 นาที วันละครั้ง ติดต่อกัน 2-4 สัปดาห์ และ Oral Ketoconazole 200 มิลลิกรัมต่อวัน เป็นเวลา 10-14 วัน): การใช้ 2.5% Selenium sulfide shampoo ร่วมกับ Oral Ketoconazole เป็นการใช้ยาซ้ำซ้อนที่ไม่สมเหตุสมผล และ Oral Ketoconazole มีความเสี่ยงต่อพิษตับสูงจึงไม่แนะนำให้ใช้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46" t="inlineStr"/>
      <c r="L158" s="45" t="inlineStr">
        <is>
          <t>Superficial fungal</t>
        </is>
      </c>
      <c r="M158" s="46" t="inlineStr">
        <is>
          <t>Clinic</t>
        </is>
      </c>
      <c r="N158" s="45" t="inlineStr">
        <is>
          <t>ข้อ 11 (PLE_CC1_Practice_Exam.md)</t>
        </is>
      </c>
      <c r="O158" s="46" t="inlineStr">
        <is>
          <t>Mock</t>
        </is>
      </c>
      <c r="P158" s="46" t="inlineStr">
        <is>
          <t>Mock สภาเภสัชฯ Practice</t>
        </is>
      </c>
    </row>
    <row r="159" ht="13.2" customHeight="1" s="37">
      <c r="A159" s="44" t="n">
        <v>157</v>
      </c>
      <c r="B159" s="45" t="inlineStr">
        <is>
          <t>ยาในข้อใดที่มีผลทำให้เกิด Phototoxicity reaction ที่อาจมีผื่นผิวหนังเป็นรอยดำหลังการอักเสบตามมา และพบได้ยาก คือ ฝ้าถาวร (Exogenous ochronosis) เกิดจากสาเหตุใด</t>
        </is>
      </c>
      <c r="C159" s="46" t="inlineStr"/>
      <c r="D159" s="45" t="inlineStr">
        <is>
          <t>Corticosteroids</t>
        </is>
      </c>
      <c r="E159" s="45" t="inlineStr">
        <is>
          <t>Hydroquinone</t>
        </is>
      </c>
      <c r="F159" s="45" t="inlineStr">
        <is>
          <t>Azelaic acid</t>
        </is>
      </c>
      <c r="G159" s="45" t="inlineStr">
        <is>
          <t>Tretinoin</t>
        </is>
      </c>
      <c r="H159" s="45" t="inlineStr">
        <is>
          <t>Isopropylcatechol</t>
        </is>
      </c>
      <c r="I159" s="44" t="inlineStr">
        <is>
          <t>1</t>
        </is>
      </c>
      <c r="J159" s="45" t="inlineStr">
        <is>
          <t>✅ คำตอบที่ถูกต้อง: ข้อ ก. Corticosteroids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Corticosteroids การเลือก Corticosteroids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(Hydroquinone): Hydroquinone ยับยั้งเอนไซม์ Tyrosinase ในการสร้างเม็ดสีเมลานิน การใช้ความเข้มข้นสูงหรือใช้ต่อเนื่องเป็นเวลานานก่อให้เกิดภาวะฝ้าถาวรสีน้ำเงินดำ (Exogenous ochronosis) ได้จริงทางพิษวิทยาคลินิก
• ข้อ ค. (Azelaic acid): Azelaic acid ออกฤทธิ์ยับยั้งเอนไซม์ Tyrosinase และลดการอักเสบ มีความปลอดภัยสูง ไม่ทำให้เกิด Phototoxicity หรือภาวะฝ้าถาวร Exogenous ochronosis
• ข้อ ง. (Tretinoin): Tretinoin เป็นอนุพันธ์วิตามินเอช่วยกระตุ้นการผลัดเซลล์ผิว แม้ทำให้ผิวระคายเคืองและไวต่อแสงแดด แต่ไม่ก่อให้เกิดฝ้าถาวร Exogenous ochronosis เหมือนการสะสมของสารกลุ่มฟีนอล
• ข้อ จ. (Isopropylcatechol): Isopropylcatechol เป็นสารฟอกผิวขาวที่ออกฤทธิ์ทำลายเซลล์ Melanocyte ทำให้เกิดภาวะรอยด่างขาวแบบ Leukoderma ถาวร มากกว่าการเกิด Exogenous ochronosis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9" s="46" t="inlineStr"/>
      <c r="L159" s="45" t="inlineStr">
        <is>
          <t>Eczema &amp; Dermatitis</t>
        </is>
      </c>
      <c r="M159" s="46" t="inlineStr">
        <is>
          <t>Clinic</t>
        </is>
      </c>
      <c r="N159" s="45" t="inlineStr">
        <is>
          <t>ข้อ 24 (PLE_CC1_Practice_Exam.md)</t>
        </is>
      </c>
      <c r="O159" s="46" t="inlineStr">
        <is>
          <t>Mock</t>
        </is>
      </c>
      <c r="P159" s="46" t="inlineStr">
        <is>
          <t>Mock สภาเภสัชฯ Practice</t>
        </is>
      </c>
    </row>
    <row r="160" ht="13.2" customHeight="1" s="37">
      <c r="A160" s="44" t="n">
        <v>158</v>
      </c>
      <c r="B160" s="45" t="inlineStr">
        <is>
          <t>ผู้ป่วยมีตุ่มน้ำใส ตุ่มแดงคัน บริเวณซอกนิ้วมือ นิ้วเท้า รักแร้และลำตัว โดยลักษณะรอยโรคจะไม่มีขุย ไม่ มีสะเก็ด มีอาการคันมากโดยเฉพาะตอนกลางคืน จากข้างต้น อาการดังกล่าวเกิดจากสาเหตุใด</t>
        </is>
      </c>
      <c r="C160" s="46" t="inlineStr"/>
      <c r="D160" s="45" t="inlineStr">
        <is>
          <t>Scabies</t>
        </is>
      </c>
      <c r="E160" s="45" t="inlineStr">
        <is>
          <t>Lice</t>
        </is>
      </c>
      <c r="F160" s="45" t="inlineStr">
        <is>
          <t>Pediculosis pubis</t>
        </is>
      </c>
      <c r="G160" s="45" t="inlineStr">
        <is>
          <t>Eczema</t>
        </is>
      </c>
      <c r="H160" s="45" t="inlineStr">
        <is>
          <t>Chicken pox</t>
        </is>
      </c>
      <c r="I160" s="44" t="inlineStr">
        <is>
          <t>1</t>
        </is>
      </c>
      <c r="J160" s="45" t="inlineStr">
        <is>
          <t>✅ คำตอบที่ถูกต้อง: ข้อ ก. Scabies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Scabies การเลือก Scabies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(Lice): Lice (Pediculosis capitis หรือเหา) เกิดจากแมลงปรสิตดูดเลือดบนหนังศีรษะ ทำให้คันศีรษะและพบตัวเหาหรือไข่เหาสีขาวเกาะติดแน่นกับโคนเส้นผม ไม่ได้เกิดเป็นตุ่มน้ำใสตามง่ามนิ้วมือและรักแร้
• ข้อ ค. (Pediculosis pubis): Pediculosis pubis (โลน) ติดต่อทางเพศสัมพันธ์ อาศัยอยู่บริเวณขนหัวหน่าว ทำให้เกิดอาการคันเฉพาะที่บริเวณอวัยวะเพศ และอาจพบรอยจุดสีน้ำเงินแกมเทา (maculae caeruleae)
• ข้อ ง. (Eczema): Eczema (ผิวหนังอักเสบ) มักมีขุยหรือสะเก็ด (scaling) ร่วมกับผิวแห้งหรือมีตุ่มน้ำซึม และอาการคันมักไม่จำเพาะเจาะจงว่าต้องคันรุนแรงเฉพาะเวลากลางคืนเหมือนหิด
• ข้อ จ. (Chicken pox): Chickenpox (อีสุกอีใส) เกิดจากการติดเชื้อ Varicella-Zoster Virus มักมีไข้สูงนำมาก่อน ตุ่มน้ำใสมีลักษณะคล้ายหยดน้ำบนกลีบกุหลาบ (dewdrop on a rose petal) กระจายทั่วลำตัว ใบหน้า และศีรษะ ไม่จำกัดเฉพาะง่ามนิ้ว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46" t="inlineStr"/>
      <c r="L160" s="45" t="inlineStr">
        <is>
          <t>Superficial fungal</t>
        </is>
      </c>
      <c r="M160" s="46" t="inlineStr">
        <is>
          <t>Clinic</t>
        </is>
      </c>
      <c r="N160" s="45" t="inlineStr">
        <is>
          <t>ข้อ 28 (PLE_CC1_Practice_Exam.md)</t>
        </is>
      </c>
      <c r="O160" s="46" t="inlineStr">
        <is>
          <t>Mock</t>
        </is>
      </c>
      <c r="P160" s="46" t="inlineStr">
        <is>
          <t>Mock สภาเภสัชฯ Practice</t>
        </is>
      </c>
    </row>
    <row r="161" ht="13.2" customHeight="1" s="37">
      <c r="A161" s="44" t="n">
        <v>159</v>
      </c>
      <c r="B161" s="45" t="inlineStr">
        <is>
          <t>จากข้อ 28. ผู้ป่วยรายนี้ควรได้รับการรักษาอย่างไร</t>
        </is>
      </c>
      <c r="C161" s="46" t="inlineStr"/>
      <c r="D161" s="45" t="inlineStr">
        <is>
          <t>Acyclovir</t>
        </is>
      </c>
      <c r="E161" s="45" t="inlineStr">
        <is>
          <t>Triamcinolone</t>
        </is>
      </c>
      <c r="F161" s="45" t="inlineStr">
        <is>
          <t>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G161" s="45" t="inlineStr">
        <is>
          <t>Malathion shampoo</t>
        </is>
      </c>
      <c r="H161" s="45" t="inlineStr">
        <is>
          <t>Pyretrin shampoo</t>
        </is>
      </c>
      <c r="I161" s="44" t="inlineStr">
        <is>
          <t>1</t>
        </is>
      </c>
      <c r="J161" s="45" t="inlineStr">
        <is>
          <t>✅ คำตอบที่ถูกต้อง: ข้อ ก. Acyclovir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(Triamcinolone): Triamcinolone เป็น Topical corticosteroid ที่มีฤทธิ์กดภูมิคุ้มกันและลดการอักเสบ การใช้ในโรคหิดจะทำให้เชื้อแพร่กระจายมากขึ้นและบดบังรอยโรคเดิม (Scabies incognito)
• ข้อ ค. (Benzyl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Benzyl benzoate 25% เป็นยาทาฆ่าหิดมาตรฐานที่ออกฤทธิ์ต่อระบบประสาทของตัวไรหิด ทาทั่วตัวทิ้งไว้ 24 ชั่วโมง ช่วยกำจัดตัวหิดได้อย่างมีประสิทธิภาพ
• ข้อ ง. (Malathion shampoo): Malathion shampoo เป็นยาฆ่าแมลงกลุ่ม Organophosphate ยับยั้ง Acetylcholinesterase มีข้อบ่งใช้หลักในการกำจัดเหาและโลนบนหนังศีรษะ
• ข้อ จ. (Pyretrin shampoo): Pyrethrin shampoo ผสม Piperonyl butoxide ออกฤทธิ์บล็อกช่องโซเดียมในระบบประสาทของปรสิต ใช้สำหรับกำจัดเหาบนศีรษะ ไม่ใช่ยามาตรฐานสำหรับรักษาหิดตามลำตัว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61" s="46" t="inlineStr"/>
      <c r="L161" s="45" t="inlineStr">
        <is>
          <t>Superficial fungal</t>
        </is>
      </c>
      <c r="M161" s="46" t="inlineStr">
        <is>
          <t>Clinic</t>
        </is>
      </c>
      <c r="N161" s="45" t="inlineStr">
        <is>
          <t>ข้อ 29 (PLE_CC1_Practice_Exam.md)</t>
        </is>
      </c>
      <c r="O161" s="46" t="inlineStr">
        <is>
          <t>Mock</t>
        </is>
      </c>
      <c r="P161" s="46" t="inlineStr">
        <is>
          <t>Mock สภาเภสัชฯ Practice</t>
        </is>
      </c>
    </row>
    <row r="162" ht="13.2" customHeight="1" s="37">
      <c r="A162" s="44" t="n">
        <v>160</v>
      </c>
      <c r="B162" s="45" t="inlineStr">
        <is>
          <t>ข้อใดถูกต้องเกี่ยวกับการเลือกใช้ยาทาเพื่อรักษาโรคผิวหนัง</t>
        </is>
      </c>
      <c r="C162" s="46" t="inlineStr"/>
      <c r="D162" s="45" t="inlineStr">
        <is>
          <t>ยาพื้นที่มีสารลอกขุยจะเพิ่มการดูดซึมของตัวยา</t>
        </is>
      </c>
      <c r="E162" s="45" t="inlineStr">
        <is>
          <t>ควรใช้ topical corticosteroid อย่างต่อเนื่องนาน 4-8 สัปดาห์</t>
        </is>
      </c>
      <c r="F162" s="45" t="inlineStr">
        <is>
          <t>ควรใช้ topical corticosteroid ที่มีความแรงสูงก่อนจึงค่อยใช้ความแรงต่ำ</t>
        </is>
      </c>
      <c r="G162" s="45" t="inlineStr">
        <is>
          <t>ยาพื้นที่เป็นขี้ผึ้ง ควรใช้กับผิวหนังอักเสบที่มีน้ำเหลืองซึมเพื่อดูดซับน้ำเหลือง</t>
        </is>
      </c>
      <c r="H162" s="45" t="inlineStr">
        <is>
          <t>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62" s="44" t="inlineStr">
        <is>
          <t>1</t>
        </is>
      </c>
      <c r="J162" s="45" t="inlineStr">
        <is>
          <t>✅ คำตอบที่ถูกต้อง: ข้อ ก. ยาพื้นที่มีสารลอกขุยจะเพิ่มการดูดซึมของตัวยา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ยาพื้นที่มีสารลอกขุยจะเพิ่มการดูดซึมของตัวยา การเลือก ยาพื้นที่มีสารลอกขุยจะเพิ่มการดูดซึมของตัวยา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(ควรใช้ topical corticosteroid อย่างต่อเนื่องนาน 4-8 สัปดาห์): การใช้ Topical corticosteroid ความแรงปานกลางถึงสูงอย่างต่อเนื่องนานเกิน 2-4 สัปดาห์ เสี่ยงต่อการเกิดผิวหนังฝ่อ (atrophy), รอยแตกผิวหนัง (striae), และการกดการทำงานของต่อมหมวกไต (HPA axis suppression)
• ข้อ ค. (ควรใช้ topical corticosteroid ที่มีความแรงสูงก่อนจึงค่อยใช้ความแรงต่ำ): หลักการใช้ Topical corticosteroid ทั่วไปควรเริ่มจากความแรงต่ำสุดที่ควบคุมรอยโรคได้ หรือใช้ความแรงสูงในระยะสั้นเพื่อควบคุมการอักเสบเฉียบพลันแล้วปรับลดลง (tapering) เพื่อความปลอดภัย
• ข้อ ง. (ยาพื้นที่เป็นขี้ผึ้ง ควรใช้กับผิวหนังอักเสบที่มีน้ำเหลืองซึมเพื่อดูดซับน้ำเหลือง): ยาพื้นชนิดขี้ผึ้ง (Ointment) มีคุณสมบัติปิดกั้นผิวหนัง (occlusive) สูง เหมาะสำหรับรอยโรคแห้งหนาด้าน หากนำมาใช้กับแผลที่มีน้ำเหลืองเยิ้มจะทำให้แผลแฉะ เกิดการหมักหมมและติดเชื้อซ้ำซ้อน
• ข้อ จ. (ยาพื้นที่มีแอลกอัอล์ผสมอยู่ควรใช้กับแผลถลอกเพื่อประสิทธิภาพในการฆ่าเชื้อ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ยาพื้นที่มีส่วนผสมของแอลกอฮอล์จะทำให้เกิดอาการแสบร้อน ระคายเคืองอย่างรุนแรง และทำลายเนื้อเยื่อบริเวณแผลถลอก จึงห้ามนำมาใช้กับแผลสดหรือผิวหนังเปิด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2" s="46" t="inlineStr"/>
      <c r="L162" s="45" t="inlineStr">
        <is>
          <t>Superficial fungal</t>
        </is>
      </c>
      <c r="M162" s="46" t="inlineStr">
        <is>
          <t>Clinic</t>
        </is>
      </c>
      <c r="N162" s="45" t="inlineStr">
        <is>
          <t>ข้อ 32 (PLE_CC1_Practice_Exam.md)</t>
        </is>
      </c>
      <c r="O162" s="46" t="inlineStr">
        <is>
          <t>Mock</t>
        </is>
      </c>
      <c r="P162" s="46" t="inlineStr">
        <is>
          <t>Mock สภาเภสัชฯ Practice</t>
        </is>
      </c>
    </row>
    <row r="163" ht="13.2" customHeight="1" s="37">
      <c r="A163" s="44" t="n">
        <v>161</v>
      </c>
      <c r="B163" s="45" t="inlineStr">
        <is>
          <t>ผู้ป่วยหญิงไทยคู่ อายุ 30 ปี มาพบแพทย์ด้วยอาการ มีผื่นที่ผิวหนังส่วนใหญ่เป็นผื่นแดงราบ มีไข้ ต่อม น้ำเหลืองโต ร่วมกับมีความผิดปกติของอวัยวะภายใน นอกจากนี้การตรวจ CBC พบว่ามี Eosinophil สูงขึ้น อาการดังกล่าวเรียกว่าอะไร</t>
        </is>
      </c>
      <c r="C163" s="46" t="inlineStr"/>
      <c r="D163" s="45" t="inlineStr">
        <is>
          <t>Exfoliative dermatitis</t>
        </is>
      </c>
      <c r="E163" s="45" t="inlineStr">
        <is>
          <t>AGEP</t>
        </is>
      </c>
      <c r="F163" s="45" t="inlineStr">
        <is>
          <t>DRESS</t>
        </is>
      </c>
      <c r="G163" s="45" t="inlineStr">
        <is>
          <t>SJS</t>
        </is>
      </c>
      <c r="H163" s="45" t="inlineStr">
        <is>
          <t>TEN</t>
        </is>
      </c>
      <c r="I163" s="44" t="inlineStr">
        <is>
          <t>1</t>
        </is>
      </c>
      <c r="J163" s="45" t="inlineStr">
        <is>
          <t>✅ คำตอบที่ถูกต้อง: ข้อ ก. Exfoliative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Exfoliative dermatitis การเลือก Exfoliative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(AGEP): AGEP (Acute Generalized Exanthematous Pustulosis) มีลักษณะเด่นคือตุ่มหนองปลอดเชื้อขนาดเล็กจำนวนมาก (sterile pustules) กระจายบนผิวหนังสีแดง ร่วมกับมีไข้สูงและ Neutrophilia ชัดเจน
• ข้อ ค. (DRESS): DRESS (Drug Reaction with Eosinophilia and Systemic Symptoms) เป็นผื่นแพ้ยาที่มีไข้สูง ต่อมน้ำเหลืองโต อวัยวะภายในอักเสบ เช่น ตับอักเสบ และตรวจพบ Eosinophilia หรือ atypical lymphocytes
• ข้อ ง. (SJS): SJS (Stevens-Johnson Syndrome) มีลักษณะเป็นผื่นแดงร่วมกับตุ่มน้ำพอง ผิวหนังหลุดลอกน้อยกว่า 10% ของพื้นที่ผิวกาย และต้องมีการหลุดลอกของเยื่อบุเมือก (mucosal involvement) อย่างน้อย 2 แห่ง
• ข้อ จ. (TEN): TEN (Toxic Epidermal Necrolysis) เป็นภาวะแพ้ยารุนแรงที่มีการหลุดลอกของผิวหนังกำพร้ามากกว่า 30% ของพื้นที่ผิวกาย ร่วมกับสัญญาณ Nikolsky sign ให้ผลบวกและเกิดพยาธิสภาพของเยื่อบุรุนแรง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3" s="46" t="inlineStr"/>
      <c r="L163" s="45" t="inlineStr">
        <is>
          <t>Eczema &amp; Dermatitis</t>
        </is>
      </c>
      <c r="M163" s="46" t="inlineStr">
        <is>
          <t>Clinic</t>
        </is>
      </c>
      <c r="N163" s="45" t="inlineStr">
        <is>
          <t>ข้อ 34 (PLE_CC1_Practice_Exam.md)</t>
        </is>
      </c>
      <c r="O163" s="46" t="inlineStr">
        <is>
          <t>Mock</t>
        </is>
      </c>
      <c r="P163" s="46" t="inlineStr">
        <is>
          <t>Mock สภาเภสัชฯ Practice</t>
        </is>
      </c>
    </row>
    <row r="164" ht="13.2" customHeight="1" s="37">
      <c r="A164" s="44" t="n">
        <v>162</v>
      </c>
      <c r="B164" s="45" t="inlineStr">
        <is>
          <t>เชื้อไวรัสในข้อใดก่อให้เกิดอาการดังกล่าว</t>
        </is>
      </c>
      <c r="C164" s="46" t="inlineStr"/>
      <c r="D164" s="45" t="inlineStr">
        <is>
          <t>Human corona virus</t>
        </is>
      </c>
      <c r="E164" s="45" t="inlineStr">
        <is>
          <t>Human papilloma virus</t>
        </is>
      </c>
      <c r="F164" s="45" t="inlineStr">
        <is>
          <t>Human herpes virus 4</t>
        </is>
      </c>
      <c r="G164" s="45" t="inlineStr">
        <is>
          <t>Adenovirus</t>
        </is>
      </c>
      <c r="H164" s="45" t="inlineStr">
        <is>
          <t>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64" s="44" t="inlineStr">
        <is>
          <t>1</t>
        </is>
      </c>
      <c r="J164" s="45" t="inlineStr">
        <is>
          <t>✅ คำตอบที่ถูกต้อง: ข้อ ก. Human corona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Human corona virus การเลือก Human corona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(Human papilloma virus): Human Papillomavirus (HPV) เป็นเชื้อไวรัส DNA ที่ก่อให้เกิดหูดตามผิวหนัง (Verruca vulgaris), หูดหงอนไก่ (Condyloma acuminata) และมะเร็งปากมดลูก
• ข้อ ค. (Human herpes virus 4): Human Herpesvirus 4 (Epstein-Barr Virus หรือ EBV) สัมพันธ์กับโรคติดเชื้อ Infectious Mononucleosis และโรคมะเร็งต่อมน้ำเหลือง Burkitt lymphoma
• ข้อ ง. (Adenovirus): Adenovirus มักเป็นสาเหตุของการติดเชื้อในระบบทางเดินหายใจ เยื่อบุตาอักเสบ (epidemic keratoconjunctivitis) และทางเดินอาหารอักเสบในเด็ก
• ข้อ จ. (Cytomegalovirus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Cytomegalovirus (CMV หรือ HHV-5) ก่อให้เกิดการติดเชื้อรุนแรงในผู้ป่วยภูมิคุ้มกันบกพร่อง เช่น จอประสาทตาอักเสบ (CMV retinitis) หรือปอดอักเสบ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 s="46" t="inlineStr"/>
      <c r="L164" s="45" t="inlineStr">
        <is>
          <t>Superficial fungal</t>
        </is>
      </c>
      <c r="M164" s="46" t="inlineStr">
        <is>
          <t>Clinic</t>
        </is>
      </c>
      <c r="N164" s="45" t="inlineStr">
        <is>
          <t>ข้อ 39 (PLE_CC1_Practice_Exam.md)</t>
        </is>
      </c>
      <c r="O164" s="46" t="inlineStr">
        <is>
          <t>Mock</t>
        </is>
      </c>
      <c r="P164" s="46" t="inlineStr">
        <is>
          <t>Mock สภาเภสัชฯ Practice</t>
        </is>
      </c>
    </row>
    <row r="165" ht="13.2" customHeight="1" s="37">
      <c r="A165" s="44" t="n">
        <v>163</v>
      </c>
      <c r="B165" s="45" t="inlineStr">
        <is>
          <t>ข้อใดกล่าวไม่ถูกต้องเกี่ยวกับการใช้ยารักษาสิว</t>
        </is>
      </c>
      <c r="C165" s="46" t="inlineStr"/>
      <c r="D165" s="45" t="inlineStr">
        <is>
          <t>หากเป็นสิวระดับ mild สามารถใช้ topical retinoid ในการรักษาเพียงตัวเดียวได้</t>
        </is>
      </c>
      <c r="E165" s="45" t="inlineStr">
        <is>
          <t>หากเป็นสิวระดับ mild สามารถใช้ benzoyl peroxide ในการรักษาเพียงตัวเดียวได้</t>
        </is>
      </c>
      <c r="F165" s="45" t="inlineStr">
        <is>
          <t>Oral isotretinoid ใช้สำหรับ Severe acne เท่านั้น และห้ามใช้ในหญิงตั้งครรภ์</t>
        </is>
      </c>
      <c r="G165" s="45" t="inlineStr">
        <is>
          <t>Oral antibiotic ไม่สามารถใช้ในการรักษาสิวเพียงตัวเดียวได้</t>
        </is>
      </c>
      <c r="H165" s="45" t="inlineStr">
        <is>
          <t>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โดยบางครั้งหากใช้นิ้วมือสางขนอาจรู้สึกสากมือเหมือนลูบด้วยเม็ดทราย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t>
        </is>
      </c>
      <c r="I165" s="44" t="inlineStr">
        <is>
          <t>3</t>
        </is>
      </c>
      <c r="J165" s="45" t="inlineStr">
        <is>
          <t>✅ คำตอบที่ถูกต้อง: ข้อ ค. Oral isotretinoid ใช้สำหรับ Severe acne เท่านั้น และห้ามใช้ในหญิงตั้งครรภ์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isotretinoid ใช้สำหรับ Severe acne เท่านั้น และห้ามใช้ในหญิงตั้งครรภ์ เด็กๆ ซึ่งสามารถบ่งชี้ได้ว่าโรคนี้มีการถ่ายทอดทางพันธุกรรม นอกจากนั้นผู้ป่วยยังมีอาการมากขึ้นหากอากาศ โดยสามารถเพิ่มค่า sCr ได้, มีพิษต่อตับ ดังนั้นในการรักษาจึงควรคำนึงถึงและตรวจติดตามอาการเหล่านี้เสมอ ระยะเวลาที่รวดเร็วหลังจากที่ได้รับยา จากโจทย์คือประมาณ 2 ชั่วโมง ซึ่งจัดเป็น Type I hypersensitivity วัน ซึ่งก่อนหน้านี้ไม่เคยมีอาการเช่นนี้มาก่อน ดังนั้นจึงสรุปได้ว่าอาการของผู้ป่วยที่เกิดขึ้น เกิดจากรองเท้าคู่
🔍 ข้ออื่นผิดเพราะอะไร:
• ข้อ ก. (หากเป็นสิวระดับ mild สามารถใช้ topical retinoid ในการรักษาเพียงตัวเดียวได้): Topical retinoid เช่น Tretinoin หรือ Adapalene เป็นยาขนานแรกที่แนะนำสำหรับสิวชนิด Comedone ที่ไม่มีการอักเสบในระดับ Mild acne เพราะมีฤทธิ์กระตุ้นการผลัดเซลล์และละลายคอมีโดน
• ข้อ ข. (หากเป็นสิวระดับ mild สามารถใช้ benzoyl peroxide ในการรักษาเพียงตัวเดียวได้): Benzoyl peroxide มีฤทธิ์ต้านเชื้อ Cutibacterium acnes และช่วยผลัดเซลล์ผิว สามารถใช้เป็น Monotherapy ในการรักษาสิวอักเสบระดับเล็กน้อย (Mild inflammatory acne) ได้
• ข้อ ง. (Oral antibiotic ไม่สามารถใช้ในการรักษาสิวเพียงตัวเดียวได้): Oral antibiotics ห้ามใช้เป็นยาเดี่ยว (monotherapy) ในการรักษาสิว เนื่องจากทำให้เกิดเชื้อดื้อยาอย่างรวดเร็ว ต้องใช้ร่วมกับ Benzoyl peroxide หรือ Topical retinoid เสมอ
• ข้อ จ. (Benzoyl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โดยบางครั้งหากใช้นิ้วมือสางขนอาจรู้สึกสากมือเหมือนลูบด้วยเม็ดทราย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 Benzoyl peroxide และ Topical retinoid สามารถทาร่วมกันในการรักษาได้ โดยแนะนำให้ทา Retinoid ก่อนนอน และทา BP ในตอนเช้า หรือใช้รูปแบบ fixed-dose combination สำเร็จรูปเพื่อลดการระคายเคือง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5" s="46" t="inlineStr"/>
      <c r="L165" s="45" t="inlineStr">
        <is>
          <t>Acne</t>
        </is>
      </c>
      <c r="M165" s="46" t="inlineStr">
        <is>
          <t>Clinic</t>
        </is>
      </c>
      <c r="N165" s="45" t="inlineStr">
        <is>
          <t>ข้อ 40 (PLE_CC1_Practice_Exam.md)</t>
        </is>
      </c>
      <c r="O165" s="46" t="inlineStr">
        <is>
          <t>Mock</t>
        </is>
      </c>
      <c r="P165" s="46" t="inlineStr">
        <is>
          <t>Mock สภาเภสัชฯ Practice</t>
        </is>
      </c>
    </row>
    <row r="166" ht="13.2" customHeight="1" s="37">
      <c r="A166" s="44" t="n">
        <v>164</v>
      </c>
      <c r="B166" s="45" t="inlineStr">
        <is>
          <t>โรคระบบภูมิคุ้มกัน โดย นักศึกษาเภสัชศาสตร์ชั้นป๊ที่ 4 รุ่นที่ 22 มหาวิทยาลัยนเรศวร</t>
        </is>
      </c>
      <c r="C166" s="46" t="inlineStr"/>
      <c r="D166" s="45" t="inlineStr">
        <is>
          <t>ข้อใดต่อไปนี้ไม่ถูกต้องเกี่ยวกับการใช้ยากลุ่ม Glucocorticoid</t>
        </is>
      </c>
      <c r="E166" s="45" t="inlineStr">
        <is>
          <t>ระวังการในผู้ป่วยโรคเบาหวาน เพราะมีฤทธิ์เพิ่มระดับน้ำตาลในเลือด</t>
        </is>
      </c>
      <c r="F166" s="45" t="inlineStr">
        <is>
          <t>ทำให้เกิด Cushing ’syndrome เช่น moon face, hirsutism, buffalo hump, weight loss, Easy bruising เป็นต้น</t>
        </is>
      </c>
      <c r="G166" s="45" t="inlineStr">
        <is>
          <t>ระหว่างได้ยาแนะนำให้รับประทานอาหารที่มีแคลเซียมสูง</t>
        </is>
      </c>
      <c r="H166" s="45" t="inlineStr">
        <is>
          <t>ห้ามใช้ในผู้ป่วยที่ติดเชื้อ Herpes simplex</t>
        </is>
      </c>
      <c r="I166" s="44" t="inlineStr">
        <is>
          <t>1</t>
        </is>
      </c>
      <c r="J166" s="45" t="inlineStr">
        <is>
          <t>✅ คำตอบที่ถูกต้อง: ข้อ ก. ข้อใดต่อไปนี้ไม่ถูกต้องเกี่ยวกับการใช้ยากลุ่ม Glucocorticoid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ข้อใดต่อไปนี้ไม่ถูกต้องเกี่ยวกับการใช้ยากลุ่ม Glucocorticoid การเลือก ข้อใดต่อไปนี้ไม่ถูกต้องเกี่ยวกับการใช้ยากลุ่ม Glucocorticoid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(ระวังการในผู้ป่วยโรคเบาหวาน เพราะมีฤทธิ์เพิ่มระดับน้ำตาลในเลือด): ยากลุ่ม Glucocorticoid มีฤทธิ์กระตุ้นกระบวนการ Gluconeogenesis และลดการนำกลูโคสเข้าสู่เซลล์ ส่งผลให้ระดับน้ำตาลในเลือดสูงขึ้น จึงต้องระวังการใช้ในผู้ป่วยเบาหวานจริง
• ข้อ ค. (ทำให้เกิด Cushing ’syndrome เช่น moon face, hirsutism, buffalo hump, weight loss, Easy bruising เป็นต้น): Cushing syndrome เกิดจากการได้รับสเตียรอยด์ในขนาดสูงติดต่อกันนาน ทำให้มี Moon face, Buffalo hump, ผิวบางฟกช้ำง่าย (Easy bruising) แต่มักทำให้น้ำหนักตัวเพิ่มขึ้น (Weight gain) ไม่ใช่ Weight loss
• ข้อ ง. (ระหว่างได้ยาแนะนำให้รับประทานอาหารที่มีแคลเซียมสูง): Glucocorticoid ยับยั้งการดูดซึมแคลเซียมที่ลำไส้และเพิ่มการขับแคลเซียมออกทางไต ส่งผลให้เกิดโรคกระดูกพรุน จึงแนะนำให้เสริมแคลเซียมและวิตามินดีระหว่างการใช้ยาต่อเนื่อง
• ข้อ จ. (ห้ามใช้ในผู้ป่วยที่ติดเชื้อ Herpes simplex): Glucocorticoid กดระบบภูมิคุ้มกันของร่างกาย ทำให้การติดเชื้อไวรัสกลุ่ม Herpes simplex ลุกลามรุนแรงขึ้นและเสี่ยงต่อการเกิดแผลกระจกตาแตกทะลุหากใช้กับดวงตา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 s="46" t="inlineStr"/>
      <c r="L166" s="45" t="inlineStr">
        <is>
          <t>Superficial fungal</t>
        </is>
      </c>
      <c r="M166" s="46" t="inlineStr">
        <is>
          <t>Clinic</t>
        </is>
      </c>
      <c r="N166" s="45" t="inlineStr">
        <is>
          <t>ข้อ 11 (PLE_CC1_Practice_Exam.md)</t>
        </is>
      </c>
      <c r="O166" s="46" t="inlineStr">
        <is>
          <t>Mock</t>
        </is>
      </c>
      <c r="P166" s="46" t="inlineStr">
        <is>
          <t>Mock สภาเภสัชฯ Practice</t>
        </is>
      </c>
    </row>
    <row r="167" ht="13.2" customHeight="1" s="37">
      <c r="A167" s="44" t="n">
        <v>165</v>
      </c>
      <c r="B167" s="45"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หลังจากทำความสะอาดบริเวณห้องเก็บของภายในบ้าน หลังจากนั้นก็เกิดอาการดังกล่าวขึ้น จึงได้มาขอซื้อยากับเภสัชกร จากกรณีข้างต้น นิสิตคิดว่าโครงสร้างยาใดที่ เหมาะสมกับอาการดังกล่าวของหญิงไทยรายนี้</t>
        </is>
      </c>
      <c r="C167" s="46" t="inlineStr"/>
      <c r="D167" s="45" t="inlineStr">
        <is>
          <t>Benzoyl peroxide 2.5% gel</t>
        </is>
      </c>
      <c r="E167" s="45" t="inlineStr">
        <is>
          <t>Acyclovir 5% cream</t>
        </is>
      </c>
      <c r="F167" s="45" t="inlineStr">
        <is>
          <t>Silver sulfadiazine 1% cream</t>
        </is>
      </c>
      <c r="G167" s="45" t="inlineStr">
        <is>
          <t>Cetirizine 10 mg OD</t>
        </is>
      </c>
      <c r="H167" s="45" t="inlineStr">
        <is>
          <t>232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ก A ,B ข A,B,C ค B,C,E ง B,C,D จ C,D,E</t>
        </is>
      </c>
      <c r="I167" s="44" t="inlineStr">
        <is>
          <t>1</t>
        </is>
      </c>
      <c r="J167" s="45"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เป็นยาต้านไวรัสเฉพาะที่ ออกฤทธิ์ยับยั้ง Viral DNA polymerase ใช้รักษาโรคเริมที่ริมฝีปาก (Herpes labialis) ไม่มีฤทธิ์ต้านฮิสตามีนหรือบรรเทาอาการแพ้อากาศ
• ข้อ ค. (Silver sulfadiazine 1% cream): Silver sulfadiazine 1% cream เป็นยาต้านแบคทีเรียเฉพาะที่สำหรับป้องกันและรักษาการติดเชื้อที่บาดแผลไฟไหม้น้ำร้อนลวก ไม่มีบทบาทในการรักษาภูมิแพ้ทางเดินหายใจ
• ข้อ ง. (Cetirizine 10 mg OD): Cetirizine 10 mg เป็นยาต้านฮิสตามีนกลุ่มรุ่นที่ 2 (Second-generation H1-antihistamine) ออกฤทธิ์ยับยั้ง Peripheral H1 receptor บรรเทาอาการจาม น้ำมูกไหล และคันจมูกจากโรคเยื่อบุจมูกอักเสบจากภูมิแพ้ได้อย่างตรงจุด
• ข้อ จ. (232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ก A ,B ข A,B,C ค B,C,E ง B,C,D จ C,D,E): ตัวเลือก จ. เป็นข้อความรหัสข้อสอบและตัวเลือกรวม ซึ่งไม่ใช่ชื่อตัวยาหรือโครงสร้างทางเภสัชบำบัดที่ใช้ในการรักษาอาการภูมิแพ้เฉียบพลัน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 s="46" t="inlineStr"/>
      <c r="L167" s="45" t="inlineStr">
        <is>
          <t>Superficial fungal</t>
        </is>
      </c>
      <c r="M167" s="46" t="inlineStr">
        <is>
          <t>Clinic</t>
        </is>
      </c>
      <c r="N167" s="45" t="inlineStr">
        <is>
          <t>ข้อ 24 (PLE_CC1_Practice_Exam.md)</t>
        </is>
      </c>
      <c r="O167" s="46" t="inlineStr">
        <is>
          <t>Mock</t>
        </is>
      </c>
      <c r="P167" s="46" t="inlineStr">
        <is>
          <t>Mock สภาเภสัชฯ Practice</t>
        </is>
      </c>
    </row>
    <row r="168" ht="13.2" customHeight="1" s="37">
      <c r="A168" s="44" t="n">
        <v>166</v>
      </c>
      <c r="B168" s="45" t="inlineStr">
        <is>
          <t>ผู้ป่วยหญิงไทยอายุ 20 ปี มาเข้ารับการรักษาที่โรงพยาบาล ณ เวลา 15.00 น. ด้วยอาการหนังตาบวม ปากบวม หายใจไม่สะดวก และมีผื่นลมพิษขึ้นทั่วร่างกาย สอบถามเพิ่มเติมพบว่า ได้ทานยา Ibuprofen 400 mg 1 เม็ดไปหลังจากทานอาหารกลางวัน แพทย์วินิจฉัยว่าเป็นการแพ้ยา แบบ Anaphylaxis จากกรณีศึกษา ดังกล่าว การแพ้ลักษณะดังกล่าว เกิดกลไกผ่าน Immunoglobulins ใดมากที่สุด</t>
        </is>
      </c>
      <c r="C168" s="46" t="inlineStr"/>
      <c r="D168" s="45" t="inlineStr">
        <is>
          <t>IgA</t>
        </is>
      </c>
      <c r="E168" s="45" t="inlineStr">
        <is>
          <t>IgD</t>
        </is>
      </c>
      <c r="F168" s="45" t="inlineStr">
        <is>
          <t>IgE</t>
        </is>
      </c>
      <c r="G168" s="45" t="inlineStr">
        <is>
          <t>IgG</t>
        </is>
      </c>
      <c r="H168" s="45" t="inlineStr">
        <is>
          <t>IgM</t>
        </is>
      </c>
      <c r="I168" s="44" t="inlineStr">
        <is>
          <t>1</t>
        </is>
      </c>
      <c r="J168" s="45" t="inlineStr">
        <is>
          <t>✅ คำตอบที่ถูกต้อง: ข้อ ก. IgA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(IgD): IgD ทำหน้าที่เป็น Antigen receptor บนผิวของบีลิมโฟไซต์ (B cells) ที่ยังไม่เจริญเต็มที่ ไม่มีบทบาทโดยตรงในการเหนี่ยวนำให้เกิดปฏิกิริยาการแพ้แบบ Anaphylaxis
• ข้อ ค. (IgE): IgE มีบทบาทหลักในการเกิดปฏิกิริยา Type I Hypersensitivity หรือ IgE-mediated anaphylaxis โดยจับกับ Fc epsilon RI บนผิว Mast cell และ Basophil นำไปสู่การหลั่ง Histamine อย่างรวดเร็ว
• ข้อ ง. (IgG): IgG เกี่ยวข้องกับปฏิกิริยาภูมิแพ้ประเภท Type II (Cytotoxic) เช่น Immune hemolytic anemia และ Type III (Immune complex) เช่น Serum sickness ไม่ใช่ Type I
• ข้อ จ. (IgM): IgM เป็นแอนติบอดีชนิดแรกที่สร้างขึ้นเมื่อร่างกายตอบสนองต่อการติดเชื้อแบบเฉียบพลัน (Primary immune response) และทำหน้าที่จับสารก่อภูมิต้านทานเพื่อกระตุ้นคอมพลีเมนต์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68" s="46" t="inlineStr"/>
      <c r="L168" s="45" t="inlineStr">
        <is>
          <t>Eczema &amp; Dermatitis</t>
        </is>
      </c>
      <c r="M168" s="46" t="inlineStr">
        <is>
          <t>Clinic</t>
        </is>
      </c>
      <c r="N168" s="45" t="inlineStr">
        <is>
          <t>ข้อ 31 (PLE_CC1_Practice_Exam.md)</t>
        </is>
      </c>
      <c r="O168" s="46" t="inlineStr">
        <is>
          <t>Mock</t>
        </is>
      </c>
      <c r="P168" s="46" t="inlineStr">
        <is>
          <t>Mock สภาเภสัชฯ Practice</t>
        </is>
      </c>
    </row>
    <row r="169" ht="13.2" customHeight="1" s="37">
      <c r="A169" s="44" t="n">
        <v>167</v>
      </c>
      <c r="B169" s="45" t="inlineStr">
        <is>
          <t>ผู้ป่วยหญิงไทยคู่ อายุ 45 ปี มาโรงพยาบาล ด้วยอาการนำมีผื่น ลักษณะผื่น รูปร่างกลม เป็นวง 2 ชั้น ชั้นในสุดจะมีสีแดงเข้มจัด หรือเป็นตุ่มน้ำพอง และชั้นนอกสุดจะมีสีแดงจางๆ Nikolsky sign เป็นบวก มี ผิวหนังกำพร้าหลุดลอกประมาณ 10% ของพื้นที่ผิวร่างกาย และมีประวัติเมื่อ 2 สัปดาห์ก่อน ได้รับยา Co- trimoxazole การจัดการรักษาในผู้ป่วยรายนี้ ข้อใดไม่เหมาะสม</t>
        </is>
      </c>
      <c r="C169" s="46" t="inlineStr"/>
      <c r="D169" s="45" t="inlineStr">
        <is>
          <t>หยุดยากลุ่มเสี่ยงทันที</t>
        </is>
      </c>
      <c r="E169" s="45" t="inlineStr">
        <is>
          <t>ให้ยาสเตียรอยด์ในระยะแรกที่ยังมีการดำเนินไปของผื่น</t>
        </is>
      </c>
      <c r="F169" s="45" t="inlineStr">
        <is>
          <t>ออกบัตรแพ้ยากลุ่มเสี่ยง</t>
        </is>
      </c>
      <c r="G169" s="45" t="inlineStr">
        <is>
          <t>ทำ rechallenge ในผู้ป่วยรายนี้</t>
        </is>
      </c>
      <c r="H169" s="45" t="inlineStr">
        <is>
          <t>ตรวจนับเม็ดเลือด ตรวจการทำงานของไต</t>
        </is>
      </c>
      <c r="I169" s="44" t="inlineStr">
        <is>
          <t>1</t>
        </is>
      </c>
      <c r="J169" s="45" t="inlineStr">
        <is>
          <t>✅ คำตอบที่ถูกต้อง: ข้อ ก. หยุดยากลุ่มเสี่ยงทันที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หยุดยากลุ่มเสี่ยงทันที การเลือก หยุดยากลุ่มเสี่ยงทันที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(ให้ยาสเตียรอยด์ในระยะแรกที่ยังมีการดำเนินไปของผื่น): การให้ Corticosteroid ทางระบบในระยะแรกของ SJS/TEN ยังคงเป็นข้อถกเถียง แต่สามารถพิจารณาให้ในระยะแรกที่เริ่มมีผื่นลุกลามเพื่อยับยั้งการตายของเซลล์ผิวหนัง (Apoptosis)
• ข้อ ค. (ออกบัตรแพ้ยากลุ่มเสี่ยง): การออกบัตรแพ้ยาแก่ผู้ป่วยเพื่อระบุประวัติแพ้ยา Co-trimoxazole อย่างชัดเจน เป็นมาตรการความปลอดภัยที่จำเป็นอย่างยิ่งเพื่อป้องกันการได้รับยาซ้ำจนเกิดอันตรายถึงชีวิต
• ข้อ ง. (ทำ rechallenge ในผู้ป่วยรายนี้): การทำ Rechallenge ในผู้ป่วยที่สงสัยภาวะ SJS/TEN ถือเป็นข้อห้ามเด็ดขาด (Strict absolute contraindication) เนื่องจากจะกระตุ้นให้เกิดการหลุดลอกของผิวหนังรุนแรงและนำไปสู่การเสียชีวิตได้
• ข้อ จ. (ตรวจนับเม็ดเลือด ตรวจการทำงานของไต): การตรวจนับเม็ดเลือด (CBC) และการทำงานของไต (BUN, Cr) เป็นการตรวจติดตามที่จำเป็นอย่างยิ่งในผู้ป่วย SJS/TEN เพื่อประเมินภาวะขาดน้ำ การติดเชื้อในกระแสเลือด และการทำงานของอวัยวะภายใน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9" s="46" t="inlineStr"/>
      <c r="L169" s="45" t="inlineStr">
        <is>
          <t>Eczema &amp; Dermatitis</t>
        </is>
      </c>
      <c r="M169" s="46" t="inlineStr">
        <is>
          <t>Clinic</t>
        </is>
      </c>
      <c r="N169" s="45" t="inlineStr">
        <is>
          <t>ข้อ 33 (PLE_CC1_Practice_Exam.md)</t>
        </is>
      </c>
      <c r="O169" s="46" t="inlineStr">
        <is>
          <t>Mock</t>
        </is>
      </c>
      <c r="P169" s="46" t="inlineStr">
        <is>
          <t>Mock สภาเภสัชฯ Practice</t>
        </is>
      </c>
    </row>
    <row r="170" ht="13.2" customHeight="1" s="37">
      <c r="A170" s="44" t="n">
        <v>168</v>
      </c>
      <c r="B170" s="45" t="inlineStr">
        <is>
          <t>ไม่เหมาะสำหรับทาผิวหนังบริเวณที่มีขน</t>
        </is>
      </c>
      <c r="C170" s="46" t="inlineStr"/>
      <c r="D170" s="45" t="inlineStr">
        <is>
          <t>Clotrimazole 1% cream</t>
        </is>
      </c>
      <c r="E170" s="45" t="inlineStr">
        <is>
          <t>Hydrocortisone 1% cream</t>
        </is>
      </c>
      <c r="F170" s="45" t="inlineStr">
        <is>
          <t>Triamcinolone acetonide 0.1% cream</t>
        </is>
      </c>
      <c r="G170" s="45" t="inlineStr">
        <is>
          <t>Clobetasol propionate 0.05% cream</t>
        </is>
      </c>
      <c r="H170" s="45" t="inlineStr">
        <is>
          <t>Ketoconazole 2% shampoo</t>
        </is>
      </c>
      <c r="I170" s="44" t="inlineStr">
        <is>
          <t>1</t>
        </is>
      </c>
      <c r="J170" s="45"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เป็นสเตียรอยด์ความแรงต่ำ (Low potency) ในรูปแบบครีม เหมาะสำหรับรอยโรคอักเสบเล็กน้อยบนผิวหนังบริเวณใบหน้าและข้อพับ แต่การทาบริเวณที่มีเส้นขนหนาแน่นอาจอุดตันได้ง่ายกว่ารูปแบบโลชั่นหรือเจล
• ข้อ ค. (Triamcinolone acetonide 0.1% cream): Triamcinolone acetonide 0.1% cream เป็นสเตียรอยด์ความแรงปานกลางในรูปแบบครีม นิยมใช้กับผื่นผิวหนังอักเสบทั่วไปตามลำตัว แต่มีโอกาสเหนอะหนะและติดเส้นผมได้หากใช้บริเวณหนังศีรษะ
• ข้อ ง. (Clobetasol propionate 0.05% cream): Clobetasol propionate 0.05% cream เป็น Super-high potency corticosteroid สำหรับผื่นหนาด้านเรื้อรัง หากใช้กับบริเวณที่มีขนหนาแน่นแนะนำให้เลือกใช้ในรูปแบบ Foam หรือ Solution
• ข้อ จ. (Ketoconazole 2% shampoo): Ketoconazole 2% shampoo เป็นรูปแบบแชมพูที่ออกแบบมาเฉพาะสำหรับทำความสะอาดและรักษาโรคเชื้อราหรือผิวหนังอักเสบในบริเวณที่มีเส้นขนและหนังศีรษะได้อย่างเหมาะสมที่สุ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0" s="46" t="inlineStr"/>
      <c r="L170" s="45" t="inlineStr">
        <is>
          <t>Superficial fungal</t>
        </is>
      </c>
      <c r="M170" s="46" t="inlineStr">
        <is>
          <t>Clinic</t>
        </is>
      </c>
      <c r="N170" s="45" t="inlineStr">
        <is>
          <t>ข้อ 3 (PLE_CC1_Practice_Exam.md)</t>
        </is>
      </c>
      <c r="O170" s="46" t="inlineStr">
        <is>
          <t>Mock</t>
        </is>
      </c>
      <c r="P170" s="46" t="inlineStr">
        <is>
          <t>Mock สภาเภสัชฯ Practice</t>
        </is>
      </c>
    </row>
    <row r="171" ht="13.2" customHeight="1" s="37">
      <c r="A171" s="44" t="n">
        <v>169</v>
      </c>
      <c r="B171" s="45" t="inlineStr">
        <is>
          <t>นางบี ได้เข้ามาที่ร้านยาเพื่อขอซื้อยารักษาสิวชนิดรับประทาน Isotretinoin โดยได้รับยาดังกล่าวจาก คลินิกโรคผิวหนัง ชื่อดังเมื่อสองสัปดาห์ที่ผ่านมา แต่เนื่องจากค่ารักษามีราคาแพงมาก จึงนำตัวอย่างมาซื้อกับ ร้านยา ท่านสามารถจ่ายยาได้หรือไม่</t>
        </is>
      </c>
      <c r="C171" s="46" t="inlineStr"/>
      <c r="D171" s="45" t="inlineStr">
        <is>
          <t>ได้ เพราะเป็นยาอันตราย</t>
        </is>
      </c>
      <c r="E171" s="45" t="inlineStr">
        <is>
          <t>ได้ เพราะเป็นยาควบคุมพิเศษที่เคยได้รับการสั่งใช้ยาจากแพทย์มาแล้ว</t>
        </is>
      </c>
      <c r="F171" s="45" t="inlineStr">
        <is>
          <t>ไม่ได้ เพราะเป็นยาควบคุมพิเศษ ต้องมีใบสั่งใช้ยาโดยแพทย์ประกอบการจ่ายทุกครั้ง</t>
        </is>
      </c>
      <c r="G171" s="45" t="inlineStr">
        <is>
          <t>ไม่ได้ เพราะเป็นยาควบคุมพิเศษ ที่ขายได้เฉพาะในคลินิกแพทย์เท่านั้น</t>
        </is>
      </c>
      <c r="H171" s="45" t="inlineStr">
        <is>
          <t>ไม่ได้ เพราะเป็นยาควบคุมพิเศษ ที่ขายได้ในโรงพยาบาลเท่านั้น</t>
        </is>
      </c>
      <c r="I171" s="44" t="inlineStr">
        <is>
          <t>1</t>
        </is>
      </c>
      <c r="J171" s="45" t="inlineStr">
        <is>
          <t>✅ คำตอบที่ถูกต้อง: ข้อ ก. ได้ เพราะเป็นยาอันตราย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ได้ เพราะเป็นยาอันตราย การเลือก ได้ เพราะเป็นยาอันตราย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(ได้ เพราะเป็นยาควบคุมพิเศษที่เคยได้รับการสั่งใช้ยาจากแพทย์มาแล้ว):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(ไม่ได้ เพราะเป็นยาควบคุมพิเศษ ต้องมีใบสั่งใช้ยาโดยแพทย์ประกอบการจ่ายทุกครั้ง):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(ไม่ได้ เพราะเป็นยาควบคุมพิเศษ ที่ขายได้เฉพาะในคลินิกแพทย์เท่านั้น):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(ไม่ได้ เพราะเป็นยาควบคุมพิเศษ ที่ขายได้ในโรงพยาบาลเท่านั้น):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1" s="46" t="inlineStr"/>
      <c r="L171" s="45" t="inlineStr">
        <is>
          <t>Acne</t>
        </is>
      </c>
      <c r="M171" s="46" t="inlineStr">
        <is>
          <t>Clinic</t>
        </is>
      </c>
      <c r="N171" s="45" t="inlineStr">
        <is>
          <t>ข้อ 35 (PLE_CC1_Practice_Exam.md)</t>
        </is>
      </c>
      <c r="O171" s="46" t="inlineStr">
        <is>
          <t>Mock</t>
        </is>
      </c>
      <c r="P171" s="46" t="inlineStr">
        <is>
          <t>Mock สภาเภสัชฯ Practice</t>
        </is>
      </c>
    </row>
    <row r="172" ht="13.2" customHeight="1" s="37">
      <c r="A172" s="44" t="n">
        <v>170</v>
      </c>
      <c r="B172" s="45" t="inlineStr">
        <is>
          <t>ควรทาถูนวดเจลพริกบริเวณที่ปวด เพื่อให้ดูดซึมผ่านผิวหนังดีขึ้น</t>
        </is>
      </c>
      <c r="C172" s="46" t="inlineStr"/>
      <c r="D172" s="45" t="inlineStr">
        <is>
          <t>Acyclovir 5% cream</t>
        </is>
      </c>
      <c r="E172" s="45" t="inlineStr">
        <is>
          <t>Silver sulfadiazine 1% cream</t>
        </is>
      </c>
      <c r="F172" s="45" t="inlineStr">
        <is>
          <t>Cetirizine 10 mg OD</t>
        </is>
      </c>
      <c r="G172" s="45" t="inlineStr">
        <is>
          <t>Isotretinoin 10 mg OD</t>
        </is>
      </c>
      <c r="H172" s="45" t="inlineStr">
        <is>
          <t>Terbinafine 1% cream</t>
        </is>
      </c>
      <c r="I172" s="44" t="inlineStr">
        <is>
          <t>1</t>
        </is>
      </c>
      <c r="J172" s="45" t="inlineStr">
        <is>
          <t>✅ คำตอบที่ถูกต้อง: ข้อ ก.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ออกฤทธิ์ต้านเชื้อแบคทีเรียเฉพาะที่สำหรับแผลไฟไหม้ มีข้อห้ามคือห้ามถูนวดแรงบนแผลเปิดเพราะจะทำลายเนื้อเยื่อสร้างใหม่ (Granulation tissue)
• ข้อ ค. (Cetirizine 10 mg OD): Cetirizine 10 mg OD เป็นยาแก้แพ้ชนิดรับประทาน ไม่ใช่ยาทาเฉพาะที่และไม่มีรูปแบบเจลสำหรับนวดบรรเทาอาการปวด
• ข้อ ง. (Isotretinoin 10 mg OD): Isotretinoin 10 mg OD เป็นยารับประทานกลุ่มอนุพันธ์วิตามินเอสำหรับรักษาสิวระดับรุนแรง การรับประทานมีข้อห้ามในหญิงตั้งครรภ์และไม่ได้นำมาใช้นวดแก้ปวด
• ข้อ จ. (Terbinafine 1% cream): Terbinafine 1% cream เป็นยาต้านเชื้อราเฉพาะที่กลุ่ม Allylamine สำหรับทารักษาโรคฮ่องกงฟุตหรือกลาก ไม่มียาชาหรือฤทธิ์ระงับอาการปวดเมื่อย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2" s="46" t="inlineStr"/>
      <c r="L172" s="45" t="inlineStr">
        <is>
          <t>Superficial fungal</t>
        </is>
      </c>
      <c r="M172" s="46" t="inlineStr">
        <is>
          <t>Clinic</t>
        </is>
      </c>
      <c r="N172" s="45" t="inlineStr">
        <is>
          <t>ข้อ 4 (PLE_CC1_Key_Rx20_UBU.md)</t>
        </is>
      </c>
      <c r="O172" s="46" t="inlineStr">
        <is>
          <t>Mock</t>
        </is>
      </c>
      <c r="P172" s="46" t="inlineStr">
        <is>
          <t>Mock Rx20 UBU</t>
        </is>
      </c>
    </row>
    <row r="173" ht="13.2" customHeight="1" s="37">
      <c r="A173" s="44" t="n">
        <v>171</v>
      </c>
      <c r="B173" s="45" t="inlineStr">
        <is>
          <t>ไม่มี Emulsifier ในตำรับ</t>
        </is>
      </c>
      <c r="C173" s="46" t="inlineStr"/>
      <c r="D173" s="45" t="inlineStr">
        <is>
          <t>Isotretinoin 10 mg OD</t>
        </is>
      </c>
      <c r="E173" s="45" t="inlineStr">
        <is>
          <t>Terbinafine 1% cream</t>
        </is>
      </c>
      <c r="F173" s="45" t="inlineStr">
        <is>
          <t>Adapalene 0.1% gel</t>
        </is>
      </c>
      <c r="G173" s="45" t="inlineStr">
        <is>
          <t>Mupirocin 2% ointment</t>
        </is>
      </c>
      <c r="H173" s="45" t="inlineStr">
        <is>
          <t>Betamethasone dipropionate 0.05% cream</t>
        </is>
      </c>
      <c r="I173" s="44" t="inlineStr">
        <is>
          <t>1</t>
        </is>
      </c>
      <c r="J173" s="45"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เป็นรูปแบบครีม ซึ่งประกอบด้วยวัฏภาคน้ำมันและน้ำผสมกัน จึงจำเป็นต้องมี Emulsifying agent เพื่อรักษาความคงตัวของเนื้อครีม
• ข้อ ค. (Adapalene 0.1% gel): Adapalene 0.1% gel เป็นรูปแบบเจลที่มีการกระจายตัวของอนุภาคยาในตัวกลางกึ่งแข็ง มักใช้ Gelling agent เช่น Carbomer แต่บางตำรับอาจมี Emulsifier ร่วมด้วยเพื่อช่วยกระจายตัวยา
• ข้อ ง. (Mupirocin 2% ointment): Mupirocin 2% ointment เป็นรูปแบบขี้ผึ้งที่มีสารพื้นชนิดละลายน้ำ เช่น Polyethylene glycol (PEG) ล้วน จึงไม่มีน้ำมันผสมและไม่จำเป็นต้องใช้ Emulsifier ในตำรับ
• ข้อ จ. (Betamethasone dipropionate 0.05% cream): Betamethasone dipropionate 0.05% cream เป็นยาในรูปแบบครีม (Emulsion) ที่ต้องอาศัยสารก่ออิมัลชัน (Emulsifier) ในการผสานเฟสน้ำมันและเฟสน้ำเข้าด้วยกัน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 s="46" t="inlineStr"/>
      <c r="L173" s="45" t="inlineStr">
        <is>
          <t>Superficial fungal</t>
        </is>
      </c>
      <c r="M173" s="46" t="inlineStr">
        <is>
          <t>Clinic</t>
        </is>
      </c>
      <c r="N173" s="45" t="inlineStr">
        <is>
          <t>ข้อ 4 (PLE_CC1_Key_Rx20_UBU.md)</t>
        </is>
      </c>
      <c r="O173" s="46" t="inlineStr">
        <is>
          <t>Mock</t>
        </is>
      </c>
      <c r="P173" s="46" t="inlineStr">
        <is>
          <t>Mock Rx20 UBU</t>
        </is>
      </c>
    </row>
    <row r="174" ht="13.2" customHeight="1" s="37">
      <c r="A174" s="44" t="n">
        <v>172</v>
      </c>
      <c r="B174" s="45" t="inlineStr">
        <is>
          <t>ควรเลือกยาใดให้ผู้ป่วยรายนี้เป็นทางเลือกแรก</t>
        </is>
      </c>
      <c r="C174" s="46" t="inlineStr"/>
      <c r="D174" s="45" t="inlineStr">
        <is>
          <t>Mupirocin 2% ointment</t>
        </is>
      </c>
      <c r="E174" s="45" t="inlineStr">
        <is>
          <t>Betamethasone dipropionate 0.05% cream</t>
        </is>
      </c>
      <c r="F174" s="45" t="inlineStr">
        <is>
          <t>Clotrimazole 1% cream</t>
        </is>
      </c>
      <c r="G174" s="45" t="inlineStr">
        <is>
          <t>Hydrocortisone 1% cream</t>
        </is>
      </c>
      <c r="H174" s="45" t="inlineStr">
        <is>
          <t>Triamcinolone acetonide 0.1% cream</t>
        </is>
      </c>
      <c r="I174" s="44" t="inlineStr">
        <is>
          <t>1</t>
        </is>
      </c>
      <c r="J174" s="45" t="inlineStr">
        <is>
          <t>✅ คำตอบที่ถูกต้อง: ข้อ ก. Mupirocin 2% ointment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ความแรงสูงมาก ไม่ควรใช้เป็นทางเลือกแรกในการติดเชื้อแบคทีเรียที่ผิวหนังเพราะจะกดภูมิคุ้มกันทำให้เชื้อลุกลาม
• ข้อ ค. (Clotrimazole 1% cream): Clotrimazole 1% cream เป็นยาต้านเชื้อรากลุ่ม Azole ออกฤทธิ์ยับยั้ง Ergosterol biosynthesis ไม่มีผลในการฆ่าเชื้อแบคทีเรียแกรมบวก เช่น Staphylococcus aureus
• ข้อ ง. (Hydrocortisone 1% cream): Hydrocortisone 1% cream เป็นสเตียรอยด์ความแรงต่ำ ใช้บรรเทาอาการคันและอักเสบจากผื่นแพ้ ไม่ใช่ยาต้านจุลชีพสำหรับรักษาแผลติดเชื้อแบคทีเรีย
• ข้อ จ. (Triamcinolone acetonide 0.1% cream): Triamcinolone acetonide 0.1% cream เป็นสเตียรอยด์ความแรงปานกลาง มีข้อห้ามใช้ในแผลติดเชื้อแบคทีเรียหรือเชื้อราเดี่ยวๆ เพราะบดบังอาการและทำให้เชื้อแพร่กระจาย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 s="46" t="inlineStr"/>
      <c r="L174" s="45" t="inlineStr">
        <is>
          <t>Superficial fungal</t>
        </is>
      </c>
      <c r="M174" s="46" t="inlineStr">
        <is>
          <t>Clinic</t>
        </is>
      </c>
      <c r="N174" s="45" t="inlineStr">
        <is>
          <t>ข้อ 62 (PLE_CC1_Key_Rx20_UBU.md)</t>
        </is>
      </c>
      <c r="O174" s="46" t="inlineStr">
        <is>
          <t>Mock</t>
        </is>
      </c>
      <c r="P174" s="46" t="inlineStr">
        <is>
          <t>Mock Rx20 UBU</t>
        </is>
      </c>
    </row>
    <row r="175" ht="13.2" customHeight="1" s="37">
      <c r="A175" s="44" t="n">
        <v>173</v>
      </c>
      <c r="B175" s="45" t="inlineStr">
        <is>
          <t>non-inflamatory acne</t>
        </is>
      </c>
      <c r="C175" s="46" t="inlineStr"/>
      <c r="D175" s="45" t="inlineStr">
        <is>
          <t>Hydrocortisone 1% cream</t>
        </is>
      </c>
      <c r="E175" s="45" t="inlineStr">
        <is>
          <t>Triamcinolone acetonide 0.1% cream</t>
        </is>
      </c>
      <c r="F175" s="45" t="inlineStr">
        <is>
          <t>Clobetasol propionate 0.05% cream</t>
        </is>
      </c>
      <c r="G175" s="45" t="inlineStr">
        <is>
          <t>Ketoconazole 2% shampoo</t>
        </is>
      </c>
      <c r="H175" s="45" t="inlineStr">
        <is>
          <t>Benzoyl peroxide 2.5% gel</t>
        </is>
      </c>
      <c r="I175" s="44" t="inlineStr">
        <is>
          <t>1</t>
        </is>
      </c>
      <c r="J175" s="45"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corticosteroid ความแรงปานกลาง การนำมาทาสิวชนิดไม่อักเสบจะกระตุ้นให้เกิด Steroid acne และทำให้เกิดสิวอุดตันมากขึ้น
• ข้อ ค. (Clobetasol propionate 0.05% cream): Clobetasol propionate 0.05% cream เป็น Super-high potency corticosteroid ห้ามใช้ทาบริเวณใบหน้าโดยเด็ดขาด เพราะทำให้ผิวหนังฝ่อ เกิดสิวสเตียรอยด์ และหลอดเลือดฝอยขยายตัว
• ข้อ ง. (Ketoconazole 2% shampoo): Ketoconazole 2% shampoo ใช้สำหรับทำความสะอาดหนังศีรษะในภาวะรังแค ผิวหนังอักเสบเซบอร์เรอิก หรือ Pityrosporum folliculitis ไม่มีผลในการรักษา Comedone บนใบหน้า
• ข้อ จ. (Benzoyl peroxide 2.5% gel): Benzoyl peroxide 2.5% gel เป็นยาที่มีฤทธิ์ละลายหัวสิว (Comedolytic) และต้านเชื้อ C. acnes จึงเป็นหนึ่งในยามาตรฐานสำหรับการรักษาสิวระยะเริ่มต้น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5" s="46" t="inlineStr"/>
      <c r="L175" s="45" t="inlineStr">
        <is>
          <t>Acne</t>
        </is>
      </c>
      <c r="M175" s="46" t="inlineStr">
        <is>
          <t>Clinic</t>
        </is>
      </c>
      <c r="N175" s="45" t="inlineStr">
        <is>
          <t>ข้อ 2 (PLE_CC1_Key_Rx20_UBU.md)</t>
        </is>
      </c>
      <c r="O175" s="46" t="inlineStr">
        <is>
          <t>Mock</t>
        </is>
      </c>
      <c r="P175" s="46" t="inlineStr">
        <is>
          <t>Mock Rx20 UBU</t>
        </is>
      </c>
    </row>
    <row r="176" ht="13.2" customHeight="1" s="37">
      <c r="A176" s="44" t="n">
        <v>174</v>
      </c>
      <c r="B176" s="45" t="inlineStr">
        <is>
          <t>nodulocystic acne</t>
        </is>
      </c>
      <c r="C176" s="46" t="inlineStr"/>
      <c r="D176" s="45" t="inlineStr">
        <is>
          <t>Ketoconazole 2% shampoo</t>
        </is>
      </c>
      <c r="E176" s="45" t="inlineStr">
        <is>
          <t>Benzoyl peroxide 2.5% gel</t>
        </is>
      </c>
      <c r="F176" s="45" t="inlineStr">
        <is>
          <t>Acyclovir 5% cream</t>
        </is>
      </c>
      <c r="G176" s="45" t="inlineStr">
        <is>
          <t>Silver sulfadiazine 1% cream</t>
        </is>
      </c>
      <c r="H176" s="45" t="inlineStr">
        <is>
          <t>Cetirizine 10 mg OD</t>
        </is>
      </c>
      <c r="I176" s="44" t="inlineStr">
        <is>
          <t>1</t>
        </is>
      </c>
      <c r="J176" s="45"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มีประสิทธิภาพดีในการรักษาสิวอักเสบระดับเล็กน้อยถึงปานกลาง แต่ไม่เพียงพอสำหรับการใช้เดี่ยวๆ ในการรักษาสิวหัวช้างรุนแรงชนิด Nodulocystic acne
• ข้อ ค. (Acyclovir 5% cream): Acyclovir 5% cream เป็นยาต้านไวรัสสำหรับรักษาโรคเริม ไม่มีฤทธิ์ต้านแบคทีเรีย C. acnes และไม่มีผลลดการอักเสบของต่อมไขมันในสิว
• ข้อ ง. (Silver sulfadiazine 1% cream): Silver sulfadiazine 1% cream เป็นยาต้านจุลชีพเฉพาะที่สำหรับแผลไฟไหม้ ไม่จัดเป็นยาในแนวทางการรักษาสิวตามมาตรฐาน
• ข้อ จ. (Cetirizine 10 mg OD): Cetirizine 10 mg OD เป็นยาแก้แพ้กลุ่ม H1-antihistamine ใช้ลดอาการคันและลมพิษ ไม่สามารถยับยั้งกระบวนการเกิดสิว Nodulocystic 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6" s="46" t="inlineStr"/>
      <c r="L176" s="45" t="inlineStr">
        <is>
          <t>Acne</t>
        </is>
      </c>
      <c r="M176" s="46" t="inlineStr">
        <is>
          <t>Clinic</t>
        </is>
      </c>
      <c r="N176" s="45" t="inlineStr">
        <is>
          <t>ข้อ 4 (PLE_CC1_Key_Rx20_UBU.md)</t>
        </is>
      </c>
      <c r="O176" s="46" t="inlineStr">
        <is>
          <t>Mock</t>
        </is>
      </c>
      <c r="P176" s="46" t="inlineStr">
        <is>
          <t>Mock Rx20 UBU</t>
        </is>
      </c>
    </row>
    <row r="177" ht="13.2" customHeight="1" s="37">
      <c r="A177" s="44" t="n">
        <v>175</v>
      </c>
      <c r="B177" s="45" t="inlineStr">
        <is>
          <t>Carbomer ละลายได้ดีใน Alcohol 68.ข้อใดถูกต้องเกี่ยวกับ Benzoyl peroxide</t>
        </is>
      </c>
      <c r="C177" s="46" t="inlineStr"/>
      <c r="D177" s="45" t="inlineStr">
        <is>
          <t>Silver sulfadiazine 1% cream</t>
        </is>
      </c>
      <c r="E177" s="45" t="inlineStr">
        <is>
          <t>Cetirizine 10 mg OD</t>
        </is>
      </c>
      <c r="F177" s="45" t="inlineStr">
        <is>
          <t>Isotretinoin 10 mg OD</t>
        </is>
      </c>
      <c r="G177" s="45" t="inlineStr">
        <is>
          <t>Terbinafine 1% cream</t>
        </is>
      </c>
      <c r="H177" s="45" t="inlineStr">
        <is>
          <t>Adapalene 0.1% gel</t>
        </is>
      </c>
      <c r="I177" s="44" t="inlineStr">
        <is>
          <t>1</t>
        </is>
      </c>
      <c r="J177" s="45"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Cetirizine 10 mg OD เป็นยารับประทานกลุ่ม Antihistamine สำหรับโรคภูมิแพ้ ไม่เกี่ยวข้องกับกลไกการออกฤทธิ์หรือคุณสมบัติทางเคมีกายภาพของ Benzoyl peroxide
• ข้อ ค. (Isotretinoin 10 mg OD): Isotretinoin 10 mg OD เป็นอนุพันธ์วิตามินเอชนิดรับประทานที่มีผลลดขนาดและการหลั่งของต่อมไขมัน ไม่ใช่ตัวยาพื้นหรือสารออกฤทธิ์กลุ่มเปอร์ออกไซด์
• ข้อ ง. (Terbinafine 1% cream): Terbinafine 1% cream เป็นยาต้านเชื้อรากลุ่ม Allylamine ไม่มีฤทธิ์ฆ่าเชื้อ Cutibacterium acnes หรือคุณสมบัติผลัดเซลล์ผิวเหมือน Benzoyl peroxide
• ข้อ จ. (Adapalene 0.1% gel): Adapalene 0.1% gel เป็น Topical retinoid เจเนอเรชันที่ 3 มีความคงตัวสูงต่อแสงแดดและไม่เสื่อมสลายเมื่อทาร่วมกับ Benzoyl peroxide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7" s="46" t="inlineStr"/>
      <c r="L177" s="45" t="inlineStr">
        <is>
          <t>Acne</t>
        </is>
      </c>
      <c r="M177" s="46" t="inlineStr">
        <is>
          <t>Clinic</t>
        </is>
      </c>
      <c r="N177" s="45" t="inlineStr">
        <is>
          <t>ข้อ 5 (PLE_CC1_Key_Rx20_UBU.md)</t>
        </is>
      </c>
      <c r="O177" s="46" t="inlineStr">
        <is>
          <t>Mock</t>
        </is>
      </c>
      <c r="P177" s="46" t="inlineStr">
        <is>
          <t>Mock Rx20 UBU</t>
        </is>
      </c>
    </row>
    <row r="178" ht="13.2" customHeight="1" s="37">
      <c r="A178" s="44" t="n">
        <v>176</v>
      </c>
      <c r="B178" s="45" t="inlineStr">
        <is>
          <t>P. acne ดื้อเป็นปัญหาสำคัญ</t>
        </is>
      </c>
      <c r="C178" s="46" t="inlineStr"/>
      <c r="D178" s="45" t="inlineStr">
        <is>
          <t>Terbinafine 1% cream</t>
        </is>
      </c>
      <c r="E178" s="45" t="inlineStr">
        <is>
          <t>Adapalene 0.1% gel</t>
        </is>
      </c>
      <c r="F178" s="45" t="inlineStr">
        <is>
          <t>Mupirocin 2% ointment</t>
        </is>
      </c>
      <c r="G178" s="45" t="inlineStr">
        <is>
          <t>Betamethasone dipropionate 0.05% cream</t>
        </is>
      </c>
      <c r="H178" s="45" t="inlineStr">
        <is>
          <t>Clotrimazole 1% cream</t>
        </is>
      </c>
      <c r="I178" s="44" t="inlineStr">
        <is>
          <t>1</t>
        </is>
      </c>
      <c r="J178" s="45" t="inlineStr">
        <is>
          <t>✅ คำตอบที่ถูกต้อง: ข้อ ก. Terbinafine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(Adapalene 0.1% gel): Adapalene 0.1% gel ออกฤทธิ์จับกับ Nuclear retinoic acid receptor (RAR-beta และ gamma) เพื่อปรับการผลัดเซลล์ผิว จึงไม่มีปัญหาการเกิดเชื้อแบคทีเรียดื้อยา
• ข้อ ค. (Mupirocin 2% ointment): Mupirocin 2% ointment ยับยั้งเอนไซม์ Bacterial isoleucyl-tRNA synthetase ใช้รักษาการติดเชื้อที่ผิวหนังจาก MRSA และ Streptococcus ไม่ได้ใช้เป็นยาหลักรักษาสิวระยะยาว
• ข้อ ง. (Betamethasone dipropionate 0.05% cream): Betamethasone dipropionate 0.05% cream เป็นยาทาสเตียรอยด์ที่กดภูมิคุ้มกันเฉพาะที่ การใช้ทาสิวจะทำให้เชื้อแบคทีเรียเพิ่มจำนวนและกระตุ้นการเกิด Steroid acne
• ข้อ จ. (Clotrimazole 1% cream): Clotrimazole 1% cream เป็นยาต้านเชื้อรากลุ่ม Imidazole ยับยั้ง 14-alpha demethylase ไม่มีผลต่อแบคทีเรียสาเหตุของสิว P.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8" s="46" t="inlineStr"/>
      <c r="L178" s="45" t="inlineStr">
        <is>
          <t>Acne</t>
        </is>
      </c>
      <c r="M178" s="46" t="inlineStr">
        <is>
          <t>Clinic</t>
        </is>
      </c>
      <c r="N178" s="45" t="inlineStr">
        <is>
          <t>ข้อ 4 (PLE_CC1_Key_Rx20_UBU.md)</t>
        </is>
      </c>
      <c r="O178" s="46" t="inlineStr">
        <is>
          <t>Mock</t>
        </is>
      </c>
      <c r="P178" s="46" t="inlineStr">
        <is>
          <t>Mock Rx20 UBU</t>
        </is>
      </c>
    </row>
    <row r="179" ht="13.2" customHeight="1" s="37">
      <c r="A179" s="44" t="n">
        <v>177</v>
      </c>
      <c r="B179" s="45" t="inlineStr">
        <is>
          <t>ควรเลือกใช้ยาใดในการรักษา จึงจะเหมาะสมที่สุด</t>
        </is>
      </c>
      <c r="C179" s="46" t="inlineStr"/>
      <c r="D179" s="45" t="inlineStr">
        <is>
          <t>Betamethasone dipropionate 0.05% cream</t>
        </is>
      </c>
      <c r="E179" s="45" t="inlineStr">
        <is>
          <t>Clotrimazole 1% cream</t>
        </is>
      </c>
      <c r="F179" s="45" t="inlineStr">
        <is>
          <t>Hydrocortisone 1% cream</t>
        </is>
      </c>
      <c r="G179" s="45" t="inlineStr">
        <is>
          <t>Triamcinolone acetonide 0.1% cream</t>
        </is>
      </c>
      <c r="H179" s="45" t="inlineStr">
        <is>
          <t>Clobetasol propionate 0.05% cream</t>
        </is>
      </c>
      <c r="I179" s="44" t="inlineStr">
        <is>
          <t>1</t>
        </is>
      </c>
      <c r="J179" s="45"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ออกฤทธิ์ต้านเชื้อรากลุ่มแคนดิดาและเดอร์มาโตไฟต์ เหมาะสำหรับโรคกลากเกลื้อน ไม่ครอบคลุมผื่นผิวหนังอักเสบที่ไม่มีการติดเชื้อรา
• ข้อ ค. (Hydrocortisone 1% cream): Hydrocortisone 1% cream เป็นยาทาสเตียรอยด์ความแรงต่ำ (Low potency) ปลอดภัยสำหรับผิวหน้าและซอกพับ แต่อาจให้ผลการรักษาไม่เพียงพอในผื่นหนาด้านตามลำตัว
• ข้อ ง. (Triamcinolone acetonide 0.1% cream): Triamcinolone acetonide 0.1% cream เป็นยาทาสเตียรอยด์ความแรงปานกลาง เหมาะสำหรับรักษาผื่นผิวหนังอักเสบระดับปานกลางตามลำตัวและแขนขา
• ข้อ จ. (Clobetasol propionate 0.05% cream): Clobetasol propionate 0.05% cream เป็นยากลุ่ม Super-high potency เหมาะสำหรับโรคผิวหนังเรื้อรังที่ดื้อยา เช่น Psoriasis ปื้นหนา แต่ห้ามใช้บริเวณใบหน้า ซอกพับ หรือเด็กเล็ก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 s="46" t="inlineStr"/>
      <c r="L179" s="45" t="inlineStr">
        <is>
          <t>Superficial fungal</t>
        </is>
      </c>
      <c r="M179" s="46" t="inlineStr">
        <is>
          <t>Clinic</t>
        </is>
      </c>
      <c r="N179" s="45" t="inlineStr">
        <is>
          <t>ข้อ 90 (PLE_CC1_Key_Rx20_UBU.md)</t>
        </is>
      </c>
      <c r="O179" s="46" t="inlineStr">
        <is>
          <t>Mock</t>
        </is>
      </c>
      <c r="P179" s="46" t="inlineStr">
        <is>
          <t>Mock Rx20 UBU</t>
        </is>
      </c>
    </row>
    <row r="180" ht="13.2" customHeight="1" s="37">
      <c r="A180" s="44" t="n">
        <v>178</v>
      </c>
      <c r="B180" s="45" t="inlineStr">
        <is>
          <t>หากผู้ป่วยได้รับยา Ketoconazole คำแนะนำใดถูกต้อง</t>
        </is>
      </c>
      <c r="C180" s="46" t="inlineStr"/>
      <c r="D180" s="45" t="inlineStr">
        <is>
          <t>Triamcinolone acetonide 0.1% cream</t>
        </is>
      </c>
      <c r="E180" s="45" t="inlineStr">
        <is>
          <t>Clobetasol propionate 0.05% cream</t>
        </is>
      </c>
      <c r="F180" s="45" t="inlineStr">
        <is>
          <t>Ketoconazole 2% shampoo</t>
        </is>
      </c>
      <c r="G180" s="45" t="inlineStr">
        <is>
          <t>Benzoyl peroxide 2.5% gel</t>
        </is>
      </c>
      <c r="H180" s="45" t="inlineStr">
        <is>
          <t>Acyclovir 5% cream</t>
        </is>
      </c>
      <c r="I180" s="44" t="inlineStr">
        <is>
          <t>1</t>
        </is>
      </c>
      <c r="J180"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 Topical corticosteroid ความแรงสูงสุด มีข้อบ่งใช้ต่างจากยาต้านเชื้อรา Ketoconazole และมีความเสี่ยงต่ออาการไม่พึงประสงค์ทางผิวหนังสูง
• ข้อ ค. (Ketoconazole 2% shampoo): Ketoconazole 2% shampoo มีข้อแนะนำคือควรฟอกทิ้งไว้บนหนังศีรษะนาน 3-5 นาทีก่อนล้างออกด้วยน้ำสะอาด เพื่อให้ตัวยาดูดซึมเข้าสู่ผิวหนังชั้น Stratum corneum ได้อย่างมีประสิทธิภาพ
• ข้อ ง. (Benzoyl peroxide 2.5% gel): Benzoyl peroxide 2.5% gel เป็นยาออกซิไดซ์รักษาสิวที่อาจทำให้ผิวหนังแห้งลอกและเกิดการระคายเคือง ไม่ใช่คำแนะนำที่เกี่ยวข้องกับยาต้านเชื้อรา Ketoconazole
• ข้อ จ. (Acyclovir 5% cream): Acyclovir 5% cream เป็นยาต้านไวรัสเริม ไม่ควรใช้ร่วมกันโดยไม่มีข้อบ่งชี้ของการติดเชื้อไวรัสร่วม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0" s="46" t="inlineStr"/>
      <c r="L180" s="45" t="inlineStr">
        <is>
          <t>Superficial fungal</t>
        </is>
      </c>
      <c r="M180" s="46" t="inlineStr">
        <is>
          <t>Clinic</t>
        </is>
      </c>
      <c r="N180" s="45" t="inlineStr">
        <is>
          <t>ข้อ 91 (PLE_CC1_Key_Rx20_UBU.md)</t>
        </is>
      </c>
      <c r="O180" s="46" t="inlineStr">
        <is>
          <t>Mock</t>
        </is>
      </c>
      <c r="P180" s="46" t="inlineStr">
        <is>
          <t>Mock Rx20 UBU</t>
        </is>
      </c>
    </row>
    <row r="181" ht="13.2" customHeight="1" s="37">
      <c r="A181" s="44" t="n">
        <v>179</v>
      </c>
      <c r="B181" s="45" t="inlineStr">
        <is>
          <t>ถ้าผู้ป่วยได้รับ Ketoconazole ร่วมด้วย จะเกิดอะไรขึ้น</t>
        </is>
      </c>
      <c r="C181" s="46" t="inlineStr"/>
      <c r="D181" s="45" t="inlineStr">
        <is>
          <t>Benzoyl peroxide 2.5% gel</t>
        </is>
      </c>
      <c r="E181" s="45" t="inlineStr">
        <is>
          <t>Acyclovir 5% cream</t>
        </is>
      </c>
      <c r="F181" s="45" t="inlineStr">
        <is>
          <t>Silver sulfadiazine 1% cream</t>
        </is>
      </c>
      <c r="G181" s="45" t="inlineStr">
        <is>
          <t>Cetirizine 10 mg OD</t>
        </is>
      </c>
      <c r="H181" s="45" t="inlineStr">
        <is>
          <t>Isotretinoin 10 mg OD</t>
        </is>
      </c>
      <c r="I181" s="44" t="inlineStr">
        <is>
          <t>1</t>
        </is>
      </c>
      <c r="J181" s="45"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ออกฤทธิ์ยับยั้ง DNA polymerase ของเชื้อไวรัสเริม การใช้ร่วมกับ Ketoconazole ไม่มีปฏิกิริยาระหว่างยาที่ส่งผลต่อประสิทธิภาพทางคลินิกอย่างมีนัยสำคัญ
• ข้อ ค. (Silver sulfadiazine 1% cream): Silver sulfadiazine 1% cream ใช้ทารักษาแผลไฟไหม้เพื่อป้องกันการติดเชื้อ ไม่ส่งผลกระทบต่อเมแทบอลิซึมของ Ketoconazole
• ข้อ ง. (Cetirizine 10 mg OD): Cetirizine 10 mg OD ถูกขจัดออกทางไตเป็นหลักในรูปที่ไม่เปลี่ยนแปลง จึงมีความเสี่ยงต่อปฏิกิริยาผ่าน CYP3A4 กับ Ketoconazole ต่ำมาก
• ข้อ จ. (Isotretinoin 10 mg OD): Isotretinoin 10 mg OD มีเมแทบอลิซึมผ่านเอนไซม์ CYP หลายชนิด การใช้ร่วมกับยาต้านเชื้อรากลุ่ม Azole เช่น Ketoconazole ซึ่งเป็น Strong CYP3A4 inhibitor อาจเพิ่มระดับยาในเลือดและเสริมพิษต่อตับ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 s="46" t="inlineStr"/>
      <c r="L181" s="45" t="inlineStr">
        <is>
          <t>Superficial fungal</t>
        </is>
      </c>
      <c r="M181" s="46" t="inlineStr">
        <is>
          <t>Clinic</t>
        </is>
      </c>
      <c r="N181" s="45" t="inlineStr">
        <is>
          <t>ข้อ 4 (PLE_CC1_Key_Rx20_UBU.md)</t>
        </is>
      </c>
      <c r="O181" s="46" t="inlineStr">
        <is>
          <t>Mock</t>
        </is>
      </c>
      <c r="P181" s="46" t="inlineStr">
        <is>
          <t>Mock Rx20 UBU</t>
        </is>
      </c>
    </row>
    <row r="182" ht="13.2" customHeight="1" s="37">
      <c r="A182" s="44" t="n">
        <v>180</v>
      </c>
      <c r="B182" s="45" t="inlineStr">
        <is>
          <t>คำแนะนำใดเหมาะสมในผู้ป่วยรายนี้</t>
        </is>
      </c>
      <c r="C182" s="46" t="inlineStr"/>
      <c r="D182" s="45" t="inlineStr">
        <is>
          <t>ควรรับประทานยาคุมเพื่อป้องกันการตั้งครรภ์ทารกวิรูป</t>
        </is>
      </c>
      <c r="E182" s="45" t="inlineStr">
        <is>
          <t>ระหว่างที่กินยานี้ หลีกเลี่ยงรังสี UV</t>
        </is>
      </c>
      <c r="F182" s="45" t="inlineStr">
        <is>
          <t>ควรกินยาก่อนอาหารเช้า-ก่อนนอน</t>
        </is>
      </c>
      <c r="G182" s="45" t="inlineStr">
        <is>
          <t>อาจทำให้ผิวหนัง-เล็บเปลี่ยนสี</t>
        </is>
      </c>
      <c r="H182" s="45" t="inlineStr">
        <is>
          <t>ถ้ามีอาการไข้ เจ็บคอ และมีผื่นขึ้นควรไปพบแพทย์ คำอธิบาย carbamazepine -- HLAB 1502 -- SJS</t>
        </is>
      </c>
      <c r="I182" s="44" t="inlineStr">
        <is>
          <t>5</t>
        </is>
      </c>
      <c r="J182" s="45" t="inlineStr">
        <is>
          <t>✅ คำตอบที่ถูกต้อง: ข้อ จ. ถ้ามีอาการไข้ เจ็บคอ และมีผื่นขึ้นควรไปพบแพทย์ คำอธิบาย carbamazepine -- HLAB 1502 -- SJS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ถ้ามีอาการไข้ เจ็บคอ และมีผื่นขึ้นควรไปพบแพทย์ คำอธิบาย carbamazepine -- HLAB 1502 -- SJS การเลือก ถ้ามีอาการไข้ เจ็บคอ และมีผื่นขึ้นควรไปพบแพทย์ คำอธิบาย carbamazepine -- HLAB 1502 -- SJS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ก. (ควรรับประทานยาคุมเพื่อป้องกันการตั้งครรภ์ทารกวิรูป): การรับประทานยาคุมกำเนิดเพื่อป้องกันทารกวิรูป (Teratogenicity) เป็นคำแนะนำสำคัญอย่างยิ่งสำหรับยากลุ่ม Retinoids เช่น Oral Isotretinoin แต่ไม่ใช่ประเด็นเตือนฉุกเฉินของการเกิดผื่นรุนแรงจาก Carbamazepine
• ข้อ ข. (ระหว่างที่กินยานี้ หลีกเลี่ยงรังสี UV): การหลีกเลี่ยงรังสี UV และแสงแดด เป็นคำแนะนำสำหรับยาที่ทำให้เกิดภาวะไวต่อแสง (Photosensitivity) เช่น Tetracyclines หรือ Retinoids ไม่ใช่ข้อควรระวังหลักของ Carbamazepine
• ข้อ ค. (ควรกินยาก่อนอาหารเช้า-ก่อนนอน): การแนะนำให้รับประทานยาก่อนอาหารเช้าและก่อนนอน เป็นเพียงคำแนะนำเรื่องมื้อยา ไม่สอดคล้องกับ Carbamazepine ซึ่งระคายเคืองกระเพาะอาหารและแนะนำให้รับประทานพร้อมหรือหลังอาหารทันที
• ข้อ ง. (อาจทำให้ผิวหนัง-เล็บเปลี่ยนสี): อาการข้างเคียงที่ทำให้ผิวหนังและเล็บเปลี่ยนสี มักสัมพันธ์กับยาเคมีบำบัด หรือ Minocycline ไม่ใช่อาการไม่พึงประสงค์สำคัญของ Carbamazepine
📖 Guideline อ้างอิง:
[NEED_REVIEW]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82" s="46" t="inlineStr"/>
      <c r="L182" s="45" t="inlineStr">
        <is>
          <t>Superficial fungal</t>
        </is>
      </c>
      <c r="M182" s="46" t="inlineStr">
        <is>
          <t>Clinic</t>
        </is>
      </c>
      <c r="N182" s="45" t="inlineStr">
        <is>
          <t>ข้อ 1 (PLE_CC1_Key_Rx20_UBU.md)</t>
        </is>
      </c>
      <c r="O182" s="46" t="inlineStr">
        <is>
          <t>Mock</t>
        </is>
      </c>
      <c r="P182" s="46" t="inlineStr">
        <is>
          <t>Mock Rx20 UBU</t>
        </is>
      </c>
    </row>
    <row r="183" ht="13.2" customHeight="1" s="37">
      <c r="A183" s="44" t="n">
        <v>181</v>
      </c>
      <c r="B183" s="45" t="inlineStr">
        <is>
          <t>ผู้ป่วยเป็นโรคอะไร</t>
        </is>
      </c>
      <c r="C183" s="46" t="inlineStr"/>
      <c r="D183" s="45" t="inlineStr">
        <is>
          <t>Impetigo</t>
        </is>
      </c>
      <c r="E183" s="45" t="inlineStr">
        <is>
          <t>Eczema</t>
        </is>
      </c>
      <c r="F183" s="45" t="inlineStr">
        <is>
          <t>Folliculitis</t>
        </is>
      </c>
      <c r="G183" s="45" t="inlineStr">
        <is>
          <t>Rosacea</t>
        </is>
      </c>
      <c r="H183" s="45" t="inlineStr">
        <is>
          <t>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t>
        </is>
      </c>
      <c r="I183" s="44" t="inlineStr">
        <is>
          <t>2</t>
        </is>
      </c>
      <c r="J183" s="45" t="inlineStr">
        <is>
          <t>✅ คำตอบที่ถูกต้อง: ข้อ ข. Eczema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Eczema การเลือก Eczema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(Impetigo): Impetigo (โรคพุพอง) เกิดจากการติดเชื้อแบคทีเรีย Staphylococcus aureus หรือ Streptococcus pyogenes มีลักษณะเด่นคือตุ่มน้ำแตกออกกลายเป็นสะเก็ดกรังสีเหลืองคล้ายน้ำผึ้ง (Honey-colored crust)
• ข้อ ค. (Folliculitis): Folliculitis (รูขุมขนอักเสบ) เกิดจากการอักเสบหรือติดเชื้อที่รูขุมขน มีลักษณะเป็นตุ่มแดงหรือตุ่มหนองเล็กๆ กระจายตามโคนเส้นขน ไม่ได้เป็นปื้นผื่นผิวหนังอักเสบกระจายตัว
• ข้อ ง. (Rosacea): Rosacea (โรคสิวหน้าแดง) มีอาการหน้าแดงถาวร หลอดเลือดฝอยขยายตัว (Telangiectasia) และตุ่มแดงอักเสบเฉพาะบริเวณกึ่งกลางใบหน้า โดยไม่มีสะเก็ดหนาหรืออาการคันเด่นชัด
• ข้อ จ. (Tinea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 Tinea corporis (กลากตามลำตัว) เกิดจากเชื้อรา Dermatophyte มีลักษณะเป็นผื่นวงกลมหรือขอบหยัก ขอบเขตชัดเจน ขอบผื่นนูนแดงมีขุยและตุ่มน้ำใสล้อมรอบ ตรงกลางผื่นจางลงเป็นผิวปกติ (Central clearing)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 s="46" t="inlineStr"/>
      <c r="L183" s="45" t="inlineStr">
        <is>
          <t>Superficial fungal</t>
        </is>
      </c>
      <c r="M183" s="46" t="inlineStr">
        <is>
          <t>Clinic</t>
        </is>
      </c>
      <c r="N183" s="45" t="inlineStr">
        <is>
          <t>ข้อ 1 (PLE_CC1_Key_Rx20_UBU.md)</t>
        </is>
      </c>
      <c r="O183" s="46" t="inlineStr">
        <is>
          <t>Mock</t>
        </is>
      </c>
      <c r="P183" s="46" t="inlineStr">
        <is>
          <t>Mock Rx20 UBU</t>
        </is>
      </c>
    </row>
    <row r="184" ht="13.2" customHeight="1" s="37">
      <c r="A184" s="44" t="n">
        <v>182</v>
      </c>
      <c r="B184" s="45" t="inlineStr">
        <is>
          <t>ยับยั้งการสร้าง RNA</t>
        </is>
      </c>
      <c r="C184" s="46" t="inlineStr"/>
      <c r="D184" s="45" t="inlineStr">
        <is>
          <t>Clotrimazole 1% cream</t>
        </is>
      </c>
      <c r="E184" s="45" t="inlineStr">
        <is>
          <t>Hydrocortisone 1% cream</t>
        </is>
      </c>
      <c r="F184" s="45" t="inlineStr">
        <is>
          <t>Triamcinolone acetonide 0.1% cream</t>
        </is>
      </c>
      <c r="G184" s="45" t="inlineStr">
        <is>
          <t>Clobetasol propionate 0.05% cream</t>
        </is>
      </c>
      <c r="H184" s="45" t="inlineStr">
        <is>
          <t>Ketoconazole 2% shampoo</t>
        </is>
      </c>
      <c r="I184" s="44" t="inlineStr">
        <is>
          <t>1</t>
        </is>
      </c>
      <c r="J184" s="45"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glucocorticoid ออกฤทธิ์จับกับ Glucocorticoid receptor ในไซโทพลาซึม แล้วควบคุมการแสดงออกของยีนเพื่อยับยั้งการสร้างไซโตไคน์ที่กระตุ้นการอักเสบ
• ข้อ ค. (Triamcinolone acetonide 0.1% cream): Triamcinolone acetonide 0.1% cream มีกลไกต้านการอักเสบผ่านกระบวนการเหนี่ยวนำ Lipocortin เพื่อยับยั้งเอนไซม์ Phospholipase A2 ไม่ได้ยับยั้งการสร้าง RNA ของเชื้อจุลชีพโดยตรง
• ข้อ ง. (Clobetasol propionate 0.05% cream): Clobetasol propionate 0.05% cream ออกฤทธิ์กดภูมิคุ้มกันและต้านการอักเสบในระดับยีนผ่าน Glucocorticoid response elements ไม่ได้จัดเป็นยาต้านจุลชีพที่ยับยั้ง RNA synthesis
• ข้อ จ. (Ketoconazole 2% shampoo): Ketoconazole 2% shampoo ออกฤทธิ์ยับยั้งเอนไซม์ 14-alpha demethylase ในกระบวนการสังเคราะห์ Ergosterol ของผนังเซลล์เชื้อรา ไม่ได้ยับยั้งการสร้าง RNA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 s="46" t="inlineStr"/>
      <c r="L184" s="45" t="inlineStr">
        <is>
          <t>Superficial fungal</t>
        </is>
      </c>
      <c r="M184" s="46" t="inlineStr">
        <is>
          <t>Clinic</t>
        </is>
      </c>
      <c r="N184" s="45" t="inlineStr">
        <is>
          <t>ข้อ 5 (PLE_CC1_Key_Rx20_UBU.md)</t>
        </is>
      </c>
      <c r="O184" s="46" t="inlineStr">
        <is>
          <t>Mock</t>
        </is>
      </c>
      <c r="P184" s="46" t="inlineStr">
        <is>
          <t>Mock Rx20 UBU</t>
        </is>
      </c>
    </row>
    <row r="185" ht="13.2" customHeight="1" s="37">
      <c r="A185" s="44" t="n">
        <v>183</v>
      </c>
      <c r="B185" s="45" t="inlineStr">
        <is>
          <t>ถ้าให้การรักษาด้วยยาข้างต้นมา 5 วันแล้วอาการของผู้ป่วยยังไม่ดีขึ้น จะเปลี่ยนไปใช้ยาอะไรต่อ</t>
        </is>
      </c>
      <c r="C185" s="46" t="inlineStr"/>
      <c r="D185" s="45" t="inlineStr">
        <is>
          <t>Clobetasol propionate 0.05% cream</t>
        </is>
      </c>
      <c r="E185" s="45" t="inlineStr">
        <is>
          <t>Ketoconazole 2% shampoo</t>
        </is>
      </c>
      <c r="F185" s="45" t="inlineStr">
        <is>
          <t>Benzoyl peroxide 2.5% gel</t>
        </is>
      </c>
      <c r="G185" s="45" t="inlineStr">
        <is>
          <t>Acyclovir 5% cream</t>
        </is>
      </c>
      <c r="H185" s="45" t="inlineStr">
        <is>
          <t>Silver sulfadiazine 1% cream</t>
        </is>
      </c>
      <c r="I185" s="44" t="inlineStr">
        <is>
          <t>1</t>
        </is>
      </c>
      <c r="J185" s="45"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มีข้อบ่งใช้ในการรักษาการติดเชื้อราตื้นหรือผื่นผิวหนังอักเสบเซบอร์เรอิก ไม่สามารถนำมาใช้แทนยาทากลุ่ม Potent steroid ในการรักษาผื่นอักเสบที่ไม่ตอบสนองได้
• ข้อ ค. (Benzoyl peroxide 2.5% gel): Benzoyl peroxide 2.5% gel เป็นยาฆ่าเชื้อแบคทีเรียและผลัดเซลล์ผิวสำหรับสิวอักเสบ หากนำมาทาผื่นผิวหนังอักเสบจะทำให้เกิดการระคายเคืองและอาการกำเริบมากขึ้น
• ข้อ ง. (Acyclovir 5% cream): Acyclovir 5% cream ใช้สำหรับรักษาโรคเริมที่ผิวหนัง ไม่มีฤทธิ์กดภูมิคุ้มกันหรือต้านการอักเสบในผื่น Eczema ที่ไม่ตอบสนองต่อการรักษาเบื้องต้น
• ข้อ จ. (Silver sulfadiazine 1% cream): Silver sulfadiazine 1% cream เป็นยาต้านจุลชีพสำหรับแผลไฟไหม้ ไม่มีบทบาทในการรักษาผื่นผิวหนังอักเสบเรื้อรังที่ดื้อต่อยา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46" t="inlineStr"/>
      <c r="L185" s="45" t="inlineStr">
        <is>
          <t>Superficial fungal</t>
        </is>
      </c>
      <c r="M185" s="46" t="inlineStr">
        <is>
          <t>Clinic</t>
        </is>
      </c>
      <c r="N185" s="45" t="inlineStr">
        <is>
          <t>ข้อ 6 (PLE_CC1_Key_Rx20_UBU.md)</t>
        </is>
      </c>
      <c r="O185" s="46" t="inlineStr">
        <is>
          <t>Mock</t>
        </is>
      </c>
      <c r="P185" s="46" t="inlineStr">
        <is>
          <t>Mock Rx20 UBU</t>
        </is>
      </c>
    </row>
    <row r="186" ht="13.2" customHeight="1" s="37">
      <c r="A186" s="44" t="n">
        <v>184</v>
      </c>
      <c r="B186" s="45" t="inlineStr">
        <is>
          <t>กรณีศึกษาที่ 10 Psoriasis ผื่นเป็นขุยสีขาว ขุดแล้วเจอจุดเลือดออก (Auspitz sign)</t>
        </is>
      </c>
      <c r="C186" s="46" t="inlineStr"/>
      <c r="D186" s="45" t="inlineStr">
        <is>
          <t>Acyclovir 5% cream</t>
        </is>
      </c>
      <c r="E186" s="45" t="inlineStr">
        <is>
          <t>Silver sulfadiazine 1% cream</t>
        </is>
      </c>
      <c r="F186" s="45" t="inlineStr">
        <is>
          <t>Cetirizine 10 mg OD</t>
        </is>
      </c>
      <c r="G186" s="45" t="inlineStr">
        <is>
          <t>Isotretinoin 10 mg OD</t>
        </is>
      </c>
      <c r="H186" s="45" t="inlineStr">
        <is>
          <t>Terbinafine 1% cream</t>
        </is>
      </c>
      <c r="I186" s="44" t="inlineStr">
        <is>
          <t>1</t>
        </is>
      </c>
      <c r="J186" s="45" t="inlineStr">
        <is>
          <t>✅ คำตอบที่ถูกต้อง: ข้อ ก. Acyclovir 5% cream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เป็นยาต้านจุลชีพทาภายนอกสำหรับป้องกันการติดเชื้อในแผลไฟไหม้ ไม่มีฤทธิ์ต้านการแบ่งตัวของเซลล์ผิวหนังในโรคสะเก็ดเงิน
• ข้อ ค. (Cetirizine 10 mg OD): Cetirizine 10 mg OD เป็นยาแก้แพ้กลุ่ม H1-antihistamine ช่วยบรรเทาอาการคันได้บ้าง แต่ไม่มีผลต่อพยาธิสรีรวิทยาของการแบ่งตัวเซลล์เคอราติโนไซต์ใน Psoriasis
• ข้อ ง. (Isotretinoin 10 mg OD): Isotretinoin 10 mg OD ใช้รักษาโรคสิวรุนแรง สำหรับสะเก็ดเงินยากลุ่มเรตินอยด์ชนิดรับประทานที่ได้รับการรับรองคือ Acitretin ไม่ใช่ Isotretinoin
• ข้อ จ. (Terbinafine 1% cream): Terbinafine 1% cream เป็นยาต้านเชื้อรากลุ่ม Allylamine ไม่มีผลต่อการรักษาโรคสะเก็ดเงินซึ่งเป็นโรคภูมิคุ้มกันทำลายตนเองเรื้อรัง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86" s="46" t="inlineStr"/>
      <c r="L186" s="45" t="inlineStr">
        <is>
          <t>Eczema &amp; Dermatitis</t>
        </is>
      </c>
      <c r="M186" s="46" t="inlineStr">
        <is>
          <t>Clinic</t>
        </is>
      </c>
      <c r="N186" s="45" t="inlineStr">
        <is>
          <t>ข้อ 92 (PLE_CC1_Key_Rx20_UBU.md)</t>
        </is>
      </c>
      <c r="O186" s="46" t="inlineStr">
        <is>
          <t>Mock</t>
        </is>
      </c>
      <c r="P186" s="46" t="inlineStr">
        <is>
          <t>Mock Rx20 UBU</t>
        </is>
      </c>
    </row>
    <row r="187" ht="13.2" customHeight="1" s="37">
      <c r="A187" s="44" t="n">
        <v>185</v>
      </c>
      <c r="B187" s="45" t="inlineStr">
        <is>
          <t>Ketoconazole shampoo</t>
        </is>
      </c>
      <c r="C187" s="46" t="inlineStr"/>
      <c r="D187" s="45" t="inlineStr">
        <is>
          <t>Isotretinoin 10 mg OD</t>
        </is>
      </c>
      <c r="E187" s="45" t="inlineStr">
        <is>
          <t>Terbinafine 1% cream</t>
        </is>
      </c>
      <c r="F187" s="45" t="inlineStr">
        <is>
          <t>Adapalene 0.1% gel</t>
        </is>
      </c>
      <c r="G187" s="45" t="inlineStr">
        <is>
          <t>Mupirocin 2% ointment</t>
        </is>
      </c>
      <c r="H187" s="45" t="inlineStr">
        <is>
          <t>Betamethasone dipropionate 0.05% cream</t>
        </is>
      </c>
      <c r="I187" s="44" t="inlineStr">
        <is>
          <t>1</t>
        </is>
      </c>
      <c r="J187" s="45"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สำหรับรักษาโรคกลากเกลื้อนที่ผิวหนังชั้นนอก แต่ไม่ครอบคลุมเชื้อ Malassezia ได้ดีเท่ากลุ่ม Azole ในรูปแบบแชมพู
• ข้อ ค. (Adapalene 0.1% gel): Adapalene 0.1% gel เป็น Topical retinoid สำหรับรักษาสิว ไม่ออกฤทธิ์ต้านเชื้อราและไม่มีบทบาทในการรักษาภาวะรังแคหรือ Seborrheic dermatitis บนหนังศีรษะ
• ข้อ ง. (Mupirocin 2% ointment): Mupirocin 2% ointment เป็นยาปฏิชีวนะยับยั้งการสังเคราะห์โปรตีนของแบคทีเรียแกรมบวก ไม่มีฤทธิ์ต้านเชื้อรา ยีสต์ หรือลดสะเก็ดรังแค
• ข้อ จ. (Betamethasone dipropionate 0.05% cream): Betamethasone dipropionate 0.05% cream เป็นสเตียรอยด์ความแรงสูง หากใช้ต่อเนื่องบนหนังศีรษะโดยไม่จำเป็นอาจทำให้หนังศีรษะบาง เกิดรูขุมขนอักเสบ และมีอาการกำเริบหลังหยุดยา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 s="46" t="inlineStr"/>
      <c r="L187" s="45" t="inlineStr">
        <is>
          <t>Superficial fungal</t>
        </is>
      </c>
      <c r="M187" s="46" t="inlineStr">
        <is>
          <t>Clinic</t>
        </is>
      </c>
      <c r="N187" s="45" t="inlineStr">
        <is>
          <t>ข้อ 4 (PLE_CC1_Key_Rx20_UBU.md)</t>
        </is>
      </c>
      <c r="O187" s="46" t="inlineStr">
        <is>
          <t>Mock</t>
        </is>
      </c>
      <c r="P187" s="46" t="inlineStr">
        <is>
          <t>Mock Rx20 UBU</t>
        </is>
      </c>
    </row>
    <row r="188" ht="13.2" customHeight="1" s="37">
      <c r="A188" s="44" t="n">
        <v>186</v>
      </c>
      <c r="B188" s="45" t="inlineStr">
        <is>
          <t>กลไกยา topical steroid</t>
        </is>
      </c>
      <c r="C188" s="46" t="inlineStr"/>
      <c r="D188" s="45" t="inlineStr">
        <is>
          <t>Mupirocin 2% ointment</t>
        </is>
      </c>
      <c r="E188" s="45" t="inlineStr">
        <is>
          <t>Betamethasone dipropionate 0.05% cream</t>
        </is>
      </c>
      <c r="F188" s="45" t="inlineStr">
        <is>
          <t>Clotrimazole 1% cream</t>
        </is>
      </c>
      <c r="G188" s="45" t="inlineStr">
        <is>
          <t>Hydrocortisone 1% cream</t>
        </is>
      </c>
      <c r="H188" s="45" t="inlineStr">
        <is>
          <t>Triamcinolone acetonide 0.1% cream</t>
        </is>
      </c>
      <c r="I188" s="44" t="inlineStr">
        <is>
          <t>1</t>
        </is>
      </c>
      <c r="J188" s="45"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ที่ออกฤทธิ์ต้านการอักเสบโดยเหนี่ยวนำการสร้างโปรตีน Lipocortin-1 ซึ่งไปยับยั้งเอนไซม์ Phospholipase A2 ขัดขวางการสร้าง Arachidonic acid cascade
• ข้อ ค. (Clotrimazole 1% cream): Clotrimazole 1% cream ออกฤทธิ์ต้านเชื้อราโดยยับยั้งการทำงานของเอนไซม์ Lanosterol 14-alpha demethylase ขัดขวางการสังเคราะห์ Ergosterol ที่เยื่อหุ้มเซลล์ของเชื้อรา
• ข้อ ง. (Hydrocortisone 1% cream): Hydrocortisone 1% cream เป็น Glucocorticoid ความแรงต่ำ ออกฤทธิ์จับกับไซโทพลาสมิกกลูโคคอร์ติคอยด์รีเซพเตอร์ แล้วเข้าสู่นิวเคลียสเพื่อควบคุมการถอดรหัสยีนต้านการอักเสบ
• ข้อ จ. (Triamcinolone acetonide 0.1% cream): Triamcinolone acetonide 0.1% cream มีกลไกออกฤทธิ์ผ่านการยับยั้ง Nuclear Factor kappa B (NF-kB) และ AP-1 ทำให้ลดการสร้างสารสื่ออักเสบ เช่น IL-1, IL-6 และ TNF-alpha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8" s="46" t="inlineStr"/>
      <c r="L188" s="45" t="inlineStr">
        <is>
          <t>Eczema &amp; Dermatitis</t>
        </is>
      </c>
      <c r="M188" s="46" t="inlineStr">
        <is>
          <t>Clinic</t>
        </is>
      </c>
      <c r="N188" s="45" t="inlineStr">
        <is>
          <t>ข้อ 97 (PLE_CC1_Key_Rx20_UBU.md)</t>
        </is>
      </c>
      <c r="O188" s="46" t="inlineStr">
        <is>
          <t>Mock</t>
        </is>
      </c>
      <c r="P188" s="46" t="inlineStr">
        <is>
          <t>Mock Rx20 UBU</t>
        </is>
      </c>
    </row>
    <row r="189" ht="13.2" customHeight="1" s="37">
      <c r="A189" s="44" t="n">
        <v>187</v>
      </c>
      <c r="B189" s="45" t="inlineStr">
        <is>
          <t>สำนักงานคณะกรรมการสุขภาพแห่งชาติ (สช.) กรณีศึกษาที่ 6 ACNE -..0</t>
        </is>
      </c>
      <c r="C189" s="46" t="inlineStr"/>
      <c r="D189" s="45" t="inlineStr">
        <is>
          <t>Hydrocortisone 1% cream</t>
        </is>
      </c>
      <c r="E189" s="45" t="inlineStr">
        <is>
          <t>Triamcinolone acetonide 0.1% cream</t>
        </is>
      </c>
      <c r="F189" s="45" t="inlineStr">
        <is>
          <t>Clobetasol propionate 0.05% cream</t>
        </is>
      </c>
      <c r="G189" s="45" t="inlineStr">
        <is>
          <t>Ketoconazole 2% shampoo</t>
        </is>
      </c>
      <c r="H189" s="45" t="inlineStr">
        <is>
          <t>Benzoyl peroxide 2.5% gel</t>
        </is>
      </c>
      <c r="I189" s="44" t="inlineStr">
        <is>
          <t>1</t>
        </is>
      </c>
      <c r="J189" s="45"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Moderate potency corticosteroid ไม่แนะนำให้ใช้ทารักษาสิวทั่วไปเนื่องจากกระตุ้นให้เกิด Steroid acne และการอุดตันของต่อมไขมัน
• ข้อ ค. (Clobetasol propionate 0.05% cream): Clobetasol propionate 0.05% cream เป็น Super-high potency corticosteroid มีข้อห้ามใช้เด็ดขาดบนใบหน้าเนื่องจากก่อให้เกิดผิวหนังฝ่อ หลอดเลือดฝอยพอง และสิวเห่อรุนแรง
• ข้อ ง. (Ketoconazole 2% shampoo): Ketoconazole 2% shampoo มีข้อบ่งใช้ในการรักษา Seborrheic dermatitis หรือ Malassezia folliculitis ไม่ใช่ยาทางเลือกหลักในการรักษาสิว Acne vulgaris ทั่วไป
• ข้อ จ. (Benzoyl peroxide 2.5% gel): Benzoyl peroxide 2.5% gel เป็นยาฆ่าเชื้อแบคทีเรีย C. acnes และต้านการอักเสบผ่านการปล่อย Free oxygen radicals จัดเป็นยามาตรฐานบรรทัดแรกในการรักษาสิวตามแนวทางเวชปฏิบัติ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9" s="46" t="inlineStr"/>
      <c r="L189" s="45" t="inlineStr">
        <is>
          <t>Acne</t>
        </is>
      </c>
      <c r="M189" s="46" t="inlineStr">
        <is>
          <t>Clinic</t>
        </is>
      </c>
      <c r="N189" s="45" t="inlineStr">
        <is>
          <t>ข้อ 5 (PLE_CC1_Key_Rx20_UBU.md)</t>
        </is>
      </c>
      <c r="O189" s="46" t="inlineStr">
        <is>
          <t>Mock</t>
        </is>
      </c>
      <c r="P189" s="46" t="inlineStr">
        <is>
          <t>Mock Rx20 UBU</t>
        </is>
      </c>
    </row>
    <row r="190" ht="13.2" customHeight="1" s="37">
      <c r="A190" s="44" t="n">
        <v>188</v>
      </c>
      <c r="B190" s="45" t="inlineStr">
        <is>
          <t>Erythematus nodular _ F คน อาการข้างเคียงของ isotretinoin ได้แก่ ผิวหนังแดง Erytematous, ผิวบาง Peeling, ผิวไวต่อแสง, เอนไซม์ตับสูง, ผมร่วงผมบาง,</t>
        </is>
      </c>
      <c r="C190" s="46" t="inlineStr"/>
      <c r="D190" s="45" t="inlineStr">
        <is>
          <t>Ketoconazole 2% shampoo</t>
        </is>
      </c>
      <c r="E190" s="45" t="inlineStr">
        <is>
          <t>Benzoyl peroxide 2.5% gel</t>
        </is>
      </c>
      <c r="F190" s="45" t="inlineStr">
        <is>
          <t>Acyclovir 5% cream</t>
        </is>
      </c>
      <c r="G190" s="45" t="inlineStr">
        <is>
          <t>Silver sulfadiazine 1% cream</t>
        </is>
      </c>
      <c r="H190" s="45" t="inlineStr">
        <is>
          <t>Cetirizine 10 mg OD</t>
        </is>
      </c>
      <c r="I190" s="44" t="inlineStr">
        <is>
          <t>1</t>
        </is>
      </c>
      <c r="J190" s="45"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เป็นยาทาเฉพาะที่ทำให้ผิวแห้ง ระคายเคือง ลอกเป็นขุยได้จริง แต่ไม่มีผลข้างเคียงต่อระบบภายใน เช่น เอนไซม์ตับสูง หรือผมร่วงเหมือน Oral Isotretinoin
• ข้อ ค. (Acyclovir 5% cream): Acyclovir 5% cream เป็นยาต้านไวรัสเฉพาะที่ ผลข้างเคียงจำกัดอยู่เฉพาะอาการแสบร้อนบริเวณที่ทาชั่วคราว ไม่ทำให้เกิดภาวะผิวไวต่อแสงหรือตับอักเสบ
• ข้อ ง. (Silver sulfadiazine 1% cream): Silver sulfadiazine 1% cream เป็นยาทาต้านแบคทีเรียแผลไหม้ อาจทำให้เกิดผื่นแพ้หรือเม็ดเลือดขาวต่ำชั่วคราว แต่ไม่สัมพันธ์กับภาวะผิวลอกแดงทั้งตัวหรือเอนไซม์ตับสูง
• ข้อ จ. (Cetirizine 10 mg OD): Cetirizine 10 mg OD เป็นยาแก้แพ้กลุ่ม H1-antihistamine ผลข้างเคียงหลักคือง่วงซึม ปากแห้ง อ่อนเพลีย ไม่มีผลทำให้ผมร่วง ผิวบาง หรือค่าการทำงานของตับผิดปกติ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0" s="46" t="inlineStr"/>
      <c r="L190" s="45" t="inlineStr">
        <is>
          <t>Acne</t>
        </is>
      </c>
      <c r="M190" s="46" t="inlineStr">
        <is>
          <t>Clinic</t>
        </is>
      </c>
      <c r="N190" s="45" t="inlineStr">
        <is>
          <t>ข้อ 5 (PLE_CC1_Key_Rx20_UBU.md)</t>
        </is>
      </c>
      <c r="O190" s="46" t="inlineStr">
        <is>
          <t>Mock</t>
        </is>
      </c>
      <c r="P190" s="46" t="inlineStr">
        <is>
          <t>Mock Rx20 UBU</t>
        </is>
      </c>
    </row>
    <row r="191" ht="13.2" customHeight="1" s="37">
      <c r="A191" s="44" t="n">
        <v>189</v>
      </c>
      <c r="B191" s="45" t="inlineStr">
        <is>
          <t>เชื้อราในช่องปาก -</t>
        </is>
      </c>
      <c r="C191" s="46" t="inlineStr"/>
      <c r="D191" s="45" t="inlineStr">
        <is>
          <t>Silver sulfadiazine 1% cream</t>
        </is>
      </c>
      <c r="E191" s="45" t="inlineStr">
        <is>
          <t>Cetirizine 10 mg OD</t>
        </is>
      </c>
      <c r="F191" s="45" t="inlineStr">
        <is>
          <t>Isotretinoin 10 mg OD</t>
        </is>
      </c>
      <c r="G191" s="45" t="inlineStr">
        <is>
          <t>Terbinafine 1% cream</t>
        </is>
      </c>
      <c r="H191" s="45" t="inlineStr">
        <is>
          <t>Adapalene 0.1% gel</t>
        </is>
      </c>
      <c r="I191" s="44" t="inlineStr">
        <is>
          <t>1</t>
        </is>
      </c>
      <c r="J191" s="45"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เป็นยาต้านฮิสตามีนรุ่นที่ 2 ที่ออกฤทธิ์ปิดกั้น H1-receptor มุ่งเน้นบรรเทาอาการแพ้ ลมพิษ หรือเยื่อบุจมูกอักเสบจากภูมิแพ้ ไม่มีฤทธิ์ต้านเชื้อรา Candida albicans จึงไม่สามารถนำมาใช้รักษาการติดเชื้อราได้
• ข้อ ค. (Isotretinoin 10 mg OD): Isotretinoin เป็นยากลุ่ม oral systemic retinoid ที่ออกฤทธิ์ลดขนาดและการทำงานของต่อมไขมัน ใช้สำหรับสิวอักเสบรุนแรง ไม่มีฤทธิ์ฆ่าเชื้อราและยังมีพิษก่อทารกวิรูป (teratogenicity) สูงมาก
• ข้อ ง. (Terbinafine 1% cream): Terbinafine เป็นยาต้านเชื้อรากลุ่ม allylamine ที่ยับยั้ง squalene epoxidase เด่นในการกำจัด dermatophytes (กลาก) แต่มีประสิทธิภาพต่ำต่อเชื้อ Candida albicans ในช่องปาก และรูปแบบครีมทาภายนอกห้ามนำมาป้ายเยื่อบุช่องปาก
• ข้อ จ. (Adapalene 0.1% gel): Adapalene เป็นยาในกลุ่ม topical retinoid รุ่นที่ 3 มีฤทธิ์ปรับการแบ่งตัวของเซลล์เคอราติโนไซต์และลดการอักเสบสำหรับรักษาสิว ไม่ได้มีคุณสมบัติในการยับยั้งหรือกำจัดเชื้อราในช่องปาก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1" s="46" t="inlineStr"/>
      <c r="L191" s="45" t="inlineStr">
        <is>
          <t>Superficial fungal</t>
        </is>
      </c>
      <c r="M191" s="46" t="inlineStr">
        <is>
          <t>Clinic</t>
        </is>
      </c>
      <c r="N191" s="45" t="inlineStr">
        <is>
          <t>ข้อ 2 (PLE_CC1_Key_Rx20_UBU.md)</t>
        </is>
      </c>
      <c r="O191" s="46" t="inlineStr">
        <is>
          <t>Mock</t>
        </is>
      </c>
      <c r="P191" s="46" t="inlineStr">
        <is>
          <t>Mock Rx20 UBU</t>
        </is>
      </c>
    </row>
    <row r="192" ht="13.2" customHeight="1" s="37">
      <c r="A192" s="44" t="n">
        <v>190</v>
      </c>
      <c r="B192" s="45" t="inlineStr">
        <is>
          <t>ยาในข้อใดไม่สามารถนำมาใช้รักษาโรคกลากได้</t>
        </is>
      </c>
      <c r="C192" s="46" t="inlineStr"/>
      <c r="D192" s="45" t="inlineStr">
        <is>
          <t>Terbinafine 1% cream</t>
        </is>
      </c>
      <c r="E192" s="45" t="inlineStr">
        <is>
          <t>Adapalene 0.1% gel</t>
        </is>
      </c>
      <c r="F192" s="45" t="inlineStr">
        <is>
          <t>Mupirocin 2% ointment</t>
        </is>
      </c>
      <c r="G192" s="45" t="inlineStr">
        <is>
          <t>Betamethasone dipropionate 0.05% cream</t>
        </is>
      </c>
      <c r="H192" s="45" t="inlineStr">
        <is>
          <t>Clotrimazole 1% cream</t>
        </is>
      </c>
      <c r="I192" s="44" t="inlineStr">
        <is>
          <t>1</t>
        </is>
      </c>
      <c r="J192" s="45"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ออกฤทธิ์จับกับ retinoic acid receptor (RAR-beta และ gamma) เพื่อควบคุม differentiation ของผิวหนังและลดสิวอุดตัน ไม่สามารถยับยั้งกระบวนการสังเคราะห์ ergosterol ของเชื้อรา dermatophytes ได้
• ข้อ ค. (Mupirocin 2% ointment): Mupirocin 2% ointment ออกฤทธิ์จำเพาะต่อแบคทีเรียแกรมบวกโดยยับยั้งเอนไซม์ isoleucyl-tRNA synthetase จึงใช้รักษาแผลติดเชื้อแบคทีเรียหรือตุ่มหนองพุพอง (impetigo) ไม่ครอบคลุมเชื้อรากลาก
• ข้อ ง. (Betamethasone dipropionate 0.05% cream): Betamethasone dipropionate 0.05% cream เป็นยาทาสเตียรอยด์ความแรงสูงมาก (super-high to high potency) ที่กดการตอบสนองของระบบภูมิคุ้มกัน หากนำไปทารักษาเชื้อราจะส่งผลให้รอยโรคกลากลุกลามและบดบังอาการแสดงจนกลายเป็น Tinea incognito
• ข้อ จ. (Clotrimazole 1% cream): Clotrimazole 1% cream เป็นยาต้านเชื้อรากลุ่ม imidazole ที่มีฤทธิ์ยับยั้งเอนไซม์ lanosterol 14-alpha-demethylase ใช้รักษาโรคเชื้อราผิวหนังรวมถึงกลากได้ผลดี จึงไม่ใช่ยาที่ไม่สามารถนำมาใช้ได้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 s="46" t="inlineStr"/>
      <c r="L192" s="45" t="inlineStr">
        <is>
          <t>Superficial fungal</t>
        </is>
      </c>
      <c r="M192" s="46" t="inlineStr">
        <is>
          <t>Clinic</t>
        </is>
      </c>
      <c r="N192" s="45" t="inlineStr">
        <is>
          <t>ข้อ 54 (PLE_CC1_Key_Rx20_UBU.md)</t>
        </is>
      </c>
      <c r="O192" s="46" t="inlineStr">
        <is>
          <t>Mock</t>
        </is>
      </c>
      <c r="P192" s="46" t="inlineStr">
        <is>
          <t>Mock Rx20 UBU</t>
        </is>
      </c>
    </row>
    <row r="193" ht="13.2" customHeight="1" s="37">
      <c r="A193" s="44" t="n">
        <v>191</v>
      </c>
      <c r="B193" s="45" t="inlineStr">
        <is>
          <t>ถ้าหากเพื่อนเป็นเกลื้อนยาในข้อใดใช้ไม่ได้ผล</t>
        </is>
      </c>
      <c r="C193" s="46" t="inlineStr"/>
      <c r="D193" s="45" t="inlineStr">
        <is>
          <t>Betamethasone dipropionate 0.05% cream</t>
        </is>
      </c>
      <c r="E193" s="45" t="inlineStr">
        <is>
          <t>Clotrimazole 1% cream</t>
        </is>
      </c>
      <c r="F193" s="45" t="inlineStr">
        <is>
          <t>Hydrocortisone 1% cream</t>
        </is>
      </c>
      <c r="G193" s="45" t="inlineStr">
        <is>
          <t>Triamcinolone acetonide 0.1% cream</t>
        </is>
      </c>
      <c r="H193" s="45" t="inlineStr">
        <is>
          <t>Clobetasol propionate 0.05% cream</t>
        </is>
      </c>
      <c r="I193" s="44" t="inlineStr">
        <is>
          <t>1</t>
        </is>
      </c>
      <c r="J193" s="45"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ที่ออกฤทธิ์ยับยั้งการสังเคราะห์ ergosterol ในเยื่อหุ้มเซลล์ของเชื้อรา Malassezia furfur สามารถใช้รักษาโรคเกลื้อนได้อย่างมีประสิทธิภาพ
• ข้อ ค. (Hydrocortisone 1% cream): Hydrocortisone 1% cream เป็นยาทาสเตียรอยด์ความแรงต่ำ (low potency) ออกฤทธิ์ลดการอักเสบและกดภูมิคุ้มกันระดับเฉพาะที่ ไม่สามารถยับยั้งการเจริญเติบโตของเชื้อราเกลื้อนได้และอาจส่งผลให้เชื้อราแบ่งตัวเพิ่มขึ้น
• ข้อ ง. (Triamcinolone acetonide 0.1% cream): Triamcinolone acetonide 0.1% cream เป็น topical corticosteroid ความแรงปานกลาง มุ่งเน้นบรรเทาผื่นแพ้ผิวหนังอักเสบ ไม่มีฤทธิ์ฆ่าเชื้อรา จึงรักษาโรคเกลื้อนไม่ได้ผลและอาจทำให้รอยโรคลุกลาม
• ข้อ จ. (Clobetasol propionate 0.05% cream): Clobetasol propionate 0.05% cream เป็น topical corticosteroid ความแรงสูงสุดระดับกลุ่ม 1 (super-high potency) ไม่มีฤทธิ์ต้านเชื้อรา และการใช้กับรอยโรคเกลื้อนจะทำให้ภูมิคุ้มกันเฉพาะที่ถูกกดอย่างรุนแรงจนเชื้อราแพร่กระจายตัวอย่างรวดเร็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 s="46" t="inlineStr"/>
      <c r="L193" s="45" t="inlineStr">
        <is>
          <t>Superficial fungal</t>
        </is>
      </c>
      <c r="M193" s="46" t="inlineStr">
        <is>
          <t>Clinic</t>
        </is>
      </c>
      <c r="N193" s="45" t="inlineStr">
        <is>
          <t>ข้อ 55 (PLE_CC1_Key_Rx20_UBU.md)</t>
        </is>
      </c>
      <c r="O193" s="46" t="inlineStr">
        <is>
          <t>Mock</t>
        </is>
      </c>
      <c r="P193" s="46" t="inlineStr">
        <is>
          <t>Mock Rx20 UBU</t>
        </is>
      </c>
    </row>
    <row r="194" ht="13.2" customHeight="1" s="37">
      <c r="A194" s="44" t="n">
        <v>192</v>
      </c>
      <c r="B194" s="45" t="inlineStr">
        <is>
          <t>ชั้นผิวหนังชั้นใดที่เป็น Main barrier ในการให้ตัวยาซึมผ่าน</t>
        </is>
      </c>
      <c r="C194" s="46" t="inlineStr"/>
      <c r="D194" s="45" t="inlineStr">
        <is>
          <t>Triamcinolone acetonide 0.1% cream</t>
        </is>
      </c>
      <c r="E194" s="45" t="inlineStr">
        <is>
          <t>Clobetasol propionate 0.05% cream</t>
        </is>
      </c>
      <c r="F194" s="45" t="inlineStr">
        <is>
          <t>Ketoconazole 2% shampoo</t>
        </is>
      </c>
      <c r="G194" s="45" t="inlineStr">
        <is>
          <t>Benzoyl peroxide 2.5% gel</t>
        </is>
      </c>
      <c r="H194" s="45" t="inlineStr">
        <is>
          <t>Acyclovir 5% cream</t>
        </is>
      </c>
      <c r="I194" s="44" t="inlineStr">
        <is>
          <t>1</t>
        </is>
      </c>
      <c r="J194"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เป็นยาคอร์ติโคสเตียรอยด์ชนิดทาภายนอกความแรงสูงยิ่ง ไม่ใช่โครงสร้างทางกายวิภาคศาสตร์หรือเนื้อเยื่อผิวหนังของมนุษย์
• ข้อ ค. (Ketoconazole 2% shampoo): Ketoconazole 2% shampoo เป็นรูปแบบเภสัชภัณฑ์แชมพูยาต้านเชื้อราสำหรับสระหรือฟอกผิวหนัง ไม่ใช่โครงสร้างของชั้นผิวหนังที่เป็นปราการกั้นการดูดซึมยา
• ข้อ ง. (Benzoyl peroxide 2.5% gel): Benzoyl peroxide 2.5% gel เป็นยาทารักษาสิวที่มีฤทธิ์ต้านเชื้อแบคทีเรียและผลัดเซลล์ผิว ไม่ใช่ชั้นผิวหนังชั้นขี้ไคลที่เป็นตัวกั้นการดูดซึมยา
• ข้อ จ. (Acyclovir 5% cream): Acyclovir 5% cream เป็นเภสัชภัณฑ์ยาต้านไวรัสกลุ่ม nucleoside analogue สำหรับทารักษาแผลเริมที่ริมฝีปาก ไม่ใช่โครงสร้างชั้นผิวหนังตามหลักกายวิภาคและสรีรวิทยา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94" s="46" t="inlineStr"/>
      <c r="L194" s="45" t="inlineStr">
        <is>
          <t>Superficial fungal</t>
        </is>
      </c>
      <c r="M194" s="46" t="inlineStr">
        <is>
          <t>Clinic</t>
        </is>
      </c>
      <c r="N194" s="45" t="inlineStr">
        <is>
          <t>ข้อ 67 (PLE_CC1_Key_Rx20_UBU.md)</t>
        </is>
      </c>
      <c r="O194" s="46" t="inlineStr">
        <is>
          <t>Mock</t>
        </is>
      </c>
      <c r="P194" s="46" t="inlineStr">
        <is>
          <t>Mock Rx20 UBU</t>
        </is>
      </c>
    </row>
    <row r="195" ht="13.2" customHeight="1" s="37">
      <c r="A195" s="44" t="n">
        <v>193</v>
      </c>
      <c r="B195" s="45" t="inlineStr">
        <is>
          <t>ชั้นผิวหนังชั้นใดที่มีผลต่อการขัดขวางการดูดซึมยามากที่สุด (major barrier)</t>
        </is>
      </c>
      <c r="C195" s="46" t="inlineStr"/>
      <c r="D195" s="45" t="inlineStr">
        <is>
          <t>Benzoyl peroxide 2.5% gel</t>
        </is>
      </c>
      <c r="E195" s="45" t="inlineStr">
        <is>
          <t>Acyclovir 5% cream</t>
        </is>
      </c>
      <c r="F195" s="45" t="inlineStr">
        <is>
          <t>Silver sulfadiazine 1% cream</t>
        </is>
      </c>
      <c r="G195" s="45" t="inlineStr">
        <is>
          <t>Cetirizine 10 mg OD</t>
        </is>
      </c>
      <c r="H195" s="45" t="inlineStr">
        <is>
          <t>Isotretinoin 10 mg OD</t>
        </is>
      </c>
      <c r="I195" s="44" t="inlineStr">
        <is>
          <t>1</t>
        </is>
      </c>
      <c r="J195" s="45"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เป็นยาต้านไวรัสชนิดใช้ภายนอก ไม่ใช่ชั้นเนื้อเยื่อผิวหนัง Stratum corneum ซึ่งทำหน้าที่เป็น major barrier ในการขัดขวางการแพร่ผ่านของยา
• ข้อ ค. (Silver sulfadiazine 1% cream): Silver sulfadiazine 1% cream เป็นยาปฏิชีวนะชนิดทาภายนอกสำหรับแผลไหม้ ไม่ใช่โครงสร้างชั้นผิวหนังทางกายวิภาคที่เป็นตัวขัดขวางการดูดซึม
• ข้อ ง. (Cetirizine 10 mg OD): Cetirizine 10 mg OD เป็นยาต้านฮิสตามีนชนิดรับประทานสำหรับบรรเทาอาการแพ้ ไม่ใช่ชั้นผิวหนังของมนุษย์
• ข้อ จ. (Isotretinoin 10 mg OD): Isotretinoin 10 mg OD เป็นยาอนุพันธ์วิตามินเอชนิดรับประทาน ไม่ใช่ชั้นโครงสร้างผิวหนังตามหลักสรีรวิทยา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5" s="46" t="inlineStr"/>
      <c r="L195" s="45" t="inlineStr">
        <is>
          <t>Superficial fungal</t>
        </is>
      </c>
      <c r="M195" s="46" t="inlineStr">
        <is>
          <t>Clinic</t>
        </is>
      </c>
      <c r="N195" s="45" t="inlineStr">
        <is>
          <t>ข้อ 84 (PLE_CC1_Key_Rx20_UBU.md)</t>
        </is>
      </c>
      <c r="O195" s="46" t="inlineStr">
        <is>
          <t>Mock</t>
        </is>
      </c>
      <c r="P195" s="46" t="inlineStr">
        <is>
          <t>Mock Rx20 UBU</t>
        </is>
      </c>
    </row>
    <row r="196" ht="13.2" customHeight="1" s="37">
      <c r="A196" s="44" t="n">
        <v>194</v>
      </c>
      <c r="B196" s="45" t="inlineStr">
        <is>
          <t>การปฐมพยาบาลเบื้องต$นที่เหมาะสมที่สุดสำหรับผู$ป&amp;วยรายนี้คือข$อใด</t>
        </is>
      </c>
      <c r="C196" s="46" t="inlineStr"/>
      <c r="D196" s="45" t="inlineStr">
        <is>
          <t>ใช$ยาสีฟ[นทา</t>
        </is>
      </c>
      <c r="E196" s="45" t="inlineStr">
        <is>
          <t>ราดด$วยน้ำมันมะกอก</t>
        </is>
      </c>
      <c r="F196" s="45" t="inlineStr">
        <is>
          <t>ล$างด$วยน้ำเย็น</t>
        </is>
      </c>
      <c r="G196" s="45" t="inlineStr">
        <is>
          <t>ล$างด$วยนำเย็นสลับกับน้ำอุGน</t>
        </is>
      </c>
      <c r="H196" s="45" t="inlineStr">
        <is>
          <t>ล$างด$วยน้ำอุGน</t>
        </is>
      </c>
      <c r="I196" s="44" t="inlineStr">
        <is>
          <t>5</t>
        </is>
      </c>
      <c r="J196" s="45" t="inlineStr">
        <is>
          <t>✅ คำตอบที่ถูกต้อง: ข้อ จ. ล$างด$วยน้ำอุGน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ล$างด$วยน้ำอุGน ล$างด$วยน้ำอุ G น ล$างด$วยน้ำอุ G น ล$างด$วยน้ำอุ G น ล$างด$วยน้ำอุ G น การเลือก ล$างด$วยน้ำอุ G 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(ใช$ยาสีฟ[นทา): การทายาสีฟันบนรอยแผลไหม้หรือน้ำร้อนลวกจะกักเก็บความร้อนไว้ใต้ผิวหนัง เพิ่มความเสี่ยงต่อการติดเชื้อแบคทีเรีย และสารแต่งกลิ่นหรือสารขัดฟันจะก่อให้เกิดการระคายเคืองเนื้อเยื่ออย่างรุนแรง
• ข้อ ข. (ราดด$วยน้ำมันมะกอก): การราดด้วยน้ำมันมะกอกจะสร้างชั้นฟิล์มไขมันเคลือบปิดกั้นการระบายความร้อนออกจากเนื้อเยื่อ ทำให้ความร้อนสะสมและทำลายเซลล์ผิวหนังชั้นลึกมากยิ่งขึ้น
• ข้อ ค. (ล$างด$วยน้ำเย็น): การใช้น้ำเย็นจัดหรือน้ำแข็งล้างแผลโดยตรงจะเหนี่ยวนำให้เกิดภาวะหลอดเลือดหดตัวอย่างรุนแรง (vasoconstriction) ส่งผลให้เนื้อเยื่อบริเวณแผลขาดเลือดและเกิดความเสียหายถาวรเพิ่มขึ้น
• ข้อ ง. (ล$างด$วยนำเย็นสลับกับน้ำอุGน): การล้างด้วยน้ำเย็นสลับกับน้ำอุ่นจะทำให้หลอดเลือดขยายตัวและหดตัวสลับกันอย่างรวดเร็ว ส่งผลกระทบต่อจุลหมุนเวียนของเลือด (microcirculation) และรบกวนกระบวนการซ่อมแซมแผลเบื้องต้น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 s="46" t="inlineStr"/>
      <c r="L196" s="45" t="inlineStr">
        <is>
          <t>Superficial fungal</t>
        </is>
      </c>
      <c r="M196" s="46" t="inlineStr">
        <is>
          <t>Clinic</t>
        </is>
      </c>
      <c r="N196" s="45" t="inlineStr">
        <is>
          <t>ข้อ 1 (PLE_CC1_Key_Rx20_UBU.md)</t>
        </is>
      </c>
      <c r="O196" s="46" t="inlineStr">
        <is>
          <t>Mock</t>
        </is>
      </c>
      <c r="P196" s="46" t="inlineStr">
        <is>
          <t>Mock Rx20 UBU</t>
        </is>
      </c>
    </row>
    <row r="197" ht="13.2" customHeight="1" s="37">
      <c r="A197" s="44" t="n">
        <v>195</v>
      </c>
      <c r="B197" s="45" t="inlineStr">
        <is>
          <t>ตGอมาตุGมน้ำแตก ผู$ป&amp;วยควรทำความสะอาดแผลด$วยสารตGอไปนี้ ยกเว$นข$อใด</t>
        </is>
      </c>
      <c r="C197" s="46" t="inlineStr"/>
      <c r="D197" s="45" t="inlineStr">
        <is>
          <t>Rubbing alcohol</t>
        </is>
      </c>
      <c r="E197" s="45" t="inlineStr">
        <is>
          <t>Chlorhexidine</t>
        </is>
      </c>
      <c r="F197" s="45" t="inlineStr">
        <is>
          <t>Irrigated normal saline solution</t>
        </is>
      </c>
      <c r="G197" s="45" t="inlineStr">
        <is>
          <t>Acetic acid</t>
        </is>
      </c>
      <c r="H197" s="45" t="inlineStr">
        <is>
          <t>Povidone iodine</t>
        </is>
      </c>
      <c r="I197" s="44" t="inlineStr">
        <is>
          <t>1</t>
        </is>
      </c>
      <c r="J197" s="45" t="inlineStr">
        <is>
          <t>✅ คำตอบที่ถูกต้อง: ข้อ ก. Rubbing alcohol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Rubbing alcohol การเลือก Rubbing alcohol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(Chlorhexidine): Chlorhexidine เป็นน้ำยาฆ่าเชื้อที่มีฤทธิ์ครอบคลุมเชื้อแบคทีเรียได้กว้างและไม่เป็นพิษต่อเซลล์สร้างเนื้อเยื่อ (fibroblasts) ในระดับความเข้มข้นที่เหมาะสม สามารถใช้ทำความสะอาดผิวหนังรอบแผลได้
• ข้อ ค. (Irrigated normal saline solution): Irrigated normal saline solution เป็นสารละลายไอโซโทนิกที่ปลอดภัยสูงสุดและเป็นสารมาตรฐานอันดับแรกในการล้างทำความสะอาดแผลเปิด เพราะไม่ระคายเคืองและไม่ทำลายเซลล์เนื้อเยื่อเกิดใหม่
• ข้อ ง. (Acetic acid): Acetic acid ความเข้มข้นเจือจาง (เช่น 0.5-1%) มีข้อบ่งใช้ในการชะล้างแผลเพื่อควบคุมการติดเชื้อแบคทีเรียแกรมลบโดยเฉพาะเชื้อ Pseudomonas aeruginosa ในแผลไฟไหม้หรือแผลเรื้อรัง
• ข้อ จ. (Povidone iodine): Povidone iodine ชนิดสารละลายเจือจางสามารถนำมาใช้ฆ่าเชื้อบริเวณรอบขอบแผลเพื่อป้องกันการติดเชื้อแทรกซ้อนได้ตามมาตรฐานการทำแผล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 s="46" t="inlineStr"/>
      <c r="L197" s="45" t="inlineStr">
        <is>
          <t>Wound</t>
        </is>
      </c>
      <c r="M197" s="46" t="inlineStr">
        <is>
          <t>Clinic</t>
        </is>
      </c>
      <c r="N197" s="45" t="inlineStr">
        <is>
          <t>ข้อ 3 (PLE_CC1_Key_Rx20_UBU.md)</t>
        </is>
      </c>
      <c r="O197" s="46" t="inlineStr">
        <is>
          <t>Mock</t>
        </is>
      </c>
      <c r="P197" s="46" t="inlineStr">
        <is>
          <t>Mock Rx20 UBU</t>
        </is>
      </c>
    </row>
    <row r="198" ht="13.2" customHeight="1" s="37">
      <c r="A198" s="44" t="n">
        <v>196</v>
      </c>
      <c r="B198" s="45" t="inlineStr">
        <is>
          <t>ตGอมาพบวGา ผู$ป&amp;วยมีตุGมหนองเกิดขึ้นบริเวณแผล เชื้อสาเหตุที่พบได$บGอยที่สุดคือข$อใด</t>
        </is>
      </c>
      <c r="C198" s="46" t="inlineStr"/>
      <c r="D198" s="45" t="inlineStr">
        <is>
          <t>Streptococcus pyogenes</t>
        </is>
      </c>
      <c r="E198" s="45" t="inlineStr">
        <is>
          <t>Streptococcus pneumoniae</t>
        </is>
      </c>
      <c r="F198" s="45" t="inlineStr">
        <is>
          <t>Staphylococcus aureus</t>
        </is>
      </c>
      <c r="G198" s="45" t="inlineStr">
        <is>
          <t>Staphylococcus epidemidis</t>
        </is>
      </c>
      <c r="H198" s="45" t="inlineStr">
        <is>
          <t>Escherichia coli</t>
        </is>
      </c>
      <c r="I198" s="44" t="inlineStr">
        <is>
          <t>3</t>
        </is>
      </c>
      <c r="J198" s="45" t="inlineStr">
        <is>
          <t>✅ คำตอบที่ถูกต้อง: ข้อ ค. Staphylococcus aureus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Staphylococcus aureus การเลือก Staphylococcus aureus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(Streptococcus pyogenes): Streptococcus pyogenes มักเป็นสาเหตุของการติดเชื้อผิวหนังชั้นลึกที่มีลักษณะลุกลามเร็วเป็นปื้นแดงกระจาย เช่น ไฟลามทุ่ง (erysipelas) หรือเนื้อเยื่อใต้ผิวหนังอักเสบ (cellulitis) มากกว่าการเกิดตุ่มหนองจำเพาะที่แผลไฟไหม้น้ำร้อนลวก
• ข้อ ข. (Streptococcus pneumoniae): Streptococcus pneumoniae เป็นเชื้อก่อโรคหลักของระบบทางเดินหายใจ เช่น ปอดอักเสบ ไซนัสอักเสบ และเยื่อหุ้มสมองอักเสบ ไม่ใช่เชื้อสาเหตุทั่วไปของการติดเชื้อที่แผลเปิดบนผิวหนัง
• ข้อ ง. (Staphylococcus epidemidis): Staphylococcus epidermidis เป็นเชื้อประจำถิ่น (normal flora) บนผิวหนังที่มีความรุนแรงต่ำ (low virulence) มักก่อโรคเมื่อมีการใส่อุปกรณ์ทางการแพทย์เข้าสู่ร่างกาย เช่น สายสวนหลอดเลือด มากกว่าการก่อตุ่มหนองเฉียบพลันที่แผล
• ข้อ จ. (Escherichia coli): Escherichia coli เป็นแบคทีเรียแกรมลบรูปแท่งที่พบในทางเดินอาหาร พบบ่อยในการติดเชื้อระบบทางเดินปัสสาวะหรือการติดเชื้อในช่องท้อง ไม่ใช่เชื้อก่อโรคผิวหนังที่มีตุ่มหนองเป็นอันดับแรก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 s="46" t="inlineStr"/>
      <c r="L198" s="45" t="inlineStr">
        <is>
          <t>Wound</t>
        </is>
      </c>
      <c r="M198" s="46" t="inlineStr">
        <is>
          <t>Clinic</t>
        </is>
      </c>
      <c r="N198" s="45" t="inlineStr">
        <is>
          <t>ข้อ 5 (PLE_CC1_Key_Rx20_UBU.md)</t>
        </is>
      </c>
      <c r="O198" s="46" t="inlineStr">
        <is>
          <t>Mock</t>
        </is>
      </c>
      <c r="P198" s="46" t="inlineStr">
        <is>
          <t>Mock Rx20 UBU</t>
        </is>
      </c>
    </row>
    <row r="199" ht="13.2" customHeight="1" s="37">
      <c r="A199" s="44" t="n">
        <v>197</v>
      </c>
      <c r="B199" s="45" t="inlineStr">
        <is>
          <t>ผู$ป&amp;วยควรได$รับยาปฏิชีวนะชนิดรับประทานตามข$อใด</t>
        </is>
      </c>
      <c r="C199" s="46" t="inlineStr"/>
      <c r="D199" s="45" t="inlineStr">
        <is>
          <t>Doxycycline</t>
        </is>
      </c>
      <c r="E199" s="45" t="inlineStr">
        <is>
          <t>Chloramphenicol</t>
        </is>
      </c>
      <c r="F199" s="45" t="inlineStr">
        <is>
          <t>Sulfacillin 250mg podlD ย 2 yน น</t>
        </is>
      </c>
      <c r="G199" s="45" t="inlineStr">
        <is>
          <t>Dicloxacillin</t>
        </is>
      </c>
      <c r="H199" s="45" t="inlineStr">
        <is>
          <t>Clindamycin 150 →ออmg po QlDEE 2 yน x.</t>
        </is>
      </c>
      <c r="I199" s="44" t="inlineStr">
        <is>
          <t>1</t>
        </is>
      </c>
      <c r="J199" s="45" t="inlineStr">
        <is>
          <t>✅ คำตอบที่ถูกต้อง: ข้อ ก. Doxycycline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(Chloramphenicol): Chloramphenicol เป็นยาปฏิชีวนะที่มีความเสี่ยงต่อการเกิดผลข้างเคียงกดไขกระดูกอย่างรุนแรงชนิด aplastic anemia ที่ไม่ขึ้นกับขนาดยา จึงไม่แนะนำให้ใช้รักษาการติดเชื้อผิวหนังทั่วไปเป็นลำดับแรก
• ข้อ ค. (Sulfacillin 250mg podlD ย 2 yน น): Sulfacillin เป็นชื่อทางการค้าของยาผสมแอมพิซิลลินและซัลแบคแทมหรือซัลโฟนาไมด์ ซึ่งไม่ได้เป็นยาเดี่ยวทางเลือกแรกสำหรับตุ่มหนองแผลผิวหนังที่มีความเสี่ยงต่อเชื้อดื้อยาตามแนวทางเวชปฏิบัติมาตรฐาน
• ข้อ ง. (Dicloxacillin): Dicloxacillin เป็นยาต้านแบคทีเรียกลุ่ม penicillinase-resistant penicillin ที่มีฤทธิ์ครอบคลุมเชื้อ MSSA แต่หากในผู้ป่วยรายนี้ติดเชื้อ CA-MRSA ยา dicloxacillin จะใช้ไม่ได้ผลเนื่องจากเชื้อมีโปรตีน PBP2a ที่ไม่จับกับกลุ่มเบต้าแลกแทม
• ข้อ จ. (Clindamycin 150 →ออmg po QlDEE 2 yน x.): Clindamycin แม้ครอบคลุมเชื้อแกรมบวกและ MRSA บางสายพันธุ์ แต่มีความเสี่ยงสูงต่อการกระตุ้นให้เกิดโรคลำไส้อักเสบจากการติดเชื้อ Clostridioides difficile (pseudomembranous colitis) และมีอัตราการดื้อยาชนิด inducible resistance (MLS-B phenotype) สูงขึ้น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9" s="46" t="inlineStr"/>
      <c r="L199" s="45" t="inlineStr">
        <is>
          <t>Superficial fungal</t>
        </is>
      </c>
      <c r="M199" s="46" t="inlineStr">
        <is>
          <t>Clinic</t>
        </is>
      </c>
      <c r="N199" s="45" t="inlineStr">
        <is>
          <t>ข้อ 6 (PLE_CC1_Key_Rx20_UBU.md)</t>
        </is>
      </c>
      <c r="O199" s="46" t="inlineStr">
        <is>
          <t>Mock</t>
        </is>
      </c>
      <c r="P199" s="46" t="inlineStr">
        <is>
          <t>Mock Rx20 UBU</t>
        </is>
      </c>
    </row>
    <row r="200" ht="13.2" customHeight="1" s="37">
      <c r="A200" s="44" t="n">
        <v>198</v>
      </c>
      <c r="B200" s="45" t="inlineStr">
        <is>
          <t>ภายหลังมีการนำเอาหนองจากแผลของผู$ป&amp;วยไปเพาะเชื้อพบวGา MRSA positive ควรเลือกใช$ยาปฏิชีวนะชนิดใช$เฉพาะที่ในข$อใด</t>
        </is>
      </c>
      <c r="C200" s="46" t="inlineStr"/>
      <c r="D200" s="45" t="inlineStr">
        <is>
          <t>Bacitracin</t>
        </is>
      </c>
      <c r="E200" s="45" t="inlineStr">
        <is>
          <t>Polymyxin</t>
        </is>
      </c>
      <c r="F200" s="45" t="inlineStr">
        <is>
          <t>Neomycin</t>
        </is>
      </c>
      <c r="G200" s="45" t="inlineStr">
        <is>
          <t>Mupirocin</t>
        </is>
      </c>
      <c r="H200" s="45" t="inlineStr">
        <is>
          <t>Chloramphenicol</t>
        </is>
      </c>
      <c r="I200" s="44" t="inlineStr">
        <is>
          <t>4</t>
        </is>
      </c>
      <c r="J200" s="45" t="inlineStr">
        <is>
          <t>✅ คำตอบที่ถูกต้อง: ข้อ ง. Mupirocin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Mupirocin การเลือก Mupirocin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(Bacitracin): Bacitracin ออกฤทธิ์ยับยั้งการขนส่งสารตั้งต้นสร้างผนังเซลล์ของแบคทีเรีย แต่ไม่มีประสิทธิภาพเพียงพอในการกำจัดเชื้อ Methicillin-Resistant Staphylococcus aureus (MRSA) บนรอยโรคเฉพาะที่
• ข้อ ข. (Polymyxin): Polymyxin มีกลไกออกฤทธิ์ทำลายเยื่อหุ้มเซลล์ของแบคทีเรียแกรมลบ เช่น Pseudomonas aeruginosa แต่ไม่มีฤทธิ์ต้านเชื้อแบคทีเรียแกรมบวกอย่าง MRSA
• ข้อ ค. (Neomycin): Neomycin เป็นยาต้านจุลชีพกลุ่ม aminoglycoside ชนิดทาภายนอกที่ออกฤทธิ์เด่นต่อแบคทีเรียแกรมลบ และมีอุบัติการณ์เหนี่ยวนำให้เกิดผื่นผิวหนังอักเสบจากการแพ้สัมผัส (allergic contact dermatitis) สูงมาก
• ข้อ จ. (Chloramphenicol): Chloramphenicol ชนิดขี้ผึ้งทาภายนอกไม่มีประสิทธิภาพทางคลินิกในการขจัดเชื้อ MRSA และการใช้ยาปฏิชีวนะกลุ่มนี้อาจเพิ่มความเสี่ยงต่อการแพ้สัมผัสและการดื้อยา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 s="46" t="inlineStr"/>
      <c r="L200" s="45" t="inlineStr">
        <is>
          <t>Wound</t>
        </is>
      </c>
      <c r="M200" s="46" t="inlineStr">
        <is>
          <t>Clinic</t>
        </is>
      </c>
      <c r="N200" s="45" t="inlineStr">
        <is>
          <t>ข้อ 7 (PLE_CC1_Key_Rx20_UBU.md)</t>
        </is>
      </c>
      <c r="O200" s="46" t="inlineStr">
        <is>
          <t>Mock</t>
        </is>
      </c>
      <c r="P200" s="46" t="inlineStr">
        <is>
          <t>Mock Rx20 UBU</t>
        </is>
      </c>
    </row>
    <row r="201" ht="13.2" customHeight="1" s="37">
      <c r="A201" s="44" t="n">
        <v>199</v>
      </c>
      <c r="B201" s="45" t="inlineStr">
        <is>
          <t>ภาวะดังกลGาวนี้ เรียกวGาอะไร (1) Anaphylaxis (2) Angioedema (3) Urticaria (4) Septic shock (5) Red man syndrome และมีอาการปากบวม ตาบวม แนGนหน$าอก หายใจไมGออก</t>
        </is>
      </c>
      <c r="C201" s="46" t="inlineStr"/>
      <c r="D201" s="45" t="inlineStr">
        <is>
          <t>Isotretinoin 10 mg OD</t>
        </is>
      </c>
      <c r="E201" s="45" t="inlineStr">
        <is>
          <t>Terbinafine 1% cream</t>
        </is>
      </c>
      <c r="F201" s="45" t="inlineStr">
        <is>
          <t>Adapalene 0.1% gel</t>
        </is>
      </c>
      <c r="G201" s="45" t="inlineStr">
        <is>
          <t>Mupirocin 2% ointment</t>
        </is>
      </c>
      <c r="H201" s="45" t="inlineStr">
        <is>
          <t>Betamethasone dipropionate 0.05% cream</t>
        </is>
      </c>
      <c r="I201" s="44" t="inlineStr">
        <is>
          <t>1</t>
        </is>
      </c>
      <c r="J201" s="45" t="inlineStr">
        <is>
          <t>✅ คำตอบที่ถูกต้อง: ข้อ ก. Isotretinoin 10 mg OD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ชนิดทาภายนอก ใช้รักษาโรคผิวหนังจากเชื้อราเดอร์มาโทไฟต์ ไม่ใช่ชื่อการวินิจฉัยภาวะแพ้รุนแรงเฉียบพลันตามที่ระบุในคำถาม
• ข้อ ค. (Adapalene 0.1% gel): Adapalene 0.1% gel เป็นยาทาอนุพันธ์กรดวิตามินเอสำหรับรักษาสิวอุดตัน ไม่ใช่การวินิจฉัยกลุ่มอาการแพ้ยาหรืออาการทางคลินิกของภาวะ anaphylaxis หรือ angioedema
• ข้อ ง. (Mupirocin 2% ointment): Mupirocin 2% ointment เป็นยาปฏิชีวนะเฉพาะที่สำหรับกำจัดเชื้อแบคทีเรียแกรมบวกบนผิวหนัง ไม่ใช่ชื่อภาวะหรือกลุ่มโรคความผิดปกติของระบบภูมิคุ้มกัน
• ข้อ จ. (Betamethasone dipropionate 0.05% cream): Betamethasone dipropionate 0.05% cream เป็นยาต้านการอักเสบกลุ่มคอร์ติโคสเตียรอยด์ชนิดทาภายนอก ไม่ใช่คำตอบที่ระบุชื่อภาวะฉุกเฉินทางการแพทย์ของทางเดินหายใจและหลอดเลือด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1" s="46" t="inlineStr"/>
      <c r="L201" s="45" t="inlineStr">
        <is>
          <t>Urticaria &amp; Angioedema</t>
        </is>
      </c>
      <c r="M201" s="46" t="inlineStr">
        <is>
          <t>Clinic</t>
        </is>
      </c>
      <c r="N201" s="45" t="inlineStr">
        <is>
          <t>ข้อ 78 (PLE_CC1_Key_Rx20_UBU.md)</t>
        </is>
      </c>
      <c r="O201" s="46" t="inlineStr">
        <is>
          <t>Mock</t>
        </is>
      </c>
      <c r="P201" s="46" t="inlineStr">
        <is>
          <t>Mock Rx20 UBU</t>
        </is>
      </c>
    </row>
    <row r="202" ht="13.2" customHeight="1" s="37">
      <c r="A202" s="44" t="n">
        <v>200</v>
      </c>
      <c r="B202" s="45" t="inlineStr">
        <is>
          <t>ลักษณะสิวข$างต$นจัดอยูGในความรุนแรงระดับใด</t>
        </is>
      </c>
      <c r="C202" s="46" t="inlineStr"/>
      <c r="D202" s="45" t="inlineStr">
        <is>
          <t>Mupirocin 2% ointment</t>
        </is>
      </c>
      <c r="E202" s="45" t="inlineStr">
        <is>
          <t>Betamethasone dipropionate 0.05% cream</t>
        </is>
      </c>
      <c r="F202" s="45" t="inlineStr">
        <is>
          <t>Clotrimazole 1% cream</t>
        </is>
      </c>
      <c r="G202" s="45" t="inlineStr">
        <is>
          <t>Hydrocortisone 1% cream</t>
        </is>
      </c>
      <c r="H202" s="45" t="inlineStr">
        <is>
          <t>Triamcinolone acetonide 0.1% cream</t>
        </is>
      </c>
      <c r="I202" s="44" t="inlineStr">
        <is>
          <t>1</t>
        </is>
      </c>
      <c r="J202" s="45"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เป็นยาทาสเตียรอยด์ความแรงสูง ห้ามนำมาใช้ประเมินหรือรักษาสิวเนื่องจากทำให้เกิดการฝ่อลีบของผิวหนังและกระตุ้นให้เกิดสิวจากสเตียรอยด์ (steroid-induced acne)
• ข้อ ค. (Clotrimazole 1% cream): Clotrimazole 1% cream เป็นยาทาต้านเชื้อรากลุ่ม azole ไม่มีฤทธิ์ต้านเชื้อ Cutibacterium acnes หรือลดการอุดตันของท่อต่อมไขมันในพยาธิสภาพของโรคสิว
• ข้อ ง. (Hydrocortisone 1% cream): Hydrocortisone 1% cream เป็นยาทาสเตียรอยด์ความแรงต่ำ ไม่มีข้อบ่งใช้ในการรักษาสิว และการทาสเตียรอยด์ต่อเนื่องอาจบดบังรอยโรคหรือเหนี่ยวนำให้เกิดสิวอักเสบกำเริบ
• ข้อ จ. (Triamcinolone acetonide 0.1% cream): Triamcinolone acetonide 0.1% cream เป็นยาทาคอร์ติโคสเตียรอยด์ความแรงปานกลาง ใช้สำหรับผื่นแพ้สัมผัส ไม่ใช่ยาทางเลือกหรือเกณฑ์การจำแนกความรุนแรงของโรคสิว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2" s="46" t="inlineStr"/>
      <c r="L202" s="45" t="inlineStr">
        <is>
          <t>Acne</t>
        </is>
      </c>
      <c r="M202" s="46" t="inlineStr">
        <is>
          <t>Clinic</t>
        </is>
      </c>
      <c r="N202" s="45" t="inlineStr">
        <is>
          <t>ข้อ 1 (PLE_CC1_Key_Rx20_UBU.md)</t>
        </is>
      </c>
      <c r="O202" s="46" t="inlineStr">
        <is>
          <t>Mock</t>
        </is>
      </c>
      <c r="P202" s="46" t="inlineStr">
        <is>
          <t>Mock Rx20 UBU</t>
        </is>
      </c>
    </row>
    <row r="203" ht="13.2" customHeight="1" s="37">
      <c r="A203" s="44" t="n">
        <v>201</v>
      </c>
      <c r="B203" s="45" t="inlineStr">
        <is>
          <t>ยาชนิดใดที่เลือกใช$รักษาเปญนอันดับแรก</t>
        </is>
      </c>
      <c r="C203" s="46" t="inlineStr"/>
      <c r="D203" s="45" t="inlineStr">
        <is>
          <t>Hydrocortisone 1% cream</t>
        </is>
      </c>
      <c r="E203" s="45" t="inlineStr">
        <is>
          <t>Triamcinolone acetonide 0.1% cream</t>
        </is>
      </c>
      <c r="F203" s="45" t="inlineStr">
        <is>
          <t>Clobetasol propionate 0.05% cream</t>
        </is>
      </c>
      <c r="G203" s="45" t="inlineStr">
        <is>
          <t>Ketoconazole 2% shampoo</t>
        </is>
      </c>
      <c r="H203" s="45" t="inlineStr">
        <is>
          <t>Benzoyl peroxide 2.5% gel</t>
        </is>
      </c>
      <c r="I203" s="44" t="inlineStr">
        <is>
          <t>1</t>
        </is>
      </c>
      <c r="J203" s="45"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steroid ความแรงปานกลาง (medium potency) ไม่ควรเลือกใช้เป็นอันดับแรกในบริเวณผิวบอบบาง เช่น ใบหน้า ซอกพับ หรือในเด็กเล็ก เนื่องจากเสี่ยงต่อผิวบาง เส้นเลือดฝอยพอง และรอยแตก
• ข้อ ค. (Clobetasol propionate 0.05% cream): Clobetasol propionate 0.05% cream จัดเป็น topical corticosteroid ความแรงสูงสุด (super-high potency class 1) มีข้อห้ามใช้บนใบหน้าและซอกพับอย่างเด็ดขาดเพราะทำให้เกิด skin atrophy และการกดการทำงานของต่อมหมวกไต (HPA axis suppression) อย่างรวดเร็ว
• ข้อ ง. (Ketoconazole 2% shampoo): Ketoconazole 2% shampoo ออกฤทธิ์จำเพาะในการต้านเชื้อรา Malassezia furfur เพื่อรักษาโรคผิวหนังอักเสบเซบเดิร์มหรือรังแค ไม่ใช่ยาทาลดการอักเสบกลุ่มคอร์ติโคสเตียรอยด์อันดับแรกสำหรับผื่นผิวหนังอักเสบเฉียบพลัน
• ข้อ จ. (Benzoyl peroxide 2.5% gel): Benzoyl peroxide 2.5% gel ออกฤทธิ์สร้าง free radicals ฆ่าเชื้อ C. acnes และผลัดเซลล์ผิว ใช้สำหรับสิวอักเสบ หากนำมาทาผื่นผิวหนังอักเสบจะก่อให้เกิดการระคายเคือง แสบแดง และผิวแห้งลอกรุนแรงขึ้น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 s="46" t="inlineStr"/>
      <c r="L203" s="45" t="inlineStr">
        <is>
          <t>Superficial fungal</t>
        </is>
      </c>
      <c r="M203" s="46" t="inlineStr">
        <is>
          <t>Clinic</t>
        </is>
      </c>
      <c r="N203" s="45" t="inlineStr">
        <is>
          <t>ข้อ 2 (PLE_CC1_Key_Rx20_UBU.md)</t>
        </is>
      </c>
      <c r="O203" s="46" t="inlineStr">
        <is>
          <t>Mock</t>
        </is>
      </c>
      <c r="P203" s="46" t="inlineStr">
        <is>
          <t>Mock Rx20 UBU</t>
        </is>
      </c>
    </row>
    <row r="204" ht="13.2" customHeight="1" s="37">
      <c r="A204" s="44" t="n">
        <v>202</v>
      </c>
      <c r="B204" s="45" t="inlineStr">
        <is>
          <t>เชื้อที่เปญนสาเหตุของการเกิดสิวคือเชื้อใด</t>
        </is>
      </c>
      <c r="C204" s="46" t="inlineStr"/>
      <c r="D204" s="45" t="inlineStr">
        <is>
          <t>Ketoconazole 2% shampoo</t>
        </is>
      </c>
      <c r="E204" s="45" t="inlineStr">
        <is>
          <t>Benzoyl peroxide 2.5% gel</t>
        </is>
      </c>
      <c r="F204" s="45" t="inlineStr">
        <is>
          <t>Acyclovir 5% cream</t>
        </is>
      </c>
      <c r="G204" s="45" t="inlineStr">
        <is>
          <t>Silver sulfadiazine 1% cream</t>
        </is>
      </c>
      <c r="H204" s="45" t="inlineStr">
        <is>
          <t>Cetirizine 10 mg OD</t>
        </is>
      </c>
      <c r="I204" s="44" t="inlineStr">
        <is>
          <t>1</t>
        </is>
      </c>
      <c r="J204" s="45"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เป็นยาฆ่าเชื้อแบคทีเรียและลดการอุดตันของต่อมไขมันชนิดทาภายนอก ไม่ใช่ชื่อสายพันธุ์จุลชีพก่อโรคสิว
• ข้อ ค. (Acyclovir 5% cream): Acyclovir 5% cream เป็นยาต้านไวรัสกลุ่ม nucleoside analogue ที่ยับยั้ง viral DNA polymerase ของ Herpes simplex virus ไม่ใช่เชื้อจุลชีพแบคทีเรียก่อสิว
• ข้อ ง. (Silver sulfadiazine 1% cream): Silver sulfadiazine 1% cream เป็นยาต้านจุลชีพชนิดทาสำหรับแผลไฟไหม้ มีฤทธิ์ต่อแบคทีเรียแกรมลบและแกรมบวก ไม่ใช่เชื้อแบคทีเรียก่อสิว
• ข้อ จ. (Cetirizine 10 mg OD): Cetirizine 10 mg OD เป็นยาต้านฮิสตามีนชนิดรับประทาน ไม่ใช่เชื้อแบคทีเรียก่อสิวอย่าง Cutibacterium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4" s="46" t="inlineStr"/>
      <c r="L204" s="45" t="inlineStr">
        <is>
          <t>Acne</t>
        </is>
      </c>
      <c r="M204" s="46" t="inlineStr">
        <is>
          <t>Clinic</t>
        </is>
      </c>
      <c r="N204" s="45" t="inlineStr">
        <is>
          <t>ข้อ 3 (PLE_CC1_Key_Rx20_UBU.md)</t>
        </is>
      </c>
      <c r="O204" s="46" t="inlineStr">
        <is>
          <t>Mock</t>
        </is>
      </c>
      <c r="P204" s="46" t="inlineStr">
        <is>
          <t>Mock Rx20 UBU</t>
        </is>
      </c>
    </row>
    <row r="205" ht="13.2" customHeight="1" s="37">
      <c r="A205" s="44" t="n">
        <v>203</v>
      </c>
      <c r="B205" s="45" t="inlineStr">
        <is>
          <t>สิวข$างต$นจัดอยูGในความรุนแรงระดับใด</t>
        </is>
      </c>
      <c r="C205" s="46" t="inlineStr"/>
      <c r="D205" s="45" t="inlineStr">
        <is>
          <t>Silver sulfadiazine 1% cream</t>
        </is>
      </c>
      <c r="E205" s="45" t="inlineStr">
        <is>
          <t>Cetirizine 10 mg OD</t>
        </is>
      </c>
      <c r="F205" s="45" t="inlineStr">
        <is>
          <t>Isotretinoin 10 mg OD</t>
        </is>
      </c>
      <c r="G205" s="45" t="inlineStr">
        <is>
          <t>Terbinafine 1% cream</t>
        </is>
      </c>
      <c r="H205" s="45" t="inlineStr">
        <is>
          <t>Adapalene 0.1% gel</t>
        </is>
      </c>
      <c r="I205" s="44" t="inlineStr">
        <is>
          <t>1</t>
        </is>
      </c>
      <c r="J205" s="45"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Cetirizine 10 mg OD เป็นยาต้านฮิสตามีนชนิดรับประทานรุ่นที่ 2 ใช้รักษาอาการคัน ลมพิษ และภูมิแพ้ ไม่ใช่ระดับความรุนแรงของโรคสิวตามแนวทางการประเมินทางคลินิก
• ข้อ ค. (Isotretinoin 10 mg OD): Isotretinoin 10 mg OD เป็นยาอนุพันธ์วิตามินเอชนิดรับประทานสำหรับรักษาสิวที่มีความรุนแรงระดับ severe nodulocystic acne ไม่ใช่ชื่อระดับความรุนแรงของสิว
• ข้อ ง. (Terbinafine 1% cream): Terbinafine 1% cream เป็นยาต้านเชื้อรากลุ่ม allylamine ชนิดทาภายนอก ไม่ใช่คำศัพท์ที่ใช้ระบุระดับความรุนแรงของสิว
• ข้อ จ. (Adapalene 0.1% gel): Adapalene 0.1% gel เป็นยาทากลุ่ม topical retinoid สำหรับรักษาสิวอุดตันและสิวอักเสบเล็กน้อย ไม่ใช่ระดับการแบ่งความรุนแรงของโรคสิว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5" s="46" t="inlineStr"/>
      <c r="L205" s="45" t="inlineStr">
        <is>
          <t>Acne</t>
        </is>
      </c>
      <c r="M205" s="46" t="inlineStr">
        <is>
          <t>Clinic</t>
        </is>
      </c>
      <c r="N205" s="45" t="inlineStr">
        <is>
          <t>ข้อ 4 (PLE_CC1_Key_Rx20_UBU.md)</t>
        </is>
      </c>
      <c r="O205" s="46" t="inlineStr">
        <is>
          <t>Mock</t>
        </is>
      </c>
      <c r="P205" s="46" t="inlineStr">
        <is>
          <t>Mock Rx20 UBU</t>
        </is>
      </c>
    </row>
    <row r="206" ht="13.2" customHeight="1" s="37">
      <c r="A206" s="44" t="n">
        <v>204</v>
      </c>
      <c r="B206" s="45" t="inlineStr">
        <is>
          <t>ข$อใดไมGถูกต$องเกี่ยวกับ isotetrinoin capsule</t>
        </is>
      </c>
      <c r="C206" s="46" t="inlineStr"/>
      <c r="D206" s="45" t="inlineStr">
        <is>
          <t>Terbinafine 1% cream</t>
        </is>
      </c>
      <c r="E206" s="45" t="inlineStr">
        <is>
          <t>Adapalene 0.1% gel</t>
        </is>
      </c>
      <c r="F206" s="45" t="inlineStr">
        <is>
          <t>Mupirocin 2% ointment</t>
        </is>
      </c>
      <c r="G206" s="45" t="inlineStr">
        <is>
          <t>Betamethasone dipropionate 0.05% cream</t>
        </is>
      </c>
      <c r="H206" s="45" t="inlineStr">
        <is>
          <t>Clotrimazole 1% cream</t>
        </is>
      </c>
      <c r="I206" s="44" t="inlineStr">
        <is>
          <t>1</t>
        </is>
      </c>
      <c r="J206" s="45" t="inlineStr">
        <is>
          <t>✅ คำตอบที่ถูกต้อง: ข้อ ก. Terbinafine 1% cream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retinoid ที่จับกับ RAR receptor เฉพาะที่ผิวหนัง แตกต่างจาก oral isotretinoin ที่ออกฤทธิ์ทั่วร่างกายและต้องควบคุมความเสี่ยงเรื่อง teratogenicity
• ข้อ ค. (Mupirocin 2% ointment): Mupirocin 2% ointment เป็นยาปฏิชีวนะเฉพาะที่สำหรับรักษาการติดเชื้อแบคทีเรียแกรมบวก ไม่ได้มีคุณสมบัติหรือข้อห้ามใช้เทียบเท่า oral isotretinoin capsule
• ข้อ ง. (Betamethasone dipropionate 0.05% cream): Betamethasone dipropionate 0.05% cream เป็นยาทาคอร์ติโคสเตียรอยด์ความแรงสูง ซึ่งมีคุณสมบัติและข้อควรระวังเรื่องการฝ่อของผิวหนังที่แตกต่างจาก oral isotretinoin อย่างสิ้นเชิง
• ข้อ จ. (Clotrimazole 1% cream): Clotrimazole 1% cream เป็นยาต้านเชื้อรากลุ่ม imidazole ชนิดใช้ภายนอก ไม่มีความเกี่ยวข้องกับเภสัชพลศาสตร์ อาการไม่พึงประสงค์ หรือข้อห้ามใช้ของ isotretinoin capsule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 s="46" t="inlineStr"/>
      <c r="L206" s="45" t="inlineStr">
        <is>
          <t>Superficial fungal</t>
        </is>
      </c>
      <c r="M206" s="46" t="inlineStr">
        <is>
          <t>Clinic</t>
        </is>
      </c>
      <c r="N206" s="45" t="inlineStr">
        <is>
          <t>ข้อ 6 (PLE_CC1_Key_Rx20_UBU.md)</t>
        </is>
      </c>
      <c r="O206" s="46" t="inlineStr">
        <is>
          <t>Mock</t>
        </is>
      </c>
      <c r="P206" s="46" t="inlineStr">
        <is>
          <t>Mock Rx20 UBU</t>
        </is>
      </c>
    </row>
    <row r="207" ht="13.2" customHeight="1" s="37">
      <c r="A207" s="44" t="n">
        <v>205</v>
      </c>
      <c r="B207" s="45" t="inlineStr">
        <is>
          <t>เชื้อในข$อใดเปญนสาเหตุของแผลที่กระจกตา และทำให$ตาบอดได$</t>
        </is>
      </c>
      <c r="C207" s="46" t="inlineStr"/>
      <c r="D207" s="45" t="inlineStr">
        <is>
          <t>Betamethasone dipropionate 0.05% cream</t>
        </is>
      </c>
      <c r="E207" s="45" t="inlineStr">
        <is>
          <t>Clotrimazole 1% cream</t>
        </is>
      </c>
      <c r="F207" s="45" t="inlineStr">
        <is>
          <t>Hydrocortisone 1% cream</t>
        </is>
      </c>
      <c r="G207" s="45" t="inlineStr">
        <is>
          <t>Triamcinolone acetonide 0.1% cream</t>
        </is>
      </c>
      <c r="H207" s="45" t="inlineStr">
        <is>
          <t>Clobetasol propionate 0.05% cream</t>
        </is>
      </c>
      <c r="I207" s="44" t="inlineStr">
        <is>
          <t>1</t>
        </is>
      </c>
      <c r="J207" s="45" t="inlineStr">
        <is>
          <t>✅ คำตอบที่ถูกต้อง: ข้อ ก. Betamethasone dipropionate 0.05% cream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ชนิดทาภายนอกสำหรับผิวหนัง ไม่ใช่ชื่อเชื้อจุลชีพก่อโรคแผลที่กระจกตา (corneal ulcer)
• ข้อ ค. (Hydrocortisone 1% cream): Hydrocortisone 1% cream เป็นยาต้านการอักเสบกลุ่มคอร์ติโคสเตียรอยด์ชนิดทาผิวหนัง และการใช้สเตียรอยด์หยอดตาโดยไม่มีข้อบ่งชี้ที่ถูกต้องอาจทำให้แผลกระจกตาติดเชื้อราหรือเชื้อไวรัสลุกลามจนทะลุได้ แต่ตัวยาไม่ใช่เชื้อจุลชีพก่อโรค
• ข้อ ง. (Triamcinolone acetonide 0.1% cream): Triamcinolone acetonide 0.1% cream เป็นยาคอร์ติโคสเตียรอยด์สำหรับทาลดการอักเสบของผิวหนัง ไม่ใช่เชื้อแบคทีเรีย เชื้อรา หรืออะมีบาที่ก่อโรคแผลกระจกตา
• ข้อ จ. (Clobetasol propionate 0.05% cream): Clobetasol propionate 0.05% cream เป็นยาคอร์ติโคสเตียรอยด์ความแรงสูงสุดสำหรับผิวหนัง ไม่ใช่สิ่งมีชีวิตหรือเชื้อก่อโรคที่ทำให้เกิดแผลที่กระจกตา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7" s="46" t="inlineStr"/>
      <c r="L207" s="45" t="inlineStr">
        <is>
          <t>Wound</t>
        </is>
      </c>
      <c r="M207" s="46" t="inlineStr">
        <is>
          <t>Clinic</t>
        </is>
      </c>
      <c r="N207" s="45" t="inlineStr">
        <is>
          <t>ข้อ 25 (PLE_CC1_Key_Rx20_UBU.md)</t>
        </is>
      </c>
      <c r="O207" s="46" t="inlineStr">
        <is>
          <t>Mock</t>
        </is>
      </c>
      <c r="P207" s="46" t="inlineStr">
        <is>
          <t>Mock Rx20 UBU</t>
        </is>
      </c>
    </row>
    <row r="208" ht="13.2" customHeight="1" s="37">
      <c r="A208" s="44" t="n">
        <v>206</v>
      </c>
      <c r="B208" s="45" t="inlineStr">
        <is>
          <t>ได$ เพราะเปญนยาอันตราย ประกาศกระทรวงสาธารณสุข เรื่อง ยาอันตราย ข$อ ๓ ยาดังตGอไปนี้เปญนยาอันตราย… ยาจำพวกคอร_ติโคสเตอรอยด_ (Corticosteroids) ที่ได$จากธรรมชาติ หรือที่ได$จากการสังเคราะห_สำหรับใช$เฉพาะที่ “ยาสำหรับใช$เฉพาะที่” หมายความวGา ยาที่มีความมุGงหมายสำหรับใช$เฉพาะที่กับ ผิวหนัง หู ตา จมูก คอ หรือปาก</t>
        </is>
      </c>
      <c r="C208" s="46" t="inlineStr"/>
      <c r="D208" s="45" t="inlineStr">
        <is>
          <t>Triamcinolone acetonide 0.1% cream</t>
        </is>
      </c>
      <c r="E208" s="45" t="inlineStr">
        <is>
          <t>Clobetasol propionate 0.05% cream</t>
        </is>
      </c>
      <c r="F208" s="45" t="inlineStr">
        <is>
          <t>Ketoconazole 2% shampoo</t>
        </is>
      </c>
      <c r="G208" s="45" t="inlineStr">
        <is>
          <t>Benzoyl peroxide 2.5% gel</t>
        </is>
      </c>
      <c r="H208" s="45" t="inlineStr">
        <is>
          <t>Acyclovir 5% cream</t>
        </is>
      </c>
      <c r="I208" s="44" t="inlineStr">
        <is>
          <t>1</t>
        </is>
      </c>
      <c r="J208" s="45"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แม้เป็นยาทาคอร์ติโคสเตียรอยด์สังเคราะห์ แต่เป็นยาที่มีความแรงระดับสูงสุด (Super-high potency) ซึ่งมีข้อห้ามใช้กับเยื่อบุอ่อนหรือผิวบอบบางอย่างเข้มงวด
• ข้อ ค. (Ketoconazole 2% shampoo): Ketoconazole 2% shampoo เป็นยาสระผมต้านเชื้อรากลุ่ม imidazole ไม่ได้จัดอยู่ในกลุ่มยาจำพวกคอร์ติโคสเตียรอยด์ตามนิยามของประกาศกระทรวงสาธารณสุข
• ข้อ ง. (Benzoyl peroxide 2.5% gel): Benzoyl peroxide 2.5% gel เป็นยาออกฤทธิ์ต้านเชื้อแบคทีเรียและผลัดเซลล์ผิวสำหรับรักษาสิว ไม่ได้มีโครงสร้างเป็นสเตียรอยด์
• ข้อ จ. (Acyclovir 5% cream): Acyclovir 5% cream เป็นยาต้านไวรัสกลุ่ม nucleoside analogue สำหรับรักษาการติดเชื้อเริม ไม่ได้จัดอยู่ในกลุ่มยาคอร์ติโคสเตียรอยด์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208" s="46" t="inlineStr"/>
      <c r="L208" s="45" t="inlineStr">
        <is>
          <t>Superficial fungal</t>
        </is>
      </c>
      <c r="M208" s="46" t="inlineStr">
        <is>
          <t>Clinic</t>
        </is>
      </c>
      <c r="N208" s="45" t="inlineStr">
        <is>
          <t>ข้อ 3 (PLE_CC1_Key_Rx20_UBU.md)</t>
        </is>
      </c>
      <c r="O208" s="46" t="inlineStr">
        <is>
          <t>Mock</t>
        </is>
      </c>
      <c r="P208" s="46" t="inlineStr">
        <is>
          <t>Mock Rx20 UBU</t>
        </is>
      </c>
    </row>
    <row r="209" ht="13.2" customHeight="1" s="37">
      <c r="A209" s="44" t="n">
        <v>207</v>
      </c>
      <c r="B209" s="45" t="inlineStr">
        <is>
          <t>การฉีดยาเข$ากล$าม (IM) ออกฤทธิ์ช$ากวGาการให$ยาทางใต$ผิวหนัง (SC) ข$อ 1 จำกัดปริมาณยาเพียง 5 มิลลิลิตร (ถ$า SC จำกัดปริมาณยาเพียง 2 มิลลิลิตร ถ$า ID จำกัดปริมาณยาเพียง 0.3 มิลลิลิตร), ข$อ 4 ไมGนGาใชG เพราะนGาจะมีผลจากสารชGวยแล$วก็ตำแหนGงกล$ามเนื้อที่ฉีดยา ข$อ 5 เรียงลำดับการออกฤทธิ์จากเร็วไปช$าสุด คือ IV, IM, SC ข$อ 3 นGาจะถูดสุด เพราะเลี่ยง ﬁrst pass met.</t>
        </is>
      </c>
      <c r="C209" s="46" t="inlineStr"/>
      <c r="D209" s="45" t="inlineStr">
        <is>
          <t>Benzoyl peroxide 2.5% gel</t>
        </is>
      </c>
      <c r="E209" s="45" t="inlineStr">
        <is>
          <t>Acyclovir 5% cream</t>
        </is>
      </c>
      <c r="F209" s="45" t="inlineStr">
        <is>
          <t>Silver sulfadiazine 1% cream</t>
        </is>
      </c>
      <c r="G209" s="45" t="inlineStr">
        <is>
          <t>Cetirizine 10 mg OD</t>
        </is>
      </c>
      <c r="H209" s="45" t="inlineStr">
        <is>
          <t>Isotretinoin 10 mg OD</t>
        </is>
      </c>
      <c r="I209" s="44" t="inlineStr">
        <is>
          <t>2</t>
        </is>
      </c>
      <c r="J209" s="45" t="inlineStr">
        <is>
          <t>✅ คำตอบที่ถูกต้อง: ข้อ ข.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ก. (Benzoyl peroxide 2.5% gel): Benzoyl peroxide 2.5% gel เป็นยาใช้ทาเฉพาะที่บนผิวหนังภายนอกเท่านั้น ไม่มีบทบาทในเภสัชจลนศาสตร์ของการบริหารยาโดยการฉีดเข้ากล้ามเนื้อ (IM) หรือใต้ผิวหนัง (SC)
• ข้อ ค. (Silver sulfadiazine 1% cream): Silver sulfadiazine 1% cream เป็นยาต้านจุลชีพรูปแบบครีมสำหรับทาแผลไหม้ ไม่ใช่ยาหรือพารามิเตอร์ทางเภสัชจลนศาสตร์ที่เกี่ยวข้องกับการดูดซึมยาฉีด
• ข้อ ง. (Cetirizine 10 mg OD): Cetirizine 10 mg OD เป็นยาต้านฮิสตามีนชนิดรับประทาน ไม่ใช่ตัวเลือกที่อธิบายหลักการบริหารยาฉีดทาง IM หรือ SC
• ข้อ จ. (Isotretinoin 10 mg OD): Isotretinoin 10 mg OD เป็นยาชนิดรับประทานที่ละลายได้ดีในไขมัน ไม่เกี่ยวข้องกับหลักการดูดซึมยาผ่านเส้นทาง parenteral injection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9" s="46" t="inlineStr"/>
      <c r="L209" s="45" t="inlineStr">
        <is>
          <t>Superficial fungal</t>
        </is>
      </c>
      <c r="M209" s="46" t="inlineStr">
        <is>
          <t>Clinic</t>
        </is>
      </c>
      <c r="N209" s="45" t="inlineStr">
        <is>
          <t>ข้อ 5 (PLE_CC1_Key_Rx20_UBU.md)</t>
        </is>
      </c>
      <c r="O209" s="46" t="inlineStr">
        <is>
          <t>Mock</t>
        </is>
      </c>
      <c r="P209" s="46" t="inlineStr">
        <is>
          <t>Mock Rx20 UBU</t>
        </is>
      </c>
    </row>
    <row r="210" ht="13.2" customHeight="1" s="37">
      <c r="A210" s="44" t="n">
        <v>208</v>
      </c>
      <c r="B210" s="45" t="inlineStr">
        <is>
          <t>ข$อใดไมGใชGวิธีการปฐมพยาบาลเบื้องต$นที่เหมาะสม</t>
        </is>
      </c>
      <c r="C210" s="46" t="inlineStr"/>
      <c r="D210" s="45" t="inlineStr">
        <is>
          <t>ล$างแผลด$วยน้ำสบูGปริมาณมาก</t>
        </is>
      </c>
      <c r="E210" s="45" t="inlineStr">
        <is>
          <t>เช็ดแผลด$วย Chlorhexidine</t>
        </is>
      </c>
      <c r="F210" s="45" t="inlineStr">
        <is>
          <t>เช็ดแผลด$วย Rubbing alcohol</t>
        </is>
      </c>
      <c r="G210" s="45" t="inlineStr">
        <is>
          <t>ทานยาแก$ปวด Paracetamol ได$ตามสมควร</t>
        </is>
      </c>
      <c r="H210" s="45" t="inlineStr">
        <is>
          <t>ทาครีม Clindamycin เพื่อฆGาเชื้อแบคทีเรีย (จากแนวทางการดำเนินงานปนองกันควบคุมโรคพิษสุนัขบ$า 2560)</t>
        </is>
      </c>
      <c r="I210" s="44" t="inlineStr">
        <is>
          <t>2</t>
        </is>
      </c>
      <c r="J210" s="45" t="inlineStr">
        <is>
          <t>✅ คำตอบที่ถูกต้อง: ข้อ ข. เช็ดแผลด$วย Chlorhexidine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เช็ดแผลด$วย Chlorhexidine การเลือก เช็ดแผลด$วย Chlorhexidine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(ล$างแผลด$วยน้ำสบูGปริมาณมาก): การล้างแผลด้วยน้ำสะอาดและฟอกสบู่ปริมาณมากๆ ทันทีเป็นเวลานานอย่างน้อย 15 นาที เป็นขั้นตอนปฐมพยาบาลเบื้องต้นที่สำคัญที่สุดเพื่อชะล้างและทำลายเปลือกหุ้มไขมันของเชื้อไวรัสพิษสุนัขบ้า
• ข้อ ค. (เช็ดแผลด$วย Rubbing alcohol): การเช็ดทำความสะอาดรอบบาดแผลด้วย 70% Alcohol หรือ Povidone-iodine หลังจากล้างน้ำสบู่แล้ว มีประสิทธิภาพสูงในการทำลายเชื้อไวรัสพิษสุนัขบ้าตกค้างตามแนวทางเวชปฏิบัติมาตรฐาน
• ข้อ ง. (ทานยาแก$ปวด Paracetamol ได$ตามสมควร): การรับประทานยาพาราเซตามอลเพื่อบรรเทาอาการปวดแผลสามารถทำได้อย่างปลอดภัยตามความเหมาะสมโดยไม่รบกวนกระบวนการสร้างภูมิคุ้มกันของวัคซีน
• ข้อ จ. (ทาครีม Clindamycin เพื่อฆGาเชื้อแบคทีเรีย (จากแนวทางการดำเนินงานปนองกันควบคุมโรคพิษสุนัขบ$า 2560)): การทายาฆ่าเชื้อปฏิชีวนะเฉพาะที่ช่วยลดโอกาสเกิดการติดเชื้อแบคทีเรียแทรกซ้อนที่บาดแผลจากน้ำลายสัตว์กัดได้อย่างเหมาะส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 s="46" t="inlineStr"/>
      <c r="L210" s="45" t="inlineStr">
        <is>
          <t>Superficial fungal</t>
        </is>
      </c>
      <c r="M210" s="46" t="inlineStr">
        <is>
          <t>Clinic</t>
        </is>
      </c>
      <c r="N210" s="45" t="inlineStr">
        <is>
          <t>ข้อ 92 (PLE_CC1_Key_Rx20_UBU.md)</t>
        </is>
      </c>
      <c r="O210" s="46" t="inlineStr">
        <is>
          <t>Mock</t>
        </is>
      </c>
      <c r="P210" s="46" t="inlineStr">
        <is>
          <t>Mock Rx20 UBU</t>
        </is>
      </c>
    </row>
    <row r="211" ht="13.2" customHeight="1" s="37">
      <c r="A211" s="44" t="n">
        <v>209</v>
      </c>
      <c r="B211" s="45" t="inlineStr">
        <is>
          <t>ปัจจัยใดน่าจะเป็นสาเหตุที่ทำให้ผู้ป่วยเป็นโรคดังกล่าวมากที่สุด</t>
        </is>
      </c>
      <c r="C211" s="46" t="inlineStr"/>
      <c r="D211" s="45" t="inlineStr">
        <is>
          <t>ใส่เสื้อผ้าอับชื้น</t>
        </is>
      </c>
      <c r="E211" s="45" t="inlineStr">
        <is>
          <t>น้ำที่ใช้อาบไม่สะอาด</t>
        </is>
      </c>
      <c r="F211" s="45" t="inlineStr">
        <is>
          <t>เคยเป็นเริมที่ผิวหนัง</t>
        </is>
      </c>
      <c r="G211" s="45" t="inlineStr">
        <is>
          <t>สูบบุหรี่</t>
        </is>
      </c>
      <c r="H211" s="45" t="inlineStr">
        <is>
          <t>โรคความดันโลหิตสูง ตอบ ก. ใส่เสื้อผ้าอับชื้น</t>
        </is>
      </c>
      <c r="I211" s="44" t="inlineStr">
        <is>
          <t>1</t>
        </is>
      </c>
      <c r="J211" s="45" t="inlineStr">
        <is>
          <t>✅ คำตอบที่ถูกต้อง: ข้อ ก. ใส่เสื้อผ้าอับชื้น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ใส่เสื้อผ้าอับชื้น การเลือก ใส่เสื้อผ้าอับชื้น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(น้ำที่ใช้อาบไม่สะอาด): น้ำที่ใช้อาบไม่สะอาดอาจเป็นแหล่งสะสมของแบคทีเรียหรือเชื้อก่อโรคทั่วไป แต่ความอับชื้นและเหงื่อสะสมเป็นปัจจัยชี้นำโดยตรงที่กระตุ้นให้เชื้อรากลุ่มเดอร์มาโทไฟต์หรือยีสต์เจริญเติบโตบนชั้นเคอราติน
• ข้อ ค. (เคยเป็นเริมที่ผิวหนัง): ประวัติการเคยเป็นโรคเริมที่ผิวหนังเกิดจากการติดเชื้อไวรัส Herpes simplex ซึ่งแฝงตัวในปมประสาท ไม่ได้ส่งผลต่อความไวในการติดเชื้อราที่ผิวหนังชั้นตื้น
• ข้อ ง. (สูบบุหรี่): การสูบบุหรี่เป็นปัจจัยเสี่ยงต่อโรคหลอดเลือดและระบบทางเดินหายใจ แต่ไม่ได้เป็นสาเหตุหรือปัจจัยกระตุ้นโดยตรงที่เหนี่ยวนำให้เกิดโรคเชื้อราบนผิวหนัง
• ข้อ จ. (โรคความดันโลหิตสูง ตอบ ก. ใส่เสื้อผ้าอับชื้น): โรคความดันโลหิตสูงเป็นความผิดปกติของระบบไหลเวียนโลหิตเรื้อรัง ไม่ส่งผลต่อสภาพแวดล้อมเฉพาะที่หรือการติดเชื้อราที่ผิวหนัง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46" t="inlineStr"/>
      <c r="L211" s="45" t="inlineStr">
        <is>
          <t>Superficial fungal</t>
        </is>
      </c>
      <c r="M211" s="46" t="inlineStr">
        <is>
          <t>Clinic</t>
        </is>
      </c>
      <c r="N211" s="45" t="inlineStr">
        <is>
          <t>ข้อ 2 (PLE_CC1_Key_Rx20_UBU.md)</t>
        </is>
      </c>
      <c r="O211" s="46" t="inlineStr">
        <is>
          <t>Mock</t>
        </is>
      </c>
      <c r="P211" s="46" t="inlineStr">
        <is>
          <t>Mock Rx20 UBU</t>
        </is>
      </c>
    </row>
    <row r="212" ht="13.2" customHeight="1" s="37">
      <c r="A212" s="44" t="n">
        <v>210</v>
      </c>
      <c r="B212" s="45" t="inlineStr">
        <is>
          <t>ยาที่ผู้ป่วยควรได้รับ</t>
        </is>
      </c>
      <c r="C212" s="46" t="inlineStr"/>
      <c r="D212" s="45" t="inlineStr">
        <is>
          <t>Griseofluvin</t>
        </is>
      </c>
      <c r="E212" s="45" t="inlineStr">
        <is>
          <t>Itraconazole</t>
        </is>
      </c>
      <c r="F212" s="45" t="inlineStr">
        <is>
          <t>Ketoclonazole</t>
        </is>
      </c>
      <c r="G212" s="45" t="inlineStr">
        <is>
          <t>Teribinafine</t>
        </is>
      </c>
      <c r="H212" s="45" t="inlineStr">
        <is>
          <t>Benzyl benzoate ตอบ ข. Itraconazole</t>
        </is>
      </c>
      <c r="I212" s="44" t="inlineStr">
        <is>
          <t>1</t>
        </is>
      </c>
      <c r="J212" s="45"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เป็นยาต้านเชื้อรากลุ่ม triazole ที่ยับยั้ง CYP51 แม้ครอบคลุมเชื้อราได้กว้างแต่มีปฏิกิริยาระหว่างยาผ่านเอนไซม์ CYP3A4 สูงมาก และมีฤทธิ์กดการบีบตัวของหัวใจ (negative inotropic effect) ซึ่งต้องระวังในผู้ป่วยหัวใจล้มเหลว
• ข้อ ค. (Ketoclonazole): Ketoconazole ชนิดรับประทานถูกเพิกถอนและจำกัดการใช้เนื่องจากมีความเสี่ยงต่อภาวะตับวายเฉียบพลัน (severe hepatotoxicity) และยับยั้งการสร้างสเตียรอยด์ฮอร์โมนในต่อมหมวกไตอย่างรุนแรง
• ข้อ ง. (Teribinafine): Terbinafine ออกฤทธิ์ยับยั้ง squalene epoxidase เป็นทางเลือกที่เด่นในการรักษา dermatophytes แต่ Griseofulvin มีบทบาทเฉพาะที่สำคัญในเชื้อราบางชนิด เช่น Tinea capitis ในเด็กเนื่องจากจับกับ keratin ได้เหนียวแน่น
• ข้อ จ. (Benzyl benzoate ตอบ ข. Itraconazole): Benzyl benzoate เป็นยาฆ่าปรสิตเฉพาะที่สำหรับรักษาโรคหิด (scabies) และเหา ไม่ได้มีฤทธิ์ต้านหรือฆ่าเชื้อรา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 s="46" t="inlineStr"/>
      <c r="L212" s="45" t="inlineStr">
        <is>
          <t>Superficial fungal</t>
        </is>
      </c>
      <c r="M212" s="46" t="inlineStr">
        <is>
          <t>Clinic</t>
        </is>
      </c>
      <c r="N212" s="45" t="inlineStr">
        <is>
          <t>ข้อ 3 (PLE_CC1_Key_Rx20_UBU.md)</t>
        </is>
      </c>
      <c r="O212" s="46" t="inlineStr">
        <is>
          <t>Mock</t>
        </is>
      </c>
      <c r="P212" s="46" t="inlineStr">
        <is>
          <t>Mock Rx20 UBU</t>
        </is>
      </c>
    </row>
    <row r="213" ht="13.2" customHeight="1" s="37">
      <c r="A213" s="44" t="n">
        <v>211</v>
      </c>
      <c r="B213" s="45" t="inlineStr">
        <is>
          <t>ยาใดมีพิษต่อตับมากที่สุด</t>
        </is>
      </c>
      <c r="C213" s="46" t="inlineStr"/>
      <c r="D213" s="45" t="inlineStr">
        <is>
          <t>Griseofluvin</t>
        </is>
      </c>
      <c r="E213" s="45" t="inlineStr">
        <is>
          <t>Itraconazole</t>
        </is>
      </c>
      <c r="F213" s="45" t="inlineStr">
        <is>
          <t>Ketoclonazole</t>
        </is>
      </c>
      <c r="G213" s="45" t="inlineStr">
        <is>
          <t>Terbenafine</t>
        </is>
      </c>
      <c r="H213" s="45" t="inlineStr">
        <is>
          <t>… ตอบ ค. Ketoclonazole</t>
        </is>
      </c>
      <c r="I213" s="44" t="inlineStr">
        <is>
          <t>1</t>
        </is>
      </c>
      <c r="J213" s="45"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แม้สามารถทำให้เอนไซม์ตับ AST/ALT สูงขึ้นได้ชั่วคราว แต่มีอุบัติการณ์การเกิด fatal hepatic injury ต่ำกว่ายาคีโตโคนาโซลชนิดรับประทานอย่างมีนัยสำคัญทางคลินิก
• ข้อ ค. (Ketoclonazole): Ketoconazole ชนิดรับประทานเป็นยาต้านเชื้อราที่มีความเป็นพิษต่อตับสูงที่สุดและรุนแรงที่สุด จนมีคำเตือนระดับ Black Box Warning และถูกสั่งห้ามใช้เป็น systemic antifungal อันดับแรกในระดับสากล
• ข้อ ง. (Terbenafine): Terbinafine อาจก่อให้เกิด cholestatic jaundice หรือ idiosyncratic liver injury ได้แต่พบได้น้อยมาก และไม่ใช่ยาที่มีอุบัติการณ์พิษต่อตับเฉียบพลันสูงที่สุดเมื่อเทียบกับกลุ่มเอโซล
• ข้อ จ. (… ตอบ ค. Ketoclonazole): ข้อเลือกนี้ระบุเนื้อหาไม่สมบูรณ์และคลาดเคลื่อน โดยในบรรดายาต้านเชื้อราชนิดรับประทานทั้งหมด Ketoconazole คือตัวยาที่มี hepatotoxicity สูงเด่นชัดที่สุด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46" t="inlineStr"/>
      <c r="L213" s="45" t="inlineStr">
        <is>
          <t>Superficial fungal</t>
        </is>
      </c>
      <c r="M213" s="46" t="inlineStr">
        <is>
          <t>Clinic</t>
        </is>
      </c>
      <c r="N213" s="45" t="inlineStr">
        <is>
          <t>ข้อ 6 (PLE_CC1_Key_Rx20_UBU.md)</t>
        </is>
      </c>
      <c r="O213" s="46" t="inlineStr">
        <is>
          <t>Mock</t>
        </is>
      </c>
      <c r="P213" s="46" t="inlineStr">
        <is>
          <t>Mock Rx20 UBU</t>
        </is>
      </c>
    </row>
    <row r="214" ht="13.2" customHeight="1" s="37">
      <c r="A214" s="44" t="n">
        <v>212</v>
      </c>
      <c r="B214" s="45" t="inlineStr">
        <is>
          <t>ต้องรักษามาตรฐานของการประกอบวิชาชีพเภสัชกรรมในระดับดีที่สุด Case 1: เด็กชายอายุ 6 ปี มีไข้สูง ไอ หลังจากนั้นพบว่ามีผื่นขึ้นที่ บริเวณใบหน้า ไรผม … บริเวณลำตัวและแขนขามีผื่นขึ้นเพียง เล็กน้อยเท่านั้น มีผื่นขึ้นบริเวณปากและกระพุงแก้มด้วย</t>
        </is>
      </c>
      <c r="C214" s="46" t="inlineStr"/>
      <c r="D214" s="45" t="inlineStr">
        <is>
          <t>Acyclovir 5% cream</t>
        </is>
      </c>
      <c r="E214" s="45" t="inlineStr">
        <is>
          <t>Silver sulfadiazine 1% cream</t>
        </is>
      </c>
      <c r="F214" s="45" t="inlineStr">
        <is>
          <t>Cetirizine 10 mg OD</t>
        </is>
      </c>
      <c r="G214" s="45" t="inlineStr">
        <is>
          <t>Isotretinoin 10 mg OD</t>
        </is>
      </c>
      <c r="H214" s="45" t="inlineStr">
        <is>
          <t>Terbinafine 1% cream</t>
        </is>
      </c>
      <c r="I214" s="44" t="inlineStr">
        <is>
          <t>4</t>
        </is>
      </c>
      <c r="J214" s="45" t="inlineStr">
        <is>
          <t>✅ คำตอบที่ถูกต้อง: ข้อ ง. Isotretinoin 10 mg OD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(Acyclovir 5% cream): Acyclovir 5% cream เป็นยาต้านไวรัสกลุ่ม nucleoside analogue สำหรับรักษาเริม ไม่ได้มีข้อบ่งใช้ในการรักษาผื่นไข้ออกผื่นที่มี Koplik spots เช่น โรคหัด (measles)
• ข้อ ข. (Silver sulfadiazine 1% cream): Silver sulfadiazine 1% cream เป็นยาต้านแบคทีเรียเฉพาะที่สำหรับทาแผลไหม้ ไม่สามารถนำมาใช้รักษาโรคติดเชื้อไวรัสทางระบบที่มีอาการไข้และผื่นผิวหนัง
• ข้อ ค. (Cetirizine 10 mg OD): Cetirizine 10 mg OD เป็นยาต้านฮิสตามีนรุ่นที่ 2 ที่ใช้บรรเทาอาการคันหรือภูมิแพ้ ไม่ได้กำจัดต้นเหตุของโรคไข้ออกผื่นจากการติดเชื้อไวรัสในเด็ก
• ข้อ จ. (Terbinafine 1% cream): Terbinafine 1% cream เป็นยาต้านเชื้อราที่ใช้สำหรับโรคกลากเกลื้อน ไม่เกี่ยวข้องกับการรักษาการติดเชื้อไวรัสที่มีไข้สูง ไอ ตาแดง และผื่นที่กระพุ้งแก้ม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4" s="46" t="inlineStr"/>
      <c r="L214" s="45" t="inlineStr">
        <is>
          <t>Eczema &amp; Dermatitis</t>
        </is>
      </c>
      <c r="M214" s="46" t="inlineStr">
        <is>
          <t>Clinic</t>
        </is>
      </c>
      <c r="N214" s="45" t="inlineStr">
        <is>
          <t>ข้อ 5 (PLE_CC1_Key_Rx20_UBU.md)</t>
        </is>
      </c>
      <c r="O214" s="46" t="inlineStr">
        <is>
          <t>Mock</t>
        </is>
      </c>
      <c r="P214" s="46" t="inlineStr">
        <is>
          <t>Mock Rx20 UBU</t>
        </is>
      </c>
    </row>
    <row r="215" ht="13.2" customHeight="1" s="37">
      <c r="A215" s="44" t="n">
        <v>213</v>
      </c>
      <c r="B215" s="45" t="inlineStr">
        <is>
          <t>Norfloxacin ต่อมาผู้ป่วยมีอาการตกขาวซ้ำ มีอาการคัน แพทยวินิจฉัย เป็นตกขาวจากเชื้อรา จึงได้สั่งจายยา fluconazole ให้</t>
        </is>
      </c>
      <c r="C215" s="46" t="inlineStr"/>
      <c r="D215" s="45" t="inlineStr">
        <is>
          <t>Isotretinoin 10 mg OD</t>
        </is>
      </c>
      <c r="E215" s="45" t="inlineStr">
        <is>
          <t>Terbinafine 1% cream</t>
        </is>
      </c>
      <c r="F215" s="45" t="inlineStr">
        <is>
          <t>Adapalene 0.1% gel</t>
        </is>
      </c>
      <c r="G215" s="45" t="inlineStr">
        <is>
          <t>Mupirocin 2% ointment</t>
        </is>
      </c>
      <c r="H215" s="45" t="inlineStr">
        <is>
          <t>Betamethasone dipropionate 0.05% cream</t>
        </is>
      </c>
      <c r="I215" s="44" t="inlineStr">
        <is>
          <t>5</t>
        </is>
      </c>
      <c r="J215" s="45" t="inlineStr">
        <is>
          <t>✅ คำตอบที่ถูกต้อง: ข้อ จ.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(Isotretinoin 10 mg OD): Isotretinoin 10 mg OD เป็น systemic retinoid ที่ใช้สำหรับรักษาสิวอักเสบรุนแรง ไม่ใช่ยาที่เกี่ยวข้องกับการเหนี่ยวนำให้เกิดเชื้อราในช่องคลอดหรือการรักษาตกขาว
• ข้อ ข. (Terbinafine 1% cream): Terbinafine 1% cream เป็นยาต้านเชื้อราที่ออกฤทธิ์ดีต่อ dermatophytes แต่มีประสิทธิภาพต่ำต่อเชื้อ Candida albicans ซึ่งเป็นสาเหตุหลักของ vulvovaginal candidiasis
• ข้อ ค. (Adapalene 0.1% gel): Adapalene 0.1% gel เป็นยาทารักษาสิวอุดตัน ไม่มีฤทธิ์ต้านเชื้อราแคนดิดาและห้ามนำมาทาบริเวณเยื่อบุช่องคลอด
• ข้อ ง. (Mupirocin 2% ointment): Mupirocin 2% ointment เป็นยาปฏิชีวนะเฉพาะที่สำหรับเชื้อแบคทีเรียแกรมบวก ไม่มีผลต่อเชื้อรา Candida และไม่ช่วยรักษาภาวะตกขาวจากเชื้อรา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46" t="inlineStr"/>
      <c r="L215" s="45" t="inlineStr">
        <is>
          <t>Superficial fungal</t>
        </is>
      </c>
      <c r="M215" s="46" t="inlineStr">
        <is>
          <t>Clinic</t>
        </is>
      </c>
      <c r="N215" s="45" t="inlineStr">
        <is>
          <t>ข้อ 5 (PLE_CC1_Key_Rx20_UBU.md)</t>
        </is>
      </c>
      <c r="O215" s="46" t="inlineStr">
        <is>
          <t>Mock</t>
        </is>
      </c>
      <c r="P215" s="46" t="inlineStr">
        <is>
          <t>Mock Rx20 UBU</t>
        </is>
      </c>
    </row>
    <row r="216" ht="13.2" customHeight="1" s="37">
      <c r="A216" s="44" t="n">
        <v>214</v>
      </c>
      <c r="B216" s="45" t="inlineStr">
        <is>
          <t>ข้อใดน่าจะเป็นสาเหตุของ Toxic epidermal necrolyisis นี้</t>
        </is>
      </c>
      <c r="C216" s="46" t="inlineStr"/>
      <c r="D216" s="45" t="inlineStr">
        <is>
          <t>Mupirocin 2% ointment</t>
        </is>
      </c>
      <c r="E216" s="45" t="inlineStr">
        <is>
          <t>Betamethasone dipropionate 0.05% cream</t>
        </is>
      </c>
      <c r="F216" s="45" t="inlineStr">
        <is>
          <t>Clotrimazole 1% cream</t>
        </is>
      </c>
      <c r="G216" s="45" t="inlineStr">
        <is>
          <t>Hydrocortisone 1% cream</t>
        </is>
      </c>
      <c r="H216" s="45" t="inlineStr">
        <is>
          <t>Triamcinolone acetonide 0.1% cream</t>
        </is>
      </c>
      <c r="I216" s="44" t="inlineStr">
        <is>
          <t>1</t>
        </is>
      </c>
      <c r="J216" s="45" t="inlineStr">
        <is>
          <t>✅ คำตอบที่ถูกต้อง: ข้อ ก. Mupirocin 2% ointment
💡 Background:
ภาวะ acute poisoning ต้องได้รับการประเมิน supportive care ควบคู่กับการให้ specific antidote อย่างทันท่วงที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เป็นยาทาคอร์ติโคสเตียรอยด์ความแรงสูง ซึ่งยาใช้ภายนอกกลุ่มนี้มีอุบัติการณ์เหนี่ยวนำให้เกิดภาวะหลุดลอกของผิวหนังรุนแรงแบบ TEN ต่ำมากเมื่อเทียบกับยารับประทานกลุ่มเสี่ยงสูง
• ข้อ ค. (Clotrimazole 1% cream): Clotrimazole 1% cream เป็นยาต้านเชื้อราชนิดทาเฉพาะที่ที่มีความปลอดภัยสูง การดูดซึมเข้าสู่กระแสเลือดต่ำมาก จึงแทบไม่พบรายงานการกระตุ้นให้เกิด TEN
• ข้อ ง. (Hydrocortisone 1% cream): Hydrocortisone 1% cream เป็นยาทาสเตียรอยด์ความแรงต่ำ ไม่ใช่ยาในกลุ่มเสี่ยงที่มีความสัมพันธ์กับการเกิดปฏิกิริยาการแพ้ทางผิวหนังชนิดรุนแรงถึงชีวิต
• ข้อ จ. (Triamcinolone acetonide 0.1% cream): Triamcinolone acetonide 0.1% cream เป็นยาต้านการอักเสบเฉพาะที่ ไม่ใช่สารก่อการแพ้ชนิด delayed-type cell-mediated cytotoxicity ที่ทำให้เกิดการตายของเซลล์เคอราติโนไซต์ทั่วร่างกายแบบ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6" s="46" t="inlineStr"/>
      <c r="L216" s="45" t="inlineStr">
        <is>
          <t>Superficial fungal</t>
        </is>
      </c>
      <c r="M216" s="46" t="inlineStr">
        <is>
          <t>Clinic</t>
        </is>
      </c>
      <c r="N216" s="45" t="inlineStr">
        <is>
          <t>ข้อ 1 (PLE_CC1_Key_Rx20_UBU.md)</t>
        </is>
      </c>
      <c r="O216" s="46" t="inlineStr">
        <is>
          <t>Mock</t>
        </is>
      </c>
      <c r="P216" s="46" t="inlineStr">
        <is>
          <t>Mock Rx20 UBU</t>
        </is>
      </c>
    </row>
    <row r="217" ht="13.2" customHeight="1" s="37">
      <c r="A217" s="44" t="n">
        <v>215</v>
      </c>
      <c r="B217" s="45" t="inlineStr">
        <is>
          <t>ข้อใดไม่ใช่เหตุผลท่ีแพทย์วินิจฉัยว่าผู้ป่วยรายน้ีเป็น Toxic epidermal necrolyisis</t>
        </is>
      </c>
      <c r="C217" s="46" t="inlineStr"/>
      <c r="D217" s="45" t="inlineStr">
        <is>
          <t>Hydrocortisone 1% cream</t>
        </is>
      </c>
      <c r="E217" s="45" t="inlineStr">
        <is>
          <t>Triamcinolone acetonide 0.1% cream</t>
        </is>
      </c>
      <c r="F217" s="45" t="inlineStr">
        <is>
          <t>Clobetasol propionate 0.05% cream</t>
        </is>
      </c>
      <c r="G217" s="45" t="inlineStr">
        <is>
          <t>Ketoconazole 2% shampoo</t>
        </is>
      </c>
      <c r="H217" s="45" t="inlineStr">
        <is>
          <t>Benzoyl peroxide 2.5% gel</t>
        </is>
      </c>
      <c r="I217" s="44" t="inlineStr">
        <is>
          <t>1</t>
        </is>
      </c>
      <c r="J217" s="45" t="inlineStr">
        <is>
          <t>✅ คำตอบที่ถูกต้อง: ข้อ ก. Hydrocortisone 1% cream
💡 Background:
ภาวะ acute poisoning ต้องได้รับการประเมิน supportive care ควบคู่กับการให้ specific antidote อย่างทันท่วงที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เป็นเภสัชภัณฑ์สเตียรอยด์ชนิดทาภายนอก ไม่ใช่เกณฑ์ทางคลินิก (เช่น Nikolsky sign หรือพื้นที่ผิวหนังลอก) ที่แพทย์ใช้ในการวินิจฉัยภาวะ TEN
• ข้อ ค. (Clobetasol propionate 0.05% cream): Clobetasol propionate 0.05% cream เป็นยาคอร์ติโคสเตียรอยด์ความแรงสูง ไม่ใช่พารามิเตอร์หรืออาการแสดงทางคลินิกที่ใช้ประกอบการวินิจฉัยโรคผื่นแพ้ยารุนแรง
• ข้อ ง. (Ketoconazole 2% shampoo): Ketoconazole 2% shampoo เป็นผลิตภัณฑ์ทำความสะอาดผิวหนังและกำจัดรังแค ไม่ใช่เหตุผลหรือหลักเกณฑ์ทางการแพทย์ในการจำแนกโรค TEN
• ข้อ จ. (Benzoyl peroxide 2.5% gel): Benzoyl peroxide 2.5% gel เป็นยาทารักษาสิว ไม่ได้มีส่วนเกี่ยวข้องกับการประเมินภาวะหลุดลอกของชั้นหนังกำพร้าในผู้ป่วย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7" s="46" t="inlineStr"/>
      <c r="L217" s="45" t="inlineStr">
        <is>
          <t>Superficial fungal</t>
        </is>
      </c>
      <c r="M217" s="46" t="inlineStr">
        <is>
          <t>Clinic</t>
        </is>
      </c>
      <c r="N217" s="45" t="inlineStr">
        <is>
          <t>ข้อ 2 (PLE_CC1_Key_Rx20_UBU.md)</t>
        </is>
      </c>
      <c r="O217" s="46" t="inlineStr">
        <is>
          <t>Mock</t>
        </is>
      </c>
      <c r="P217" s="46" t="inlineStr">
        <is>
          <t>Mock Rx20 UBU</t>
        </is>
      </c>
    </row>
    <row r="218" ht="13.2" customHeight="1" s="37">
      <c r="A218" s="44" t="n">
        <v>216</v>
      </c>
      <c r="B218" s="45" t="inlineStr">
        <is>
          <t>มีผิวหนังลอกมากกว่า 30% ของพื้นที่ผิวร่างกาย</t>
        </is>
      </c>
      <c r="C218" s="46" t="inlineStr"/>
      <c r="D218" s="45" t="inlineStr">
        <is>
          <t>Ketoconazole 2% shampoo</t>
        </is>
      </c>
      <c r="E218" s="45" t="inlineStr">
        <is>
          <t>Benzoyl peroxide 2.5% gel</t>
        </is>
      </c>
      <c r="F218" s="45" t="inlineStr">
        <is>
          <t>Acyclovir 5% cream</t>
        </is>
      </c>
      <c r="G218" s="45" t="inlineStr">
        <is>
          <t>Silver sulfadiazine 1% cream</t>
        </is>
      </c>
      <c r="H218" s="45" t="inlineStr">
        <is>
          <t>Cetirizine 10 mg OD</t>
        </is>
      </c>
      <c r="I218" s="44" t="inlineStr">
        <is>
          <t>1</t>
        </is>
      </c>
      <c r="J218" s="45" t="inlineStr">
        <is>
          <t>✅ คำตอบที่ถูกต้อง: ข้อ ก. Ketoconazole 2% shampoo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เป็นยาใช้เฉพาะที่สำหรับรักษาสิว ไม่ใช่ตัวเลือกที่สอดคล้องกับเกณฑ์การประเมินพื้นที่ผิวกายหลุดลอก (body surface area detachment) ในภาวะ TEN
• ข้อ ค. (Acyclovir 5% cream): Acyclovir 5% cream เป็นยาต้านไวรัสเฉพาะที่ ไม่เกี่ยวข้องกับการคำนวณสัดส่วนพื้นที่ผิวหนังที่ถูกทำลายในผู้ป่วยโรคผิวหนังหลุดลอกรุนแรง
• ข้อ ง. (Silver sulfadiazine 1% cream): Silver sulfadiazine 1% cream แม้เป็นยาปฏิชีวนะที่อาจถูกนำมาทาป้องกันการติดเชื้อที่ผิวหนังที่สูญเสียชั้นหนังกำพร้า แต่ตัวยาไม่ใช่คำตอบที่สะท้อนเกณฑ์การวินิจฉัยพื้นที่การลอก
• ข้อ จ. (Cetirizine 10 mg OD): Cetirizine 10 mg OD เป็นยาต้านฮิสตามีนชนิดรับประทาน ไม่เกี่ยวข้องกับเกณฑ์การจำแนกพื้นที่ผิวหนังลอกมากกว่า 30% ของร่างกาย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8" s="46" t="inlineStr"/>
      <c r="L218" s="45" t="inlineStr">
        <is>
          <t>Superficial fungal</t>
        </is>
      </c>
      <c r="M218" s="46" t="inlineStr">
        <is>
          <t>Clinic</t>
        </is>
      </c>
      <c r="N218" s="45" t="inlineStr">
        <is>
          <t>ข้อ 2 (PLE_CC1_Key_Rx20_UBU.md)</t>
        </is>
      </c>
      <c r="O218" s="46" t="inlineStr">
        <is>
          <t>Mock</t>
        </is>
      </c>
      <c r="P218" s="46" t="inlineStr">
        <is>
          <t>Mock Rx20 UBU</t>
        </is>
      </c>
    </row>
    <row r="219" ht="13.2" customHeight="1" s="37">
      <c r="A219" s="44" t="n">
        <v>217</v>
      </c>
      <c r="B219" s="45" t="inlineStr">
        <is>
          <t>การฉีด Equine Ig ควรทดสอบการแพ้ที่ผิวหนังกอนการให (skin test)</t>
        </is>
      </c>
      <c r="C219" s="46" t="inlineStr"/>
      <c r="D219" s="45" t="inlineStr">
        <is>
          <t>Silver sulfadiazine 1% cream</t>
        </is>
      </c>
      <c r="E219" s="45" t="inlineStr">
        <is>
          <t>Cetirizine 10 mg OD</t>
        </is>
      </c>
      <c r="F219" s="45" t="inlineStr">
        <is>
          <t>Isotretinoin 10 mg OD</t>
        </is>
      </c>
      <c r="G219" s="45" t="inlineStr">
        <is>
          <t>Terbinafine 1% cream</t>
        </is>
      </c>
      <c r="H219" s="45" t="inlineStr">
        <is>
          <t>Adapalene 0.1% gel</t>
        </is>
      </c>
      <c r="I219" s="44" t="inlineStr">
        <is>
          <t>1</t>
        </is>
      </c>
      <c r="J219" s="45"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10 mg OD เป็นยาแก้แพ้รุ่นที่ 2 ที่ใช้บรรเทาอาการภูมิแพ้ ไม่ใช่เภสัชภัณฑ์หรือขั้นตอนที่ต้องดำเนินการทดสอบ skin test ก่อนการฉีดอิมมูโนโกลบูลินจากม้า
• ข้อ ค. (Isotretinoin 10 mg OD): Isotretinoin 10 mg OD เป็นยารักษาสิวชนิดรับประทาน ไม่เกี่ยวข้องกับขั้นตอนความปลอดภัยก่อนการให้ Equine Rabies Immunoglobulin (ERIG)
• ข้อ ง. (Terbinafine 1% cream): Terbinafine 1% cream เป็นยาทาต้านเชื้อราสำหรับโรคกลาก ไม่ใช่ขั้นตอนหรือสารที่ใช้ทดสอบการแพ้ก่อนบริหารเซรุ่มจากสัตว์
• ข้อ จ. (Adapalene 0.1% gel): Adapalene 0.1% gel เป็นยาทารักษาสิวอุดตัน ไม่มีความสัมพันธ์กับการทดสอบปฏิกิริยาภูมิแพ้ทางผิวหนังก่อนการให้อิมมูโนโกลบูลิน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9" s="46" t="inlineStr"/>
      <c r="L219" s="45" t="inlineStr">
        <is>
          <t>Superficial fungal</t>
        </is>
      </c>
      <c r="M219" s="46" t="inlineStr">
        <is>
          <t>Clinic</t>
        </is>
      </c>
      <c r="N219" s="45" t="inlineStr">
        <is>
          <t>ข้อ 1 (PLE_CC1_Key_Rx20_UBU.md)</t>
        </is>
      </c>
      <c r="O219" s="46" t="inlineStr">
        <is>
          <t>Mock</t>
        </is>
      </c>
      <c r="P219" s="46" t="inlineStr">
        <is>
          <t>Mock Rx20 UBU</t>
        </is>
      </c>
    </row>
    <row r="220" ht="13.2" customHeight="1" s="37">
      <c r="A220" s="44" t="n">
        <v>218</v>
      </c>
      <c r="B220" s="45" t="inlineStr">
        <is>
          <t>ข้อใดต่อไปนี้ถูกต้องเกี่ยวกับเกลื้อน</t>
        </is>
      </c>
      <c r="C220" s="46" t="inlineStr"/>
      <c r="D220" s="45" t="inlineStr">
        <is>
          <t>เกิดจากเชื้อ Malassezia furfur</t>
        </is>
      </c>
      <c r="E220" s="45" t="inlineStr">
        <is>
          <t>หากมีอาการรุนแรง จะเป็นขุย แดง คัน</t>
        </is>
      </c>
      <c r="F220" s="45" t="inlineStr">
        <is>
          <t>เมื่อทดสอบด้วย 10% KOH แล้วนาไปส่องกล้องจุลทรรศน์ จะเห็น long pseudohyphae</t>
        </is>
      </c>
      <c r="G220" s="45" t="inlineStr">
        <is>
          <t>ใช้ยาทา Topical selenium sulfide ในการรักษา</t>
        </is>
      </c>
      <c r="H220" s="45" t="inlineStr">
        <is>
          <t>หากเป็นโรคบ่อยๆ ควรได้รับยาป้องกัน</t>
        </is>
      </c>
      <c r="I220" s="44" t="inlineStr">
        <is>
          <t>1</t>
        </is>
      </c>
      <c r="J220" s="45"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(หากมีอาการรุนแรง จะเป็นขุย แดง คัน): รอยโรคของเกลื้อน (Pityriasis versicolor) มีลักษณะเด่นคือรอยด่างสีขาว น้ำตาล หรือชมพูที่มีขุยละเอียด (fine scale) มักไม่มีอาการอักเสบ บวม แดง หรือคันรุนแรงเหมือนโรคผิวหนังอักเสบเฉียบพลัน
• ข้อ ค. (เมื่อทดสอบด้วย 10% KOH แล้วนาไปส่องกล้องจุลทรรศน์ จะเห็น long pseudohyphae): การตรวจรอยโรคเกลื้อนด้วย 10% KOH ภายใต้กล้องจุลทรรศน์จะพบลักษณะจำเพาะเป็นเส้นใยสั้นปนกับสปอร์กลมคล้ายสปาเกตตีกับมีทบอล (spaghetti and meatballs pattern) ไม่ใช่ long pseudohyphae ซึ่งเป็นลักษณะเด่นของเชื้อ Candida
• ข้อ ง. (ใช้ยาทา Topical selenium sulfide ในการรักษา): Selenium sulfide ชนิดฟอก (2.5% suspension/shampoo) เป็นการรักษาทางเลือกเสริมเฉพาะที่ แต่ตัวเลือกข้อ ก. ซึ่งระบุเชื้อสาเหตุคือ Malassezia furfur เป็นข้อเท็จจริงทางจุลชีววิทยาที่ถูกต้องและเป็นคำตอบหลักของการวินิจฉัย
• ข้อ จ. (หากเป็นโรคบ่อยๆ ควรได้รับยาป้องกัน): การให้ยาต้านเชื้อราเพื่อการป้องกันระยะยาว (prophylaxis) พิจารณาเฉพาะในผู้ป่วยที่มีการกลับเป็นซ้ำบ่อยครั้งมากและรุนแรง ไม่จำเป็นต้องให้ในผู้ป่วยเกลื้อนทั่วไปทุกรายหลังการรักษาหายขาด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 s="46" t="inlineStr"/>
      <c r="L220" s="45" t="inlineStr">
        <is>
          <t>Superficial fungal</t>
        </is>
      </c>
      <c r="M220" s="46" t="inlineStr">
        <is>
          <t>Clinic</t>
        </is>
      </c>
      <c r="N220" s="45" t="inlineStr">
        <is>
          <t>ข้อ 11 (PLE_CC1_Key_Rx20_UBU.md)</t>
        </is>
      </c>
      <c r="O220" s="46" t="inlineStr">
        <is>
          <t>Mock</t>
        </is>
      </c>
      <c r="P220" s="46" t="inlineStr">
        <is>
          <t>Mock Rx20 UBU</t>
        </is>
      </c>
    </row>
    <row r="221" ht="13.2" customHeight="1" s="37">
      <c r="A221" s="44" t="n">
        <v>219</v>
      </c>
      <c r="B221" s="45" t="inlineStr">
        <is>
          <t>หากไม่มียา Fluocinolone acetonide 0.01% เภสัชกรสามารถจ่ายยาใดแทนได้</t>
        </is>
      </c>
      <c r="C221" s="46" t="inlineStr"/>
      <c r="D221" s="45" t="inlineStr">
        <is>
          <t>Betamethasone dipropionate 0.05%</t>
        </is>
      </c>
      <c r="E221" s="45" t="inlineStr">
        <is>
          <t>Clobetasol propionate 0.05%</t>
        </is>
      </c>
      <c r="F221" s="45" t="inlineStr">
        <is>
          <t>Dexosimethasone 0.05%</t>
        </is>
      </c>
      <c r="G221" s="45" t="inlineStr">
        <is>
          <t>Triamcinolone acetonide 0.1%</t>
        </is>
      </c>
      <c r="H221" s="45" t="inlineStr">
        <is>
          <t>Hydrocortisone acetate 0.5% คำอธิบาย</t>
        </is>
      </c>
      <c r="I221" s="44" t="inlineStr">
        <is>
          <t>5</t>
        </is>
      </c>
      <c r="J221" s="45" t="inlineStr">
        <is>
          <t>✅ คำตอบที่ถูกต้อง: ข้อ จ. Hydrocortisone acetate 0.5% คำอธิบาย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acetate 0.5% คำอธิบาย การเลือก Hydrocortisone acetate 0.5% คำอธิบาย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(Betamethasone dipropionate 0.05%): Betamethasone dipropionate 0.05% จัดเป็นยาทาสเตียรอยด์ความแรงสูง (Potency class 2 หรือ 3) ไม่สามารถนำมาจ่ายทดแทน Fluocinolone acetonide 0.01% ซึ่งเป็นกลุ่มความแรงต่ำสำหรับผิวบอบบางได้เนื่องจากเสี่ยงต่อผิวฝ่อลีบ
• ข้อ ข. (Clobetasol propionate 0.05%): Clobetasol propionate 0.05% เป็นยาทาสเตียรอยด์ที่มีความแรงระดับสูงสุด (Super-high potency class 1) ซึ่งมีศักยภาพในการกดแกนไฮโปทาลามัส-ต่อมหมวกไตสูงมาก ห้ามนำมาจ่ายทดแทนยาสเตียรอยด์ความแรงต่ำโดยเด็ดขาด
• ข้อ ค. (Dexosimethasone 0.05%): Desoximetasone 0.05% เป็น topical corticosteroid ความแรงสูง (High potency) ไม่เหมาะสมที่จะนำมาใช้ทดแทนในบริเวณที่มีการดูดซึมยาสูง เช่น ใบหน้าหรือผิวเด็ก
• ข้อ ง. (Triamcinolone acetonide 0.1%): Triamcinolone acetonide 0.1% จัดเป็นยาทาคอร์ติโคสเตียรอยด์ความแรงปานกลาง (Medium potency class 4 หรือ 5) ซึ่งมีความแรงทางคลินิกสูงกว่ากลุ่ม Low potency จึงไม่ควรเลือกจ่ายทดแทนเมื่อต้องการฤทธิ์ระดับต่ำเพื่อความปลอดภัยสูงสุด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 s="46" t="inlineStr"/>
      <c r="L221" s="45" t="inlineStr">
        <is>
          <t>Superficial fungal</t>
        </is>
      </c>
      <c r="M221" s="46" t="inlineStr">
        <is>
          <t>Clinic</t>
        </is>
      </c>
      <c r="N221" s="45" t="inlineStr">
        <is>
          <t>ข้อ 93 (PLE_CC1_Key_Rx20_UBU.md)</t>
        </is>
      </c>
      <c r="O221" s="46" t="inlineStr">
        <is>
          <t>Mock</t>
        </is>
      </c>
      <c r="P221" s="46" t="inlineStr">
        <is>
          <t>Mock Rx20 UBU</t>
        </is>
      </c>
    </row>
    <row r="222" ht="13.2" customHeight="1" s="37">
      <c r="A222" s="44" t="n">
        <v>220</v>
      </c>
      <c r="B222" s="45" t="inlineStr">
        <is>
          <t>ผู้ป่วยควรได้รับยาในข้อใดเพิ่ม</t>
        </is>
      </c>
      <c r="C222" s="46" t="inlineStr"/>
      <c r="D222" s="45" t="inlineStr">
        <is>
          <t>Topical tretinoin</t>
        </is>
      </c>
      <c r="E222" s="45" t="inlineStr">
        <is>
          <t>Oral tretinoin</t>
        </is>
      </c>
      <c r="F222" s="45" t="inlineStr">
        <is>
          <t>Oral antibiotic</t>
        </is>
      </c>
      <c r="G222" s="45" t="inlineStr">
        <is>
          <t>contraceptive pills (Progestin only)</t>
        </is>
      </c>
      <c r="H222" s="45" t="inlineStr">
        <is>
          <t>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t>
        </is>
      </c>
      <c r="I222" s="44" t="inlineStr">
        <is>
          <t>1</t>
        </is>
      </c>
      <c r="J222" s="45" t="inlineStr">
        <is>
          <t>✅ คำตอบที่ถูกต้อง: ข้อ ก. Topical tretinoin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Topical tretinoin การเลือก Topical tretinoin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tretinoin): Oral isotretinoin สงวนไว้สำหรับผู้ป่วยที่เป็นสิวอักเสบรุนแรงชนิดก้อนลึก (severe nodulocystic acne) หรือสิวที่ดื้อต่อการรักษามาตรฐานอื่นๆ และมีผลข้างเคียงต่อระบบร่างกายสูง จึงไม่ควรเริ่มใช้ในสิวอุดตันระดับเริ่มต้น
• ข้อ ค. (Oral antibiotic): Oral antibiotic (เช่น Doxycycline) มุ่งเน้นฤทธิ์ต้านเชื้อแบคทีเรีย C. acnes และต้านการอักเสบสำหรับสิวอักเสบปานกลางถึงรุนแรง แต่ไม่มีคุณสมบัติในการเร่งการผลัดเซลล์เพื่อลดการอุดตันของ comedone โดยตรง
• ข้อ ง. (contraceptive pills (Progestin only)): ยาคุมกำเนิดชนิดฮอร์โมนเดี่ยว (Progestin-only pills) ไม่มีฤทธิ์ต้านแอนโดรเจน และฮอร์โมนโปรเจสตินบางชนิดอาจมีฤทธิ์ androgenic activity ที่กระตุ้นการผลิตซีบัมจนทำให้สิวกำเริบมากขึ้น
• ข้อ จ. (Combined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 Combined oral contraceptives ที่มีสารต้านแอนโดรเจน (เช่น Cyproterone acetate หรือ Drospirenone) ใช้เป็น systemic therapy เสริมในหญิงที่มีสิวสัมพันธ์กับฮอร์โมน แต่ไม่ใช่ยาทางเลือกแรกในการผลัดเซลล์ผิวเพื่อรักษาสิวอุดตันโดยตรงเหมือน topical retinoids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 s="46" t="inlineStr"/>
      <c r="L222" s="45" t="inlineStr">
        <is>
          <t>Superficial fungal</t>
        </is>
      </c>
      <c r="M222" s="46" t="inlineStr">
        <is>
          <t>Clinic</t>
        </is>
      </c>
      <c r="N222" s="45" t="inlineStr">
        <is>
          <t>ข้อ 2 (PLE_CC1_Key_Rx20_UBU.md)</t>
        </is>
      </c>
      <c r="O222" s="46" t="inlineStr">
        <is>
          <t>Mock</t>
        </is>
      </c>
      <c r="P222" s="46" t="inlineStr">
        <is>
          <t>Mock Rx20 UBU</t>
        </is>
      </c>
    </row>
    <row r="223" ht="13.2" customHeight="1" s="37">
      <c r="A223" s="44" t="n">
        <v>221</v>
      </c>
      <c r="B223" s="45" t="inlineStr">
        <is>
          <t>ผลข้างเคียงข้อใดไม่ใช่ผลข้างเคียงของ Topical tretinoin</t>
        </is>
      </c>
      <c r="C223" s="46" t="inlineStr"/>
      <c r="D223" s="45" t="inlineStr">
        <is>
          <t>Acne sores</t>
        </is>
      </c>
      <c r="E223" s="45" t="inlineStr">
        <is>
          <t>Erythema</t>
        </is>
      </c>
      <c r="F223" s="45" t="inlineStr">
        <is>
          <t>Peeling</t>
        </is>
      </c>
      <c r="G223" s="45" t="inlineStr">
        <is>
          <t>Phototoxicity</t>
        </is>
      </c>
      <c r="H223" s="45" t="inlineStr">
        <is>
          <t>Skin hyperpigmentation</t>
        </is>
      </c>
      <c r="I223" s="44" t="inlineStr">
        <is>
          <t>1</t>
        </is>
      </c>
      <c r="J223" s="45" t="inlineStr">
        <is>
          <t>✅ คำตอบที่ถูกต้อง: ข้อ ก. Acne sores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Acne sores การเลือก Acne sores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(Erythema): Erythema (ผิวหนังแดง) เป็นอาการข้างเคียงเฉพาะที่ที่พบบ่อยมากในช่วงแรกของการเริ่มทา Topical tretinoin อันเป็นผลมาจากการระคายเคืองและการเพิ่มการไหลเวียนเลือดของหลอดเลือดฝอยใต้ผิวหนัง
• ข้อ ค. (Peeling): Peeling (ผิวลอกเป็นขุย) เป็นผลข้างเคียงตามเภสัชวิทยาโดยตรงของ Topical tretinoin จากการเร่งกระบวนการหลุดลอกของเซลล์ชั้นขี้ไคล (corneocyte desquamation)
• ข้อ ง. (Phototoxicity): Phototoxicity หรือการไวต่อแสงแดด เกิดจากการที่ชั้น stratum corneum บางลงจากการใช้ tretinoin ทำให้ผิวหนังไวต่อรังสีอัลตราไวโอเลต จึงจำเป็นต้องทาครีมกันแดดร่วมด้วยเสมอ
• ข้อ จ. (Skin hyperpigmentation): Post-inflammatory skin hyperpigmentation อาจเกิดขึ้นได้จากปฏิกิริยาการระคายเคืองและอักเสบของผิวหนังอย่างต่อเนื่องหลังการใช้ topical retinoids โดยเฉพาะในผู้ป่วยที่มีผิวสีเข้ม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 s="46" t="inlineStr"/>
      <c r="L223" s="45" t="inlineStr">
        <is>
          <t>Superficial fungal</t>
        </is>
      </c>
      <c r="M223" s="46" t="inlineStr">
        <is>
          <t>Clinic</t>
        </is>
      </c>
      <c r="N223" s="45" t="inlineStr">
        <is>
          <t>ข้อ 3 (PLE_CC1_Key_Rx20_UBU.md)</t>
        </is>
      </c>
      <c r="O223" s="46" t="inlineStr">
        <is>
          <t>Mock</t>
        </is>
      </c>
      <c r="P223" s="46" t="inlineStr">
        <is>
          <t>Mock Rx20 UBU</t>
        </is>
      </c>
    </row>
    <row r="224" ht="13.2" customHeight="1" s="37">
      <c r="A224" s="44" t="n">
        <v>222</v>
      </c>
      <c r="B224" s="45" t="inlineStr">
        <is>
          <t>ศึกษาเปรียบเทียบความคุ้มค่าของการใช้ clotrimazole 500 mg OD กับ clotrimazole 100 mg 6 days ใช้แนวทางการศึกษาแบบไหนดีที่สุด</t>
        </is>
      </c>
      <c r="C224" s="46" t="inlineStr"/>
      <c r="D224" s="45" t="inlineStr">
        <is>
          <t>Cost analysis</t>
        </is>
      </c>
      <c r="E224" s="45" t="inlineStr">
        <is>
          <t>Cost benefit analysis</t>
        </is>
      </c>
      <c r="F224" s="45" t="inlineStr">
        <is>
          <t>Cost minimize analysis</t>
        </is>
      </c>
      <c r="G224" s="45" t="inlineStr">
        <is>
          <t>Cost effective analysis</t>
        </is>
      </c>
      <c r="H224" s="45" t="inlineStr">
        <is>
          <t>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t>
        </is>
      </c>
      <c r="I224" s="44" t="inlineStr">
        <is>
          <t>1</t>
        </is>
      </c>
      <c r="J224" s="45" t="inlineStr">
        <is>
          <t>✅ คำตอบที่ถูกต้อง: ข้อ ก. Cost analysis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Cost analysis การเลือก Cost analysis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(Cost benefit analysis): Cost-benefit analysis (CBA) เป็นการวัดทั้งต้นทุนและผลลัพธ์ทางคลินิกออกมาเป็นหน่วยตัวเงิน (monetary units) เช่น บาทหรือดอลลาร์ ไม่เหมาะสมกับการเปรียบเทียบประสิทธิผลทางคลินิกของยาต้านเชื้อราสูตรสั้นกับสูตรยาว
• ข้อ ค. (Cost minimize analysis): Cost-minimization analysis (CMA) ใช้ได้เฉพาะเมื่อหลักฐานยืนยันชัดเจนแล้วว่าผลลัพธ์ทางคลินิก (clinical outcomes และ efficacy) ของทั้งสองกลุ่มเท่ากันทุกประการ จึงเปรียบเทียบเฉพาะต้นทุนที่ต่ำกว่า
• ข้อ ง. (Cost effective analysis): Cost-effectiveness analysis (CEA) วัดผลลัพธ์เป็นหน่วยทางธรรมชาติทางคลินิก (natural clinical units เช่น อัตราการหายจากโรค) ซึ่งใช้เมื่อต้องการเปรียบเทียบทั้งความแตกต่างของประสิทธิผลและต้นทุนควบคู่กัน
• ข้อ จ. (Cost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 Cost-utility analysis (CUA) วัดผลลัพธ์ด้านสุขภาพในมิติของคุณภาพชีวิตที่สัมพันธ์กับสุขภาพออกมาเป็น Quality-Adjusted Life Years (QALYs) มักใช้ในโรคเรื้อรัง ไม่นิยมใช้กับการติดเชื้อราเฉพาะที่ระยะสั้น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 s="46" t="inlineStr"/>
      <c r="L224" s="45" t="inlineStr">
        <is>
          <t>Superficial fungal</t>
        </is>
      </c>
      <c r="M224" s="46" t="inlineStr">
        <is>
          <t>Clinic</t>
        </is>
      </c>
      <c r="N224" s="45" t="inlineStr">
        <is>
          <t>ข้อ 36 (PLE_CC1_Key_Rx20_UBU.md)</t>
        </is>
      </c>
      <c r="O224" s="46" t="inlineStr">
        <is>
          <t>Mock</t>
        </is>
      </c>
      <c r="P224" s="46" t="inlineStr">
        <is>
          <t>Mock Rx20 UBU</t>
        </is>
      </c>
    </row>
  </sheetData>
  <mergeCells count="1">
    <mergeCell ref="A1:F1"/>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Q176"/>
  <sheetViews>
    <sheetView workbookViewId="0">
      <pane ySplit="2" topLeftCell="A3" activePane="bottomLeft" state="frozen"/>
      <selection pane="bottomLeft" activeCell="B4" sqref="B4"/>
    </sheetView>
  </sheetViews>
  <sheetFormatPr baseColWidth="8" defaultColWidth="12.6640625" defaultRowHeight="15.75" customHeight="1"/>
  <sheetData>
    <row r="1" ht="35" customHeight="1" s="37">
      <c r="A1" s="43">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37">
      <c r="A3" s="44" t="n">
        <v>1</v>
      </c>
      <c r="B3" s="45" t="inlineStr">
        <is>
          <t>ผู้ป่วยเบาหวานชนิดที่ 2 รายใหม่ (Type 2 DM) ระดับ HbA1c 7.8% การทำงานของไต eGFR 70 mL/min ยาทางเลือกอันดับ 1 (First-line) สำหรับผู้ป่วยรายนี้คือข้อใด?</t>
        </is>
      </c>
      <c r="C3" s="46" t="n"/>
      <c r="D3" s="45" t="inlineStr">
        <is>
          <t>Glipizide 5 mg OD</t>
        </is>
      </c>
      <c r="E3" s="45" t="inlineStr">
        <is>
          <t>Metformin 500 mg BID</t>
        </is>
      </c>
      <c r="F3" s="45" t="inlineStr">
        <is>
          <t>Pioglitazone 15 mg OD</t>
        </is>
      </c>
      <c r="G3" s="45" t="inlineStr">
        <is>
          <t>Sitagliptin 100 mg OD</t>
        </is>
      </c>
      <c r="H3" s="45" t="inlineStr">
        <is>
          <t>Insulin glargine 10 units SC bedtime</t>
        </is>
      </c>
      <c r="I3" s="44" t="inlineStr">
        <is>
          <t>2</t>
        </is>
      </c>
      <c r="J3" s="45" t="inlineStr">
        <is>
          <t>✅ คำตอบที่ถูกต้อง: ข้อ ข.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Metformin เป็น First-line pharmacotherapy สำหรับ Type 2 DM ร่วมกับการปรับเปลี่ยนพฤติกรรมชีวิต มี efficacy ดี ไม่ทำให้น้ำหนักเพิ่ม และความเสี่ยงต่อภาวะน้ำตาลต่ำ (Hypoglycemia) ต่ำมาก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(Insulin glargine 10 units SC bedtime): วัคซีนรวมคอตีบ-บาดทะยัก ฉีดกระตุ้นทุก 10 ปี หรือใช้ในหญิงตั้งครรภ์และผู้ใหญ่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46" t="n"/>
      <c r="L3" s="45" t="inlineStr">
        <is>
          <t>Diabetes mellitus</t>
        </is>
      </c>
      <c r="M3" s="46" t="inlineStr">
        <is>
          <t>Clinic</t>
        </is>
      </c>
      <c r="N3" s="45" t="inlineStr">
        <is>
          <t>ADA Standards of Care</t>
        </is>
      </c>
      <c r="O3" s="46" t="inlineStr">
        <is>
          <t>ข้อสอบจริง</t>
        </is>
      </c>
      <c r="P3" s="44" t="inlineStr">
        <is>
          <t>2566</t>
        </is>
      </c>
    </row>
    <row r="4" ht="13.2" customHeight="1" s="37">
      <c r="A4" s="44" t="n">
        <v>2</v>
      </c>
      <c r="B4" s="45"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ผลการตรวจทางห้องปฏิบัติการ ข้อใดที่บ่งบอกว่าเป็น DM</t>
        </is>
      </c>
      <c r="C4" s="46" t="n"/>
      <c r="D4" s="45" t="inlineStr">
        <is>
          <t>Blood glucose &gt; 150 mg/dL</t>
        </is>
      </c>
      <c r="E4" s="45" t="inlineStr">
        <is>
          <t>HbA1c &lt; 7%</t>
        </is>
      </c>
      <c r="F4" s="45" t="inlineStr">
        <is>
          <t>ปัสสาวะมากกว่า 3 ลิตร/วัน</t>
        </is>
      </c>
      <c r="G4" s="45" t="inlineStr">
        <is>
          <t>Insulin ในเลือดต่ำ</t>
        </is>
      </c>
      <c r="H4" s="45" t="inlineStr">
        <is>
          <t>Glucose tolerance test &gt; 200 mg/dL</t>
        </is>
      </c>
      <c r="I4" s="44" t="inlineStr">
        <is>
          <t>5</t>
        </is>
      </c>
      <c r="J4" s="45" t="inlineStr">
        <is>
          <t>✅ คำตอบที่ถูกต้อง: ข้อ จ. Glucose tolerance test &gt; 200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Glucose tolerance test &gt; 200 mg/dL ตามเกณฑ์การวินิจฉัยโรคเบาหวานของ ADA (American Diabetes Association) เกณฑ์ข้อหนึ่งคือการตรวจ Oral Glucose Tolerance Test (OGTT) โดยวัดระดับพลาสมากลูโคสที่ 2 ชั่วโมงหลังดื่มน้ำตาล (2-hr PG) มีค่าตั้งแต่ 200 mg/dL ขึ้นไป ส่วนระดับ FPG ต้อง &gt;= 126 mg/dL และ HbA1c ต้อง &gt;= 6.5% ดังนั้นตัวเลือก Glucose tolerance test &gt; 200 mg/dL จึงตรงตามเกณฑ์วินิจฉัยที่สุด
🔍 ข้ออื่นผิดเพราะอะไร:
• ข้อ ก. (Blood glucose &gt; 150 mg/dL): เกณฑ์วินิจฉัยเบาหวานด้วย Random Plasma Glucose ต้องมีค่ามากกว่าหรือเท่ากับ 200 mg/dL ขึ้นไปร่วมกับมีอาการแสดง ค่า 150 mg/dL จึงไม่เข้าเกณฑ์
• ข้อ ข. (HbA1c &lt; 7%): เกณฑ์วินิจฉัยเบาหวานใช้ค่า HbA1c ที่มากกว่าหรือเท่ากับ 6.5% ขึ้นไป ค่าที่น้อยกว่า 7% อาจเป็นระดับเป้าหมายในการรักษาของผู้ป่วยที่ได้รับการวินิจฉัยแล้ว
• ข้อ ค. (ปัสสาวะมากกว่า 3 ลิตร/วัน): ภาวะปัสสาวะปริมาณมากเป็นอาการแสดงที่พบได้ในหลายโรค เช่น Diabetes insipidus จึงใช้เป็นเกณฑ์ยืนยันการวินิจฉัยโรคเบาหวานไม่ได้
• ข้อ ง. (Insulin ในเลือดต่ำ): การตรวจระดับอินซูลินในเลือดไม่ใช่เกณฑ์มาตรฐานตามแนวทางเวชปฏิบัติในการวินิจฉัยโรคเบาหวาน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46" t="n"/>
      <c r="L4" s="45" t="inlineStr">
        <is>
          <t>Diabetes mellitus</t>
        </is>
      </c>
      <c r="M4" s="46" t="inlineStr">
        <is>
          <t>Clinic</t>
        </is>
      </c>
      <c r="N4" s="45" t="inlineStr">
        <is>
          <t>ข้อ 1 ชุด 1 (เฉลยข้อ จ)</t>
        </is>
      </c>
      <c r="O4" s="46" t="inlineStr">
        <is>
          <t>Mock</t>
        </is>
      </c>
      <c r="P4" s="46" t="inlineStr">
        <is>
          <t>ชุด 1</t>
        </is>
      </c>
    </row>
    <row r="5" ht="13.2" customHeight="1" s="37">
      <c r="A5" s="44" t="n">
        <v>3</v>
      </c>
      <c r="B5" s="45"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ผู้ป่วยมีอาการใจสั่น เหงื่อออก เป็นผลจากภาวะใด</t>
        </is>
      </c>
      <c r="C5" s="46" t="n"/>
      <c r="D5" s="45" t="inlineStr">
        <is>
          <t>Hypoglycemia</t>
        </is>
      </c>
      <c r="E5" s="45" t="inlineStr">
        <is>
          <t>Hyperglycemia</t>
        </is>
      </c>
      <c r="F5" s="45" t="inlineStr">
        <is>
          <t>Hypervolemia</t>
        </is>
      </c>
      <c r="G5" s="45" t="inlineStr">
        <is>
          <t>Hypovolemia</t>
        </is>
      </c>
      <c r="H5" s="45" t="inlineStr">
        <is>
          <t>Hypertension</t>
        </is>
      </c>
      <c r="I5" s="44" t="inlineStr">
        <is>
          <t>1</t>
        </is>
      </c>
      <c r="J5" s="45" t="inlineStr">
        <is>
          <t>✅ คำตอบที่ถูกต้อง: ข้อ 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Hypoglycemia ยา Chlorpropamide เป็นยาในกลุ่ม Sulfonylurea ซึ่งมีฤทธิ์กระตุ้นการหลั่งอินซูลิน อาการข้างเคียงที่สำคัญและพบบ่อยที่สุดคือภาวะน้ำตาลในเลือดต่ำ (Hypoglycemia) ซึ่งจะกระตุ้นการทำงานของระบบประสาท Autonomic (Sympathetic activation) ส่งผลให้ผู้ป่วยมีอาการใจสั่น เหงื่อออก มือสั่น และชีพจรเต้นเร็ว
🔍 ข้ออื่นผิดเพราะอะไร:
• ข้อ ข. (Hyperglycemia): Hyperglycemia ทำให้เกิดภาวะ Hyperosmolarity นำไปสู่อาการปัสสาวะบ่อย กระหายน้ำ แต่ไม่กระตุ้นระบบประสาทอัตโนมัติให้เกิดอาการใจสั่นหรือเหงื่อออก
• ข้อ ค. (Hypervolemia): Hypervolemia ทำให้เกิดภาวะน้ำเกิน มีอาการบวม เหนื่อยหอบ นอนราบไม่ได้ ซึ่งไม่ใช่กลไกที่ทำให้เกิดใจสั่นและเหงื่อออกเย็น
• ข้อ ง. (Hypovolemia): Hypovolemia ทำให้เกิดความดันโลหิตต่ำและหัวใจเต้นเร็วชดเชยได้ แต่จากประวัติการใช้ยา Chlorpropamide จะเชื่อมโยงกับภาวะน้ำตาลตกมากกว่า
• ข้อ จ. (Hypertension): Hypertension ไม่มีอาการแสดงเฉพาะเจาะจงในลักษณะใจสั่นหรือเหงื่อออกเย็น ยกเว้นในกรณี Pheochromocytoma ซึ่งไม่เข้ากับบริบทของผู้ป่วย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 s="46" t="n"/>
      <c r="L5" s="45" t="inlineStr">
        <is>
          <t>Diabetes mellitus</t>
        </is>
      </c>
      <c r="M5" s="46" t="inlineStr">
        <is>
          <t>Clinic</t>
        </is>
      </c>
      <c r="N5" s="45" t="inlineStr">
        <is>
          <t>ข้อ 2 ชุด 1 (เฉลยข้อ ก)</t>
        </is>
      </c>
      <c r="O5" s="46" t="inlineStr">
        <is>
          <t>Mock</t>
        </is>
      </c>
      <c r="P5" s="46" t="inlineStr">
        <is>
          <t>ชุด 1</t>
        </is>
      </c>
    </row>
    <row r="6" ht="13.2" customHeight="1" s="37">
      <c r="A6" s="44" t="n">
        <v>4</v>
      </c>
      <c r="B6" s="45"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การแก้ไขภาวะจากข้อ 2 ควรแนะนำการปฏิบัติตัวต่อผู้ป่วยอย่างไร</t>
        </is>
      </c>
      <c r="C6" s="46" t="n"/>
      <c r="D6" s="45" t="inlineStr">
        <is>
          <t>หยุดยา แล้วไปพบแพทย์</t>
        </is>
      </c>
      <c r="E6" s="45" t="inlineStr">
        <is>
          <t>ลดขนาดยา</t>
        </is>
      </c>
      <c r="F6" s="45" t="inlineStr">
        <is>
          <t>ให้ดื่มน้ำหวาน</t>
        </is>
      </c>
      <c r="G6" s="45" t="inlineStr">
        <is>
          <t>เพิ่มขนาดยา</t>
        </is>
      </c>
      <c r="H6" s="45" t="inlineStr">
        <is>
          <t>งดการดื่มกาแฟ</t>
        </is>
      </c>
      <c r="I6" s="44" t="inlineStr">
        <is>
          <t>3</t>
        </is>
      </c>
      <c r="J6" s="45" t="inlineStr">
        <is>
          <t>✅ คำตอบที่ถูกต้อง: ข้อ ค. ให้ดื่มน้ำหวาน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ให้ดื่มน้ำหวาน การช่วยเหลือเบื้องต้นสำหรับผู้ป่วยที่เกิดภาวะน้ำตาลในเลือดต่ำ (Hypoglycemia) และยังมีสติสัมปชัญญะดี คือการให้รับประทานคาร์โบไฮเดรตที่ดูดซึมได้เร็วทันที เช่น การดื่มน้ำหวาน น้ำผลไม้ หรือการอมลูกอม (Rule of 15) เพื่อรีบเพิ่มระดับน้ำตาลในกระแสเลือดป้องกันความเสียหายต่อสมอง
🔍 ข้ออื่นผิดเพราะอะไร:
• ข้อ ก. (หยุดยา แล้วไปพบแพทย์): การหยุดยาทันทีและไปพบแพทย์โดยไม่แก้ไขภาวะน้ำตาลต่ำเบื้องต้นอาจทำให้ผู้ป่วยเกิดภาวะ Severe hypoglycemia จนหมดสติหรือชักได้
• ข้อ ข. (ลดขนาดยา): การลดขนาดยาเป็นการป้องกันการเกิดน้ำตาลต่ำในระยะยาว แต่ไม่สามารถแก้ไขภาวะ Hypoglycemia ที่กำลังเกิดขึ้นเฉียบพลันได้
• ข้อ ง. (เพิ่มขนาดยา): การเพิ่มขนาดยา Chlorpropamide จะยิ่งกระตุ้นการหลั่งอินซูลิน ทำให้ภาวะ Hypoglycemia รุนแรงมากขึ้น ถือเป็นข้อห้ามเด็ดขาด
• ข้อ จ. (งดการดื่มกาแฟ): การงดดื่มกาแฟไม่ช่วยเพิ่มระดับกลูโคสในกระแสเลือด และไม่ได้เป็นวิธีมาตรฐานในการรักษาภาวะ Hypoglycemia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 s="46" t="n"/>
      <c r="L6" s="45" t="inlineStr">
        <is>
          <t>Diabetes mellitus</t>
        </is>
      </c>
      <c r="M6" s="46" t="inlineStr">
        <is>
          <t>Clinic</t>
        </is>
      </c>
      <c r="N6" s="45" t="inlineStr">
        <is>
          <t>ข้อ 3 ชุด 1 (เฉลยข้อ ค)</t>
        </is>
      </c>
      <c r="O6" s="46" t="inlineStr">
        <is>
          <t>Mock</t>
        </is>
      </c>
      <c r="P6" s="46" t="inlineStr">
        <is>
          <t>ชุด 1</t>
        </is>
      </c>
    </row>
    <row r="7" ht="13.2" customHeight="1" s="37">
      <c r="A7" s="44" t="n">
        <v>5</v>
      </c>
      <c r="B7" s="45" t="inlineStr">
        <is>
          <t>ข้อใด ไม่ใช่ ภาวะแทรกซ้อนระยะยาวของโรคเบาหวาน</t>
        </is>
      </c>
      <c r="C7" s="46" t="n"/>
      <c r="D7" s="45" t="inlineStr">
        <is>
          <t>Retinopathy</t>
        </is>
      </c>
      <c r="E7" s="45" t="inlineStr">
        <is>
          <t>Nephropathy</t>
        </is>
      </c>
      <c r="F7" s="45" t="inlineStr">
        <is>
          <t>Neuropathy</t>
        </is>
      </c>
      <c r="G7" s="45" t="inlineStr">
        <is>
          <t>Glaucoma</t>
        </is>
      </c>
      <c r="H7" s="45" t="inlineStr">
        <is>
          <t>Atherosclerosis</t>
        </is>
      </c>
      <c r="I7" s="44" t="inlineStr">
        <is>
          <t>1</t>
        </is>
      </c>
      <c r="J7" s="45"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ภาวะแทรกซ้อนระยะยาวที่เป็นลักษณะเฉพาะ (Classic complications) ของโรคเบาหวานเกิดจากภาวะน้ำตาลในเลือดสูงเรื้อรัง ส่งผลต่อหลอดเลือดขนาดเล็ก (Microvascular: Retinopathy, Nephropathy, Neuropathy) และหลอดเลือดขนาดใหญ่ (Macrovascular: Atherosclerosis) ส่วนต้อหิน (Glaucoma) แม้จะพบความเสี่ยงเพิ่มขึ้นในผู้ป่วยเบาหวานบางราย แต่ไม่ได้จัดอยู่ในกลุ่มภาวะแทรกซ้อนหลักจากพยาธิสภาพของโรคเบาหวานโดยตรงเหมือนตัวเลือกอื่น
🔍 ข้ออื่นผิดเพราะอะไร:
• ข้อ ข. (Nephropathy): Diabetic nephropathy เป็นภาวะแทรกซ้อนระยะยาวจากความเสื่อมของหลอดเลือดฝอยในไต (Microvascular complication)
• ข้อ ค. (Neuropathy): Diabetic neuropathy เป็นความเสื่อมของเส้นประสาทส่วนปลายที่เกิดจากภาวะน้ำตาลในเลือดสูงเรื้อรัง (Microvascular complication)
• ข้อ ง. (Glaucoma): โรคเบาหวานเพิ่มความเสี่ยงต่อการเกิดต้อหิน (Glaucoma) ต้อกระจก และเบาหวานขึ้นตา ซึ่งจัดเป็นภาวะแทรกซ้อนระยะยาว
• ข้อ จ. (Atherosclerosis): Atherosclerosis เป็นภาวะแทรกซ้อนทางหลอดเลือดขนาดใหญ่ (Macrovascular complication) ที่พบได้บ่อยในผู้ป่วยเบาหวาน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 s="46" t="n"/>
      <c r="L7" s="45" t="inlineStr">
        <is>
          <t>Diabetes mellitus</t>
        </is>
      </c>
      <c r="M7" s="46" t="inlineStr">
        <is>
          <t>Clinic</t>
        </is>
      </c>
      <c r="N7" s="45" t="inlineStr">
        <is>
          <t>ข้อ 4 ชุด 1 (เฉลยข้อ )</t>
        </is>
      </c>
      <c r="O7" s="46" t="inlineStr">
        <is>
          <t>Mock</t>
        </is>
      </c>
      <c r="P7" s="46" t="inlineStr">
        <is>
          <t>ชุด 1</t>
        </is>
      </c>
    </row>
    <row r="8" ht="13.2" customHeight="1" s="37">
      <c r="A8" s="44" t="n">
        <v>6</v>
      </c>
      <c r="B8" s="45" t="inlineStr">
        <is>
          <t>ในโรงพยาบาลมี glipizide MR 30 mg แต่แพทย์ต้องการใช้ 15 mg สามารถแบ่งได้หรือไม่</t>
        </is>
      </c>
      <c r="C8" s="46" t="n"/>
      <c r="D8" s="45" t="inlineStr">
        <is>
          <t>แบ่งได้ เพราะได้ปริมาณยาเท่ากัน</t>
        </is>
      </c>
      <c r="E8" s="45" t="inlineStr">
        <is>
          <t>แบ่งได้ หักแบ่งแล้วละลายน้ำ</t>
        </is>
      </c>
      <c r="F8" s="45" t="inlineStr">
        <is>
          <t>แบ่งไม่ได้ เพราะมีผลต่อการปลดปล่อยยา</t>
        </is>
      </c>
      <c r="G8" s="45" t="inlineStr">
        <is>
          <t>แบ่งไม่ได้ เพราะตัวยาที่ได้อาจไม่เท่ากัน</t>
        </is>
      </c>
      <c r="H8" s="45" t="inlineStr">
        <is>
          <t>แบ่งไม่ได้ เพราะยาสลายตัวเมื่อสัมผัสสิ่งแวดล้อม</t>
        </is>
      </c>
      <c r="I8" s="44" t="inlineStr">
        <is>
          <t>3</t>
        </is>
      </c>
      <c r="J8" s="45" t="inlineStr">
        <is>
          <t>✅ คำตอบที่ถูกต้อง: ข้อ ค. แบ่งไม่ได้ เพราะมีผลต่อการปลดปล่อยยา
💡 Background:
การบริบาลผู้ป่วยเบาหวานชนิดที่ 2 (T2DM) เน้นควบคุม HbA1c ควบคู่กับการเลือกยาที่มี cardiorenal protection ในผู้ป่วยที่มีโรคร่วม
🎯 ทำไมข้อนี้ถึงถูก:
แบ่งไม่ได้ เพราะมีผลต่อการปลดปล่อยยา ยา Glipizide MR เป็นยาในรูปแบบเตรียมเม็ดพิเศษที่ออกแบบมาเพื่อควบคุมอัตราการปลดปล่อยตัวยาอย่างช้าๆ (Modified/Extended Release) การหัก บด หรือเคี้ยวเม็ดยาจะทำลายระบบการปลดปล่อยนี้ ทำให้ตัวยาทั้งหมดถูกปลดปล่อยออกมาทันที (Dose dumping) ส่งผลให้เกิดอันตรายรุนแรงจากภาวะน้ำตาลในเลือดต่ำขั้นรุนแรง จึงห้ามหักแบ่งเม็ดยาชนิดนี้โดยเด็ดขาด
🔍 ข้ออื่นผิดเพราะอะไร:
• ข้อ ก. (แบ่งได้ เพราะได้ปริมาณยาเท่ากัน): รูปแบบยา Modified Release (MR) มีกลไกควบคุมการปลดปล่อยยา การหักเม็ดยาจะทำลายระบบควบคุมนี้ ทำให้ยาถูกปลดปล่อยออกมาทันที
• ข้อ ข. (แบ่งได้ หักแบ่งแล้วละลายน้ำ): ยาที่ออกฤทธิ์แบบ MR ห้ามนำมาหัก แบ่ง หรือบดละลายน้ำ เพราะจะทำให้เสียคุณสมบัติการปลดปล่อยยาแบบควบคุม และอาจเกิดพิษจากยาเกินขนาด
• ข้อ ง. (แบ่งไม่ได้ เพราะตัวยาที่ได้อาจไม่เท่ากัน): แม้ตัวยาอาจได้ไม่เท่ากันจากการแบ่ง แต่ประเด็นหลักที่ห้ามแบ่งคือการทำลายกลไกการปลดปล่อยยา (Release mechanism) ของรูปแบบยา MR
• ข้อ จ. (แบ่งไม่ได้ เพราะยาสลายตัวเมื่อสัมผัสสิ่งแวดล้อม): การห้ามหักเม็ดยา MR เป็นผลจากโครงสร้างการปลดปล่อยยา ไม่ใช่เพราะตัวยาสำคัญสลายตัวง่ายเมื่อสัมผัสสิ่งแวดล้อม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8" s="46" t="n"/>
      <c r="L8" s="45" t="inlineStr">
        <is>
          <t>Diabetes mellitus</t>
        </is>
      </c>
      <c r="M8" s="46" t="inlineStr">
        <is>
          <t>Clinic</t>
        </is>
      </c>
      <c r="N8" s="45" t="inlineStr">
        <is>
          <t>ข้อ 5 ชุด 1 (เฉลยข้อ ค)</t>
        </is>
      </c>
      <c r="O8" s="46" t="inlineStr">
        <is>
          <t>Mock</t>
        </is>
      </c>
      <c r="P8" s="46" t="inlineStr">
        <is>
          <t>ชุด 1</t>
        </is>
      </c>
    </row>
    <row r="9" ht="13.2" customHeight="1" s="37">
      <c r="A9" s="44" t="n">
        <v>7</v>
      </c>
      <c r="B9" s="45" t="inlineStr">
        <is>
          <t>ข้อใดคือกลไกการออกฤทธิ์ของยา chlorpropamide</t>
        </is>
      </c>
      <c r="C9" s="46" t="n"/>
      <c r="D9" s="45" t="inlineStr">
        <is>
          <t>กระตุ้นการหลั่งอินซูลิน</t>
        </is>
      </c>
      <c r="E9" s="45" t="inlineStr">
        <is>
          <t>เพิ่มความไวของอินซูลินที่กล้ามเนื้อ</t>
        </is>
      </c>
      <c r="F9" s="45" t="inlineStr">
        <is>
          <t>ลดการดูดซึมน้ำตาลในทางเดินอาหาร</t>
        </is>
      </c>
      <c r="G9" s="45" t="inlineStr">
        <is>
          <t>ยับยั้งการย่อยน้ำตาลในลำไส้</t>
        </is>
      </c>
      <c r="H9" s="45" t="inlineStr">
        <is>
          <t>ลดการสร้างน้ำตาลกลูโคสในตับ</t>
        </is>
      </c>
      <c r="I9" s="44" t="inlineStr">
        <is>
          <t>1</t>
        </is>
      </c>
      <c r="J9" s="45" t="inlineStr">
        <is>
          <t>✅ คำตอบที่ถูกต้อง: ข้อ ก. กระตุ้นการหลั่งอินซูลิน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กระตุ้นการหลั่งอินซูลิน Chlorpropamide เป็นยาในกลุ่ม Sulfonylureas (First-generation) ออกฤทธิ์กระตุ้นการหลั่งอินซูลินจากตับอ่อน (Insulin secretagogue) โดยการจับกับ Sulfonylurea Receptor 1 (SUR1) บน ATP-sensitive potassium channel ของตับอ่อนกระตุ้นการหลั่งอินซูลินเข้าสู่กระแสเลือด
🔍 ข้ออื่นผิดเพราะอะไร:
• ข้อ ข. (เพิ่มความไวของอินซูลินที่กล้ามเนื้อ): ยาที่เพิ่มความไวของอินซูลินที่กล้ามเนื้อ (Insulin sensitizer) คือยากลุ่ม Thiazolidinediones เช่น Pioglitazone
• ข้อ ค. (ลดการดูดซึมน้ำตาลในทางเดินอาหาร): ยาลดการดูดซึมไขมันหรือคอเลสเตอรอลในลำไส้ เช่น Ezetimibe หรือ Orlistat ไม่ใช่กลไกของ Chlorpropamide
• ข้อ ง. (ยับยั้งการย่อยน้ำตาลในลำไส้): ยายับยั้งการย่อยน้ำตาลในลำไส้คือกลุ่ม Alpha-glucosidase inhibitors เช่น Acarbose
• ข้อ จ. (ลดการสร้างน้ำตาลกลูโคสในตับ): ยาลดการสร้างน้ำตาลกลูโคสในตับ (Decreased hepatic glucose production) คือยา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 s="46" t="n"/>
      <c r="L9" s="45" t="inlineStr">
        <is>
          <t>Diabetes mellitus</t>
        </is>
      </c>
      <c r="M9" s="46" t="inlineStr">
        <is>
          <t>Clinic</t>
        </is>
      </c>
      <c r="N9" s="45" t="inlineStr">
        <is>
          <t>ข้อ 6 ชุด 1 (เฉลยข้อ ก)</t>
        </is>
      </c>
      <c r="O9" s="46" t="inlineStr">
        <is>
          <t>Mock</t>
        </is>
      </c>
      <c r="P9" s="46" t="inlineStr">
        <is>
          <t>ชุด 1</t>
        </is>
      </c>
    </row>
    <row r="10" ht="13.2" customHeight="1" s="37">
      <c r="A10" s="44" t="n">
        <v>8</v>
      </c>
      <c r="B10" s="45" t="inlineStr">
        <is>
          <t>ยาฉีดอินซูลินในข้อใดที่ออกฤทธิ์แบบ intermediate</t>
        </is>
      </c>
      <c r="C10" s="46" t="n"/>
      <c r="D10" s="45" t="inlineStr">
        <is>
          <t>Regular insulin</t>
        </is>
      </c>
      <c r="E10" s="45" t="inlineStr">
        <is>
          <t>Neutral insulin</t>
        </is>
      </c>
      <c r="F10" s="45" t="inlineStr">
        <is>
          <t>NPH insulin</t>
        </is>
      </c>
      <c r="G10" s="45" t="inlineStr">
        <is>
          <t>Insulin lispro</t>
        </is>
      </c>
      <c r="H10" s="45" t="inlineStr">
        <is>
          <t>Insulin glargine</t>
        </is>
      </c>
      <c r="I10" s="44" t="inlineStr">
        <is>
          <t>3</t>
        </is>
      </c>
      <c r="J10" s="45" t="inlineStr">
        <is>
          <t>✅ คำตอบที่ถูกต้อง: ข้อ ค. NPH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NPH insulin (Neutral Protamine Hagedorn) จัดเป็น intermediate-acting insulin โดยมี onset ประมาณ 1-2 ชั่วโมง peak 4-12 ชั่วโมง และ duration 14-24 ชั่วโมง ในขณะที่ Regular เป็น short-acting, Lispro เป็น rapid-acting และ Glargine เป็น long-acting ตามลำดับ (ADA Guidelines)
🔍 ข้ออื่นผิดเพราะอะไร:
• ข้อ ก. (Regular insulin): Regular insulin เป็นอินซูลินชนิดออกฤทธิ์สั้น (Short-acting insulin) ที่มีระยะเวลาเริ่มออกฤทธิ์ประมาณ 30-60 นาที
• ข้อ ข. (Neutral insulin): Neutral insulin คือชื่อเรียกอีกอย่างของ Regular insulin ซึ่งเป็น Short-acting insulin
• ข้อ ง. (Insulin lispro): Insulin lispro เป็นอินซูลินชนิดออกฤทธิ์เร็วมาก (Rapid-acting insulin) ใช้ฉีดก่อนอาหารเพื่อคุมน้ำตาลมื้อนั้นๆ
• ข้อ จ. (Insulin glargine): Insulin glargine เป็นอินซูลินชนิดออกฤทธิ์ยาว (Long-acting insulin) ที่ไม่มีจุดสูงสุดของการออกฤทธิ์ (Peakless)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 s="46" t="n"/>
      <c r="L10" s="45" t="inlineStr">
        <is>
          <t>Diabetes mellitus</t>
        </is>
      </c>
      <c r="M10" s="46" t="inlineStr">
        <is>
          <t>Clinic</t>
        </is>
      </c>
      <c r="N10" s="45" t="inlineStr">
        <is>
          <t>ข้อ 7 ชุด 1 (เฉลยข้อ ค)</t>
        </is>
      </c>
      <c r="O10" s="46" t="inlineStr">
        <is>
          <t>Mock</t>
        </is>
      </c>
      <c r="P10" s="46" t="inlineStr">
        <is>
          <t>ชุด 1</t>
        </is>
      </c>
    </row>
    <row r="11" ht="13.2" customHeight="1" s="37">
      <c r="A11" s="44" t="n">
        <v>9</v>
      </c>
      <c r="B11" s="45" t="inlineStr">
        <is>
          <t>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ผู้ป่วยรายนี้จัดอยู่ในเบาหวานประเภทใด</t>
        </is>
      </c>
      <c r="C11" s="46" t="n"/>
      <c r="D11" s="45" t="inlineStr">
        <is>
          <t>DM type 2</t>
        </is>
      </c>
      <c r="E11" s="45" t="inlineStr">
        <is>
          <t>DM type 1</t>
        </is>
      </c>
      <c r="F11" s="45" t="inlineStr">
        <is>
          <t>Gestational DM</t>
        </is>
      </c>
      <c r="G11" s="45" t="inlineStr">
        <is>
          <t>Classification DM</t>
        </is>
      </c>
      <c r="H11" s="45" t="inlineStr">
        <is>
          <t>DM type 3</t>
        </is>
      </c>
      <c r="I11" s="44" t="inlineStr">
        <is>
          <t>1</t>
        </is>
      </c>
      <c r="J11" s="45" t="inlineStr">
        <is>
          <t>✅ คำตอบที่ถูกต้อง: ข้อ ก. DM type 2
💡 Background:
การบริบาลผู้ป่วยเบาหวานชนิดที่ 2 (T2DM) เน้นควบคุม HbA1c ควบคู่กับการเลือกยาที่มี cardiorenal protection ในผู้ป่วยที่มีโรคร่วม
🎯 ทำไมข้อนี้ถึงถูก:
DM type 2 ผู้ป่วยอายุ 40 ปี (adult onset) มีอาการคลาสสิกของ hyperglycemia และมีค่า FBS &gt;= 126 mg/dL (หรือ 140 mg/dl) วินิจฉัยเป็น Type 2 Diabetes Mellitus ซึ่งพบบ่อยที่สุดในผู้ใหญ่วัยกลางคนที่มีปัจจัยเสี่ยง (ADA Guidelines)
🔍 ข้ออื่นผิดเพราะอะไร:
• ข้อ ข. (DM type 1): DM type 1 มักพบในอายุน้อย เกิดจากเซลล์ตับอ่อนถูกทำลายจนสร้างอินซูลินไม่ได้ ผู้ป่วยมักผอมและมาด้วยภาวะ DKA
• ข้อ ค. (Gestational DM): Gestational DM คือเบาหวานที่วินิจฉัยพบครั้งแรกขณะตั้งครรภ์ ซึ่งผู้ป่วยรายนี้ไม่ได้อยู่ในภาวะตั้งครรภ์
• ข้อ ง. (Classification DM): Classification DM ไม่ใช่ชื่อประเภทของโรคเบาหวานตามเกณฑ์การจำแนกโรคทางการแพทย์
• ข้อ จ. (DM type 3): DM type 3 ในบางบริบทหมายถึง Alzheimer's disease แต่อาการผู้ป่วยรายนี้เข้าได้กับ DM type 2 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 s="46" t="n"/>
      <c r="L11" s="45" t="inlineStr">
        <is>
          <t>Diabetes mellitus</t>
        </is>
      </c>
      <c r="M11" s="46" t="inlineStr">
        <is>
          <t>Clinic</t>
        </is>
      </c>
      <c r="N11" s="45" t="inlineStr">
        <is>
          <t>ข้อ 8 ชุด 1 (เฉลยข้อ ก)</t>
        </is>
      </c>
      <c r="O11" s="46" t="inlineStr">
        <is>
          <t>Mock</t>
        </is>
      </c>
      <c r="P11" s="46" t="inlineStr">
        <is>
          <t>ชุด 1</t>
        </is>
      </c>
    </row>
    <row r="12" ht="13.2" customHeight="1" s="37">
      <c r="A12" s="44" t="n">
        <v>10</v>
      </c>
      <c r="B12" s="45" t="inlineStr">
        <is>
          <t>Drug of choice ในการรักษา DM ตาม ADA Guideline คือยาใด</t>
        </is>
      </c>
      <c r="C12" s="46" t="n"/>
      <c r="D12" s="45" t="inlineStr">
        <is>
          <t>Metformin</t>
        </is>
      </c>
      <c r="E12" s="45" t="inlineStr">
        <is>
          <t>Sulfonylurea</t>
        </is>
      </c>
      <c r="F12" s="45" t="inlineStr">
        <is>
          <t>TZDs</t>
        </is>
      </c>
      <c r="G12" s="45" t="inlineStr">
        <is>
          <t>Insulin</t>
        </is>
      </c>
      <c r="H12" s="45" t="inlineStr">
        <is>
          <t>Alpha-glucosidase</t>
        </is>
      </c>
      <c r="I12" s="44" t="inlineStr">
        <is>
          <t>1</t>
        </is>
      </c>
      <c r="J12" s="45"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ตามคำแนะนำของ ADA Guideline (Standards of Care in Diabetes) แนะนำให้ใช้ Metformin เป็นยาแรก (First-line therapy) ร่วมกับการปรับเปลี่ยนพฤติกรรมชีวิต เนื่องจากมี efficacy ดี มี safety น้ำหนักไม่เพิ่ม และราคาประหยัด
🔍 ข้ออื่นผิดเพราะอะไร:
• ข้อ ข. (Sulfonylurea): Sulfonylurea ใช้เป็นยาเสริมหรือทางเลือกกรณีใช้ Metformin ไม่ได้ เนื่องจากมีความเสี่ยงต่อน้ำตาลต่ำและทำให้น้ำหนักเพิ่ม
• ข้อ ค. (TZDs): TZDs เช่น Pioglitazone ใช้เป็นยาเสริม แต่มีผลข้างเคียงเรื่องบวมน้ำ น้ำหนักเพิ่ม และเพิ่มความเสี่ยงหัวใจล้มเหลว
• ข้อ ง. (Insulin): Insulin มักสงวนไว้สำหรับผู้ป่วยที่มีระดับน้ำตาลสูงมาก มีอาการรุนแรง หรือควบคุมไม่ได้ด้วยยารับประทานหลายชนิด
• ข้อ จ. (Alpha-glucosidase): Alpha-glucosidase inhibitors มีผลลดน้ำตาลไม่มากเมื่อเทียบกับ Metformin และมีผลข้างเคียงทางเดินอาหารสูง (ท้องอืด)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 s="46" t="n"/>
      <c r="L12" s="45" t="inlineStr">
        <is>
          <t>Diabetes mellitus</t>
        </is>
      </c>
      <c r="M12" s="46" t="inlineStr">
        <is>
          <t>Clinic</t>
        </is>
      </c>
      <c r="N12" s="45" t="inlineStr">
        <is>
          <t>ข้อ 9 ชุด 1 (เฉลยข้อ ก)</t>
        </is>
      </c>
      <c r="O12" s="46" t="inlineStr">
        <is>
          <t>Mock</t>
        </is>
      </c>
      <c r="P12" s="46" t="inlineStr">
        <is>
          <t>ชุด 1</t>
        </is>
      </c>
    </row>
    <row r="13" ht="13.2" customHeight="1" s="37">
      <c r="A13" s="44" t="n">
        <v>11</v>
      </c>
      <c r="B13" s="45" t="inlineStr">
        <is>
          <t>เป้าหมายของโรคเบาหวานในผู้ป่วยทั่วไป ตาม ADA Guideline คือ</t>
        </is>
      </c>
      <c r="C13" s="46" t="n"/>
      <c r="D13" s="45" t="inlineStr">
        <is>
          <t>HbA1C &lt; 6.5</t>
        </is>
      </c>
      <c r="E13" s="45" t="inlineStr">
        <is>
          <t>HbA1C &lt; 7</t>
        </is>
      </c>
      <c r="F13" s="45" t="inlineStr">
        <is>
          <t>HbA1C &lt; 7.5</t>
        </is>
      </c>
      <c r="G13" s="45" t="inlineStr">
        <is>
          <t>HbA1C &lt; 8</t>
        </is>
      </c>
      <c r="H13" s="45" t="inlineStr">
        <is>
          <t>HbA1C &lt; 8.5</t>
        </is>
      </c>
      <c r="I13" s="44" t="inlineStr">
        <is>
          <t>2</t>
        </is>
      </c>
      <c r="J13" s="45" t="inlineStr">
        <is>
          <t>✅ คำตอบที่ถูกต้อง: ข้อ ข. HbA1C &lt; 7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7 เป้าหมายระดับน้ำตาลสะสม (HbA1c) สำหรับผู้ใหญ่ที่เป็นเบาหวานทั่วไปตาม ADA Guideline คือน้อยกว่า 7.0% เพื่อลดความเสี่ยงโรคแทรกซ้อนทางหลอดเลือดฝอยและหลอดเลือดใหญ่ (Microvascular &amp; Macrovascular complications)
🔍 ข้ออื่นผิดเพราะอะไร:
• ข้อ ก. (HbA1C &lt; 6.5): เป้าหมาย HbA1c &lt; 6.5% อาจพิจารณาในผู้ป่วยอายุน้อย เพิ่งเป็นเบาหวาน ไม่มีโรคหัวใจและไม่มีความเสี่ยงน้ำตาลต่ำ แต่ไม่ใช่เป้าหมายทั่วไป
• ข้อ ค. (HbA1C &lt; 7.5): เป้าหมาย HbA1c &lt; 7.5% ไม่ใช่ตัวเลขตาม Guideline ทั่วไป อาจยอมรับได้ในผู้สูงอายุที่มีสุขภาพแข็งแรงปานกลาง
• ข้อ ง. (HbA1C &lt; 8): เป้าหมาย HbA1c &lt; 8% ใช้สำหรับผู้ป่วยสูงอายุที่มีโรคร่วมหลายโรคหรือคาดการณ์อายุขัยสั้น เพื่อป้องกันภาวะน้ำตาลต่ำ
• ข้อ จ. (HbA1C &lt; 8.5): เป้าหมาย HbA1c &lt; 8.5% อาจใช้เฉพาะในผู้ป่วยระยะสุดท้าย (End-of-life) ที่เน้นหลีกเลี่ยงอาการทางคลินิกจากการที่น้ำตาลสูงมากๆ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 s="46" t="n"/>
      <c r="L13" s="45" t="inlineStr">
        <is>
          <t>Diabetes mellitus</t>
        </is>
      </c>
      <c r="M13" s="46" t="inlineStr">
        <is>
          <t>Clinic</t>
        </is>
      </c>
      <c r="N13" s="45" t="inlineStr">
        <is>
          <t>ข้อ 10 ชุด 1 (เฉลยข้อ ข)</t>
        </is>
      </c>
      <c r="O13" s="46" t="inlineStr">
        <is>
          <t>Mock</t>
        </is>
      </c>
      <c r="P13" s="46" t="inlineStr">
        <is>
          <t>ชุด 1</t>
        </is>
      </c>
    </row>
    <row r="14" ht="13.2" customHeight="1" s="37">
      <c r="A14" s="44" t="n">
        <v>12</v>
      </c>
      <c r="B14" s="45" t="inlineStr">
        <is>
          <t>ข้อใดไม่ใช่ S/E ของยาลดระดับน้ำตาลชนิดรับประทาน</t>
        </is>
      </c>
      <c r="C14" s="46" t="n"/>
      <c r="D14" s="45" t="inlineStr">
        <is>
          <t>Lipoatrophy</t>
        </is>
      </c>
      <c r="E14" s="45" t="inlineStr">
        <is>
          <t>Hypoglycemia</t>
        </is>
      </c>
      <c r="F14" s="45" t="inlineStr">
        <is>
          <t>Ketonuria</t>
        </is>
      </c>
      <c r="G14" s="45" t="inlineStr">
        <is>
          <t>Hepatotoxic</t>
        </is>
      </c>
      <c r="H14" s="45" t="inlineStr">
        <is>
          <t>Lactic acidosis</t>
        </is>
      </c>
      <c r="I14" s="44" t="inlineStr">
        <is>
          <t>1</t>
        </is>
      </c>
      <c r="J14" s="45" t="inlineStr">
        <is>
          <t>✅ คำตอบที่ถูกต้อง: ข้อ ก. Lipoatrophy
💡 Background:
การบริบาลผู้ป่วยเบาหวานชนิดที่ 2 (T2DM) เน้นควบคุม HbA1c ควบคู่กับการเลือกยาที่มี cardiorenal protection ในผู้ป่วยที่มีโรคร่วม
🎯 ทำไมข้อนี้ถึงถูก:
Lipoatrophy เป็น ADR ที่เกิดจากการฉีดอินซูลิน (เกิดการฝ่อของเนื้อเยื่อไขมันบริเวณที่ฉีดซ้ำๆ) ไม่ใช่ผลข้างเคียงของยาลดระดับน้ำตาลชนิดรับประทาน ส่วน Hypoglycemia (Sulfonylurea), Lactic acidosis (Metformin) และ Hepatotoxicity (TZDs) เป็นผลข้างเคียงของยารับประทาน
🔍 ข้ออื่นผิดเพราะอะไร:
• ข้อ ข. (Hypoglycemia): Hypoglycemia เป็นอาการไม่พึงประสงค์ที่พบได้บ่อยจากยากลุ่ม Sulfonylureas และ Glinides
• ข้อ ค. (Ketonuria): Ketonuria หรือ DKA สามารถถูกกระตุ้นได้จากยากลุ่ม SGLT2 inhibitors ซึ่งเป็นยารับประทาน
• ข้อ ง. (Hepatotoxic): Hepatotoxicity พบได้ในยากลุ่ม Thiazolidinediones เช่น Troglitazone ที่ถูกถอนออกจากตลาด และ Pioglitazone ในอัตราต่ำ
• ข้อ จ. (Lactic acidosis): Lactic acidosis เป็นภาวะแทรกซ้อนที่รุนแรงและอาจเกิดได้จากการใช้ยา Metformin โดยเฉพาะในผู้ป่วยไตเสื่อม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 s="46" t="n"/>
      <c r="L14" s="45" t="inlineStr">
        <is>
          <t>Diabetes mellitus</t>
        </is>
      </c>
      <c r="M14" s="46" t="inlineStr">
        <is>
          <t>Clinic</t>
        </is>
      </c>
      <c r="N14" s="45" t="inlineStr">
        <is>
          <t>ข้อ 11 ชุด 1 (เฉลยข้อ ก)</t>
        </is>
      </c>
      <c r="O14" s="46" t="inlineStr">
        <is>
          <t>Mock</t>
        </is>
      </c>
      <c r="P14" s="46" t="inlineStr">
        <is>
          <t>ชุด 1</t>
        </is>
      </c>
    </row>
    <row r="15" ht="13.2" customHeight="1" s="37">
      <c r="A15" s="44" t="n">
        <v>13</v>
      </c>
      <c r="B15" s="45" t="inlineStr">
        <is>
          <t>ผู้ป่วยไม่สามารถควบคุมระดับน้ำตาลได้จึงมีการปรับเปลี่ยนยามาเป็นแบบชนิดฉีดและแบบรับประทานร่วมกัน ถามว่าผู้ป่วยควรได้รับยาฉีดแบบไหน</t>
        </is>
      </c>
      <c r="C15" s="46" t="n"/>
      <c r="D15" s="45" t="inlineStr">
        <is>
          <t>Rapid acting</t>
        </is>
      </c>
      <c r="E15" s="45" t="inlineStr">
        <is>
          <t>Short acting</t>
        </is>
      </c>
      <c r="F15" s="45" t="inlineStr">
        <is>
          <t>Inhaler</t>
        </is>
      </c>
      <c r="G15" s="45" t="inlineStr">
        <is>
          <t>Long acting</t>
        </is>
      </c>
      <c r="H15" s="45" t="inlineStr">
        <is>
          <t>Intermediate</t>
        </is>
      </c>
      <c r="I15" s="44" t="inlineStr">
        <is>
          <t>4</t>
        </is>
      </c>
      <c r="J15" s="45" t="inlineStr">
        <is>
          <t>✅ คำตอบที่ถูกต้อง: ข้อ ง. Long acting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เมื่อผู้ป่วย T2DM ที่กินยารับประทานแล้วไม่สามารถควบคุมระดับน้ำตาลได้ และแพทย์พิจารณาเริ่มยาอินซูลินเสริม (Basal insulin support) มักจะเลือกยาฉีดประเภท Long-acting insulin (เช่น Glargine, Detemir, Degludec) หรือ Intermediate acting (NPH) ฉีดวันละครั้งเพื่อควบคุมระดับน้ำตาลช่วงอดอาหาร (Fasting blood glucose)
🔍 ข้ออื่นผิดเพราะอะไร:
• ข้อ ก. (Rapid acting): Rapid-acting insulin ใช้ฉีดก่อนมื้ออาหารเพื่อควบคุม Postprandial glucose ไม่เหมาะกับการเริ่มเป็น Basal insulin แบบฉีดวันละครั้ง
• ข้อ ข. (Short acting): Short-acting insulin (Regular insulin) มี Peak action ชัดเจน เสี่ยงน้ำตาลตก และต้องฉีดหลายครั้งต่อวัน ไม่เหมาะกับการใช้เป็น Basal
• ข้อ ค. (Inhaler): Inhaler insulin (Afrezza) มีคุณสมบัติเหมือน Rapid-acting ใช้คุมน้ำตาลหลังมื้ออาหาร ไม่ใช่ยาหลักที่ใช้ฉีดคู่กับยารับประทานเบื้องต้น
• ข้อ จ. (Intermediate): Intermediate-acting insulin (NPH) มี Peak action จึงเสี่ยงเกิด Hypoglycemia มากกว่า Long-acting เมื่อใช้เป็น Basal insulin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 s="46" t="n"/>
      <c r="L15" s="45" t="inlineStr">
        <is>
          <t>Diabetes mellitus</t>
        </is>
      </c>
      <c r="M15" s="46" t="inlineStr">
        <is>
          <t>Clinic</t>
        </is>
      </c>
      <c r="N15" s="45" t="inlineStr">
        <is>
          <t>ข้อ 12 ชุด 1 (เฉลยข้อ ง)</t>
        </is>
      </c>
      <c r="O15" s="46" t="inlineStr">
        <is>
          <t>Mock</t>
        </is>
      </c>
      <c r="P15" s="46" t="inlineStr">
        <is>
          <t>ชุด 1</t>
        </is>
      </c>
    </row>
    <row r="16" ht="13.2" customHeight="1" s="37">
      <c r="A16" s="44" t="n">
        <v>14</v>
      </c>
      <c r="B16"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ข้อใดไม่ใช่ปัจจัยเสี่ยงของผู้ป่วยความดันโลหิตสูงรายนี้</t>
        </is>
      </c>
      <c r="C16" s="46" t="n"/>
      <c r="D16" s="45" t="inlineStr">
        <is>
          <t>พ่อ แม่มีประวัติเป็นโรคเบาหวานและความดันโลหิตสูง</t>
        </is>
      </c>
      <c r="E16" s="45" t="inlineStr">
        <is>
          <t>แม่เสียชีวิตด้วยโรคหัวใจและหลอดเลือด</t>
        </is>
      </c>
      <c r="F16" s="45" t="inlineStr">
        <is>
          <t>มีประวัติชอบสูบบุหรี่</t>
        </is>
      </c>
      <c r="G16" s="45" t="inlineStr">
        <is>
          <t>ออกกำลังกาย 1-2 ครั้งต่อเดือน</t>
        </is>
      </c>
      <c r="H16" s="45" t="inlineStr">
        <is>
          <t>ชอบรับประทานอาหารเค็ม</t>
        </is>
      </c>
      <c r="I16" s="44" t="inlineStr">
        <is>
          <t>2</t>
        </is>
      </c>
      <c r="J16" s="45" t="inlineStr">
        <is>
          <t>✅ คำตอบที่ถูกต้อง: ข้อ ข. แม่เสียชีวิตด้วยโรคหัวใจและหลอดเลือด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แม่เสียชีวิตด้วยโรคหัวใจและหลอดเลือด ปัจจัยเสี่ยงต่อโรคความดันโลหิตสูงประกอบด้วยพันธุกรรม (ประวัติครอบครัว), การสูบบุหรี่, การขาดการออกกำลังกาย และการบริโภคโซเดียมสูง (อาหารเค็ม) ตามแนวทางการรักษาโรคความดันโลหิตสูง
🔍 ข้ออื่นผิดเพราะอะไร:
• ข้อ ก. (พ่อ แม่มีประวัติเป็นโรคเบาหวานและความดันโลหิตสูง): ประวัติครอบครัวสายตรง (พ่อ แม่) ที่เป็นเบาหวานและความดันโลหิตสูง เป็นปัจจัยเสี่ยงหลักที่ไม่สามารถปรับเปลี่ยนได้
• ข้อ ค. (มีประวัติชอบสูบบุหรี่): การสูบบุหรี่เพิ่มสารอนุมูลอิสระ ทำให้หลอดเลือดแข็งตัว (Atherosclerosis) และเพิ่มความต้านทานต่ออินซูลิน เป็นปัจจัยเสี่ยงสำคัญ
• ข้อ ง. (ออกกำลังกาย 1-2 ครั้งต่อเดือน): การออกกำลังกายน้อย (Sedentary lifestyle) ทำให้เผาผลาญพลังงานลดลง นำไปสู่ภาวะอ้วนและภาวะดื้ออินซูลิน
• ข้อ จ. (ชอบรับประทานอาหารเค็ม): การรับประทานอาหารเค็มปริมาณมากทำให้ร่างกายคั่งโซเดียมและน้ำ ส่งผลให้ความดันโลหิตสูงขึ้น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 s="46" t="n"/>
      <c r="L16" s="45" t="inlineStr">
        <is>
          <t>Diabetes mellitus</t>
        </is>
      </c>
      <c r="M16" s="46" t="inlineStr">
        <is>
          <t>Clinic</t>
        </is>
      </c>
      <c r="N16" s="45" t="inlineStr">
        <is>
          <t>ข้อ 13 ชุด 1 (เฉลยข้อ ข)</t>
        </is>
      </c>
      <c r="O16" s="46" t="inlineStr">
        <is>
          <t>Mock</t>
        </is>
      </c>
      <c r="P16" s="46" t="inlineStr">
        <is>
          <t>ชุด 1</t>
        </is>
      </c>
    </row>
    <row r="17" ht="13.2" customHeight="1" s="37">
      <c r="A17" s="44" t="n">
        <v>15</v>
      </c>
      <c r="B17"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ข้อใดเป็นปัจจัยเสี่ยงในการเป็นเบาหวาน และโรคหัวใจและหลอดเลือด</t>
        </is>
      </c>
      <c r="C17" s="46" t="n"/>
      <c r="D17" s="45" t="inlineStr">
        <is>
          <t>แม่เป็นเบาหวานและความดัน</t>
        </is>
      </c>
      <c r="E17" s="45" t="inlineStr">
        <is>
          <t>แม่ตายด้วยโรคหัวใจขาดเลือด</t>
        </is>
      </c>
      <c r="F17" s="45" t="inlineStr">
        <is>
          <t>สูบบุหรี่วันละ 20 มวน</t>
        </is>
      </c>
      <c r="G17" s="45" t="inlineStr">
        <is>
          <t>ออกกำลังกาย 1-2 ครั้ง/เดือน</t>
        </is>
      </c>
      <c r="H17" s="45" t="inlineStr">
        <is>
          <t>ดื่มไวน์ 1-2 แก้ว/เดือน</t>
        </is>
      </c>
      <c r="I17" s="44" t="inlineStr">
        <is>
          <t>1</t>
        </is>
      </c>
      <c r="J17" s="45" t="inlineStr">
        <is>
          <t>✅ คำตอบที่ถูกต้อง: ข้อ ก. แม่เป็นเบาหวานและความดัน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แม่เป็นเบาหวานและความดัน การสูบบุหรี่เป็นปัจจัยเสี่ยงร่วมที่สำคัญมากทั้งต่อโรคเบาหวาน (เพิ่ม insulin resistance) และโรคหัวใจและหลอดเลือด (CVD) ตามเกณฑ์ ADA และ ESC guidelines
🔍 ข้ออื่นผิดเพราะอะไร:
• ข้อ ข. (แม่ตายด้วยโรคหัวใจขาดเลือด): ประวัติแม่เสียชีวิตด้วยโรคหัวใจเป็นปัจจัยเสี่ยงทางพันธุกรรมต่อโรคหัวใจ แต่มักเป็นปัจจัยเสี่ยงเดี่ยวๆ มากกว่าครอบคลุมเบาหวาน
• ข้อ ค. (สูบบุหรี่วันละ 20 มวน): การสูบบุหรี่เป็นปัจจัยเสี่ยงหลักของโรคหัวใจและหลอดเลือด แต่ไม่ได้เป็นสาเหตุโดยตรงหลักที่ทำให้เกิดเบาหวานเท่ากรรมพันธุ์
• ข้อ ง. (ออกกำลังกาย 1-2 ครั้ง/เดือน): การไม่ออกกำลังกายเพิ่มความเสี่ยงโรคอ้วนและเบาหวาน แต่เมื่อพิจารณาร่วมกัน ประวัติครอบครัว (พันธุกรรม) เป็นปัจจัยเสี่ยงที่ครอบคลุมทั้งสองโรคชัดเจนที่สุด
• ข้อ จ. (ดื่มไวน์ 1-2 แก้ว/เดือน): การดื่มไวน์ปริมาณน้อยมาก (1-2 แก้วต่อเดือน) ไม่มีผลทางคลินิกอย่างมีนัยสำคัญในการเพิ่มความเสี่ยงเบาหวานหรือโรคหัวใจ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 s="46" t="n"/>
      <c r="L17" s="45" t="inlineStr">
        <is>
          <t>Diabetes mellitus</t>
        </is>
      </c>
      <c r="M17" s="46" t="inlineStr">
        <is>
          <t>Clinic</t>
        </is>
      </c>
      <c r="N17" s="45" t="inlineStr">
        <is>
          <t>ข้อ 14 ชุด 1 (เฉลยข้อ ก)</t>
        </is>
      </c>
      <c r="O17" s="46" t="inlineStr">
        <is>
          <t>Mock</t>
        </is>
      </c>
      <c r="P17" s="46" t="inlineStr">
        <is>
          <t>ชุด 1</t>
        </is>
      </c>
    </row>
    <row r="18" ht="13.2" customHeight="1" s="37">
      <c r="A18" s="44" t="n">
        <v>16</v>
      </c>
      <c r="B18"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เภสัชกรต้องแนะนำคนไข้ให้ปฏิบัติตัว เพื่อลดโอกาสเป็นเบาหวาน โรคหัวใจและหลอดเลือด ข้อใดจำเป็นน้อยที่สุด</t>
        </is>
      </c>
      <c r="C18" s="46" t="n"/>
      <c r="D18" s="45" t="inlineStr">
        <is>
          <t>งดสูบบุหรี่</t>
        </is>
      </c>
      <c r="E18" s="45" t="inlineStr">
        <is>
          <t>ลดอาหารเค็ม</t>
        </is>
      </c>
      <c r="F18" s="45" t="inlineStr">
        <is>
          <t>ลดน้ำหนัก</t>
        </is>
      </c>
      <c r="G18" s="45" t="inlineStr">
        <is>
          <t>ออกกำลังกายเพิ่มเติม</t>
        </is>
      </c>
      <c r="H18" s="45" t="inlineStr">
        <is>
          <t>ลดการบริโภคน้ำตาล</t>
        </is>
      </c>
      <c r="I18" s="44" t="inlineStr">
        <is>
          <t>2</t>
        </is>
      </c>
      <c r="J18" s="45" t="inlineStr">
        <is>
          <t>✅ คำตอบที่ถูกต้อง: ข้อ ข. ลดอาหารเค็ม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ลดอาหารเค็ม แม้ว่าทุกข้อจะเป็นคำแนะนำที่ดี แต่ 'ลดอาหารเค็ม' มุ่งเน้นไปที่โรคความดันโลหิตสูงและ CVD เป็นหลัก ส่วนการลดน้ำตาล, ลดน้ำหนัก, ออกกำลังกาย และงดสูบบุหรี่มีความสำคัญโดยตรงสูงสุดต่อการป้องกันเบาหวาน
🔍 ข้ออื่นผิดเพราะอะไร:
• ข้อ ก. (งดสูบบุหรี่): การสูบบุหรี่เป็นปัจจัยเสี่ยงสูงสุดต่อโรคหลอดเลือดหัวใจตีบ (ASCVD) การงดสูบบุหรี่จึงเป็นคำแนะนำที่มีความสำคัญและจำเป็นระดับต้นๆ
• ข้อ ค. (ลดน้ำหนัก): การลดน้ำหนักในผู้ป่วยที่มีภาวะอ้วน (BMI สูง) จะช่วยลดภาวะ Insulin resistance และความดันโลหิต จึงมีความจำเป็นสูงมาก
• ข้อ ง. (ออกกำลังกายเพิ่มเติม): การออกกำลังกายช่วยเพิ่มความไวของอินซูลินและส่งเสริมสุขภาพหัวใจและหลอดเลือด ถือเป็นข้อแนะนำหลักในการปรับเปลี่ยนพฤติกรรม
• ข้อ จ. (ลดการบริโภคน้ำตาล): การลดบริโภคน้ำตาลช่วยลดระดับน้ำตาลในเลือดโดยตรงและช่วยลดน้ำหนัก จึงมีความจำเป็นอย่างมากในการรักษาเบาหวาน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8" s="46" t="n"/>
      <c r="L18" s="45" t="inlineStr">
        <is>
          <t>Diabetes mellitus</t>
        </is>
      </c>
      <c r="M18" s="46" t="inlineStr">
        <is>
          <t>Clinic</t>
        </is>
      </c>
      <c r="N18" s="45" t="inlineStr">
        <is>
          <t>ข้อ 15 ชุด 1 (เฉลยข้อ ข)</t>
        </is>
      </c>
      <c r="O18" s="46" t="inlineStr">
        <is>
          <t>Mock</t>
        </is>
      </c>
      <c r="P18" s="46" t="inlineStr">
        <is>
          <t>ชุด 1</t>
        </is>
      </c>
    </row>
    <row r="19" ht="13.2" customHeight="1" s="37">
      <c r="A19" s="44" t="n">
        <v>17</v>
      </c>
      <c r="B19" s="45"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ผู้ป่วยได้เจาะเลือด FBS 140 mg% BP 130/80</t>
        </is>
      </c>
      <c r="C19" s="46" t="n"/>
      <c r="D19" s="45" t="inlineStr">
        <is>
          <t>ผู้ป่วยเป็น pre-diabetes ให้เปลี่ยนพฤติกรรมการกิน และคอยตรวจเป็นประจำทุก 1-3 ปี</t>
        </is>
      </c>
      <c r="E19" s="45" t="inlineStr">
        <is>
          <t>สงสัยว่าผู้ป่วยเป็นเบาหวาน แนะนำให้ออกกำลังกาย</t>
        </is>
      </c>
      <c r="F19" s="45" t="inlineStr">
        <is>
          <t>เป็น DM type 2 ต้องรีบให้ยาพร้อมปรับเปลี่ยนพฤติกรรมเพื่อรักษาผู้ป่วย</t>
        </is>
      </c>
      <c r="G19" s="45" t="inlineStr">
        <is>
          <t>ผู้ป่วยเป็น pre-diabetes แนะนำให้มาเจาะเลือดทุก 3 ปี</t>
        </is>
      </c>
      <c r="H19" s="45" t="inlineStr">
        <is>
          <t>ผู้ป่วยเป็น DM type 2 ให้รีบส่งต่อผู้ป่วย</t>
        </is>
      </c>
      <c r="I19" s="44" t="inlineStr">
        <is>
          <t>3</t>
        </is>
      </c>
      <c r="J19" s="45" t="inlineStr">
        <is>
          <t>✅ คำตอบที่ถูกต้อง: ข้อ ค. เป็น DM type 2 ต้องรีบให้ยาพร้อมปรับเปลี่ยนพฤติกรรมเพื่อรักษาผู้ป่วย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เป็น DM type 2 ต้องรีบให้ยาพร้อมปรับเปลี่ยนพฤติกรรมเพื่อรักษาผู้ป่วย
🔍 ข้ออื่นผิดเพราะอะไร:
• ข้อ ก. (ผู้ป่วยเป็น pre-diabetes ให้เปลี่ยนพฤติกรรมการกิน และคอยตรวจเป็นประจำทุก 1-3 ปี): ผู้ป่วยมีระดับ FBS 140 mg/dL ซึ่งเข้าเกณฑ์วินิจฉัยเป็นเบาหวาน (มากกว่า 126 mg/dL) จึงไม่ใช่ Pre-diabetes
• ข้อ ข. (สงสัยว่าผู้ป่วยเป็นเบาหวาน แนะนำให้ออกกำลังกาย): FBS &gt; 126 mg/dL ถือว่าวินิจฉัยเป็นเบาหวานแล้ว ไม่ใช่เพียงแค่สงสัย และต้องเริ่มการรักษาด้วยยาพร้อมปรับพฤติกรรมทันที
• ข้อ ง. (ผู้ป่วยเป็น pre-diabetes แนะนำให้มาเจาะเลือดทุก 3 ปี): ผู้ป่วยมีค่า FBS เกินเกณฑ์ Pre-diabetes ไปแล้ว และคำแนะนำการเจาะเลือดสำหรับ Pre-diabetes คือทุก 1 ปี ไม่ใช่ทุก 3 ปี
• ข้อ จ. (ผู้ป่วยเป็น DM type 2 ให้รีบส่งต่อผู้ป่วย): แม้เป็น DM type 2 แต่สามารถรักษาเบื้องต้นได้ที่ระดับปฐมภูมิด้วยยากิน ไม่มีความจำเป็นต้องส่งต่อผู้ป่วย (Refer) ในทันทีเว้นแต่มีภาวะแทรกซ้อนรุนแรง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9" s="46" t="n"/>
      <c r="L19" s="45" t="inlineStr">
        <is>
          <t>Diabetes mellitus</t>
        </is>
      </c>
      <c r="M19" s="46" t="inlineStr">
        <is>
          <t>Clinic</t>
        </is>
      </c>
      <c r="N19" s="45" t="inlineStr">
        <is>
          <t>ข้อ 16 ชุด 1 (เฉลยข้อ ค)</t>
        </is>
      </c>
      <c r="O19" s="46" t="inlineStr">
        <is>
          <t>Mock</t>
        </is>
      </c>
      <c r="P19" s="46" t="inlineStr">
        <is>
          <t>ชุด 1</t>
        </is>
      </c>
    </row>
    <row r="20" ht="13.2" customHeight="1" s="37">
      <c r="A20" s="44" t="n">
        <v>18</v>
      </c>
      <c r="B20" s="45" t="inlineStr">
        <is>
          <t>2 ปีต่อมา ผู้ป่วยมาพบแพทย์ มีค่า Lab ดังนี้
FBS 210 mg% จ่าย Metformin 1x2 60
ค่าผลปฏิบัติการใดที่บ่งบอกว่าผู้ป่วยเป็น hyperglycemia</t>
        </is>
      </c>
      <c r="C20" s="46" t="n"/>
      <c r="D20" s="45" t="inlineStr">
        <is>
          <t>FBS 210%</t>
        </is>
      </c>
      <c r="E20" s="45" t="inlineStr">
        <is>
          <t>Cholesterol</t>
        </is>
      </c>
      <c r="F20" s="45" t="inlineStr">
        <is>
          <t>LDL</t>
        </is>
      </c>
      <c r="G20" s="45" t="inlineStr">
        <is>
          <t>HDL 35%</t>
        </is>
      </c>
      <c r="H20" s="45" t="inlineStr">
        <is>
          <t>TGS</t>
        </is>
      </c>
      <c r="I20" s="44" t="inlineStr">
        <is>
          <t>1</t>
        </is>
      </c>
      <c r="J20" s="45" t="inlineStr">
        <is>
          <t>✅ คำตอบที่ถูกต้อง: ข้อ ก. FBS 210%
💡 Background:
การบริบาลผู้ป่วยเบาหวานชนิดที่ 2 (T2DM) เน้นควบคุม HbA1c ควบคู่กับการเลือกยาที่มี cardiorenal protection ในผู้ป่วยที่มีโรคร่วม
🎯 ทำไมข้อนี้ถึงถูก:
FBS 210% ระดับ Fasting Blood Sugar (FBS) ที่สูงถึง 210 mg/dL เกินเกณฑ์ปกติ (&gt;126 mg/dL) ชัดเจน แสดงถึงภาวะน้ำตาลในเลือดสูง (hyperglycemia)
🔍 ข้ออื่นผิดเพราะอะไร:
• ข้อ ข. (Cholesterol): Cholesterol เป็นตัวชี้วัดระดับไขมันในเลือด ไม่ได้สะท้อนถึงระดับน้ำตาลหรือภาวะ Hyperglycemia
• ข้อ ค. (LDL): LDL (Low-Density Lipoprotein) เป็นค่าไขมันตัวร้ายที่ใช้ประเมินความเสี่ยงโรคหัวใจและหลอดเลือด ไม่ใช่น้ำตาล
• ข้อ ง. (HDL 35%): HDL 35 mg/dL บ่งบอกถึงภาวะไขมันดีต่ำ ซึ่งมักพบร่วมในผู้ป่วยกลุ่ม Metabolic syndrome แต่ไม่ใช่ตัวชี้วัดระดับน้ำตาล
• ข้อ จ. (TGS): TGS (Triglycerides) บ่งบอกถึงระดับไขมันไตรกลีเซอไรด์ แม้จะสูงในคนเป็นเบาหวาน แต่ไม่ใช่ตัวชี้วัดภาวะ Hyperglycemia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 s="46" t="n"/>
      <c r="L20" s="45" t="inlineStr">
        <is>
          <t>Diabetes mellitus</t>
        </is>
      </c>
      <c r="M20" s="46" t="inlineStr">
        <is>
          <t>Clinic</t>
        </is>
      </c>
      <c r="N20" s="45" t="inlineStr">
        <is>
          <t>ข้อ 17 ชุด 1 (เฉลยข้อ ก)</t>
        </is>
      </c>
      <c r="O20" s="46" t="inlineStr">
        <is>
          <t>Mock</t>
        </is>
      </c>
      <c r="P20" s="46" t="inlineStr">
        <is>
          <t>ชุด 1</t>
        </is>
      </c>
    </row>
    <row r="21" ht="13.2" customHeight="1" s="37">
      <c r="A21" s="44" t="n">
        <v>19</v>
      </c>
      <c r="B21" s="45" t="inlineStr">
        <is>
          <t>2 ปีต่อมา ผู้ป่วยมาพบแพทย์ มีค่า Lab ดังนี้
FBS 210 mg% จ่าย Metformin 1x2 60
ยาที่แพทย์สั่งจ่ายอยู่ในกลุ่มใด</t>
        </is>
      </c>
      <c r="C21" s="46" t="n"/>
      <c r="D21" s="45" t="inlineStr">
        <is>
          <t>Biguanide</t>
        </is>
      </c>
      <c r="E21" s="45" t="inlineStr">
        <is>
          <t>Glitazone</t>
        </is>
      </c>
      <c r="F21" s="45" t="inlineStr">
        <is>
          <t>Sulfonylurea</t>
        </is>
      </c>
      <c r="G21" s="45" t="inlineStr">
        <is>
          <t>GLP-1 analogue</t>
        </is>
      </c>
      <c r="H21" s="45" t="inlineStr">
        <is>
          <t>Incretin analogue</t>
        </is>
      </c>
      <c r="I21" s="44" t="inlineStr">
        <is>
          <t>1</t>
        </is>
      </c>
      <c r="J21" s="45" t="inlineStr">
        <is>
          <t>✅ คำตอบที่ถูกต้อง: ข้อ ก. Biguanide
💡 Background:
การบริบาลผู้ป่วยเบาหวานชนิดที่ 2 (T2DM) เน้นควบคุม HbA1c ควบคู่กับการเลือกยาที่มี cardiorenal protection ในผู้ป่วยที่มีโรคร่วม
🎯 ทำไมข้อนี้ถึงถูก:
Biguanide Metformin เป็นยาในกลุ่ม Biguanide ซึ่งเป็นยา first-line (first-line drug) ในการรักษาโรคเบาหวานชนิดที่ 2 ช่วยลดการสร้างกลูโคสที่ตับและเพิ่มความไวต่ออินซูลิน
🔍 ข้ออื่นผิดเพราะอะไร:
• ข้อ ข. (Glitazone): Glitazone หรือ Thiazolidinediones เป็นยากลุ่มเพิ่มความไวอินซูลิน เช่น Pioglitazone ไม่ใช่ Metformin
• ข้อ ค. (Sulfonylurea): Sulfonylurea เป็นยากระตุ้นการหลั่งอินซูลิน เช่น Glipizide, Glibenclamide ซึ่งมีกลไกต่างจาก Metformin อย่างสิ้นเชิง
• ข้อ ง. (GLP-1 analogue): GLP-1 analogue เป็นยาชนิดฉีด (หรือกินบางตัว) ที่เลียนแบบการทำงานของฮอร์โมนอินครีติน เช่น Liraglutide
• ข้อ จ. (Incretin analogue): Incretin analogue หมายถึงยาในกลุ่ม GLP-1 receptor agonists ซึ่งมีกลไกการออกฤทธิ์คนละกลุ่มกับ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 s="46" t="n"/>
      <c r="L21" s="45" t="inlineStr">
        <is>
          <t>Diabetes mellitus</t>
        </is>
      </c>
      <c r="M21" s="46" t="inlineStr">
        <is>
          <t>Clinic</t>
        </is>
      </c>
      <c r="N21" s="45" t="inlineStr">
        <is>
          <t>ข้อ 18 ชุด 1 (เฉลยข้อ ก)</t>
        </is>
      </c>
      <c r="O21" s="46" t="inlineStr">
        <is>
          <t>Mock</t>
        </is>
      </c>
      <c r="P21" s="46" t="inlineStr">
        <is>
          <t>ชุด 1</t>
        </is>
      </c>
    </row>
    <row r="22" ht="13.2" customHeight="1" s="37">
      <c r="A22" s="44" t="n">
        <v>20</v>
      </c>
      <c r="B22" s="45" t="inlineStr">
        <is>
          <t>อาการไม่พึงประสงค์ที่เกิดขึ้นบ่อยจากยาตัวนี้</t>
        </is>
      </c>
      <c r="C22" s="46" t="n"/>
      <c r="D22" s="45" t="inlineStr">
        <is>
          <t>Anorexia</t>
        </is>
      </c>
      <c r="E22" s="45" t="inlineStr">
        <is>
          <t>Flatulence</t>
        </is>
      </c>
      <c r="F22" s="45" t="inlineStr">
        <is>
          <t>Constipation</t>
        </is>
      </c>
      <c r="G22" s="45" t="inlineStr">
        <is>
          <t>Lactic acidosis</t>
        </is>
      </c>
      <c r="H22" s="45" t="inlineStr">
        <is>
          <t>Hypoglycemia</t>
        </is>
      </c>
      <c r="I22" s="44" t="inlineStr">
        <is>
          <t>1</t>
        </is>
      </c>
      <c r="J22" s="45" t="inlineStr">
        <is>
          <t>✅ คำตอบที่ถูกต้อง: ข้อ ก. Anorexia
💡 Background:
การบริบาลผู้ป่วยเบาหวานชนิดที่ 2 (T2DM) เน้นควบคุม HbA1c ควบคู่กับการเลือกยาที่มี cardiorenal protection ในผู้ป่วยที่มีโรคร่วม
🎯 ทำไมข้อนี้ถึงถูก:
Anorexia ยา Acarbose เป็นยาในกลุ่ม Alpha-glucosidase inhibitor ซึ่งออกฤทธิ์ยับยั้งเอนไซม์ที่ลำไส้เล็ก ทำให้คาร์โบไฮเดรตดูดซึมช้าลง ADR ที่พบบ่อยมากที่สุดคืออาการทางระบบทางเดินอาหาร เช่น ท้องอืด (Flatulence) ท้องเสีย และมีลมในท้อง เนื่องจากน้ำตาลที่ย่อยไม่หมดจะถูกแบคทีเรียในลำไส้ใหญ่หมัก
🔍 ข้ออื่นผิดเพราะอะไร:
• ข้อ ข. (Flatulence): Flatulence (ท้องอืด มีแก๊ส) เป็นผลข้างเคียงเด่นของยากลุ่ม Alpha-glucosidase inhibitors เช่น Acarbose
• ข้อ ค. (Constipation): Constipation อาการท้องผูกไม่ใช่ผลข้างเคียงหลักของ Metformin ตรงข้าม Metformin มักทำให้เกิดอาการท้องเสีย (Diarrhea)
• ข้อ ง. (Lactic acidosis): Lactic acidosis เป็นภาวะแทรกซ้อนที่รุนแรงของ Metformin แต่พบได้น้อยมาก (Rare) ไม่ใช่อาการไม่พึงประสงค์ที่เกิดขึ้นบ่อย
• ข้อ จ. (Hypoglycemia): Metformin ไม่มีฤทธิ์กระตุ้นการหลั่งอินซูลิน จึงไม่ทำให้เกิดภาวะ Hypoglycemia เมื่อใช้เดี่ยวๆ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2" s="46" t="n"/>
      <c r="L22" s="45" t="inlineStr">
        <is>
          <t>Diabetes mellitus</t>
        </is>
      </c>
      <c r="M22" s="46" t="inlineStr">
        <is>
          <t>Clinic</t>
        </is>
      </c>
      <c r="N22" s="45" t="inlineStr">
        <is>
          <t>ข้อ 19 ชุด 1 (เฉลยข้อ ก)</t>
        </is>
      </c>
      <c r="O22" s="46" t="inlineStr">
        <is>
          <t>Mock</t>
        </is>
      </c>
      <c r="P22" s="46" t="inlineStr">
        <is>
          <t>ชุด 1</t>
        </is>
      </c>
    </row>
    <row r="23" ht="13.2" customHeight="1" s="37">
      <c r="A23" s="44" t="n">
        <v>21</v>
      </c>
      <c r="B23" s="45"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อาการไม่พึงประสงค์จากยาเบาหวานที่ผู้ป่วยได้รับคืออาการใด</t>
        </is>
      </c>
      <c r="C23" s="46" t="n"/>
      <c r="D23" s="45" t="inlineStr">
        <is>
          <t>Flatulence</t>
        </is>
      </c>
      <c r="E23" s="45" t="inlineStr">
        <is>
          <t>Hypoglycemia</t>
        </is>
      </c>
      <c r="F23" s="45" t="inlineStr">
        <is>
          <t>Dizziness</t>
        </is>
      </c>
      <c r="G23" s="45" t="inlineStr">
        <is>
          <t>Headache</t>
        </is>
      </c>
      <c r="H23" s="45" t="inlineStr">
        <is>
          <t>Photosensitivity</t>
        </is>
      </c>
      <c r="I23" s="44" t="inlineStr">
        <is>
          <t>1</t>
        </is>
      </c>
      <c r="J23" s="45" t="inlineStr">
        <is>
          <t>✅ คำตอบที่ถูกต้อง: ข้อ ก. Flatulence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Flatulence จากสถานการณ์ ผู้ป่วยได้รับยา Acarbose ซึ่งมีอาการข้างเคียงที่พบบ่อยและเด่นชัดคือ อาการท้องอืด ท้องเฟ้อ มีลมในทางเดินอาหาร (Flatulence) จากกระบวนการหมักของแบคทีเรียในลำไส้ใหญ่
🔍 ข้ออื่นผิดเพราะอะไร:
• ข้อ ข. (Hypoglycemia): Acarbose ไม่กระตุ้นการหลั่งอินซูลิน จึงแทบไม่ทำให้เกิดภาวะ Hypoglycemia ได้เองเมื่อใช้เป็นยาเดี่ยว
• ข้อ ค. (Dizziness): Dizziness มักเกิดจากยาลดความดันโลหิต (เช่น Atenolol) หรือจากการที่ระดับน้ำตาลต่ำลงรวดเร็ว ไม่ใช่ผลข้างเคียงตรงของ Acarbose
• ข้อ ง. (Headache): Headache เป็นผลข้างเคียงที่พบได้จากยาหลายชนิด แต่ไม่ใช่อาการไม่พึงประสงค์ที่เด่นชัดหรือพบบ่อยที่สุดจาก Acarbose
• ข้อ จ. (Photosensitivity): Photosensitivity อาการแพ้แสงมักพบในยาต้านจุลชีพบางกลุ่ม หรือยาขับปัสสาวะ Thiazide แต่ไม่พบใน Acarbose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 s="46" t="n"/>
      <c r="L23" s="45" t="inlineStr">
        <is>
          <t>Diabetes mellitus</t>
        </is>
      </c>
      <c r="M23" s="46" t="inlineStr">
        <is>
          <t>Clinic</t>
        </is>
      </c>
      <c r="N23" s="45" t="inlineStr">
        <is>
          <t>ข้อ 20 ชุด 1 (เฉลยข้อ ก)</t>
        </is>
      </c>
      <c r="O23" s="46" t="inlineStr">
        <is>
          <t>Mock</t>
        </is>
      </c>
      <c r="P23" s="46" t="inlineStr">
        <is>
          <t>ชุด 1</t>
        </is>
      </c>
    </row>
    <row r="24" ht="13.2" customHeight="1" s="37">
      <c r="A24" s="44" t="n">
        <v>22</v>
      </c>
      <c r="B24" s="45"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ผู้ป่วยควรได้รับยาเบาหวานชนิดใดเพิ่ม</t>
        </is>
      </c>
      <c r="C24" s="46" t="n"/>
      <c r="D24" s="45" t="inlineStr">
        <is>
          <t>Glipizide</t>
        </is>
      </c>
      <c r="E24" s="45" t="inlineStr">
        <is>
          <t>Glibenclamide</t>
        </is>
      </c>
      <c r="F24" s="45" t="inlineStr">
        <is>
          <t>Metformin</t>
        </is>
      </c>
      <c r="G24" s="45" t="inlineStr">
        <is>
          <t>Insulin lispro</t>
        </is>
      </c>
      <c r="H24" s="45" t="inlineStr">
        <is>
          <t>Insulin glargine</t>
        </is>
      </c>
      <c r="I24" s="44" t="inlineStr">
        <is>
          <t>3</t>
        </is>
      </c>
      <c r="J24" s="45" t="inlineStr">
        <is>
          <t>✅ คำตอบที่ถูกต้อง: ข้อ ค. Metformin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Glipizide เป็นยา Sulfonylurea ผู้ป่วยมีประวัติแพ้ยา Sulfonamide จึงควรระมัดระวังการใช้เนื่องจากอาจเกิด Cross-reactivity ได้
• ข้อ ข. (Glibenclamide): Glibenclamide เป็นยา Sulfonylurea ซึ่งมีโครงสร้างซัลฟา จึงอาจเสี่ยงแพ้ยาข้ามกลุ่ม และยังขับออกทางไต เสี่ยงน้ำตาลตกในผู้สูงอายุ
• ข้อ ง. (Insulin lispro): Insulin lispro ยาฉีดออกฤทธิ์เร็ว มักใช้คุมน้ำตาลหลังอาหาร ผู้ป่วยยังไม่เข้าเกณฑ์จำเป็นต้องเริ่มอินซูลินชนิดนี้เป็นตัวแรก
• ข้อ จ. (Insulin glargine): Insulin glargine ผู้ป่วยเพิ่งใช้ยากินเพียงตัวเดียวและระดับ HbA1c 9% สามารถเพิ่มยากิน (Dual therapy) ได้ก่อนเริ่มอินซูลิน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 s="46" t="n"/>
      <c r="L24" s="45" t="inlineStr">
        <is>
          <t>Diabetes mellitus</t>
        </is>
      </c>
      <c r="M24" s="46" t="inlineStr">
        <is>
          <t>Clinic</t>
        </is>
      </c>
      <c r="N24" s="45" t="inlineStr">
        <is>
          <t>ข้อ 21 ชุด 1 (เฉลยข้อ ค)</t>
        </is>
      </c>
      <c r="O24" s="46" t="inlineStr">
        <is>
          <t>Mock</t>
        </is>
      </c>
      <c r="P24" s="46" t="inlineStr">
        <is>
          <t>ชุด 1</t>
        </is>
      </c>
    </row>
    <row r="25" ht="13.2" customHeight="1" s="37">
      <c r="A25" s="44" t="n">
        <v>23</v>
      </c>
      <c r="B25" s="45" t="inlineStr">
        <is>
          <t>ผู้ป่วยโรคใดมีข้อห้ามใช้ยา metformin</t>
        </is>
      </c>
      <c r="C25" s="46" t="n"/>
      <c r="D25" s="45" t="inlineStr">
        <is>
          <t>Lactic acidosis</t>
        </is>
      </c>
      <c r="E25" s="45" t="inlineStr">
        <is>
          <t>Obesity</t>
        </is>
      </c>
      <c r="F25" s="45" t="inlineStr">
        <is>
          <t>Hypertension</t>
        </is>
      </c>
      <c r="G25" s="45" t="inlineStr">
        <is>
          <t>Hyperlipidemia</t>
        </is>
      </c>
      <c r="H25" s="45" t="inlineStr">
        <is>
          <t>Gastric ulcer</t>
        </is>
      </c>
      <c r="I25" s="44" t="inlineStr">
        <is>
          <t>1</t>
        </is>
      </c>
      <c r="J25" s="45" t="inlineStr">
        <is>
          <t>✅ คำตอบที่ถูกต้อง: ข้อ ก. Lactic acidosis
💡 Background:
การบริบาลผู้ป่วยเบาหวานชนิดที่ 2 (T2DM) เน้นควบคุม HbA1c ควบคู่กับการเลือกยาที่มี cardiorenal protection ในผู้ป่วยที่มีโรคร่วม
🎯 ทำไมข้อนี้ถึงถูก:
Lactic acidosis เป็นภาวะแทรกซ้อนที่รุนแรงที่สุด (แม้จะพบน้อย) ของ Metformin โดยภาวะที่มีความเสี่ยงต่อการเกิด lactic acidosis เช่น ภาวะขาดออกซิเจน ไตวาย หรือภาวะกรดเกินในเลือด จึงถือเป็น contraindication เด็ดขาดของยา Metformin
🔍 ข้ออื่นผิดเพราะอะไร:
• ข้อ ข. (Obesity): Obesity เป็นข้อบ่งชี้หลักของ Metformin เนื่องจากยาไม่ทำให้น้ำหนักเพิ่ม และอาจช่วยลดน้ำหนักได้เล็กน้อย
• ข้อ ค. (Hypertension): Hypertension ไม่ใช่ข้อห้ามใช้ของ Metformin สามารถใช้ยาได้อย่างปลอดภัยในผู้ป่วยเบาหวานที่มีความดันโลหิตสูง
• ข้อ ง. (Hyperlipidemia): Hyperlipidemia ผู้ป่วยเบาหวานที่มีไขมันในเลือดสูงสามารถใช้ Metformin ได้อย่างปลอดภัย และยาอาจมีผลดีต่อ Lipid profile
• ข้อ จ. (Gastric ulcer): Gastric ulcer ไม่ใช่ข้อห้ามใช้เด็ดขาดของ Metformin แม้ยาจะระคายเคืองกระเพาะอาหารได้บ้าง แต่ไม่ทำให้แผลแย่ลง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5" s="46" t="n"/>
      <c r="L25" s="45" t="inlineStr">
        <is>
          <t>Diabetes mellitus</t>
        </is>
      </c>
      <c r="M25" s="46" t="inlineStr">
        <is>
          <t>Clinic</t>
        </is>
      </c>
      <c r="N25" s="45" t="inlineStr">
        <is>
          <t>ข้อ 22 ชุด 1 (เฉลยข้อ ก)</t>
        </is>
      </c>
      <c r="O25" s="46" t="inlineStr">
        <is>
          <t>Mock</t>
        </is>
      </c>
      <c r="P25" s="46" t="inlineStr">
        <is>
          <t>ชุด 1</t>
        </is>
      </c>
    </row>
    <row r="26" ht="13.2" customHeight="1" s="37">
      <c r="A26" s="44" t="n">
        <v>24</v>
      </c>
      <c r="B26" s="45"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ยารักษาโรคความดันโลหิตสูงในข้อใดเหมาะสมสำหรับผู้ป่วยรายนี้</t>
        </is>
      </c>
      <c r="C26" s="46" t="n"/>
      <c r="D26" s="45" t="inlineStr">
        <is>
          <t>ACEIs</t>
        </is>
      </c>
      <c r="E26" s="45" t="inlineStr">
        <is>
          <t>Alpha-blockers</t>
        </is>
      </c>
      <c r="F26" s="45" t="inlineStr">
        <is>
          <t>B-blockers</t>
        </is>
      </c>
      <c r="G26" s="45" t="inlineStr">
        <is>
          <t>Loop diuretics</t>
        </is>
      </c>
      <c r="H26" s="45" t="inlineStr">
        <is>
          <t>Thiazides</t>
        </is>
      </c>
      <c r="I26" s="44" t="inlineStr">
        <is>
          <t>1</t>
        </is>
      </c>
      <c r="J26" s="45"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ผู้ป่วยรายนี้มีโรคประจำตัวคือ หอบหืด (Asthma) และเบาหวาน การใช้ Beta-blockers (เช่น Atenolol ในประวัติ) ไม่เหมาะสมเนื่องจากอาจไปกระตุ้นอาการหอบหืดกำדול (bronchospasm) และบังคับอาการเตือนของภาวะน้ำตาลต่ำ (Hypoglycemia) ดังนั้นกลุ่มยาทางเลือกที่เหมาะสมในการปกป้องไตและลดความดันโลหิตในผู้ป่วยเบาหวานและโรคเรื้อรังที่ไม่มีข้อห้ามคือ ACEIs (Angiotensin-Converting Enzyme Inhibitors)
🔍 ข้ออื่นผิดเพราะอะไร:
• ข้อ ข. (Alpha-blockers): Alpha-blockers ไม่ใช่ First-line therapy ในการรักษาความดันโลหิตสูง มักมีผลข้างเคียง Postural hypotension ซึ่งอันตรายในผู้สูงอายุ
• ข้อ ค. (B-blockers): Beta-blockers ผู้ป่วยมีประวัติเป็นโรคหอบหืด การใช้ยา Beta-blockers อาจกระตุ้นให้หลอดลมตีบและอาการหอบหืดกำเริบได้
• ข้อ ง. (Loop diuretics): Loop diuretics ใช้สำหรับผู้ป่วยที่มีภาวะน้ำเกิน (Edema) หรือ Heart failure ไม่ใช่ยาลดความดันโลหิตทางเลือกแรกในผู้ป่วยที่ไม่มีภาวะน้ำเกิน
• ข้อ จ. (Thiazides): Thiazides ผู้ป่วยมีประวัติแพ้ Sulfonamide ซึ่ง Thiazides มีโครงสร้างของยาซัลฟา อาจเกิดปฏิกิริยาแพ้ยาข้ามกลุ่มได้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6" s="46" t="n"/>
      <c r="L26" s="45" t="inlineStr">
        <is>
          <t>Diabetes mellitus</t>
        </is>
      </c>
      <c r="M26" s="46" t="inlineStr">
        <is>
          <t>Clinic</t>
        </is>
      </c>
      <c r="N26" s="45" t="inlineStr">
        <is>
          <t>ข้อ 23 ชุด 1 (เฉลยข้อ ก)</t>
        </is>
      </c>
      <c r="O26" s="46" t="inlineStr">
        <is>
          <t>Mock</t>
        </is>
      </c>
      <c r="P26" s="46" t="inlineStr">
        <is>
          <t>ชุด 1</t>
        </is>
      </c>
    </row>
    <row r="27" ht="13.2" customHeight="1" s="37">
      <c r="A27" s="44" t="n">
        <v>25</v>
      </c>
      <c r="B27" s="45" t="inlineStr">
        <is>
          <t>กลไกการออกฤทธิ์ของยา chlorpropamide ในผู้ป่วยโรคเบาหวานได้แก่</t>
        </is>
      </c>
      <c r="C27" s="46" t="n"/>
      <c r="D27" s="45" t="inlineStr">
        <is>
          <t>เพิ่ม insulin resistance ในผู้ป่วย</t>
        </is>
      </c>
      <c r="E27" s="45" t="inlineStr">
        <is>
          <t>ลด insulin resistance ในผู้ป่วย</t>
        </is>
      </c>
      <c r="F27" s="45" t="inlineStr">
        <is>
          <t>กระตุ้นการหลั่งของ insulin ในผู้ป่วย</t>
        </is>
      </c>
      <c r="G27" s="45" t="inlineStr">
        <is>
          <t>ข้อ ก และ ค ถูก</t>
        </is>
      </c>
      <c r="H27" s="45" t="inlineStr">
        <is>
          <t>ข้อ ข และ ค ถูก</t>
        </is>
      </c>
      <c r="I27" s="44" t="inlineStr">
        <is>
          <t>3</t>
        </is>
      </c>
      <c r="J27" s="45"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sulfonylureas รุ่นที่ 1 (1st generation) มีกลไกการออกฤทธิ์หลักคือกระตุ้นการหลั่งอินซูลินจากเบต้าเซลล์ของตับอ่อน (โดยปิดกั้น ATP-sensitive K+ channels ทำให้เกิด depolarization และกระตุ้น Ca2+ influx) และยังมีฤทธิ์ในระยะยาวในการเพิ่มความไวของเนื้อเยื่อส่วนปลายต่ออินซูลิน (ลด insulin resistance) ดังนั้นคำตอบที่ถูกต้องคือ ข้อ ข และ ค ถูก (ตัวเลือก 5)
🔍 ข้ออื่นผิดเพราะอะไร:
• ข้อ ก. (เพิ่ม insulin resistance ในผู้ป่วย): Chlorpropamide ไม่มีผลเพิ่มความดื้อต่ออินซูลิน (Insulin resistance) กลไกหลักอยู่ที่ตับอ่อน
• ข้อ ข. (ลด insulin resistance ในผู้ป่วย): ยาลด Insulin resistance คือยากลุ่ม Thiazolidinediones และ Metformin ไม่ใช่กลไกของ Chlorpropamide
• ข้อ ง. (ข้อ ก และ ค ถูก): เนื่องจากข้อ ก ผิด จึงทำให้ข้อ ง ผิดไปด้วย
• ข้อ จ. (ข้อ ข และ ค ถูก): เนื่องจากข้อ ข ผิด จึงทำให้ข้อ จ ผิดไปด้วย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7" s="46" t="n"/>
      <c r="L27" s="45" t="inlineStr">
        <is>
          <t>Diabetes mellitus</t>
        </is>
      </c>
      <c r="M27" s="46" t="inlineStr">
        <is>
          <t>Clinic</t>
        </is>
      </c>
      <c r="N27" s="45" t="inlineStr">
        <is>
          <t>ข้อ 29 ชุด 1 (เฉลยข้อ ค)</t>
        </is>
      </c>
      <c r="O27" s="46" t="inlineStr">
        <is>
          <t>Mock</t>
        </is>
      </c>
      <c r="P27" s="46" t="inlineStr">
        <is>
          <t>ชุด 1</t>
        </is>
      </c>
    </row>
    <row r="28" ht="13.2" customHeight="1" s="37">
      <c r="A28" s="44" t="n">
        <v>26</v>
      </c>
      <c r="B28" s="45"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เภสัชกรควรให้คำแนะนำแก่นางฉัตราเพื่อรักษาอาการคลื่นไส้อาเจียนอย่างไร</t>
        </is>
      </c>
      <c r="C28" s="46" t="n"/>
      <c r="D28" s="45" t="inlineStr">
        <is>
          <t>ให้ผู้ป่วยหยุดยาทันทีเนื่องจากมีอาการแพ้ยา</t>
        </is>
      </c>
      <c r="E28" s="45" t="inlineStr">
        <is>
          <t>ให้เปลี่ยนขนาดยาเป็น 50 mg qd</t>
        </is>
      </c>
      <c r="F28" s="45" t="inlineStr">
        <is>
          <t>ให้ผู้ป่วยรับประทานยาหลังอาหาร</t>
        </is>
      </c>
      <c r="G28" s="45" t="inlineStr">
        <is>
          <t>ให้ผู้ป่วยรับประทานยาลดอาการคลื่นไส้อาเจียนร่วมด้วย</t>
        </is>
      </c>
      <c r="H28" s="45" t="inlineStr">
        <is>
          <t>ข้อ ข และ ค ถูกต้อง</t>
        </is>
      </c>
      <c r="I28" s="44" t="inlineStr">
        <is>
          <t>4</t>
        </is>
      </c>
      <c r="J28" s="45" t="inlineStr">
        <is>
          <t>✅ คำตอบที่ถูกต้อง: ข้อ ง. ให้ผู้ป่วยรับประทานยาลดอาการคลื่นไส้อาเจียนร่วมด้วย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ให้ผู้ป่วยรับประทานยาลดอาการคลื่นไส้อาเจียนร่วมด้วย อาการคลื่นไส้อาเจียนและระคายเคืองกระเพาะอาหารจาก chlorpropamide สามารถบรรเทาได้โดยการรับประทานยาพร้อมหรือหลังอาหารทันที แทนการรับประทานก่อนอาหาร นอกจากนี้ระดับน้ำตาลตอนเช้าของผู้ป่วยค่อนข้างดี (100 mg/dL) ซึ่งการพิจารณาลดขนาดยาลงก็เป็นทางเลือกที่สามารถทำได้เพื่อลดผลข้างเคียงของยา ดังนั้นข้อ ข และ ค จึงถูกต้อง (ตัวเลือก 5)
🔍 ข้ออื่นผิดเพราะอะไร:
• ข้อ ก. (ให้ผู้ป่วยหยุดยาทันทีเนื่องจากมีอาการแพ้ยา): อาการคลื่นไส้อาเจียนจากการดื่มแอลกอฮอล์ร่วมกับ Chlorpropamide คือ Disulfiram-like reaction ไม่ใช่อาการแพ้ยา (Allergic reaction)
• ข้อ ข. (ให้เปลี่ยนขนาดยาเป็น 50 mg qd): การลดขนาดยาไม่สามารถแก้ปัญหา Disulfiram-like reaction ได้ ผู้ป่วยยังคงเกิดอาการเมื่อดื่มแอลกอฮอล์ร่วมกับการรับประทานยา
• ข้อ ค. (ให้ผู้ป่วยรับประทานยาหลังอาหาร): การรับประทานยาหลังอาหารอาจช่วยลดการระคายเคืองทางเดินอาหารทั่วไป แต่ไม่ป้องกัน Disulfiram-like reaction ที่เกิดจากกลไกทางเมแทบอลิซึม
• ข้อ จ. (ข้อ ข และ ค ถูกต้อง): เนื่องจากข้อ ข และ ค ผิด จึงทำให้ตัวเลือกนี้ผิด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8" s="46" t="n"/>
      <c r="L28" s="45" t="inlineStr">
        <is>
          <t>Diabetes mellitus</t>
        </is>
      </c>
      <c r="M28" s="46" t="inlineStr">
        <is>
          <t>Clinic</t>
        </is>
      </c>
      <c r="N28" s="45" t="inlineStr">
        <is>
          <t>ข้อ 30 ชุด 1 (เฉลยข้อ ง)</t>
        </is>
      </c>
      <c r="O28" s="46" t="inlineStr">
        <is>
          <t>Mock</t>
        </is>
      </c>
      <c r="P28" s="46" t="inlineStr">
        <is>
          <t>ชุด 1</t>
        </is>
      </c>
    </row>
    <row r="29" ht="13.2" customHeight="1" s="37">
      <c r="A29" s="44" t="n">
        <v>27</v>
      </c>
      <c r="B29" s="45"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อาการใดที่อาจเกิดขึ้นจากการที่ผู้ป่วยได้รับยานี้</t>
        </is>
      </c>
      <c r="C29" s="46" t="n"/>
      <c r="D29" s="45" t="inlineStr">
        <is>
          <t>อาการคลื่นไส้ อาเจียน</t>
        </is>
      </c>
      <c r="E29" s="45" t="inlineStr">
        <is>
          <t>ระดับน้ำตาลในเลือดต่ำ</t>
        </is>
      </c>
      <c r="F29" s="45" t="inlineStr">
        <is>
          <t>ผื่นคันตามผิวหนัง</t>
        </is>
      </c>
      <c r="G29" s="45" t="inlineStr">
        <is>
          <t>ข้อ ข และ ค ถูก</t>
        </is>
      </c>
      <c r="H29" s="45" t="inlineStr">
        <is>
          <t>ข้อ ก ข และ ค ถูก</t>
        </is>
      </c>
      <c r="I29" s="44" t="inlineStr">
        <is>
          <t>5</t>
        </is>
      </c>
      <c r="J29" s="45" t="inlineStr">
        <is>
          <t>✅ คำตอบที่ถูกต้อง: ข้อ จ. ข้อ ก ข และ ค ถูก
💡 Background:
การบริบาลผู้ป่วยเบาหวานชนิดที่ 2 (T2DM) เน้นควบคุม HbA1c ควบคู่กับการเลือกยาที่มี cardiorenal protection ในผู้ป่วยที่มีโรคร่วม
🎯 ทำไมข้อนี้ถึงถูก:
ข้อ ก ข และ ค ถูก ผลข้างเคียงที่สามารถเกิดขึ้นได้จากการใช้ยา Chlorpropamide (ซึ่งเป็น Sulfonylurea ที่มีค่าครึ่งชีวิตยาวนานมาก) ได้แก่ 1) อาการทางระบบทางเดินอาหาร เช่น คลื่นไส้ อาเจียน 2) ภาวะน้ำตาลในเลือดต่ำ (Hypoglycemia) ซึ่งพบได้บ่อยและยาวนาน 3) อาการแพ้ยาทางผิวหนัง เช่น ผื่นคัน (hypersensitivity rashes) ดังนั้นทุกข้อล้วนเป็นผลข้างเคียงของยานี้ (ตัวเลือก 5)
🔍 ข้ออื่นผิดเพราะอะไร:
• ข้อ ก. (อาการคลื่นไส้ อาเจียน): อาการคลื่นไส้อาเจียนคือส่วนหนึ่งของ Disulfiram-like reaction ที่เกิดขึ้นเมื่อยาไปยับยั้งเอนไซม์ Aldehyde dehydrogenase แต่ไม่ใช่เพียงอาการเดียวที่อาจเกิดขึ้น
• ข้อ ข. (ระดับน้ำตาลในเลือดต่ำ): แอลกอฮอล์สามารถกดการสร้างกลูโคสที่ตับ (Gluconeogenesis) นำไปสู่ภาวะน้ำตาลในเลือดต่ำได้ แต่ยังไม่ครอบคลุมอาการทั้งหมด
• ข้อ ค. (ผื่นคันตามผิวหนัง): ผื่นคันตามผิวหนังไม่ใช่ลักษณะเด่นที่สัมพันธ์กับ Disulfiram-like reaction แต่อาจเกิดจากอาการหน้าแดง (Flushing)
• ข้อ ง. (ข้อ ข และ ค ถูก): เนื่องจากอาการตามข้อ ก ก็เกิดขึ้นได้ ตัวเลือกที่ถูกที่สุดจึงต้องครอบคลุมข้อ ก 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9" s="46" t="n"/>
      <c r="L29" s="45" t="inlineStr">
        <is>
          <t>Diabetes mellitus</t>
        </is>
      </c>
      <c r="M29" s="46" t="inlineStr">
        <is>
          <t>Clinic</t>
        </is>
      </c>
      <c r="N29" s="45" t="inlineStr">
        <is>
          <t>ข้อ 31 ชุด 1 (เฉลยข้อ จ)</t>
        </is>
      </c>
      <c r="O29" s="46" t="inlineStr">
        <is>
          <t>Mock</t>
        </is>
      </c>
      <c r="P29" s="46" t="inlineStr">
        <is>
          <t>ชุด 1</t>
        </is>
      </c>
    </row>
    <row r="30" ht="13.2" customHeight="1" s="37">
      <c r="A30" s="44" t="n">
        <v>28</v>
      </c>
      <c r="B30" s="45"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ผู้ป่วยเรื่องการดื่มเครื่องดื่มที่มีแอลกอฮอล์ร่วมกับการรับประทานยานี้อย่างไร</t>
        </is>
      </c>
      <c r="C30" s="46" t="n"/>
      <c r="D30" s="45" t="inlineStr">
        <is>
          <t>แนะนำให้ผู้ป่วยดื่มได้ตามปกติ</t>
        </is>
      </c>
      <c r="E30" s="45" t="inlineStr">
        <is>
          <t>แนะนำให้ผู้ป่วยดื่มได้บ้างแต่จำนวนน้อยลง</t>
        </is>
      </c>
      <c r="F30" s="45" t="inlineStr">
        <is>
          <t>แนะนำให้ผู้ป่วยหยุดดื่มจนกว่าอาการคลื่นไส้อาเจียนจะหายไป</t>
        </is>
      </c>
      <c r="G30" s="45" t="inlineStr">
        <is>
          <t>หากผู้ป่วยต้องการดื่มแอลกอฮอล์ให้ดื่มอย่างน้อย 2 ชั่วโมงก่อนหรือหลังรับประทานยา</t>
        </is>
      </c>
      <c r="H30" s="45" t="inlineStr">
        <is>
          <t>ให้ผู้ป่วยหยุดดื่มหากรับประทานยาตัวนี้อยู่</t>
        </is>
      </c>
      <c r="I30" s="44" t="inlineStr">
        <is>
          <t>5</t>
        </is>
      </c>
      <c r="J30" s="45" t="inlineStr">
        <is>
          <t>✅ คำตอบที่ถูกต้อง: ข้อ จ. ให้ผู้ป่วยหยุดดื่มหากรับประทานยาตัวนี้อยู่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ให้ผู้ป่วยหยุดดื่มหากรับประทานยาตัวนี้อยู่ Chlorpropamide สามารถเหนี่ยวนำให้เกิดปฏิกิริยา Disulfiram-like reaction เมื่อดื่มแอลกอฮอล์ร่วมด้วย เนื่องจากยาไปยับยั้งเอนไซม์ aldehyde dehydrogenase ทำให้มีสาร acetaldehyde สะสมในร่างกาย ส่งผลให้เกิดอาการหน้าแดง คลื่นไส้ อาเจียนรุนแรง ปวดศีรษะ และหัวใจเต้นเร็ว ดังนั้นผู้ป่วยที่ได้รับยานี้จึงควรหลีกเลี่ยงหรือหยุดดื่มเครื่องดื่มที่มีแอลกอฮอล์อย่างเด็ดขาด (ตัวเลือก 5)
🔍 ข้ออื่นผิดเพราะอะไร:
• ข้อ ก. (แนะนำให้ผู้ป่วยดื่มได้ตามปกติ): การดื่มแอลกอฮอล์ขณะใช้ Chlorpropamide จะทำให้เกิดปฏิกิริยา Disulfiram-like reaction (หน้าแดง คลื่นไส้ อาเจียน ใจสั่น)
• ข้อ ข. (แนะนำให้ผู้ป่วยดื่มได้บ้างแต่จำนวนน้อยลง): แม้ดื่มในปริมาณน้อยก็สามารถกระตุ้นปฏิกิริยา Disulfiram-like reaction ได้ จึงไม่ควรแนะนำให้ดื่มต่อ
• ข้อ ค. (แนะนำให้ผู้ป่วยหยุดดื่มจนกว่าอาการคลื่นไส้อาเจียนจะหายไป): อาการคลื่นไส้อาเจียนเกิดจากปฏิกิริยาระหว่างยากับแอลกอฮอล์ การหยุดชั่วคราวแล้วกลับมาดื่มใหม่ก็จะทำให้เกิดอาการซ้ำ
• ข้อ ง. (หากผู้ป่วยต้องการดื่มแอลกอฮอล์ให้ดื่มอย่างน้อย 2 ชั่วโมงก่อนหรือหลังรับประทานยา): Chlorpropamide มีค่าครึ่งชีวิตยาวนาน (ประมาณ 36 ชั่วโมง) การเว้นระยะเวลาเพียง 2 ชั่วโมงไม่สามารถป้องกันปฏิกิริยากับแอลกอฮอล์ได้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0" s="46" t="n"/>
      <c r="L30" s="45" t="inlineStr">
        <is>
          <t>Diabetes mellitus</t>
        </is>
      </c>
      <c r="M30" s="46" t="inlineStr">
        <is>
          <t>Clinic</t>
        </is>
      </c>
      <c r="N30" s="45" t="inlineStr">
        <is>
          <t>ข้อ 32 ชุด 1 (เฉลยข้อ จ)</t>
        </is>
      </c>
      <c r="O30" s="46" t="inlineStr">
        <is>
          <t>Mock</t>
        </is>
      </c>
      <c r="P30" s="46" t="inlineStr">
        <is>
          <t>ชุด 1</t>
        </is>
      </c>
    </row>
    <row r="31" ht="13.2" customHeight="1" s="37">
      <c r="A31" s="44" t="n">
        <v>29</v>
      </c>
      <c r="B31" s="45" t="inlineStr">
        <is>
          <t>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อาการบวมน้ำและ hyponatremia จากยา chlorpropamide เกิดจาก</t>
        </is>
      </c>
      <c r="C31" s="46" t="n"/>
      <c r="D31" s="45" t="inlineStr">
        <is>
          <t>Allergic reaction</t>
        </is>
      </c>
      <c r="E31" s="45" t="inlineStr">
        <is>
          <t>Toxic reaction</t>
        </is>
      </c>
      <c r="F31" s="45" t="inlineStr">
        <is>
          <t>Overdose</t>
        </is>
      </c>
      <c r="G31" s="45" t="inlineStr">
        <is>
          <t>ผู้ป่วยไม่สามารถควบคุมการรับประทานอาหารให้เหมาะสมได้</t>
        </is>
      </c>
      <c r="H31" s="45" t="inlineStr">
        <is>
          <t>เป็นผลข้างเคียงจากยาตัวนี้</t>
        </is>
      </c>
      <c r="I31" s="44" t="inlineStr">
        <is>
          <t>5</t>
        </is>
      </c>
      <c r="J31" s="45" t="inlineStr">
        <is>
          <t>✅ คำตอบที่ถูกต้อง: ข้อ จ. เป็นผลข้างเคียงจากยาตัวนี้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เป็นผลข้างเคียงจากยาตัวนี้ อาการบวมน้ำ (Fluid retention) และภาวะโซเดียมในเลือดต่ำ (Hyponatremia) เป็นผลข้างเคียงเฉพาะตัว (Side effect) ที่เกิดจากยา Chlorpropamide โดยมีฤทธิ์กระตุ้นการหลั่ง antidiuretic hormone (ADH) และเพิ่มความไวของ renal tubules ต่อฤทธิ์ของ ADH (ทำให้เกิดภาวะคล้าย SIADH) ส่งผลให้ร่างกายกักเก็บน้ำมากเกินไปจนเกิดการเจือจางของโซเดียมและมีอาการบวมน้ำ จึงถือเป็นผลข้างเคียงจากกลไกทางเภสัชวิทยาของยาตัวนี้เอง (ตัวเลือก 5)
🔍 ข้ออื่นผิดเพราะอะไร:
• ข้อ ก. (Allergic reaction): อาการบวมน้ำและโซเดียมในเลือดต่ำไม่ได้เกิดจากปฏิกิริยาการแพ้ยา (Allergic reaction) ซึ่งมักมาด้วยผื่นหรือ Anaphylaxis
• ข้อ ข. (Toxic reaction): Toxic reaction มักหมายถึงผลของยาที่เกิดจากขนาดยาเกินขนาดอย่างมาก แต่กลไกนี้เป็นผลข้างเคียงที่เกิดจากฤทธิ์ทางเภสัชวิทยา
• ข้อ ค. (Overdose): อาการนี้เกิดขึ้นได้ในขนาดยารักษาปกติ ไม่จำเป็นต้องเกิดจากภาวะ Overdose
• ข้อ ง. (ผู้ป่วยไม่สามารถควบคุมการรับประทานอาหารให้เหมาะสมได้): การรับประทานอาหารไม่ถูกต้องมีผลต่อระดับน้ำตาล แต่ไม่ได้เป็นสาเหตุหลักที่ทำให้เกิดภาวะโซเดียมในเลือดต่ำหรือบวมน้ำจากกลไกของ ADH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1" s="46" t="n"/>
      <c r="L31" s="45" t="inlineStr">
        <is>
          <t>Diabetes mellitus</t>
        </is>
      </c>
      <c r="M31" s="46" t="inlineStr">
        <is>
          <t>Clinic</t>
        </is>
      </c>
      <c r="N31" s="45" t="inlineStr">
        <is>
          <t>ข้อ 33 ชุด 1 (เฉลยข้อ จ)</t>
        </is>
      </c>
      <c r="O31" s="46" t="inlineStr">
        <is>
          <t>Mock</t>
        </is>
      </c>
      <c r="P31" s="46" t="inlineStr">
        <is>
          <t>ชุด 1</t>
        </is>
      </c>
    </row>
    <row r="32" ht="13.2" customHeight="1" s="37">
      <c r="A32" s="44" t="n">
        <v>30</v>
      </c>
      <c r="B32" s="45" t="inlineStr">
        <is>
          <t>หลังจากกรับประทานยาตัวใหม่นี้เพียง 1 วัน นางนัดราได้พบว่าตนเองมีภาวะ hypoglycemia ตลอดเวลา เภสัชกรอาจคาดการณ์ได้ว่าภาวะ hypoglycemia นี้มีสาเหตุหลักจาก
เภสัชกรอาจคาดการณ์ได้ว่าภาวะ hypoglycemia นี้มีสาเหตุหลักจาก</t>
        </is>
      </c>
      <c r="C32" s="46" t="n"/>
      <c r="D32" s="45" t="inlineStr">
        <is>
          <t>ขนาดยา tolbutamide ที่ได้รับมีขนาดสูงเกินไป</t>
        </is>
      </c>
      <c r="E32" s="45" t="inlineStr">
        <is>
          <t>มีการเสริมฤทธิ์กันระหว่างยา Chlorpropamide และ tolbutamide เนื่องจากระยะเวลาในการออกฤทธิ์ของยา chlorpropamide เนิ่นนาน</t>
        </is>
      </c>
      <c r="F32" s="45" t="inlineStr">
        <is>
          <t>เป็นภาวะปกติของผู้ป่วยโรคเบาหวานเมื่อมีการเปลี่ยนแปลงยา</t>
        </is>
      </c>
      <c r="G32" s="45" t="inlineStr">
        <is>
          <t>ผู้ป่วยอาจรับประทานอาหารไม่ตรงเวลา และมีอาการคลื่นไส้อาเจียนที่เกิดจากผลข้างเคียงจากยา</t>
        </is>
      </c>
      <c r="H32" s="45" t="inlineStr">
        <is>
          <t>ไม่มีข้อใดถูก</t>
        </is>
      </c>
      <c r="I32" s="44" t="inlineStr">
        <is>
          <t>2</t>
        </is>
      </c>
      <c r="J32" s="45" t="inlineStr">
        <is>
          <t>✅ คำตอบที่ถูกต้อง: ข้อ ข. มีการเสริมฤทธิ์กันระหว่างยา Chlorpropamide และ tolbutamide เนื่องจากระยะเวลาในการออกฤทธิ์ของยา chlorpropamide เนิ่นนาน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มีการเสริมฤทธิ์กันระหว่างยา Chlorpropamide และ tolbutamide เนื่องจากระยะเวลาในการออกฤทธิ์ของยา chlorpropamide เนิ่นนาน อาการ hypoglycemia มักเกิดจากขนาดยาที่ไม่เหมาะสมหรือการรับประทานอาหารไม่สอดคล้องกับยา (เช่น ทานอาหารไม่ตรงเวลา หรือคลื่นไส้อาเจียนทานได้น้อย) ตามหลักการดูแลผู้ป่วยเบาหวานและการใช้ยา Sulfonylureas
🔍 ข้ออื่นผิดเพราะอะไร:
• ข้อ ก. (ขนาดยา tolbutamide ที่ได้รับมีขนาดสูงเกินไป): Tolbutamide เป็นยาที่มีฤทธิ์และระยะเวลาออกฤทธิ์สั้นกว่า การเปลี่ยนยาตามขนาดปกติไม่ได้อธิบายน้ำตาลต่ำรุนแรงเท่ากับการสะสมของยาเดิม
• ข้อ ค. (เป็นภาวะปกติของผู้ป่วยโรคเบาหวานเมื่อมีการเปลี่ยนแปลงยา): ภาวะน้ำตาลในเลือดต่ำตลอดเวลาไม่ใช่ภาวะปกติของการเปลี่ยนยา หากเปลี่ยนยาถูกวิธีและปรับขนาดยาเหมาะสมจะต้องไม่มีอาการนี้
• ข้อ ง. (ผู้ป่วยอาจรับประทานอาหารไม่ตรงเวลา และมีอาการคลื่นไส้อาเจียนที่เกิดจากผลข้างเคียงจากยา): การทานอาหารไม่ตรงเวลาอาจมีส่วน แต่สาเหตุหลักมาจากการสะสมของยา Chlorpropamide ที่มีค่าครึ่งชีวิตยาวมากและยังถูกขับออกไม่หมด
• ข้อ จ. (ไม่มีข้อใดถูก): มีคำตอบที่ถูกต้องอยู่แล้วในข้อ ข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2" s="46" t="n"/>
      <c r="L32" s="45" t="inlineStr">
        <is>
          <t>Diabetes mellitus</t>
        </is>
      </c>
      <c r="M32" s="46" t="inlineStr">
        <is>
          <t>Clinic</t>
        </is>
      </c>
      <c r="N32" s="45" t="inlineStr">
        <is>
          <t>ข้อ 34 ชุด 1 (เฉลยข้อ ข)</t>
        </is>
      </c>
      <c r="O32" s="46" t="inlineStr">
        <is>
          <t>Mock</t>
        </is>
      </c>
      <c r="P32" s="46" t="inlineStr">
        <is>
          <t>ชุด 1</t>
        </is>
      </c>
    </row>
    <row r="33" ht="13.2" customHeight="1" s="37">
      <c r="A33" s="44" t="n">
        <v>31</v>
      </c>
      <c r="B33" s="45" t="inlineStr">
        <is>
          <t>ผู้ป่วยวัดระดับน้ำตาลในเลือดตนเองผิดพลาด ภาวะ hypoglycemia ไม่น่าเกิดในขนาดนี้เมื่อเปรียบเทียบ duration of action ของยาในกลุ่ม sulfonylureas พบว่าสามารถเรียงลำดับได้ดังนี้
พบว่าสามารถเรียงลำดับ duration of action ของยาในกลุ่ม sulfonylureas ได้ดังนี้</t>
        </is>
      </c>
      <c r="C33" s="46" t="n"/>
      <c r="D33" s="45" t="inlineStr">
        <is>
          <t>Chlorpropamide &gt; glyburide &gt; glipizide &gt; tolbutamide</t>
        </is>
      </c>
      <c r="E33" s="45" t="inlineStr">
        <is>
          <t>Tolbutamide &gt; glipizide &gt; glyburide &gt; chlorpropamide</t>
        </is>
      </c>
      <c r="F33" s="45" t="inlineStr">
        <is>
          <t>Glyburide &gt; tolbutamide &gt; glipizide &gt; chlorpropamide</t>
        </is>
      </c>
      <c r="G33" s="45" t="inlineStr">
        <is>
          <t>Glipizide &gt; glyburide &gt; chlorpropamide &gt; tolbutamide</t>
        </is>
      </c>
      <c r="H33" s="45" t="inlineStr">
        <is>
          <t>Tolbutamide &gt; chlorpropamide &gt; glyburide &gt; glipizide</t>
        </is>
      </c>
      <c r="I33" s="44" t="inlineStr">
        <is>
          <t>1</t>
        </is>
      </c>
      <c r="J33" s="45"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ระยะเวลาออกฤทธิ์ (duration of action) ของยากลุ่ม Sulfonylureas จากยาวไปสั้น: Chlorpropamide (~24-72 ชม., มี active metabolite และฤทธิ์ prolonged hypoglycemia) &gt; Glyburide (16-24 ชม.) &gt; Glipizide (12-24 ชม.) &gt; Tolbutamide (6-12 ชม.)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(Tolbutamide &gt; chlorpropamide &gt; glyburide &gt; glipizide):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33" s="46" t="n"/>
      <c r="L33" s="45" t="inlineStr">
        <is>
          <t>Diabetes mellitus</t>
        </is>
      </c>
      <c r="M33" s="46" t="inlineStr">
        <is>
          <t>Clinic</t>
        </is>
      </c>
      <c r="N33" s="45" t="inlineStr">
        <is>
          <t>ข้อ 35 ชุด 1 (เฉลยข้อ ก)</t>
        </is>
      </c>
      <c r="O33" s="46" t="inlineStr">
        <is>
          <t>Mock</t>
        </is>
      </c>
      <c r="P33" s="46" t="inlineStr">
        <is>
          <t>ชุด 1</t>
        </is>
      </c>
    </row>
    <row r="34" ht="13.2" customHeight="1" s="37">
      <c r="A34" s="44" t="n">
        <v>32</v>
      </c>
      <c r="B34" s="45"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จากข้อมูลดังกล่าว อาการใดต่อไปนี้ของคนไข้ไม่ใช่อาการ DM</t>
        </is>
      </c>
      <c r="C34" s="46" t="n"/>
      <c r="D34" s="45" t="inlineStr">
        <is>
          <t>หิวน้ำบ่อย</t>
        </is>
      </c>
      <c r="E34" s="45" t="inlineStr">
        <is>
          <t>ปัสสาวะบ่อย</t>
        </is>
      </c>
      <c r="F34" s="45" t="inlineStr">
        <is>
          <t>เจ็บหน้าอก</t>
        </is>
      </c>
      <c r="G34" s="45" t="inlineStr">
        <is>
          <t>น้ำหนักลด</t>
        </is>
      </c>
      <c r="H34" s="45" t="inlineStr">
        <is>
          <t>อ่อนเพลีย</t>
        </is>
      </c>
      <c r="I34" s="44" t="inlineStr">
        <is>
          <t>3</t>
        </is>
      </c>
      <c r="J34" s="45" t="inlineStr">
        <is>
          <t>✅ คำตอบที่ถูกต้อง: ข้อ ค. เจ็บหน้าอก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เจ็บหน้าอก อาการของโรคเบาหวาน (DM) ได้แก่ ปัสสาวะบ่อย (polyuria), หิวน้ำบ่อย (polydipsia), หิวบ่อย (polyphagia), น้ำหนักลด และอ่อนเพลีย ส่วนอาการ 'เจ็บหน้าอก' (Chest pain) เป็นอาการของโรคหัวใจขาดเลือด (Ischemic heart disease) ไม่ใช่ภาวะหลักของ DM
🔍 ข้ออื่นผิดเพราะอะไร:
• ข้อ ก. (หิวน้ำบ่อย): หิวน้ำบ่อย (Polydipsia) เป็นอาการดั้งเดิมของเบาหวาน เกิดจากภาวะน้ำตาลในเลือดสูงดึงน้ำออกทางปัสสาวะ
• ข้อ ข. (ปัสสาวะบ่อย): ปัสสาวะบ่อย (Polyuria) เกิดจากน้ำตาลล้นออกทางไต ทำให้เกิด Osmotic diuresis
• ข้อ ง. (น้ำหนักลด): น้ำหนักลด (Weight loss) ในผู้ป่วยเบาหวานเกิดจากร่างกายนำกลูโคสไปใช้ไม่ได้ จึงต้องสลายไขมันและโปรตีนมาใช้เป็นพลังงาน
• ข้อ จ. (อ่อนเพลีย): อ่อนเพลีย (Fatigue) เกิดจากการที่เซลล์ไม่สามารถนำกลูโคสเข้าเซลล์ไปสร้างพลังงานได้เพียงพอ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4" s="46" t="n"/>
      <c r="L34" s="45" t="inlineStr">
        <is>
          <t>Diabetes mellitus</t>
        </is>
      </c>
      <c r="M34" s="46" t="inlineStr">
        <is>
          <t>Clinic</t>
        </is>
      </c>
      <c r="N34" s="45" t="inlineStr">
        <is>
          <t>ข้อ 36 ชุด 1 (เฉลยข้อ ค)</t>
        </is>
      </c>
      <c r="O34" s="46" t="inlineStr">
        <is>
          <t>Mock</t>
        </is>
      </c>
      <c r="P34" s="46" t="inlineStr">
        <is>
          <t>ชุด 1</t>
        </is>
      </c>
    </row>
    <row r="35" ht="13.2" customHeight="1" s="37">
      <c r="A35" s="44" t="n">
        <v>33</v>
      </c>
      <c r="B35" s="45"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ข้อใดกล่าวไม่ถูกต้องเกี่ยวกับคำแนะนำของยาที่ผู้ป่วยได้รับ</t>
        </is>
      </c>
      <c r="C35" s="46" t="n"/>
      <c r="D35" s="45" t="inlineStr">
        <is>
          <t>ยา glibenclamide ควรรับประทานก่อนอาหารประมาณ 30 นาที</t>
        </is>
      </c>
      <c r="E35" s="45" t="inlineStr">
        <is>
          <t>ยา aspirin ควรรับประทานหลังอาหารทันที</t>
        </is>
      </c>
      <c r="F35" s="45" t="inlineStr">
        <is>
          <t>อาการไม่พึงประสงค์ที่อาจพบสำหรับยา glibenclamide คือ weight gain</t>
        </is>
      </c>
      <c r="G35" s="45" t="inlineStr">
        <is>
          <t>อาการไม่พึงประสงค์ของยา metformin ที่พบบ่อยได้แก่ hypoglycemia</t>
        </is>
      </c>
      <c r="H35" s="45" t="inlineStr">
        <is>
          <t>ไม่ควรดื่ม alcohol ร่วมกับยา glibenclamide</t>
        </is>
      </c>
      <c r="I35" s="44" t="inlineStr">
        <is>
          <t>4</t>
        </is>
      </c>
      <c r="J35" s="45" t="inlineStr">
        <is>
          <t>✅ คำตอบที่ถูกต้อง: ข้อ ง. อาการไม่พึงประสงค์ของยา metformin ที่พบบ่อยได้แก่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อาการไม่พึงประสงค์ของยา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Metformin เป็นยาที่ไม่ทำให้เกิดภาวะ hypoglycemia ด้วยตัวเองหากใช้เดี่ยวๆ ADR ที่พบบ่อยคือ GI side effects (คลื่นไส้ ท้องเสีย) ส่วนข้ออื่นๆ ถูกต้อง (Glibenclamide ทานก่อนอาหาร 30 นาที กระตุ้นอินซูลิน, ทำให้เกิดน้ำหนักเพิ่ม, ห้ามดื่มแอลกอฮอล์เพราะเสี่ยง hypoglycemia และ disulfiram-like reaction)
🔍 ข้ออื่นผิดเพราะอะไร:
• ข้อ ก. (ยา glibenclamide ควรรับประทานก่อนอาหารประมาณ 30 นาที): มี active metabolites ขับออกทางไต เสี่ยงต่อ prolonged severe hypoglycemia ในผู้สูงอายุและผู้ป่วย renal impairment จึงควรหลีกเลี่ยงตาม Beers Criteria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จ. (ไม่ควรดื่ม alcohol ร่วมกับยา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5" s="46" t="n"/>
      <c r="L35" s="45" t="inlineStr">
        <is>
          <t>Diabetes mellitus</t>
        </is>
      </c>
      <c r="M35" s="46" t="inlineStr">
        <is>
          <t>Clinic</t>
        </is>
      </c>
      <c r="N35" s="45" t="inlineStr">
        <is>
          <t>ข้อ 37 ชุด 1 (เฉลยข้อ ง)</t>
        </is>
      </c>
      <c r="O35" s="46" t="inlineStr">
        <is>
          <t>Mock</t>
        </is>
      </c>
      <c r="P35" s="46" t="inlineStr">
        <is>
          <t>ชุด 1</t>
        </is>
      </c>
    </row>
    <row r="36" ht="13.2" customHeight="1" s="37">
      <c r="A36" s="44" t="n">
        <v>34</v>
      </c>
      <c r="B36" s="45"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กรณีที่ผู้ป่วยรายนี้ไม่สามารถใช้ยา metformin ได้และเป็น glaucoma ควรใช้ยาใดแทน metformin</t>
        </is>
      </c>
      <c r="C36" s="46" t="n"/>
      <c r="D36" s="45" t="inlineStr">
        <is>
          <t>Glucosidase</t>
        </is>
      </c>
      <c r="E36" s="45" t="inlineStr">
        <is>
          <t>Rosiglitazone</t>
        </is>
      </c>
      <c r="F36" s="45" t="inlineStr">
        <is>
          <t>Chlorpropamide</t>
        </is>
      </c>
      <c r="G36" s="45" t="inlineStr">
        <is>
          <t>Pioglitazone</t>
        </is>
      </c>
      <c r="H36" s="45" t="inlineStr">
        <is>
          <t>สามารถใช้ได้ทั้งหมด</t>
        </is>
      </c>
      <c r="I36" s="44" t="inlineStr">
        <is>
          <t>1</t>
        </is>
      </c>
      <c r="J36" s="45" t="inlineStr">
        <is>
          <t>✅ คำตอบที่ถูกต้อง: ข้อ ก. Glucosidase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Glucosidase ในกรณีที่ผู้ป่วยใช้ Metformin ไม่ได้ สามารถใช้ยากลุ่ม Thiazolidinediones (TZDs) เช่น Pioglitazone หรือ Rosiglitazone ได้ เนื่องจากไม่มี contraindication เด็ดขาดในผู้ป่วย Glaucoma (ข้อควรระวังหลักของ TZDs คือภาวะ Heart failure และ Fluid retention ซึ่งต้องระวังในผู้ป่วยรายนี้ที่มีประวัติโรคหัวใจขาดเลือดร่วมด้วย แต่ในแง่ตัวเลือก Glucosidase inhibitor หรือ Chlorpropamide ไม่ใช่ตัวเลือกที่ดีที่สุดเท่า TZDs หรืออาจพิจารณาตามบริบทของโจทย์)
🔍 ข้ออื่นผิดเพราะอะไร:
• ข้อ ข. (Rosiglitazone): Rosiglitazone เป็นยาในกลุ่ม Thiazolidinediones ซึ่งเพิ่มความเสี่ยงโรคหัวใจล้มเหลวและปัญหาทางหัวใจ จึงไม่เหมาะสมในผู้ป่วยโรคหัวใจขาดเลือด
• ข้อ ค. (Chlorpropamide): Chlorpropamide เป็นยารุ่นเก่าที่มีระยะเวลาออกฤทธิ์ยาวนาน เพิ่มความเสี่ยงน้ำตาลตก และไม่เหมาะกับผู้สูงอายุ
• ข้อ ง. (Pioglitazone): Pioglitazone ห้ามใช้ในผู้ป่วย Heart failure แม้ผู้ป่วยจะเป็นโรคหัวใจขาดเลือด แต่อาจเพิ่มความเสี่ยงของปัญหาหัวใจอื่นๆ และทำให้บวมน้ำ
• ข้อ จ. (สามารถใช้ได้ทั้งหมด): ไม่สามารถใช้ได้ทั้งหมด เนื่องจากยากลุ่ม TZDs มีความเสี่ยงต่อระบบหัวใจและหลอดเลือดในผู้ป่วยกลุ่มนี้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6" s="46" t="n"/>
      <c r="L36" s="45" t="inlineStr">
        <is>
          <t>Diabetes mellitus</t>
        </is>
      </c>
      <c r="M36" s="46" t="inlineStr">
        <is>
          <t>Clinic</t>
        </is>
      </c>
      <c r="N36" s="45" t="inlineStr">
        <is>
          <t>ข้อ 38 ชุด 1 (เฉลยข้อ ก ค ง)</t>
        </is>
      </c>
      <c r="O36" s="46" t="inlineStr">
        <is>
          <t>Mock</t>
        </is>
      </c>
      <c r="P36" s="46" t="inlineStr">
        <is>
          <t>ชุด 1</t>
        </is>
      </c>
    </row>
    <row r="37" ht="13.2" customHeight="1" s="37">
      <c r="A37" s="44" t="n">
        <v>35</v>
      </c>
      <c r="B37" s="45" t="inlineStr">
        <is>
          <t>ข้อใดกล่าวถูกต้องเกี่ยวกับกลไกการออกฤทธิ์ของ glibenclamide</t>
        </is>
      </c>
      <c r="C37" s="46" t="n"/>
      <c r="D37" s="45" t="inlineStr">
        <is>
          <t>กระตุ้นการหลั่ง glucagon</t>
        </is>
      </c>
      <c r="E37" s="45" t="inlineStr">
        <is>
          <t>กระตุ้นการหลั่ง insulin จากตับอ่อน</t>
        </is>
      </c>
      <c r="F37" s="45" t="inlineStr">
        <is>
          <t>ลดการทำลาย insulin ที่ตับ</t>
        </is>
      </c>
      <c r="G37" s="45" t="inlineStr">
        <is>
          <t>กระตุ้นการหลั่ง somatostatin</t>
        </is>
      </c>
      <c r="H37" s="45" t="inlineStr">
        <is>
          <t>ทำให้ตอบสนองต่อ Insulin ดีขึ้น</t>
        </is>
      </c>
      <c r="I37" s="44" t="inlineStr">
        <is>
          <t>2</t>
        </is>
      </c>
      <c r="J37" s="45" t="inlineStr">
        <is>
          <t>✅ คำตอบที่ถูกต้อง: ข้อ ข. กระตุ้นการหลั่ง insulin จากตับอ่อน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 insulin จากตับอ่อน Glibenclamide เป็นยาในกลุ่ม Sulfonylurea รุ่นที่ 2 ออกฤทธิ์โดยการปิด ATP-sensitive K+ channels ที่เซลล์เบตาของตับอ่อน ทำให้เกิด depolarization, เปิด voltage-gated Ca2+ channels และกระตุ้นการหลั่ง insulin
🔍 ข้ออื่นผิดเพราะอะไร:
• ข้อ ก. (กระตุ้นการหลั่ง glucagon): Glibenclamide ไม่มีผลกระตุ้นการหลั่ง glucagon จาก alpha cell ของตับอ่อน
• ข้อ ค. (ลดการทำลาย insulin ที่ตับ): ยาที่ลดการทำลายอินซูลินที่ตับไม่ใช่กลไกของยารักษาเบาหวานกลุ่มใดในปัจจุบันที่มีใช้
• ข้อ ง. (กระตุ้นการหลั่ง somatostatin): Somatostatin มีฤทธิ์ยับยั้งการหลั่งฮอร์โมน ยาไม่ได้กระตุ้นการหลั่ง Somatostatin
• ข้อ จ. (ทำให้ตอบสนองต่อ Insulin ดีขึ้น): ยาที่ทำให้ตอบสนองต่ออินซูลินดีขึ้น (Insulin sensitizer) คือ Metformin หรือ TZDs ไม่ใช่ Glibenclamide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7" s="46" t="n"/>
      <c r="L37" s="45" t="inlineStr">
        <is>
          <t>Diabetes mellitus</t>
        </is>
      </c>
      <c r="M37" s="46" t="inlineStr">
        <is>
          <t>Clinic</t>
        </is>
      </c>
      <c r="N37" s="45" t="inlineStr">
        <is>
          <t>ข้อ 39 ชุด 1 (เฉลยข้อ ข)</t>
        </is>
      </c>
      <c r="O37" s="46" t="inlineStr">
        <is>
          <t>Mock</t>
        </is>
      </c>
      <c r="P37" s="46" t="inlineStr">
        <is>
          <t>ชุด 1</t>
        </is>
      </c>
    </row>
    <row r="38" ht="13.2" customHeight="1" s="37">
      <c r="A38" s="44" t="n">
        <v>36</v>
      </c>
      <c r="B38" s="45" t="inlineStr">
        <is>
          <t>ข้อใดเป็นผลที่อาจเกิดขึ้นได้จากการใช้ยา glibenclamide เป็นระยะเวลานาน</t>
        </is>
      </c>
      <c r="C38" s="46" t="n"/>
      <c r="D38" s="45" t="inlineStr">
        <is>
          <t>Desensitization of sulfonylureas receptor</t>
        </is>
      </c>
      <c r="E38" s="45" t="inlineStr">
        <is>
          <t>Up-regulation of sulfonylureas receptor</t>
        </is>
      </c>
      <c r="F38" s="45" t="inlineStr">
        <is>
          <t>Down-regulation of sulfonylureas receptor</t>
        </is>
      </c>
      <c r="G38" s="45" t="inlineStr">
        <is>
          <t>Hyperinsulinemia</t>
        </is>
      </c>
      <c r="H38" s="45" t="inlineStr">
        <is>
          <t>Increase insulin sensitivity</t>
        </is>
      </c>
      <c r="I38" s="44" t="inlineStr">
        <is>
          <t>3</t>
        </is>
      </c>
      <c r="J38" s="45" t="inlineStr">
        <is>
          <t>✅ คำตอบที่ถูกต้อง: ข้อ ค. Down-regulation of sulfonylureas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Down-regulation of sulfonylureas receptor การใช้ยาในกลุ่ม Sulfonylurea เป็นเวลานานอาจทำให้เกิดการดื้อยา (secondary failure) ซึ่งเกี่ยวข้องกับ down-regulation ของ sulfonylurea receptors ที่เยื่อหุ้มเซลล์เบตา
🔍 ข้ออื่นผิดเพราะอะไร:
• ข้อ ก. (Desensitization of sulfonylureas receptor): การใช้ยาเป็นเวลานานจะทำให้เกิดภาวะดื้อต่อยาจากการลดลงของจำนวนตัวรับ (Down-regulation) ไม่ใช่แค่การตอบสนองลดลงชั่วคราว (Desensitization)
• ข้อ ข. (Up-regulation of sulfonylureas receptor): Up-regulation คือการเพิ่มจำนวนตัวรับ มักเกิดเมื่อระดับฮอร์โมนหรือสารกระตุ้นต่ำลง ยาตัวนี้กระตุ้นตัวรับตลอดเวลาจึงไม่เกิดภาวะนี้
• ข้อ ง. (Hyperinsulinemia): Hyperinsulinemia เป็นผลในระยะสั้นและระยะกลางที่ยากระตุ้นการหลั่งอินซูลิน แต่ระยะยาวเบต้าเซลล์จะล้าและสร้างอินซูลินลดลง
• ข้อ จ. (Increase insulin sensitivity): การใช้ยากลุ่มนี้ไม่ได้ช่วยเพิ่ม Insulin sensitivity ตรงกันข้ามภาวะอินซูลินสูงอาจกระตุ้นให้เกิดภาวะดื้ออินซูลินเพิ่มขึ้นได้ด้วยซ้ำ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8" s="46" t="n"/>
      <c r="L38" s="45" t="inlineStr">
        <is>
          <t>Diabetes mellitus</t>
        </is>
      </c>
      <c r="M38" s="46" t="inlineStr">
        <is>
          <t>Clinic</t>
        </is>
      </c>
      <c r="N38" s="45" t="inlineStr">
        <is>
          <t>ข้อ 40 ชุด 1 (เฉลยข้อ ค)</t>
        </is>
      </c>
      <c r="O38" s="46" t="inlineStr">
        <is>
          <t>Mock</t>
        </is>
      </c>
      <c r="P38" s="46" t="inlineStr">
        <is>
          <t>ชุด 1</t>
        </is>
      </c>
    </row>
    <row r="39" ht="13.2" customHeight="1" s="37">
      <c r="A39" s="44" t="n">
        <v>37</v>
      </c>
      <c r="B39" s="45"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39" s="46" t="n"/>
      <c r="D39" s="45" t="inlineStr">
        <is>
          <t>มีผลโดยเสริมฤทธิ์ยับยั้งการแข็งตัวของเกร็ดเลือดของ aspirin</t>
        </is>
      </c>
      <c r="E39" s="45" t="inlineStr">
        <is>
          <t>มีผลโดยเสริมฤทธิ์ลดน้ำตาลในเลือดของ metformin</t>
        </is>
      </c>
      <c r="F39" s="45" t="inlineStr">
        <is>
          <t>มีผลโดยลดประสิทธิภาพการจับของยา isosorbide mononitrate</t>
        </is>
      </c>
      <c r="G39" s="45" t="inlineStr">
        <is>
          <t>มีผลโดยลดประสิทธิภาพการลดน้ำตาลในเลือดของ glibenclamide</t>
        </is>
      </c>
      <c r="H39" s="45" t="inlineStr">
        <is>
          <t>ไม่มี อันตรกิริยากับยาที่ได้รับจากโรงพยาบาล</t>
        </is>
      </c>
      <c r="I39" s="44" t="inlineStr">
        <is>
          <t>1</t>
        </is>
      </c>
      <c r="J39" s="45" t="inlineStr">
        <is>
          <t>✅ คำตอบที่ถูกต้อง: ข้อ ก. มีผลโดยเสริมฤทธิ์ยับยั้งการแข็งตัวของเกร็ดเลือดของ aspirin
💡 Background:
การบริบาลผู้ป่วยเบาหวานชนิดที่ 2 (T2DM) เน้นควบคุม HbA1c ควบคู่กับการเลือกยาที่มี cardiorenal protection ในผู้ป่วยที่มีโรคร่วม
🎯 ทำไมข้อนี้ถึงถูก:
มีผลโดยเสริมฤทธิ์ยับยั้งการแข็งตัวของเกร็ดเลือดของ aspirin สารสกัดจากใบแปะก๊วย (Ginkgo biloba) มีฤทธิ์ยับยั้ง platelet-activating factor (PAF) จึงอาจไปเสริมฤทธิ์ต้านการเกาะกลุ่มของเกร็ดเลือดกับยาต้านเกร็ดเลือดเช่น aspirin หรือ NSAIDs เพิ่มความเสี่ยงในการเกิดภาวะเลือดออก
🔍 ข้ออื่นผิดเพราะอะไร:
• ข้อ ข. (มีผลโดยเสริมฤทธิ์ลดน้ำตาลในเลือดของ metformin): ใบแปะก๊วยไม่ได้มีกลไกทางเภสัชวิทยาที่เสริมฤทธิ์ลดน้ำตาลของ Metformin โดยตรง
• ข้อ ค. (มีผลโดยลดประสิทธิภาพการจับของยา isosorbide mononitrate): ไม่มีรายงานหลักฐานว่าใบแปะก๊วยจะเข้าไปจับตัวรับหรือขัดขวางการทำงานของ Isosorbide mononitrate
• ข้อ ง. (มีผลโดยลดประสิทธิภาพการลดน้ำตาลในเลือดของ glibenclamide): ใบแปะก๊วยไม่มีผลขัดขวางการลดระดับน้ำตาลในเลือดของ Glibenclamide แต่ประเด็นหลักคือฤทธิ์ต่อเกล็ดเลือด
• ข้อ จ. (ไม่มี อันตรกิริยากับยาที่ได้รับจากโรงพยาบาล): ใบแปะก๊วยมีสาร Ginkgolide ที่ยับยั้ง Platelet activating factor (PAF) ซึ่งเมื่อใช้ร่วมกับ Aspirin จะเพิ่มความเสี่ยงเลือดออกอย่างรุนแรง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9" s="46" t="n"/>
      <c r="L39" s="45" t="inlineStr">
        <is>
          <t>Diabetes mellitus</t>
        </is>
      </c>
      <c r="M39" s="46" t="inlineStr">
        <is>
          <t>Clinic</t>
        </is>
      </c>
      <c r="N39" s="45" t="inlineStr">
        <is>
          <t>ข้อ 41 ชุด 1 (เฉลยข้อ ก)</t>
        </is>
      </c>
      <c r="O39" s="46" t="inlineStr">
        <is>
          <t>Mock</t>
        </is>
      </c>
      <c r="P39" s="46" t="inlineStr">
        <is>
          <t>ชุด 1</t>
        </is>
      </c>
    </row>
    <row r="40" ht="13.2" customHeight="1" s="37">
      <c r="A40" s="44" t="n">
        <v>38</v>
      </c>
      <c r="B40" s="45"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เป้าหมายของระดับน้ำตาลในเลือดของผู้ป่วยควรเป็นเท่าใด ตาม ADA guideline</t>
        </is>
      </c>
      <c r="C40" s="46" t="n"/>
      <c r="D40" s="45" t="inlineStr">
        <is>
          <t>FPG 70-130, HbA1c &lt; 10</t>
        </is>
      </c>
      <c r="E40" s="45" t="inlineStr">
        <is>
          <t>FPG 70-150, HbA1c &lt; 7</t>
        </is>
      </c>
      <c r="F40" s="45" t="inlineStr">
        <is>
          <t>FPG 70-130, HbA1c &lt; 7</t>
        </is>
      </c>
      <c r="G40" s="45" t="inlineStr">
        <is>
          <t>FPG 80-150, HbA1c &lt; 10</t>
        </is>
      </c>
      <c r="H40" s="45" t="inlineStr">
        <is>
          <t>FPG 80-130, HbA1c &lt; 7</t>
        </is>
      </c>
      <c r="I40" s="44" t="inlineStr">
        <is>
          <t>5</t>
        </is>
      </c>
      <c r="J40" s="45" t="inlineStr">
        <is>
          <t>✅ คำตอบที่ถูกต้อง: ข้อ จ. FPG 80-130, HbA1c &lt; 7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FPG 80-130, HbA1c &lt; 7 ตาม ADA guidelines สำหรับผู้ป่วยเบาหวานทั่วไป (ยกเว้นผู้สูงอายุที่มีโรคประจำตัวซับซ้อนมากหรือมี frailty) เป้าหมายมาตรฐานคือ FPG 80-130 mg/dL และ HbA1c
🔍 ข้ออื่นผิดเพราะอะไร:
• ข้อ ก. (FPG 70-130, HbA1c &lt; 10): เป้าหมาย HbA1c &lt; 10% สูงเกินไป และเสี่ยงต่อการเกิดภาวะแทรกซ้อนของเบาหวานในอนาคต
• ข้อ ข. (FPG 70-150, HbA1c &lt; 7): FPG 70-150 mg/dL ขอบเขตบนกว้างเกินไปและไม่สอดคล้องกับ ADA Guideline ที่แนะนำ 80-130 mg/dL
• ข้อ ค. (FPG 70-130, HbA1c &lt; 7): FPG 70-130 mg/dL ตัวเลข 70 mg/dL ต่ำเกินไปสำหรับขอบเขตล่างของระดับเป้าหมาย เสี่ยงน้ำตาลตกเกินไป
• ข้อ ง. (FPG 80-150, HbA1c &lt; 10): HbA1c &lt; 10% ถือเป็นระดับน้ำตาลที่ควบคุมไม่ได้ตามมาตรฐานของ ADA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0" s="46" t="n"/>
      <c r="L40" s="45" t="inlineStr">
        <is>
          <t>Diabetes mellitus</t>
        </is>
      </c>
      <c r="M40" s="46" t="inlineStr">
        <is>
          <t>Clinic</t>
        </is>
      </c>
      <c r="N40" s="45" t="inlineStr">
        <is>
          <t>ข้อ 42 ชุด 1 (เฉลยข้อ จ)</t>
        </is>
      </c>
      <c r="O40" s="46" t="inlineStr">
        <is>
          <t>Mock</t>
        </is>
      </c>
      <c r="P40" s="46" t="inlineStr">
        <is>
          <t>ชุด 1</t>
        </is>
      </c>
    </row>
    <row r="41" ht="13.2" customHeight="1" s="37">
      <c r="A41" s="44" t="n">
        <v>39</v>
      </c>
      <c r="B41" s="45"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ข้อใดเป็นการให้คำแนะนำที่ถูกต้องในการรับประทานยา voglibose</t>
        </is>
      </c>
      <c r="C41" s="46" t="n"/>
      <c r="D41" s="45" t="inlineStr">
        <is>
          <t>รับประทานหลังอาหารทันที</t>
        </is>
      </c>
      <c r="E41" s="45" t="inlineStr">
        <is>
          <t>รับประทานก่อนอาหาร 30 นาที และให้อยู่ในท่านั่งห้ามนอน</t>
        </is>
      </c>
      <c r="F41" s="45" t="inlineStr">
        <is>
          <t>รับประทานโดยเคี้ยวพร้อมอาหารคำแรก</t>
        </is>
      </c>
      <c r="G41" s="45" t="inlineStr">
        <is>
          <t>รับประทานหลังอาหารไขมันเพื่อเพิ่มการดูดซึม</t>
        </is>
      </c>
      <c r="H41" s="45" t="inlineStr">
        <is>
          <t>ห้ามรับประทานพร้อมกับนม</t>
        </is>
      </c>
      <c r="I41" s="44" t="inlineStr">
        <is>
          <t>3</t>
        </is>
      </c>
      <c r="J41" s="45" t="inlineStr">
        <is>
          <t>✅ คำตอบที่ถูกต้อง: ข้อ ค. รับประทานโดยเคี้ยวพร้อมอาหารคำแรก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รับประทานโดยเคี้ยวพร้อมอาหารคำแรก Voglibose เป็นยาในกลุ่ม alpha-glucosidase inhibitor ซึ่งออกฤทธิ์โดยการยับยั้งเอนไซม์ย่อยคาร์โบไฮเดรตที่ลำไส้เล็ก วิธีการรับประทานที่ถูกต้องคือรับประทานพร้อมกับอาหารคำแรก (หรือเคี้ยวร่วมกับอาหารคำแรก) เพื่อให้ยาออกฤทธิ์ชะลอการดูดซึมกลูโคสหลังมื้ออาหาร
🔍 ข้ออื่นผิดเพราะอะไร:
• ข้อ ก. (รับประทานหลังอาหารทันที): การรับประทานหลังอาหารทันทีจะทำให้ยาเข้าไปยับยั้งเอนไซม์ Alpha-glucosidase ไม่ทัน การย่อยแป้งจะเกิดขึ้นไปแล้ว ยาจึงไม่ได้ผล
• ข้อ ข. (รับประทานก่อนอาหาร 30 นาที และให้อยู่ในท่านั่งห้ามนอน): รับประทานก่อนอาหาร 30 นาที เป็นคำแนะนำของยา Sulfonylureas หรือ Glinides ไม่ใช่ของ Voglibose
• ข้อ ง. (รับประทานหลังอาหารไขมันเพื่อเพิ่มการดูดซึม): Voglibose เป็นยายับยั้งการย่อยคาร์โบไฮเดรตในลำไส้ การทานพร้อมอาหารไขมันไม่ช่วยเพิ่มการดูดซึมยาและไม่ตรงกับเป้าหมายของยา
• ข้อ จ. (ห้ามรับประทานพร้อมกับนม): นมมีน้ำตาลแลคโตส ซึ่งเอนไซม์ย่อยแลคโตสถูกยับยั้งด้วยยาตัวนี้น้อยมาก ข้อห้ามนี้จึงไม่ถูกต้อง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1" s="46" t="n"/>
      <c r="L41" s="45" t="inlineStr">
        <is>
          <t>Diabetes mellitus</t>
        </is>
      </c>
      <c r="M41" s="46" t="inlineStr">
        <is>
          <t>Clinic</t>
        </is>
      </c>
      <c r="N41" s="45" t="inlineStr">
        <is>
          <t>ข้อ 43 ชุด 1 (เฉลยข้อ ค)</t>
        </is>
      </c>
      <c r="O41" s="46" t="inlineStr">
        <is>
          <t>Mock</t>
        </is>
      </c>
      <c r="P41" s="46" t="inlineStr">
        <is>
          <t>ชุด 1</t>
        </is>
      </c>
    </row>
    <row r="42" ht="13.2" customHeight="1" s="37">
      <c r="A42" s="44" t="n">
        <v>40</v>
      </c>
      <c r="B42" s="45" t="inlineStr">
        <is>
          <t>เกี่ยวกับ glipizide ข้อใดผิด</t>
        </is>
      </c>
      <c r="C42" s="46" t="n"/>
      <c r="D42" s="45" t="inlineStr">
        <is>
          <t>glipizide มีคุณสมบัติค่อนข้าง non-polar</t>
        </is>
      </c>
      <c r="E42" s="45" t="inlineStr">
        <is>
          <t>glipizide เมื่อละลายในต่างละลายได้ดี</t>
        </is>
      </c>
      <c r="F42" s="45" t="inlineStr">
        <is>
          <t>การเตรียมยา glipizide แบบ extended release tablet ไม่จำเป็นต้องทำในรูป salt form</t>
        </is>
      </c>
      <c r="G42" s="45" t="inlineStr">
        <is>
          <t>Glipizide มีสูตรโครงสร้างคล้ายกับ metformin</t>
        </is>
      </c>
      <c r="H42" s="45" t="inlineStr">
        <is>
          <t>Glipizide จัดอยู่ในกลุ่ม second generation drug ของการรักษา type 2 diabetes</t>
        </is>
      </c>
      <c r="I42" s="44" t="inlineStr">
        <is>
          <t>4</t>
        </is>
      </c>
      <c r="J42" s="45" t="inlineStr">
        <is>
          <t>✅ คำตอบที่ถูกต้อง: ข้อ ง. Glipizide มีสูตรโครงสร้างคล้ายกับ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มีสูตรโครงสร้างคล้ายกับ metformin Glipizide จัดเป็น second-generation sulfonylurea ซึ่งมีโครงสร้างทางเคมีเป็นอนุพันธ์ของ sulfonylurea ด้านข้างต่อกับ cyclohexyl pyrazine ring ไม่ได้มีโครงสร้างคล้ายกับ metformin (ซึ่งเป็นยาในกลุ่ม biguanide มีโครงสร้างเป็น guanidine rings คู่)
🔍 ข้ออื่นผิดเพราะอะไร:
• ข้อ ก. (glipizide มีคุณสมบัติค่อนข้าง non-polar): เป็น Second-generation Sulfonylurea กระตุ้น insulin secretion เสี่ยงต่อ hypoglycemia และ weight gain ขับออกทางตับเด่นกว่า glibenclamide จึงปลอดภัยกว่าในผู้สูงอายุ/CKD
• ข้อ ข. (glipizide เมื่อละลายในต่างละลายได้ดี): เป็น Second-generation Sulfonylurea กระตุ้น insulin secretion เสี่ยงต่อ hypoglycemia และ weight gain ขับออกทางตับเด่นกว่า glibenclamide จึงปลอดภัยกว่าในผู้สูงอายุ/CKD
• ข้อ ค. (การเตรียมยา glipizide แบบ extended release tablet ไม่จำเป็นต้องทำในรูป salt form): เป็น Second-generation Sulfonylurea กระตุ้น insulin secretion เสี่ยงต่อ hypoglycemia และ weight gain ขับออกทางตับเด่นกว่า glibenclamide จึงปลอดภัยกว่าในผู้สูงอายุ/CKD
• ข้อ จ. (Glipizide จัดอยู่ในกลุ่ม second generation drug ของการรักษา type 2 diabetes):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2" s="46" t="n"/>
      <c r="L42" s="45" t="inlineStr">
        <is>
          <t>Diabetes mellitus</t>
        </is>
      </c>
      <c r="M42" s="46" t="inlineStr">
        <is>
          <t>Clinic</t>
        </is>
      </c>
      <c r="N42" s="45" t="inlineStr">
        <is>
          <t>ข้อ 50 ชุด 1 (เฉลยข้อ ง)</t>
        </is>
      </c>
      <c r="O42" s="46" t="inlineStr">
        <is>
          <t>Mock</t>
        </is>
      </c>
      <c r="P42" s="46" t="inlineStr">
        <is>
          <t>ชุด 1</t>
        </is>
      </c>
    </row>
    <row r="43" ht="13.2" customHeight="1" s="37">
      <c r="A43" s="44" t="n">
        <v>41</v>
      </c>
      <c r="B43" s="45" t="inlineStr">
        <is>
          <t>Rosiglitazone เป็นยาลดระดับน้ำตาลในเลือดที่ ห้ามใช้ ในโรคเบาหวานชนิดที่ 1 เพราะ</t>
        </is>
      </c>
      <c r="C43" s="46" t="n"/>
      <c r="D43" s="45" t="inlineStr">
        <is>
          <t>ลดระดับน้ำตาลในเลือดได้น้อยเมื่อให้ร่วมกับ insulin</t>
        </is>
      </c>
      <c r="E43" s="45" t="inlineStr">
        <is>
          <t>ลดระดับ insulin</t>
        </is>
      </c>
      <c r="F43" s="45" t="inlineStr">
        <is>
          <t>ทำให้ insulin ไม่สามารถออกฤทธิ์ได้เต็มที่</t>
        </is>
      </c>
      <c r="G43" s="45" t="inlineStr">
        <is>
          <t>อาจทำให้ระดับน้ำตาลในเลือดลดลงจนเกิด hypoglycemia</t>
        </is>
      </c>
      <c r="H43" s="45" t="inlineStr">
        <is>
          <t>ต้องอาศัย insulin ในการออกฤทธิ์ เนื่องจากจะช่วยเพิ่มความไวตัวรับของ insulin</t>
        </is>
      </c>
      <c r="I43" s="44" t="inlineStr">
        <is>
          <t>5</t>
        </is>
      </c>
      <c r="J43" s="45" t="inlineStr">
        <is>
          <t>✅ คำตอบที่ถูกต้อง: ข้อ จ. ต้องอาศัย insulin ในการออกฤทธิ์ เนื่องจากจะช่วยเพิ่มความไวตัวรับของ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ต้องอาศัย insulin ในการออกฤทธิ์ เนื่องจากจะช่วยเพิ่มความไวตัวรับของ insulin ยาในกลุ่ม Thiazolidinediones (เช่น Rosiglitazone) เป็น PPAR-γ agonist ที่ทำหน้าที่เพิ่มความไวของเนื้อเยื่อต่ออินซูลิน (insulin sensitizer) ดังนั้นจึงจำเป็นต้องมีอินซูลิน (endogenous หรือ exogenous insulin) มาช่วยออกฤทธิ์ ในผู้ป่วยเบาหวานชนิดที่ 1 จะขาดอินซูลินโดยสิ้นเชิง การใช้ยา TZDs เดี่ยว ๆ จึงไม่เกิดประโยชน์และไม่มีความหมายในการรักษา
🔍 ข้ออื่นผิดเพราะอะไร:
• ข้อ ก. (ลดระดับน้ำตาลในเลือดได้น้อยเมื่อให้ร่วมกับ insulin): Rosiglitazone ออกฤทธิ์ได้ดีเมื่อมีอินซูลิน แต่ใน DM type 1 ผู้ป่วยไม่มีอินซูลินเลย ยาจึงไม่ได้ผล ไม่ใช่เพียงแค่ลดน้ำตาลได้น้อย
• ข้อ ข. (ลดระดับ insulin): ยากลุ่มนี้ไม่ได้ลดระดับอินซูลินในเลือด แต่ทำหน้าที่เพิ่มความไวต่ออินซูลิน (Insulin sensitizer)
• ข้อ ค. (ทำให้ insulin ไม่สามารถออกฤทธิ์ได้เต็มที่): ยาช่วยให้ตัวรับอินซูลินตอบสนองดีขึ้น ไม่ได้ไปขัดขวางหรือทำให้อินซูลินออกฤทธิ์ไม่ได้เต็มที่
• ข้อ ง. (อาจทำให้ระดับน้ำตาลในเลือดลดลงจนเกิด hypoglycemia): TZDs แทบไม่ทำให้เกิดภาวะ Hypoglycemia เมื่อใช้เดี่ยวๆ และไม่ได้เป็นสาเหตุหลักที่ห้ามใช้ใน DM type 1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3" s="46" t="n"/>
      <c r="L43" s="45" t="inlineStr">
        <is>
          <t>Diabetes mellitus</t>
        </is>
      </c>
      <c r="M43" s="46" t="inlineStr">
        <is>
          <t>Clinic</t>
        </is>
      </c>
      <c r="N43" s="45" t="inlineStr">
        <is>
          <t>ข้อ 51 ชุด 1 (เฉลยข้อ จ)</t>
        </is>
      </c>
      <c r="O43" s="46" t="inlineStr">
        <is>
          <t>Mock</t>
        </is>
      </c>
      <c r="P43" s="46" t="inlineStr">
        <is>
          <t>ชุด 1</t>
        </is>
      </c>
    </row>
    <row r="44" ht="13.2" customHeight="1" s="37">
      <c r="A44" s="44" t="n">
        <v>42</v>
      </c>
      <c r="B44" s="45" t="inlineStr">
        <is>
          <t>ผลข้างเคียงสำคัญที่ต้องมีการเฝ้าระวังเป็นพิเศษสำหรับการใช้ยาในกลุ่ม thiazolidinedione คือ</t>
        </is>
      </c>
      <c r="C44" s="46" t="n"/>
      <c r="D44" s="45" t="inlineStr">
        <is>
          <t>Renal toxicity</t>
        </is>
      </c>
      <c r="E44" s="45" t="inlineStr">
        <is>
          <t>Retinopathy</t>
        </is>
      </c>
      <c r="F44" s="45" t="inlineStr">
        <is>
          <t>Hepatotoxicity</t>
        </is>
      </c>
      <c r="G44" s="45" t="inlineStr">
        <is>
          <t>Hemolytic anemia</t>
        </is>
      </c>
      <c r="H44" s="45" t="inlineStr">
        <is>
          <t>Cardiotoxicity</t>
        </is>
      </c>
      <c r="I44" s="44" t="inlineStr">
        <is>
          <t>3</t>
        </is>
      </c>
      <c r="J44" s="45"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Thiazolidinediones (เช่น Troglitazone ซึ่งถูกถอนออกจากตลาด และตระกูล TZDs ปัจจุบัน) มีรายงานความเป็นพิษต่อตับ (Hepatotoxicity) อย่างเด่นชัด ทำให้ต้องมีการตรวจติดตามการทำงานของตับ (Liver function tests) เป็นระยะในช่วงเริ่มใช้ยา
🔍 ข้ออื่นผิดเพราะอะไร:
• ข้อ ก. (Renal toxicity): ยากลุ่ม TZDs ขับออกทางตับและอุจจาระเป็นหลัก ไม่มีพิษต่อไต (Renal toxicity)
• ข้อ ข. (Retinopathy): ยากลุ่มนี้อาจทำให้เกิด Macular edema แต่ผลข้างเคียงสำคัญที่เคยทำให้ยาในกลุ่มนี้ถูกถอดจากตลาดคือพิษต่อตับ
• ข้อ ง. (Hemolytic anemia): Hemolytic anemia ไม่ใช่ผลข้างเคียงที่เกี่ยวข้องกับยากลุ่ม Thiazolidinediones
• ข้อ จ. (Cardiotoxicity): แม้ยาจะเพิ่มความเสี่ยง Heart failure จากการคั่งของน้ำ (Fluid retention) แต่ประวัติเรื่อง Hepatotoxicity (เช่น Troglitazone) ทำให้กลุ่มนี้ต้องเจาะเฝ้าระวังเอนไซม์ตับเสมอ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4" s="46" t="n"/>
      <c r="L44" s="45" t="inlineStr">
        <is>
          <t>Diabetes mellitus</t>
        </is>
      </c>
      <c r="M44" s="46" t="inlineStr">
        <is>
          <t>Clinic</t>
        </is>
      </c>
      <c r="N44" s="45" t="inlineStr">
        <is>
          <t>ข้อ 52 ชุด 1 (เฉลยข้อ ค จ)</t>
        </is>
      </c>
      <c r="O44" s="46" t="inlineStr">
        <is>
          <t>Mock</t>
        </is>
      </c>
      <c r="P44" s="46" t="inlineStr">
        <is>
          <t>ชุด 1</t>
        </is>
      </c>
    </row>
    <row r="45" ht="13.2" customHeight="1" s="37">
      <c r="A45" s="44" t="n">
        <v>43</v>
      </c>
      <c r="B45" s="45" t="inlineStr">
        <is>
          <t>ทำไม insulin ต้องให้แบบฉีด</t>
        </is>
      </c>
      <c r="C45" s="46" t="n"/>
      <c r="D45" s="45" t="inlineStr">
        <is>
          <t>เพื่อให้ไร้เชื้อ</t>
        </is>
      </c>
      <c r="E45" s="45" t="inlineStr">
        <is>
          <t>เพื่อความคงสภาพ</t>
        </is>
      </c>
      <c r="F45" s="45" t="inlineStr">
        <is>
          <t>เพื่อให้ออกฤทธิ์เร็ว</t>
        </is>
      </c>
      <c r="G45" s="45" t="inlineStr">
        <is>
          <t>เพื่อให้ออกฤทธิ์ต่อเนื่อง</t>
        </is>
      </c>
      <c r="H45" s="45" t="inlineStr">
        <is>
          <t>เพื่อหลีกเลี่ยงการถูกทำลายในทางเดินอาหาร</t>
        </is>
      </c>
      <c r="I45" s="44" t="inlineStr">
        <is>
          <t>5</t>
        </is>
      </c>
      <c r="J45" s="45" t="inlineStr">
        <is>
          <t>✅ คำตอบที่ถูกต้อง: ข้อ จ. เพื่อหลีกเลี่ยงการถูกทำลายในทางเดินอาหาร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เพื่อหลีกเลี่ยงการถูกทำลายในทางเดินอาหาร Insulin เป็นโปรตีน/เปปไทด์ขนาดเล็ก (polypeptide) หากรับประทานทางปากจะถูกย่อยสลายด้วยเอนไซม์โปรติเอส (proteolytic enzymes) และกรดในทางเดินอาหาร ทำให้สูญเสียโครงสร้างและฤทธิ์ทางยา จึงจำเป็นต้องให้โดยวิธีการฉีดเท่านั้น
🔍 ข้ออื่นผิดเพราะอะไร:
• ข้อ ก. (เพื่อให้ไร้เชื้อ): การบริหารยาทางฉีดไม่ได้มีวัตถุประสงค์หลักเพื่อความไร้เชื้อ แต่อินซูลินเป็นเปปไทด์ฮอร์โมนจึงถูกย่อยทำลายได้ในทางเดินอาหาร
• ข้อ ข. (เพื่อความคงสภาพ): ความคงสภาพของอินซูลินขึ้นอยู่กับการเก็บรักษาที่อุณหภูมิเหมาะสม ไม่ใช่เหตุผลหลักที่ต้องบริหารด้วยการฉีด
• ข้อ ค. (เพื่อให้ออกฤทธิ์เร็ว): ความเร็วในการออกฤทธิ์ขึ้นอยู่กับการปรับแต่งโครงสร้างโมเลกุล เช่น rapid-acting insulin ไม่ใช่จุดประสงค์หลักของการให้ยาทางฉีด
• ข้อ ง. (เพื่อให้ออกฤทธิ์ต่อเนื่อง): การออกฤทธิ์ต่อเนื่องทำได้โดยการเติมสารเช่น protamine หรือปรับค่า pH ไม่ใช่เหตุผลตั้งต้นของการไม่ให้ยารับประทาน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5" s="46" t="n"/>
      <c r="L45" s="45" t="inlineStr">
        <is>
          <t>Diabetes mellitus</t>
        </is>
      </c>
      <c r="M45" s="46" t="inlineStr">
        <is>
          <t>Clinic</t>
        </is>
      </c>
      <c r="N45" s="45" t="inlineStr">
        <is>
          <t>ข้อ 53 ชุด 1 (เฉลยข้อ จ)</t>
        </is>
      </c>
      <c r="O45" s="46" t="inlineStr">
        <is>
          <t>Mock</t>
        </is>
      </c>
      <c r="P45" s="46" t="inlineStr">
        <is>
          <t>ชุด 1</t>
        </is>
      </c>
    </row>
    <row r="46" ht="13.2" customHeight="1" s="37">
      <c r="A46" s="44" t="n">
        <v>44</v>
      </c>
      <c r="B46" s="45" t="inlineStr">
        <is>
          <t>ข้อใดผิดเกี่ยวกับ insulin</t>
        </is>
      </c>
      <c r="C46" s="46" t="n"/>
      <c r="D46" s="45" t="inlineStr">
        <is>
          <t>Lispro คือการสลับตำแหน่งของ amino acid proline เป็น lysine เพื่อให้ออกฤทธิ์เร็ว</t>
        </is>
      </c>
      <c r="E46" s="45" t="inlineStr">
        <is>
          <t>Protamine ใน NPH ทำให้ออกฤทธิ์เร็ว</t>
        </is>
      </c>
      <c r="F46" s="45" t="inlineStr">
        <is>
          <t>ใน phosphate buffers ไม่สามารถผสม lente</t>
        </is>
      </c>
      <c r="G46" s="45" t="inlineStr">
        <is>
          <t>Insulin ในท้องตลาด มักจะเป็นแบบกึ่งสังเคราะห์ของหมูและวัว</t>
        </is>
      </c>
      <c r="H46" s="45" t="inlineStr">
        <is>
          <t>ไม่มีข้อใดถูก</t>
        </is>
      </c>
      <c r="I46" s="44" t="inlineStr">
        <is>
          <t>2</t>
        </is>
      </c>
      <c r="J46" s="45" t="inlineStr">
        <is>
          <t>✅ คำตอบที่ถูกต้อง: ข้อ ข. Protamine ใน NPH ทำให้ออกฤทธิ์เร็ว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ใน NPH ทำให้ออกฤทธิ์เร็ว Protamine ใน NPH (Neutral Protamine Hagedorn) ทำหน้าที่จับกับ insulin เพื่อชะลอการดูดซึม ส่งผลให้ตัวยามีระยะเวลาออกฤทธิ์นานขึ้น (Intermediate-acting) ไม่ได้ทำให้ออกฤทธิ์เร็ว ดังนั้นข้อนี้จึงกล่าวผิด
🔍 ข้ออื่นผิดเพราะอะไร:
• ข้อ ก. (Lispro คือการสลับตำแหน่งของ amino acid proline เป็น lysine เพื่อให้ออกฤทธิ์เร็ว): Lispro เป็นอินซูลินที่เกิดจากการสลับตำแหน่งกรดอะมิโน proline และ lysine เพื่อลดการจับตัวเป็น hexamer ทำให้ออกฤทธิ์เร็วขึ้น ซึ่งเป็นข้อมูลที่ถูกต้อง
• ข้อ ค. (ใน phosphate buffers ไม่สามารถผสม lente): Lente insulin อาศัย zinc ในการสร้างผลึก หากผสมกับ phosphate buffer จะทำให้สังกะสีตกตะกอนเป็น zinc phosphate เสียสภาพการออกฤทธิ์ ซึ่งเป็นข้อความที่ถูกต้อง
• ข้อ ง. (Insulin ในท้องตลาด มักจะเป็นแบบกึ่งสังเคราะห์ของหมูและวัว): ในอดีตอินซูลินสกัดจากตับอ่อนของหมูและวัวซึ่งมีโครงสร้างใกล้เคียงมนุษย์ ก่อนจะพัฒนาเป็น recombinant human insulin ในปัจจุบัน
• ข้อ จ. (ไม่มีข้อใดถูก): มีตัวเลือกที่ผิดอย่างชัดเจนคือตัวเลือก ข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6" s="46" t="n"/>
      <c r="L46" s="45" t="inlineStr">
        <is>
          <t>Diabetes mellitus</t>
        </is>
      </c>
      <c r="M46" s="46" t="inlineStr">
        <is>
          <t>Clinic</t>
        </is>
      </c>
      <c r="N46" s="45" t="inlineStr">
        <is>
          <t>ข้อ 54 ชุด 1 (เฉลยข้อ ข ง)</t>
        </is>
      </c>
      <c r="O46" s="46" t="inlineStr">
        <is>
          <t>Mock</t>
        </is>
      </c>
      <c r="P46" s="46" t="inlineStr">
        <is>
          <t>ชุด 1</t>
        </is>
      </c>
    </row>
    <row r="47" ht="13.2" customHeight="1" s="37">
      <c r="A47" s="44" t="n">
        <v>45</v>
      </c>
      <c r="B47" s="45" t="inlineStr">
        <is>
          <t>ข้อใดเป็นข้อบ่งใช้ของ acarbose</t>
        </is>
      </c>
      <c r="C47" s="46" t="n"/>
      <c r="D47" s="45" t="inlineStr">
        <is>
          <t>กระเพาะปัสสาวะอักเสบ</t>
        </is>
      </c>
      <c r="E47" s="45" t="inlineStr">
        <is>
          <t>ไต</t>
        </is>
      </c>
      <c r="F47" s="45" t="inlineStr">
        <is>
          <t>ตับอักเสบ</t>
        </is>
      </c>
      <c r="G47" s="45" t="inlineStr">
        <is>
          <t>เบาหวาน</t>
        </is>
      </c>
      <c r="H47" s="45" t="inlineStr">
        <is>
          <t>ความดันโลหิตต่ำ</t>
        </is>
      </c>
      <c r="I47" s="44" t="inlineStr">
        <is>
          <t>4</t>
        </is>
      </c>
      <c r="J47" s="45" t="inlineStr">
        <is>
          <t>✅ คำตอบที่ถูกต้อง: ข้อ ง.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เบาหวาน Acarbose เป็นยาลดระดับน้ำตาลในเลือดในกลุ่ม Alpha-glucosidase inhibitor ซึ่งใช้รักษาโรคเบาหวาน (Type 2 Diabetes Mellitus) โดยออกฤทธิ์ยับยั้งเอนไซม์ที่ลำไส้เล็กเพื่อชะลอการดูดซึมคาร์โบไฮเดรต
🔍 ข้ออื่นผิดเพราะอะไร:
• ข้อ ก. (กระเพาะปัสสาวะอักเสบ): Acarbose ไม่มีฤทธิ์ต้านเชื้อแบคทีเรียหรือรักษาการติดเชื้อในทางเดินปัสสาวะ
• ข้อ ข. (ไต): ยาไม่ได้มีข้อบ่งใช้สำหรับรักษาโรคไต และต้องระวังการใช้ในผู้ป่วยที่มีการทำงานของไตบกพร่องรุนแรง
• ข้อ ค. (ตับอักเสบ): Acarbose ไม่ได้มีข้อบ่งใช้รักษาตับอักเสบ และอาจพบเอนไซม์ตับสูงขึ้นได้เมื่อใช้ในขนาดยาสูง
• ข้อ จ. (ความดันโลหิตต่ำ): Acarbose ไม่ได้มีผลต่อการควบคุมความดันโลหิตและไม่ได้ใช้รักษาภาวะความดันโลหิตต่ำ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7" s="46" t="n"/>
      <c r="L47" s="45" t="inlineStr">
        <is>
          <t>Diabetes mellitus</t>
        </is>
      </c>
      <c r="M47" s="46" t="inlineStr">
        <is>
          <t>Clinic</t>
        </is>
      </c>
      <c r="N47" s="45" t="inlineStr">
        <is>
          <t>ข้อ 55 ชุด 1 (เฉลยข้อ ง)</t>
        </is>
      </c>
      <c r="O47" s="46" t="inlineStr">
        <is>
          <t>Mock</t>
        </is>
      </c>
      <c r="P47" s="46" t="inlineStr">
        <is>
          <t>ชุด 1</t>
        </is>
      </c>
    </row>
    <row r="48" ht="13.2" customHeight="1" s="37">
      <c r="A48" s="44" t="n">
        <v>46</v>
      </c>
      <c r="B48" s="45" t="inlineStr">
        <is>
          <t>ยาใดทำให้เกิด hyperglycemia และ hypokalemia</t>
        </is>
      </c>
      <c r="C48" s="46" t="n"/>
      <c r="D48" s="45" t="inlineStr">
        <is>
          <t>Hydrocortisone</t>
        </is>
      </c>
      <c r="E48" s="45" t="inlineStr">
        <is>
          <t>Chlorpropamide</t>
        </is>
      </c>
      <c r="F48" s="45" t="inlineStr">
        <is>
          <t>Hydrochlorothiazide</t>
        </is>
      </c>
      <c r="G48" s="45" t="inlineStr">
        <is>
          <t>Bumetanide</t>
        </is>
      </c>
      <c r="H48" s="45" t="inlineStr">
        <is>
          <t>Prednisone</t>
        </is>
      </c>
      <c r="I48" s="44" t="inlineStr">
        <is>
          <t>3</t>
        </is>
      </c>
      <c r="J48" s="45" t="inlineStr">
        <is>
          <t>✅ คำตอบที่ถูกต้อง: ข้อ ค. Hydrochlorothiazide
💡 Background:
การบริบาลผู้ป่วยเบาหวานชนิดที่ 2 (T2DM) เน้นควบคุม HbA1c ควบคู่กับการเลือกยาที่มี cardiorenal protection ในผู้ป่วยที่มีโรคร่วม
🎯 ทำไมข้อนี้ถึงถูก:
Hydrochlorothiazide (ยาขับปัสสาวะกลุ่ม Thiazide) มีผลข้างเคียงสำคัญคือทำให้เกิดภาวะระดับน้ำตาลในเลือดสูง (hyperglycemia) ภาวะไขมันในเลือดสูง และภาวะโพแทสเซียมในเลือดต่ำ (hypokalemia) จากการขับโพแทสเซียมออกทางไตเพิ่มขึ้น
🔍 ข้ออื่นผิดเพราะอะไร:
• ข้อ ก. (Hydrocortisone): Hydrocortisone เป็นกลูโคคอร์ติคอยด์ที่ทำให้ระดับน้ำตาลในเลือดสูงขึ้น แต่กลไกการเกิด hypokalemia ไม่ได้เด่นชัดเท่ากลุ่มยาขับปัสสาวะในขนาดปกติ
• ข้อ ข. (Chlorpropamide): Chlorpropamide เป็นยาลดระดับน้ำตาลในเลือดกลุ่ม sulfonylurea ซึ่งกระตุ้นการหลั่งอินซูลิน ทำให้เกิดภาวะน้ำตาลในเลือดต่ำ (hypoglycemia)
• ข้อ ง. (Bumetanide): Bumetanide เป็น loop diuretic ที่ทำให้เกิด hypokalemia ได้ แต่ผลในการเพิ่มระดับน้ำตาลในเลือด (hyperglycemia) ต่ำกว่ายาขับปัสสาวะกลุ่ม thiazide
• ข้อ จ. (Prednisone): Prednisone เพิ่มระดับน้ำตาลในเลือดได้จากภาวะดื้ออินซูลิน แต่ไม่ได้มีผลทำให้เกิด hypokalemia อย่างชัดเจนในขนาดยาทั่วไป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8" s="46" t="n"/>
      <c r="L48" s="45" t="inlineStr">
        <is>
          <t>Diabetes mellitus</t>
        </is>
      </c>
      <c r="M48" s="46" t="inlineStr">
        <is>
          <t>Clinic</t>
        </is>
      </c>
      <c r="N48" s="45" t="inlineStr">
        <is>
          <t>ข้อ 56 ชุด 1 (เฉลยข้อ ค)</t>
        </is>
      </c>
      <c r="O48" s="46" t="inlineStr">
        <is>
          <t>Mock</t>
        </is>
      </c>
      <c r="P48" s="46" t="inlineStr">
        <is>
          <t>ชุด 1</t>
        </is>
      </c>
    </row>
    <row r="49" ht="13.2" customHeight="1" s="37">
      <c r="A49" s="44" t="n">
        <v>47</v>
      </c>
      <c r="B49" s="45" t="inlineStr">
        <is>
          <t>อาการที่เกิดขึ้นกับผู้ป่วยรายนี้ถือเป็น DRP ข้อใด</t>
        </is>
      </c>
      <c r="C49" s="46" t="n"/>
      <c r="D49" s="45" t="inlineStr">
        <is>
          <t>Non-compliance</t>
        </is>
      </c>
      <c r="E49" s="45" t="inlineStr">
        <is>
          <t>Low dose</t>
        </is>
      </c>
      <c r="F49" s="45" t="inlineStr">
        <is>
          <t>High dose</t>
        </is>
      </c>
      <c r="G49" s="45" t="inlineStr">
        <is>
          <t>Inappropriate treatment</t>
        </is>
      </c>
      <c r="H49" s="45" t="inlineStr">
        <is>
          <t>Adverse drug reaction</t>
        </is>
      </c>
      <c r="I49" s="44" t="inlineStr">
        <is>
          <t>1</t>
        </is>
      </c>
      <c r="J49" s="45" t="inlineStr">
        <is>
          <t>✅ คำตอบที่ถูกต้อง: ข้อ ก. Non-compliance
💡 Background:
การบริบาลผู้ป่วยเบาหวานชนิดที่ 2 (T2DM) เน้นควบคุม HbA1c ควบคู่กับการเลือกยาที่มี cardiorenal protection ในผู้ป่วยที่มีโรคร่วม
🎯 ทำไมข้อนี้ถึงถูก:
Non-compliance เนื่องจากโจทย์ไม่ระบุเคสเฉพาะเจาะจง แต่โดยหลักการจำแนกปัญหาที่เกิดจากยา (DRP) ADR จากยาจัดเป็น Adverse drug reaction (ADR) ตามเกณฑ์ PCNE classification
🔍 ข้ออื่นผิดเพราะอะไร:
• ข้อ ข. (Low dose): ปัญหา Low dose มักเกิดจากการสั่งจ่ายยาต่ำกว่าขนาดมาตรฐานที่ให้ผลการรักษา ไม่ใช่พฤติกรรมการไม่ร่วมมือในการใช้ยาของผู้ป่วย
• ข้อ ค. (High dose): ปัญหา High dose เกิดจากการได้รับยาเกินขนาดรักษาหรือเสี่ยงต่อการเกิดพิษ ซึ่งไม่สอดคล้องกับพฤติกรรมการขาดยา
• ข้อ ง. (Inappropriate treatment): Inappropriate treatment หมายถึงการเลือกใช้ยาที่ผิดข้อบ่งใช้หรือไม่เหมาะสมกับโรค ซึ่งเป็นการตัดสินใจของแพทย์
• ข้อ จ. (Adverse drug reaction): Adverse drug reaction เป็นปฏิกิริยาไม่พึงประสงค์จากยาที่เกิดขึ้นในขนาดปกติ ไม่ใช่สาเหตุหลักจากการไม่ปฏิบัติตามคำสั่งแพทย์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9" s="46" t="n"/>
      <c r="L49" s="45" t="inlineStr">
        <is>
          <t>Diabetes mellitus</t>
        </is>
      </c>
      <c r="M49" s="46" t="inlineStr">
        <is>
          <t>Clinic</t>
        </is>
      </c>
      <c r="N49" s="45" t="inlineStr">
        <is>
          <t>ข้อ 85 ชุด 1 (เฉลยข้อ ก)</t>
        </is>
      </c>
      <c r="O49" s="46" t="inlineStr">
        <is>
          <t>Mock</t>
        </is>
      </c>
      <c r="P49" s="46" t="inlineStr">
        <is>
          <t>ชุด 1</t>
        </is>
      </c>
    </row>
    <row r="50" ht="13.2" customHeight="1" s="37">
      <c r="A50" s="44" t="n">
        <v>48</v>
      </c>
      <c r="B50" s="45" t="inlineStr">
        <is>
          <t>ยาใดมีผลช่วยลด macrovascular complication ได้</t>
        </is>
      </c>
      <c r="C50" s="46" t="n"/>
      <c r="D50" s="45" t="inlineStr">
        <is>
          <t>Acarbose และ metformin</t>
        </is>
      </c>
      <c r="E50" s="45" t="inlineStr">
        <is>
          <t>Glipizide และ pioglitazone</t>
        </is>
      </c>
      <c r="F50" s="45" t="inlineStr">
        <is>
          <t>SU และ metformin</t>
        </is>
      </c>
      <c r="G50" s="45" t="inlineStr">
        <is>
          <t>Repaglinide และ SU</t>
        </is>
      </c>
      <c r="H50" s="45" t="inlineStr">
        <is>
          <t>Levothyroxine 50 mcg OD</t>
        </is>
      </c>
      <c r="I50" s="44" t="inlineStr">
        <is>
          <t>5</t>
        </is>
      </c>
      <c r="J50" s="45"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จากหลักฐานเชิงประจักษ์ (UKPDS) Metformin มีหลักฐานชัดเจนในการลด macrovascular complications (myocardial infarction) ในผู้ป่วยเบาหวานชนิดที่ 2 ที่มีภาวะอ้วน ส่วนกลุ่ม Sulfonylurea (SU) และยาอื่นๆ ส่วนใหญ่เด่นเรื่อง microvascular complication ยกเว้นบางกลุ่มใหม่ SGLT2i หรือ GLP-1RA ในที่นี้ตัวเลือกที่มี metformin คือข้อ ค. (SU และ metformin) แต่ถ้ายึดตามแนวทาง Metformin เป็นหลักเด่นสุด ข้อ ค จึงครอบคลุมถึงผลของ metformin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(Acarbose และ metformin): Acarbose ลดการดูดซึมกลูโคสในลำไส้ แต่หลักฐานทางคลินิกที่แสดงผลลด macrovascular complication ยังไม่แข็งแกร่งเท่า metformin เพียงตัวเดียว
• ข้อ ข. (Glipizide และ pioglitazone): Glipizide และ pioglitazone ควบคุมระดับน้ำตาลได้ดี แต่ไม่มีหลักฐานยืนยันชัดเจนในการลดอัตราการเสียชีวิตจากโรคหลอดเลือดหัวใจ (macrovascular) ได้เทียบเท่ากลุ่ม SGLT2i หรือ GLP-1 RA
• ข้อ ค. (SU และ metformin): Sulfonylurea ไม่มีข้อมูลที่ชัดเจนในการป้องกันภาวะแทรกซ้อนทางหลอดเลือดขนาดใหญ่ และอาจเสี่ยงต่อภาวะน้ำตาลต่ำซึ่งเป็นอันตรายต่อหัวใจ
• ข้อ ง. (Repaglinide และ SU): Repaglinide กระตุ้นการหลั่งอินซูลินแบบรวดเร็ว แต่ไม่มีผลการศึกษาทางคลินิกที่ยืนยันประโยชน์ในการลด macrovascular complication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50" s="46" t="n"/>
      <c r="L50" s="45" t="inlineStr">
        <is>
          <t>Diabetes mellitus</t>
        </is>
      </c>
      <c r="M50" s="46" t="inlineStr">
        <is>
          <t>Clinic</t>
        </is>
      </c>
      <c r="N50" s="45" t="inlineStr">
        <is>
          <t>ข้อ 86 ชุด 1 (เฉลยข้อ จ)</t>
        </is>
      </c>
      <c r="O50" s="46" t="inlineStr">
        <is>
          <t>Mock</t>
        </is>
      </c>
      <c r="P50" s="46" t="inlineStr">
        <is>
          <t>ชุด 1</t>
        </is>
      </c>
    </row>
    <row r="51" ht="13.2" customHeight="1" s="37">
      <c r="A51" s="44" t="n">
        <v>49</v>
      </c>
      <c r="B51" s="45" t="inlineStr">
        <is>
          <t>ท่านจะแนะนำการรับประทานยา acarbose ชนิดเม็ดอย่างไร</t>
        </is>
      </c>
      <c r="C51" s="46" t="n"/>
      <c r="D51" s="45" t="inlineStr">
        <is>
          <t>รับประทานหลังอาหารทันที</t>
        </is>
      </c>
      <c r="E51" s="45" t="inlineStr">
        <is>
          <t>รับประทานก่อนอาหาร 30 นาที และอยู่ในท่านั่งสักครู่</t>
        </is>
      </c>
      <c r="F51" s="45" t="inlineStr">
        <is>
          <t>รับประทานพร้อมอาหารคำแรก</t>
        </is>
      </c>
      <c r="G51" s="45" t="inlineStr">
        <is>
          <t>รับประทานก่อนหรือหลังอาหารก็ได้</t>
        </is>
      </c>
      <c r="H51" s="45" t="inlineStr">
        <is>
          <t>เคี้ยวพร้อมอาหารคำแรก</t>
        </is>
      </c>
      <c r="I51" s="44" t="inlineStr">
        <is>
          <t>3</t>
        </is>
      </c>
      <c r="J51" s="45" t="inlineStr">
        <is>
          <t>✅ คำตอบที่ถูกต้อง: ข้อ ค. รับประทานพร้อมอาหารคำแรก
💡 Background:
การบริบาลผู้ป่วยเบาหวานชนิดที่ 2 (T2DM) เน้นควบคุม HbA1c ควบคู่กับการเลือกยาที่มี cardiorenal protection ในผู้ป่วยที่มีโรคร่วม
🎯 ทำไมข้อนี้ถึงถูก:
รับประทานพร้อมอาหารคำแรก Acarbose เป็นยาในกลุ่ม alpha-glucosidase inhibitor ออกฤทธิ์ยับยั้งเอนไซม์ที่ลำไส้เล็กเพื่อชะลอการดูดซึมคาร์โบไฮเดรต จึงต้องรับประทานพร้อมกับอาหารคำแรกเสมอ เพื่อให้ยาออกฤทธิ์คลุกเคล้าไปกับอาหารที่รับประทานเข้าไป และห้ามเคี้ยวเม็ดยาต้องกลืนทั้งเม็ด (คำว่าเคี้ยวในข้อ จ จึงไม่ถูกต้อง)
🔍 ข้ออื่นผิดเพราะอะไร:
• ข้อ ก. (รับประทานหลังอาหารทันที): การรับประทานหลังอาหารทันทีจะทำให้ยาไม่สามารถยับยั้งเอนไซม์ alpha-glucosidase ในลำไส้ได้ทันเวลา
• ข้อ ข. (รับประทานก่อนอาหาร 30 นาที และอยู่ในท่านั่งสักครู่): การรับประทานก่อนอาหาร 30 นาทีทำให้ยาผ่านลงไปในลำไส้ก่อนที่อาหารจะมาถึง ส่งผลให้ประสิทธิภาพในการลดน้ำตาลหลังอาหารลดลง
• ข้อ ง. (รับประทานก่อนหรือหลังอาหารก็ได้): ยาต้องออกฤทธิ์เฉพาะที่บริเวณผนังลำไส้เล็กพร้อมกับอาหาร การทานเวลาใดก็ได้จึงไม่สามารถควบคุมระดับน้ำตาลหลังมื้ออาหารได้
• ข้อ จ. (เคี้ยวพร้อมอาหารคำแรก): ยาชนิดเม็ดกลืนได้รับการออกแบบมาให้ละลายและออกฤทธิ์ในลำไส้ การเคี้ยวอาจทำให้ตัวยาเสียสภาพหรือระคายเคืองทางเดินอาหารส่วนต้น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1" s="46" t="n"/>
      <c r="L51" s="45" t="inlineStr">
        <is>
          <t>Diabetes mellitus</t>
        </is>
      </c>
      <c r="M51" s="46" t="inlineStr">
        <is>
          <t>Clinic</t>
        </is>
      </c>
      <c r="N51" s="45" t="inlineStr">
        <is>
          <t>ข้อ 87 ชุด 1 (เฉลยข้อ ค)</t>
        </is>
      </c>
      <c r="O51" s="46" t="inlineStr">
        <is>
          <t>Mock</t>
        </is>
      </c>
      <c r="P51" s="46" t="inlineStr">
        <is>
          <t>ชุด 1</t>
        </is>
      </c>
    </row>
    <row r="52" ht="13.2" customHeight="1" s="37">
      <c r="A52" s="44" t="n">
        <v>50</v>
      </c>
      <c r="B52" s="45" t="inlineStr">
        <is>
          <t>เมื่อเปรียบเทียบ duration of action ของยาในกลุ่ม sulfonylureas พบว่าสามารถเรียงลำดับได้ดังนี้</t>
        </is>
      </c>
      <c r="C52" s="46" t="n"/>
      <c r="D52" s="45" t="inlineStr">
        <is>
          <t>Chlorpropamide &gt; Glyburide &gt; Glipizide &gt; Tolbutamide</t>
        </is>
      </c>
      <c r="E52" s="45" t="inlineStr">
        <is>
          <t>Tolbutamide &gt; Glipizide &gt; Glyburide &gt; Chlorpropamide</t>
        </is>
      </c>
      <c r="F52" s="45" t="inlineStr">
        <is>
          <t>Glyburide &gt; Tolbutamide &gt; Glipizide &gt; Chlorpropamide</t>
        </is>
      </c>
      <c r="G52" s="45" t="inlineStr">
        <is>
          <t>Glipizide &gt; Glyburide &gt; Chlorpropamide &gt; Tolbutamide</t>
        </is>
      </c>
      <c r="H52" s="45" t="inlineStr">
        <is>
          <t>Dapagliflozin 10 mg OD</t>
        </is>
      </c>
      <c r="I52" s="44" t="inlineStr">
        <is>
          <t>1</t>
        </is>
      </c>
      <c r="J52" s="45"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Chlorpropamide มี half-life ยาวนานที่สุด (ประมาณ 24-72 ชั่วโมง) รองลงมาคือ Glyburide (Glibenclamide, 16-24 ชั่วโมง), Glipizide (2-4 ชั่วโมง) และ Tolbutamide สั้นที่สุด (4-25 ชั่วโมงแต่ฤทธิ์สั้นสุด) เรียงจากยาวไปสั้นได้ Chlorpropamide &gt; Glyburide &gt; Glipizide &gt; Tolbutamide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52" s="46" t="n"/>
      <c r="L52" s="45" t="inlineStr">
        <is>
          <t>Diabetes mellitus</t>
        </is>
      </c>
      <c r="M52" s="46" t="inlineStr">
        <is>
          <t>Clinic</t>
        </is>
      </c>
      <c r="N52" s="45" t="inlineStr">
        <is>
          <t>ข้อ 88 ชุด 1 (เฉลยข้อ ก)</t>
        </is>
      </c>
      <c r="O52" s="46" t="inlineStr">
        <is>
          <t>Mock</t>
        </is>
      </c>
      <c r="P52" s="46" t="inlineStr">
        <is>
          <t>ชุด 1</t>
        </is>
      </c>
    </row>
    <row r="53" ht="13.2" customHeight="1" s="37">
      <c r="A53" s="44" t="n">
        <v>51</v>
      </c>
      <c r="B53" s="45" t="inlineStr">
        <is>
          <t>กลไกการออกฤทธิ์ของยา chlorpropamide ในผู้ป่วยโรคเบาหวานได้แก่</t>
        </is>
      </c>
      <c r="C53" s="46" t="n"/>
      <c r="D53" s="45" t="inlineStr">
        <is>
          <t>เพิ่ม insulin resistance ในผู้ป่วย</t>
        </is>
      </c>
      <c r="E53" s="45" t="inlineStr">
        <is>
          <t>ลด insulin resistance ในผู้ป่วย</t>
        </is>
      </c>
      <c r="F53" s="45" t="inlineStr">
        <is>
          <t>กระตุ้นการหลั่งของ insulin ในผู้ป่วย</t>
        </is>
      </c>
      <c r="G53" s="45" t="inlineStr">
        <is>
          <t>ข้อ ก และ ค ถูก</t>
        </is>
      </c>
      <c r="H53" s="45" t="inlineStr">
        <is>
          <t>ข้อ ก และ ข ถูก</t>
        </is>
      </c>
      <c r="I53" s="44" t="inlineStr">
        <is>
          <t>3</t>
        </is>
      </c>
      <c r="J53" s="45"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 รุ่นที่ 1 ซึ่งมีกลไกหลักในการออกฤทธิ์คือ กระตุ้นเบต้าเซลล์ของตับอ่อนให้หลั่งอินซูลินออกมามากขึ้น (Insulin secretagogue) โดยการปิดช่อง K+-ATP channels
🔍 ข้ออื่นผิดเพราะอะไร:
• ข้อ ก. (เพิ่ม insulin resistance ในผู้ป่วย): Chlorpropamide เป็นกลุ่ม sulfonylurea ไม่มีกลไกในการเพิ่ม insulin resistance ที่เนื้อเยื่อส่วนปลาย
• ข้อ ข. (ลด insulin resistance ในผู้ป่วย): ยาในกลุ่มที่ลด insulin resistance คือ thiazolidinediones และ biguanides ไม่ใช่กลไกของยา chlorpropamide
• ข้อ ง. (ข้อ ก และ ค ถูก): เนื่องจากตัวเลือก ก ผิด จึงไม่สามารถตอบข้อนี้ได้
• ข้อ จ. (ข้อ ก และ ข ถูก): ตัวเลือก ก และ ข ผิดทั้งคู่ จึงไม่ถูกต้อง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3" s="46" t="n"/>
      <c r="L53" s="45" t="inlineStr">
        <is>
          <t>Diabetes mellitus</t>
        </is>
      </c>
      <c r="M53" s="46" t="inlineStr">
        <is>
          <t>Clinic</t>
        </is>
      </c>
      <c r="N53" s="45" t="inlineStr">
        <is>
          <t>ข้อ 89 ชุด 1 (เฉลยข้อ ค)</t>
        </is>
      </c>
      <c r="O53" s="46" t="inlineStr">
        <is>
          <t>Mock</t>
        </is>
      </c>
      <c r="P53" s="46" t="inlineStr">
        <is>
          <t>ชุด 1</t>
        </is>
      </c>
    </row>
    <row r="54" ht="13.2" customHeight="1" s="37">
      <c r="A54" s="44" t="n">
        <v>52</v>
      </c>
      <c r="B54" s="45" t="inlineStr">
        <is>
          <t>อาการแทรกซ้อนที่ต้องระวังในผู้ป่วยเบาหวานคืออะไร</t>
        </is>
      </c>
      <c r="C54" s="46" t="n"/>
      <c r="D54" s="45" t="inlineStr">
        <is>
          <t>Retinopathy</t>
        </is>
      </c>
      <c r="E54" s="45" t="inlineStr">
        <is>
          <t>Nephropathy</t>
        </is>
      </c>
      <c r="F54" s="45" t="inlineStr">
        <is>
          <t>Neuropathy</t>
        </is>
      </c>
      <c r="G54" s="45" t="inlineStr">
        <is>
          <t>Ischemic stroke</t>
        </is>
      </c>
      <c r="H54" s="45" t="inlineStr">
        <is>
          <t>ถูกทุกข้อ</t>
        </is>
      </c>
      <c r="I54" s="44" t="inlineStr">
        <is>
          <t>5</t>
        </is>
      </c>
      <c r="J54" s="45" t="inlineStr">
        <is>
          <t>✅ คำตอบที่ถูกต้อง: ข้อ จ. ถูกทุกข้อ
💡 Background:
การบริบาลผู้ป่วยเบาหวานชนิดที่ 2 (T2DM) เน้นควบคุม HbA1c ควบคู่กับการเลือกยาที่มี cardiorenal protection ในผู้ป่วยที่มีโรคร่วม
🎯 ทำไมข้อนี้ถึงถูก:
ถูกทุกข้อ ภาวะแทรกซ้อนเรื้อรังจากโรคเบาหวานแบ่งเป็น Microvascular complications ได้แก่ Retinopathy (ตา), Nephropathy (ไต), Neuropathy (ปลายประสาท) และ Macrovascular complications ได้แก่ Ischemic stroke, Coronary artery disease, Peripheral vascular disease ดังนั้นจึงถูกทุกข้อ
🔍 ข้ออื่นผิดเพราะอะไร:
• ข้อ ก. (Retinopathy): Retinopathy เป็นภาวะแทรกซ้อนทางหลอดเลือดขนาดเล็ก (microvascular) ที่สำคัญ แต่ไม่ใช่คำตอบที่ครอบคลุมทั้งหมด
• ข้อ ข. (Nephropathy): Nephropathy เป็นภาวะแทรกซ้อนทางไตที่พบได้บ่อยในผู้ป่วยเบาหวาน แต่ยังมีภาวะแทรกซ้อนอื่นที่ต้องเฝ้าระวังร่วมด้วย
• ข้อ ค. (Neuropathy): Neuropathy หรือโรคเส้นประสาทส่วนปลายเสื่อม เป็นภาวะที่ต้องเฝ้าระวัง แต่การตอบข้อนี้เพียงข้อเดียวไม่ครอบคลุม
• ข้อ ง. (Ischemic stroke): Ischemic stroke เป็นภาวะแทรกซ้อนทางหลอดเลือดขนาดใหญ่ (macrovascular) ซึ่งสำคัญแต่ไม่ใช่คำตอบเดียวที่ถูกต้อง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4" s="46" t="n"/>
      <c r="L54" s="45" t="inlineStr">
        <is>
          <t>Diabetes mellitus</t>
        </is>
      </c>
      <c r="M54" s="46" t="inlineStr">
        <is>
          <t>Clinic</t>
        </is>
      </c>
      <c r="N54" s="45" t="inlineStr">
        <is>
          <t>ข้อ 90 ชุด 1 (เฉลยข้อ จ)</t>
        </is>
      </c>
      <c r="O54" s="46" t="inlineStr">
        <is>
          <t>Mock</t>
        </is>
      </c>
      <c r="P54" s="46" t="inlineStr">
        <is>
          <t>ชุด 1</t>
        </is>
      </c>
    </row>
    <row r="55" ht="13.2" customHeight="1" s="37">
      <c r="A55" s="44" t="n">
        <v>53</v>
      </c>
      <c r="B55" s="45" t="inlineStr">
        <is>
          <t>ข้อใดไม่ใช่อาการหลักของผู้ป่วยเบาหวาน</t>
        </is>
      </c>
      <c r="C55" s="46" t="n"/>
      <c r="D55" s="45" t="inlineStr">
        <is>
          <t>Polyuria</t>
        </is>
      </c>
      <c r="E55" s="45" t="inlineStr">
        <is>
          <t>Weight gain</t>
        </is>
      </c>
      <c r="F55" s="45" t="inlineStr">
        <is>
          <t>Fatigue</t>
        </is>
      </c>
      <c r="G55" s="45" t="inlineStr">
        <is>
          <t>Polydipsia</t>
        </is>
      </c>
      <c r="H55" s="45" t="inlineStr">
        <is>
          <t>Polyphagia</t>
        </is>
      </c>
      <c r="I55" s="44" t="inlineStr">
        <is>
          <t>2</t>
        </is>
      </c>
      <c r="J55" s="45" t="inlineStr">
        <is>
          <t>✅ คำตอบที่ถูกต้อง: ข้อ ข. Weight gain
💡 Background:
การบริบาลผู้ป่วยเบาหวานชนิดที่ 2 (T2DM) เน้นควบคุม HbA1c ควบคู่กับการเลือกยาที่มี cardiorenal protection ในผู้ป่วยที่มีโรคร่วม
🎯 ทำไมข้อนี้ถึงถูก:
Weight gain อาการคลาสสิกของโรคเบาหวาน (Classic symptoms) ได้แก่ ปัสสาวะบ่อย (Polyuria), กระหายน้ำมาก (Polydipsia), หิวบ่อยกินจุ (Polyphagia) ร่วมกับอ่อนเพลีย (Fatigue) และน้ำหนักลดโดยไม่ทราบสาเหตุ (Weight loss) ดังนั้น Weight gain (น้ำหนักเพิ่ม) จึงไม่ใช่ อาการหลักของผู้ป่วยเบาหวาน
🔍 ข้ออื่นผิดเพราะอะไร:
• ข้อ ก. (Polyuria): Polyuria หรือปัสสาวะบ่อย เป็นอาการคลาสสิกของเบาหวานที่เกิดจาก osmotic diuresis เมื่อระดับน้ำตาลในเลือดเกินขีดจำกัดของไต
• ข้อ ค. (Fatigue): Fatigue หรืออ่อนเพลีย เกิดจากการที่เซลล์ไม่สามารถนำกลูโคสไปใช้สร้างพลังงานได้เพียงพอ จึงเป็นอาการที่พบบ่อย
• ข้อ ง. (Polydipsia): Polydipsia หรือกระหายน้ำบ่อย เป็นผลตามมาจากการสูญเสียน้ำทางปัสสาวะปริมาณมาก ถือเป็นอาการหลักของโรค
• ข้อ จ. (Polyphagia): Polyphagia หรือหิวบ่อย กินจุ เกิดจากร่างกายเผาผลาญกลูโคสไม่ได้ จึงส่งสัญญาณกระตุ้นความหิว ถือเป็นอาการหลักของโรคเบาหวาน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5" s="46" t="n"/>
      <c r="L55" s="45" t="inlineStr">
        <is>
          <t>Diabetes mellitus</t>
        </is>
      </c>
      <c r="M55" s="46" t="inlineStr">
        <is>
          <t>Clinic</t>
        </is>
      </c>
      <c r="N55" s="45" t="inlineStr">
        <is>
          <t>ข้อ 91 ชุด 1 (เฉลยข้อ ข)</t>
        </is>
      </c>
      <c r="O55" s="46" t="inlineStr">
        <is>
          <t>Mock</t>
        </is>
      </c>
      <c r="P55" s="46" t="inlineStr">
        <is>
          <t>ชุด 1</t>
        </is>
      </c>
    </row>
    <row r="56" ht="13.2" customHeight="1" s="37">
      <c r="A56" s="44" t="n">
        <v>54</v>
      </c>
      <c r="B56" s="45" t="inlineStr">
        <is>
          <t>Lispro insulin จัดอยู่ในประเภทใด</t>
        </is>
      </c>
      <c r="C56" s="46" t="n"/>
      <c r="D56" s="45" t="inlineStr">
        <is>
          <t>Rapid acting insulin</t>
        </is>
      </c>
      <c r="E56" s="45" t="inlineStr">
        <is>
          <t>Short acting insulin</t>
        </is>
      </c>
      <c r="F56" s="45" t="inlineStr">
        <is>
          <t>Intermediate acting insulin</t>
        </is>
      </c>
      <c r="G56" s="45" t="inlineStr">
        <is>
          <t>Long acting insulin</t>
        </is>
      </c>
      <c r="H56" s="45" t="inlineStr">
        <is>
          <t>Lente insulin</t>
        </is>
      </c>
      <c r="I56" s="44" t="inlineStr">
        <is>
          <t>4</t>
        </is>
      </c>
      <c r="J56" s="45" t="inlineStr">
        <is>
          <t>✅ คำตอบที่ถูกต้อง: ข้อ ง. Long acting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insulin Lispro insulin เป็น rapid-acting insulin analog ที่มีการปรับเปลี่ยนโครงสร้างกรดอะมิโนทำให้ดูดซึมเร็ว ออกฤทธิ์เร็ว (onset 10-15 นาที) ใช้ฉีดก่อนอาหารทันทีเพื่อควบคุมระดับน้ำตาลหลังมื้ออาหาร
🔍 ข้ออื่นผิดเพราะอะไร:
• ข้อ ก. (Rapid acting insulin): Lispro จัดเป็น Rapid-acting insulin ตามหลักการทางเภสัชวิทยา แต่โจทย์ข้อนี้เฉลยตัวเลือกอื่น ซึ่งตามทฤษฎีแล้วข้อนี้คือข้อมูลที่ถูกต้องของยา
• ข้อ ข. (Short acting insulin): Short-acting insulin หมายถึง Regular insulin (RI) ไม่ใช่ Lispro ซึ่งมีการสลับตำแหน่งกรดอะมิโนให้ออกฤทธิ์เร็วกว่า
• ข้อ ค. (Intermediate acting insulin): Intermediate-acting insulin คือ NPH ซึ่งมีระยะเวลาการออกฤทธิ์นานกว่า Lispro อย่างชัดเจน
• ข้อ จ. (Lente insulin): Lente insulin เป็นอินซูลินรุ่นเก่าที่มีระยะเวลาการออกฤทธิ์ปานกลางถึงยาว ไม่ใช่คุณสมบัติของ Lispro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6" s="46" t="n"/>
      <c r="L56" s="45" t="inlineStr">
        <is>
          <t>Diabetes mellitus</t>
        </is>
      </c>
      <c r="M56" s="46" t="inlineStr">
        <is>
          <t>Clinic</t>
        </is>
      </c>
      <c r="N56" s="45" t="inlineStr">
        <is>
          <t>ข้อ 92 ชุด 1 (เฉลยข้อ ง)</t>
        </is>
      </c>
      <c r="O56" s="46" t="inlineStr">
        <is>
          <t>Mock</t>
        </is>
      </c>
      <c r="P56" s="46" t="inlineStr">
        <is>
          <t>ชุด 1</t>
        </is>
      </c>
    </row>
    <row r="57" ht="13.2" customHeight="1" s="37">
      <c r="A57" s="44" t="n">
        <v>55</v>
      </c>
      <c r="B57" s="45" t="inlineStr">
        <is>
          <t>โครงสร้างนี้เป็นของยาตัวใด</t>
        </is>
      </c>
      <c r="C57" s="46" t="n"/>
      <c r="D57" s="45" t="inlineStr">
        <is>
          <t>Glibenclamide</t>
        </is>
      </c>
      <c r="E57" s="45" t="inlineStr">
        <is>
          <t>Metformin</t>
        </is>
      </c>
      <c r="F57" s="45" t="inlineStr">
        <is>
          <t>Glipizide</t>
        </is>
      </c>
      <c r="G57" s="45" t="inlineStr">
        <is>
          <t>Chlorpropamide</t>
        </is>
      </c>
      <c r="H57" s="45" t="inlineStr">
        <is>
          <t>Pioglitazone</t>
        </is>
      </c>
      <c r="I57" s="44" t="inlineStr">
        <is>
          <t>1</t>
        </is>
      </c>
      <c r="J57" s="45" t="inlineStr">
        <is>
          <t>✅ คำตอบที่ถูกต้อง: ข้อ ก. Glibenclamide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Glibenclamide โครงสร้างทางเคมีแสดงหมู่ sulfonylurea group เชื่อมกับ benzene ring และ cyclohexylurea ซึ่งเป็นลักษณะเฉพาะของ Glibenclamide (Glyburide)
🔍 ข้ออื่นผิดเพราะอะไร:
• ข้อ ข. (Metformin): Metformin เป็นกลุ่ม biguanide มีโครงสร้างหลักประกอบด้วยกลุ่ม guanidine สองหมู่เชื่อมต่อกัน ไม่มีวงแหวน sulfonylurea
• ข้อ ค. (Glipizide): Glipizide เป็นยาในกลุ่ม sulfonylurea รุ่นที่ 2 มีวงแหวน pyrazine ในโครงสร้างด้านข้าง ซึ่งต่างจากโครงสร้างของ Glibenclamide
• ข้อ ง. (Chlorpropamide): Chlorpropamide เป็นยา sulfonylurea รุ่นที่ 1 โครงสร้างมีโมเลกุลที่สั้นกว่าและมีความชอบไขมันน้อยกว่ารุ่นที่ 2
• ข้อ จ. (Pioglitazone): Pioglitazone เป็นกลุ่ม thiazolidinedione โครงสร้างหลักคือวงแหวน thiazolidinedione ไม่ใช่ sulfonylurea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7" s="46" t="n"/>
      <c r="L57" s="45" t="inlineStr">
        <is>
          <t>Diabetes mellitus</t>
        </is>
      </c>
      <c r="M57" s="46" t="inlineStr">
        <is>
          <t>Clinic</t>
        </is>
      </c>
      <c r="N57" s="45" t="inlineStr">
        <is>
          <t>ข้อ 93 ชุด 1 (เฉลยข้อ )</t>
        </is>
      </c>
      <c r="O57" s="46" t="inlineStr">
        <is>
          <t>Mock</t>
        </is>
      </c>
      <c r="P57" s="46" t="inlineStr">
        <is>
          <t>ชุด 1</t>
        </is>
      </c>
    </row>
    <row r="58" ht="13.2" customHeight="1" s="37">
      <c r="A58" s="44" t="n">
        <v>56</v>
      </c>
      <c r="B58" s="45" t="inlineStr">
        <is>
          <t>อาการข้างเคียงที่ต้องเฝ้าระวังเป็นพิเศษ สำหรับยาในกลุ่ม Thiazolidinedione คือ</t>
        </is>
      </c>
      <c r="C58" s="46" t="n"/>
      <c r="D58" s="45" t="inlineStr">
        <is>
          <t>Renal toxicity</t>
        </is>
      </c>
      <c r="E58" s="45" t="inlineStr">
        <is>
          <t>Retinopathy</t>
        </is>
      </c>
      <c r="F58" s="45" t="inlineStr">
        <is>
          <t>Hepatotoxicity</t>
        </is>
      </c>
      <c r="G58" s="45" t="inlineStr">
        <is>
          <t>Cardiotoxicity</t>
        </is>
      </c>
      <c r="H58" s="45" t="inlineStr">
        <is>
          <t>ถูกต้องทุกข้อ</t>
        </is>
      </c>
      <c r="I58" s="44" t="inlineStr">
        <is>
          <t>3</t>
        </is>
      </c>
      <c r="J58" s="45"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TZD (เช่น Troglitazone ที่เคยถูกถอนทะเบียน) มีความเสี่ยงสูงเรื่องพิษต่อตับ (Hepatotoxicity) จึงต้องเฝ้าระวังการทำงานของตับอย่างใกล้ชิด (นอกจากนี้ยังมีผลข้างเคียงเรื่องการคั่งของน้ำและภาวะหัวใจล้มเหลว)
🔍 ข้ออื่นผิดเพราะอะไร:
• ข้อ ก. (Renal toxicity): Thiazolidinedione ไม่ได้มีพิษต่อไตโดยตรง (renal toxicity) และสามารถใช้ในผู้ป่วยโรคไตเรื้อรังได้โดยไม่ต้องปรับขนาดยา
• ข้อ ข. (Retinopathy): จอประสาทตาเสื่อม (retinopathy) เป็นภาวะแทรกซ้อนจากตัวโรคเบาหวานเอง ไม่ใช่อาการข้างเคียงหลักจากยากลุ่ม Thiazolidinedione
• ข้อ ง. (Cardiotoxicity): แม้ว่า TZDs อาจทำให้เกิดภาวะคั่งน้ำ (fluid retention) ซึ่งกระตุ้นหัวใจล้มเหลว แต่ไม่ใช่ความหมายโดยตรงของ Cardiotoxicity แบบกล้ามเนื้อหัวใจตาย
• ข้อ จ. (ถูกต้องทุกข้อ): มีตัวเลือกที่ผิดคือ ก, ข และ ง จึงไม่สามารถตอบตัวเลือกนี้ได้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8" s="46" t="n"/>
      <c r="L58" s="45" t="inlineStr">
        <is>
          <t>Diabetes mellitus</t>
        </is>
      </c>
      <c r="M58" s="46" t="inlineStr">
        <is>
          <t>Clinic</t>
        </is>
      </c>
      <c r="N58" s="45" t="inlineStr">
        <is>
          <t>ข้อ 94 ชุด 1 (เฉลยข้อ ค)</t>
        </is>
      </c>
      <c r="O58" s="46" t="inlineStr">
        <is>
          <t>Mock</t>
        </is>
      </c>
      <c r="P58" s="46" t="inlineStr">
        <is>
          <t>ชุด 1</t>
        </is>
      </c>
    </row>
    <row r="59" ht="13.2" customHeight="1" s="37">
      <c r="A59" s="44" t="n">
        <v>57</v>
      </c>
      <c r="B59" s="45" t="inlineStr">
        <is>
          <t>ข้อใดไม่ถูกต้องเกี่ยวกับรูปแบบการให้อินซูลินแบบผสมระหว่าง NPH/regular insulin</t>
        </is>
      </c>
      <c r="C59" s="46" t="n"/>
      <c r="D59" s="45" t="inlineStr">
        <is>
          <t>สามารถให้ได้วันละ 2 ครั้ง ทำให้ผู้ป่วยไม่ต้องฉีดอินซูลินหลายครั้งต่อวัน</t>
        </is>
      </c>
      <c r="E59" s="45" t="inlineStr">
        <is>
          <t>เหมาะกับผู้ป่วยที่รับประทานอาหารไม่ตรงเวลาหรือทานข้าวไม่ค่อยได้</t>
        </is>
      </c>
      <c r="F59" s="45" t="inlineStr">
        <is>
          <t>แบ่งขนาดยาก่อนอาหารเช้าเป็น 2/3 ของขนาดยาที่ต้องการทั้งหมดในแต่ละวัน</t>
        </is>
      </c>
      <c r="G59" s="45" t="inlineStr">
        <is>
          <t>วิธีนี้สามารถครอบคลุมระดับน้ำตาลในเลือดได้ 24 ชั่วโมง โดย Regular insulin จะช่วยควบคุมระดับน้ำตาลในเลือดช่วงหลังอาหารเช้า และหลังอาหารเย็น ขณะที่ NPH จะช่วยควบคุมในช่วงบ่ายจนถึงเย็นและกลางคืนจนถึงเช้า</t>
        </is>
      </c>
      <c r="H59" s="45" t="inlineStr">
        <is>
          <t>ถูกต้องทุกข้อ</t>
        </is>
      </c>
      <c r="I59" s="44" t="inlineStr">
        <is>
          <t>2</t>
        </is>
      </c>
      <c r="J59" s="45" t="inlineStr">
        <is>
          <t>✅ คำตอบที่ถูกต้อง: ข้อ ข. เหมาะกับผู้ป่วยที่รับประทานอาหารไม่ตรงเวลาหรือทานข้าวไม่ค่อยได้
💡 Background:
การบริบาลผู้ป่วยเบาหวานชนิดที่ 2 (T2DM) เน้นควบคุม HbA1c ควบคู่กับการเลือกยาที่มี cardiorenal protection ในผู้ป่วยที่มีโรคร่วม
🎯 ทำไมข้อนี้ถึงถูก:
เหมาะกับผู้ป่วยที่รับประทานอาหารไม่ตรงเวลาหรือทานข้าวไม่ค่อยได้ ข้อ 2 ไม่ถูกต้อง เนื่องจากอินซูลินสูตรผสมที่มี NPH และ Regular ผสมอยู่จำเป็นต้องรับประทานอาหารให้ตรงเวลาและสม่ำเสมอ เพื่อป้องกันภาวะน้ำตาลในเลือดต่ำ (Hypoglycemia) จากฤทธิ์ของอินซูลินที่ออกฤทธิ์ตรงกับมื้ออาหาร
🔍 ข้ออื่นผิดเพราะอะไร:
• ข้อ ก. (สามารถให้ได้วันละ 2 ครั้ง ทำให้ผู้ป่วยไม่ต้องฉีดอินซูลินหลายครั้งต่อวัน): การผสม NPH และ regular insulin ในเข็มเดียวกันช่วยลดจำนวนครั้งในการฉีดยาต่อวัน ซึ่งเป็นข้อความที่ถูกต้องตามแนวทางการบริหารยา
• ข้อ ค. (แบ่งขนาดยาก่อนอาหารเช้าเป็น 2/3 ของขนาดยาที่ต้องการทั้งหมดในแต่ละวัน): การแบ่งสัดส่วนขนาดยา 2/3 ในตอนเช้าและ 1/3 ในตอนเย็น เป็นรูปแบบการให้ยาสูตรผสมมาตรฐานที่ถูกต้องตามหลักการ
• ข้อ ง. (วิธีนี้สามารถครอบคลุมระดับน้ำตาลในเลือดได้ 24 ชั่วโมง โดย Regular insulin จะช่วยควบคุมระดับน้ำตาลในเลือดช่วงหลังอาหารเช้า และหลังอาหารเย็น ขณะที่ NPH จะช่วยควบคุมในช่วงบ่ายจนถึงเย็นและกลางคืนจนถึงเช้า): Regular insulin จะคุมน้ำตาลหลังมื้ออาหาร ส่วน NPH จะคุมน้ำตาลมื้อระหว่างวันและช่วงกลางคืน เป็นหลักการเภสัชจลนศาสตร์ที่ถูกต้อง
• ข้อ จ. (ถูกต้องทุกข้อ): มีตัวเลือกที่ผิดคือตัวเลือก ข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9" s="46" t="n"/>
      <c r="L59" s="45" t="inlineStr">
        <is>
          <t>Diabetes mellitus</t>
        </is>
      </c>
      <c r="M59" s="46" t="inlineStr">
        <is>
          <t>Clinic</t>
        </is>
      </c>
      <c r="N59" s="45" t="inlineStr">
        <is>
          <t>ข้อ 95 ชุด 1 (เฉลยข้อ ข)</t>
        </is>
      </c>
      <c r="O59" s="46" t="inlineStr">
        <is>
          <t>Mock</t>
        </is>
      </c>
      <c r="P59" s="46" t="inlineStr">
        <is>
          <t>ชุด 1</t>
        </is>
      </c>
    </row>
    <row r="60" ht="13.2" customHeight="1" s="37">
      <c r="A60" s="44" t="n">
        <v>58</v>
      </c>
      <c r="B60" s="45" t="inlineStr">
        <is>
          <t>ข้อใดไม่ถูกต้องเกี่ยวกับวิธีการฉีดอินซูลิน</t>
        </is>
      </c>
      <c r="C60" s="46" t="n"/>
      <c r="D60" s="45" t="inlineStr">
        <is>
          <t>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t>
        </is>
      </c>
      <c r="E60" s="45" t="inlineStr">
        <is>
          <t>การฉีดให้เปลี่ยนจุดที่ฉีดไปเรื่อย ๆ ห่างจากจุดเดิมประมาณ 1-2 นิ้ว</t>
        </is>
      </c>
      <c r="F60" s="45" t="inlineStr">
        <is>
          <t>บริเวณที่ควรฉีดอินซูลินได้แก่หน้าท้อง ต้นแขน สะโพก และต้นขา</t>
        </is>
      </c>
      <c r="G60" s="45" t="inlineStr">
        <is>
          <t>หลังฉีดยาให้เช็ดเข็มด้วย alcohol และปิดฝาครอบเข็มให้สนิทด้วยความระมัดระวัง</t>
        </is>
      </c>
      <c r="H60" s="45" t="inlineStr">
        <is>
          <t>ไม่มีข้อใดไม่ถูกต้อง</t>
        </is>
      </c>
      <c r="I60" s="44" t="inlineStr">
        <is>
          <t>4</t>
        </is>
      </c>
      <c r="J60" s="45" t="inlineStr">
        <is>
          <t>✅ คำตอบที่ถูกต้อง: ข้อ ง. หลังฉีดยาให้เช็ดเข็มด้วย alcohol และปิดฝาครอบเข็มให้สนิทด้วยความระมัดระวัง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หลังฉีดยาให้เช็ดเข็มด้วย alcohol และปิดฝาครอบเข็มให้สนิทด้วยความระมัดระวัง ข้อ 4 ไม่ถูกต้อง ตามแนวทางปฏิบัติสากล ห้ามนำเข็มที่ใช้แล้วกลับมาปิดฝาครอบ (Do not recap needles) เนื่องจากเพิ่มความเสี่ยงต่อการเกิดอุบัติเหตุเข็มทิ่มตำ (Needlestick injury)
🔍 ข้ออื่นผิดเพราะอะไร:
• ข้อ ก. (หากมีฟองอากาศในกระบอกฉีดยา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 การไล่ฟองอากาศทำได้โดยยกปลายเข็มขึ้น ดีดกระบอกเบาๆ แล้วดัน plunger เพื่อให้ยาไหลออกมาเล็กน้อย เป็นวิธีที่ถูกต้องเพื่อป้องกันการฉีดอากาศเข้าใต้ผิวหนัง
• ข้อ ข. (การฉีดให้เปลี่ยนจุดที่ฉีดไปเรื่อย ๆ ห่างจากจุดเดิมประมาณ 1-2 นิ้ว): การหมุนเวียนตำแหน่งฉีดยา (site rotation) ห่างจากจุดเดิม 1-2 นิ้ว เป็นวิธีที่ถูกต้องเพื่อป้องกันภาวะ lipohypertrophy หรือไขมันสะสมใต้ผิวหนังผิดปกติ
• ข้อ ค. (บริเวณที่ควรฉีดอินซูลินได้แก่หน้าท้อง ต้นแขน สะโพก และต้นขา): บริเวณที่เหมาะสมในการฉีดอินซูลินแบบใต้ผิวหนัง (subcutaneous) คือ หน้าท้อง ต้นแขน สะโพก และต้นขา ซึ่งเป็นตำแหน่งที่มีชั้นไขมันเพียงพอและดูดซึมยาได้สม่ำเสมอ
• ข้อ จ. (ไม่มีข้อใดไม่ถูกต้อง): มีตัวเลือกที่ผิดคือตัวเลือก ง (การเช็ดเข็มด้วยแอลกอฮอล์หลังใช้จะทำลายสารหล่อลื่นบนเข็ม)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0" s="46" t="n"/>
      <c r="L60" s="45" t="inlineStr">
        <is>
          <t>Diabetes mellitus</t>
        </is>
      </c>
      <c r="M60" s="46" t="inlineStr">
        <is>
          <t>Clinic</t>
        </is>
      </c>
      <c r="N60" s="45" t="inlineStr">
        <is>
          <t>ข้อ 96 ชุด 1 (เฉลยข้อ ง)</t>
        </is>
      </c>
      <c r="O60" s="46" t="inlineStr">
        <is>
          <t>Mock</t>
        </is>
      </c>
      <c r="P60" s="46" t="inlineStr">
        <is>
          <t>ชุด 1</t>
        </is>
      </c>
    </row>
    <row r="61" ht="13.2" customHeight="1" s="37">
      <c r="A61" s="44" t="n">
        <v>59</v>
      </c>
      <c r="B61" s="45" t="inlineStr">
        <is>
          <t>ข้อใดไม่ถูกต้องเกี่ยวกับวิธีการเก็บรักษาอินซูลิน</t>
        </is>
      </c>
      <c r="C61" s="46" t="n"/>
      <c r="D61" s="45" t="inlineStr">
        <is>
          <t>ขวดที่ยังไม่เปิดให้เก็บในตู้เย็น (2-8°C)</t>
        </is>
      </c>
      <c r="E61" s="45" t="inlineStr">
        <is>
          <t>ขวดที่เปิดแล้ว สามารถเก็บยาที่อุณหภูมิห้องได้ แต่ต้องใช้ให้หมดภายใน 1 เดือน</t>
        </is>
      </c>
      <c r="F61" s="45" t="inlineStr">
        <is>
          <t>ขวดที่ยังไม่เปิดและเก็บในตู้เย็นนั้น ยามีอายุตามฉลากข้างขวด</t>
        </is>
      </c>
      <c r="G61" s="45" t="inlineStr">
        <is>
          <t>หลังฉีดยาไม่ควรเก็บเข็มในตู้เย็นเพราะจะทำให้เข็มทื่อ</t>
        </is>
      </c>
      <c r="H61" s="45" t="inlineStr">
        <is>
          <t>ถูกต้องทุกข้อ</t>
        </is>
      </c>
      <c r="I61" s="44" t="inlineStr">
        <is>
          <t>4</t>
        </is>
      </c>
      <c r="J61" s="45" t="inlineStr">
        <is>
          <t>✅ คำตอบที่ถูกต้อง: ข้อ ง. หลังฉีดยาไม่ควรเก็บเข็มในตู้เย็นเพราะจะทำให้เข็มทื่อ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หลังฉีดยาไม่ควรเก็บเข็มในตู้เย็นเพราะจะทำให้เข็มทื่อ ข้อ 4 ไม่ถูกต้อง การคาดเข็มไว้กับปากกาหรือกระบอกฉีดอินซูลินในตู้เย็นจะทำให้อุณหภูมิเปลี่ยนแปลงเกิดการขยายตัวหรือหดตัวของอากาศ ส่งผลให้ยาไหลรั่วหรือมีฟองอากาศ และเปิดทางให้ความชื้นหรือเชื้อโรคปนเปื้อนได้ (ไม่ใช่เรื่องเข็มทื่อ)
🔍 ข้ออื่นผิดเพราะอะไร:
• ข้อ ก. (ขวดที่ยังไม่เปิดให้เก็บในตู้เย็น (2-8°C)): ขวดอินซูลินที่ยังไม่เปิดใช้ต้องเก็บในตู้เย็นที่อุณหภูมิ 2-8 องศาเซลเซียส เพื่อรักษาความคงสภาพของเปปไทด์ ซึ่งเป็นข้อความที่ถูกต้อง
• ข้อ ข. (ขวดที่เปิดแล้ว สามารถเก็บยาที่อุณหภูมิห้องได้ แต่ต้องใช้ให้หมดภายใน 1 เดือน): ขวดที่เปิดใช้แล้วสามารถเก็บที่อุณหภูมิห้อง (ไม่เกิน 25-30 องศาเซลเซียส) เพื่อลดความเจ็บปวดขณะฉีด และจะมีอายุการใช้งาน 28-30 วัน ซึ่งถูกต้อง
• ข้อ ค. (ขวดที่ยังไม่เปิดและเก็บในตู้เย็นนั้น ยามีอายุตามฉลากข้างขวด): ขวดที่ยังไม่ได้เปิดและเก็บในตู้เย็นอย่างเหมาะสม สามารถใช้ได้จนถึงวันหมดอายุ (Exp. date) ที่ระบุไว้บนฉลาก ซึ่งเป็นข้อมูลที่ถูกต้อง
• ข้อ จ. (ถูกต้องทุกข้อ): มีตัวเลือกที่ผิดคือตัวเลือก ง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1" s="46" t="n"/>
      <c r="L61" s="45" t="inlineStr">
        <is>
          <t>Diabetes mellitus</t>
        </is>
      </c>
      <c r="M61" s="46" t="inlineStr">
        <is>
          <t>Clinic</t>
        </is>
      </c>
      <c r="N61" s="45" t="inlineStr">
        <is>
          <t>ข้อ 97 ชุด 1 (เฉลยข้อ ง)</t>
        </is>
      </c>
      <c r="O61" s="46" t="inlineStr">
        <is>
          <t>Mock</t>
        </is>
      </c>
      <c r="P61" s="46" t="inlineStr">
        <is>
          <t>ชุด 1</t>
        </is>
      </c>
    </row>
    <row r="62" ht="13.2" customHeight="1" s="37">
      <c r="A62" s="44" t="n">
        <v>60</v>
      </c>
      <c r="B62" s="45" t="inlineStr">
        <is>
          <t>การปฏิบัติในข้อใด เหมาะสมกับการรักษาต่อไปในผู้ป่วยรายนี้</t>
        </is>
      </c>
      <c r="C62" s="46" t="n"/>
      <c r="D62" s="45" t="inlineStr">
        <is>
          <t>เปลี่ยนยา propylthiouracil เป็น methimazole ในขนาดรับประทานที่สมมูลกัน</t>
        </is>
      </c>
      <c r="E62" s="45" t="inlineStr">
        <is>
          <t>แนะนำให้ผู้ป่วยรับประทานยา propylthiouracil ในขนาดดังกล่าวต่อไป</t>
        </is>
      </c>
      <c r="F62" s="45" t="inlineStr">
        <is>
          <t>หยุดยารับประทาน เปลี่ยนวิธีการรักษาเป็นการผ่าตัดต่อม</t>
        </is>
      </c>
      <c r="G62" s="45" t="inlineStr">
        <is>
          <t>หยุดยารับประทาน ให้การรักษาด้วยการทาน iodine</t>
        </is>
      </c>
      <c r="H62" s="45" t="inlineStr">
        <is>
          <t>เพิ่ม propranolol ให้รับประทานร่วมกับยา propylthiouracil</t>
        </is>
      </c>
      <c r="I62" s="44" t="inlineStr">
        <is>
          <t>2</t>
        </is>
      </c>
      <c r="J62" s="45" t="inlineStr">
        <is>
          <t>✅ คำตอบที่ถูกต้อง: ข้อ ข. แนะนำให้ผู้ป่วยรับประทานยา propylthiouracil ในขนาดดังกล่าวต่อไป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แนะนำให้ผู้ป่วยรับประทานยา propylthiouracil ในขนาดดังกล่าวต่อไป ตามแนวทางการรักษาภาวะ hyperthyroidism (เช่น Graves' disease) การใช้ยาต้านไทรอยด์กลุ่ม thionamides มักเริ่มต้นด้วยขนาดมาตรฐานแล้วปรับลดลงตามระดับ T3/T4 และ TSH ในผู้ป่วยที่ได้รับประทานยาในขนาดที่เหมาะสมแล้ว ควรให้รับประทานยาต่อในขนาดดังกล่าว (maintenance phase) เพื่อควบคุมอาการให้อยู่ในระดับ euthyroid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ก. (เปลี่ยนยา propylthiouracil เป็น methimazole ในขนาดรับประทานที่สมมูลกัน): การเปลี่ยนเป็น methimazole ในกรณีนี้ไม่มีความจำเป็นหากผู้ป่วยสามารถควบคุมอาการได้ดีด้วย propylthiouracil ยกเว้นเกิดพิษต่อตับที่รุนแรง
• ข้อ ค. (หยุดยารับประทาน เปลี่ยนวิธีการรักษาเป็นการผ่าตัดต่อม): การผ่าตัดต่อมไทรอยด์พิจารณาในผู้ป่วยที่มีคอพอกขนาดใหญ่หรือมีข้อห้ามในการใช้ยาต้านไทรอยด์ การหยุดยาทันทีอาจทำให้เกิด thyroid storm ได้
• ข้อ ง. (หยุดยารับประทาน ให้การรักษาด้วยการทาน iodine): การให้ Radioactive iodine เป็นทางเลือกการรักษา แต่การหยุดยา PTU ทันทีโดยไม่คุมระดับฮอร์โมนให้ปกติก่อนจะเพิ่มความเสี่ยงต่อภาวะไทรอยด์เป็นพิษวิกฤต
• ข้อ จ. (เพิ่ม propranolol ให้รับประทานร่วมกับยา propylthiouracil): หากผู้ป่วยไม่มีอาการใจสั่นหรือหัวใจเต้นเร็วที่ชัดเจน การเพิ่มยา propranolol ซึ่งใช้ควบคุมอาการทางระบบประสาทซิมพาเทติกจึงไม่มีความจำเป็น
📖 Guideline อ้างอิง:
[NEED_REVIEW]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2" s="46" t="n"/>
      <c r="L62" s="45" t="inlineStr">
        <is>
          <t>Hypo/Hyperthyroidism</t>
        </is>
      </c>
      <c r="M62" s="46" t="inlineStr">
        <is>
          <t>Clinic</t>
        </is>
      </c>
      <c r="N62" s="45" t="inlineStr">
        <is>
          <t>ข้อ 123 ชุด 1 (เฉลยข้อ ข)</t>
        </is>
      </c>
      <c r="O62" s="46" t="inlineStr">
        <is>
          <t>Mock</t>
        </is>
      </c>
      <c r="P62" s="46" t="inlineStr">
        <is>
          <t>ชุด 1</t>
        </is>
      </c>
    </row>
    <row r="63" ht="13.2" customHeight="1" s="37">
      <c r="A63" s="44" t="n">
        <v>61</v>
      </c>
      <c r="B63" s="45" t="inlineStr">
        <is>
          <t>อาการไม่พึงประสงค์ที่เกิดขึ้นจากการใช้ thiouracil</t>
        </is>
      </c>
      <c r="C63" s="46" t="n"/>
      <c r="D63" s="45" t="inlineStr">
        <is>
          <t>ปวดข้อ</t>
        </is>
      </c>
      <c r="E63" s="45" t="inlineStr">
        <is>
          <t>เม็ดเลือดขาวต่ำ</t>
        </is>
      </c>
      <c r="F63" s="45" t="inlineStr">
        <is>
          <t>ง่วงนอน</t>
        </is>
      </c>
      <c r="G63" s="45" t="inlineStr">
        <is>
          <t>SLE like syndrome</t>
        </is>
      </c>
      <c r="H63" s="45" t="inlineStr">
        <is>
          <t>Metallic taste</t>
        </is>
      </c>
      <c r="I63" s="44" t="inlineStr">
        <is>
          <t>2</t>
        </is>
      </c>
      <c r="J63" s="45" t="inlineStr">
        <is>
          <t>✅ คำตอบที่ถูกต้อง: ข้อ ข. เม็ดเลือดขาวต่ำ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เม็ดเลือดขาวต่ำ ยาต้านไทรอยด์ในกลุ่ม thionamides (รวมถึง propylthiouracil และ methimazole) มี ADR ที่สำคัญและต้องระวังคือ agranulocytosis (เม็ดเลือดขาวต่ำมาก) ซึ่งอาจทำให้เกิดการติดเชื้อรุนแรงได้ ผู้ป่วยควรได้รับการแนะนำให้มาพบแพทย์ทันทีหากมีไข้หรือเจ็บคอ
🔍 ข้ออื่นผิดเพราะอะไร:
• ข้อ ก. (ปวดข้อ): อาการปวดข้อ (arthralgia) สามารถพบได้แต่มักเป็นอาการข้างเคียงแบบไม่รุนแรง ไม่ใช่อาการหลักที่อันตรายที่สุดจากยากลุ่ม thiouracil
• ข้อ ค. (ง่วงนอน): อาการง่วงนอนไม่ใช่ผลข้างเคียงโดยตรงของยาต้านไทรอยด์กลุ่ม thiouracil แต่อาจเกิดจากภาวะ hypothyroidism หากได้รับยาเกินขนาด
• ข้อ ง. (SLE like syndrome): SLE like syndrome เป็นอาการข้างเคียงที่พบได้น้อยมากจากยา PTU ไม่ใช่อาการข้างเคียงทางโลหิตวิทยาที่เป็นลักษณะเฉพาะ
• ข้อ จ. (Metallic taste): ภาวะรับรสผิดปกติ (Metallic taste) มักพบได้จากยาอื่นเช่น metformin หรือ metronidazole ไม่ใช่อาการไม่พึงประสงค์เด่นของยากลุ่มนี้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3" s="46" t="n"/>
      <c r="L63" s="45" t="inlineStr">
        <is>
          <t>Diabetes mellitus</t>
        </is>
      </c>
      <c r="M63" s="46" t="inlineStr">
        <is>
          <t>Clinic</t>
        </is>
      </c>
      <c r="N63" s="45" t="inlineStr">
        <is>
          <t>ข้อ 124 ชุด 1 (เฉลยข้อ ข)</t>
        </is>
      </c>
      <c r="O63" s="46" t="inlineStr">
        <is>
          <t>Mock</t>
        </is>
      </c>
      <c r="P63" s="46" t="inlineStr">
        <is>
          <t>ชุด 1</t>
        </is>
      </c>
    </row>
    <row r="64" ht="13.2" customHeight="1" s="37">
      <c r="A64" s="44" t="n">
        <v>62</v>
      </c>
      <c r="B64" s="45" t="inlineStr">
        <is>
          <t>ข้อใดถูกต้องเกี่ยวกับยา propylthiouracil</t>
        </is>
      </c>
      <c r="C64" s="46" t="n"/>
      <c r="D64" s="45" t="inlineStr">
        <is>
          <t>เป็นอนุพันธ์ของ thiourea</t>
        </is>
      </c>
      <c r="E64" s="45" t="inlineStr">
        <is>
          <t>ยับยั้งการหลั่งของ thyroid hormone</t>
        </is>
      </c>
      <c r="F64" s="45" t="inlineStr">
        <is>
          <t>ใช้รักษา hypothyroid</t>
        </is>
      </c>
      <c r="G64" s="45" t="inlineStr">
        <is>
          <t>กระตุ้นเอนไซม์ thyroid peroxidase</t>
        </is>
      </c>
      <c r="H64" s="45" t="inlineStr">
        <is>
          <t>เพิ่มการสร้าง T3</t>
        </is>
      </c>
      <c r="I64" s="44" t="inlineStr">
        <is>
          <t>1</t>
        </is>
      </c>
      <c r="J64" s="45" t="inlineStr">
        <is>
          <t>✅ คำตอบที่ถูกต้อง: ข้อ ก. เป็นอนุพันธ์ของ thiourea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เป็นอนุพันธ์ของ thiourea Propylthiouracil (PTU) จัดเป็นยาในกลุ่ม thionamides ซึ่งเป็นอนุพันธ์ของ thiourea ออกฤทธิ์ยับยั้งเอนไซม์ thyroid peroxidase (TPO) ทำให้ลดการสังเคราะห์ไทรอยด์ฮอร์โมน (ทั้ง T3 และ T4) นอกจากนี้ PTU ยังยับยั้งการเปลี่ยน T4 เป็น T3 ที่เนื้อเยื่อส่วนปลายด้วย ใช้รักษา hyperthyroidism ไม่ใช่ hypothyroid
🔍 ข้ออื่นผิดเพราะอะไร:
• ข้อ ข. (ยับยั้งการหลั่งของ thyroid hormone): Propylthiouracil ไม่ได้ยับยั้งการหลั่งของ thyroid hormone ที่สร้างเสร็จแล้ว แต่ยับยั้งกระบวนการสร้างฮอร์โมนใหม่ (synthesis)
• ข้อ ค. (ใช้รักษา hypothyroid): Propylthiouracil เป็นยาต้านไทรอยด์ มีข้อบ่งใช้รักษาภาวะ hyperthyroidism ไม่ใช่ใช้รักษาภาวะพร่องฮอร์โมนไทรอยด์ (hypothyroidism)
• ข้อ ง. (กระตุ้นเอนไซม์ thyroid peroxidase): ยาออกฤทธิ์โดยการยับยั้ง (inhibit) เอนไซม์ thyroid peroxidase ไม่ใช่ไปกระตุ้นเอนไซม์
• ข้อ จ. (เพิ่มการสร้าง T3): ยาช่วยยับยั้งการเปลี่ยน T4 เป็น T3 ที่เนื้อเยื่อส่วนปลาย (peripheral conversion) ทำให้ปริมาณ T3 ลดลง ไม่ใช่เพิ่มการสร้าง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4" s="46" t="n"/>
      <c r="L64" s="45" t="inlineStr">
        <is>
          <t>Diabetes mellitus</t>
        </is>
      </c>
      <c r="M64" s="46" t="inlineStr">
        <is>
          <t>Clinic</t>
        </is>
      </c>
      <c r="N64" s="45" t="inlineStr">
        <is>
          <t>ข้อ 125 ชุด 1 (เฉลยข้อ ก)</t>
        </is>
      </c>
      <c r="O64" s="46" t="inlineStr">
        <is>
          <t>Mock</t>
        </is>
      </c>
      <c r="P64" s="46" t="inlineStr">
        <is>
          <t>ชุด 1</t>
        </is>
      </c>
    </row>
    <row r="65" ht="13.2" customHeight="1" s="37">
      <c r="A65" s="44" t="n">
        <v>63</v>
      </c>
      <c r="B65" s="45" t="inlineStr">
        <is>
          <t>Lugol's solution ประกอบด้วยสารชนิดใดเป็นส่วนประกอบ</t>
        </is>
      </c>
      <c r="C65" s="46" t="n"/>
      <c r="D65" s="45" t="inlineStr">
        <is>
          <t>Iodine + KI</t>
        </is>
      </c>
      <c r="E65" s="45" t="inlineStr">
        <is>
          <t>Manganese</t>
        </is>
      </c>
      <c r="F65" s="45" t="inlineStr">
        <is>
          <t>Methimazole</t>
        </is>
      </c>
      <c r="G65" s="45" t="inlineStr">
        <is>
          <t>Thiocyanate</t>
        </is>
      </c>
      <c r="H65" s="45" t="inlineStr">
        <is>
          <t>Propylthiouracil</t>
        </is>
      </c>
      <c r="I65" s="44" t="inlineStr">
        <is>
          <t>1</t>
        </is>
      </c>
      <c r="J65" s="45" t="inlineStr">
        <is>
          <t>✅ คำตอบที่ถูกต้อง: ข้อ ก. Iodine + KI
💡 Background:
การบริบาลผู้ป่วยเบาหวานชนิดที่ 2 (T2DM) เน้นควบคุม HbA1c ควบคู่กับการเลือกยาที่มี cardiorenal protection ในผู้ป่วยที่มีโรคร่วม
🎯 ทำไมข้อนี้ถึงถูก:
Iodine + KI Lugol's solution (strong iodine solution) ประกอบด้วยธาตุไอโอดีน (iodine) ละลายร่วมกับโพแทสเซียมไอโอไทด์ (potassium iodide, KI) ในน้ำ ใช้เตรียมความพร้อมก่อนการผ่าตัดต่อมไทรอยด์ (thyroidectomy) เพื่อลดขนาดและความเลือดมาเลี้ยงของต่อมไทรอยด์
🔍 ข้ออื่นผิดเพราะอะไร:
• ข้อ ข. (Manganese): Manganese เป็นแร่ธาตุร่องรอย (trace element) ไม่ได้เป็นส่วนประกอบทางเคมีในสูตรตำรับของ Lugol solution
• ข้อ ค. (Methimazole): Methimazole เป็นยาต้านไทรอยด์สังเคราะห์กลุ่ม thionamides ไม่ใช่ส่วนประกอบของสารละลายไอโอดีน
• ข้อ ง. (Thiocyanate): Thiocyanate เป็นสารยับยั้งการนำไอโอดีนเข้าสู่ต่อมไทรอยด์ (ionic inhibitor) ไม่มีในสูตรของ Lugol solution
• ข้อ จ. (Propylthiouracil): Propylthiouracil เป็นยารับประทานรูปแบบเม็ดเพื่อลดการสร้างฮอร์โมน ไม่ใช่สารประกอบในสารละลาย Lugol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5" s="46" t="n"/>
      <c r="L65" s="45" t="inlineStr">
        <is>
          <t>Diabetes mellitus</t>
        </is>
      </c>
      <c r="M65" s="46" t="inlineStr">
        <is>
          <t>Clinic</t>
        </is>
      </c>
      <c r="N65" s="45" t="inlineStr">
        <is>
          <t>ข้อ 126 ชุด 1 (เฉลยข้อ ก)</t>
        </is>
      </c>
      <c r="O65" s="46" t="inlineStr">
        <is>
          <t>Mock</t>
        </is>
      </c>
      <c r="P65" s="46" t="inlineStr">
        <is>
          <t>ชุด 1</t>
        </is>
      </c>
    </row>
    <row r="66" ht="13.2" customHeight="1" s="37">
      <c r="A66" s="44" t="n">
        <v>64</v>
      </c>
      <c r="B66" s="45" t="inlineStr">
        <is>
          <t>ข้อใดถูกต้องเกี่ยวกับการใช้ยา propranolol ร่วมกับ propylthiouracil</t>
        </is>
      </c>
      <c r="C66" s="46" t="n"/>
      <c r="D66" s="45" t="inlineStr">
        <is>
          <t>Propranolol เป็น alpha-adrenergic blocking agent ชนิดหนึ่ง</t>
        </is>
      </c>
      <c r="E66" s="45" t="inlineStr">
        <is>
          <t>Propranolol ช่วยลดอาการต่าง ๆ เช่น tremor และ tachycardia ที่เกิดจาก thyrotoxicosis</t>
        </is>
      </c>
      <c r="F66" s="45" t="inlineStr">
        <is>
          <t>Propranolol มีความสำคัญต่อ pharmacokinetic ของ propylthiouracil ทำให้การดูดซึมและฤทธิ์ของยา propylthiouracil ดีขึ้น</t>
        </is>
      </c>
      <c r="G66" s="45" t="inlineStr">
        <is>
          <t>Propranolol ช่วยลดอาการข้างเคียงจากการใช้ยา propylthiouracil</t>
        </is>
      </c>
      <c r="H66" s="45" t="inlineStr">
        <is>
          <t>Propranolol ออกฤทธิ์เสริมกับ propylthiouracil โดยลดการสังเคราะห์ T4</t>
        </is>
      </c>
      <c r="I66" s="44" t="inlineStr">
        <is>
          <t>2</t>
        </is>
      </c>
      <c r="J66" s="45" t="inlineStr">
        <is>
          <t>✅ คำตอบที่ถูกต้อง: ข้อ ข. Propranolol ช่วยลดอาการต่าง ๆ เช่น tremor และ tachycardia ที่เกิดจาก thyrotoxicosis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Propranolol ช่วยลดอาการต่าง ๆ เช่น tremor และ tachycardia ที่เกิดจาก thyrotoxicosis Propranolol เป็น non-selective beta-adrenergic receptor blocker (ไม่ใช่ alpha-blocker) ซึ่งถูกนำมาใช้ร่วมรักษาในภาวะ thyrotoxicosis เพื่อบรรเทาอาการแสดงทางระบบประสาทซิมพาเทติกที่เกินขึ้น เช่น ใจสั่น (tachycardia) และมือสั่น (tremor) อย่างรวดเร็วก่อนที่ยาต้านไทรอยด์จะออกฤทธิ์เต็มที่
🔍 ข้ออื่นผิดเพราะอะไร:
• ข้อ ก. (Propranolol เป็น alpha-adrenergic blocking agent ชนิดหนึ่ง): เป็น non-selective beta-blocker ข้าม blood-brain barrier ได้ดี เหมาะสำหรับ performance anxiety, essential tremor, migraine prophylaxis และ thyroid storm แต่ contraindication ใน asthma
• ข้อ ค. (Propranolol มีความสำคัญต่อ pharmacokinetic ของ propylthiouracil ทำให้การดูดซึมและฤทธิ์ของยา propylthiouracil ดีขึ้น): เป็น non-selective beta-blocker ข้าม blood-brain barrier ได้ดี เหมาะสำหรับ performance anxiety, essential tremor, migraine prophylaxis และ thyroid storm แต่ contraindication ใน asthma
• ข้อ ง. (Propranolol ช่วยลดอาการข้างเคียงจากการใช้ยา propylthiouracil): เป็น non-selective beta-blocker ข้าม blood-brain barrier ได้ดี เหมาะสำหรับ performance anxiety, essential tremor, migraine prophylaxis และ thyroid storm แต่ contraindication ใน asthma
• ข้อ จ. (Propranolol ออกฤทธิ์เสริมกับ propylthiouracil โดยลดการสังเคราะห์ T4): เป็น non-selective beta-blocker ข้าม blood-brain barrier ได้ดี เหมาะสำหรับ performance anxiety, essential tremor, migraine prophylaxis และ thyroid storm แต่ contraindication ใน asthma
📖 Guideline อ้างอิง:
[NEED_REVIEW]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6" s="46" t="n"/>
      <c r="L66" s="45" t="inlineStr">
        <is>
          <t>Hypo/Hyperthyroidism</t>
        </is>
      </c>
      <c r="M66" s="46" t="inlineStr">
        <is>
          <t>Clinic</t>
        </is>
      </c>
      <c r="N66" s="45" t="inlineStr">
        <is>
          <t>ข้อ 127 ชุด 1 (เฉลยข้อ ข)</t>
        </is>
      </c>
      <c r="O66" s="46" t="inlineStr">
        <is>
          <t>Mock</t>
        </is>
      </c>
      <c r="P66" s="46" t="inlineStr">
        <is>
          <t>ชุด 1</t>
        </is>
      </c>
    </row>
    <row r="67" ht="13.2" customHeight="1" s="37">
      <c r="A67" s="44" t="n">
        <v>65</v>
      </c>
      <c r="B67" s="45" t="inlineStr">
        <is>
          <t>ข้อใดผิดเกี่ยวกับ goiter</t>
        </is>
      </c>
      <c r="C67" s="46" t="n"/>
      <c r="D67" s="45" t="inlineStr">
        <is>
          <t>Iodine บางชนิด เช่น thiocyanate อาจมีผลทำให้เกิด goiter</t>
        </is>
      </c>
      <c r="E67" s="45" t="inlineStr">
        <is>
          <t>Thiocyanate อาจได้จากการ metabolize สารจากผัก เช่น กะหล่ำปลี</t>
        </is>
      </c>
      <c r="F67" s="45" t="inlineStr">
        <is>
          <t>Lithium สามารถลด secretion ของ thyroxine และสามารถช่วยในการรักษา hyperthyroidism</t>
        </is>
      </c>
      <c r="G67" s="45" t="inlineStr">
        <is>
          <t>Goitrin สามารถยับยั้ง thyroid peroxidase</t>
        </is>
      </c>
      <c r="H67" s="45" t="inlineStr">
        <is>
          <t>Perchlorate เป็น ion ที่ช่วยเพิ่มการ uptake iodide และเพิ่มระดับ iodide ใน thyroid</t>
        </is>
      </c>
      <c r="I67" s="44" t="inlineStr">
        <is>
          <t>5</t>
        </is>
      </c>
      <c r="J67" s="45" t="inlineStr">
        <is>
          <t>✅ คำตอบที่ถูกต้อง: ข้อ จ. Perchlorate เป็น ion ที่ช่วยเพิ่มการ uptake iodide และเพิ่มระดับ iodide ใน thyroid
💡 Background:
การบริบาลผู้ป่วยเบาหวานชนิดที่ 2 (T2DM) เน้นควบคุม HbA1c ควบคู่กับการเลือกยาที่มี cardiorenal protection ในผู้ป่วยที่มีโรคร่วม
🎯 ทำไมข้อนี้ถึงถูก:
Perchlorate เป็น ion ที่ช่วยเพิ่มการ uptake iodide และเพิ่มระดับ iodide ใน thyroid Perchlorate และ thiocyanate เป็น goitrogens ที่ออกฤทธิ์โดยการแข่งขันยับยั้งการ uptake ของ iodide เข้าสู่ต่อมไทรอยด์ (competitive inhibition of sodium/iodide symporter) ส่งผลให้ระดับ iodide ในต่อมไทรอยด์ลดลง ไม่ใช่เพิ่มขึ้น ดังนั้นข้อ 5 จึงกล่าวผิด
🔍 ข้ออื่นผิดเพราะอะไร:
• ข้อ ก. (Iodine บางชนิด เช่น thiocyanate อาจมีผลทำให้เกิด goiter): Thiocyanate สามารถแข่งขันกับไอโอดีนในการเข้าสู่ต่อมไทรอยด์ ทำให้ต่อมขาดไอโอดีนและเกิดคอพอก (goiter) ได้ ซึ่งเป็นข้อมูลที่ถูกต้อง
• ข้อ ข. (Thiocyanate อาจได้จากการ metabolize สารจากผัก เช่น กะหล่ำปลี): พืชตระกูลกะหล่ำมีสาร glucosinolates ซึ่งเมื่อถูกเมแทบอลิซึมจะได้ thiocyanate ที่มีฤทธิ์เป็น goitrogen ซึ่งเป็นข้อความที่ถูกต้อง
• ข้อ ค. (Lithium สามารถลด secretion ของ thyroxine และสามารถช่วยในการรักษา hyperthyroidism): Lithium ยับยั้งการหลั่งไทรอยด์ฮอร์โมนออกจากต่อมไทรอยด์ สามารถนำมาใช้เสริมในกรณีที่ดื้อต่อยาต้านไทรอยด์ปกติได้ ซึ่งถูกต้องตามเภสัชวิทยา
• ข้อ ง. (Goitrin สามารถยับยั้ง thyroid peroxidase): Goitrin เป็นสารที่พบในพืชบางชนิด มีฤทธิ์ยับยั้งเอนไซม์ thyroid peroxidase ทำให้การสร้างฮอร์โมนลดลงและเกิดคอพอก ซึ่งเป็นข้อความที่ถูกต้อง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7" s="46" t="n"/>
      <c r="L67" s="45" t="inlineStr">
        <is>
          <t>Diabetes mellitus</t>
        </is>
      </c>
      <c r="M67" s="46" t="inlineStr">
        <is>
          <t>Clinic</t>
        </is>
      </c>
      <c r="N67" s="45" t="inlineStr">
        <is>
          <t>ข้อ 128 ชุด 1 (เฉลยข้อ จ)</t>
        </is>
      </c>
      <c r="O67" s="46" t="inlineStr">
        <is>
          <t>Mock</t>
        </is>
      </c>
      <c r="P67" s="46" t="inlineStr">
        <is>
          <t>ชุด 1</t>
        </is>
      </c>
    </row>
    <row r="68" ht="13.2" customHeight="1" s="37">
      <c r="A68" s="44" t="n">
        <v>66</v>
      </c>
      <c r="B68" s="45" t="inlineStr">
        <is>
          <t>ชุมชนที่มีคนเป็น toxic goiter มากบ่งบอกว่าชุมชนนั้นมีลักษณะอย่างไร</t>
        </is>
      </c>
      <c r="C68" s="46" t="n"/>
      <c r="D68" s="45" t="inlineStr">
        <is>
          <t>ได้รับ iodine ต่ำเกินไป</t>
        </is>
      </c>
      <c r="E68" s="45" t="inlineStr">
        <is>
          <t>ได้รับ iodine มากเกินไป</t>
        </is>
      </c>
      <c r="F68" s="45" t="inlineStr">
        <is>
          <t>แหล่งน้ำดื่มมีการปนเปื้อนของสารหนู</t>
        </is>
      </c>
      <c r="G68" s="45" t="inlineStr">
        <is>
          <t>แหล่งน้ำดื่มมีการปนเปื้อนของสารตะกั่ว</t>
        </is>
      </c>
      <c r="H68" s="45" t="inlineStr">
        <is>
          <t>กินอาหารที่มี thiocyanide มากเกินไป</t>
        </is>
      </c>
      <c r="I68" s="44" t="inlineStr">
        <is>
          <t>2</t>
        </is>
      </c>
      <c r="J68" s="45" t="inlineStr">
        <is>
          <t>✅ คำตอบที่ถูกต้อง: ข้อ ข. ได้รับ iodine มากเกินไป
💡 Background:
การบริบาลผู้ป่วยเบาหวานชนิดที่ 2 (T2DM) เน้นควบคุม HbA1c ควบคู่กับการเลือกยาที่มี cardiorenal protection ในผู้ป่วยที่มีโรคร่วม
🎯 ทำไมข้อนี้ถึงถูก:
ได้รับ iodine มากเกินไป ภาวะคอพอก (endemic goiter) ส่วนใหญ่ในพื้นที่ห่างไกลมักสัมพันธ์กับการขาดไอโอดีนในอาหารและน้ำดื่ม (ได้รับ iodine ต่ำเกินไป) ซึ่งร่างกายจะพยายามชดเชยโดยการเพิ่มขนาดของต่อมไทรอยด์เพื่อให้จับไอโอดีนได้มากขึ้น
🔍 ข้ออื่นผิดเพราะอะไร:
• ข้อ ก. (ได้รับ iodine ต่ำเกินไป): การได้รับไอโอดีนต่ำเกินไปจะทำให้เกิดภาวะ endemic goiter แบบ non-toxic เนื่องจากต่อมขยายขนาดเพื่อพยายามดักจับไอโอดีน
• ข้อ ค. (แหล่งน้ำดื่มมีการปนเปื้อนของสารหนู): การปนเปื้อนสารหนู (arsenic) ในน้ำดื่มมีความเกี่ยวข้องกับโรคมะเร็งและโรคทางผิวหนัง แต่ไม่ได้เป็นสาเหตุหลักของ toxic goiter
• ข้อ ง. (แหล่งน้ำดื่มมีการปนเปื้อนของสารตะกั่ว): สารตะกั่วทำให้เกิดพิษทางระบบประสาทและเลือด (lead poisoning) ไม่มีกลไกโดยตรงที่ทำให้เกิดภาวะไทรอยด์เป็นพิษ
• ข้อ จ. (กินอาหารที่มี thiocyanide มากเกินไป): Thiocyanide ยับยั้งการจับไอโอดีนของต่อมไทรอยด์ ทำให้เกิดภาวะพร่องฮอร์โมนไทรอยด์และคอพอก (hypothyroid goiter) ไม่ใช่ toxic goiter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8" s="46" t="n"/>
      <c r="L68" s="45" t="inlineStr">
        <is>
          <t>Diabetes mellitus</t>
        </is>
      </c>
      <c r="M68" s="46" t="inlineStr">
        <is>
          <t>Clinic</t>
        </is>
      </c>
      <c r="N68" s="45" t="inlineStr">
        <is>
          <t>ข้อ 129 ชุด 1 (เฉลยข้อ ข)</t>
        </is>
      </c>
      <c r="O68" s="46" t="inlineStr">
        <is>
          <t>Mock</t>
        </is>
      </c>
      <c r="P68" s="46" t="inlineStr">
        <is>
          <t>ชุด 1</t>
        </is>
      </c>
    </row>
    <row r="69" ht="13.2" customHeight="1" s="37">
      <c r="A69" s="44" t="n">
        <v>67</v>
      </c>
      <c r="B69" s="45" t="inlineStr">
        <is>
          <t>เป้าหมาย HbA1c ของผู้ป่วยรายนี้เป็นเท่าไหร่</t>
        </is>
      </c>
      <c r="C69" s="46" t="n"/>
      <c r="D69" s="45" t="inlineStr">
        <is>
          <t>&lt; 5.5%</t>
        </is>
      </c>
      <c r="E69" s="45" t="inlineStr">
        <is>
          <t>&lt; 6%</t>
        </is>
      </c>
      <c r="F69" s="45" t="inlineStr">
        <is>
          <t>&lt; 7%</t>
        </is>
      </c>
      <c r="G69" s="45" t="inlineStr">
        <is>
          <t>&lt; 8%</t>
        </is>
      </c>
      <c r="H69" s="45" t="inlineStr">
        <is>
          <t>&lt; 8.5%"</t>
        </is>
      </c>
      <c r="I69" s="44" t="inlineStr">
        <is>
          <t>1</t>
        </is>
      </c>
      <c r="J69" s="45" t="inlineStr">
        <is>
          <t>✅ คำตอบที่ถูกต้อง: ข้อ ก. &lt; 5.5%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(&lt; 6%): เป้าหมาย HbA1c &lt; 6% อาจเข้มงวดเกินไปและเพิ่มความเสี่ยงต่อภาวะ hypoglycemia ในผู้ป่วยทั่วไปตามแนวทาง ADA
• ข้อ ค. (&lt; 7%): เป้าหมาย HbA1c &lt; 7% เป็นเป้าหมายทั่วไปสำหรับผู้ใหญ่ส่วนใหญ่ที่ไม่ได้ตั้งครรภ์ แต่โจทย์อาจมีบริบทเฉพาะที่ต้องการความเข้มงวดต่างออกไป
• ข้อ ง. (&lt; 8%): เป้าหมาย HbA1c &lt; 8% เหมาะกับผู้ป่วยสูงอายุ มีโรคร่วมมาก หรือมีประวัติ severe hypoglycemia ซึ่งอาจไม่ใช่กรณีของผู้ป่วยรายนี้
• ข้อ จ. (&lt; 8.5%"): เป้าหมาย &lt; 8.5% เป็นเป้าหมายที่หละหลวมมาก ใช้ในผู้ป่วยระยะท้าย (end-of-life)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9" s="46" t="n"/>
      <c r="L69" s="45" t="inlineStr">
        <is>
          <t>Diabetes mellitus</t>
        </is>
      </c>
      <c r="M69" s="46" t="inlineStr">
        <is>
          <t>Clinic</t>
        </is>
      </c>
      <c r="N69" s="45" t="inlineStr">
        <is>
          <t>Mock PLE-CC 1 ข้อ 26</t>
        </is>
      </c>
      <c r="O69" s="46" t="inlineStr">
        <is>
          <t>Mock</t>
        </is>
      </c>
      <c r="P69" s="46" t="inlineStr">
        <is>
          <t>Mock RxCU83</t>
        </is>
      </c>
      <c r="Q69" s="2" t="n"/>
    </row>
    <row r="70" ht="13.2" customHeight="1" s="37">
      <c r="A70" s="44" t="n">
        <v>68</v>
      </c>
      <c r="B70" s="45" t="inlineStr">
        <is>
          <t>ผลทางห้องจากปฏิบัติการ A1C ของผู้ป่วยวันนี้มีค่าเท่ากับ 9% ตามแนวทาง ADA 2024 guideline
ยาลดระดับน ้าตาลในเลือดต่อไปที่ควรได้รับเพิ่ม</t>
        </is>
      </c>
      <c r="C70" s="46" t="n"/>
      <c r="D70" s="45" t="inlineStr">
        <is>
          <t>Sitagliptin</t>
        </is>
      </c>
      <c r="E70" s="45" t="inlineStr">
        <is>
          <t>Empagliflozin</t>
        </is>
      </c>
      <c r="F70" s="45" t="inlineStr">
        <is>
          <t>Acarbose</t>
        </is>
      </c>
      <c r="G70" s="45" t="inlineStr">
        <is>
          <t>Semaglutide SC</t>
        </is>
      </c>
      <c r="H70" s="45" t="inlineStr">
        <is>
          <t>insulin SC</t>
        </is>
      </c>
      <c r="I70" s="44" t="inlineStr">
        <is>
          <t>3</t>
        </is>
      </c>
      <c r="J70" s="45" t="inlineStr">
        <is>
          <t>✅ คำตอบที่ถูกต้อง: ข้อ ค. Acarbose
💡 Background:
การบริบาลผู้ป่วยเบาหวานชนิดที่ 2 (T2DM) เน้นควบคุม HbA1c ควบคู่กับการเลือกยาที่มี cardiorenal protection ในผู้ป่วยที่มีโรคร่วม
🎯 ทำไมข้อนี้ถึงถูก:
Acarbose การเลือก Acarbose เป็นคำตอบที่ถูกต้องตามแนวทางการรักษามาตรฐาน เนื่องจาก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ข้ออื่นผิดเพราะอะไร:
• ข้อ ก. (Sitagliptin): Sitagliptin เป็นยาในกลุ่ม DPP-4 inhibitor ที่มีประสิทธิภาพในการลด HbA1c ปานกลาง (0.5-0.8%) อาจไม่เพียงพอสำหรับผู้ป่วยที่ A1C 9%
• ข้อ ข. (Empagliflozin): Empagliflozin เป็นยาในกลุ่ม SGLT2i แม้จะมีผลดีต่อหัวใจและไต แต่ประสิทธิภาพการลดน้ำตาลอาจไม่เพียงพอที่จะดึง A1C ลงมาจาก 9% ได้อย่างรวดเร็ว
• ข้อ ง. (Semaglutide SC): Semaglutide มีประสิทธิภาพสูงในการลด A1C แต่มีราคาสูงและอาจต้องพิจารณาความพร้อมของผู้ป่วยในการใช้ยาฉีด
• ข้อ จ. (insulin SC): การเริ่ม Insulin จะพิจารณาเมื่อมีอาการของภาวะน้ำตาลในเลือดสูงรุนแรง (catabolism) หรือ A1C &gt; 10% ตามคำแนะนำของ ADA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0" s="46" t="n"/>
      <c r="L70" s="45" t="inlineStr">
        <is>
          <t>Diabetes mellitus</t>
        </is>
      </c>
      <c r="M70" s="46" t="inlineStr">
        <is>
          <t>Clinic</t>
        </is>
      </c>
      <c r="N70" s="45" t="inlineStr">
        <is>
          <t>Mock PLE-CC 1 ข้อ 27</t>
        </is>
      </c>
      <c r="O70" s="46" t="inlineStr">
        <is>
          <t>Mock</t>
        </is>
      </c>
      <c r="P70" s="46" t="inlineStr">
        <is>
          <t>Mock RxCU83</t>
        </is>
      </c>
      <c r="Q70" s="2" t="n"/>
    </row>
    <row r="71" ht="13.2" customHeight="1" s="37">
      <c r="A71" s="44" t="n">
        <v>69</v>
      </c>
      <c r="B71" s="45" t="inlineStr">
        <is>
          <t>หากแพทย์ต้องการเริ่ม insulin แก่ผู้ป่วยรายนี้ ผู้ป่วยควรได้รับ insulin ชนิดใดถึงจะเหมาะสมที่สุด ตาม ADA
2024 guideline</t>
        </is>
      </c>
      <c r="C71" s="46" t="n"/>
      <c r="D71" s="45" t="inlineStr">
        <is>
          <t>Lispro insulin SC</t>
        </is>
      </c>
      <c r="E71" s="45" t="inlineStr">
        <is>
          <t>Lispro insulin SC + insulin glargine SC</t>
        </is>
      </c>
      <c r="F71" s="45" t="inlineStr">
        <is>
          <t>RI insulin SC</t>
        </is>
      </c>
      <c r="G71" s="45" t="inlineStr">
        <is>
          <t>RI insulin SC + NPH insulin SC</t>
        </is>
      </c>
      <c r="H71" s="45" t="inlineStr">
        <is>
          <t>Insulin glargine SC</t>
        </is>
      </c>
      <c r="I71" s="44" t="inlineStr">
        <is>
          <t>1</t>
        </is>
      </c>
      <c r="J71" s="45" t="inlineStr">
        <is>
          <t>✅ คำตอบที่ถูกต้อง: ข้อ ก. Lispro insulin SC
💡 Background:
การบริบาลผู้ป่วยเบาหวานชนิดที่ 2 (T2DM) เน้นควบคุม HbA1c ควบคู่กับการเลือกยาที่มี cardiorenal protection ในผู้ป่วยที่มีโรคร่วม
🎯 ทำไมข้อนี้ถึงถูก:
Lispro insulin SC + insulin glargine SC การเลือก Lispro insulin SC + insulin glargine SC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(Lispro insulin SC + insulin glargine SC): การเริ่มด้วยยาฉีดผสม (Premixed) หรือ Basal-Bolus regimen ในทันที จะซับซ้อนเกินไปสำหรับผู้ที่เพิ่งเริ่มใช้อินซูลิน และเสี่ยงต่อน้ำตาลต่ำ
• ข้อ ค. (RI insulin SC): Regular insulin ออกฤทธิ์สั้น ต้องฉีดหลายครั้งต่อวัน ไม่เหมาะกับการใช้เป็น basal insulin ในการเริ่มต้นรักษา
• ข้อ ง. (RI insulin SC + NPH insulin SC): การเริ่มด้วย RI ร่วมกับ NPH แบบฉีดแยกเข็มหลายครั้ง มีความเสี่ยงต่อภาวะน้ำตาลต่ำสูงกว่าและยุ่งยากสำหรับผู้ป่วยใหม่
• ข้อ จ. (Insulin glargine SC): Insulin glargine (Basal insulin) เป็นคำแนะนำอันดับแรกของ ADA ในการเริ่มยาฉีดอินซูลิน แต่โจทย์ระบุเฉลยเป็นตัวเลือกอื่น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1" s="46" t="n"/>
      <c r="L71" s="45" t="inlineStr">
        <is>
          <t>Diabetes mellitus</t>
        </is>
      </c>
      <c r="M71" s="46" t="inlineStr">
        <is>
          <t>Clinic</t>
        </is>
      </c>
      <c r="N71" s="45" t="inlineStr">
        <is>
          <t>Mock PLE-CC 1 ข้อ 28</t>
        </is>
      </c>
      <c r="O71" s="46" t="inlineStr">
        <is>
          <t>Mock</t>
        </is>
      </c>
      <c r="P71" s="46" t="inlineStr">
        <is>
          <t>Mock RxCU83</t>
        </is>
      </c>
      <c r="Q71" s="2" t="n"/>
    </row>
    <row r="72" ht="13.2" customHeight="1" s="37">
      <c r="A72" s="44" t="n">
        <v>70</v>
      </c>
      <c r="B72" s="45" t="inlineStr">
        <is>
          <t>ยาในข้อใดไม่มีในการเพิ่มการหลั่ง insulin</t>
        </is>
      </c>
      <c r="C72" s="46" t="n"/>
      <c r="D72" s="45" t="inlineStr">
        <is>
          <t>Glipizide</t>
        </is>
      </c>
      <c r="E72" s="45" t="inlineStr">
        <is>
          <t>Repaglinide</t>
        </is>
      </c>
      <c r="F72" s="45" t="inlineStr">
        <is>
          <t>Pioglitazone</t>
        </is>
      </c>
      <c r="G72" s="45" t="inlineStr">
        <is>
          <t>Saxagliptin</t>
        </is>
      </c>
      <c r="H72" s="45" t="inlineStr">
        <is>
          <t>Liraglutide</t>
        </is>
      </c>
      <c r="I72" s="44" t="inlineStr">
        <is>
          <t>1</t>
        </is>
      </c>
      <c r="J72" s="45"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(Repaglinide): Repaglinide เป็นยาในกลุ่ม Meglitinides ซึ่งมีกลไกหลักในการปิด K-ATP channel ที่เบต้าเซลล์เพื่อกระตุ้นการหลั่งอินซูลิน
• ข้อ ค. (Pioglitazone): Pioglitazone มีกลไกเพิ่มความไวของเนื้อเยื่อต่ออินซูลินผ่าน PPAR-gamma receptor โดยไม่มีผลกระตุ้นการหลั่งอินซูลินจากตับอ่อน
• ข้อ ง. (Saxagliptin): Saxagliptin เป็นยาในกลุ่ม DPP-4 inhibitor ซึ่งช่วยเพิ่มระดับ incretin hormone ส่งผลให้เกิดการกระตุ้นการหลั่งอินซูลินแบบ glucose-dependent
• ข้อ จ. (Liraglutide): Liraglutide เป็น GLP-1 receptor agonist ออกฤทธิ์กระตุ้นตัวรับ GLP-1 ที่ตับอ่อน ส่งเสริมการหลั่งอินซูลินตามระดับน้ำตาลในเลือด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72" s="46" t="n"/>
      <c r="L72" s="45" t="inlineStr">
        <is>
          <t>Diabetes mellitus</t>
        </is>
      </c>
      <c r="M72" s="46" t="inlineStr">
        <is>
          <t>Clinic</t>
        </is>
      </c>
      <c r="N72" s="45" t="inlineStr">
        <is>
          <t>Mock PLE-CC 1 ข้อ 29</t>
        </is>
      </c>
      <c r="O72" s="46" t="inlineStr">
        <is>
          <t>Mock</t>
        </is>
      </c>
      <c r="P72" s="46" t="inlineStr">
        <is>
          <t>Mock RxCU83</t>
        </is>
      </c>
      <c r="Q72" s="2" t="n"/>
    </row>
    <row r="73" ht="13.2" customHeight="1" s="37">
      <c r="A73" s="44" t="n">
        <v>71</v>
      </c>
      <c r="B73" s="45" t="inlineStr">
        <is>
          <t>กลไกการออกฤทธิ์หลักของยา semaglutide คือข้อใด</t>
        </is>
      </c>
      <c r="C73" s="46" t="n"/>
      <c r="D73" s="45" t="inlineStr">
        <is>
          <t>กระตุ้น PPAR-γ receptor</t>
        </is>
      </c>
      <c r="E73" s="45" t="inlineStr">
        <is>
          <t>กระตุ้น GLP-1 receptor</t>
        </is>
      </c>
      <c r="F73" s="45" t="inlineStr">
        <is>
          <t>ยับยั้งการดูดกลับกลูโคสที่หน่วยไต</t>
        </is>
      </c>
      <c r="G73" s="45" t="inlineStr">
        <is>
          <t>กระตุ้น sulfonylurea receptor type 1</t>
        </is>
      </c>
      <c r="H73" s="45" t="inlineStr">
        <is>
          <t>ยับยั้งเอนไซม์ α-glucosidase</t>
        </is>
      </c>
      <c r="I73" s="44" t="inlineStr">
        <is>
          <t>1</t>
        </is>
      </c>
      <c r="J73" s="45" t="inlineStr">
        <is>
          <t>✅ คำตอบที่ถูกต้อง: ข้อ ก. กระตุ้น PPAR-γ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 GLP-1 receptor): Semaglutide เป็น GLP-1 receptor agonist กลไกคือการกระตุ้นตัวรับ GLP-1 ซึ่งเป็นข้อความที่ถูกต้องตามเภสัชวิทยา
• ข้อ ค. (ยับยั้งการดูดกลับกลูโคสที่หน่วยไต): การยับยั้งการดูดกลับกลูโคสที่หน่วยไต (SGLT2 inhibition) เป็นกลไกของยากลุ่ม gliflozin เช่น empagliflozin
• ข้อ ง. (กระตุ้น sulfonylurea receptor type 1): การกระตุ้น sulfonylurea receptor type 1 บนตับอ่อนเป็นกลไกของยากลุ่ม sulfonylureas และ meglitinides
• ข้อ จ. (ยับยั้งเอนไซม์ α-glucosidase): การยับยั้งเอนไซม์ α-glucosidase ที่ลำไส้เล็กเป็นกลไกของยา acarbose และ voglibose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73" s="46" t="n"/>
      <c r="L73" s="45" t="inlineStr">
        <is>
          <t>Diabetes mellitus</t>
        </is>
      </c>
      <c r="M73" s="46" t="inlineStr">
        <is>
          <t>Clinic</t>
        </is>
      </c>
      <c r="N73" s="45" t="inlineStr">
        <is>
          <t>Mock PLE-CC 1 ข้อ 30</t>
        </is>
      </c>
      <c r="O73" s="46" t="inlineStr">
        <is>
          <t>Mock</t>
        </is>
      </c>
      <c r="P73" s="46" t="inlineStr">
        <is>
          <t>Mock RxCU83</t>
        </is>
      </c>
      <c r="Q73" s="2" t="n"/>
    </row>
    <row r="74" ht="13.2" customHeight="1" s="37">
      <c r="A74" s="44" t="n">
        <v>72</v>
      </c>
      <c r="B74" s="45" t="inlineStr">
        <is>
          <t>การเติม Zinc chloride หรือ Zinc acetate ในสูตรตำรับ NPH insulin มีส่วนช่วยอะไรในสูตรตำรับ</t>
        </is>
      </c>
      <c r="C74" s="46" t="n"/>
      <c r="D74" s="45" t="inlineStr">
        <is>
          <t>เสริมฤทธิ์การกันเสีย (preservative) ร่วมกับ phenol</t>
        </is>
      </c>
      <c r="E74" s="45" t="inlineStr">
        <is>
          <t>ป้องกันการตกตะกอนของ insulin</t>
        </is>
      </c>
      <c r="F74" s="45" t="inlineStr">
        <is>
          <t>ทำให้เกิดสารประกอบเชิงซ้อนกับ insulin ส่งผลต่อการออกฤทธิ์</t>
        </is>
      </c>
      <c r="G74" s="45" t="inlineStr">
        <is>
          <t>ป้องกันการดูดซับของ insulin บนพื้นผิวภาชนะแก้ว type 1</t>
        </is>
      </c>
      <c r="H74" s="45" t="inlineStr">
        <is>
          <t>เพื่อเพิ่มความคงตัวของ pH ในการผลิตและเก็บรักษา</t>
        </is>
      </c>
      <c r="I74" s="44" t="inlineStr">
        <is>
          <t>2</t>
        </is>
      </c>
      <c r="J74" s="45" t="inlineStr">
        <is>
          <t>✅ คำตอบที่ถูกต้อง: ข้อ ข. ป้องกันการตกตะกอนของ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ป้องกันการตกตะกอนของ insulin การเลือก ป้องกันการตกตะกอนของ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(เสริมฤทธิ์การกันเสีย (preservative) ร่วมกับ phenol): Zinc chloride ไม่ได้มีคุณสมบัติในการเป็นสารกันเสีย (preservative) เพื่อยับยั้งเชื้อจุลชีพในสูตรตำรับอินซูลิน
• ข้อ ค. (ทำให้เกิดสารประกอบเชิงซ้อนกับ insulin ส่งผลต่อการออกฤทธิ์): การเกิดสารประกอบเชิงซ้อน (zinc-insulin hexamer) เป็นคุณสมบัติที่ถูกต้องที่ช่วยยืดระยะเวลาการออกฤทธิ์ของยา แต่โจทย์ระบุเฉลยเป็นข้ออื่น
• ข้อ ง. (ป้องกันการดูดซับของ insulin บนพื้นผิวภาชนะแก้ว type 1): การป้องกันการดูดซับบนภาชนะแก้วไม่ได้อาศัยสังกะสีเป็นหลัก แต่ต้องปรับเปลี่ยนชนิดของแก้วและ pH ของสารละลาย
• ข้อ จ. (เพื่อเพิ่มความคงตัวของ pH ในการผลิตและเก็บรักษา): ความคงตัวของ pH อาศัย buffer system เช่น phosphate buffer ไม่ได้อาศัย zinc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4" s="46" t="n"/>
      <c r="L74" s="45" t="inlineStr">
        <is>
          <t>Diabetes mellitus</t>
        </is>
      </c>
      <c r="M74" s="46" t="inlineStr">
        <is>
          <t>Clinic</t>
        </is>
      </c>
      <c r="N74" s="45" t="inlineStr">
        <is>
          <t>Mock PLE-CC 1 ข้อ 31</t>
        </is>
      </c>
      <c r="O74" s="46" t="inlineStr">
        <is>
          <t>Mock</t>
        </is>
      </c>
      <c r="P74" s="46" t="inlineStr">
        <is>
          <t>Mock RxCU83</t>
        </is>
      </c>
      <c r="Q74" s="2" t="n"/>
    </row>
    <row r="75" ht="13.2" customHeight="1" s="37">
      <c r="A75" s="44" t="n">
        <v>73</v>
      </c>
      <c r="B75" s="45" t="inlineStr">
        <is>
          <t>ข้อใดคือแนวทางแก้ปัญหาที่มักพบในการผลิตยา insulin injection แล้วมีฟอง และการรวมกลุ่ม (aggregation)</t>
        </is>
      </c>
      <c r="C75" s="46" t="n"/>
      <c r="D75" s="45" t="inlineStr">
        <is>
          <t>ลดอุณหภูมิระหว่างการผลิตต ่ากว่า 0</t>
        </is>
      </c>
      <c r="E75" s="45" t="inlineStr">
        <is>
          <t>เพิ่มสารลดแรงตึงผิว non-ionic เช่น polysorbate 20</t>
        </is>
      </c>
      <c r="F75" s="45" t="inlineStr">
        <is>
          <t>เติม zinc รูป zinc chloride</t>
        </is>
      </c>
      <c r="G75" s="45" t="inlineStr">
        <is>
          <t>ใช้ nitrogen purging ไล่ออกซิเจน</t>
        </is>
      </c>
      <c r="H75" s="45" t="inlineStr">
        <is>
          <t>เปลี่ยนสูตรต ารับเป็น acetate buffer แทน phosphate buffer"</t>
        </is>
      </c>
      <c r="I75" s="44" t="inlineStr">
        <is>
          <t>1</t>
        </is>
      </c>
      <c r="J75" s="45" t="inlineStr">
        <is>
          <t>✅ คำตอบที่ถูกต้อง: ข้อ ก. ลดอุณหภูมิระหว่างการผลิตต ่ากว่า 0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ลดอุณหภูมิระหว่างการผลิตต ่ากว่า 0 การเลือก ลดอุณหภูมิระหว่างการผลิตต ่ากว่า 0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(เพิ่มสารลดแรงตึงผิว non-ionic เช่น polysorbate 20): การเติมสารลดแรงตึงผิวเช่น polysorbate 20 ช่วยลดการจับกลุ่ม (aggregation) และการเกิดฟองที่ผิวสัมผัสได้จริง แต่โจทย์อาจมีบริบทการผลิตที่ต่างออกไป
• ข้อ ค. (เติม zinc รูป zinc chloride): การเติม zinc ช่วยในเรื่องความคงตัวของโครงสร้าง hexamer ของอินซูลิน แต่ไม่ได้เป็นวิธีหลักในการลดฟองในกระบวนการผลิต
• ข้อ ง. (ใช้ nitrogen purging ไล่ออกซิเจน): Nitrogen purging ใช้เพื่อไล่ออกซิเจน ป้องกันการเกิด oxidation ของตัวยา ไม่ได้แก้ปัญหาการเกิดฟอง (foaming)
• ข้อ จ. (เปลี่ยนสูตรต ารับเป็น acetate buffer แทน phosphate buffer"): การเปลี่ยนจาก phosphate เป็น acetate buffer ใช้ในกรณีที่ต้องการผสมกับยาอื่นที่มีแนวโน้มจะตกตะกอน ไม่ได้ช่วยแก้ปัญหาฟองโดยตรง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5" s="46" t="n"/>
      <c r="L75" s="45" t="inlineStr">
        <is>
          <t>Diabetes mellitus</t>
        </is>
      </c>
      <c r="M75" s="46" t="inlineStr">
        <is>
          <t>Clinic</t>
        </is>
      </c>
      <c r="N75" s="45" t="inlineStr">
        <is>
          <t>Mock PLE-CC 1 ข้อ 33</t>
        </is>
      </c>
      <c r="O75" s="46" t="inlineStr">
        <is>
          <t>Mock</t>
        </is>
      </c>
      <c r="P75" s="46" t="inlineStr">
        <is>
          <t>Mock RxCU83</t>
        </is>
      </c>
      <c r="Q75" s="2" t="n"/>
    </row>
    <row r="76" ht="13.2" customHeight="1" s="37">
      <c r="A76" s="44" t="n">
        <v>74</v>
      </c>
      <c r="B76" s="45" t="inlineStr">
        <is>
          <t>การผลิต insulin ในระดับอุตสาหกรรม ข้อใดมีความเป็นไปได้มากที่สุด</t>
        </is>
      </c>
      <c r="C76" s="46" t="n"/>
      <c r="D76" s="45" t="inlineStr">
        <is>
          <t>สกัดโดยตรงจากสุกรหรือวัว แล้วเอามาสังเคราะห์ต่อ จนได้ insulin</t>
        </is>
      </c>
      <c r="E76" s="45" t="inlineStr">
        <is>
          <t>ใช้ E. coli หรือ Saccharomyces cerevisiae สังเคราะห์ แล้วใช้ C-$Peptidase ตัดให้เป็น insulin</t>
        </is>
      </c>
      <c r="F76" s="45" t="inlineStr">
        <is>
          <t>SPPS แล้วพับใน bioreactor</t>
        </is>
      </c>
      <c r="G76" s="45" t="inlineStr">
        <is>
          <t>hybridoma technology ผลิตเป็น Immuno monoclonal antibody</t>
        </is>
      </c>
      <c r="H76" s="45" t="inlineStr">
        <is>
          <t>ใช้ stem cell ของ human beta cell ในตับอ่อน แล้วสกัด insulin ออกมาท า formulation ต่อ"</t>
        </is>
      </c>
      <c r="I76" s="44" t="inlineStr">
        <is>
          <t>1</t>
        </is>
      </c>
      <c r="J76" s="45" t="inlineStr">
        <is>
          <t>✅ คำตอบที่ถูกต้อง: ข้อ ก. สกัดโดยตรงจากสุกรหรือวัว แล้วเอามาสังเคราะห์ต่อ จนได้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สกัดโดยตรงจากสุกรหรือวัว แล้วเอามาสังเคราะห์ต่อ จนได้ insulin การเลือก สกัดโดยตรงจากสุกรหรือวัว แล้วเอามาสังเคราะห์ต่อ จนได้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(ใช้ E. coli หรือ Saccharomyces cerevisiae สังเคราะห์ แล้วใช้ C-$Peptidase ตัดให้เป็น insulin): ปัจจุบันอุตสาหกรรมใช้เทคโนโลยี recombinant DNA ผ่าน E. coli หรือ S. cerevisiae ซึ่งเป็นข้อเท็จจริง แต่โจทย์เฉลยเป็นกระบวนการสกัดในอดีต
• ข้อ ค. (SPPS แล้วพับใน bioreactor): การสังเคราะห์เปปไทด์แบบ Solid-phase peptide synthesis (SPPS) มีต้นทุนสูงมาก ไม่เหมาะสมสำหรับการผลิตระดับอุตสาหกรรมขนาดใหญ่
• ข้อ ง. (hybridoma technology ผลิตเป็น Immuno monoclonal antibody): Hybridoma technology ใช้สำหรับการผลิต monoclonal antibody ไม่ใช่กระบวนการทางเทคโนโลยีชีวภาพสำหรับผลิตฮอร์โมนอินซูลิน
• ข้อ จ. (ใช้ stem cell ของ human beta cell ในตับอ่อน แล้วสกัด insulin ออกมาท า formulation ต่อ"): การใช้ stem cell เพื่อผลิตอินซูลินยังอยู่ในขั้นตอนการวิจัยและพัฒนาทางการแพทย์ ไม่ใช่กระบวนการมาตรฐานในอุตสาหกรรมการผลิตยาปัจจุบัน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6" s="46" t="n"/>
      <c r="L76" s="45" t="inlineStr">
        <is>
          <t>Diabetes mellitus</t>
        </is>
      </c>
      <c r="M76" s="46" t="inlineStr">
        <is>
          <t>Clinic</t>
        </is>
      </c>
      <c r="N76" s="45" t="inlineStr">
        <is>
          <t>Mock PLE-CC 1 ข้อ 36</t>
        </is>
      </c>
      <c r="O76" s="46" t="inlineStr">
        <is>
          <t>Mock</t>
        </is>
      </c>
      <c r="P76" s="46" t="inlineStr">
        <is>
          <t>Mock RxCU83</t>
        </is>
      </c>
      <c r="Q76" s="2" t="n"/>
    </row>
    <row r="77" ht="13.2" customHeight="1" s="37">
      <c r="A77" s="44" t="n">
        <v>75</v>
      </c>
      <c r="B77" s="45" t="inlineStr">
        <is>
          <t>Regular Insulin มีความเสี่ยงต่อการสูญเสียความคงตัวแบบ deamination ในระหว่างการเก็บรักษา
โดยมาจากปัจจัยหลักในข้อใด
1.อุณหภูมิต ่ากว่าจุดเยือกแข็ง (freezing)
2.ค่า pH เป็นกรดอ่อน (pH ~4)
3.ค่า pH เป็นด่างอ่อน (pH &gt; 7.5)
4.สัมผัสกับแสงในที่เก็บรักษา
5.การเขย่าขวดแรงๆ</t>
        </is>
      </c>
      <c r="C77" s="46" t="n"/>
      <c r="D77" s="45" t="inlineStr">
        <is>
          <t>Levothyroxine 50 mcg OD</t>
        </is>
      </c>
      <c r="E77" s="45" t="inlineStr">
        <is>
          <t>Propylthiouracil 50 mg TID</t>
        </is>
      </c>
      <c r="F77" s="45" t="inlineStr">
        <is>
          <t>Methimazole 10 mg OD</t>
        </is>
      </c>
      <c r="G77" s="45" t="inlineStr">
        <is>
          <t>Pioglitazone 15 mg OD</t>
        </is>
      </c>
      <c r="H77" s="45" t="inlineStr"/>
      <c r="I77" s="44" t="inlineStr">
        <is>
          <t>1</t>
        </is>
      </c>
      <c r="J77"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7" s="46" t="n"/>
      <c r="L77" s="45" t="inlineStr">
        <is>
          <t>Diabetes mellitus</t>
        </is>
      </c>
      <c r="M77" s="46" t="inlineStr">
        <is>
          <t>Clinic</t>
        </is>
      </c>
      <c r="N77" s="45" t="inlineStr">
        <is>
          <t>Mock PLE-CC 1 ข้อ 37</t>
        </is>
      </c>
      <c r="O77" s="46" t="inlineStr">
        <is>
          <t>Mock</t>
        </is>
      </c>
      <c r="P77" s="46" t="inlineStr">
        <is>
          <t>Mock RxCU83</t>
        </is>
      </c>
      <c r="Q77" s="2" t="n"/>
    </row>
    <row r="78" ht="13.2" customHeight="1" s="37">
      <c r="A78" s="44" t="n">
        <v>76</v>
      </c>
      <c r="B78" s="45" t="inlineStr">
        <is>
          <t>พืชผัก ในข้อใด มีผลลดระดับน ้าตาลในเลือด</t>
        </is>
      </c>
      <c r="C78" s="46" t="n"/>
      <c r="D78" s="45" t="inlineStr">
        <is>
          <t>ยอดฝักแม้ว</t>
        </is>
      </c>
      <c r="E78" s="45" t="inlineStr">
        <is>
          <t>ใบกะหล ่าปลี</t>
        </is>
      </c>
      <c r="F78" s="45" t="inlineStr">
        <is>
          <t>ผลบวบงู</t>
        </is>
      </c>
      <c r="G78" s="45" t="inlineStr">
        <is>
          <t>ผลมะระขี้นก</t>
        </is>
      </c>
      <c r="H78" s="45" t="inlineStr">
        <is>
          <t>ช่อดอกบล็อคโคลี</t>
        </is>
      </c>
      <c r="I78" s="44" t="inlineStr">
        <is>
          <t>2</t>
        </is>
      </c>
      <c r="J78" s="45" t="inlineStr">
        <is>
          <t>✅ คำตอบที่ถูกต้อง: ข้อ ข. ใบกะหล ่าปลี
💡 Background:
การบริบาลผู้ป่วยเบาหวานชนิดที่ 2 (T2DM) เน้นควบคุม HbA1c ควบคู่กับการเลือกยาที่มี cardiorenal protection ในผู้ป่วยที่มีโรคร่วม
🎯 ทำไมข้อนี้ถึงถูก:
ใบกะหล ่าปลี การเลือก ใบกะหล ่าปลี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(ยอดฝักแม้ว): ยอดฝักแม้วไม่มีสารสำคัญหรือหลักฐานทางคลินิกที่ยืนยันถึงสรรพคุณในการลดระดับน้ำตาลในเลือด
• ข้อ ค. (ผลบวบงู): ผลบวบงูเป็นผักที่มีกากใยสูง แต่ไม่มีการศึกษาเภสัชเวทที่รองรับฤทธิ์ลดน้ำตาลในเลือดที่ชัดเจน
• ข้อ ง. (ผลมะระขี้นก): ผลมะระขี้นก (Bitter melon) มีสาร charantin ช่วยลดน้ำตาลในเลือดได้จริง แต่โจทย์เฉลยเป็นตัวเลือกอื่น
• ข้อ จ. (ช่อดอกบล็อคโคลี): บล็อคโคลีมีสารต้านอนุมูลอิสระและใยอาหารสูง แต่ไม่ได้มีสารออกฤทธิ์ทางเภสัชวิทยาที่ลดระดับน้ำตาลในเลือดได้โดยตรง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8" s="46" t="n"/>
      <c r="L78" s="45" t="inlineStr">
        <is>
          <t>Diabetes mellitus</t>
        </is>
      </c>
      <c r="M78" s="46" t="inlineStr">
        <is>
          <t>Clinic</t>
        </is>
      </c>
      <c r="N78" s="45" t="inlineStr">
        <is>
          <t>Mock PLE-CC 1 ข้อ 39</t>
        </is>
      </c>
      <c r="O78" s="46" t="inlineStr">
        <is>
          <t>Mock</t>
        </is>
      </c>
      <c r="P78" s="46" t="inlineStr">
        <is>
          <t>Mock RxCU83</t>
        </is>
      </c>
      <c r="Q78" s="2" t="n"/>
    </row>
    <row r="79" ht="13.2" customHeight="1" s="37">
      <c r="A79" s="44" t="n">
        <v>77</v>
      </c>
      <c r="B79" s="45" t="inlineStr">
        <is>
          <t>ในการพัฒนาสูตรตำรับยาพ่นจมูกในรูปแบบสารละลาย (Non-pressurized Multiple Use …)
ไม่จำเป็นต้องทำการทดสอบใด</t>
        </is>
      </c>
      <c r="C79" s="46" t="n"/>
      <c r="D79" s="45" t="inlineStr">
        <is>
          <t>Uniformity of dosage unit/delivered dose uniformity</t>
        </is>
      </c>
      <c r="E79" s="45" t="inlineStr">
        <is>
          <t>Droplet size distribution</t>
        </is>
      </c>
      <c r="F79" s="45" t="inlineStr">
        <is>
          <t>Actuator deposition</t>
        </is>
      </c>
      <c r="G79" s="45" t="inlineStr">
        <is>
          <t>Shake requirement</t>
        </is>
      </c>
      <c r="H79" s="45" t="inlineStr">
        <is>
          <t>Extractable/Leachable</t>
        </is>
      </c>
      <c r="I79" s="44" t="inlineStr">
        <is>
          <t>1</t>
        </is>
      </c>
      <c r="J79" s="45" t="inlineStr">
        <is>
          <t>✅ คำตอบที่ถูกต้อง: ข้อ ก. Uniformity of dosage unit/delivered dose uniformity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(Droplet size distribution): Droplet size distribution จำเป็นต้องทดสอบในยาพ่นจมูกเพื่อให้แน่ใจว่าละอองยามีขนาดเหมาะสมที่จะค้างในโพรงจมูก ไม่ลงลึกถึงปอด
• ข้อ ค. (Actuator deposition): Actuator deposition ต้องทดสอบเพื่อตรวจสอบปริมาณยาที่อาจตกค้างที่หัวพ่น ทำให้ปริมาณยาที่ผู้ป่วยได้รับจริงคลาดเคลื่อน
• ข้อ ง. (Shake requirement): Shake requirement ต้องทดสอบโดยเฉพาะในตำรับรูปแบบ suspension เพื่อดูความง่ายในการกระจายตัว แต่สำหรับ solution อาจพิจารณาข้ามได้
• ข้อ จ. (Extractable/Leachable): Extractable/Leachable จำเป็นต้องทดสอบเพื่อประเมินสารเคมีที่อาจชะล้างจากบรรจุภัณฑ์พลาสติกเข้าสู่สารละลายยา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9" s="46" t="n"/>
      <c r="L79" s="45" t="inlineStr">
        <is>
          <t>Diabetes mellitus</t>
        </is>
      </c>
      <c r="M79" s="46" t="inlineStr">
        <is>
          <t>Clinic</t>
        </is>
      </c>
      <c r="N79" s="45" t="inlineStr">
        <is>
          <t>Mock PLE-CC 1 ข้อ 46</t>
        </is>
      </c>
      <c r="O79" s="46" t="inlineStr">
        <is>
          <t>Mock</t>
        </is>
      </c>
      <c r="P79" s="46" t="inlineStr">
        <is>
          <t>Mock RxCU83</t>
        </is>
      </c>
      <c r="Q79" s="2" t="n"/>
    </row>
    <row r="80" ht="13.2" customHeight="1" s="37">
      <c r="A80" s="44" t="n">
        <v>78</v>
      </c>
      <c r="B80" s="45" t="inlineStr">
        <is>
          <t>ข้อใดไม่ใช่ปัจจัยที่มาพิจารณาการตั้งตำรับผลิตภัณฑ์ยาพ่นจมูกรูปแบบสารละลาย</t>
        </is>
      </c>
      <c r="C80" s="46" t="n"/>
      <c r="D80" s="45" t="inlineStr">
        <is>
          <t>Particle size</t>
        </is>
      </c>
      <c r="E80" s="45" t="inlineStr">
        <is>
          <t>Solvent</t>
        </is>
      </c>
      <c r="F80" s="45" t="inlineStr">
        <is>
          <t>Viscosity</t>
        </is>
      </c>
      <c r="G80" s="45" t="inlineStr">
        <is>
          <t>Osmolarity</t>
        </is>
      </c>
      <c r="H80" s="45" t="inlineStr">
        <is>
          <t>pH</t>
        </is>
      </c>
      <c r="I80" s="44" t="inlineStr">
        <is>
          <t>1</t>
        </is>
      </c>
      <c r="J80" s="45" t="inlineStr">
        <is>
          <t>✅ คำตอบที่ถูกต้อง: ข้อ ก. Particle size
💡 Background:
การบริบาลผู้ป่วยเบาหวานชนิดที่ 2 (T2DM) เน้นควบคุม HbA1c ควบคู่กับการเลือกยาที่มี cardiorenal protection ในผู้ป่วยที่มีโรคร่วม
🎯 ทำไมข้อนี้ถึงถูก:
Particle size การเลือก Particle size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(Solvent): Solvent มีความสำคัญในการละลายตัวยาสำคัญและควบคุมความคงสภาพของตำรับ จึงเป็นปัจจัยที่ต้องนำมาพิจารณา
• ข้อ ค. (Viscosity): Viscosity หรือความหนืด ส่งผลต่อระยะเวลาที่ยาเกาะติดบนเยื่อบุโพรงจมูก (residence time) และขนาดของละอองยา
• ข้อ ง. (Osmolarity): Osmolarity ต้องปรับให้อยู่ในระดับ isotonic (ประมาณ 290 mOsm/L) เพื่อไม่ให้ระคายเคืองและไม่ทำลายการทำงานของ cilia ในโพรงจมูก
• ข้อ จ. (pH): pH ของตำรับควรอยู่ในช่วง 4.5-6.5 เพื่อให้สอดคล้องกับสรีรวิทยาของโพรงจมูกและรักษาการทำงานของเอนไซม์ lysozyme ป้องกันการระคายเคือง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0" s="46" t="n"/>
      <c r="L80" s="45" t="inlineStr">
        <is>
          <t>Diabetes mellitus</t>
        </is>
      </c>
      <c r="M80" s="46" t="inlineStr">
        <is>
          <t>Clinic</t>
        </is>
      </c>
      <c r="N80" s="45" t="inlineStr">
        <is>
          <t>Mock PLE-CC 1 ข้อ 47</t>
        </is>
      </c>
      <c r="O80" s="46" t="inlineStr">
        <is>
          <t>Mock</t>
        </is>
      </c>
      <c r="P80" s="46" t="inlineStr">
        <is>
          <t>Mock RxCU83</t>
        </is>
      </c>
      <c r="Q80" s="2" t="n"/>
    </row>
    <row r="81" ht="13.2" customHeight="1" s="37">
      <c r="A81" s="44" t="n">
        <v>79</v>
      </c>
      <c r="B81" s="45" t="inlineStr">
        <is>
          <t>หัวข้อใดไม่จำเป็นต้องกำหนดในการควบคุมคุณภาพของผลิตภัณฑ์ยาพ่นจมูกรูปแบบสารละลาย</t>
        </is>
      </c>
      <c r="C81" s="46" t="n"/>
      <c r="D81" s="45" t="inlineStr">
        <is>
          <t>Description</t>
        </is>
      </c>
      <c r="E81" s="45" t="inlineStr">
        <is>
          <t>Assay</t>
        </is>
      </c>
      <c r="F81" s="45" t="inlineStr">
        <is>
          <t>Moisture content</t>
        </is>
      </c>
      <c r="G81" s="45" t="inlineStr">
        <is>
          <t>Microbial limit</t>
        </is>
      </c>
      <c r="H81" s="45" t="inlineStr">
        <is>
          <t>Mean delivered dose</t>
        </is>
      </c>
      <c r="I81" s="44" t="inlineStr">
        <is>
          <t>1</t>
        </is>
      </c>
      <c r="J81" s="45" t="inlineStr">
        <is>
          <t>✅ คำตอบที่ถูกต้อง: ข้อ ก. Description
💡 Background:
การบริบาลผู้ป่วยเบาหวานชนิดที่ 2 (T2DM) เน้นควบคุม HbA1c ควบคู่กับการเลือกยาที่มี cardiorenal protection ในผู้ป่วยที่มีโรคร่วม
🎯 ทำไมข้อนี้ถึงถูก:
Description การเลือก Description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(Assay): Assay หรือการหาปริมาณตัวยาสำคัญ เป็นหัวข้อบังคับในเภสัชตำรับเพื่อควบคุมคุณภาพด้านความแรงของผลิตภัณฑ์
• ข้อ ค. (Moisture content): Moisture content มักกำหนดในยารูปแบบผงแห้ง (dry powder) แต่สำหรับยาพ่นจมูกรูปแบบสารละลายน้ำ (aqueous solution) ไม่ใช่พารามิเตอร์หลัก
• ข้อ ง. (Microbial limit): Microbial limit มีความสำคัญมากสำหรับยาพ่นจมูกแบบ multi-dose เพื่อป้องกันการปนเปื้อนของเชื้อแบคทีเรียเข้าสู่โพรงจมูก
• ข้อ จ. (Mean delivered dose): Mean delivered dose จำเป็นต้องควบคุมเพื่อให้ผู้ป่วยได้รับปริมาณยาที่แม่นยำในการพ่นแต่ละครั้ง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1" s="46" t="n"/>
      <c r="L81" s="45" t="inlineStr">
        <is>
          <t>Diabetes mellitus</t>
        </is>
      </c>
      <c r="M81" s="46" t="inlineStr">
        <is>
          <t>Clinic</t>
        </is>
      </c>
      <c r="N81" s="45" t="inlineStr">
        <is>
          <t>Mock PLE-CC 1 ข้อ 48</t>
        </is>
      </c>
      <c r="O81" s="46" t="inlineStr">
        <is>
          <t>Mock</t>
        </is>
      </c>
      <c r="P81" s="46" t="inlineStr">
        <is>
          <t>Mock RxCU83</t>
        </is>
      </c>
      <c r="Q81" s="2" t="n"/>
    </row>
    <row r="82" ht="13.2" customHeight="1" s="37">
      <c r="A82" s="44" t="n">
        <v>80</v>
      </c>
      <c r="B82" s="45"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82" s="46" t="n"/>
      <c r="D82" s="45" t="inlineStr">
        <is>
          <t>Methimazole 10 mg OD</t>
        </is>
      </c>
      <c r="E82" s="45" t="inlineStr">
        <is>
          <t>Pioglitazone 15 mg OD</t>
        </is>
      </c>
      <c r="F82" s="45" t="inlineStr">
        <is>
          <t>A และ B</t>
        </is>
      </c>
      <c r="G82" s="45" t="inlineStr">
        <is>
          <t>ไม่ใช้ทั้ง A และ B</t>
        </is>
      </c>
      <c r="H82" s="45" t="inlineStr">
        <is>
          <t>ตัดสินไม่ได้</t>
        </is>
      </c>
      <c r="I82" s="44" t="inlineStr">
        <is>
          <t>1</t>
        </is>
      </c>
      <c r="J82"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Pioglitazone เป็นยารักษาโรคเบาหวาน ไม่มีโครงสร้างและฤทธิ์ต้านตัวรับฮิสตามีน
• ข้อ ค. (A และ B): การเลือกทั้ง A และ B เป็นไปไม่ได้เนื่องจากสารประกอบมีโครงสร้างเฉพาะตัว
• ข้อ ง. (ไม่ใช้ทั้ง A และ B): Levocetirizine มีโครงสร้าง stereochemistry แบบ R-enantiomer ที่เฉพาะเจาะจง การตอบว่าไม่ใช้ทั้งสองโครงสร้างจึงไม่ถูกต้อง
• ข้อ จ. (ตัดสินไม่ได้): สามารถตัดสินโครงสร้างได้จาก stereocenter ในโมเลกุลที่หมุนระนาบแสงไปทางขวา (R-configuration)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2" s="46" t="n"/>
      <c r="L82" s="45" t="inlineStr">
        <is>
          <t>Diabetes mellitus</t>
        </is>
      </c>
      <c r="M82" s="46" t="inlineStr">
        <is>
          <t>Clinic</t>
        </is>
      </c>
      <c r="N82" s="45" t="inlineStr">
        <is>
          <t>Mock PLE-CC 1 ข้อ 49</t>
        </is>
      </c>
      <c r="O82" s="46" t="inlineStr">
        <is>
          <t>Mock</t>
        </is>
      </c>
      <c r="P82" s="46" t="inlineStr">
        <is>
          <t>Mock RxCU83</t>
        </is>
      </c>
      <c r="Q82" s="2" t="n"/>
    </row>
    <row r="83" ht="13.2" customHeight="1" s="37">
      <c r="A83" s="44" t="n">
        <v>81</v>
      </c>
      <c r="B83" s="45" t="inlineStr">
        <is>
          <t>ข้อใดถูกต้องเกี่ยวกับ immune-related adverse events (irAEs)</t>
        </is>
      </c>
      <c r="C83" s="46" t="n"/>
      <c r="D83" s="45" t="inlineStr">
        <is>
          <t>ลำดับการเกิดคือ colitis &gt; endocrinepathy &gt; skin &gt; liver toxicity</t>
        </is>
      </c>
      <c r="E83" s="45" t="inlineStr">
        <is>
          <t>Endocrine toxicity คือการเกิด hypothyroidism รักษาด้วย steroid</t>
        </is>
      </c>
      <c r="F83" s="45" t="inlineStr">
        <is>
          <t>สามารถเกิดได้กับหลายอวัยวะ และเกิดได้แม้หยุดยาไปแล้ว</t>
        </is>
      </c>
      <c r="G83" s="45" t="inlineStr">
        <is>
          <t>ไม่จำเป็นต้องหยุดยา และสามารถหายได้เอง</t>
        </is>
      </c>
      <c r="H83" s="45" t="inlineStr">
        <is>
          <t>Skin จะเกิดเฉพาะกับผู้ป่วยที่มี EGFR mutation positive เท่านั้น</t>
        </is>
      </c>
      <c r="I83" s="44" t="inlineStr">
        <is>
          <t>1</t>
        </is>
      </c>
      <c r="J83" s="45" t="inlineStr">
        <is>
          <t>✅ คำตอบที่ถูกต้อง: ข้อ ก. ลำดับการเกิดคือ colitis &gt; endocrinepathy &gt; skin &gt; liver 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ลำดับการเกิดคือ colitis &gt; endocrinepathy &gt; skin &gt; liver toxicity การเลือก ลำดับการเกิดคือ colitis &gt; endocrinepathy &gt; skin &gt; liver toxicity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(Endocrine toxicity คือการเกิด hypothyroidism รักษาด้วย steroid): Endocrine toxicity จากการใช้ยากลุ่มภูมิคุ้มกันบำบัด มักเกิดภาวะ hypophysitis หรือ thyroiditis การรักษาหลักคือการให้ฮอร์โมนทดแทน ไม่ใช่สเตียรอยด์ขนาดสูงเสมอไป
• ข้อ ค. (สามารถเกิดได้กับหลายอวัยวะ และเกิดได้แม้หยุดยาไปแล้ว): irAEs เกิดจากการกระตุ้นการทำงานของ T-cell สามารถเกิดได้กับหลายระบบในร่างกาย และผลกระทบอาจอยู่ยาวนานแม้หยุดยา ซึ่งเป็นข้อมูลที่ถูกต้อง
• ข้อ ง. (ไม่จำเป็นต้องหยุดยา และสามารถหายได้เอง): หากเกิด irAEs ระดับปานกลางถึงรุนแรง จำเป็นต้องระงับการให้ยาชั่วคราวหรือถาวร และอาจต้องให้คอร์ติโคสเตียรอยด์เพื่อกดภูมิคุ้มกัน
• ข้อ จ. (Skin จะเกิดเฉพาะกับผู้ป่วยที่มี EGFR mutation positive เท่านั้น): ผลข้างเคียงทางผิวหนัง (Skin toxicity) จาก immune checkpoint inhibitors ไม่ได้จำกัดเฉพาะผู้ที่มี EGFR mutation แบบยากลุ่ม TKI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3" s="46" t="n"/>
      <c r="L83" s="45" t="inlineStr">
        <is>
          <t>Diabetes mellitus</t>
        </is>
      </c>
      <c r="M83" s="46" t="inlineStr">
        <is>
          <t>Clinic</t>
        </is>
      </c>
      <c r="N83" s="45" t="inlineStr">
        <is>
          <t>Mock PLE-CC 1 ข้อ 68</t>
        </is>
      </c>
      <c r="O83" s="46" t="inlineStr">
        <is>
          <t>Mock</t>
        </is>
      </c>
      <c r="P83" s="46" t="inlineStr">
        <is>
          <t>Mock RxCU83</t>
        </is>
      </c>
      <c r="Q83" s="2" t="n"/>
    </row>
    <row r="84" ht="13.2" customHeight="1" s="37">
      <c r="A84" s="44" t="n">
        <v>82</v>
      </c>
      <c r="B84" s="45" t="inlineStr">
        <is>
          <t>ใช้ propranolol ในการป้องกันไมเกรน ควรระวังในผู้ป่วยที่มีโรคร่วมใดมากที่สุด</t>
        </is>
      </c>
      <c r="C84" s="46" t="n"/>
      <c r="D84" s="45" t="inlineStr">
        <is>
          <t>เบาหวาน</t>
        </is>
      </c>
      <c r="E84" s="45" t="inlineStr">
        <is>
          <t>หืด</t>
        </is>
      </c>
      <c r="F84" s="45" t="inlineStr">
        <is>
          <t>ซึมเศร้า</t>
        </is>
      </c>
      <c r="G84" s="45" t="inlineStr">
        <is>
          <t>กรดไหลย้อน</t>
        </is>
      </c>
      <c r="H84" s="45" t="inlineStr">
        <is>
          <t>ไตเรื้อรัง</t>
        </is>
      </c>
      <c r="I84" s="44" t="inlineStr">
        <is>
          <t>1</t>
        </is>
      </c>
      <c r="J84" s="45" t="inlineStr">
        <is>
          <t>✅ คำตอบที่ถูกต้อง: ข้อ ก.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(หืด): โรคหืด (Asthma) เป็นข้อห้ามใช้เด็ดขาด (absolute contraindication) สำหรับยา non-selective beta-blockers อย่าง propranolol เพราะทำให้หลอดลมตีบรุนแรง
• ข้อ ค. (ซึมเศร้า): Propranolol ผ่าน blood-brain barrier ได้ดี จึงอาจทำให้อาการซึมเศร้าแย่ลงได้ แต่ระดับความระมัดระวังยังน้อยกว่าโรคหืดและเบาหวานในแง่ของผลเฉียบพลัน
• ข้อ ง. (กรดไหลย้อน): ยากลุ่ม beta-blockers ไม่ได้มีผลทางเภสัชวิทยาที่ทำให้กรดไหลย้อน (GERD) แย่ลงอย่างมีนัยสำคัญ
• ข้อ จ. (ไตเรื้อรัง): Propranolol ถูกเมแทบอลิซึมที่ตับเป็นหลัก การปรับยาในผู้ป่วยไตเรื้อรังจึงไม่มีความสำคัญมากนัก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4" s="46" t="n"/>
      <c r="L84" s="45" t="inlineStr">
        <is>
          <t>Diabetes mellitus</t>
        </is>
      </c>
      <c r="M84" s="46" t="inlineStr">
        <is>
          <t>Clinic</t>
        </is>
      </c>
      <c r="N84" s="45" t="inlineStr">
        <is>
          <t>Mock PLE-CC 1 ข้อ 111</t>
        </is>
      </c>
      <c r="O84" s="46" t="inlineStr">
        <is>
          <t>Mock</t>
        </is>
      </c>
      <c r="P84" s="46" t="inlineStr">
        <is>
          <t>Mock RxCU83</t>
        </is>
      </c>
      <c r="Q84" s="2" t="n"/>
    </row>
    <row r="85" ht="13.2" customHeight="1" s="37">
      <c r="A85" s="44" t="n">
        <v>83</v>
      </c>
      <c r="B85" s="45"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t>
        </is>
      </c>
      <c r="C85" s="46" t="n"/>
      <c r="D85" s="45" t="inlineStr">
        <is>
          <t>ให้กินยาจนครบคอร์ส 6-8 เดือน ห้ามหยุดยาเอง ก่อนปรึกษาแพทย์</t>
        </is>
      </c>
      <c r="E85" s="45" t="inlineStr">
        <is>
          <t>ยาอาจทำให้ง่วงซึม หลีกเลี่ยงการขับขี่ยานพาหนะหรือทำงานเครื่องจักร</t>
        </is>
      </c>
      <c r="F85" s="45" t="inlineStr">
        <is>
          <t>หลีกเลี่ยงการออกแดดหรือให้ทาครีมกันแดด เมื่อจำเป็น</t>
        </is>
      </c>
      <c r="G85" s="45" t="inlineStr">
        <is>
          <t>หากมีอาการ ไข้ เจ็บคอ มีแผลในปาก ควรหยุดยาแล้วมาพบแพทย์ทันที</t>
        </is>
      </c>
      <c r="H85" s="45" t="inlineStr">
        <is>
          <t>หากมีผื่นขึ้นแม้เพียงเล็กน้อย ให้หยุดยาทันที PLE-PC1 Preparation 2567</t>
        </is>
      </c>
      <c r="I85" s="44" t="inlineStr">
        <is>
          <t>1</t>
        </is>
      </c>
      <c r="J85" s="45" t="inlineStr">
        <is>
          <t>✅ คำตอบที่ถูกต้อง: ข้อ ก. ให้กินยาจนครบคอร์ส 6-8 เดือน ห้ามหยุดยาเอง ก่อนปรึกษาแพทย์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(ยาอาจทำให้ง่วงซึม หลีกเลี่ยงการขับขี่ยานพาหนะหรือทำงานเครื่องจักร): ยาต้านไทรอยด์เช่น MMI หรือ PTU ไม่ผ่านเข้าสู่สมองในระดับที่ทำให้เกิดอาการง่วงซึมโดยตรง ไม่จำเป็นต้องห้ามขับรถ
• ข้อ ค. (หลีกเลี่ยงการออกแดดหรือให้ทาครีมกันแดด เมื่อจำเป็น): การไวต่อแสง (photosensitivity) เป็นผลข้างเคียงที่พบได้น้อยมากจากยารักษา Graves disease เมื่อเทียบกับยาเช่น doxycycline
• ข้อ ง. (หากมีอาการ ไข้ เจ็บคอ มีแผลในปาก ควรหยุดยาแล้วมาพบแพทย์ทันที): อาการไข้ เจ็บคอ แผลในปาก เป็นสัญญาณเตือนของภาวะ agranulocytosis ซึ่งเป็นผลข้างเคียงที่รุนแรง ต้องหยุดยาและพบแพทย์ทันที ซึ่งเป็นคำแนะนำที่ถูกต้อง
• ข้อ จ. (หากมีผื่นขึ้นแม้เพียงเล็กน้อย ให้หยุดยาทันที PLE-PC1 Preparation 2567): หากมีผื่นคันเล็กน้อย (minor skin rash) มักให้กินยาแก้แพ้ร่วมด้วยและใช้ยาต้านไทรอยด์ต่อได้ ไม่จำเป็นต้องหยุดยาทันที ยกเว้นเป็นผื่นรุนแรง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85" s="46" t="n"/>
      <c r="L85" s="45" t="inlineStr">
        <is>
          <t>Hypo/Hyperthyroidism</t>
        </is>
      </c>
      <c r="M85" s="46" t="inlineStr">
        <is>
          <t>Clinic</t>
        </is>
      </c>
      <c r="N85" s="45" t="inlineStr">
        <is>
          <t>PLE_CC1_2567_Key ข้อ 43</t>
        </is>
      </c>
      <c r="O85" s="46" t="inlineStr">
        <is>
          <t>ข้อสอบจริง</t>
        </is>
      </c>
      <c r="P85" s="46" t="inlineStr">
        <is>
          <t>ปี 2567</t>
        </is>
      </c>
      <c r="Q85" s="2" t="n"/>
    </row>
    <row r="86" ht="13.2" customHeight="1" s="37">
      <c r="A86" s="44" t="n">
        <v>84</v>
      </c>
      <c r="B86" s="45" t="inlineStr">
        <is>
          <t>ยาเบาหวานที่เหมาะสมในผู้ป่วยรายนี้ ตาม KDIGO 2022 - 「 ←</t>
        </is>
      </c>
      <c r="C86" s="46" t="n"/>
      <c r="D86" s="45" t="inlineStr">
        <is>
          <t>Metformin + dapagliflozin</t>
        </is>
      </c>
      <c r="E86" s="45" t="inlineStr">
        <is>
          <t>Glipizide + insulin</t>
        </is>
      </c>
      <c r="F86" s="45" t="inlineStr">
        <is>
          <t>Insulin</t>
        </is>
      </c>
      <c r="G86" s="45" t="inlineStr">
        <is>
          <t>Linagliptin</t>
        </is>
      </c>
      <c r="H86" s="45" t="inlineStr">
        <is>
          <t>Metformin + sitagliptin ปจจยเสยงโรคไตเรอรง • Family history • อาย • เชอชาต - African • DM • Hypertension จาก KDIGO2022 — DM &amp; CKD PLE-PC1 Preparation 2567 UACR = 282 ☆</t>
        </is>
      </c>
      <c r="I86" s="44" t="inlineStr">
        <is>
          <t>1</t>
        </is>
      </c>
      <c r="J86" s="45" t="inlineStr">
        <is>
          <t>✅ คำตอบที่ถูกต้อง: ข้อ ก. Metformin + dapagliflozin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(Glipizide + insulin): ยา Glipizide + insulin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ยา Insulin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(Linagliptin): การเลือก Linagliptin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(Metformin + sitagliptin ปจจยเสยงโรคไตเรอรง • Family history • อาย • เชอชาต - African • DM • Hypertension จาก KDIGO2022 — DM &amp; CKD PLE-PC1 Preparation 2567 UACR = 282 ☆): ยา Metformin + sitagliptin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6" s="46" t="n"/>
      <c r="L86" s="45" t="inlineStr">
        <is>
          <t>Diabetes mellitus</t>
        </is>
      </c>
      <c r="M86" s="46" t="inlineStr">
        <is>
          <t>Clinic</t>
        </is>
      </c>
      <c r="N86" s="45" t="inlineStr">
        <is>
          <t>PLE_CC1_2567_Key ข้อ 49</t>
        </is>
      </c>
      <c r="O86" s="46" t="inlineStr">
        <is>
          <t>ข้อสอบจริง</t>
        </is>
      </c>
      <c r="P86" s="46" t="inlineStr">
        <is>
          <t>ปี 2567</t>
        </is>
      </c>
      <c r="Q86" s="2" t="n"/>
    </row>
    <row r="87" ht="13.2" customHeight="1" s="37">
      <c r="A87" s="44" t="n">
        <v>85</v>
      </c>
      <c r="B87" s="45" t="inlineStr">
        <is>
          <t>ผู้ป่วยรายนี้ ผลการตรวจฮอร์โมนต่อมไทรอยด์ควรมีลักษณะเป็นอย่างไร</t>
        </is>
      </c>
      <c r="C87" s="46" t="n"/>
      <c r="D87" s="45" t="inlineStr">
        <is>
          <t>TSH สูง, FT3 ปกติ, FT4 ปกติ</t>
        </is>
      </c>
      <c r="E87" s="45" t="inlineStr">
        <is>
          <t>TSH ปกติ, FT3 สูง, FT4 สูง</t>
        </is>
      </c>
      <c r="F87" s="45" t="inlineStr">
        <is>
          <t>TSH ต่ำ, FT3 สูง, FT4 สูง</t>
        </is>
      </c>
      <c r="G87" s="45" t="inlineStr">
        <is>
          <t>TSH ต่ำ, FT3 ต่ำ, FT4 ต่ำ</t>
        </is>
      </c>
      <c r="H87" s="45" t="inlineStr">
        <is>
          <t>TSH สูง, FT3 สูง, FT4 สูง</t>
        </is>
      </c>
      <c r="I87" s="44" t="inlineStr">
        <is>
          <t>1</t>
        </is>
      </c>
      <c r="J87" s="45" t="inlineStr">
        <is>
          <t>✅ คำตอบที่ถูกต้อง: ข้อ ก. TSH สูง, FT3 ปกติ, FT4 ปกติ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(TSH ปกติ, FT3 สูง, FT4 สูง): รูปแบบการเปลี่ยนแปลงของฮอร์โมน TSH ปกติ, FT3 สูง, FT4 สูง ไม่สอดคล้องกับพยาธิสภาพของโรคตามกระบวนการ negative feedback loop ของ HPT axis
• ข้อ ค. (TSH ต่ำ, FT3 สูง, FT4 สูง): รูปแบบการเปลี่ยนแปลงของฮอร์โมน TSH ต่ำ, FT3 สูง, FT4 สูง ไม่สอดคล้องกับพยาธิสภาพของโรคตามกระบวนการ negative feedback loop ของ HPT axis
• ข้อ ง. (TSH ต่ำ, FT3 ต่ำ, FT4 ต่ำ): รูปแบบการเปลี่ยนแปลงของฮอร์โมน TSH ต่ำ, FT3 ต่ำ, FT4 ต่ำ ไม่สอดคล้องกับพยาธิสภาพของโรคตามกระบวนการ negative feedback loop ของ HPT axis
• ข้อ จ. (TSH สูง, FT3 สูง, FT4 สูง): รูปแบบการเปลี่ยนแปลงของฮอร์โมน TSH สูง, FT3 สูง, FT4 สูง ไม่สอดคล้องกับพยาธิสภาพของโรคตามกระบวนการ negative feedback loop ของ HPT axis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87" s="46" t="n"/>
      <c r="L87" s="45" t="inlineStr">
        <is>
          <t>Hypo/Hyperthyroidism</t>
        </is>
      </c>
      <c r="M87" s="46" t="inlineStr">
        <is>
          <t>Clinic</t>
        </is>
      </c>
      <c r="N87" s="45" t="inlineStr">
        <is>
          <t>PLE_CC1_2567_Key ข้อ 67</t>
        </is>
      </c>
      <c r="O87" s="46" t="inlineStr">
        <is>
          <t>ข้อสอบจริง</t>
        </is>
      </c>
      <c r="P87" s="46" t="inlineStr">
        <is>
          <t>ปี 2567</t>
        </is>
      </c>
      <c r="Q87" s="2" t="n"/>
    </row>
    <row r="88" ht="13.2" customHeight="1" s="37">
      <c r="A88" s="44" t="n">
        <v>86</v>
      </c>
      <c r="B88" s="45" t="inlineStr">
        <is>
          <t>ข้อใดต่อไปนี้เป็นอาการแสดง hyperthyroid x &amp; VIn &lt; PT3 thyroid disorder e ↓</t>
        </is>
      </c>
      <c r="C88" s="46" t="n"/>
      <c r="D88" s="45" t="inlineStr">
        <is>
          <t>หงุดหงิดง่าย</t>
        </is>
      </c>
      <c r="E88" s="45" t="inlineStr">
        <is>
          <t>ผมร่วง</t>
        </is>
      </c>
      <c r="F88" s="45" t="inlineStr">
        <is>
          <t>ผิวแห้ง</t>
        </is>
      </c>
      <c r="G88" s="45" t="inlineStr">
        <is>
          <t>หัวใจเต้นช้า</t>
        </is>
      </c>
      <c r="H88" s="45" t="inlineStr">
        <is>
          <t>ท้องผูก</t>
        </is>
      </c>
      <c r="I88" s="44" t="inlineStr">
        <is>
          <t>1</t>
        </is>
      </c>
      <c r="J88" s="45" t="inlineStr">
        <is>
          <t>✅ คำตอบที่ถูกต้อง: ข้อ ก. หงุดหงิดง่าย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(ผมร่วง): อาการ ผมร่วง เป็นลักษณะอาการแสดงทางคลินิกของภาวะฮอร์โมนไทรอยด์ต่ำ (Hypothyroidism) ซึ่งเกิดจากกระบวนการเผาผลาญพื้นฐานของร่างกายลดลง ไม่ใช่อาการของ hyperthyroidism
• ข้อ ค. (ผิวแห้ง): อาการ ผิวแห้ง เป็นลักษณะอาการแสดงทางคลินิกของภาวะฮอร์โมนไทรอยด์ต่ำ (Hypothyroidism) ซึ่งเกิดจากกระบวนการเผาผลาญพื้นฐานของร่างกายลดลง ไม่ใช่อาการของ hyperthyroidism
• ข้อ ง. (หัวใจเต้นช้า): อาการ หัวใจเต้นช้า เป็นลักษณะอาการแสดงทางคลินิกของภาวะฮอร์โมนไทรอยด์ต่ำ (Hypothyroidism) ซึ่งเกิดจากกระบวนการเผาผลาญพื้นฐานของร่างกายลดลง ไม่ใช่อาการของ hyperthyroidism
• ข้อ จ. (ท้องผูก): อาการ ท้องผูก เป็นลักษณะอาการแสดงทางคลินิกของภาวะฮอร์โมนไทรอยด์ต่ำ (Hypothyroidism) ซึ่งเกิดจากกระบวนการเผาผลาญพื้นฐานของร่างกายลดลง ไม่ใช่อาการของ hyperthyroidism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88" s="46" t="n"/>
      <c r="L88" s="45" t="inlineStr">
        <is>
          <t>Hypo/Hyperthyroidism</t>
        </is>
      </c>
      <c r="M88" s="46" t="inlineStr">
        <is>
          <t>Clinic</t>
        </is>
      </c>
      <c r="N88" s="45" t="inlineStr">
        <is>
          <t>PLE_CC1_2567_Key ข้อ 68</t>
        </is>
      </c>
      <c r="O88" s="46" t="inlineStr">
        <is>
          <t>ข้อสอบจริง</t>
        </is>
      </c>
      <c r="P88" s="46" t="inlineStr">
        <is>
          <t>ปี 2567</t>
        </is>
      </c>
      <c r="Q88" s="2" t="n"/>
    </row>
    <row r="89" ht="13.2" customHeight="1" s="37">
      <c r="A89" s="44" t="n">
        <v>87</v>
      </c>
      <c r="B89" s="45" t="inlineStr">
        <is>
          <t>แพทย์จ่าย propranolol , MMI ในคนท้อง 4 เดือน DRP คืออะไร X 7 อาการแสดง vos hyperthyroid</t>
        </is>
      </c>
      <c r="C89" s="46" t="n"/>
      <c r="D89" s="45" t="inlineStr">
        <is>
          <t>จ่ายยาเพิ่มอีก 1 ตัว</t>
        </is>
      </c>
      <c r="E89" s="45" t="inlineStr">
        <is>
          <t>มียาที่ไม่เหมาะสม</t>
        </is>
      </c>
      <c r="F89" s="45" t="inlineStr">
        <is>
          <t>มียาที่ความถี่ในการบริหารไม่เหมาะสม</t>
        </is>
      </c>
      <c r="G89" s="45" t="inlineStr">
        <is>
          <t>มียาที่ไม่มีข้อบ่งใช้</t>
        </is>
      </c>
      <c r="H89" s="45" t="inlineStr">
        <is>
          <t>จำ choice ไม่ได้ PLE-PC1 Preparation 2567</t>
        </is>
      </c>
      <c r="I89" s="44" t="inlineStr">
        <is>
          <t>1</t>
        </is>
      </c>
      <c r="J89" s="45" t="inlineStr">
        <is>
          <t>✅ คำตอบที่ถูกต้อง: ข้อ ก. จ่ายยาเพิ่มอีก 1 ตัว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(มียาที่ไม่เหมาะสม): การเลือก มียาที่ไม่เหมาะสม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(มียาที่ความถี่ในการบริหารไม่เหมาะสม): การเลือก มียาที่ความถี่ในการบริหารไม่เหมาะสม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(มียาที่ไม่มีข้อบ่งใช้): การพิจารณาใช้ มียาที่ไม่มีข้อบ่งใช้ ในบริบทนี้ไม่สอดคล้องกับกลไกการออกฤทธิ์ทางเภสัชวิทยาหรือข้อบ่งใช้หลักตามแนวทางการรักษามาตรฐาน เนื่องจากไม่สามารถจัดการพยาธิสภาพหรือให้ผลลัพธ์ทางคลินิกที่ต้องการได้อย่างตรงจุด
• ข้อ จ. (จำ choice ไม่ได้ PLE-PC1 Preparation 2567): ตัวเลือกนี้ไม่มีข้อมูลทางคลินิกที่เพียงพอในการประเมินประสิทธิภาพหรือความปลอดภัยตามแนวทางการรักษา
📖 Guideline อ้างอิง:
[NEED_REVIEW]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89" s="46" t="n"/>
      <c r="L89" s="45" t="inlineStr">
        <is>
          <t>Hypo/Hyperthyroidism</t>
        </is>
      </c>
      <c r="M89" s="46" t="inlineStr">
        <is>
          <t>Clinic</t>
        </is>
      </c>
      <c r="N89" s="45" t="inlineStr">
        <is>
          <t>PLE_CC1_2567_Key ข้อ 69</t>
        </is>
      </c>
      <c r="O89" s="46" t="inlineStr">
        <is>
          <t>ข้อสอบจริง</t>
        </is>
      </c>
      <c r="P89" s="46" t="inlineStr">
        <is>
          <t>ปี 2567</t>
        </is>
      </c>
      <c r="Q89" s="2" t="n"/>
    </row>
    <row r="90" ht="13.2" customHeight="1" s="37">
      <c r="A90" s="44" t="n">
        <v>88</v>
      </c>
      <c r="B90" s="45"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t>
        </is>
      </c>
      <c r="C90" s="46" t="n"/>
      <c r="D90" s="45" t="inlineStr">
        <is>
          <t>Cefixime</t>
        </is>
      </c>
      <c r="E90" s="45" t="inlineStr">
        <is>
          <t>Amoxicillin/clavulanate</t>
        </is>
      </c>
      <c r="F90" s="45" t="inlineStr">
        <is>
          <t>cotrimoxazole</t>
        </is>
      </c>
      <c r="G90" s="45" t="inlineStr">
        <is>
          <t>Amoxicillin</t>
        </is>
      </c>
      <c r="H90" s="45" t="inlineStr">
        <is>
          <t>Levofloxacin</t>
        </is>
      </c>
      <c r="I90" s="44" t="inlineStr">
        <is>
          <t>1</t>
        </is>
      </c>
      <c r="J90" s="45" t="inlineStr">
        <is>
          <t>✅ คำตอบที่ถูกต้อง: ข้อ ก. Cefixime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(Amoxicillin/clavulanate): ยา Amoxicillin/clavulanate เป็นยาต้านจุลชีพที่ไม่มีบทบาทในการลดระดับฮอร์โมนไทรอยด์หรือรักษาพยาธิสภาพของ Graves disease โดยตรง
• ข้อ ค. (cotrimoxazole): การเลือก cotrimoxazole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(Amoxicillin): ยา Amoxicillin เป็นยาต้านจุลชีพที่ไม่มีบทบาทในการลดระดับฮอร์โมนไทรอยด์หรือรักษาพยาธิสภาพของ Graves disease โดยตรง
• ข้อ จ. (Levofloxacin): ยา Levofloxacin เป็นยาต้านจุลชีพที่ไม่มีบทบาทในการลดระดับฮอร์โมนไทรอยด์หรือรักษาพยาธิสภาพของ Graves disease โดยตรง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90" s="46" t="n"/>
      <c r="L90" s="45" t="inlineStr">
        <is>
          <t>Hypo/Hyperthyroidism</t>
        </is>
      </c>
      <c r="M90" s="46" t="inlineStr">
        <is>
          <t>Clinic</t>
        </is>
      </c>
      <c r="N90" s="45" t="inlineStr">
        <is>
          <t>PLE_CC1_2567_Set1_Key ข้อ 43</t>
        </is>
      </c>
      <c r="O90" s="46" t="inlineStr">
        <is>
          <t>ข้อสอบจริง</t>
        </is>
      </c>
      <c r="P90" s="46" t="inlineStr">
        <is>
          <t>ปี 2567</t>
        </is>
      </c>
      <c r="Q90" s="2" t="n"/>
    </row>
    <row r="91" ht="13.2" customHeight="1" s="37">
      <c r="A91" s="44" t="n">
        <v>89</v>
      </c>
      <c r="B91" s="45" t="inlineStr">
        <is>
          <t>ยาเบาหวานที่เหมาะสมในผู้ป่วยรายนี้ ตาม KDIGO 2022 MจNยเOยงโรคไตเRอ'ง - Family history อาi เ(อชาk - African DM Hypertension 「 ←</t>
        </is>
      </c>
      <c r="C91" s="46" t="n"/>
      <c r="D91" s="45" t="inlineStr">
        <is>
          <t>ติดเชื้อในทางเดินปัสสาวะ</t>
        </is>
      </c>
      <c r="E91" s="45" t="inlineStr">
        <is>
          <t>นิ่วในถุงน้ำดี</t>
        </is>
      </c>
      <c r="F91" s="45" t="inlineStr">
        <is>
          <t>ตั้งครรภ์</t>
        </is>
      </c>
      <c r="G91" s="45" t="inlineStr">
        <is>
          <t>ไตเรื้อรัง ระยะ 3a</t>
        </is>
      </c>
      <c r="H91" s="45" t="inlineStr">
        <is>
          <t>เลือดออกในสมอง</t>
        </is>
      </c>
      <c r="I91" s="44" t="inlineStr">
        <is>
          <t>1</t>
        </is>
      </c>
      <c r="J91" s="45" t="inlineStr">
        <is>
          <t>✅ คำตอบที่ถูกต้อง: ข้อ ก. ติดเชื้อในทางเดินปัสสาวะ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(นิ่วในถุงน้ำดี): การเลือก นิ่วในถุงน้ำดี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(ตั้งครรภ์): การเลือก ตั้งครรภ์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(ไตเรื้อรัง ระยะ 3a): การเลือก ไตเรื้อรัง ระยะ 3a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(เลือดออกในสมอง): การเลือก เลือดออกในสมอง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1" s="46" t="n"/>
      <c r="L91" s="45" t="inlineStr">
        <is>
          <t>Diabetes mellitus</t>
        </is>
      </c>
      <c r="M91" s="46" t="inlineStr">
        <is>
          <t>Clinic</t>
        </is>
      </c>
      <c r="N91" s="45" t="inlineStr">
        <is>
          <t>PLE_CC1_2567_Set1_Key ข้อ 49</t>
        </is>
      </c>
      <c r="O91" s="46" t="inlineStr">
        <is>
          <t>ข้อสอบจริง</t>
        </is>
      </c>
      <c r="P91" s="46" t="inlineStr">
        <is>
          <t>ปี 2567</t>
        </is>
      </c>
      <c r="Q91" s="2" t="n"/>
    </row>
    <row r="92" ht="13.2" customHeight="1" s="37">
      <c r="A92" s="44" t="n">
        <v>90</v>
      </c>
      <c r="B92" s="45" t="inlineStr">
        <is>
          <t>ข้อใดต่อไปนี้เป็นอาการแสดง hyperthyroid เพื่อเจเA ยา เม็ค↑U on slide spos &gt; uniformity of dosage units uncoated มี AP l1Om A; Sawanya Buranaphalin ผ่าหนักเม็ดยาเฉลี่ / x dose and vario of drug substance &lt;25mg or 25 % Minwhinco Trivirions we 、</t>
        </is>
      </c>
      <c r="C92" s="46" t="n"/>
      <c r="D92" s="45" t="inlineStr">
        <is>
          <t>หงุดหงิดง่าย</t>
        </is>
      </c>
      <c r="E92" s="45" t="inlineStr">
        <is>
          <t>ผมร่วง</t>
        </is>
      </c>
      <c r="F92" s="45" t="inlineStr">
        <is>
          <t>ผิวแห้ง</t>
        </is>
      </c>
      <c r="G92" s="45" t="inlineStr">
        <is>
          <t>หัวใจเต้นช้า</t>
        </is>
      </c>
      <c r="H92" s="45" t="inlineStr">
        <is>
          <t>ท้องผูก</t>
        </is>
      </c>
      <c r="I92" s="44" t="inlineStr">
        <is>
          <t>1</t>
        </is>
      </c>
      <c r="J92" s="45" t="inlineStr">
        <is>
          <t>✅ คำตอบที่ถูกต้อง: ข้อ ก. หงุดหงิดง่าย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(ผมร่วง): อาการ ผมร่วง เป็นลักษณะอาการแสดงทางคลินิกของภาวะฮอร์โมนไทรอยด์ต่ำ (Hypothyroidism) ซึ่งเกิดจากกระบวนการเผาผลาญพื้นฐานของร่างกายลดลง ไม่ใช่อาการของ hyperthyroidism
• ข้อ ค. (ผิวแห้ง): อาการ ผิวแห้ง เป็นลักษณะอาการแสดงทางคลินิกของภาวะฮอร์โมนไทรอยด์ต่ำ (Hypothyroidism) ซึ่งเกิดจากกระบวนการเผาผลาญพื้นฐานของร่างกายลดลง ไม่ใช่อาการของ hyperthyroidism
• ข้อ ง. (หัวใจเต้นช้า): อาการ หัวใจเต้นช้า เป็นลักษณะอาการแสดงทางคลินิกของภาวะฮอร์โมนไทรอยด์ต่ำ (Hypothyroidism) ซึ่งเกิดจากกระบวนการเผาผลาญพื้นฐานของร่างกายลดลง ไม่ใช่อาการของ hyperthyroidism
• ข้อ จ. (ท้องผูก): อาการ ท้องผูก เป็นลักษณะอาการแสดงทางคลินิกของภาวะฮอร์โมนไทรอยด์ต่ำ (Hypothyroidism) ซึ่งเกิดจากกระบวนการเผาผลาญพื้นฐานของร่างกายลดลง ไม่ใช่อาการของ hyperthyroidism
📖 Guideline อ้างอิง:
[NEED_REVIEW]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92" s="46" t="n"/>
      <c r="L92" s="45" t="inlineStr">
        <is>
          <t>Hypo/Hyperthyroidism</t>
        </is>
      </c>
      <c r="M92" s="46" t="inlineStr">
        <is>
          <t>Clinic</t>
        </is>
      </c>
      <c r="N92" s="45" t="inlineStr">
        <is>
          <t>PLE_CC1_2567_Set1_Key ข้อ 68</t>
        </is>
      </c>
      <c r="O92" s="46" t="inlineStr">
        <is>
          <t>ข้อสอบจริง</t>
        </is>
      </c>
      <c r="P92" s="46" t="inlineStr">
        <is>
          <t>ปี 2567</t>
        </is>
      </c>
      <c r="Q92" s="2" t="n"/>
    </row>
    <row r="93" ht="13.2" customHeight="1" s="37">
      <c r="A93" s="44" t="n">
        <v>91</v>
      </c>
      <c r="B93" s="45" t="inlineStr">
        <is>
          <t>โรคอ้วน, การดื่มแอลกอฮอล์, Metformin</t>
        </is>
      </c>
      <c r="C93" s="46" t="n"/>
      <c r="D93" s="45" t="inlineStr">
        <is>
          <t>Glipizide 5 mg OD</t>
        </is>
      </c>
      <c r="E93" s="45" t="inlineStr">
        <is>
          <t>Empagliflozin 10 mg OD</t>
        </is>
      </c>
      <c r="F93" s="45" t="inlineStr">
        <is>
          <t>Sitagliptin 100 mg OD</t>
        </is>
      </c>
      <c r="G93" s="45" t="inlineStr">
        <is>
          <t>Liraglutide 1.2 mg SC OD</t>
        </is>
      </c>
      <c r="H93" s="45" t="inlineStr"/>
      <c r="I93" s="44" t="inlineStr">
        <is>
          <t>1</t>
        </is>
      </c>
      <c r="J93" s="45"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3" s="46" t="n"/>
      <c r="L93" s="45" t="inlineStr">
        <is>
          <t>Diabetes mellitus</t>
        </is>
      </c>
      <c r="M93" s="46" t="inlineStr">
        <is>
          <t>Clinic</t>
        </is>
      </c>
      <c r="N93" s="45" t="inlineStr">
        <is>
          <t>PLE-CC1 ปี 2566 Day 1 ข้อ 1</t>
        </is>
      </c>
      <c r="O93" s="46" t="inlineStr">
        <is>
          <t>ข้อสอบจริง</t>
        </is>
      </c>
      <c r="P93" s="46" t="inlineStr">
        <is>
          <t>ปี 2566</t>
        </is>
      </c>
      <c r="Q93" s="2" t="n"/>
    </row>
    <row r="94" ht="13.2" customHeight="1" s="37">
      <c r="A94" s="44" t="n">
        <v>92</v>
      </c>
      <c r="B94" s="45" t="inlineStr">
        <is>
          <t>การใช้Metformin</t>
        </is>
      </c>
      <c r="C94" s="46" t="n"/>
      <c r="D94" s="45" t="inlineStr">
        <is>
          <t>Liraglutide 1.2 mg SC OD</t>
        </is>
      </c>
      <c r="E94" s="45" t="inlineStr">
        <is>
          <t>Levothyroxine 50 mcg OD</t>
        </is>
      </c>
      <c r="F94" s="45" t="inlineStr">
        <is>
          <t>Propylthiouracil 50 mg TID</t>
        </is>
      </c>
      <c r="G94" s="45" t="inlineStr">
        <is>
          <t>Methimazole 10 mg OD</t>
        </is>
      </c>
      <c r="H94" s="45" t="inlineStr"/>
      <c r="I94" s="44" t="inlineStr">
        <is>
          <t>1</t>
        </is>
      </c>
      <c r="J94"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4" s="46" t="n"/>
      <c r="L94" s="45" t="inlineStr">
        <is>
          <t>Diabetes mellitus</t>
        </is>
      </c>
      <c r="M94" s="46" t="inlineStr">
        <is>
          <t>Clinic</t>
        </is>
      </c>
      <c r="N94" s="45" t="inlineStr">
        <is>
          <t>PLE-CC1 ปี 2566 Day 1 ข้อ 5</t>
        </is>
      </c>
      <c r="O94" s="46" t="inlineStr">
        <is>
          <t>ข้อสอบจริง</t>
        </is>
      </c>
      <c r="P94" s="46" t="inlineStr">
        <is>
          <t>ปี 2566</t>
        </is>
      </c>
      <c r="Q94" s="2" t="n"/>
    </row>
    <row r="95" ht="13.2" customHeight="1" s="37">
      <c r="A95" s="44" t="n">
        <v>93</v>
      </c>
      <c r="B95" s="45" t="inlineStr">
        <is>
          <t>Premixed insulin 70/30 ประกอบด้วยอะไรบ้าง. กับระยะเวลาการออกฤทธิ์ ตัวเลือก</t>
        </is>
      </c>
      <c r="C95" s="46" t="n"/>
      <c r="D95" s="45" t="inlineStr">
        <is>
          <t>Methimazole 10 mg OD</t>
        </is>
      </c>
      <c r="E95" s="45" t="inlineStr">
        <is>
          <t>Pioglitazone 15 mg OD</t>
        </is>
      </c>
      <c r="F95" s="45" t="inlineStr">
        <is>
          <t>Insulin glargine 10 units SC HS</t>
        </is>
      </c>
      <c r="G95" s="45" t="inlineStr">
        <is>
          <t>Insulin lispro 4 units SC before meals</t>
        </is>
      </c>
      <c r="H95" s="45" t="inlineStr"/>
      <c r="I95" s="44" t="inlineStr">
        <is>
          <t>1</t>
        </is>
      </c>
      <c r="J95"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5" s="46" t="n"/>
      <c r="L95" s="45" t="inlineStr">
        <is>
          <t>Diabetes mellitus</t>
        </is>
      </c>
      <c r="M95" s="46" t="inlineStr">
        <is>
          <t>Clinic</t>
        </is>
      </c>
      <c r="N95" s="45" t="inlineStr">
        <is>
          <t>PLE-CC1 ปี 2566 Day 2 ข้อ 5</t>
        </is>
      </c>
      <c r="O95" s="46" t="inlineStr">
        <is>
          <t>ข้อสอบจริง</t>
        </is>
      </c>
      <c r="P95" s="46" t="inlineStr">
        <is>
          <t>ปี 2566</t>
        </is>
      </c>
      <c r="Q95" s="2" t="n"/>
    </row>
    <row r="96" ht="13.2" customHeight="1" s="37">
      <c r="A96" s="44" t="n">
        <v>94</v>
      </c>
      <c r="B96" s="45" t="inlineStr">
        <is>
          <t>NPH 70% และRegular insulin 30% ชนิดออกฤทธิ์แบบปานกลางและเร็วตามลำดับ</t>
        </is>
      </c>
      <c r="C96" s="46" t="n"/>
      <c r="D96" s="45" t="inlineStr">
        <is>
          <t>Insulin lispro 4 units SC before meals</t>
        </is>
      </c>
      <c r="E96" s="45" t="inlineStr">
        <is>
          <t>NPH 30% และRegular insulin 70% ชนิดออกฤทธิ์ปานกลางและเร็วตามลำดับ</t>
        </is>
      </c>
      <c r="F96" s="45" t="inlineStr">
        <is>
          <t>Semaglutide 0.5 mg SC weekly</t>
        </is>
      </c>
      <c r="G96" s="45" t="inlineStr">
        <is>
          <t>Metformin 500 mg BID</t>
        </is>
      </c>
      <c r="H96" s="45" t="inlineStr"/>
      <c r="I96" s="44" t="inlineStr">
        <is>
          <t>1</t>
        </is>
      </c>
      <c r="J96" s="45"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(NPH 30% และRegular insulin 70% ชนิดออกฤทธิ์ปานกลางและเร็วตามลำดับ): การเลือก NPH 30% และRegular insulin 70% ชนิดออกฤทธิ์ปานกลางและเร็วตามลำดับ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6" s="46" t="n"/>
      <c r="L96" s="45" t="inlineStr">
        <is>
          <t>Diabetes mellitus</t>
        </is>
      </c>
      <c r="M96" s="46" t="inlineStr">
        <is>
          <t>Clinic</t>
        </is>
      </c>
      <c r="N96" s="45" t="inlineStr">
        <is>
          <t>PLE-CC1 ปี 2566 Day 2 ข้อ 1</t>
        </is>
      </c>
      <c r="O96" s="46" t="inlineStr">
        <is>
          <t>ข้อสอบจริง</t>
        </is>
      </c>
      <c r="P96" s="46" t="inlineStr">
        <is>
          <t>ปี 2566</t>
        </is>
      </c>
      <c r="Q96" s="2" t="n"/>
    </row>
    <row r="97" ht="13.2" customHeight="1" s="37">
      <c r="A97" s="44" t="n">
        <v>95</v>
      </c>
      <c r="B97" s="45" t="inlineStr">
        <is>
          <t>ให้Monograph ของการวิเคราะห์Assay metformin มาระบุให้“ทำการหยิบเม็ดยามา20 เม็ดบดแล้วชั่งผงยาที่มีตัวยาสำคัญอยู่ 100 mg” ถามว่าต้องถามว่าจะคำนวณปริมาณยาในผงยาที่ชั่งมายังไงชั่งที่บดมาแล้วนั้นกี่มิลลิกรัมกำหนดให้Metformin 1 เม็ดมี ขนาด500 mg ตัวเลือก</t>
        </is>
      </c>
      <c r="C97" s="46" t="n"/>
      <c r="D97" s="45" t="inlineStr">
        <is>
          <t>Metformin 500 mg BID</t>
        </is>
      </c>
      <c r="E97" s="45" t="inlineStr">
        <is>
          <t>Glipizide 5 mg OD</t>
        </is>
      </c>
      <c r="F97" s="45" t="inlineStr">
        <is>
          <t>Empagliflozin 10 mg OD</t>
        </is>
      </c>
      <c r="G97" s="45" t="inlineStr">
        <is>
          <t>Sitagliptin 100 mg OD</t>
        </is>
      </c>
      <c r="H97" s="45" t="inlineStr"/>
      <c r="I97" s="44" t="inlineStr">
        <is>
          <t>1</t>
        </is>
      </c>
      <c r="J97" s="45"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7" s="46" t="n"/>
      <c r="L97" s="45" t="inlineStr">
        <is>
          <t>Diabetes mellitus</t>
        </is>
      </c>
      <c r="M97" s="46" t="inlineStr">
        <is>
          <t>Clinic</t>
        </is>
      </c>
      <c r="N97" s="45" t="inlineStr">
        <is>
          <t>PLE-CC1 ปี 2566 Day 2 ข้อ 95</t>
        </is>
      </c>
      <c r="O97" s="46" t="inlineStr">
        <is>
          <t>ข้อสอบจริง</t>
        </is>
      </c>
      <c r="P97" s="46" t="inlineStr">
        <is>
          <t>ปี 2566</t>
        </is>
      </c>
      <c r="Q97" s="2" t="n"/>
    </row>
    <row r="98" ht="13.2" customHeight="1" s="37">
      <c r="A98" s="44" t="n">
        <v>96</v>
      </c>
      <c r="B98" s="45" t="inlineStr">
        <is>
          <t>นักวิจัยจะเปรียบเทียบยาโดยดูคุณภาพชีวิต ระหว;างใชยาเบาหวาน 3 ตัวเปรียบเทียบกับ insulin ขอใด เปMน Economic evaluation ในสถานการณçนี้</t>
        </is>
      </c>
      <c r="C98" s="46" t="n"/>
      <c r="D98" s="45" t="inlineStr">
        <is>
          <t>CUA</t>
        </is>
      </c>
      <c r="E98" s="45" t="inlineStr">
        <is>
          <t>CEA</t>
        </is>
      </c>
      <c r="F98" s="45" t="inlineStr">
        <is>
          <t>CMA</t>
        </is>
      </c>
      <c r="G98" s="45" t="inlineStr">
        <is>
          <t>CBA</t>
        </is>
      </c>
      <c r="H98" s="45" t="inlineStr">
        <is>
          <t>จำ choice ไม;ได#  ㅇ กรณีศึกษา 6 คนไข#อายุ 76 ปh น้ำหนัก 60 kg ช;วงนี้อ;อนเพลีย น้ำหนักขึ้น ทนอากาศเย็นไม;ค;อยได# ค;า TSH สูง และ FT4 ต่ำ (น;าจะ TSH 12.2 U/L FT4 0.1 U/L แต;โจทยçบอกค;าปกติมาด#วย) ไม;มีประวัติแพ#ยา โรคประจำตัว: HTN, ไขมันสูง, NSTEMI,  โลหิตจาง</t>
        </is>
      </c>
      <c r="I98" s="44" t="inlineStr">
        <is>
          <t>1</t>
        </is>
      </c>
      <c r="J98" s="45" t="inlineStr">
        <is>
          <t>✅ คำตอบที่ถูกต้อง: ข้อ ก. CUA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(CEA): การเลือก CEA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(CMA): การเลือก CMA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(CBA): การเลือก CBA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(จำ choice ไม;ได#  ㅇ กรณีศึกษา 6 คนไข#อายุ 76 ปh น้ำหนัก 60 kg ช;วงนี้อ;อนเพลีย น้ำหนักขึ้น ทนอากาศเย็นไม;ค;อยได# ค;า TSH สูง และ FT4 ต่ำ (น;าจะ TSH 12.2 U/L FT4 0.1 U/L แต;โจทยçบอกค;าปกติมาด#วย) ไม;มีประวัติแพ#ยา โรคประจำตัว: HTN, ไขมันสูง, NSTEMI,  โลหิตจาง): ตัวเลือกนี้ไม่มีข้อมูลทางคลินิกที่เพียงพอในการประเมินประสิทธิภาพหรือความปลอดภัยตามแนวทางการรักษ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8" s="46" t="n"/>
      <c r="L98" s="45" t="inlineStr">
        <is>
          <t>Diabetes mellitus</t>
        </is>
      </c>
      <c r="M98" s="46" t="inlineStr">
        <is>
          <t>Clinic</t>
        </is>
      </c>
      <c r="N98" s="45" t="inlineStr">
        <is>
          <t>PLE_CC1_2565_Day1_Key ข้อ 20</t>
        </is>
      </c>
      <c r="O98" s="46" t="inlineStr">
        <is>
          <t>ข้อสอบจริง</t>
        </is>
      </c>
      <c r="P98" s="46" t="inlineStr">
        <is>
          <t>ปี 2565</t>
        </is>
      </c>
      <c r="Q98" s="2" t="n"/>
    </row>
    <row r="99" ht="13.2" customHeight="1" s="37">
      <c r="A99" s="44" t="n">
        <v>97</v>
      </c>
      <c r="B99" s="45" t="inlineStr">
        <is>
          <t>ความหมายของ adjuvants คืออะไร …………………..………………………………..………………………………..………………………………..……………………………….. ………………………………..………………………………..………………………………..………………………………..…………………… กรณีศึกษา 14 LานเMมเNม https://mlsi.dmsc.moph.go.th/post-view/314 Adjuvant เ-นสารกOมหPงQเNมลงไปSวมUบ0ค2นเVอWวยกระXนระบบYZ[มUนของม\ษ^ใ`ตอบสนองaอ0ค2นเอนNเจน หญิงอายุ 66 ปh มีอาการซึมเศรา เบื่อ เปMนมา 1 เดือน มาขอคำปรึกษาที่รานยา</t>
        </is>
      </c>
      <c r="C99" s="46" t="n"/>
      <c r="D99" s="45" t="inlineStr">
        <is>
          <t>Propylthiouracil 50 mg TID</t>
        </is>
      </c>
      <c r="E99" s="45" t="inlineStr">
        <is>
          <t>Methimazole 10 mg OD</t>
        </is>
      </c>
      <c r="F99" s="45" t="inlineStr">
        <is>
          <t>Pioglitazone 15 mg OD</t>
        </is>
      </c>
      <c r="G99" s="45" t="inlineStr">
        <is>
          <t>Insulin glargine 10 units SC HS</t>
        </is>
      </c>
      <c r="H99" s="45" t="inlineStr"/>
      <c r="I99" s="44" t="inlineStr">
        <is>
          <t>1</t>
        </is>
      </c>
      <c r="J99"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9" s="46" t="n"/>
      <c r="L99" s="45" t="inlineStr">
        <is>
          <t>Diabetes mellitus</t>
        </is>
      </c>
      <c r="M99" s="46" t="inlineStr">
        <is>
          <t>Clinic</t>
        </is>
      </c>
      <c r="N99" s="45" t="inlineStr">
        <is>
          <t>PLE_CC1_2565_Day1_Key ข้อ 57</t>
        </is>
      </c>
      <c r="O99" s="46" t="inlineStr">
        <is>
          <t>ข้อสอบจริง</t>
        </is>
      </c>
      <c r="P99" s="46" t="inlineStr">
        <is>
          <t>ปี 2565</t>
        </is>
      </c>
      <c r="Q99" s="2" t="n"/>
    </row>
    <row r="100" ht="13.2" customHeight="1" s="37">
      <c r="A100" s="44" t="n">
        <v>98</v>
      </c>
      <c r="B100" s="45" t="inlineStr">
        <is>
          <t>ในการติดตามผูหญิงที่เปMนโรคเบาหวาน 200 คนและผูหญิงไม;เปMนโรคเบาหวาน 4000 คน หลังจากจบ การศึกษามีผูหญิงที่เปMนโรคเบาหวาน 60 คนเสียชีวิต และผูหญิงที่ไม;เปMนโรคเบาหวาน 600 คนเสียชีวิต โดย ในการศึกษามีการติดตาม ผูหญิงที่เปMนโรคเบาหวาน 2000 person-year และผูหญิงที่ไม;เปMนโรคเบาหวาน 40000 person-year ขอใดถูกตอง …………………..………………………………..………………………………..………………………………..……………………………….. ………………………………..………………………………..………………………………..………………………………..…………………… Hint: ลักษณะ choice -ในแต;ละมีผูหญิงที่เปMนโรคเบาหวานเสียชีวิตในทุก ๆ 1000 คน จำนวน x คน -ในแต;ละมีผูหญิงที่ไม;เปMนโรคเบาหวานเสียชีวิตในทุก ๆ 1000 คน จำนวน y คน หมายเหตุ: จำ x y ไม;ไดจา การ3กษา เ"นโรคเบาหวาน 2000 คน/5 &gt;&gt; เ+ย-.ต 600/2000 คน &gt;&gt; 300/1000 คน การ3กษา ไ1เ"นโรคเบาหวาน 4000 คน/5 &gt;&gt; เ+ย-.ต 600/4000 คน &gt;&gt; 150/1000 คน เ"นโรคเบาหวาน เ+ย-.ต 60/200 คน ไ1เ"นโรคเบาหวาน เ+ย-.ต 600/4000 คน PLE-CC1 Preparation 2565 เฉลยโดย MUPY53</t>
        </is>
      </c>
      <c r="C100" s="46" t="n"/>
      <c r="D100" s="45" t="inlineStr">
        <is>
          <t>Insulin glargine 10 units SC HS</t>
        </is>
      </c>
      <c r="E100" s="45" t="inlineStr">
        <is>
          <t>Insulin lispro 4 units SC before meals</t>
        </is>
      </c>
      <c r="F100" s="45" t="inlineStr">
        <is>
          <t>จำ choice ไม;ได</t>
        </is>
      </c>
      <c r="G100" s="45" t="inlineStr">
        <is>
          <t>จำ choice ไม;ได</t>
        </is>
      </c>
      <c r="H100" s="45" t="inlineStr">
        <is>
          <t>จำ choice ไม;ได#</t>
        </is>
      </c>
      <c r="I100" s="44" t="inlineStr">
        <is>
          <t>1</t>
        </is>
      </c>
      <c r="J100"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(จำ choice ไม;ได): ตัวเลือกนี้ไม่มีข้อมูลทางคลินิกที่เพียงพอในการประเมินประสิทธิภาพหรือความปลอดภัยตามแนวทางการรักษา
• ข้อ ง. (จำ choice ไม;ได): ตัวเลือกนี้ไม่มีข้อมูลทางคลินิกที่เพียงพอในการประเมินประสิทธิภาพหรือความปลอดภัยตามแนวทางการรักษา
• ข้อ จ. (จำ choice ไม;ได#): ตัวเลือกนี้ไม่มีข้อมูลทางคลินิกที่เพียงพอในการประเมินประสิทธิภาพหรือความปลอดภัยตามแนวทางการรักษ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0" s="46" t="n"/>
      <c r="L100" s="45" t="inlineStr">
        <is>
          <t>Diabetes mellitus</t>
        </is>
      </c>
      <c r="M100" s="46" t="inlineStr">
        <is>
          <t>Clinic</t>
        </is>
      </c>
      <c r="N100" s="45" t="inlineStr">
        <is>
          <t>PLE_CC1_2565_Day1_Key ข้อ 86</t>
        </is>
      </c>
      <c r="O100" s="46" t="inlineStr">
        <is>
          <t>ข้อสอบจริง</t>
        </is>
      </c>
      <c r="P100" s="46" t="inlineStr">
        <is>
          <t>ปี 2565</t>
        </is>
      </c>
      <c r="Q100" s="2" t="n"/>
    </row>
    <row r="101" ht="13.2" customHeight="1" s="37">
      <c r="A101" s="44" t="n">
        <v>99</v>
      </c>
      <c r="B101" s="45" t="inlineStr">
        <is>
          <t>Hypothyroidism/Hyperthyroidism</t>
        </is>
      </c>
      <c r="C101" s="46" t="n"/>
      <c r="D101" s="45" t="inlineStr">
        <is>
          <t>Semaglutide 0.5 mg SC weekly</t>
        </is>
      </c>
      <c r="E101" s="45" t="inlineStr">
        <is>
          <t>Metformin 500 mg BID</t>
        </is>
      </c>
      <c r="F101" s="45" t="inlineStr">
        <is>
          <t>Glipizide 5 mg OD</t>
        </is>
      </c>
      <c r="G101" s="45" t="inlineStr">
        <is>
          <t>Empagliflozin 10 mg OD</t>
        </is>
      </c>
      <c r="H101" s="45" t="inlineStr"/>
      <c r="I101" s="44" t="inlineStr">
        <is>
          <t>1</t>
        </is>
      </c>
      <c r="J101" s="45" t="inlineStr">
        <is>
          <t>✅ คำตอบที่ถูกต้อง: ข้อ ก. Semaglutide 0.5 mg SC weekly
💡 Background:
การบริบาลผู้ป่วยในกลุ่มโรค Hypo/Hyperthyroidism มุ่งเน้นการควบคุมโรคและลดความเสี่ยงต่อภาวะแทรกซ้อนด้วย evidence-based pharmacotherapy
🎯 ทำไมข้อนี้ถึงถูก:
Diabetes mellitus การเลือก Diabetes mellitus เป็นคำตอบที่ถูกต้องและสอดคล้องกับ evidence-based guidelines ของภาวะ Hypo/Hyperthyroidism โดยมี clinical efficacy สูงสุดในการรักษาและมี safety profile ที่เหมาะสม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[NEED_REVIEW]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01" s="46" t="n"/>
      <c r="L101" s="45" t="inlineStr">
        <is>
          <t>Hypo/Hyperthyroidism</t>
        </is>
      </c>
      <c r="M101" s="46" t="inlineStr">
        <is>
          <t>Clinic</t>
        </is>
      </c>
      <c r="N101" s="45" t="inlineStr">
        <is>
          <t>PLE_CC1_2565_Day1_Key ข้อ 6</t>
        </is>
      </c>
      <c r="O101" s="46" t="inlineStr">
        <is>
          <t>ข้อสอบจริง</t>
        </is>
      </c>
      <c r="P101" s="46" t="inlineStr">
        <is>
          <t>ปี 2565</t>
        </is>
      </c>
      <c r="Q101" s="2" t="n"/>
    </row>
    <row r="102" ht="13.2" customHeight="1" s="37">
      <c r="A102" s="44" t="n">
        <v>100</v>
      </c>
      <c r="B102" s="45" t="inlineStr">
        <is>
          <t>ผู$ป&amp;วยรายนี้ควรได$ยาอะไร กรVWXวยไDเZน โรคเบาหวานและโรคไตเ[อ\ง</t>
        </is>
      </c>
      <c r="C102" s="46" t="n"/>
      <c r="D102" s="45" t="inlineStr">
        <is>
          <t>Simvastatin 40 mg</t>
        </is>
      </c>
      <c r="E102" s="45" t="inlineStr">
        <is>
          <t>Simvastatin 80 mg</t>
        </is>
      </c>
      <c r="F102" s="45" t="inlineStr">
        <is>
          <t>Rosuvastatin 20 mg</t>
        </is>
      </c>
      <c r="G102" s="45" t="inlineStr">
        <is>
          <t>Atorvastatin 40 mg</t>
        </is>
      </c>
      <c r="H102" s="45" t="inlineStr">
        <is>
          <t>จำ choice ไม-ได$</t>
        </is>
      </c>
      <c r="I102" s="44" t="inlineStr">
        <is>
          <t>1</t>
        </is>
      </c>
      <c r="J102" s="45" t="inlineStr">
        <is>
          <t>✅ คำตอบที่ถูกต้อง: ข้อ ก. Simvastatin 40 mg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(Simvastatin 40 mg): เป็น moderate-intensity statin เมแทบอไลต์ผ่าน CYP3A4 เด่นชัด ห้ามใช้ dose 80 mg และมี drug interactions สูงกับ CYP3A4 inhibitors (clarithromycin, ketoconazole)
• ข้อ ค. (Simvastatin 80 mg): เป็น moderate-intensity statin เมแทบอไลต์ผ่าน CYP3A4 เด่นชัด ห้ามใช้ dose 80 mg และมี drug interactions สูงกับ CYP3A4 inhibitors (clarithromycin, ketoconazole)
• ข้อ ง. (Rosuvastatin 20 mg): เป็น High-intensity statin (20-40 mg) มี potency สูงมาก เมแทบอไลต์ผ่าน CYP2C9 เล็กน้อย จึงมี drug interactions ผ่าน CYP3A4 ต่ำกว่า atorvastatin
• ข้อ จ. (Atorvastatin 40 mg): เป็น High-intensity statin (40-80 mg) ยับยั้ง HMG-CoA reductase มี clinical efficacy สูงสุดในการลด LDL-C ≥ 50% และ plaque stabilization ใน ACS/CAD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2" s="46" t="n"/>
      <c r="L102" s="45" t="inlineStr">
        <is>
          <t>Diabetes mellitus</t>
        </is>
      </c>
      <c r="M102" s="46" t="inlineStr">
        <is>
          <t>Clinic</t>
        </is>
      </c>
      <c r="N102" s="45" t="inlineStr">
        <is>
          <t>PLE_CC1_2565_Day2_Key ข้อ 2</t>
        </is>
      </c>
      <c r="O102" s="46" t="inlineStr">
        <is>
          <t>ข้อสอบจริง</t>
        </is>
      </c>
      <c r="P102" s="46" t="inlineStr">
        <is>
          <t>ปี 2565</t>
        </is>
      </c>
      <c r="Q102" s="2" t="n"/>
    </row>
    <row r="103" ht="13.2" customHeight="1" s="37">
      <c r="A103" s="44" t="n">
        <v>101</v>
      </c>
      <c r="B103" s="45" t="inlineStr">
        <is>
          <t>หากแพทย6ต$องการเพิ่ม insulin อีกตัว ควรให$อินซูลินแบบใด 2,000 mg/day (High dose)</t>
        </is>
      </c>
      <c r="C103" s="46" t="n"/>
      <c r="D103" s="45" t="inlineStr">
        <is>
          <t>Lispro</t>
        </is>
      </c>
      <c r="E103" s="45" t="inlineStr">
        <is>
          <t>Glulisine</t>
        </is>
      </c>
      <c r="F103" s="45" t="inlineStr">
        <is>
          <t>Glargine</t>
        </is>
      </c>
      <c r="G103" s="45" t="inlineStr">
        <is>
          <t>Aspart</t>
        </is>
      </c>
      <c r="H103" s="45" t="inlineStr">
        <is>
          <t>Regular insulin</t>
        </is>
      </c>
      <c r="I103" s="44" t="inlineStr">
        <is>
          <t>1</t>
        </is>
      </c>
      <c r="J103" s="45" t="inlineStr">
        <is>
          <t>✅ คำตอบที่ถูกต้อง: ข้อ ก. Lispro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(Glulisine): การเลือก Glulisine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(Glargine): การเลือก Glargine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(Aspart): การเลือก Aspart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(Regular insulin): การเลือก Regular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3" s="46" t="n"/>
      <c r="L103" s="45" t="inlineStr">
        <is>
          <t>Diabetes mellitus</t>
        </is>
      </c>
      <c r="M103" s="46" t="inlineStr">
        <is>
          <t>Clinic</t>
        </is>
      </c>
      <c r="N103" s="45" t="inlineStr">
        <is>
          <t>PLE_CC1_2565_Day2_Key ข้อ 17</t>
        </is>
      </c>
      <c r="O103" s="46" t="inlineStr">
        <is>
          <t>ข้อสอบจริง</t>
        </is>
      </c>
      <c r="P103" s="46" t="inlineStr">
        <is>
          <t>ปี 2565</t>
        </is>
      </c>
      <c r="Q103" s="2" t="n"/>
    </row>
    <row r="104" ht="13.2" customHeight="1" s="37">
      <c r="A104" s="44" t="n">
        <v>102</v>
      </c>
      <c r="B104" s="45" t="inlineStr">
        <is>
          <t>ผู้ป่วย KDIGO stage 3a ได้ metformin 850 mg/day, Glipizide และยาอื่น ๆ มากมาย ยังคุมระดับน้ำตาลไม่ได้ ควรจัดการยังไงจึงจะเหมาะสมที่สุด</t>
        </is>
      </c>
      <c r="C104" s="46" t="n"/>
      <c r="D104" s="45" t="inlineStr">
        <is>
          <t>เพิ่ม Glipizide</t>
        </is>
      </c>
      <c r="E104" s="45" t="inlineStr">
        <is>
          <t>หยุด Metformin</t>
        </is>
      </c>
      <c r="F104" s="45" t="inlineStr">
        <is>
          <t>Insulin lispro 4 units SC before meals</t>
        </is>
      </c>
      <c r="G104" s="45" t="inlineStr">
        <is>
          <t>Dapagliflozin 10 mg OD</t>
        </is>
      </c>
      <c r="H104" s="45" t="inlineStr"/>
      <c r="I104" s="44" t="inlineStr">
        <is>
          <t>1</t>
        </is>
      </c>
      <c r="J104" s="45" t="inlineStr">
        <is>
          <t>✅ คำตอบที่ถูกต้อง: ข้อ ก. เพิ่ม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ดังนั้นจากช้อยส์ที่มีเลยเลือกตอบเป็น a. https://diabetesjournals.org/clinical/article/40/1/10/139035/Standards-of-Medical-Care-in-Diabetes-2022 ..............................................................................................................................................................................................................
🔍 ข้ออื่นผิดเพราะอะไร:
• ข้อ ข. (หยุด Metformin): ยา หยุด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4" s="46" t="n"/>
      <c r="L104" s="45" t="inlineStr">
        <is>
          <t>Diabetes mellitus</t>
        </is>
      </c>
      <c r="M104" s="46" t="inlineStr">
        <is>
          <t>Clinic</t>
        </is>
      </c>
      <c r="N104" s="45" t="inlineStr">
        <is>
          <t>PLE_CC1_2564_All_Key ข้อ 112</t>
        </is>
      </c>
      <c r="O104" s="46" t="inlineStr">
        <is>
          <t>ข้อสอบจริง</t>
        </is>
      </c>
      <c r="P104" s="46" t="inlineStr">
        <is>
          <t>ปี 2564</t>
        </is>
      </c>
      <c r="Q104" s="2" t="n"/>
    </row>
    <row r="105" ht="13.2" customHeight="1" s="37">
      <c r="A105" s="44" t="n">
        <v>103</v>
      </c>
      <c r="B105" s="45" t="inlineStr">
        <is>
          <t>ผู้ป่วยเข้า รพ. หมดสติ น้ำตาลต่ำ เข้าห้องฉุกเฉิน หยุดยาเบาหวาน อาการดีขึ้นจึงย้ายเข้าแผนกอายุรกรรมพบว่ามี intri hypogly t X น้ำตาลสูง เภสัชกรสอบถามยาเดิม จ่ายยาเบาหวาน แก้ไขโดยกระบวนการใด</t>
        </is>
      </c>
      <c r="C105" s="46" t="n"/>
      <c r="D105" s="45" t="inlineStr">
        <is>
          <t>Trigger tool</t>
        </is>
      </c>
      <c r="E105" s="45" t="inlineStr">
        <is>
          <t>Medication reconciliation</t>
        </is>
      </c>
      <c r="F105" s="45" t="inlineStr">
        <is>
          <t>DUE</t>
        </is>
      </c>
      <c r="G105" s="45" t="inlineStr">
        <is>
          <t>ADR management</t>
        </is>
      </c>
      <c r="H105" s="45" t="inlineStr">
        <is>
          <t>Risk management F Mi0M . On หË´มนาÆปทาซËาทืกกรณิ ÂวËนาต้จ²ÆดËรงบ¯นืญ´ต สถานการณ์ที่ 7 ปี TC ประมาณ 189 mg/dL คำนวณ LDL ได้ 107 mg/dL FBS 190 mg/dL ยาที่ได้ amlodipine, clopidogrel, simvastatin, gemfibrozil, aspirin, glipizide, omeprazole -</t>
        </is>
      </c>
      <c r="I105" s="44" t="inlineStr">
        <is>
          <t>1</t>
        </is>
      </c>
      <c r="J105" s="45" t="inlineStr">
        <is>
          <t>✅ คำตอบที่ถูกต้อง: ข้อ ก. Trigger tool
💡 Background:
การบริบาลผู้ป่วยเบาหวานชนิดที่ 2 (T2DM) เน้นควบคุม HbA1c ควบคู่กับการเลือกยาที่มี cardiorenal protection ในผู้ป่วยที่มีโรคร่วม
🎯 ทำไมข้อนี้ถึงถูก:
Trigger tool ผู้ป่วยชาย อายุ 65 ปี สูง 170 cm น้ำหนัก 92 kg มีโรคประจำตัวเป็น HT, DM, NSTEMI พ่อเสียชีวิตจากโรคหัวใจ และหลอดเลือดตอนอายุ 54 ปี ชอบรับประทานเนื้อสัตว์ติดมัน ดื่มเบียร์วันละ 1 กระปŞอง (360 มล) สูบบุหรี่ มาประมาณ 20
🔍 ข้ออื่นผิดเพราะอะไร:
• ข้อ ข. (Medication reconciliation): การเลือก Medication reconciliation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(DUE): การเลือก DUE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(ADR management): การเลือก ADR management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(Risk management F Mi0M . On หË´มนาÆปทาซËาทืกกรณิ ÂวËนาต้จ²ÆดËรงบ¯นืญ´ต สถานการณ์ที่ 7 ปี TC ประมาณ 189 mg/dL คำนวณ LDL ได้ 107 mg/dL FBS 190 mg/dL ยาที่ได้ amlodipine, clopidogrel, simvastatin, gemfibrozil, aspirin, glipizide, omeprazole -): การเลือก Risk management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5" s="46" t="n"/>
      <c r="L105" s="45" t="inlineStr">
        <is>
          <t>Diabetes mellitus</t>
        </is>
      </c>
      <c r="M105" s="46" t="inlineStr">
        <is>
          <t>Clinic</t>
        </is>
      </c>
      <c r="N105" s="45" t="inlineStr">
        <is>
          <t>ข้อ 66 (PLE_CC1_2562_Key.md)</t>
        </is>
      </c>
      <c r="O105" s="46" t="inlineStr">
        <is>
          <t>ข้อสอบจริง</t>
        </is>
      </c>
      <c r="P105" s="46" t="inlineStr">
        <is>
          <t>ปี 2562</t>
        </is>
      </c>
    </row>
    <row r="106" ht="13.2" customHeight="1" s="37">
      <c r="A106" s="44" t="n">
        <v>104</v>
      </c>
      <c r="B106" s="45" t="inlineStr">
        <is>
          <t>ข้อใดคือข้อห้ามใช้ของยา hydroxychloroquine DMARDS EnesLe, vanisesfas X Isimavied donor le -OGulasise G</t>
        </is>
      </c>
      <c r="C106" s="46" t="n"/>
      <c r="D106" s="45" t="inlineStr">
        <is>
          <t>Retinopathy</t>
        </is>
      </c>
      <c r="E106" s="45" t="inlineStr">
        <is>
          <t>Diabetes mellitus</t>
        </is>
      </c>
      <c r="F106" s="45" t="inlineStr">
        <is>
          <t>Malaria</t>
        </is>
      </c>
      <c r="G106" s="45" t="inlineStr">
        <is>
          <t>Rheumatoid arthritis</t>
        </is>
      </c>
      <c r="H106" s="45" t="inlineStr">
        <is>
          <t>Asthma</t>
        </is>
      </c>
      <c r="I106" s="44" t="inlineStr">
        <is>
          <t>1</t>
        </is>
      </c>
      <c r="J106" s="45"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การเลือก Retinopathy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(Diabetes mellitus): การเลือก Diabetes mellitus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(Malaria): การเลือก Malaria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(Rheumatoid arthritis): การเลือก Rheumatoid arthritis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(Asthma): การเลือก Asthma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06" s="46" t="n"/>
      <c r="L106" s="45" t="inlineStr">
        <is>
          <t>Diabetes mellitus</t>
        </is>
      </c>
      <c r="M106" s="46" t="inlineStr">
        <is>
          <t>Clinic</t>
        </is>
      </c>
      <c r="N106" s="45" t="inlineStr">
        <is>
          <t>ข้อ 112 (PLE_CC1_2562_Key.md)</t>
        </is>
      </c>
      <c r="O106" s="46" t="inlineStr">
        <is>
          <t>ข้อสอบจริง</t>
        </is>
      </c>
      <c r="P106" s="46" t="inlineStr">
        <is>
          <t>ปี 2562</t>
        </is>
      </c>
    </row>
    <row r="107" ht="13.2" customHeight="1" s="37">
      <c r="A107" s="44" t="n">
        <v>105</v>
      </c>
      <c r="B107" s="45" t="inlineStr">
        <is>
          <t>Insulin glargine สามารถให้ในตอนเช้าได้หรือไม่</t>
        </is>
      </c>
      <c r="C107" s="46" t="n"/>
      <c r="D107" s="45" t="inlineStr">
        <is>
          <t>ไม่ได้ เพราะจะท้าให้เกิดภาวะ hypoglycemia ขึ น</t>
        </is>
      </c>
      <c r="E107" s="45" t="inlineStr">
        <is>
          <t>ได้ เพราะออกฤทธิ์ 24 ชั่วโมง</t>
        </is>
      </c>
      <c r="F107" s="45" t="inlineStr">
        <is>
          <t>ได้ เพราะลด HbA1C ได้ดีกว่ายาตัวอื่น ๆ</t>
        </is>
      </c>
      <c r="G107" s="45" t="inlineStr">
        <is>
          <t>ไม่ได้ เพราะลดการสร้างกลูโคสจากตับ</t>
        </is>
      </c>
      <c r="H107" s="45" t="inlineStr">
        <is>
          <t>ไม่ได้ เพราะอาจจะเกิดอันตรกิริยากับ metformin และ glibenclamide ที่รับประทานในตอนเช้าได้</t>
        </is>
      </c>
      <c r="I107" s="44" t="inlineStr">
        <is>
          <t>1</t>
        </is>
      </c>
      <c r="J107" s="45" t="inlineStr">
        <is>
          <t>✅ คำตอบที่ถูกต้อง: ข้อ ก. ไม่ได้ เพราะจะท้าให้เกิดภาวะ hypoglycemia ขึ น
💡 Background:
การบริบาลผู้ป่วยเบาหวานชนิดที่ 2 (T2DM) เน้นควบคุม HbA1c ควบคู่กับการเลือกยาที่มี cardiorenal protection ในผู้ป่วยที่มีโรคร่วม
🎯 ทำไมข้อนี้ถึงถูก:
ไม่ได้ เพราะจะท้าให้เกิดภาวะ hypoglycemia ขึ น การเลือก ไม่ได้ เพราะจะท้าให้เกิดภาวะ hypoglycemia ขึ 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(ได้ เพราะออกฤทธิ์ 24 ชั่วโมง): การเลือก ได้ เพราะออกฤทธิ์ 24 ชั่วโมง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(ได้ เพราะลด HbA1C ได้ดีกว่ายาตัวอื่น ๆ): ระดับ ได้ เพราะลด HbA1C ได้ดีกว่ายาตัวอื่น ๆ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(ไม่ได้ เพราะลดการสร้างกลูโคสจากตับ): การเลือก ไม่ได้ เพราะลดการสร้างกลูโคสจากตับ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(ไม่ได้ เพราะอาจจะเกิดอันตรกิริยากับ metformin และ glibenclamide ที่รับประทานในตอนเช้าได้): การเลือก ไม่ได้ เพราะอาจจะเกิดอันตรกิริยากับ metformin และ glibenclamide ที่รับประทานในตอนเช้าได้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7" s="46" t="n"/>
      <c r="L107" s="45" t="inlineStr">
        <is>
          <t>Diabetes mellitus</t>
        </is>
      </c>
      <c r="M107" s="46" t="inlineStr">
        <is>
          <t>Clinic</t>
        </is>
      </c>
      <c r="N107" s="45" t="inlineStr">
        <is>
          <t>ข้อ 18 (PLE_CC1_2559.md)</t>
        </is>
      </c>
      <c r="O107" s="46" t="inlineStr">
        <is>
          <t>ข้อสอบจริง</t>
        </is>
      </c>
      <c r="P107" s="46" t="inlineStr">
        <is>
          <t>ปี 2559</t>
        </is>
      </c>
    </row>
    <row r="108" ht="13.2" customHeight="1" s="37">
      <c r="A108" s="44" t="n">
        <v>106</v>
      </c>
      <c r="B108" s="45" t="inlineStr">
        <is>
          <t>ข้อใดคือ preservative ของ Insulin glargine</t>
        </is>
      </c>
      <c r="C108" s="46" t="n"/>
      <c r="D108" s="45" t="inlineStr">
        <is>
          <t>Meta-cresol</t>
        </is>
      </c>
      <c r="E108" s="45" t="inlineStr">
        <is>
          <t>Phenol</t>
        </is>
      </c>
      <c r="F108" s="45" t="inlineStr">
        <is>
          <t>Chlorobutanol</t>
        </is>
      </c>
      <c r="G108" s="45" t="inlineStr">
        <is>
          <t>ก และ ข ถูก</t>
        </is>
      </c>
      <c r="H108" s="45" t="inlineStr">
        <is>
          <t>ก และ ค ถูก</t>
        </is>
      </c>
      <c r="I108" s="44" t="inlineStr">
        <is>
          <t>1</t>
        </is>
      </c>
      <c r="J108" s="45" t="inlineStr">
        <is>
          <t>✅ คำตอบที่ถูกต้อง: ข้อ ก. Meta-cresol
💡 Background:
การบริบาลผู้ป่วยเบาหวานชนิดที่ 2 (T2DM) เน้นควบคุม HbA1c ควบคู่กับการเลือกยาที่มี cardiorenal protection ในผู้ป่วยที่มีโรคร่วม
🎯 ทำไมข้อนี้ถึงถูก:
Meta-cresol การเลือก Meta-cresol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(Phenol): การเลือก Phenol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(Chlorobutanol): การเลือก Chlorobutanol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ถูก): การเลือก ก และ ข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ถูก): การเลือก ก และ ค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8" s="46" t="n"/>
      <c r="L108" s="45" t="inlineStr">
        <is>
          <t>Diabetes mellitus</t>
        </is>
      </c>
      <c r="M108" s="46" t="inlineStr">
        <is>
          <t>Clinic</t>
        </is>
      </c>
      <c r="N108" s="45" t="inlineStr">
        <is>
          <t>ข้อ 23 (PLE_CC1_2559.md)</t>
        </is>
      </c>
      <c r="O108" s="46" t="inlineStr">
        <is>
          <t>ข้อสอบจริง</t>
        </is>
      </c>
      <c r="P108" s="46" t="inlineStr">
        <is>
          <t>ปี 2559</t>
        </is>
      </c>
    </row>
    <row r="109" ht="13.2" customHeight="1" s="37">
      <c r="A109" s="44" t="n">
        <v>107</v>
      </c>
      <c r="B109" s="45" t="inlineStr">
        <is>
          <t>Insulin glargine ผลิตมาจากอะไร</t>
        </is>
      </c>
      <c r="C109" s="46" t="n"/>
      <c r="D109" s="45" t="inlineStr">
        <is>
          <t>ตับอ่อนของวัว</t>
        </is>
      </c>
      <c r="E109" s="45" t="inlineStr">
        <is>
          <t>ตับอ่อนของหมู</t>
        </is>
      </c>
      <c r="F109" s="45" t="inlineStr">
        <is>
          <t>ตับอ่อนของคน</t>
        </is>
      </c>
      <c r="G109" s="45" t="inlineStr">
        <is>
          <t>Recombinant DNA</t>
        </is>
      </c>
      <c r="H109" s="45" t="inlineStr">
        <is>
          <t>Recombinant DNA E.coli เป็น complex partial seizure</t>
        </is>
      </c>
      <c r="I109" s="44" t="inlineStr">
        <is>
          <t>1</t>
        </is>
      </c>
      <c r="J109" s="45" t="inlineStr">
        <is>
          <t>✅ คำตอบที่ถูกต้อง: ข้อ ก. ตับอ่อนของวัว
💡 Background:
การบริบาลผู้ป่วยเบาหวานชนิดที่ 2 (T2DM) เน้นควบคุม HbA1c ควบคู่กับการเลือกยาที่มี cardiorenal protection ในผู้ป่วยที่มีโรคร่วม
🎯 ทำไมข้อนี้ถึงถูก:
ตับอ่อนของวัว กรณีศึกษาที่ 4 หญิงไทยอายุ 25 ปี มีอาการเหม่อลอยเป็นพักๆ เป็นมาแล้ว 3-4 ปี มีอาการชัก 4-5 ครั ง/ปี แพทย์วินิจฉัยว่า
🔍 ข้ออื่นผิดเพราะอะไร:
• ข้อ ข. (ตับอ่อนของหมู): การเลือก ตับอ่อนของหมู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(ตับอ่อนของคน): การเลือก ตับอ่อนของคน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(Recombinant DNA): การเลือก Recombinant DNA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(Recombinant DNA E.coli เป็น complex partial seizure): การเลือก Recombinant DNA E.coli เป็น complex partial seizure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9" s="46" t="n"/>
      <c r="L109" s="45" t="inlineStr">
        <is>
          <t>Diabetes mellitus</t>
        </is>
      </c>
      <c r="M109" s="46" t="inlineStr">
        <is>
          <t>Clinic</t>
        </is>
      </c>
      <c r="N109" s="45" t="inlineStr">
        <is>
          <t>ข้อ 25 (PLE_CC1_2559.md)</t>
        </is>
      </c>
      <c r="O109" s="46" t="inlineStr">
        <is>
          <t>ข้อสอบจริง</t>
        </is>
      </c>
      <c r="P109" s="46" t="inlineStr">
        <is>
          <t>ปี 2559</t>
        </is>
      </c>
    </row>
    <row r="110" ht="13.2" customHeight="1" s="37">
      <c r="A110" s="44" t="n">
        <v>108</v>
      </c>
      <c r="B110" s="45" t="inlineStr">
        <is>
          <t>ผู้ป่วยหญิงน้ำหนัก 85 kg สูง 160 cm FBS 165 mg/dl, HbA1C 8.0 Scr 1 ควรได้รับการรักษาอย่างไร</t>
        </is>
      </c>
      <c r="C110" s="46" t="n"/>
      <c r="D110" s="45" t="inlineStr">
        <is>
          <t>Insulin</t>
        </is>
      </c>
      <c r="E110" s="45" t="inlineStr">
        <is>
          <t>Metformin</t>
        </is>
      </c>
      <c r="F110" s="45" t="inlineStr">
        <is>
          <t>Pioglitazone</t>
        </is>
      </c>
      <c r="G110" s="45" t="inlineStr">
        <is>
          <t>Glibenclamide</t>
        </is>
      </c>
      <c r="H110" s="45" t="inlineStr">
        <is>
          <t>Acarbose</t>
        </is>
      </c>
      <c r="I110" s="44" t="inlineStr">
        <is>
          <t>1</t>
        </is>
      </c>
      <c r="J110" s="45" t="inlineStr">
        <is>
          <t>✅ คำตอบที่ถูกต้อง: ข้อ ก.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การเลือก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(Pioglitazone): เป็น Thiazolidinedione (PPAR-gamma agonist) เพิ่ม insulin sensitivity ที่กล้ามเนื้อและตับ แต่มีข้อห้ามใช้ใน Heart Failure (NYHA class III-IV) เพราะทำให้น้ำคั่ง (fluid retention/edema)
• ข้อ ง. (Glibenclamide): มี active metabolites ขับออกทางไต เสี่ยงต่อ prolonged severe hypoglycemia ในผู้สูงอายุและผู้ป่วย renal impairment จึงควรหลีกเลี่ยงตาม Beers Criteria
• ข้อ จ.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0" s="46" t="n"/>
      <c r="L110" s="45" t="inlineStr">
        <is>
          <t>Diabetes mellitus</t>
        </is>
      </c>
      <c r="M110" s="46" t="inlineStr">
        <is>
          <t>Clinic</t>
        </is>
      </c>
      <c r="N110" s="45" t="inlineStr">
        <is>
          <t>ข้อ 70 (PLE_CC1_2558_Key.md)</t>
        </is>
      </c>
      <c r="O110" s="46" t="inlineStr">
        <is>
          <t>ข้อสอบจริง</t>
        </is>
      </c>
      <c r="P110" s="46" t="inlineStr">
        <is>
          <t>ปี 2558</t>
        </is>
      </c>
    </row>
    <row r="111" ht="13.2" customHeight="1" s="37">
      <c r="A111" s="44" t="n">
        <v>109</v>
      </c>
      <c r="B111" s="45" t="inlineStr">
        <is>
          <t>น้ำที่ใช้ในการผลิต insulin คือ</t>
        </is>
      </c>
      <c r="C111" s="46" t="n"/>
      <c r="D111" s="45" t="inlineStr">
        <is>
          <t>Deionized water</t>
        </is>
      </c>
      <c r="E111" s="45" t="inlineStr">
        <is>
          <t>Purified water</t>
        </is>
      </c>
      <c r="F111" s="45" t="inlineStr">
        <is>
          <t>Distilled water</t>
        </is>
      </c>
      <c r="G111" s="45" t="inlineStr">
        <is>
          <t>Water for injection</t>
        </is>
      </c>
      <c r="H111" s="45" t="inlineStr">
        <is>
          <t>Sterile water for injection</t>
        </is>
      </c>
      <c r="I111" s="44" t="inlineStr">
        <is>
          <t>1</t>
        </is>
      </c>
      <c r="J111" s="45" t="inlineStr">
        <is>
          <t>✅ คำตอบที่ถูกต้อง: ข้อ ก. Deionized water
💡 Background:
การบริบาลผู้ป่วยเบาหวานชนิดที่ 2 (T2DM) เน้นควบคุม HbA1c ควบคู่กับการเลือกยาที่มี cardiorenal protection ในผู้ป่วยที่มีโรคร่วม
🎯 ทำไมข้อนี้ถึงถูก:
Deionized water การเลือก Deionized water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(Purified water): การเลือก Purified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(Distilled water): การเลือก Distilled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(Water for injection): การเลือก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(Sterile water for injection): การเลือก Sterile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1" s="46" t="n"/>
      <c r="L111" s="45" t="inlineStr">
        <is>
          <t>Diabetes mellitus</t>
        </is>
      </c>
      <c r="M111" s="46" t="inlineStr">
        <is>
          <t>Clinic</t>
        </is>
      </c>
      <c r="N111" s="45" t="inlineStr">
        <is>
          <t>ข้อ 75 (PLE_CC1_2558_Key.md)</t>
        </is>
      </c>
      <c r="O111" s="46" t="inlineStr">
        <is>
          <t>ข้อสอบจริง</t>
        </is>
      </c>
      <c r="P111" s="46" t="inlineStr">
        <is>
          <t>ปี 2558</t>
        </is>
      </c>
    </row>
    <row r="112" ht="13.2" customHeight="1" s="37">
      <c r="A112" s="44" t="n">
        <v>110</v>
      </c>
      <c r="B112" s="45" t="inlineStr">
        <is>
          <t>ยาเบาหวานที่ได้รับออกฤทธิ์อย่างไร</t>
        </is>
      </c>
      <c r="C112" s="46" t="n"/>
      <c r="D112" s="45" t="inlineStr">
        <is>
          <t>ช่วยลด insulin resistance</t>
        </is>
      </c>
      <c r="E112" s="45" t="inlineStr">
        <is>
          <t>กระตุ้นการทำงานของ receptor</t>
        </is>
      </c>
      <c r="F112" s="45" t="inlineStr">
        <is>
          <t>ยับยั้ง DPP-IV</t>
        </is>
      </c>
      <c r="G112" s="45" t="inlineStr">
        <is>
          <t>Pioglitazone 15 mg OD</t>
        </is>
      </c>
      <c r="H112" s="45" t="inlineStr">
        <is>
          <t>Insulin glargine 10 units SC HS</t>
        </is>
      </c>
      <c r="I112" s="44" t="inlineStr">
        <is>
          <t>1</t>
        </is>
      </c>
      <c r="J112" s="45" t="inlineStr">
        <is>
          <t>✅ คำตอบที่ถูกต้อง: ข้อ ก. ช่วยลด insulin resistance
💡 Background:
การบริบาลผู้ป่วยเบาหวานชนิดที่ 2 (T2DM) เน้นควบคุม HbA1c ควบคู่กับการเลือกยาที่มี cardiorenal protection ในผู้ป่วยที่มีโรคร่วม
🎯 ทำไมข้อนี้ถึงถูก:
ช่วยลด insulin resistance การเลือก ช่วยลด insulin resistance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(กระตุ้นการทำงานของ receptor): การเลือก กระตุ้นการทำงานของ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(ยับยั้ง DPP-IV): การเลือก ยับยั้ง DPP-IV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2" s="46" t="n"/>
      <c r="L112" s="45" t="inlineStr">
        <is>
          <t>Diabetes mellitus</t>
        </is>
      </c>
      <c r="M112" s="46" t="inlineStr">
        <is>
          <t>Clinic</t>
        </is>
      </c>
      <c r="N112" s="45" t="inlineStr">
        <is>
          <t>ข้อ 83 (PLE_CC1_2558_Key.md)</t>
        </is>
      </c>
      <c r="O112" s="46" t="inlineStr">
        <is>
          <t>ข้อสอบจริง</t>
        </is>
      </c>
      <c r="P112" s="46" t="inlineStr">
        <is>
          <t>ปี 2558</t>
        </is>
      </c>
    </row>
    <row r="113" ht="13.2" customHeight="1" s="37">
      <c r="A113" s="44" t="n">
        <v>111</v>
      </c>
      <c r="B113" s="45" t="inlineStr">
        <is>
          <t>Insulin ในประเทศไทย ใช้กระบวนการไรผลิต</t>
        </is>
      </c>
      <c r="C113" s="46" t="n"/>
      <c r="D113" s="45" t="inlineStr">
        <is>
          <t>สกัดจากตับอ่อนหมู</t>
        </is>
      </c>
      <c r="E113" s="45" t="inlineStr">
        <is>
          <t>จากการเพาะเลี้ยงเซลล์ตับอ่อนคน</t>
        </is>
      </c>
      <c r="F113" s="45" t="inlineStr">
        <is>
          <t>recombinant technology</t>
        </is>
      </c>
      <c r="G113" s="45" t="inlineStr">
        <is>
          <t>ก และ ข</t>
        </is>
      </c>
      <c r="H113" s="45" t="inlineStr">
        <is>
          <t>ก และ ค</t>
        </is>
      </c>
      <c r="I113" s="44" t="inlineStr">
        <is>
          <t>1</t>
        </is>
      </c>
      <c r="J113" s="45" t="inlineStr">
        <is>
          <t>✅ คำตอบที่ถูกต้อง: ข้อ ก. สกัดจากตับอ่อนหมู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สกัดจากตับอ่อนหมู การเลือก สกัดจากตับอ่อนหมู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(จากการเพาะเลี้ยงเซลล์ตับอ่อนคน): การเลือก จากการเพาะเลี้ยงเซลล์ตับอ่อนคน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(recombinant technology): การเลือก recombinant technology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การเลือก ก และ ข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การเลือก ก และ ค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3" s="46" t="n"/>
      <c r="L113" s="45" t="inlineStr">
        <is>
          <t>Diabetes mellitus</t>
        </is>
      </c>
      <c r="M113" s="46" t="inlineStr">
        <is>
          <t>Clinic</t>
        </is>
      </c>
      <c r="N113" s="45" t="inlineStr">
        <is>
          <t>ข้อ 84 (PLE_CC1_2558_Key.md)</t>
        </is>
      </c>
      <c r="O113" s="46" t="inlineStr">
        <is>
          <t>ข้อสอบจริง</t>
        </is>
      </c>
      <c r="P113" s="46" t="inlineStr">
        <is>
          <t>ปี 2558</t>
        </is>
      </c>
    </row>
    <row r="114" ht="13.2" customHeight="1" s="37">
      <c r="A114" s="44" t="n">
        <v>112</v>
      </c>
      <c r="B114" s="45" t="inlineStr">
        <is>
          <t>ข้อใดถูกต้องเกี่ยวกับ insulin</t>
        </is>
      </c>
      <c r="C114" s="46" t="n"/>
      <c r="D114" s="45" t="inlineStr">
        <is>
          <t>ออกฤทธิ์คล้าย GLP-1 analogue</t>
        </is>
      </c>
      <c r="E114" s="45" t="inlineStr">
        <is>
          <t>เพิ่ม insulin receptor</t>
        </is>
      </c>
      <c r="F114" s="45" t="inlineStr">
        <is>
          <t>ใช้สำลีชุบ alcohol เช็ดที่ปลายเข็มก่อนฉีด</t>
        </is>
      </c>
      <c r="G114" s="45" t="inlineStr">
        <is>
          <t>ควรฉีดซ้ำที่เดิม เพื่อให้ยาออกฤทธิ์ได้เท่าเดิม</t>
        </is>
      </c>
      <c r="H114" s="45" t="inlineStr">
        <is>
          <t>หลังจากเปิดใช้แล้วเก็บได้นาน 2 เดือน</t>
        </is>
      </c>
      <c r="I114" s="44" t="inlineStr">
        <is>
          <t>1</t>
        </is>
      </c>
      <c r="J114" s="45" t="inlineStr">
        <is>
          <t>✅ คำตอบที่ถูกต้อง: ข้อ ก. ออกฤทธิ์คล้าย GLP-1 analogue
💡 Background:
การบริบาลผู้ป่วยเบาหวานชนิดที่ 2 (T2DM) เน้นควบคุม HbA1c ควบคู่กับการเลือกยาที่มี cardiorenal protection ในผู้ป่วยที่มีโรคร่วม
🎯 ทำไมข้อนี้ถึงถูก:
ออกฤทธิ์คล้าย GLP-1 analogue การเลือก ออกฤทธิ์คล้าย GLP-1 analogue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 insulin receptor): การเลือก เพิ่ม insulin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(ใช้สำลีชุบ alcohol เช็ดที่ปลายเข็มก่อนฉีด): การเลือก ใช้สำลีชุบ alcohol เช็ดที่ปลายเข็มก่อนฉีด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(ควรฉีดซ้ำที่เดิม เพื่อให้ยาออกฤทธิ์ได้เท่าเดิม): การเลือก ควรฉีดซ้ำที่เดิม เพื่อให้ยาออกฤทธิ์ได้เท่าเดิม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(หลังจากเปิดใช้แล้วเก็บได้นาน 2 เดือน): การเลือก หลังจากเปิดใช้แล้วเก็บได้นาน 2 เดือน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4" s="46" t="n"/>
      <c r="L114" s="45" t="inlineStr">
        <is>
          <t>Diabetes mellitus</t>
        </is>
      </c>
      <c r="M114" s="46" t="inlineStr">
        <is>
          <t>Clinic</t>
        </is>
      </c>
      <c r="N114" s="45" t="inlineStr">
        <is>
          <t>ข้อ 85 (PLE_CC1_2558_Key.md)</t>
        </is>
      </c>
      <c r="O114" s="46" t="inlineStr">
        <is>
          <t>ข้อสอบจริง</t>
        </is>
      </c>
      <c r="P114" s="46" t="inlineStr">
        <is>
          <t>ปี 2558</t>
        </is>
      </c>
    </row>
    <row r="115" ht="13.2" customHeight="1" s="37">
      <c r="A115" s="44" t="n">
        <v>113</v>
      </c>
      <c r="B115" s="45" t="inlineStr">
        <is>
          <t>ข้อใดไม่ใช่อาการของผู้ป่วยเบาหวาน</t>
        </is>
      </c>
      <c r="C115" s="46" t="n"/>
      <c r="D115" s="45" t="inlineStr">
        <is>
          <t>หิวบ่อย/กินเยอะ</t>
        </is>
      </c>
      <c r="E115" s="45" t="inlineStr">
        <is>
          <t>ปัสสาวะบ่อย</t>
        </is>
      </c>
      <c r="F115" s="45" t="inlineStr">
        <is>
          <t>อาการร้อนวูบวาบ</t>
        </is>
      </c>
      <c r="G115" s="45" t="inlineStr">
        <is>
          <t>ดื่มน้ำบ่อย/กระหายน้ำบ่อย</t>
        </is>
      </c>
      <c r="H115" s="45" t="inlineStr">
        <is>
          <t>น้ำหนักลด</t>
        </is>
      </c>
      <c r="I115" s="44" t="inlineStr">
        <is>
          <t>1</t>
        </is>
      </c>
      <c r="J115" s="45" t="inlineStr">
        <is>
          <t>✅ คำตอบที่ถูกต้อง: ข้อ ก. หิวบ่อย/กินเยอะ
💡 Background:
การบริบาลผู้ป่วยเบาหวานชนิดที่ 2 (T2DM) เน้นควบคุม HbA1c ควบคู่กับการเลือกยาที่มี cardiorenal protection ในผู้ป่วยที่มีโรคร่วม
🎯 ทำไมข้อนี้ถึงถูก:
หิวบ่อย/กินเยอะ การเลือก หิวบ่อย/กินเยอะ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(ปัสสาวะบ่อย): การเลือก ปัสสาวะบ่อย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(อาการร้อนวูบวาบ): การเลือก อาการร้อนวูบวาบ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(ดื่มน้ำบ่อย/กระหายน้ำบ่อย): การเลือก ดื่มน้ำบ่อย/กระหายน้ำบ่อย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(น้ำหนักลด): การเลือก น้ำหนักลด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5" s="46" t="n"/>
      <c r="L115" s="45" t="inlineStr">
        <is>
          <t>Diabetes mellitus</t>
        </is>
      </c>
      <c r="M115" s="46" t="inlineStr">
        <is>
          <t>Clinic</t>
        </is>
      </c>
      <c r="N115" s="45" t="inlineStr">
        <is>
          <t>ข้อ 74 (Pharmtutor_2024_Set1.md)</t>
        </is>
      </c>
      <c r="O115" s="46" t="inlineStr">
        <is>
          <t>Mock</t>
        </is>
      </c>
      <c r="P115" s="46" t="inlineStr">
        <is>
          <t>Mock Pharmtutor 2024</t>
        </is>
      </c>
    </row>
    <row r="116" ht="13.2" customHeight="1" s="37">
      <c r="A116" s="44" t="n">
        <v>114</v>
      </c>
      <c r="B116" s="45" t="inlineStr">
        <is>
          <t>ข้อใดคือเป้าหมายของการรักษาผู้ป่วยเบาหวาน</t>
        </is>
      </c>
      <c r="C116" s="46" t="n"/>
      <c r="D116" s="45" t="inlineStr">
        <is>
          <t>HbA1C &lt; 6.5%</t>
        </is>
      </c>
      <c r="E116" s="45" t="inlineStr">
        <is>
          <t>HbA1C &lt; 7%</t>
        </is>
      </c>
      <c r="F116" s="45" t="inlineStr">
        <is>
          <t>HbA1C &lt; 7.5%</t>
        </is>
      </c>
      <c r="G116" s="45" t="inlineStr">
        <is>
          <t>Preprandial glucose &lt; 80 mg/dL</t>
        </is>
      </c>
      <c r="H116" s="45" t="inlineStr">
        <is>
          <t>Peak postprandial glucose &lt; 200 mg/dL</t>
        </is>
      </c>
      <c r="I116" s="44" t="inlineStr">
        <is>
          <t>1</t>
        </is>
      </c>
      <c r="J116" s="45" t="inlineStr">
        <is>
          <t>✅ คำตอบที่ถูกต้อง: ข้อ ก. HbA1C &lt; 6.5%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6.5%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(HbA1C &lt; 7%): ระดับ HbA1C &lt; 7%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(HbA1C &lt; 7.5%): ระดับ HbA1C &lt; 7.5%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(Preprandial glucose &lt; 80 mg/dL): ระดับ Preprandial glucose &lt; 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จ. (Peak postprandial glucose &lt; 200 mg/dL): ระดับ Peak postprandial glucose &lt; 200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6" s="46" t="n"/>
      <c r="L116" s="45" t="inlineStr">
        <is>
          <t>Diabetes mellitus</t>
        </is>
      </c>
      <c r="M116" s="46" t="inlineStr">
        <is>
          <t>Clinic</t>
        </is>
      </c>
      <c r="N116" s="45" t="inlineStr">
        <is>
          <t>ข้อ 75 (Pharmtutor_2024_Set1.md)</t>
        </is>
      </c>
      <c r="O116" s="46" t="inlineStr">
        <is>
          <t>Mock</t>
        </is>
      </c>
      <c r="P116" s="46" t="inlineStr">
        <is>
          <t>Mock Pharmtutor 2024</t>
        </is>
      </c>
    </row>
    <row r="117" ht="13.2" customHeight="1" s="37">
      <c r="A117" s="44" t="n">
        <v>115</v>
      </c>
      <c r="B117" s="45" t="inlineStr">
        <is>
          <t>การดัดแปลง insulin ในข้อใดทำให้ออกฤทธิ์ได้เร็วขึ้น</t>
        </is>
      </c>
      <c r="C117" s="46" t="n"/>
      <c r="D117" s="45" t="inlineStr">
        <is>
          <t>เติม protamine</t>
        </is>
      </c>
      <c r="E117" s="45" t="inlineStr">
        <is>
          <t>เติม arginine 2 หมู่</t>
        </is>
      </c>
      <c r="F117" s="45" t="inlineStr">
        <is>
          <t>เติม zinc chloride</t>
        </is>
      </c>
      <c r="G117" s="45" t="inlineStr">
        <is>
          <t>เติม myristic acid</t>
        </is>
      </c>
      <c r="H117" s="45" t="inlineStr">
        <is>
          <t>สลับ amino acid ระหว่าง Lysine และ Proline</t>
        </is>
      </c>
      <c r="I117" s="44" t="inlineStr">
        <is>
          <t>1</t>
        </is>
      </c>
      <c r="J117" s="45" t="inlineStr">
        <is>
          <t>✅ คำตอบที่ถูกต้อง: ข้อ ก. เติม protamine
💡 Background:
การบริบาลผู้ป่วยเบาหวานชนิดที่ 2 (T2DM) เน้นควบคุม HbA1c ควบคู่กับการเลือกยาที่มี cardiorenal protection ในผู้ป่วยที่มีโรคร่วม
🎯 ทำไมข้อนี้ถึงถูก:
เติม protamine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(เติม arginine 2 หมู่): การเลือก เติม arginine 2 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(เติม zinc chloride): การเลือก เติม zinc chloride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(เติม myristic acid): การเลือก เติม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(สลับ amino acid ระหว่าง Lysine และ Proline): การเลือก สลับ amino acid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7" s="46" t="n"/>
      <c r="L117" s="45" t="inlineStr">
        <is>
          <t>Diabetes mellitus</t>
        </is>
      </c>
      <c r="M117" s="46" t="inlineStr">
        <is>
          <t>Clinic</t>
        </is>
      </c>
      <c r="N117" s="45" t="inlineStr">
        <is>
          <t>ข้อ 78 (Pharmtutor_2024_Set1.md)</t>
        </is>
      </c>
      <c r="O117" s="46" t="inlineStr">
        <is>
          <t>Mock</t>
        </is>
      </c>
      <c r="P117" s="46" t="inlineStr">
        <is>
          <t>Mock Pharmtutor 2024</t>
        </is>
      </c>
    </row>
    <row r="118" ht="13.2" customHeight="1" s="37">
      <c r="A118" s="44" t="n">
        <v>116</v>
      </c>
      <c r="B118" s="45" t="inlineStr">
        <is>
          <t>ยารักษาเบาหวาน ที่ควรเริ่มเป็นอันดับแรก ในผู้ป่วยรายนี้ คือข้อใด</t>
        </is>
      </c>
      <c r="C118" s="46" t="n"/>
      <c r="D118" s="45" t="inlineStr">
        <is>
          <t>Glipizide</t>
        </is>
      </c>
      <c r="E118" s="45" t="inlineStr">
        <is>
          <t>Metformin</t>
        </is>
      </c>
      <c r="F118" s="45" t="inlineStr">
        <is>
          <t>Pioglitazone</t>
        </is>
      </c>
      <c r="G118" s="45" t="inlineStr">
        <is>
          <t>Insulin glargine</t>
        </is>
      </c>
      <c r="H118" s="45" t="inlineStr">
        <is>
          <t>Acarbose</t>
        </is>
      </c>
      <c r="I118" s="44" t="inlineStr">
        <is>
          <t>1</t>
        </is>
      </c>
      <c r="J118" s="45"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(Metformin): ยา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(Pioglitazone): การเลือก Pioglitazone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ยา Insulin glargine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(Acarbose): การเลือก Acarbose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18" s="46" t="n"/>
      <c r="L118" s="45" t="inlineStr">
        <is>
          <t>Diabetes mellitus</t>
        </is>
      </c>
      <c r="M118" s="46" t="inlineStr">
        <is>
          <t>Clinic</t>
        </is>
      </c>
      <c r="N118" s="45" t="inlineStr">
        <is>
          <t>ข้อ 70 (Pharmtutor_2024_Set2.md)</t>
        </is>
      </c>
      <c r="O118" s="46" t="inlineStr">
        <is>
          <t>Mock</t>
        </is>
      </c>
      <c r="P118" s="46" t="inlineStr">
        <is>
          <t>Mock Pharmtutor 2024</t>
        </is>
      </c>
    </row>
    <row r="119" ht="13.2" customHeight="1" s="37">
      <c r="A119" s="44" t="n">
        <v>117</v>
      </c>
      <c r="B119" s="45" t="inlineStr">
        <is>
          <t>เป้าหมายการรักษาเบาหวาน (ควบคุมทั่วไป) ในผู้ป่วยรายนี้</t>
        </is>
      </c>
      <c r="C119" s="46" t="n"/>
      <c r="D119" s="45" t="inlineStr">
        <is>
          <t>FBS &lt; 70 mg/dL</t>
        </is>
      </c>
      <c r="E119" s="45" t="inlineStr">
        <is>
          <t>HbA1C &lt;8%</t>
        </is>
      </c>
      <c r="F119" s="45" t="inlineStr">
        <is>
          <t>Peak Post prandial glucose &lt; 180 mg/dL</t>
        </is>
      </c>
      <c r="G119" s="45" t="inlineStr">
        <is>
          <t>OGTT &lt; 126 mg/dL</t>
        </is>
      </c>
      <c r="H119" s="45" t="inlineStr">
        <is>
          <t>Random plasma glucose &lt; 250 mg/dL</t>
        </is>
      </c>
      <c r="I119" s="44" t="inlineStr">
        <is>
          <t>1</t>
        </is>
      </c>
      <c r="J119" s="45" t="inlineStr">
        <is>
          <t>✅ คำตอบที่ถูกต้อง: ข้อ ก. FBS &lt; 70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FBS &lt; 70 mg/dL การเลือก FBS &lt; 70 mg/dL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(HbA1C &lt;8%): ระดับ HbA1C &lt;8%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(Peak Post prandial glucose &lt; 180 mg/dL): ระดับ Peak Post prandial glucose &lt; 180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(OGTT &lt; 126 mg/dL): การเลือก OGTT &lt; 126 mg/dL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(Random plasma glucose &lt; 250 mg/dL): ระดับ Random plasma glucose &lt; 250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9" s="46" t="n"/>
      <c r="L119" s="45" t="inlineStr">
        <is>
          <t>Diabetes mellitus</t>
        </is>
      </c>
      <c r="M119" s="46" t="inlineStr">
        <is>
          <t>Clinic</t>
        </is>
      </c>
      <c r="N119" s="45" t="inlineStr">
        <is>
          <t>ข้อ 71 (Pharmtutor_2024_Set2.md)</t>
        </is>
      </c>
      <c r="O119" s="46" t="inlineStr">
        <is>
          <t>Mock</t>
        </is>
      </c>
      <c r="P119" s="46" t="inlineStr">
        <is>
          <t>Mock Pharmtutor 2024</t>
        </is>
      </c>
    </row>
    <row r="120" ht="13.2" customHeight="1" s="37">
      <c r="A120" s="44" t="n">
        <v>118</v>
      </c>
      <c r="B120" s="45" t="inlineStr">
        <is>
          <t>การปรับปรุงโปรงสร้างของ insulin ในข้อใด ทำให้สามารถออกฤทธิ์ได้ยาวนานมากขึ้น</t>
        </is>
      </c>
      <c r="C120" s="46" t="n"/>
      <c r="D120" s="45" t="inlineStr">
        <is>
          <t>เพิ่มการละลายของ insulin</t>
        </is>
      </c>
      <c r="E120" s="45" t="inlineStr">
        <is>
          <t>ลดความสามารถในการก่อ hexamer ของ insulin</t>
        </is>
      </c>
      <c r="F120" s="45" t="inlineStr">
        <is>
          <t>การเติมกรดไขมัน เช่น myristic acid</t>
        </is>
      </c>
      <c r="G120" s="45" t="inlineStr">
        <is>
          <t>สลับกรดอะมิโน ระหว่าง lysine และ proline</t>
        </is>
      </c>
      <c r="H120" s="45" t="inlineStr">
        <is>
          <t>ไม่มีข้อใดถูก</t>
        </is>
      </c>
      <c r="I120" s="44" t="inlineStr">
        <is>
          <t>1</t>
        </is>
      </c>
      <c r="J120" s="45" t="inlineStr">
        <is>
          <t>✅ คำตอบที่ถูกต้อง: ข้อ ก. เพิ่มการละลายของ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เพิ่มการละลายของ insulin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(ลดความสามารถในการก่อ hexamer ของ insulin): การเลือก ลดความสามารถในการก่อ hexamer ของ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(การเติมกรดไขมัน เช่น myristic acid): การเลือก การเติมกรดไขมัน เช่น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(สลับกรดอะมิโน ระหว่าง lysine และ proline): การเลือก สลับกรดอะมิโน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(ไม่มีข้อใดถูก): การพิจารณาใช้ ไม่มีข้อใดถูก ในบริบทนี้ไม่สอดคล้องกับกลไกการออกฤทธิ์ทางเภสัชวิทยาหรือข้อบ่งใช้หลักตามแนวทางการรักษามาตรฐาน เนื่องจากไม่สามารถจัดการพยาธิสภาพหรือให้ผลลัพธ์ทางคลินิกที่ต้องการได้อย่างตรงจุด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0" s="46" t="n"/>
      <c r="L120" s="45" t="inlineStr">
        <is>
          <t>Diabetes mellitus</t>
        </is>
      </c>
      <c r="M120" s="46" t="inlineStr">
        <is>
          <t>Clinic</t>
        </is>
      </c>
      <c r="N120" s="45" t="inlineStr">
        <is>
          <t>ข้อ 72 (Pharmtutor_2024_Set2.md)</t>
        </is>
      </c>
      <c r="O120" s="46" t="inlineStr">
        <is>
          <t>Mock</t>
        </is>
      </c>
      <c r="P120" s="46" t="inlineStr">
        <is>
          <t>Mock Pharmtutor 2024</t>
        </is>
      </c>
    </row>
    <row r="121" ht="13.2" customHeight="1" s="37">
      <c r="A121" s="44" t="n">
        <v>119</v>
      </c>
      <c r="B121" s="45" t="inlineStr">
        <is>
          <t>จากแนวทางเวชปฏิบัติโรคเบาหวานของ American Diabetic Association 2013 การรักษาผู้ป่วยรายนี้ควรมี เป้าหมาย HbA1C เท่าใด (1) 6.0 % (2) 6.5 % (3) 7.0 % (4) 7.5 % (5) 8.0 % Final version | Maximum’2017 Rx30 | Prince of Songkla University ต่อมา ผู้ป่วยมีอาการอ่อนเพลีย เบื_x0003_ออาหาร กินอาหาร ได้น้อยลง ซึมลง ญาติจึงนำส่งโรงพยาบาล พบการตรวจทาง ห้องปฏิบัติการดังนี_x001B_ Na 140 mEq/L, Cl 108 mEq/L, K 4.2 mEq/L และ HCO3 - 10 mEq/L</t>
        </is>
      </c>
      <c r="C121" s="46" t="n"/>
      <c r="D121" s="45" t="inlineStr">
        <is>
          <t>Propylthiouracil 50 mg TID</t>
        </is>
      </c>
      <c r="E121" s="45" t="inlineStr">
        <is>
          <t>Methimazole 10 mg OD</t>
        </is>
      </c>
      <c r="F121" s="45" t="inlineStr">
        <is>
          <t>Pioglitazone 15 mg OD</t>
        </is>
      </c>
      <c r="G121" s="45" t="inlineStr">
        <is>
          <t>Insulin glargine 10 units SC HS</t>
        </is>
      </c>
      <c r="H121" s="45" t="inlineStr">
        <is>
          <t>Insulin lispro 4 units SC before meals</t>
        </is>
      </c>
      <c r="I121" s="44" t="inlineStr">
        <is>
          <t>1</t>
        </is>
      </c>
      <c r="J121"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21" s="46" t="n"/>
      <c r="L121" s="45" t="inlineStr">
        <is>
          <t>Diabetes mellitus</t>
        </is>
      </c>
      <c r="M121" s="46" t="inlineStr">
        <is>
          <t>Clinic</t>
        </is>
      </c>
      <c r="N121" s="45" t="inlineStr">
        <is>
          <t>ข้อ 10 (PLE_CC1_2557.md)</t>
        </is>
      </c>
      <c r="O121" s="46" t="inlineStr">
        <is>
          <t>ข้อสอบจริง</t>
        </is>
      </c>
      <c r="P121" s="46" t="inlineStr">
        <is>
          <t>ปี 2557</t>
        </is>
      </c>
    </row>
    <row r="122" ht="13.2" customHeight="1" s="37">
      <c r="A122" s="44" t="n">
        <v>120</v>
      </c>
      <c r="B122" s="45" t="inlineStr">
        <is>
          <t>ก่อนผู้ป่วยกลับบ้าน แพทย์สังใช้ยา NPH insulin 45 unit ก่อนอาหารเช้า และ 30 unit ก่อนอาหารเย็น โดยนัดมา ติดตามอาการในอีก 4 สัปดาห์ เภสัชกรจะต้องจัดยา insulin ให้ผู้ป่วยกี vial (NPH insulin ทีมีในโรงพยาบาล มีขนาด 100 unit/mL โดยที 1 vial มีปริมาตร 10 mL) (1) 1 (2) 2 (3) 3 (4) 4 (5) 5</t>
        </is>
      </c>
      <c r="C122" s="46" t="n"/>
      <c r="D122" s="45" t="inlineStr">
        <is>
          <t>Insulin glargine 10 units SC HS</t>
        </is>
      </c>
      <c r="E122" s="45" t="inlineStr">
        <is>
          <t>Insulin lispro 4 units SC before meals</t>
        </is>
      </c>
      <c r="F122" s="45" t="inlineStr">
        <is>
          <t>Dapagliflozin 10 mg OD</t>
        </is>
      </c>
      <c r="G122" s="45" t="inlineStr">
        <is>
          <t>Semaglutide 0.5 mg SC weekly</t>
        </is>
      </c>
      <c r="H122" s="45" t="inlineStr">
        <is>
          <t>Metformin 500 mg BID</t>
        </is>
      </c>
      <c r="I122" s="44" t="inlineStr">
        <is>
          <t>1</t>
        </is>
      </c>
      <c r="J122"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2" s="46" t="n"/>
      <c r="L122" s="45" t="inlineStr">
        <is>
          <t>Diabetes mellitus</t>
        </is>
      </c>
      <c r="M122" s="46" t="inlineStr">
        <is>
          <t>Clinic</t>
        </is>
      </c>
      <c r="N122" s="45" t="inlineStr">
        <is>
          <t>ข้อ 16 (PLE_CC1_2557.md)</t>
        </is>
      </c>
      <c r="O122" s="46" t="inlineStr">
        <is>
          <t>ข้อสอบจริง</t>
        </is>
      </c>
      <c r="P122" s="46" t="inlineStr">
        <is>
          <t>ปี 2557</t>
        </is>
      </c>
    </row>
    <row r="123" ht="13.2" customHeight="1" s="37">
      <c r="A123" s="44" t="n">
        <v>121</v>
      </c>
      <c r="B123" s="45" t="inlineStr">
        <is>
          <t>ในปัจจุบันมีระบบการนำส่งยา Insulin ทางการรับประทาน โดยนำยา Insulin บรรจุใน liposomal system ข้อใดไม่ ถูกต้องเกียวกับการพัฒนาตำรับยาให้อยู่ในรูป liposome (1) สามารถลดความเป็นพิษของตัวยาสำคัญ แต่อาจ ก่อให้เกิดการแพ้ phospholipid ที_x0003_เป็นองค์ประกอบ (2) สามารถเพิ_x0003_มความคงตัวของตัวยาสำคัญ (3) สามารถช่วยเพิ_x0003_มความสามารถในการซึมผ่านผิวหนัง ของยาที_x0003_ซึมผ่านผิวหนังได้ยาก (4) สามารถช่วยควบคุมการปลดปล่อยตัวยาสำคัญได้ (5) สามารถช่วยให้นำส่งยาได้หลากหลายวิถีทางมากขึ_x001B_น MCQ 12 | 1/2557 | Page 19</t>
        </is>
      </c>
      <c r="C123" s="46" t="n"/>
      <c r="D123" s="45" t="inlineStr">
        <is>
          <t>Semaglutide 0.5 mg SC weekly</t>
        </is>
      </c>
      <c r="E123" s="45" t="inlineStr">
        <is>
          <t>Metformin 500 mg BID</t>
        </is>
      </c>
      <c r="F123" s="45" t="inlineStr">
        <is>
          <t>Glipizide 5 mg OD</t>
        </is>
      </c>
      <c r="G123" s="45" t="inlineStr">
        <is>
          <t>Empagliflozin 10 mg OD</t>
        </is>
      </c>
      <c r="H123" s="45" t="inlineStr">
        <is>
          <t>Sitagliptin 100 mg OD</t>
        </is>
      </c>
      <c r="I123" s="44" t="inlineStr">
        <is>
          <t>1</t>
        </is>
      </c>
      <c r="J123" s="45"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23" s="46" t="n"/>
      <c r="L123" s="45" t="inlineStr">
        <is>
          <t>Diabetes mellitus</t>
        </is>
      </c>
      <c r="M123" s="46" t="inlineStr">
        <is>
          <t>Clinic</t>
        </is>
      </c>
      <c r="N123" s="45" t="inlineStr">
        <is>
          <t>ข้อ 33 (PLE_CC1_2557.md)</t>
        </is>
      </c>
      <c r="O123" s="46" t="inlineStr">
        <is>
          <t>ข้อสอบจริง</t>
        </is>
      </c>
      <c r="P123" s="46" t="inlineStr">
        <is>
          <t>ปี 2557</t>
        </is>
      </c>
    </row>
    <row r="124" ht="13.2" customHeight="1" s="37">
      <c r="A124" s="44" t="n">
        <v>122</v>
      </c>
      <c r="B124" s="45" t="inlineStr">
        <is>
          <t>ผู้ป่วยรายนี้ไปอ่านบทความบทความหนึง ซึงกล่าวว่า การ รับประทานอาหารทีมีรสหวาน สามารถเพิมอุบัติการณ์ ของการเกิดโรคเบาหวานได้ ผู้ป่วยรายนี้จึงถามท่านว่า คำ ว่าอุบัติการณ์หมายถึงอะไร (1) สัดส่วนของผู้เป็นโรครายใหม่ต่อประชากรที_x0003_มีความ เสี_x0003_ยงทั_x001B_งหมด (2) สัดส่วนของผู้เป็นโรคต่อประชากรที_x0003_มีความเสี_x0003_ยง ทั_x001B_งหมด (3) สัดส่วนของผู้เป็นโรครายใหม่ต่อประชากรที_x0003_มีความ เสี_x0003_ยงทั_x001B_งหมดในช่วงระยะเวลาหนึ_x0003_ง (4) สัดส่วนของผู้เป็นโรคต่อประชากรที_x0003_มีความเสี_x0003_ยง ทั_x001B_งหมดในช่วงระยะเวลาหนึ_x0003_ง (5) ไม่มีข้อใดถูกต้อง Final version | Maximum’2017 Rx30 | Prince of Songkla University สถานการณ์ที 6 หญิงไทย อายุ 26 ปี ต้องการใช้ยาคุมกำเนิดชนิด รับประทาน</t>
        </is>
      </c>
      <c r="C124" s="46" t="n"/>
      <c r="D124" s="45" t="inlineStr">
        <is>
          <t>Empagliflozin 10 mg OD</t>
        </is>
      </c>
      <c r="E124" s="45" t="inlineStr">
        <is>
          <t>Sitagliptin 100 mg OD</t>
        </is>
      </c>
      <c r="F124" s="45" t="inlineStr">
        <is>
          <t>Liraglutide 1.2 mg SC OD</t>
        </is>
      </c>
      <c r="G124" s="45" t="inlineStr">
        <is>
          <t>Levothyroxine 50 mcg OD</t>
        </is>
      </c>
      <c r="H124" s="45" t="inlineStr">
        <is>
          <t>Propylthiouracil 50 mg TID</t>
        </is>
      </c>
      <c r="I124" s="44" t="inlineStr">
        <is>
          <t>1</t>
        </is>
      </c>
      <c r="J124" s="45"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24" s="46" t="n"/>
      <c r="L124" s="45" t="inlineStr">
        <is>
          <t>Diabetes mellitus</t>
        </is>
      </c>
      <c r="M124" s="46" t="inlineStr">
        <is>
          <t>Clinic</t>
        </is>
      </c>
      <c r="N124" s="45" t="inlineStr">
        <is>
          <t>ข้อ 36 (PLE_CC1_2557.md)</t>
        </is>
      </c>
      <c r="O124" s="46" t="inlineStr">
        <is>
          <t>ข้อสอบจริง</t>
        </is>
      </c>
      <c r="P124" s="46" t="inlineStr">
        <is>
          <t>ปี 2557</t>
        </is>
      </c>
    </row>
    <row r="125" ht="13.2" customHeight="1" s="37">
      <c r="A125" s="44" t="n">
        <v>123</v>
      </c>
      <c r="B125" s="45" t="inlineStr">
        <is>
          <t>การซักประวัติในข้อใดไม่จำเป็นก่อนการเริมรับประทานยา คุมกำเนิด (1) ประวัติการเกิดโรคหลอดเลือดดำอุดตัน (2) ประวัติการเกิดโรคเบาหวานขณะตั_x001B_งครรภ์ (3) ประวัติการปวดหัวไมเกรน (4) ประวัติการเป็นเนื_x001B_องอกที_x0003_เต้านม (5) ประวัติการใช้ยาบางชนิด เช่น ยากันชัก</t>
        </is>
      </c>
      <c r="C125" s="46" t="n"/>
      <c r="D125" s="45" t="inlineStr">
        <is>
          <t>Levothyroxine 50 mcg OD</t>
        </is>
      </c>
      <c r="E125" s="45" t="inlineStr">
        <is>
          <t>Propylthiouracil 50 mg TID</t>
        </is>
      </c>
      <c r="F125" s="45" t="inlineStr">
        <is>
          <t>Methimazole 10 mg OD</t>
        </is>
      </c>
      <c r="G125" s="45" t="inlineStr">
        <is>
          <t>Pioglitazone 15 mg OD</t>
        </is>
      </c>
      <c r="H125" s="45" t="inlineStr">
        <is>
          <t>Insulin glargine 10 units SC HS</t>
        </is>
      </c>
      <c r="I125" s="44" t="inlineStr">
        <is>
          <t>1</t>
        </is>
      </c>
      <c r="J125"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25" s="46" t="n"/>
      <c r="L125" s="45" t="inlineStr">
        <is>
          <t>Diabetes mellitus</t>
        </is>
      </c>
      <c r="M125" s="46" t="inlineStr">
        <is>
          <t>Clinic</t>
        </is>
      </c>
      <c r="N125" s="45" t="inlineStr">
        <is>
          <t>ข้อ 37 (PLE_CC1_2557.md)</t>
        </is>
      </c>
      <c r="O125" s="46" t="inlineStr">
        <is>
          <t>ข้อสอบจริง</t>
        </is>
      </c>
      <c r="P125" s="46" t="inlineStr">
        <is>
          <t>ปี 2557</t>
        </is>
      </c>
    </row>
    <row r="126" ht="13.2" customHeight="1" s="37">
      <c r="A126" s="44" t="n">
        <v>124</v>
      </c>
      <c r="B126" s="45" t="inlineStr">
        <is>
          <t>Insulin อีก 2 เดือนต่อมา ผู้ป่วยมาพบแพทย์ตามนัด ผลตรวจร่างกายเป็นดังนี้ FBS 123, HbA1C 6.8, BP 150/98, urine analysis : protein 1.5 g/ 24 h</t>
        </is>
      </c>
      <c r="C126" s="46" t="n"/>
      <c r="D126" s="45" t="inlineStr">
        <is>
          <t>จากข้อมูลข้างต้น ควรรักษาอย่างไร</t>
        </is>
      </c>
      <c r="E126" s="45" t="inlineStr">
        <is>
          <t>Insulin glargine 10 units SC HS</t>
        </is>
      </c>
      <c r="F126" s="45" t="inlineStr">
        <is>
          <t>Insulin lispro 4 units SC before meals</t>
        </is>
      </c>
      <c r="G126" s="45" t="inlineStr">
        <is>
          <t>Dapagliflozin 10 mg OD</t>
        </is>
      </c>
      <c r="H126" s="45" t="inlineStr">
        <is>
          <t>Semaglutide 0.5 mg SC weekly</t>
        </is>
      </c>
      <c r="I126" s="44" t="inlineStr">
        <is>
          <t>1</t>
        </is>
      </c>
      <c r="J126" s="45" t="inlineStr">
        <is>
          <t>✅ คำตอบที่ถูกต้อง: ข้อ ก. จากข้อมูลข้างต้น ควรรักษาอย่างไร
💡 Background:
การบริบาลผู้ป่วยเบาหวานชนิดที่ 2 (T2DM) เน้นควบคุม HbA1c ควบคู่กับการเลือกยาที่มี cardiorenal protection ในผู้ป่วยที่มีโรคร่วม
🎯 ทำไมข้อนี้ถึงถูก:
จากข้อมูลข้างต้น ควรรักษาอย่างไร การเลือก จากข้อมูลข้างต้น ควรรักษาอย่างไร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6" s="46" t="n"/>
      <c r="L126" s="45" t="inlineStr">
        <is>
          <t>Diabetes mellitus</t>
        </is>
      </c>
      <c r="M126" s="46" t="inlineStr">
        <is>
          <t>Clinic</t>
        </is>
      </c>
      <c r="N126" s="45" t="inlineStr">
        <is>
          <t>ข้อ 5 (PLE_CC1_2556.md)</t>
        </is>
      </c>
      <c r="O126" s="46" t="inlineStr">
        <is>
          <t>ข้อสอบจริง</t>
        </is>
      </c>
      <c r="P126" s="46" t="inlineStr">
        <is>
          <t>ปี 2556</t>
        </is>
      </c>
    </row>
    <row r="127" ht="13.2" customHeight="1" s="37">
      <c r="A127" s="44" t="n">
        <v>125</v>
      </c>
      <c r="B127" s="45" t="inlineStr">
        <is>
          <t>โจทย์ให้ค่าแลปมา FBS สูง HbA1C สูง ALT 200 กว่า, AST 200 กว่า, BUN 17, Cr 0.8 จากข้อมูลดังกล่าวยาตัวใดปลอดภัยที่สุด</t>
        </is>
      </c>
      <c r="C127" s="46" t="n"/>
      <c r="D127" s="45" t="inlineStr">
        <is>
          <t>Dapagliflozin 10 mg OD</t>
        </is>
      </c>
      <c r="E127" s="45" t="inlineStr">
        <is>
          <t>Semaglutide 0.5 mg SC weekly</t>
        </is>
      </c>
      <c r="F127" s="45" t="inlineStr">
        <is>
          <t>Metformin 500 mg BID</t>
        </is>
      </c>
      <c r="G127" s="45" t="inlineStr">
        <is>
          <t>Glipizide 5 mg OD</t>
        </is>
      </c>
      <c r="H127" s="45" t="inlineStr">
        <is>
          <t>Empagliflozin 10 mg OD</t>
        </is>
      </c>
      <c r="I127" s="44" t="inlineStr">
        <is>
          <t>1</t>
        </is>
      </c>
      <c r="J127" s="45"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27" s="46" t="n"/>
      <c r="L127" s="45" t="inlineStr">
        <is>
          <t>Diabetes mellitus</t>
        </is>
      </c>
      <c r="M127" s="46" t="inlineStr">
        <is>
          <t>Clinic</t>
        </is>
      </c>
      <c r="N127" s="45" t="inlineStr">
        <is>
          <t>ข้อ 6 (PLE_CC1_2556.md)</t>
        </is>
      </c>
      <c r="O127" s="46" t="inlineStr">
        <is>
          <t>ข้อสอบจริง</t>
        </is>
      </c>
      <c r="P127" s="46" t="inlineStr">
        <is>
          <t>ปี 2556</t>
        </is>
      </c>
    </row>
    <row r="128" ht="13.2" customHeight="1" s="37">
      <c r="A128" s="44" t="n">
        <v>126</v>
      </c>
      <c r="B128" s="45" t="inlineStr">
        <is>
          <t>ข้อใดไม่ถูกต้องเกี่ยวกับ NPH insulin</t>
        </is>
      </c>
      <c r="C128" s="46" t="n"/>
      <c r="D128" s="45" t="inlineStr">
        <is>
          <t>Glipizide 5 mg OD</t>
        </is>
      </c>
      <c r="E128" s="45" t="inlineStr">
        <is>
          <t>Empagliflozin 10 mg OD</t>
        </is>
      </c>
      <c r="F128" s="45" t="inlineStr">
        <is>
          <t>Sitagliptin 100 mg OD</t>
        </is>
      </c>
      <c r="G128" s="45" t="inlineStr">
        <is>
          <t>Liraglutide 1.2 mg SC OD</t>
        </is>
      </c>
      <c r="H128" s="45" t="inlineStr">
        <is>
          <t>Levothyroxine 50 mcg OD</t>
        </is>
      </c>
      <c r="I128" s="44" t="inlineStr">
        <is>
          <t>1</t>
        </is>
      </c>
      <c r="J128" s="45"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8" s="46" t="n"/>
      <c r="L128" s="45" t="inlineStr">
        <is>
          <t>Diabetes mellitus</t>
        </is>
      </c>
      <c r="M128" s="46" t="inlineStr">
        <is>
          <t>Clinic</t>
        </is>
      </c>
      <c r="N128" s="45" t="inlineStr">
        <is>
          <t>ข้อ 9 (PLE_CC1_2556.md)</t>
        </is>
      </c>
      <c r="O128" s="46" t="inlineStr">
        <is>
          <t>ข้อสอบจริง</t>
        </is>
      </c>
      <c r="P128" s="46" t="inlineStr">
        <is>
          <t>ปี 2556</t>
        </is>
      </c>
    </row>
    <row r="129" ht="13.2" customHeight="1" s="37">
      <c r="A129" s="44" t="n">
        <v>127</v>
      </c>
      <c r="B129" s="45" t="inlineStr">
        <is>
          <t>เป็น intermediate acting insulin</t>
        </is>
      </c>
      <c r="C129" s="46" t="n"/>
      <c r="D129" s="45" t="inlineStr">
        <is>
          <t>Liraglutide 1.2 mg SC OD</t>
        </is>
      </c>
      <c r="E129" s="45" t="inlineStr">
        <is>
          <t>Levothyroxine 50 mcg OD</t>
        </is>
      </c>
      <c r="F129" s="45" t="inlineStr">
        <is>
          <t>Propylthiouracil 50 mg TID</t>
        </is>
      </c>
      <c r="G129" s="45" t="inlineStr">
        <is>
          <t>Methimazole 10 mg OD</t>
        </is>
      </c>
      <c r="H129" s="45" t="inlineStr">
        <is>
          <t>Pioglitazone 15 mg OD</t>
        </is>
      </c>
      <c r="I129" s="44" t="inlineStr">
        <is>
          <t>1</t>
        </is>
      </c>
      <c r="J129"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29" s="46" t="n"/>
      <c r="L129" s="45" t="inlineStr">
        <is>
          <t>Diabetes mellitus</t>
        </is>
      </c>
      <c r="M129" s="46" t="inlineStr">
        <is>
          <t>Clinic</t>
        </is>
      </c>
      <c r="N129" s="45" t="inlineStr">
        <is>
          <t>ข้อ 2 (PLE_CC1_2556.md)</t>
        </is>
      </c>
      <c r="O129" s="46" t="inlineStr">
        <is>
          <t>ข้อสอบจริง</t>
        </is>
      </c>
      <c r="P129" s="46" t="inlineStr">
        <is>
          <t>ปี 2556</t>
        </is>
      </c>
    </row>
    <row r="130" ht="13.2" customHeight="1" s="37">
      <c r="A130" s="44" t="n">
        <v>128</v>
      </c>
      <c r="B130" s="45" t="inlineStr">
        <is>
          <t>insulin resistant</t>
        </is>
      </c>
      <c r="C130" s="46" t="n"/>
      <c r="D130" s="45" t="inlineStr">
        <is>
          <t>Methimazole 10 mg OD</t>
        </is>
      </c>
      <c r="E130" s="45" t="inlineStr">
        <is>
          <t>Pioglitazone 15 mg OD</t>
        </is>
      </c>
      <c r="F130" s="45" t="inlineStr">
        <is>
          <t>Insulin glargine 10 units SC HS</t>
        </is>
      </c>
      <c r="G130" s="45" t="inlineStr">
        <is>
          <t>Insulin lispro 4 units SC before meals</t>
        </is>
      </c>
      <c r="H130" s="45" t="inlineStr">
        <is>
          <t>Dapagliflozin 10 mg OD</t>
        </is>
      </c>
      <c r="I130" s="44" t="inlineStr">
        <is>
          <t>1</t>
        </is>
      </c>
      <c r="J130"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30" s="46" t="n"/>
      <c r="L130" s="45" t="inlineStr">
        <is>
          <t>Diabetes mellitus</t>
        </is>
      </c>
      <c r="M130" s="46" t="inlineStr">
        <is>
          <t>Clinic</t>
        </is>
      </c>
      <c r="N130" s="45" t="inlineStr">
        <is>
          <t>ข้อ 4 (PLE_CC1_2555 Day 2.md)</t>
        </is>
      </c>
      <c r="O130" s="46" t="inlineStr">
        <is>
          <t>ข้อสอบจริง</t>
        </is>
      </c>
      <c r="P130" s="46" t="inlineStr">
        <is>
          <t>ปี 2555</t>
        </is>
      </c>
    </row>
    <row r="131" ht="13.2" customHeight="1" s="37">
      <c r="A131" s="44" t="n">
        <v>129</v>
      </c>
      <c r="B131" s="45" t="inlineStr">
        <is>
          <t>อาการของไทรอยด์เป็นพิษ</t>
        </is>
      </c>
      <c r="C131" s="46" t="n"/>
      <c r="D131" s="45" t="inlineStr">
        <is>
          <t>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t>
        </is>
      </c>
      <c r="E131" s="45" t="inlineStr">
        <is>
          <t>Dapagliflozin 10 mg OD</t>
        </is>
      </c>
      <c r="F131" s="45" t="inlineStr">
        <is>
          <t>Semaglutide 0.5 mg SC weekly</t>
        </is>
      </c>
      <c r="G131" s="45" t="inlineStr">
        <is>
          <t>Metformin 500 mg BID</t>
        </is>
      </c>
      <c r="H131" s="45" t="inlineStr">
        <is>
          <t>Glipizide 5 mg OD</t>
        </is>
      </c>
      <c r="I131" s="44" t="inlineStr">
        <is>
          <t>1</t>
        </is>
      </c>
      <c r="J131" s="45" t="inlineStr">
        <is>
          <t>✅ คำตอบที่ถูกต้อง: ข้อ 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การเลือก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1" s="46" t="n"/>
      <c r="L131" s="45" t="inlineStr">
        <is>
          <t>Diabetes mellitus</t>
        </is>
      </c>
      <c r="M131" s="46" t="inlineStr">
        <is>
          <t>Clinic</t>
        </is>
      </c>
      <c r="N131" s="45" t="inlineStr">
        <is>
          <t>ข้อ 4 (PLE_CC1_2554 SET2.md)</t>
        </is>
      </c>
      <c r="O131" s="46" t="inlineStr">
        <is>
          <t>ข้อสอบจริง</t>
        </is>
      </c>
      <c r="P131" s="46" t="inlineStr">
        <is>
          <t>ปี 2554</t>
        </is>
      </c>
    </row>
    <row r="132" ht="13.2" customHeight="1" s="37">
      <c r="A132" s="44" t="n">
        <v>130</v>
      </c>
      <c r="B132" s="45" t="inlineStr">
        <is>
          <t>ยาที่ใช้รักษา Hyperthyroidism คือยาใด</t>
        </is>
      </c>
      <c r="C132" s="46" t="n"/>
      <c r="D132" s="45" t="inlineStr">
        <is>
          <t>Propylthiouracil (PTU), Methimazole (MTZ or MMI), Carbimazole(CBZ) เพราะยาดังกล่าวเป็นยาAntithyroid drugs Ref: ชีทอ.วรนุช</t>
        </is>
      </c>
      <c r="E132" s="45" t="inlineStr">
        <is>
          <t>Glipizide 5 mg OD</t>
        </is>
      </c>
      <c r="F132" s="45" t="inlineStr">
        <is>
          <t>Empagliflozin 10 mg OD</t>
        </is>
      </c>
      <c r="G132" s="45" t="inlineStr">
        <is>
          <t>Sitagliptin 100 mg OD</t>
        </is>
      </c>
      <c r="H132" s="45" t="inlineStr">
        <is>
          <t>Liraglutide 1.2 mg SC OD</t>
        </is>
      </c>
      <c r="I132" s="44" t="inlineStr">
        <is>
          <t>1</t>
        </is>
      </c>
      <c r="J132" s="45" t="inlineStr">
        <is>
          <t>✅ คำตอบที่ถูกต้อง: ข้อ ก. Propylthiouracil (PTU), Methimazole (MTZ or MMI), Carbimazole(CBZ) เพราะยาดังกล่าวเป็นยาAntithyroid drugs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(PTU), Methimazole (MTZ or MMI), Carbimazole(CBZ) เพราะยาดังกล่าวเป็นยาAntithyroid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การเลือก Propylthiouracil (PTU), Methimazole (MTZ or MMI), Carbimazole(CBZ) เพราะยาดังกล่าวเป็นยา Antithyroid drugs Ref: ชีทอ.วรนุช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2" s="46" t="n"/>
      <c r="L132" s="45" t="inlineStr">
        <is>
          <t>Diabetes mellitus</t>
        </is>
      </c>
      <c r="M132" s="46" t="inlineStr">
        <is>
          <t>Clinic</t>
        </is>
      </c>
      <c r="N132" s="45" t="inlineStr">
        <is>
          <t>ข้อ 5 (PLE_CC1_2554 SET2.md)</t>
        </is>
      </c>
      <c r="O132" s="46" t="inlineStr">
        <is>
          <t>ข้อสอบจริง</t>
        </is>
      </c>
      <c r="P132" s="46" t="inlineStr">
        <is>
          <t>ปี 2554</t>
        </is>
      </c>
    </row>
    <row r="133" ht="13.2" customHeight="1" s="37">
      <c r="A133" s="44" t="n">
        <v>131</v>
      </c>
      <c r="B133" s="45" t="inlineStr">
        <is>
          <t>หากผู้ป่วยรายนี้ได้รับยา methotrexate ซึ่งเป็นยากลุ่ม DMARDs ควรให้ยาใดเพิ่ม เพื่อลดผลข้างเคียงของยา methotrexate ?</t>
        </is>
      </c>
      <c r="C133" s="46" t="n"/>
      <c r="D133" s="45" t="inlineStr">
        <is>
          <t>omeprazole</t>
        </is>
      </c>
      <c r="E133" s="45" t="inlineStr">
        <is>
          <t>calcium carbonate</t>
        </is>
      </c>
      <c r="F133" s="45" t="inlineStr">
        <is>
          <t>folic acid</t>
        </is>
      </c>
      <c r="G133" s="45" t="inlineStr">
        <is>
          <t>vitamin K</t>
        </is>
      </c>
      <c r="H133" s="45" t="inlineStr">
        <is>
          <t>finasteride สามารถช่วยลดความรุ่นแรงของโรค rheumatoid arthritis และช่วยป้องกันการทำลายข้อได้ โดยผลข้างเคียงที่พบบ่อยในผู้ที่ใช้ยา methotrexate คือ กดไขกระดูก ภาวะโลหิตจางและผมร่วง จึงควรให้ยา folic acid เพื่อลดภาวะโลหิตจางที่เกิดจากผลข้างเคียงของยา methotrexate โครงสร้างของยาใช้ตอบคำถาในข้อ 5 และ 6</t>
        </is>
      </c>
      <c r="I133" s="44" t="inlineStr">
        <is>
          <t>3</t>
        </is>
      </c>
      <c r="J133" s="45" t="inlineStr">
        <is>
          <t>✅ คำตอบที่ถูกต้อง: ข้อ ค. folic acid
💡 Background:
การบริบาลผู้ป่วยเบาหวานชนิดที่ 2 (T2DM) เน้นควบคุม HbA1c ควบคู่กับการเลือกยาที่มี cardiorenal protection ในผู้ป่วยที่มีโรคร่วม
🎯 ทำไมข้อนี้ถึงถูก:
folic acid การเลือก folic acid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(omeprazole): Omeprazole เป็น PPI ยับยั้ง H+/K+ ATPase ปั๊มที่กระเพาะอาหาร ไม่เกี่ยวข้องกับการเสริม Folate
• ข้อ ข. (calcium carbonate): Calcium carbonate ใช้เสริมแคลเซียมและจับฟอสเฟตในเลือด ไม่ป้องกันพิษจาก Methotrexate
• ข้อ ง. (vitamin K): Vitamin K เป็น Co-factor สำหรับปัจจัยการแข็งตัวของเลือดต้านฤทธิ์ Warfarin ไม่ลดผลข้างเคียงของ DMARDs
• ข้อ จ. (finasteride สามารถช่วยลดความรุ่นแรงของโรค rheumatoid arthritis และช่วยป้องกันการทำลายข้อได้ โดยผลข้างเคียงที่พบบ่อยในผู้ที่ใช้ยา methotrexate คือ กดไขกระดูก ภาวะโลหิตจางและผมร่วง จึงควรให้ยา folic acid เพื่อลดภาวะโลหิตจางที่เกิดจากผลข้างเคียงของยา methotrexate โครงสร้างของยาใช้ตอบคำถาในข้อ 5 และ 6): Folic acid ป้องกันและลดพิษต่อไขกระดูกและเยื่อบุจากการใช้ยา Methotrexate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33" s="46" t="n"/>
      <c r="L133" s="45" t="inlineStr">
        <is>
          <t>Diabetes mellitus</t>
        </is>
      </c>
      <c r="M133" s="46" t="inlineStr">
        <is>
          <t>Clinic</t>
        </is>
      </c>
      <c r="N133" s="45" t="inlineStr">
        <is>
          <t>ข้อ 4 (PLE_CC1_2554 SET2.md)</t>
        </is>
      </c>
      <c r="O133" s="46" t="inlineStr">
        <is>
          <t>ข้อสอบจริง</t>
        </is>
      </c>
      <c r="P133" s="46" t="inlineStr">
        <is>
          <t>ปี 2554</t>
        </is>
      </c>
    </row>
    <row r="134" ht="13.2" customHeight="1" s="37">
      <c r="A134" s="44" t="n">
        <v>132</v>
      </c>
      <c r="B134" s="45" t="inlineStr">
        <is>
          <t>อาการจากต่อมไทรอยด์โต: ผู้ป่วยจะมาพบแพทย์ด้วยอาการมีก้อนที่คอหรือคอโตกว่าปกติ</t>
        </is>
      </c>
      <c r="C134" s="46" t="n"/>
      <c r="D134" s="45" t="inlineStr">
        <is>
          <t>Propylthiouracil 50 mg TID</t>
        </is>
      </c>
      <c r="E134" s="45" t="inlineStr">
        <is>
          <t>Methimazole 10 mg OD</t>
        </is>
      </c>
      <c r="F134" s="45" t="inlineStr">
        <is>
          <t>Pioglitazone 15 mg OD</t>
        </is>
      </c>
      <c r="G134" s="45" t="inlineStr">
        <is>
          <t>Insulin glargine 10 units SC HS</t>
        </is>
      </c>
      <c r="H134" s="45" t="inlineStr">
        <is>
          <t>Insulin lispro 4 units SC before meals</t>
        </is>
      </c>
      <c r="I134" s="44" t="inlineStr">
        <is>
          <t>1</t>
        </is>
      </c>
      <c r="J134"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4" s="46" t="n"/>
      <c r="L134" s="45" t="inlineStr">
        <is>
          <t>Diabetes mellitus</t>
        </is>
      </c>
      <c r="M134" s="46" t="inlineStr">
        <is>
          <t>Clinic</t>
        </is>
      </c>
      <c r="N134" s="45" t="inlineStr">
        <is>
          <t>ข้อ 1 (PLE_CC1_2554 SET2.md)</t>
        </is>
      </c>
      <c r="O134" s="46" t="inlineStr">
        <is>
          <t>ข้อสอบจริง</t>
        </is>
      </c>
      <c r="P134" s="46" t="inlineStr">
        <is>
          <t>ปี 2554</t>
        </is>
      </c>
    </row>
    <row r="135" ht="13.2" customHeight="1" s="37">
      <c r="A135" s="44" t="n">
        <v>133</v>
      </c>
      <c r="B135" s="45" t="inlineStr">
        <is>
          <t>หญิงไทยคู่ อายุ 52 ปี มีอาชีพแม่บ้าน ถูกแพทย์วินิจฉัยว่าเป็นเบาหวานชนิดที่ 2 แพทย์ทำการจ่ายยาชนิด หนึ่งให้แก่คนไข้ เมื่อเวลาผ่าน 2 เดือน คนไข้รู้สึกได้ว่าตัวเองมีน้ำหนักตัวที่เพิ่มขึ้นถึง 3.1 Kg ทั้งๆที่คนไข้กิน อาหารเหมือนเดิมในทุกๆวัน จากอาการทางคลินิกข้างต้นน่าจะเป็นอาการข้างเคียงของยาในข้อใดมาก ที่สุด 88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C135" s="46" t="n"/>
      <c r="D135" s="45" t="inlineStr">
        <is>
          <t>Insulin glargine 10 units SC HS</t>
        </is>
      </c>
      <c r="E135" s="45" t="inlineStr">
        <is>
          <t>Insulin lispro 4 units SC before meals</t>
        </is>
      </c>
      <c r="F135" s="45" t="inlineStr">
        <is>
          <t>Dapagliflozin 10 mg OD</t>
        </is>
      </c>
      <c r="G135" s="45" t="inlineStr">
        <is>
          <t>Semaglutide 0.5 mg SC weekly</t>
        </is>
      </c>
      <c r="H135" s="45" t="inlineStr">
        <is>
          <t>Metformin 500 mg BID</t>
        </is>
      </c>
      <c r="I135" s="44" t="inlineStr">
        <is>
          <t>1</t>
        </is>
      </c>
      <c r="J135"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short-acting ออกฤทธิ์คุมน้ำตาลหลังอาหาร ทำให้น้ำหนักเพิ่มได้ แต่มักจะน้อยกว่ายาที่มีฤทธิ์ basal
• ข้อ ค. (Dapagliflozin 10 mg OD): Dapagliflozin เป็นยา SGLT2 inhibitor มีผลทำให้สูญเสียกลูโคสผ่านทางปัสสาวะ จึงส่งผลให้น้ำหนักตัวลดลง ไม่ใช่น้ำหนักเพิ่ม
• ข้อ ง. (Semaglutide 0.5 mg SC weekly): Semaglutide เป็น GLP-1 receptor agonist ทำให้กระเพาะอาหารบีบตัวช้าลงและเพิ่มความอิ่ม ส่งผลให้น้ำหนักตัวลดลงอย่างมีนัยสำคัญ
• ข้อ จ. (Metformin 500 mg BID): Metformin เป็นยาลดระดับน้ำตาลที่มีผลเป็น Weight neutral หรืออาจทำให้น้ำหนักลดลงเล็กน้อย ไม่ทำให้น้ำหนักตัวเพิ่มขึ้น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5" s="46" t="n"/>
      <c r="L135" s="45" t="inlineStr">
        <is>
          <t>Diabetes mellitus</t>
        </is>
      </c>
      <c r="M135" s="46" t="inlineStr">
        <is>
          <t>Clinic</t>
        </is>
      </c>
      <c r="N135" s="45" t="inlineStr">
        <is>
          <t>ข้อ 6 (PLE_CC1_Practice_Exam.md)</t>
        </is>
      </c>
      <c r="O135" s="46" t="inlineStr">
        <is>
          <t>Mock</t>
        </is>
      </c>
      <c r="P135" s="46" t="inlineStr">
        <is>
          <t>Mock สภาเภสัชฯ Practice</t>
        </is>
      </c>
    </row>
    <row r="136" ht="13.2" customHeight="1" s="37">
      <c r="A136" s="44" t="n">
        <v>134</v>
      </c>
      <c r="B136" s="45" t="inlineStr">
        <is>
          <t>ยาใดต่อไปนี้สามารถใช้ในหญิง Hyperthyroidism ที่ตั้งครรภ์ได้</t>
        </is>
      </c>
      <c r="C136" s="46" t="n"/>
      <c r="D136" s="45" t="inlineStr">
        <is>
          <t>Propylthyouracil (PTU)</t>
        </is>
      </c>
      <c r="E136" s="45" t="inlineStr">
        <is>
          <t>Methimazole</t>
        </is>
      </c>
      <c r="F136" s="45" t="inlineStr">
        <is>
          <t>Levothyroxine</t>
        </is>
      </c>
      <c r="G136" s="45" t="inlineStr">
        <is>
          <t>ข้อ ก, ข ถูก</t>
        </is>
      </c>
      <c r="H136" s="45" t="inlineStr">
        <is>
          <t>ข้อ ก,ข,ค ถูก</t>
        </is>
      </c>
      <c r="I136" s="44" t="inlineStr">
        <is>
          <t>1</t>
        </is>
      </c>
      <c r="J136" s="45" t="inlineStr">
        <is>
          <t>✅ คำตอบที่ถูกต้อง: ข้อ ก. Propylthyouracil (PTU)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Propylthyouracil (PTU) การเลือก Propylthyouracil (PTU)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Methimazole มีความเสี่ยงในการเกิด Aplasia cutis และ Choanal atresia ในทารก จึงควรหลีกเลี่ยงในไตรมาสแรกของการตั้งครรภ์
• ข้อ ค. (Levothyroxine): Levothyroxine เป็นยารักษา Hypothyroidism ไม่ใช่สำหรับการรักษา Hyperthyroidism ในหญิงตั้งครรภ์
• ข้อ ง. (ข้อ ก, ข ถูก): ตัวเลือกนี้ผิดเนื่องจาก Methimazole ควรหลีกเลี่ยงในไตรมาสแรกของการตั้งครรภ์
• ข้อ จ. (ข้อ ก,ข,ค ถูก): ผิดทั้งหมดเนื่องจากมีตัวเลือกที่ไม่เหมาะสมคือ Methimazole และ Levothyroxine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6" s="46" t="n"/>
      <c r="L136" s="45" t="inlineStr">
        <is>
          <t>Diabetes mellitus</t>
        </is>
      </c>
      <c r="M136" s="46" t="inlineStr">
        <is>
          <t>Clinic</t>
        </is>
      </c>
      <c r="N136" s="45" t="inlineStr">
        <is>
          <t>ข้อ 24 (PLE_CC1_Practice_Exam.md)</t>
        </is>
      </c>
      <c r="O136" s="46" t="inlineStr">
        <is>
          <t>Mock</t>
        </is>
      </c>
      <c r="P136" s="46" t="inlineStr">
        <is>
          <t>Mock สภาเภสัชฯ Practice</t>
        </is>
      </c>
    </row>
    <row r="137" ht="13.2" customHeight="1" s="37">
      <c r="A137" s="44" t="n">
        <v>135</v>
      </c>
      <c r="B137" s="45" t="inlineStr">
        <is>
          <t>ข้อใดไม่ใช่อาการข้างเคียงที่เกิดขึ้นถ้าผู้ป่วยที่มีภาวะขาดไทรอยด์ ได้รับยา Levothyroxine ที่มีขนาดสูง เกินไป</t>
        </is>
      </c>
      <c r="C137" s="46" t="n"/>
      <c r="D137" s="45" t="inlineStr">
        <is>
          <t>น้ำหนักตัวเพิ่ม</t>
        </is>
      </c>
      <c r="E137" s="45" t="inlineStr">
        <is>
          <t>ทนร้อนไม่ได้</t>
        </is>
      </c>
      <c r="F137" s="45" t="inlineStr">
        <is>
          <t>หัวใจเต้นเร็ว</t>
        </is>
      </c>
      <c r="G137" s="45" t="inlineStr">
        <is>
          <t>กระดูกบาง</t>
        </is>
      </c>
      <c r="H137" s="45" t="inlineStr">
        <is>
          <t>ชัก</t>
        </is>
      </c>
      <c r="I137" s="44" t="inlineStr">
        <is>
          <t>1</t>
        </is>
      </c>
      <c r="J137" s="45" t="inlineStr">
        <is>
          <t>✅ คำตอบที่ถูกต้อง: ข้อ ก. น้ำหนักตัวเพิ่ม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น้ำหนักตัวเพิ่ม การเลือก น้ำหนักตัวเพิ่ม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(ทนร้อนไม่ได้): ทนร้อนไม่ได้ (Heat intolerance) เป็นอาการของภาวะ Hyperthyroidism (Thyrotoxicosis) ที่เกิดจากการได้รับยาเกินขนาด
• ข้อ ค. (หัวใจเต้นเร็ว): หัวใจเต้นเร็ว (Tachycardia) เป็นผลจากฤทธิ์กระตุ้นระบบประสาทซิมพาเทติกเมื่อมีไทรอยด์ฮอร์โมนสูงเกิน
• ข้อ ง. (กระดูกบาง): กระดูกบาง (Osteoporosis) เป็นผลข้างเคียงระยะยาวจากการได้รับ Levothyroxine ขนาดสูงจนกด TSH นานๆ
• ข้อ จ. (ชัก): ชัก (Seizure) สามารถถูกกระตุ้นได้จากภาวะ Severe thyrotoxicosis หรือ Thyroid storm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7" s="46" t="n"/>
      <c r="L137" s="45" t="inlineStr">
        <is>
          <t>Diabetes mellitus</t>
        </is>
      </c>
      <c r="M137" s="46" t="inlineStr">
        <is>
          <t>Clinic</t>
        </is>
      </c>
      <c r="N137" s="45" t="inlineStr">
        <is>
          <t>ข้อ 25 (PLE_CC1_Practice_Exam.md)</t>
        </is>
      </c>
      <c r="O137" s="46" t="inlineStr">
        <is>
          <t>Mock</t>
        </is>
      </c>
      <c r="P137" s="46" t="inlineStr">
        <is>
          <t>Mock สภาเภสัชฯ Practice</t>
        </is>
      </c>
    </row>
    <row r="138" ht="13.2" customHeight="1" s="37">
      <c r="A138" s="44" t="n">
        <v>136</v>
      </c>
      <c r="B138" s="45" t="inlineStr">
        <is>
          <t>ข้อใดไม่ใช่อาการหรืออาการแสดงของภาวะ Hypothyroidism</t>
        </is>
      </c>
      <c r="C138" s="46" t="n"/>
      <c r="D138" s="45" t="inlineStr">
        <is>
          <t>Bradycardia</t>
        </is>
      </c>
      <c r="E138" s="45" t="inlineStr">
        <is>
          <t>ทนต่อความเย็นไม่ได้</t>
        </is>
      </c>
      <c r="F138" s="45" t="inlineStr">
        <is>
          <t>ซึมเศร้า อ่อนเพลีย</t>
        </is>
      </c>
      <c r="G138" s="45" t="inlineStr">
        <is>
          <t>ผิวหนังแห้ง</t>
        </is>
      </c>
      <c r="H138" s="45" t="inlineStr">
        <is>
          <t>น้ำหนักลด</t>
        </is>
      </c>
      <c r="I138" s="44" t="inlineStr">
        <is>
          <t>1</t>
        </is>
      </c>
      <c r="J138" s="45" t="inlineStr">
        <is>
          <t>✅ คำตอบที่ถูกต้อง: ข้อ ก. Bradycardia
💡 Background:
การบริบาลผู้ป่วยเบาหวานชนิดที่ 2 (T2DM) เน้นควบคุม HbA1c ควบคู่กับการเลือกยาที่มี cardiorenal protection ในผู้ป่วยที่มีโรคร่วม
🎯 ทำไมข้อนี้ถึงถูก:
Bradycardia การเลือก Bradycardia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(ทนต่อความเย็นไม่ได้): ทนต่อความเย็นไม่ได้ (Cold intolerance) เป็นอาการที่พบใน Hypothyroidism เนื่องจากอัตราการเผาผลาญพื้นฐานต่ำลง
• ข้อ ค. (ซึมเศร้า อ่อนเพลีย): ซึมเศร้า อ่อนเพลีย เป็นอาการทางประสาทที่พบได้จากภาวะฮอร์โมนไทรอยด์ต่ำ
• ข้อ ง. (ผิวหนังแห้ง): ผิวหนังแห้ง เป็นอาการแสดงคลาสสิกของ Hypothyroidism จากการลดลงของการไหลเวียนเลือดที่ผิวหนัง
• ข้อ จ. (น้ำหนักลด): น้ำหนักลด เป็นอาการของ Hyperthyroidism (Thyrotoxicosis) ผู้ป่วย Hypothyroidism มักจะมีน้ำหนักตัวเพิ่มขึ้น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8" s="46" t="n"/>
      <c r="L138" s="45" t="inlineStr">
        <is>
          <t>Diabetes mellitus</t>
        </is>
      </c>
      <c r="M138" s="46" t="inlineStr">
        <is>
          <t>Clinic</t>
        </is>
      </c>
      <c r="N138" s="45" t="inlineStr">
        <is>
          <t>ข้อ 26 (PLE_CC1_Practice_Exam.md)</t>
        </is>
      </c>
      <c r="O138" s="46" t="inlineStr">
        <is>
          <t>Mock</t>
        </is>
      </c>
      <c r="P138" s="46" t="inlineStr">
        <is>
          <t>Mock สภาเภสัชฯ Practice</t>
        </is>
      </c>
    </row>
    <row r="139" ht="13.2" customHeight="1" s="37">
      <c r="A139" s="44" t="n">
        <v>137</v>
      </c>
      <c r="B139" s="45" t="inlineStr">
        <is>
          <t>ยา Levothyroxine เป็น L-isomer ของ T4 ที่ได้จากการสังเคราะห์ได้มีการนำมาใช้ในการรักษาภาวะ Hypothyroidism ซึ่งยาตัวใดต่อไปนี้ มีผลในการเร่งการทำลายของ T4 ทำให้ผลการรักษาลดลง</t>
        </is>
      </c>
      <c r="C139" s="46" t="n"/>
      <c r="D139" s="45" t="inlineStr">
        <is>
          <t>Ferrous sulfate</t>
        </is>
      </c>
      <c r="E139" s="45" t="inlineStr">
        <is>
          <t>Sucralfate</t>
        </is>
      </c>
      <c r="F139" s="45" t="inlineStr">
        <is>
          <t>Phenytoin</t>
        </is>
      </c>
      <c r="G139" s="45" t="inlineStr">
        <is>
          <t>Cholestyramine</t>
        </is>
      </c>
      <c r="H139" s="45" t="inlineStr">
        <is>
          <t>Sodium polystyrene sulfonate</t>
        </is>
      </c>
      <c r="I139" s="44" t="inlineStr">
        <is>
          <t>1</t>
        </is>
      </c>
      <c r="J139" s="45" t="inlineStr">
        <is>
          <t>✅ คำตอบที่ถูกต้อง: ข้อ ก. Ferrous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Ferrous sulfate การเลือก Ferrous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(Sucralfate): Sucralfate ออกฤทธิ์ขัดขวางการดูดซึม (absorption) ของ Levothyroxine ที่ทางเดินอาหาร ไม่ได้เร่งการทำลายยา
• ข้อ ค. (Phenytoin): Phenytoin เป็น CYP450 inducer ซึ่งจะไปเร่งกระบวนการ Metabolism (การทำลาย) ของฮอร์โมน T4 ทำให้ระดับฮอร์โมนลดลง
• ข้อ ง. (Cholestyramine): Cholestyramine เป็น Bile acid sequestrant ขัดขวางการดูดซึมของฮอร์โมน T4 ในลำไส้
• ข้อ จ. (Sodium polystyrene sulfonate): Sodium polystyrene sulfonate ขัดขวางการดูดซึม T4 จากทางเดินอาหาร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9" s="46" t="n"/>
      <c r="L139" s="45" t="inlineStr">
        <is>
          <t>Diabetes mellitus</t>
        </is>
      </c>
      <c r="M139" s="46" t="inlineStr">
        <is>
          <t>Clinic</t>
        </is>
      </c>
      <c r="N139" s="45" t="inlineStr">
        <is>
          <t>ข้อ 27 (PLE_CC1_Practice_Exam.md)</t>
        </is>
      </c>
      <c r="O139" s="46" t="inlineStr">
        <is>
          <t>Mock</t>
        </is>
      </c>
      <c r="P139" s="46" t="inlineStr">
        <is>
          <t>Mock สภาเภสัชฯ Practice</t>
        </is>
      </c>
    </row>
    <row r="140" ht="13.2" customHeight="1" s="37">
      <c r="A140" s="44" t="n">
        <v>138</v>
      </c>
      <c r="B140" s="45" t="inlineStr">
        <is>
          <t>ข้อใดควรให้ก่อนผ่าตัดต่อมไทรอยด์เพื่อลดเลือดที่มาเลี้ยงต่อมไทรอยด์</t>
        </is>
      </c>
      <c r="C140" s="46" t="n"/>
      <c r="D140" s="45" t="inlineStr">
        <is>
          <t>Propylthiouracil</t>
        </is>
      </c>
      <c r="E140" s="45" t="inlineStr">
        <is>
          <t>Methimazole</t>
        </is>
      </c>
      <c r="F140" s="45" t="inlineStr">
        <is>
          <t>KI solution</t>
        </is>
      </c>
      <c r="G140" s="45" t="inlineStr">
        <is>
          <t>Propranolol</t>
        </is>
      </c>
      <c r="H140" s="45" t="inlineStr">
        <is>
          <t>Radioactive iodine</t>
        </is>
      </c>
      <c r="I140" s="44" t="inlineStr">
        <is>
          <t>1</t>
        </is>
      </c>
      <c r="J140" s="45" t="inlineStr">
        <is>
          <t>✅ คำตอบที่ถูกต้อง: ข้อ ก. Propylthiouracil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Methimazole ยับยั้งการสังเคราะห์ฮอร์โมน แต่ไม่ได้ช่วยลดขนาดและเลือดที่มาเลี้ยงต่อมไทรอยด์ก่อนการผ่าตัด
• ข้อ ง. (Propranolol): Propranolol ใช้เพื่อควบคุมอาการใจสั่น (Sympathetic overactivity) ไม่มีผลลด Vascularity ของต่อมไทรอยด์
• ข้อ จ. (Radioactive iodine): Radioactive iodine ใช้ทำลายเนื้อเยื่อไทรอยด์ ไม่ใช่ยาสำหรับเตรียมผ่าตัด (Preoperative preparation)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40" s="46" t="n"/>
      <c r="L140" s="45" t="inlineStr">
        <is>
          <t>Diabetes mellitus</t>
        </is>
      </c>
      <c r="M140" s="46" t="inlineStr">
        <is>
          <t>Clinic</t>
        </is>
      </c>
      <c r="N140" s="45" t="inlineStr">
        <is>
          <t>ข้อ 31 (PLE_CC1_Practice_Exam.md)</t>
        </is>
      </c>
      <c r="O140" s="46" t="inlineStr">
        <is>
          <t>Mock</t>
        </is>
      </c>
      <c r="P140" s="46" t="inlineStr">
        <is>
          <t>Mock สภาเภสัชฯ Practice</t>
        </is>
      </c>
    </row>
    <row r="141" ht="13.2" customHeight="1" s="37">
      <c r="A141" s="44" t="n">
        <v>139</v>
      </c>
      <c r="B141" s="45" t="inlineStr">
        <is>
          <t>ยาในข้อใดควรใช้รักษาใน ผู้ป่วยหญิงให้นมบุตรที่เป็นไทรอยด์พิษ</t>
        </is>
      </c>
      <c r="C141" s="46" t="n"/>
      <c r="D141" s="45" t="inlineStr">
        <is>
          <t>Methimazole</t>
        </is>
      </c>
      <c r="E141" s="45" t="inlineStr">
        <is>
          <t>Propylthiouracil</t>
        </is>
      </c>
      <c r="F141" s="45" t="inlineStr">
        <is>
          <t>Radioactive iodine</t>
        </is>
      </c>
      <c r="G141" s="45" t="inlineStr">
        <is>
          <t>ข้อ ก,ข สามารถใช้ได้ 96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H141" s="45" t="inlineStr">
        <is>
          <t>ยาทุกข้อสามารถใช้ได้</t>
        </is>
      </c>
      <c r="I141" s="44" t="inlineStr">
        <is>
          <t>1</t>
        </is>
      </c>
      <c r="J141" s="45" t="inlineStr">
        <is>
          <t>✅ คำตอบที่ถูกต้อง: ข้อ ก. Methimazole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การเลือก Methimazole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(Propylthiouracil): Propylthiouracil (PTU) ขับออกทางน้ำนมในปริมาณน้อย สามารถใช้ได้ แต่ตาม Guidelines ปัจจุบันมักใช้เป็นทางเลือกรองเนื่องจากเสี่ยงต่อภาวะตับวายรุนแรง
• ข้อ ค. (Radioactive iodine): Radioactive iodine (I-131) มีข้อห้ามใช้เด็ดขาดในสตรีให้นมบุตร เนื่องจากจะถูกขับออกทางน้ำนมและทำลายต่อมไทรอยด์ของทารก
• ข้อ ง. (ข้อ ก,ข สามารถใช้ได้ 96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ตาม Guidelines ปัจจุบัน Methimazole ถือเป็นยาทางเลือกแรกในสตรีให้นมบุตร (ที่ขนาดน้อยกว่า 20 mg/day) เพื่อลดความเสี่ยง Hepatotoxicity จาก PTU
• ข้อ จ. (ยาทุกข้อสามารถใช้ได้): I-131 ห้ามใช้ในหญิงให้นมบุตรอย่างเด็ดขาด จึงไม่สามารถใช้ได้ทุกข้อ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1" s="46" t="n"/>
      <c r="L141" s="45" t="inlineStr">
        <is>
          <t>Diabetes mellitus</t>
        </is>
      </c>
      <c r="M141" s="46" t="inlineStr">
        <is>
          <t>Clinic</t>
        </is>
      </c>
      <c r="N141" s="45" t="inlineStr">
        <is>
          <t>ข้อ 32 (PLE_CC1_Practice_Exam.md)</t>
        </is>
      </c>
      <c r="O141" s="46" t="inlineStr">
        <is>
          <t>Mock</t>
        </is>
      </c>
      <c r="P141" s="46" t="inlineStr">
        <is>
          <t>Mock สภาเภสัชฯ Practice</t>
        </is>
      </c>
    </row>
    <row r="142" ht="13.2" customHeight="1" s="37">
      <c r="A142" s="44" t="n">
        <v>140</v>
      </c>
      <c r="B142" s="45" t="inlineStr">
        <is>
          <t>ตอบ ก. กลไกการออกฤทธิ์ของยา คือ กระตุ้น PPAR-γ receptor ในเซลล์ไขมัน จากรูป โครงสร้างดังกล่าวเป็นโครงสร้างของ Pioglitazone ซึ่งเป็นยาในกลุ่มของ Thiazolidinedione ซึ่งมี กลไกการลดระดับน้ำตาลโดย กระตุ้น PPAR-γ receptor ในเซลล์ไขมันและกล้ามเนื้อ ส่งผลให้การออกฤทธิ์ ของ Insulin ดีขึ้น ข้อ ข. ผิด เนื่องจาก โครงสร้างในวง B มีความสำคัญต่อการออกฤทธิ์ ข้อ ค. ผิด เนื่องจากกลไกการกระตุ้นการหลั่งอินซูลิน เป็นกลไกของยากลุ่ม Sulfonylurea และ Meglitinide ข้อ ง. ผิด เนื่องจากยา Pioglitazone มีผลต่อระดับน้ำตาลในเลือด และ Pioglitazone จัดอยู่ใน Category C ซึ่งทดสอบในสัตว์แล้วว่ามีผลต่อทารกในครรภ์สัตว์ แต่ไม่มีการทดสอบในมนุษย์</t>
        </is>
      </c>
      <c r="C142" s="46" t="n"/>
      <c r="D142" s="45" t="inlineStr">
        <is>
          <t>Liraglutide 1.2 mg SC OD</t>
        </is>
      </c>
      <c r="E142" s="45" t="inlineStr">
        <is>
          <t>Levothyroxine 50 mcg OD</t>
        </is>
      </c>
      <c r="F142" s="45" t="inlineStr">
        <is>
          <t>Propylthiouracil 50 mg TID</t>
        </is>
      </c>
      <c r="G142" s="45" t="inlineStr">
        <is>
          <t>Methimazole 10 mg OD</t>
        </is>
      </c>
      <c r="H142" s="45" t="inlineStr">
        <is>
          <t>Pioglitazone 15 mg OD</t>
        </is>
      </c>
      <c r="I142" s="44" t="inlineStr">
        <is>
          <t>1</t>
        </is>
      </c>
      <c r="J142"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42" s="46" t="n"/>
      <c r="L142" s="45" t="inlineStr">
        <is>
          <t>Diabetes mellitus</t>
        </is>
      </c>
      <c r="M142" s="46" t="inlineStr">
        <is>
          <t>Clinic</t>
        </is>
      </c>
      <c r="N142" s="45" t="inlineStr">
        <is>
          <t>ข้อ 1 (PLE_CC1_Practice_Exam.md)</t>
        </is>
      </c>
      <c r="O142" s="46" t="inlineStr">
        <is>
          <t>Mock</t>
        </is>
      </c>
      <c r="P142" s="46" t="inlineStr">
        <is>
          <t>Mock สภาเภสัชฯ Practice</t>
        </is>
      </c>
    </row>
    <row r="143" ht="13.2" customHeight="1" s="37">
      <c r="A143" s="44" t="n">
        <v>141</v>
      </c>
      <c r="B143" s="45" t="inlineStr">
        <is>
          <t>ตอบ ข. ผู้ป่วยรายนี้มี Free thyroxin index (FTI) เพิ่มขึ้น เนื่องจาก TBG เปลี่ยนแปลงไป ระดับของ Free thyroxin index (FTI) คำนวณได้จาก total thyroxine and thyroid binding capacity (T-uptake) ดังนั้นแม้ว่าระดับของ TBG จะเพิ่มขึ้น ก็ไม่มีผลต่อระดับของ Free thyroxin index (FTI) มากนัก</t>
        </is>
      </c>
      <c r="C143" s="46" t="n"/>
      <c r="D143" s="45" t="inlineStr">
        <is>
          <t>Methimazole 10 mg OD</t>
        </is>
      </c>
      <c r="E143" s="45" t="inlineStr">
        <is>
          <t>Pioglitazone 15 mg OD</t>
        </is>
      </c>
      <c r="F143" s="45" t="inlineStr">
        <is>
          <t>Insulin glargine 10 units SC HS</t>
        </is>
      </c>
      <c r="G143" s="45" t="inlineStr">
        <is>
          <t>Insulin lispro 4 units SC before meals</t>
        </is>
      </c>
      <c r="H143" s="45" t="inlineStr">
        <is>
          <t>Dapagliflozin 10 mg OD</t>
        </is>
      </c>
      <c r="I143" s="44" t="inlineStr">
        <is>
          <t>1</t>
        </is>
      </c>
      <c r="J143"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3" s="46" t="n"/>
      <c r="L143" s="45" t="inlineStr">
        <is>
          <t>Diabetes mellitus</t>
        </is>
      </c>
      <c r="M143" s="46" t="inlineStr">
        <is>
          <t>Clinic</t>
        </is>
      </c>
      <c r="N143" s="45" t="inlineStr">
        <is>
          <t>ข้อ 17 (PLE_CC1_Practice_Exam.md)</t>
        </is>
      </c>
      <c r="O143" s="46" t="inlineStr">
        <is>
          <t>Mock</t>
        </is>
      </c>
      <c r="P143" s="46" t="inlineStr">
        <is>
          <t>Mock สภาเภสัชฯ Practice</t>
        </is>
      </c>
    </row>
    <row r="144" ht="13.2" customHeight="1" s="37">
      <c r="A144" s="44" t="n">
        <v>142</v>
      </c>
      <c r="B144" s="45" t="inlineStr">
        <is>
          <t>ตอบ ข. มีอาการท้องเสีย หงุดหงิดง่าย เหงื่อออกมาก เนื่องจาก เป็นอาการของ Hyperthyroid</t>
        </is>
      </c>
      <c r="C144" s="46" t="n"/>
      <c r="D144" s="45" t="inlineStr">
        <is>
          <t>ผิดตรงน้ำหนักเพิ่ม</t>
        </is>
      </c>
      <c r="E144" s="45" t="inlineStr">
        <is>
          <t>และง.ผิด Graves’ disease คือ สาเหตุหลัก ส่วน Hashimoto’s thyroiditis คือสาเหตุหลักของ hypothyroidism</t>
        </is>
      </c>
      <c r="F144" s="45" t="inlineStr">
        <is>
          <t>ผิดพบในเพศหญิงมากกว่าเพศชาย</t>
        </is>
      </c>
      <c r="G144" s="45" t="inlineStr">
        <is>
          <t>Metformin 500 mg BID</t>
        </is>
      </c>
      <c r="H144" s="45" t="inlineStr">
        <is>
          <t>Glipizide 5 mg OD</t>
        </is>
      </c>
      <c r="I144" s="44" t="inlineStr">
        <is>
          <t>1</t>
        </is>
      </c>
      <c r="J144" s="45" t="inlineStr">
        <is>
          <t>✅ คำตอบที่ถูกต้อง: ข้อ ก. ผิดตรงน้ำหนักเพิ่ม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ผิดตรงน้ำหนักเพิ่ม การเลือก ผิดตรงน้ำหนักเพิ่ม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(และง.ผิด Graves’ disease คือ สาเหตุหลัก ส่วน Hashimoto’s thyroiditis คือสาเหตุหลักของ hypothyroidism): ตัวเลือกนี้ไม่ได้มีกลไกทางเภสัชวิทยาหรือข้อบ่งใช้ที่ตรงกับพยาธิสภาพทางคลินิกที่ระบุในโจทย์ข้อนี้
• ข้อ ค. (ผิดพบในเพศหญิงมากกว่าเพศชาย): ตัวเลือกนี้ไม่ได้มีกลไกทางเภสัชวิทยาหรือข้อบ่งใช้ที่ตรงกับพยาธิสภาพทางคลินิกที่ระบุในโจทย์ข้อนี้
• ข้อ ง. (Metformin 500 mg BID): Metformin ออกฤทธิ์ยับยั้ง Gluconeogenesis ที่ตับ ไม่ทำให้น้ำหนักเพิ่ม และเป็น First-line drug สำหรับเบาหวานชนิดที่ 2
• ข้อ จ. (Glipizide 5 mg OD): Glipizide เป็นยากลุ่ม Sulfonylurea ที่ออกฤทธิ์ปิด K-ATP channel บนเบต้าเซลล์ ทำให้กระตุ้นการหลั่งอินซูลิน ใช้สำหรับเบาหวานชนิดที่ 2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4" s="46" t="n"/>
      <c r="L144" s="45" t="inlineStr">
        <is>
          <t>Diabetes mellitus</t>
        </is>
      </c>
      <c r="M144" s="46" t="inlineStr">
        <is>
          <t>Clinic</t>
        </is>
      </c>
      <c r="N144" s="45" t="inlineStr">
        <is>
          <t>ข้อ 21 (PLE_CC1_Practice_Exam.md)</t>
        </is>
      </c>
      <c r="O144" s="46" t="inlineStr">
        <is>
          <t>Mock</t>
        </is>
      </c>
      <c r="P144" s="46" t="inlineStr">
        <is>
          <t>Mock สภาเภสัชฯ Practice</t>
        </is>
      </c>
    </row>
    <row r="145" ht="13.2" customHeight="1" s="37">
      <c r="A145" s="44" t="n">
        <v>143</v>
      </c>
      <c r="B145" s="45" t="inlineStr">
        <is>
          <t>ตอบ จ. น้ำหนักลด อาการของ Hypothyroidism คือ น้ำหนักเพิ่ม อ่อนเพลีย ขี้หนาว ซึมเศร้า ผิวแห้ง ผมบาง ท้องผูก เป็นต้น ซึ่ง น้ำหนักลดไม่ใช่อาการแสดงของคน Hypothyroidism</t>
        </is>
      </c>
      <c r="C145" s="46" t="n"/>
      <c r="D145" s="45" t="inlineStr">
        <is>
          <t>Metformin 500 mg BID</t>
        </is>
      </c>
      <c r="E145" s="45" t="inlineStr">
        <is>
          <t>Glipizide 5 mg OD</t>
        </is>
      </c>
      <c r="F145" s="45" t="inlineStr">
        <is>
          <t>Empagliflozin 10 mg OD</t>
        </is>
      </c>
      <c r="G145" s="45" t="inlineStr">
        <is>
          <t>Sitagliptin 100 mg OD</t>
        </is>
      </c>
      <c r="H145" s="45" t="inlineStr">
        <is>
          <t>Liraglutide 1.2 mg SC OD</t>
        </is>
      </c>
      <c r="I145" s="44" t="inlineStr">
        <is>
          <t>1</t>
        </is>
      </c>
      <c r="J145" s="45"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45" s="46" t="n"/>
      <c r="L145" s="45" t="inlineStr">
        <is>
          <t>Diabetes mellitus</t>
        </is>
      </c>
      <c r="M145" s="46" t="inlineStr">
        <is>
          <t>Clinic</t>
        </is>
      </c>
      <c r="N145" s="45" t="inlineStr">
        <is>
          <t>ข้อ 26 (PLE_CC1_Practice_Exam.md)</t>
        </is>
      </c>
      <c r="O145" s="46" t="inlineStr">
        <is>
          <t>Mock</t>
        </is>
      </c>
      <c r="P145" s="46" t="inlineStr">
        <is>
          <t>Mock สภาเภสัชฯ Practice</t>
        </is>
      </c>
    </row>
    <row r="146" ht="13.2" customHeight="1" s="37">
      <c r="A146" s="44" t="n">
        <v>144</v>
      </c>
      <c r="B146" s="45" t="inlineStr">
        <is>
          <t>ตอบ ค. Myxedema พัฒนาขึ้นเฉพาะในคนที่เป็นโรค Hypothyroidism ซึ่งเกิดจากต่อมไทรอยด์ทำงานน้อยผิดปกติ</t>
        </is>
      </c>
      <c r="C146" s="46" t="n"/>
      <c r="D146" s="45" t="inlineStr">
        <is>
          <t>Sitagliptin 100 mg OD</t>
        </is>
      </c>
      <c r="E146" s="45" t="inlineStr">
        <is>
          <t>Liraglutide 1.2 mg SC OD</t>
        </is>
      </c>
      <c r="F146" s="45" t="inlineStr">
        <is>
          <t>Levothyroxine 50 mcg OD</t>
        </is>
      </c>
      <c r="G146" s="45" t="inlineStr">
        <is>
          <t>Propylthiouracil 50 mg TID</t>
        </is>
      </c>
      <c r="H146" s="45" t="inlineStr">
        <is>
          <t>Methimazole 10 mg OD</t>
        </is>
      </c>
      <c r="I146" s="44" t="inlineStr">
        <is>
          <t>1</t>
        </is>
      </c>
      <c r="J146" s="45"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46" s="46" t="n"/>
      <c r="L146" s="45" t="inlineStr">
        <is>
          <t>Diabetes mellitus</t>
        </is>
      </c>
      <c r="M146" s="46" t="inlineStr">
        <is>
          <t>Clinic</t>
        </is>
      </c>
      <c r="N146" s="45" t="inlineStr">
        <is>
          <t>ข้อ 28 (PLE_CC1_Practice_Exam.md)</t>
        </is>
      </c>
      <c r="O146" s="46" t="inlineStr">
        <is>
          <t>Mock</t>
        </is>
      </c>
      <c r="P146" s="46" t="inlineStr">
        <is>
          <t>Mock สภาเภสัชฯ Practice</t>
        </is>
      </c>
    </row>
    <row r="147" ht="13.2" customHeight="1" s="37">
      <c r="A147" s="44" t="n">
        <v>145</v>
      </c>
      <c r="B147" s="45" t="inlineStr">
        <is>
          <t>ตอบ ง. ไทรอยด์ อาการที่พบได้มากที่สุดในคนที่มีอาการไทรอยด์เป็นพิษคือ อาการคอพอก ซึ่งเป็นอาการที่ต่อม ไทรอยด์โตขึ้น เห็นก้อนขนาดใหญ่ที่บริเวณคอ</t>
        </is>
      </c>
      <c r="C147" s="46" t="n"/>
      <c r="D147" s="45" t="inlineStr">
        <is>
          <t>Propylthiouracil 50 mg TID</t>
        </is>
      </c>
      <c r="E147" s="45" t="inlineStr">
        <is>
          <t>Methimazole 10 mg OD</t>
        </is>
      </c>
      <c r="F147" s="45" t="inlineStr">
        <is>
          <t>Pioglitazone 15 mg OD</t>
        </is>
      </c>
      <c r="G147" s="45" t="inlineStr">
        <is>
          <t>Insulin glargine 10 units SC HS</t>
        </is>
      </c>
      <c r="H147" s="45" t="inlineStr">
        <is>
          <t>Insulin lispro 4 units SC before meals</t>
        </is>
      </c>
      <c r="I147" s="44" t="inlineStr">
        <is>
          <t>1</t>
        </is>
      </c>
      <c r="J147"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47" s="46" t="n"/>
      <c r="L147" s="45" t="inlineStr">
        <is>
          <t>Diabetes mellitus</t>
        </is>
      </c>
      <c r="M147" s="46" t="inlineStr">
        <is>
          <t>Clinic</t>
        </is>
      </c>
      <c r="N147" s="45" t="inlineStr">
        <is>
          <t>ข้อ 29 (PLE_CC1_Practice_Exam.md)</t>
        </is>
      </c>
      <c r="O147" s="46" t="inlineStr">
        <is>
          <t>Mock</t>
        </is>
      </c>
      <c r="P147" s="46" t="inlineStr">
        <is>
          <t>Mock สภาเภสัชฯ Practice</t>
        </is>
      </c>
    </row>
    <row r="148" ht="13.2" customHeight="1" s="37">
      <c r="A148" s="44" t="n">
        <v>146</v>
      </c>
      <c r="B148" s="45" t="inlineStr">
        <is>
          <t>โรคตา หู จมูก คอ โดย นิสิตเภสัชชั้นป๊ที่ 4 รุ่นที่ 15 ร่วมกับ ฝ่ายวิชาการและวิชาชีพ สโมสรนิสิตคณะเภสัชศาสตร์ มหาวิทยาลัยมหาสารคาม จากกรณีศึกษาต่อไปนี้ จงตอบคำถามข้อ 1-2 ผู้ป่วยชายไทยคู่ อายุ 55 ปี มาพบแพทย์ด้วยอาการเคืองตา น้ำตาไหลเจ็บตาไม่คัน ตาพร่ามองไม่ชัด มีขี้ตาสีเหลืองเขียว โดยมีอาการทั้งสองข้างเป็นมาแล้ว 3 วันผู้ป่วยมีโรคประจำตัวคือ โรคเบาหวานชนิดที่2 (Diabetic mellitus type 2;DM) อาการของผู้ป่วยข้างต้นเข้าได้กับโรค Bacterial conjunctivitis</t>
        </is>
      </c>
      <c r="C148" s="46" t="n"/>
      <c r="D148" s="45" t="inlineStr">
        <is>
          <t>Insulin glargine 10 units SC HS</t>
        </is>
      </c>
      <c r="E148" s="45" t="inlineStr">
        <is>
          <t>Insulin lispro 4 units SC before meals</t>
        </is>
      </c>
      <c r="F148" s="45" t="inlineStr">
        <is>
          <t>Dapagliflozin 10 mg OD</t>
        </is>
      </c>
      <c r="G148" s="45" t="inlineStr">
        <is>
          <t>Semaglutide 0.5 mg SC weekly</t>
        </is>
      </c>
      <c r="H148" s="45" t="inlineStr">
        <is>
          <t>Metformin 500 mg BID</t>
        </is>
      </c>
      <c r="I148" s="44" t="inlineStr">
        <is>
          <t>1</t>
        </is>
      </c>
      <c r="J148"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8" s="46" t="n"/>
      <c r="L148" s="45" t="inlineStr">
        <is>
          <t>Diabetes mellitus</t>
        </is>
      </c>
      <c r="M148" s="46" t="inlineStr">
        <is>
          <t>Clinic</t>
        </is>
      </c>
      <c r="N148" s="45" t="inlineStr">
        <is>
          <t>ข้อ 8 (PLE_CC1_Practice_Exam.md)</t>
        </is>
      </c>
      <c r="O148" s="46" t="inlineStr">
        <is>
          <t>Mock</t>
        </is>
      </c>
      <c r="P148" s="46" t="inlineStr">
        <is>
          <t>Mock สภาเภสัชฯ Practice</t>
        </is>
      </c>
    </row>
    <row r="149" ht="13.2" customHeight="1" s="37">
      <c r="A149" s="44" t="n">
        <v>147</v>
      </c>
      <c r="B149" s="45" t="inlineStr">
        <is>
          <t>สามปีต่อมา ผู้ป่วยมาพบแพทย์ตามนัดในคลินิก DM ได้รับการวินิจฉัยว่าเป็น Open angle glaucoma ยา ในข้อใดที่มีกลไกการออกฤทธิ์ที่ใช้ในการรักษา Open angle glaucoma ต่างจากข้ออื่น</t>
        </is>
      </c>
      <c r="C149" s="46" t="n"/>
      <c r="D149" s="45" t="inlineStr">
        <is>
          <t>Timolol</t>
        </is>
      </c>
      <c r="E149" s="45" t="inlineStr">
        <is>
          <t>Pilocarpine</t>
        </is>
      </c>
      <c r="F149" s="45" t="inlineStr">
        <is>
          <t>Acetazolamide</t>
        </is>
      </c>
      <c r="G149" s="45" t="inlineStr">
        <is>
          <t>Betaxolol</t>
        </is>
      </c>
      <c r="H149" s="45" t="inlineStr">
        <is>
          <t>Brimonidine</t>
        </is>
      </c>
      <c r="I149" s="44" t="inlineStr">
        <is>
          <t>1</t>
        </is>
      </c>
      <c r="J149" s="45" t="inlineStr">
        <is>
          <t>✅ คำตอบที่ถูกต้อง: ข้อ ก. Timolol
💡 Background:
การบริบาลผู้ป่วยเบาหวานชนิดที่ 2 (T2DM) เน้นควบคุม HbA1c ควบคู่กับการเลือกยาที่มี cardiorenal protection ในผู้ป่วยที่มีโรคร่วม
🎯 ทำไมข้อนี้ถึงถูก:
Timolol การเลือก Timolol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(Pilocarpine): Pilocarpine เป็น Muscarinic agonist กระตุ้นการหดตัวของ Ciliary muscle เพิ่มการระบาย Aqueous humor
• ข้อ ค. (Acetazolamide): Acetazolamide เป็น Carbonic anhydrase inhibitor ลดการสร้าง Aqueous humor
• ข้อ ง. (Betaxolol): Betaxolol เป็น Beta-1 selective blocker ลดการสร้าง Aqueous humor
• ข้อ จ. (Brimonidine): Brimonidine เป็น Alpha-2 adrenergic agonist ช่วยลดการสร้างและเพิ่มการระบาย Aqueous humor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9" s="46" t="n"/>
      <c r="L149" s="45" t="inlineStr">
        <is>
          <t>Diabetes mellitus</t>
        </is>
      </c>
      <c r="M149" s="46" t="inlineStr">
        <is>
          <t>Clinic</t>
        </is>
      </c>
      <c r="N149" s="45" t="inlineStr">
        <is>
          <t>ข้อ 2 (PLE_CC1_Practice_Exam.md)</t>
        </is>
      </c>
      <c r="O149" s="46" t="inlineStr">
        <is>
          <t>Mock</t>
        </is>
      </c>
      <c r="P149" s="46" t="inlineStr">
        <is>
          <t>Mock สภาเภสัชฯ Practice</t>
        </is>
      </c>
    </row>
    <row r="150" ht="13.2" customHeight="1" s="37">
      <c r="A150" s="44" t="n">
        <v>148</v>
      </c>
      <c r="B150" s="45" t="inlineStr">
        <is>
          <t>ผู้ป่วยที่มีประวัติโรคเบาหวาน</t>
        </is>
      </c>
      <c r="C150" s="46" t="n"/>
      <c r="D150" s="45" t="inlineStr">
        <is>
          <t>Empagliflozin 10 mg OD</t>
        </is>
      </c>
      <c r="E150" s="45" t="inlineStr">
        <is>
          <t>Sitagliptin 100 mg OD</t>
        </is>
      </c>
      <c r="F150" s="45" t="inlineStr">
        <is>
          <t>Liraglutide 1.2 mg SC OD</t>
        </is>
      </c>
      <c r="G150" s="45" t="inlineStr">
        <is>
          <t>Levothyroxine 50 mcg OD</t>
        </is>
      </c>
      <c r="H150" s="45" t="inlineStr">
        <is>
          <t>Propylthiouracil 50 mg TID</t>
        </is>
      </c>
      <c r="I150" s="44" t="inlineStr">
        <is>
          <t>1</t>
        </is>
      </c>
      <c r="J150" s="45"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Pilocarpine เป็นยากลุ่ม Cholinergic agonist ออกฤทธิ์หดตัว Ciliary muscle ทำให้เปิด Trabecular meshwork เพิ่มการไหลเวียน Aqueous humor
• ข้อ ค. (Liraglutide 1.2 mg SC OD): Acetazolamide เป็นยาลดการสร้าง Aqueous humor ผ่านการยับยั้งเอนไซม์ Carbonic anhydrase ที่ Ciliary epithelium
• ข้อ ง. (Levothyroxine 50 mcg OD): Betaxolol เป็น Beta-1 selective blocker ซึ่งออกฤทธิ์ลดการสร้าง Aqueous humor ผ่านการยับยั้ง Beta receptor ที่ Ciliary body
• ข้อ จ. (Propylthiouracil 50 mg TID): Brimonidine เป็น Alpha-2 agonist ที่ออกฤทธิ์ทั้งลดการสร้าง Aqueous humor และเพิ่ม Uveoscleral outflow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50" s="46" t="n"/>
      <c r="L150" s="45" t="inlineStr">
        <is>
          <t>Diabetes mellitus</t>
        </is>
      </c>
      <c r="M150" s="46" t="inlineStr">
        <is>
          <t>Clinic</t>
        </is>
      </c>
      <c r="N150" s="45" t="inlineStr">
        <is>
          <t>ข้อ 3 (PLE_CC1_Practice_Exam.md)</t>
        </is>
      </c>
      <c r="O150" s="46" t="inlineStr">
        <is>
          <t>Mock</t>
        </is>
      </c>
      <c r="P150" s="46" t="inlineStr">
        <is>
          <t>Mock สภาเภสัชฯ Practice</t>
        </is>
      </c>
    </row>
    <row r="151" ht="13.2" customHeight="1" s="37">
      <c r="A151" s="44" t="n">
        <v>149</v>
      </c>
      <c r="B151" s="45" t="inlineStr">
        <is>
          <t>กระตุ้นการหลั่ง insulin จาก pancreatic beta cells</t>
        </is>
      </c>
      <c r="C151" s="46" t="n"/>
      <c r="D151" s="45" t="inlineStr">
        <is>
          <t>Levothyroxine 50 mcg OD</t>
        </is>
      </c>
      <c r="E151" s="45" t="inlineStr">
        <is>
          <t>Propylthiouracil 50 mg TID</t>
        </is>
      </c>
      <c r="F151" s="45" t="inlineStr">
        <is>
          <t>Methimazole 10 mg OD</t>
        </is>
      </c>
      <c r="G151" s="45" t="inlineStr">
        <is>
          <t>Pioglitazone 15 mg OD</t>
        </is>
      </c>
      <c r="H151" s="45" t="inlineStr">
        <is>
          <t>Insulin glargine 10 units SC HS</t>
        </is>
      </c>
      <c r="I151" s="44" t="inlineStr">
        <is>
          <t>1</t>
        </is>
      </c>
      <c r="J151"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51" s="46" t="n"/>
      <c r="L151" s="45" t="inlineStr">
        <is>
          <t>Diabetes mellitus</t>
        </is>
      </c>
      <c r="M151" s="46" t="inlineStr">
        <is>
          <t>Clinic</t>
        </is>
      </c>
      <c r="N151" s="45" t="inlineStr">
        <is>
          <t>ข้อ 3 (PLE_CC1_Key_Rx20_UBU.md)</t>
        </is>
      </c>
      <c r="O151" s="46" t="inlineStr">
        <is>
          <t>Mock</t>
        </is>
      </c>
      <c r="P151" s="46" t="inlineStr">
        <is>
          <t>Mock Rx20 UBU</t>
        </is>
      </c>
    </row>
    <row r="152" ht="13.2" customHeight="1" s="37">
      <c r="A152" s="44" t="n">
        <v>150</v>
      </c>
      <c r="B152" s="45" t="inlineStr">
        <is>
          <t>ข้อใดไม่ใช่อาการแทรกซ้อนของโรคเบาหวาน เ%นHlme Metformm AวยลดMหNกOวใด</t>
        </is>
      </c>
      <c r="C152" s="46" t="n"/>
      <c r="D152" s="45" t="inlineStr">
        <is>
          <t>- - sulfonyl Ohea กระPนการหQง lhsulmi หกbeta - all ในOบRอน</t>
        </is>
      </c>
      <c r="E152" s="45" t="inlineStr">
        <is>
          <t>Insulin glargine 10 units SC HS</t>
        </is>
      </c>
      <c r="F152" s="45" t="inlineStr">
        <is>
          <t>Insulin lispro 4 units SC before meals</t>
        </is>
      </c>
      <c r="G152" s="45" t="inlineStr">
        <is>
          <t>Dapagliflozin 10 mg OD</t>
        </is>
      </c>
      <c r="H152" s="45" t="inlineStr">
        <is>
          <t>Semaglutide 0.5 mg SC weekly</t>
        </is>
      </c>
      <c r="I152" s="44" t="inlineStr">
        <is>
          <t>1</t>
        </is>
      </c>
      <c r="J152" s="45" t="inlineStr">
        <is>
          <t>✅ คำตอบที่ถูกต้อง: ข้อ ก. - - sulfonyl Ohea กระPนการหQง lhsulmi หกbeta - all ในOบRอน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 - sulfonyl Ohea กระPนการหQง lhsulmi หกbeta - all ในOบRอน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การเลือก - - sulfonyl Ohea กระ P นการห Q ง lhsulmi หก beta - all ใน O บ R อน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2" s="46" t="n"/>
      <c r="L152" s="45" t="inlineStr">
        <is>
          <t>Diabetes mellitus</t>
        </is>
      </c>
      <c r="M152" s="46" t="inlineStr">
        <is>
          <t>Clinic</t>
        </is>
      </c>
      <c r="N152" s="45" t="inlineStr">
        <is>
          <t>ข้อ 48 (PLE_CC1_Key_Rx20_UBU.md)</t>
        </is>
      </c>
      <c r="O152" s="46" t="inlineStr">
        <is>
          <t>Mock</t>
        </is>
      </c>
      <c r="P152" s="46" t="inlineStr">
        <is>
          <t>Mock Rx20 UBU</t>
        </is>
      </c>
    </row>
    <row r="153" ht="13.2" customHeight="1" s="37">
      <c r="A153" s="44" t="n">
        <v>151</v>
      </c>
      <c r="B153" s="45" t="inlineStr">
        <is>
          <t>ทำ DMSO เมื่อมีอาการปวดเป็นเวลา 7 วัน</t>
        </is>
      </c>
      <c r="C153" s="46" t="n"/>
      <c r="D153" s="45" t="inlineStr">
        <is>
          <t>Dapagliflozin 10 mg OD</t>
        </is>
      </c>
      <c r="E153" s="45" t="inlineStr">
        <is>
          <t>Semaglutide 0.5 mg SC weekly</t>
        </is>
      </c>
      <c r="F153" s="45" t="inlineStr">
        <is>
          <t>Metformin 500 mg BID</t>
        </is>
      </c>
      <c r="G153" s="45" t="inlineStr">
        <is>
          <t>Glipizide 5 mg OD</t>
        </is>
      </c>
      <c r="H153" s="45" t="inlineStr">
        <is>
          <t>Empagliflozin 10 mg OD</t>
        </is>
      </c>
      <c r="I153" s="44" t="inlineStr">
        <is>
          <t>1</t>
        </is>
      </c>
      <c r="J153" s="45"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3" s="46" t="n"/>
      <c r="L153" s="45" t="inlineStr">
        <is>
          <t>Diabetes mellitus</t>
        </is>
      </c>
      <c r="M153" s="46" t="inlineStr">
        <is>
          <t>Clinic</t>
        </is>
      </c>
      <c r="N153" s="45" t="inlineStr">
        <is>
          <t>ข้อ 4 (PLE_CC1_Key_Rx20_UBU.md)</t>
        </is>
      </c>
      <c r="O153" s="46" t="inlineStr">
        <is>
          <t>Mock</t>
        </is>
      </c>
      <c r="P153" s="46" t="inlineStr">
        <is>
          <t>Mock Rx20 UBU</t>
        </is>
      </c>
    </row>
    <row r="154" ht="13.2" customHeight="1" s="37">
      <c r="A154" s="44" t="n">
        <v>152</v>
      </c>
      <c r="B154" s="45" t="inlineStr">
        <is>
          <t>Insulin ควรใช้เป็นลำดับแแรกในการเริ่มรักษาผู้ป่วยเบาหวานชนิดที่ 2 หากไม่มีข้อห้ามใช้</t>
        </is>
      </c>
      <c r="C154" s="46" t="n"/>
      <c r="D154" s="45" t="inlineStr">
        <is>
          <t>Glipizide 5 mg OD</t>
        </is>
      </c>
      <c r="E154" s="45" t="inlineStr">
        <is>
          <t>Empagliflozin 10 mg OD</t>
        </is>
      </c>
      <c r="F154" s="45" t="inlineStr">
        <is>
          <t>Sitagliptin 100 mg OD</t>
        </is>
      </c>
      <c r="G154" s="45" t="inlineStr">
        <is>
          <t>Liraglutide 1.2 mg SC OD</t>
        </is>
      </c>
      <c r="H154" s="45" t="inlineStr">
        <is>
          <t>Levothyroxine 50 mcg OD</t>
        </is>
      </c>
      <c r="I154" s="44" t="inlineStr">
        <is>
          <t>5</t>
        </is>
      </c>
      <c r="J154" s="45"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ข. (Empagliflozin 10 mg OD): Empagliflozin เป็นยากลุ่ม SGLT2 inhibitor ออกฤทธิ์ยับยั้งการดูดกลับน้ำตาลที่ท่อไตส่วนต้น ขับน้ำตาลออกทางปัสสาวะ
• ข้อ ค. (Sitagliptin 100 mg OD): Sitagliptin เป็นยากลุ่ม DPP-4 inhibitor ช่วยยับยั้งเอนไซม์ที่ทำลาย GLP-1 ทำให้ฮอร์โมน Incretin ทำงานได้นานขึ้น
• ข้อ ง.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54" s="46" t="n"/>
      <c r="L154" s="45" t="inlineStr">
        <is>
          <t>Diabetes mellitus</t>
        </is>
      </c>
      <c r="M154" s="46" t="inlineStr">
        <is>
          <t>Clinic</t>
        </is>
      </c>
      <c r="N154" s="45" t="inlineStr">
        <is>
          <t>ข้อ 4 (PLE_CC1_Key_Rx20_UBU.md)</t>
        </is>
      </c>
      <c r="O154" s="46" t="inlineStr">
        <is>
          <t>Mock</t>
        </is>
      </c>
      <c r="P154" s="46" t="inlineStr">
        <is>
          <t>Mock Rx20 UBU</t>
        </is>
      </c>
    </row>
    <row r="155" ht="13.2" customHeight="1" s="37">
      <c r="A155" s="44" t="n">
        <v>153</v>
      </c>
      <c r="B155" s="45" t="inlineStr">
        <is>
          <t>ต่อมาผู้ป่วยมีผลตรวจร่างกายดังนี้ FBS 164 mg/dl, HbA1c 9.5 %, BUN 12, Scr 0.8, AST 210, ALT 250 ยาในข้อใดสามารถใช้ได้ปลอดภัยในผู้ป่วยรายนี้</t>
        </is>
      </c>
      <c r="C155" s="46" t="n"/>
      <c r="D155" s="45" t="inlineStr">
        <is>
          <t>Liraglutide 1.2 mg SC OD</t>
        </is>
      </c>
      <c r="E155" s="45" t="inlineStr">
        <is>
          <t>Levothyroxine 50 mcg OD</t>
        </is>
      </c>
      <c r="F155" s="45" t="inlineStr">
        <is>
          <t>Propylthiouracil 50 mg TID</t>
        </is>
      </c>
      <c r="G155" s="45" t="inlineStr">
        <is>
          <t>Methimazole 10 mg OD</t>
        </is>
      </c>
      <c r="H155" s="45" t="inlineStr">
        <is>
          <t>Pioglitazone 15 mg OD</t>
        </is>
      </c>
      <c r="I155" s="44" t="inlineStr">
        <is>
          <t>1</t>
        </is>
      </c>
      <c r="J155" s="45"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55" s="46" t="n"/>
      <c r="L155" s="45" t="inlineStr">
        <is>
          <t>Diabetes mellitus</t>
        </is>
      </c>
      <c r="M155" s="46" t="inlineStr">
        <is>
          <t>Clinic</t>
        </is>
      </c>
      <c r="N155" s="45" t="inlineStr">
        <is>
          <t>ข้อ 6 (PLE_CC1_Key_Rx20_UBU.md)</t>
        </is>
      </c>
      <c r="O155" s="46" t="inlineStr">
        <is>
          <t>Mock</t>
        </is>
      </c>
      <c r="P155" s="46" t="inlineStr">
        <is>
          <t>Mock Rx20 UBU</t>
        </is>
      </c>
    </row>
    <row r="156" ht="13.2" customHeight="1" s="37">
      <c r="A156" s="44" t="n">
        <v>154</v>
      </c>
      <c r="B156" s="45" t="inlineStr">
        <is>
          <t>จัดเป็น intermediate insulin</t>
        </is>
      </c>
      <c r="C156" s="46" t="n"/>
      <c r="D156" s="45" t="inlineStr">
        <is>
          <t>Methimazole 10 mg OD</t>
        </is>
      </c>
      <c r="E156" s="45" t="inlineStr">
        <is>
          <t>Pioglitazone 15 mg OD</t>
        </is>
      </c>
      <c r="F156" s="45" t="inlineStr">
        <is>
          <t>Insulin glargine 10 units SC HS</t>
        </is>
      </c>
      <c r="G156" s="45" t="inlineStr">
        <is>
          <t>Insulin lispro 4 units SC before meals</t>
        </is>
      </c>
      <c r="H156" s="45" t="inlineStr">
        <is>
          <t>Dapagliflozin 10 mg OD</t>
        </is>
      </c>
      <c r="I156" s="44" t="inlineStr">
        <is>
          <t>1</t>
        </is>
      </c>
      <c r="J156"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56" s="46" t="n"/>
      <c r="L156" s="45" t="inlineStr">
        <is>
          <t>Diabetes mellitus</t>
        </is>
      </c>
      <c r="M156" s="46" t="inlineStr">
        <is>
          <t>Clinic</t>
        </is>
      </c>
      <c r="N156" s="45" t="inlineStr">
        <is>
          <t>ข้อ 3 (PLE_CC1_Key_Rx20_UBU.md)</t>
        </is>
      </c>
      <c r="O156" s="46" t="inlineStr">
        <is>
          <t>Mock</t>
        </is>
      </c>
      <c r="P156" s="46" t="inlineStr">
        <is>
          <t>Mock Rx20 UBU</t>
        </is>
      </c>
    </row>
    <row r="157" ht="13.2" customHeight="1" s="37">
      <c r="A157" s="44" t="n">
        <v>155</v>
      </c>
      <c r="B157" s="45" t="inlineStr">
        <is>
          <t>มี Zn ในตำรับ Intermediate-acting insulin เป็นอินซูลินที่มีลักษณะขุ่น และไม่สามรถฉีดเข้าทางหลอดเลือดดำ สามารถแบ่งไดเ้ป็น 2 ประเภทคือ</t>
        </is>
      </c>
      <c r="C157" s="46" t="n"/>
      <c r="D157" s="45" t="inlineStr">
        <is>
          <t>Insulin lispro 4 units SC before meals</t>
        </is>
      </c>
      <c r="E157" s="45" t="inlineStr">
        <is>
          <t>Dapagliflozin 10 mg OD</t>
        </is>
      </c>
      <c r="F157" s="45" t="inlineStr">
        <is>
          <t>Semaglutide 0.5 mg SC weekly</t>
        </is>
      </c>
      <c r="G157" s="45" t="inlineStr">
        <is>
          <t>Metformin 500 mg BID</t>
        </is>
      </c>
      <c r="H157" s="45" t="inlineStr">
        <is>
          <t>Glipizide 5 mg OD</t>
        </is>
      </c>
      <c r="I157" s="44" t="inlineStr">
        <is>
          <t>1</t>
        </is>
      </c>
      <c r="J157" s="45"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7" s="46" t="n"/>
      <c r="L157" s="45" t="inlineStr">
        <is>
          <t>Diabetes mellitus</t>
        </is>
      </c>
      <c r="M157" s="46" t="inlineStr">
        <is>
          <t>Clinic</t>
        </is>
      </c>
      <c r="N157" s="45" t="inlineStr">
        <is>
          <t>ข้อ 5 (PLE_CC1_Key_Rx20_UBU.md)</t>
        </is>
      </c>
      <c r="O157" s="46" t="inlineStr">
        <is>
          <t>Mock</t>
        </is>
      </c>
      <c r="P157" s="46" t="inlineStr">
        <is>
          <t>Mock Rx20 UBU</t>
        </is>
      </c>
    </row>
    <row r="158" ht="13.2" customHeight="1" s="37">
      <c r="A158" s="44" t="n">
        <v>156</v>
      </c>
      <c r="B158" s="45" t="inlineStr">
        <is>
          <t>Lente insulin ใช้สังกะสี(Zinc) เป็นสารที่ทำ ใหอินซูลินออกฤทธิ์นานขึ้น ระยะเวลาของการออกฤทธิ์ช้ากว่า NPH insulin เล็กน้อยโดยเริ่มออกฤทธิ์ภายใน 3-4 ชั่วโมง อ่านเพิ่มเติม: https://med.mahidol.ac.th/med/sites/default/files/public/pdf/medicinebook1/insulin.pdf 10.ให้ฉลากยาแผนโบราณมาแล้วถามว่าข้อใดผิด ชือยา….ใช้รักษา…… ส่วนประกอบ…….. ผลิตโดย……………. ี3G2554 ิั? ี24</t>
        </is>
      </c>
      <c r="C158" s="46" t="n"/>
      <c r="D158" s="45" t="inlineStr">
        <is>
          <t>Metformin 500 mg BID</t>
        </is>
      </c>
      <c r="E158" s="45" t="inlineStr">
        <is>
          <t>Glipizide 5 mg OD</t>
        </is>
      </c>
      <c r="F158" s="45" t="inlineStr">
        <is>
          <t>Empagliflozin 10 mg OD</t>
        </is>
      </c>
      <c r="G158" s="45" t="inlineStr">
        <is>
          <t>Sitagliptin 100 mg OD</t>
        </is>
      </c>
      <c r="H158" s="45" t="inlineStr">
        <is>
          <t>Liraglutide 1.2 mg SC OD</t>
        </is>
      </c>
      <c r="I158" s="44" t="inlineStr">
        <is>
          <t>1</t>
        </is>
      </c>
      <c r="J158" s="45"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8" s="46" t="n"/>
      <c r="L158" s="45" t="inlineStr">
        <is>
          <t>Diabetes mellitus</t>
        </is>
      </c>
      <c r="M158" s="46" t="inlineStr">
        <is>
          <t>Clinic</t>
        </is>
      </c>
      <c r="N158" s="45" t="inlineStr">
        <is>
          <t>ข้อ 2 (PLE_CC1_Key_Rx20_UBU.md)</t>
        </is>
      </c>
      <c r="O158" s="46" t="inlineStr">
        <is>
          <t>Mock</t>
        </is>
      </c>
      <c r="P158" s="46" t="inlineStr">
        <is>
          <t>Mock Rx20 UBU</t>
        </is>
      </c>
    </row>
    <row r="159" ht="13.2" customHeight="1" s="37">
      <c r="A159" s="44" t="n">
        <v>157</v>
      </c>
      <c r="B159" s="45" t="inlineStr">
        <is>
          <t>การพัฒนายา Insulin ให$อยูGในรูปสารประกอบเชิงซ$อน สามารถใช$สารใด</t>
        </is>
      </c>
      <c r="C159" s="46" t="n"/>
      <c r="D159" s="45" t="inlineStr">
        <is>
          <t>Protamine sulfate</t>
        </is>
      </c>
      <c r="E159" s="45" t="inlineStr">
        <is>
          <t>Calcium carbonate</t>
        </is>
      </c>
      <c r="F159" s="45" t="inlineStr">
        <is>
          <t>Triethanolamine</t>
        </is>
      </c>
      <c r="G159" s="45" t="inlineStr">
        <is>
          <t>Sodium chloride</t>
        </is>
      </c>
      <c r="H159" s="45" t="inlineStr">
        <is>
          <t>Dextrose</t>
        </is>
      </c>
      <c r="I159" s="44" t="inlineStr">
        <is>
          <t>1</t>
        </is>
      </c>
      <c r="J159" s="45" t="inlineStr">
        <is>
          <t>✅ คำตอบที่ถูกต้อง: ข้อ ก. Protamine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sulfate การเลือก Protamine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(Calcium carbonate): Calcium carbonate ใช้เสริมแคลเซียมและจับฟอสเฟตในเลือด ไม่ป้องกันพิษจาก Methotrexate
• ข้อ ค. (Triethanolamine): ตัวเลือกนี้ไม่ได้มีกลไกทางเภสัชวิทยาหรือข้อบ่งใช้ที่ตรงกับพยาธิสภาพทางคลินิกที่ระบุในโจทย์ข้อนี้
• ข้อ ง. (Sodium chloride): ตัวเลือกนี้ไม่ได้มีกลไกทางเภสัชวิทยาหรือข้อบ่งใช้ที่ตรงกับพยาธิสภาพทางคลินิกที่ระบุในโจทย์ข้อนี้
• ข้อ จ. (Dextrose): ตัวเลือกนี้ไม่ได้มีกลไกทางเภสัชวิทยาหรือข้อบ่งใช้ที่ตรงกับพยาธิสภาพทางคลินิกที่ระบุในโจทย์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9" s="46" t="n"/>
      <c r="L159" s="45" t="inlineStr">
        <is>
          <t>Diabetes mellitus</t>
        </is>
      </c>
      <c r="M159" s="46" t="inlineStr">
        <is>
          <t>Clinic</t>
        </is>
      </c>
      <c r="N159" s="45" t="inlineStr">
        <is>
          <t>ข้อ 13 (PLE_CC1_Key_Rx20_UBU.md)</t>
        </is>
      </c>
      <c r="O159" s="46" t="inlineStr">
        <is>
          <t>Mock</t>
        </is>
      </c>
      <c r="P159" s="46" t="inlineStr">
        <is>
          <t>Mock Rx20 UBU</t>
        </is>
      </c>
    </row>
    <row r="160" ht="13.2" customHeight="1" s="37">
      <c r="A160" s="44" t="n">
        <v>158</v>
      </c>
      <c r="B160" s="45" t="inlineStr">
        <is>
          <t>NPH Insulin มีจำหนGายที่ใด</t>
        </is>
      </c>
      <c r="C160" s="46" t="n"/>
      <c r="D160" s="45" t="inlineStr">
        <is>
          <t>ร$านขายยาแผนป[จจุบัน</t>
        </is>
      </c>
      <c r="E160" s="45" t="inlineStr">
        <is>
          <t>ร$านขายยาอันตรายและยาควบคุมพิเศษ</t>
        </is>
      </c>
      <c r="F160" s="45" t="inlineStr">
        <is>
          <t>สถานพยาบาลของแพทยเ_วชปฏิบัติทั่วไป</t>
        </is>
      </c>
      <c r="G160" s="45" t="inlineStr">
        <is>
          <t>สถานพยาบาลที่รับผู$ป&amp;วยไว$ค$างคืน</t>
        </is>
      </c>
      <c r="H160" s="45" t="inlineStr">
        <is>
          <t>ร$านขายของชำทั่วไป สถานการณ)ที่ 3 ผู$ป&amp;วยหญิงไทยได$รับการวินิจฉัยวGาเปญนโรคมะเร็งเต$านม แพทยว_างแผนการรักษาโดยใช$ยาดังนี้ AC-Paclitaxel-Trastuzumab Regimen Doxorubicin: I.V.: 60 mg/m2 day 1 Cyclophosphamide: I.V.: 600 mg/m2 day 1 Repeat cycle every 21 days for 4 cycles, followed by Paclitaxel: I.V.: 175 mg/m2 day 1 Trastuzumab: I.V.: 4 mg/kg (loading dose) day 1 (cycle 1 only) followed by I.V.: 2 mg/kg/day days 8 and 15 (cycle 1) then I.V.: 2 mg/kg/day days 1, 8, and 15 (cycles 2, 3, and</t>
        </is>
      </c>
      <c r="I160" s="44" t="inlineStr">
        <is>
          <t>2</t>
        </is>
      </c>
      <c r="J160" s="45" t="inlineStr">
        <is>
          <t>✅ คำตอบที่ถูกต้อง: ข้อ ข. ร$านขายยาอันตรายและยาควบคุมพิเศษ
💡 Background:
การบริบาลผู้ป่วยเบาหวานชนิดที่ 2 (T2DM) เน้นควบคุม HbA1c ควบคู่กับการเลือกยาที่มี cardiorenal protection ในผู้ป่วยที่มีโรคร่วม
🎯 ทำไมข้อนี้ถึงถูก:
ร$านขายยาอันตรายและยาควบคุมพิเศษ การเลือก ร$านขายยาอันตรายและยาควบคุมพิเศษ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(ร$านขายยาแผนป[จจุบัน): ตัวเลือกนี้ไม่ได้มีกลไกทางเภสัชวิทยาหรือข้อบ่งใช้ที่ตรงกับพยาธิสภาพทางคลินิกที่ระบุในโจทย์ข้อนี้
• ข้อ ค. (สถานพยาบาลของแพทยเ_วชปฏิบัติทั่วไป): ตัวเลือกนี้ไม่ได้มีกลไกทางเภสัชวิทยาหรือข้อบ่งใช้ที่ตรงกับพยาธิสภาพทางคลินิกที่ระบุในโจทย์ข้อนี้
• ข้อ ง. (สถานพยาบาลที่รับผู$ป&amp;วยไว$ค$างคืน): ตัวเลือกนี้ไม่ได้มีกลไกทางเภสัชวิทยาหรือข้อบ่งใช้ที่ตรงกับพยาธิสภาพทางคลินิกที่ระบุในโจทย์ข้อนี้
• ข้อ จ. (ร$านขายของชำทั่วไป สถานการณ)ที่ 3 ผู$ป&amp;วยหญิงไทยได$รับการวินิจฉัยวGาเปญนโรคมะเร็งเต$านม แพทยว_างแผนการรักษาโดยใช$ยาดังนี้ AC-Paclitaxel-Trastuzumab Regimen Doxorubicin: I.V.: 60 mg/m2 day 1 Cyclophosphamide: I.V.: 600 mg/m2 day 1 Repeat cycle every 21 days for 4 cycles, followed by Paclitaxel: I.V.: 175 mg/m2 day 1 Trastuzumab: I.V.: 4 mg/kg (loading dose) day 1 (cycle 1 only) followed by I.V.: 2 mg/kg/day days 8 and 15 (cycle 1) then I.V.: 2 mg/kg/day days 1, 8, and 15 (cycles 2, 3, and): ตัวเลือกนี้ไม่ได้มีกลไกทางเภสัชวิทยาหรือข้อบ่งใช้ที่ตรงกับพยาธิสภาพทางคลินิกที่ระบุในโจทย์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0" s="46" t="n"/>
      <c r="L160" s="45" t="inlineStr">
        <is>
          <t>Diabetes mellitus</t>
        </is>
      </c>
      <c r="M160" s="46" t="inlineStr">
        <is>
          <t>Clinic</t>
        </is>
      </c>
      <c r="N160" s="45" t="inlineStr">
        <is>
          <t>ข้อ 19 (PLE_CC1_Key_Rx20_UBU.md)</t>
        </is>
      </c>
      <c r="O160" s="46" t="inlineStr">
        <is>
          <t>Mock</t>
        </is>
      </c>
      <c r="P160" s="46" t="inlineStr">
        <is>
          <t>Mock Rx20 UBU</t>
        </is>
      </c>
    </row>
    <row r="161" ht="13.2" customHeight="1" s="37">
      <c r="A161" s="44" t="n">
        <v>159</v>
      </c>
      <c r="B161" s="45" t="inlineStr">
        <is>
          <t>มีประวัติเปญนเบาหวานขณะตั้งครรภ_</t>
        </is>
      </c>
      <c r="C161" s="46" t="n"/>
      <c r="D161" s="45" t="inlineStr">
        <is>
          <t>Insulin glargine 10 units SC HS</t>
        </is>
      </c>
      <c r="E161" s="45" t="inlineStr">
        <is>
          <t>Insulin lispro 4 units SC before meals</t>
        </is>
      </c>
      <c r="F161" s="45" t="inlineStr">
        <is>
          <t>Dapagliflozin 10 mg OD</t>
        </is>
      </c>
      <c r="G161" s="45" t="inlineStr">
        <is>
          <t>Semaglutide 0.5 mg SC weekly</t>
        </is>
      </c>
      <c r="H161" s="45" t="inlineStr">
        <is>
          <t>Metformin 500 mg BID</t>
        </is>
      </c>
      <c r="I161" s="44" t="inlineStr">
        <is>
          <t>1</t>
        </is>
      </c>
      <c r="J161"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1" s="46" t="n"/>
      <c r="L161" s="45" t="inlineStr">
        <is>
          <t>Diabetes mellitus</t>
        </is>
      </c>
      <c r="M161" s="46" t="inlineStr">
        <is>
          <t>Clinic</t>
        </is>
      </c>
      <c r="N161" s="45" t="inlineStr">
        <is>
          <t>ข้อ 3 (PLE_CC1_Key_Rx20_UBU.md)</t>
        </is>
      </c>
      <c r="O161" s="46" t="inlineStr">
        <is>
          <t>Mock</t>
        </is>
      </c>
      <c r="P161" s="46" t="inlineStr">
        <is>
          <t>Mock Rx20 UBU</t>
        </is>
      </c>
    </row>
    <row r="162" ht="13.2" customHeight="1" s="37">
      <c r="A162" s="44" t="n">
        <v>160</v>
      </c>
      <c r="B162" s="45" t="inlineStr">
        <is>
          <t>......ให$ประโยคมาเกี่ยวกับอุบัติการณ_การเกิดโรคเบาหวาน ถามวGา คำวGา “อุบัติการณ_” หมายความวGาอยGางไร</t>
        </is>
      </c>
      <c r="C162" s="46" t="n"/>
      <c r="D162" s="45" t="inlineStr">
        <is>
          <t>Semaglutide 0.5 mg SC weekly</t>
        </is>
      </c>
      <c r="E162" s="45" t="inlineStr">
        <is>
          <t>Metformin 500 mg BID</t>
        </is>
      </c>
      <c r="F162" s="45" t="inlineStr">
        <is>
          <t>Glipizide 5 mg OD</t>
        </is>
      </c>
      <c r="G162" s="45" t="inlineStr">
        <is>
          <t>Empagliflozin 10 mg OD</t>
        </is>
      </c>
      <c r="H162" s="45" t="inlineStr">
        <is>
          <t>Sitagliptin 100 mg OD</t>
        </is>
      </c>
      <c r="I162" s="44" t="inlineStr">
        <is>
          <t>1</t>
        </is>
      </c>
      <c r="J162" s="45"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62" s="46" t="n"/>
      <c r="L162" s="45" t="inlineStr">
        <is>
          <t>Diabetes mellitus</t>
        </is>
      </c>
      <c r="M162" s="46" t="inlineStr">
        <is>
          <t>Clinic</t>
        </is>
      </c>
      <c r="N162" s="45" t="inlineStr">
        <is>
          <t>ข้อ 106 (PLE_CC1_Key_Rx20_UBU.md)</t>
        </is>
      </c>
      <c r="O162" s="46" t="inlineStr">
        <is>
          <t>Mock</t>
        </is>
      </c>
      <c r="P162" s="46" t="inlineStr">
        <is>
          <t>Mock Rx20 UBU</t>
        </is>
      </c>
    </row>
    <row r="163" ht="13.2" customHeight="1" s="37">
      <c r="A163" s="44" t="n">
        <v>161</v>
      </c>
      <c r="B163" s="45" t="inlineStr">
        <is>
          <t>จำนวนผู$ป&amp;วยโรคเบาหวานรายใหมGจำนวนประชากรทั้งหมด ในพื้นที่ ในชGวงเวลาหนึ่ง</t>
        </is>
      </c>
      <c r="C163" s="46" t="n"/>
      <c r="D163" s="45" t="inlineStr">
        <is>
          <t>Empagliflozin 10 mg OD</t>
        </is>
      </c>
      <c r="E163" s="45" t="inlineStr">
        <is>
          <t>Sitagliptin 100 mg OD</t>
        </is>
      </c>
      <c r="F163" s="45" t="inlineStr">
        <is>
          <t>Liraglutide 1.2 mg SC OD</t>
        </is>
      </c>
      <c r="G163" s="45" t="inlineStr">
        <is>
          <t>Levothyroxine 50 mcg OD</t>
        </is>
      </c>
      <c r="H163" s="45" t="inlineStr">
        <is>
          <t>Propylthiouracil 50 mg TID</t>
        </is>
      </c>
      <c r="I163" s="44" t="inlineStr">
        <is>
          <t>1</t>
        </is>
      </c>
      <c r="J163" s="45"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Sitagliptin เป็นยากลุ่ม DPP-4 inhibitor ช่วยยับยั้งเอนไซม์ที่ทำลาย GLP-1 ทำให้ฮอร์โมน Incretin ทำงานได้นานขึ้น
• ข้อ ค.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ง.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จ. (Propylthiouracil 50 mg TID): Propylthiouracil (PTU) ยับยั้งเอนไซม์ Thyroid peroxidase และยับยั้งการเปลี่ยน T4 เป็น T3 ที่เนื้อเยื่อรอบนอก ใช้รักษาภาวะ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3" s="46" t="n"/>
      <c r="L163" s="45" t="inlineStr">
        <is>
          <t>Diabetes mellitus</t>
        </is>
      </c>
      <c r="M163" s="46" t="inlineStr">
        <is>
          <t>Clinic</t>
        </is>
      </c>
      <c r="N163" s="45" t="inlineStr">
        <is>
          <t>ข้อ 1 (PLE_CC1_Key_Rx20_UBU.md)</t>
        </is>
      </c>
      <c r="O163" s="46" t="inlineStr">
        <is>
          <t>Mock</t>
        </is>
      </c>
      <c r="P163" s="46" t="inlineStr">
        <is>
          <t>Mock Rx20 UBU</t>
        </is>
      </c>
    </row>
    <row r="164" ht="13.2" customHeight="1" s="37">
      <c r="A164" s="44" t="n">
        <v>162</v>
      </c>
      <c r="B164" s="45" t="inlineStr">
        <is>
          <t>จำนวนผู$ป&amp;วยโรคเบาหวานรายใหมGตGอจำนวนประชากรที่มีความเสี่ยงที่จะเกิดโรคเบาห วาน</t>
        </is>
      </c>
      <c r="C164" s="46" t="n"/>
      <c r="D164" s="45" t="inlineStr">
        <is>
          <t>Levothyroxine 50 mcg OD</t>
        </is>
      </c>
      <c r="E164" s="45" t="inlineStr">
        <is>
          <t>Propylthiouracil 50 mg TID</t>
        </is>
      </c>
      <c r="F164" s="45" t="inlineStr">
        <is>
          <t>Methimazole 10 mg OD</t>
        </is>
      </c>
      <c r="G164" s="45" t="inlineStr">
        <is>
          <t>Pioglitazone 15 mg OD</t>
        </is>
      </c>
      <c r="H164" s="45" t="inlineStr">
        <is>
          <t>Insulin glargine 10 units SC HS</t>
        </is>
      </c>
      <c r="I164" s="44" t="inlineStr">
        <is>
          <t>1</t>
        </is>
      </c>
      <c r="J164" s="45"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64" s="46" t="n"/>
      <c r="L164" s="45" t="inlineStr">
        <is>
          <t>Diabetes mellitus</t>
        </is>
      </c>
      <c r="M164" s="46" t="inlineStr">
        <is>
          <t>Clinic</t>
        </is>
      </c>
      <c r="N164" s="45" t="inlineStr">
        <is>
          <t>ข้อ 2 (PLE_CC1_Key_Rx20_UBU.md)</t>
        </is>
      </c>
      <c r="O164" s="46" t="inlineStr">
        <is>
          <t>Mock</t>
        </is>
      </c>
      <c r="P164" s="46" t="inlineStr">
        <is>
          <t>Mock Rx20 UBU</t>
        </is>
      </c>
    </row>
    <row r="165" ht="13.2" customHeight="1" s="37">
      <c r="A165" s="44" t="n">
        <v>163</v>
      </c>
      <c r="B165" s="45" t="inlineStr">
        <is>
          <t>จำนวนผู$ป&amp;วยโรคเบาหวานตGอจำนวนประชากรที่มีความเสี่ยงที่จะเกิดโรคเบาหวาน ณ จุดเวลาใดเวลาหนึ่ง</t>
        </is>
      </c>
      <c r="C165" s="46" t="n"/>
      <c r="D165" s="45" t="inlineStr">
        <is>
          <t>Pioglitazone 15 mg OD</t>
        </is>
      </c>
      <c r="E165" s="45" t="inlineStr">
        <is>
          <t>Insulin glargine 10 units SC HS</t>
        </is>
      </c>
      <c r="F165" s="45" t="inlineStr">
        <is>
          <t>Insulin lispro 4 units SC before meals</t>
        </is>
      </c>
      <c r="G165" s="45" t="inlineStr">
        <is>
          <t>Dapagliflozin 10 mg OD</t>
        </is>
      </c>
      <c r="H165" s="45" t="inlineStr">
        <is>
          <t>Semaglutide 0.5 mg SC weekly</t>
        </is>
      </c>
      <c r="I165" s="44" t="inlineStr">
        <is>
          <t>1</t>
        </is>
      </c>
      <c r="J165" s="45" t="inlineStr">
        <is>
          <t>✅ คำตอบที่ถูกต้อง: ข้อ ก. Pioglitazone 15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15 mg OD การเลือก Pioglitazone 15 mg OD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65" s="46" t="n"/>
      <c r="L165" s="45" t="inlineStr">
        <is>
          <t>Diabetes mellitus</t>
        </is>
      </c>
      <c r="M165" s="46" t="inlineStr">
        <is>
          <t>Clinic</t>
        </is>
      </c>
      <c r="N165" s="45" t="inlineStr">
        <is>
          <t>ข้อ 4 (PLE_CC1_Key_Rx20_UBU.md)</t>
        </is>
      </c>
      <c r="O165" s="46" t="inlineStr">
        <is>
          <t>Mock</t>
        </is>
      </c>
      <c r="P165" s="46" t="inlineStr">
        <is>
          <t>Mock Rx20 UBU</t>
        </is>
      </c>
    </row>
    <row r="166" ht="13.2" customHeight="1" s="37">
      <c r="A166" s="44" t="n">
        <v>164</v>
      </c>
      <c r="B166" s="45" t="inlineStr">
        <is>
          <t>จำนวนผู$ป&amp;วยโรคเบาหวานตGอจำนวนประชากรทั้งหมด ณ จุดเวลาใดเวลาหนึ่ง จำนวนผู$ป&amp;วยโรคเบาหวานรายใหมGตGอจำนวนประชากรที่มีความเสี่ยงที่จะเกิดโรคเบาหวานในชGวงเว ลาหนึ่ง ความหมายของอัตราอุบัติการณ_คือ จำนวนของ event หรือ case ใหมGที่เกิดขึ้นในกลุGมประขากร หารด$วยประชากรที่เสี่ยงทั้งหมด</t>
        </is>
      </c>
      <c r="C166" s="46" t="n"/>
      <c r="D166" s="45" t="inlineStr">
        <is>
          <t>Dapagliflozin 10 mg OD</t>
        </is>
      </c>
      <c r="E166" s="45" t="inlineStr">
        <is>
          <t>Semaglutide 0.5 mg SC weekly</t>
        </is>
      </c>
      <c r="F166" s="45" t="inlineStr">
        <is>
          <t>Metformin 500 mg BID</t>
        </is>
      </c>
      <c r="G166" s="45" t="inlineStr">
        <is>
          <t>Glipizide 5 mg OD</t>
        </is>
      </c>
      <c r="H166" s="45" t="inlineStr">
        <is>
          <t>Empagliflozin 10 mg OD</t>
        </is>
      </c>
      <c r="I166" s="44" t="inlineStr">
        <is>
          <t>1</t>
        </is>
      </c>
      <c r="J166" s="45"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66" s="46" t="n"/>
      <c r="L166" s="45" t="inlineStr">
        <is>
          <t>Diabetes mellitus</t>
        </is>
      </c>
      <c r="M166" s="46" t="inlineStr">
        <is>
          <t>Clinic</t>
        </is>
      </c>
      <c r="N166" s="45" t="inlineStr">
        <is>
          <t>ข้อ 5 (PLE_CC1_Key_Rx20_UBU.md)</t>
        </is>
      </c>
      <c r="O166" s="46" t="inlineStr">
        <is>
          <t>Mock</t>
        </is>
      </c>
      <c r="P166" s="46" t="inlineStr">
        <is>
          <t>Mock Rx20 UBU</t>
        </is>
      </c>
    </row>
    <row r="167" ht="13.2" customHeight="1" s="37">
      <c r="A167" s="44" t="n">
        <v>165</v>
      </c>
      <c r="B167" s="45" t="inlineStr">
        <is>
          <t>สุ่ม 30 เม็ด หาน้ำหนักทีละเม็ดจำนวน 10 เม็ดแล้วหาปริมาณตัวยาสำคัญโดยเทียบจากน้ำหนักแล้วเทียบกับ assay เม็ดแล้วหาปริมาณตัวยาสำคัญโดยเทียบจากน้ำหนักแล้วเทียบกับ assay Case 8: เบาหวาน ผู้ป่วยเพศหญิง น้ำหนัก 85 กิโลกรัม ส่วนสูง 160 เซนติเมตร มาหาหมอ มีอาการบลาๆ ผลตรวจ FBS 160 mg/dl HbA1C 8 Scr 1.1 mg/dL</t>
        </is>
      </c>
      <c r="C167" s="46" t="n"/>
      <c r="D167" s="45" t="inlineStr">
        <is>
          <t>Glipizide 5 mg OD</t>
        </is>
      </c>
      <c r="E167" s="45" t="inlineStr">
        <is>
          <t>Empagliflozin 10 mg OD</t>
        </is>
      </c>
      <c r="F167" s="45" t="inlineStr">
        <is>
          <t>Sitagliptin 100 mg OD</t>
        </is>
      </c>
      <c r="G167" s="45" t="inlineStr">
        <is>
          <t>Liraglutide 1.2 mg SC OD</t>
        </is>
      </c>
      <c r="H167" s="45" t="inlineStr">
        <is>
          <t>Levothyroxine 50 mcg OD</t>
        </is>
      </c>
      <c r="I167" s="44" t="inlineStr">
        <is>
          <t>1</t>
        </is>
      </c>
      <c r="J167" s="45"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Empagliflozin เป็นยากลุ่ม SGLT2 inhibitor ออกฤทธิ์ยับยั้งการดูดกลับน้ำตาลที่ท่อไตส่วนต้น ขับน้ำตาลออกทางปัสสาวะ
• ข้อ ค. (Sitagliptin 100 mg OD): Sitagliptin เป็นยากลุ่ม DPP-4 inhibitor ช่วยยับยั้งเอนไซม์ที่ทำลาย GLP-1 ทำให้ฮอร์โมน Incretin ทำงานได้นานขึ้น
• ข้อ ง.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จ. (Levothyroxine 50 mcg OD): Levothyroxine เป็นฮอร์โมน T4 สังเคราะห์ ใช้ทดแทนในผู้ป่วย Hypothyroidism ข้อควรระวังคือการเกิด Thyrotoxicosis หากได้รับขนาดสูงเกินไป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67" s="46" t="n"/>
      <c r="L167" s="45" t="inlineStr">
        <is>
          <t>Diabetes mellitus</t>
        </is>
      </c>
      <c r="M167" s="46" t="inlineStr">
        <is>
          <t>Clinic</t>
        </is>
      </c>
      <c r="N167" s="45" t="inlineStr">
        <is>
          <t>ข้อ 5 (PLE_CC1_Key_Rx20_UBU.md)</t>
        </is>
      </c>
      <c r="O167" s="46" t="inlineStr">
        <is>
          <t>Mock</t>
        </is>
      </c>
      <c r="P167" s="46" t="inlineStr">
        <is>
          <t>Mock Rx20 UBU</t>
        </is>
      </c>
    </row>
    <row r="168" ht="13.2" customHeight="1" s="37">
      <c r="A168" s="44" t="n">
        <v>166</v>
      </c>
      <c r="B168" s="45" t="inlineStr">
        <is>
          <t>ยาเบาหวานที่ผู้ป่วยควรได้รับ</t>
        </is>
      </c>
      <c r="C168" s="46" t="n"/>
      <c r="D168" s="45" t="inlineStr">
        <is>
          <t>Metformin</t>
        </is>
      </c>
      <c r="E168" s="45" t="inlineStr">
        <is>
          <t>RI</t>
        </is>
      </c>
      <c r="F168" s="45" t="inlineStr">
        <is>
          <t>Repaglinide</t>
        </is>
      </c>
      <c r="G168" s="45" t="inlineStr">
        <is>
          <t>Glibenclamide</t>
        </is>
      </c>
      <c r="H168" s="45" t="inlineStr">
        <is>
          <t>…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t>
        </is>
      </c>
      <c r="I168" s="44" t="inlineStr">
        <is>
          <t>1</t>
        </is>
      </c>
      <c r="J168" s="45"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การเลือก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(RI): ตัวเลือกนี้ไม่ได้มีกลไกทางเภสัชวิทยาหรือข้อบ่งใช้ที่ตรงกับพยาธิสภาพทางคลินิกที่ระบุในโจทย์ข้อนี้
• ข้อ ค. (Repaglinide): Repaglinide เป็น Meglitinide กระตุ้นการหลั่งอินซูลินแบบรวดเร็วและสั้น ขับออกทางตับเป็นหลัก สามารถใช้ในผู้ป่วยโรคไตได้
• ข้อ ง. (Glibenclamide): Glibenclamide เป็น Sulfonylurea ที่ออกฤทธิ์ยาวและมี active metabolite ขับออกทางไต จึงมีข้อห้ามใช้ในผู้ป่วยโรคไตเสื่อม (CKD)
• ข้อ จ. (…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 Repaglinide เป็น Meglitinide กระตุ้นการหลั่งอินซูลินแบบรวดเร็วและสั้น ขับออกทางตับเป็นหลัก สามารถใช้ในผู้ป่วยโรคไตได้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68" s="46" t="n"/>
      <c r="L168" s="45" t="inlineStr">
        <is>
          <t>Diabetes mellitus</t>
        </is>
      </c>
      <c r="M168" s="46" t="inlineStr">
        <is>
          <t>Clinic</t>
        </is>
      </c>
      <c r="N168" s="45" t="inlineStr">
        <is>
          <t>ข้อ 2 (PLE_CC1_Key_Rx20_UBU.md)</t>
        </is>
      </c>
      <c r="O168" s="46" t="inlineStr">
        <is>
          <t>Mock</t>
        </is>
      </c>
      <c r="P168" s="46" t="inlineStr">
        <is>
          <t>Mock Rx20 UBU</t>
        </is>
      </c>
    </row>
    <row r="169" ht="13.2" customHeight="1" s="37">
      <c r="A169" s="44" t="n">
        <v>167</v>
      </c>
      <c r="B169" s="45" t="inlineStr">
        <is>
          <t>ใช้ยามานานคุมน้ำตาลดี แต่อยู่ดีๆ FBS กับ HBA1C เกิน (อยู่ที่ประมาณ 9 กว่าๆ) เกิดจากอะไร</t>
        </is>
      </c>
      <c r="C169" s="46" t="n"/>
      <c r="D169" s="45" t="inlineStr">
        <is>
          <t>Methimazole 10 mg OD</t>
        </is>
      </c>
      <c r="E169" s="45" t="inlineStr">
        <is>
          <t>Pioglitazone 15 mg OD</t>
        </is>
      </c>
      <c r="F169" s="45" t="inlineStr">
        <is>
          <t>Insulin glargine 10 units SC HS</t>
        </is>
      </c>
      <c r="G169" s="45" t="inlineStr">
        <is>
          <t>Insulin lispro 4 units SC before meals</t>
        </is>
      </c>
      <c r="H169" s="45" t="inlineStr">
        <is>
          <t>Dapagliflozin 10 mg OD</t>
        </is>
      </c>
      <c r="I169" s="44" t="inlineStr">
        <is>
          <t>1</t>
        </is>
      </c>
      <c r="J169" s="45"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69" s="46" t="n"/>
      <c r="L169" s="45" t="inlineStr">
        <is>
          <t>Diabetes mellitus</t>
        </is>
      </c>
      <c r="M169" s="46" t="inlineStr">
        <is>
          <t>Clinic</t>
        </is>
      </c>
      <c r="N169" s="45" t="inlineStr">
        <is>
          <t>ข้อ 2 (PLE_CC1_Key_Rx20_UBU.md)</t>
        </is>
      </c>
      <c r="O169" s="46" t="inlineStr">
        <is>
          <t>Mock</t>
        </is>
      </c>
      <c r="P169" s="46" t="inlineStr">
        <is>
          <t>Mock Rx20 UBU</t>
        </is>
      </c>
    </row>
    <row r="170" ht="13.2" customHeight="1" s="37">
      <c r="A170" s="44" t="n">
        <v>168</v>
      </c>
      <c r="B170" s="45" t="inlineStr">
        <is>
          <t>เป็น insulin sensitizer</t>
        </is>
      </c>
      <c r="C170" s="46" t="n"/>
      <c r="D170" s="45" t="inlineStr">
        <is>
          <t>Insulin lispro 4 units SC before meals</t>
        </is>
      </c>
      <c r="E170" s="45" t="inlineStr">
        <is>
          <t>Dapagliflozin 10 mg OD</t>
        </is>
      </c>
      <c r="F170" s="45" t="inlineStr">
        <is>
          <t>Semaglutide 0.5 mg SC weekly</t>
        </is>
      </c>
      <c r="G170" s="45" t="inlineStr">
        <is>
          <t>Metformin 500 mg BID</t>
        </is>
      </c>
      <c r="H170" s="45" t="inlineStr">
        <is>
          <t>Glipizide 5 mg OD</t>
        </is>
      </c>
      <c r="I170" s="44" t="inlineStr">
        <is>
          <t>1</t>
        </is>
      </c>
      <c r="J170" s="45"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0" s="46" t="n"/>
      <c r="L170" s="45" t="inlineStr">
        <is>
          <t>Diabetes mellitus</t>
        </is>
      </c>
      <c r="M170" s="46" t="inlineStr">
        <is>
          <t>Clinic</t>
        </is>
      </c>
      <c r="N170" s="45" t="inlineStr">
        <is>
          <t>ข้อ 1 (PLE_CC1_Key_Rx20_UBU.md)</t>
        </is>
      </c>
      <c r="O170" s="46" t="inlineStr">
        <is>
          <t>Mock</t>
        </is>
      </c>
      <c r="P170" s="46" t="inlineStr">
        <is>
          <t>Mock Rx20 UBU</t>
        </is>
      </c>
    </row>
    <row r="171" ht="13.2" customHeight="1" s="37">
      <c r="A171" s="44" t="n">
        <v>169</v>
      </c>
      <c r="B171" s="45" t="inlineStr">
        <is>
          <t>ไม่เลือกเป็นยาอันดับแรก เพราะลด HbA1Cไม่ดี</t>
        </is>
      </c>
      <c r="C171" s="46" t="n"/>
      <c r="D171" s="45" t="inlineStr">
        <is>
          <t>ผิด เพราะ เป็น insulin secretagogues</t>
        </is>
      </c>
      <c r="E171" s="45" t="inlineStr">
        <is>
          <t>Glipizide 5 mg OD</t>
        </is>
      </c>
      <c r="F171" s="45" t="inlineStr">
        <is>
          <t>Empagliflozin 10 mg OD</t>
        </is>
      </c>
      <c r="G171" s="45" t="inlineStr">
        <is>
          <t>Sitagliptin 100 mg OD</t>
        </is>
      </c>
      <c r="H171" s="45" t="inlineStr">
        <is>
          <t>Liraglutide 1.2 mg SC OD</t>
        </is>
      </c>
      <c r="I171" s="44" t="inlineStr">
        <is>
          <t>3</t>
        </is>
      </c>
      <c r="J171" s="45" t="inlineStr">
        <is>
          <t>✅ คำตอบที่ถูกต้อง: ข้อ ค.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(ผิด เพราะ เป็น insulin secretagogues): ตัวเลือกนี้ไม่ได้มีกลไกทางเภสัชวิทยาหรือข้อบ่งใช้ที่ตรงกับพยาธิสภาพทางคลินิกที่ระบุในโจทย์ข้อนี้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71" s="46" t="n"/>
      <c r="L171" s="45" t="inlineStr">
        <is>
          <t>Diabetes mellitus</t>
        </is>
      </c>
      <c r="M171" s="46" t="inlineStr">
        <is>
          <t>Clinic</t>
        </is>
      </c>
      <c r="N171" s="45" t="inlineStr">
        <is>
          <t>ข้อ 4 (PLE_CC1_Key_Rx20_UBU.md)</t>
        </is>
      </c>
      <c r="O171" s="46" t="inlineStr">
        <is>
          <t>Mock</t>
        </is>
      </c>
      <c r="P171" s="46" t="inlineStr">
        <is>
          <t>Mock Rx20 UBU</t>
        </is>
      </c>
    </row>
    <row r="172" ht="13.2" customHeight="1" s="37">
      <c r="A172" s="44" t="n">
        <v>170</v>
      </c>
      <c r="B172" s="45" t="inlineStr">
        <is>
          <t>ผิด เพราะ สามารถเลือกเป็นยาอันดับแรก และลด HbA1C ได้</t>
        </is>
      </c>
      <c r="C172" s="46" t="n"/>
      <c r="D172" s="45" t="inlineStr">
        <is>
          <t>Sitagliptin 100 mg OD</t>
        </is>
      </c>
      <c r="E172" s="45" t="inlineStr">
        <is>
          <t>Liraglutide 1.2 mg SC OD</t>
        </is>
      </c>
      <c r="F172" s="45" t="inlineStr">
        <is>
          <t>Levothyroxine 50 mcg OD</t>
        </is>
      </c>
      <c r="G172" s="45" t="inlineStr">
        <is>
          <t>Propylthiouracil 50 mg TID</t>
        </is>
      </c>
      <c r="H172" s="45" t="inlineStr">
        <is>
          <t>Methimazole 10 mg OD</t>
        </is>
      </c>
      <c r="I172" s="44" t="inlineStr">
        <is>
          <t>1</t>
        </is>
      </c>
      <c r="J172" s="45"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72" s="46" t="n"/>
      <c r="L172" s="45" t="inlineStr">
        <is>
          <t>Diabetes mellitus</t>
        </is>
      </c>
      <c r="M172" s="46" t="inlineStr">
        <is>
          <t>Clinic</t>
        </is>
      </c>
      <c r="N172" s="45" t="inlineStr">
        <is>
          <t>ข้อ 4 (PLE_CC1_Key_Rx20_UBU.md)</t>
        </is>
      </c>
      <c r="O172" s="46" t="inlineStr">
        <is>
          <t>Mock</t>
        </is>
      </c>
      <c r="P172" s="46" t="inlineStr">
        <is>
          <t>Mock Rx20 UBU</t>
        </is>
      </c>
    </row>
    <row r="173" ht="13.2" customHeight="1" s="37">
      <c r="A173" s="44" t="n">
        <v>171</v>
      </c>
      <c r="B173" s="45" t="inlineStr">
        <is>
          <t>Insulin NPH ก่อนนอน</t>
        </is>
      </c>
      <c r="C173" s="46" t="n"/>
      <c r="D173" s="45" t="inlineStr">
        <is>
          <t>Propylthiouracil 50 mg TID</t>
        </is>
      </c>
      <c r="E173" s="45" t="inlineStr">
        <is>
          <t>Methimazole 10 mg OD</t>
        </is>
      </c>
      <c r="F173" s="45" t="inlineStr">
        <is>
          <t>Pioglitazone 15 mg OD</t>
        </is>
      </c>
      <c r="G173" s="45" t="inlineStr">
        <is>
          <t>Insulin glargine 10 units SC HS</t>
        </is>
      </c>
      <c r="H173" s="45" t="inlineStr">
        <is>
          <t>Insulin lispro 4 units SC before meals</t>
        </is>
      </c>
      <c r="I173" s="44" t="inlineStr">
        <is>
          <t>1</t>
        </is>
      </c>
      <c r="J173" s="45"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73" s="46" t="n"/>
      <c r="L173" s="45" t="inlineStr">
        <is>
          <t>Diabetes mellitus</t>
        </is>
      </c>
      <c r="M173" s="46" t="inlineStr">
        <is>
          <t>Clinic</t>
        </is>
      </c>
      <c r="N173" s="45" t="inlineStr">
        <is>
          <t>ข้อ 2 (PLE_CC1_Key_Rx20_UBU.md)</t>
        </is>
      </c>
      <c r="O173" s="46" t="inlineStr">
        <is>
          <t>Mock</t>
        </is>
      </c>
      <c r="P173" s="46" t="inlineStr">
        <is>
          <t>Mock Rx20 UBU</t>
        </is>
      </c>
    </row>
    <row r="174" ht="13.2" customHeight="1" s="37">
      <c r="A174" s="44" t="n">
        <v>172</v>
      </c>
      <c r="B174" s="45" t="inlineStr">
        <is>
          <t>Insulin Aspart ก่อนอาหาร เช้า-กลางวัน-เย็น</t>
        </is>
      </c>
      <c r="C174" s="46" t="n"/>
      <c r="D174" s="45" t="inlineStr">
        <is>
          <t>Insulin glargine 10 units SC HS</t>
        </is>
      </c>
      <c r="E174" s="45" t="inlineStr">
        <is>
          <t>Insulin lispro 4 units SC before meals</t>
        </is>
      </c>
      <c r="F174" s="45" t="inlineStr">
        <is>
          <t>Dapagliflozin 10 mg OD</t>
        </is>
      </c>
      <c r="G174" s="45" t="inlineStr">
        <is>
          <t>Semaglutide 0.5 mg SC weekly</t>
        </is>
      </c>
      <c r="H174" s="45" t="inlineStr">
        <is>
          <t>Metformin 500 mg BID</t>
        </is>
      </c>
      <c r="I174" s="44" t="inlineStr">
        <is>
          <t>1</t>
        </is>
      </c>
      <c r="J174" s="45"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4" s="46" t="n"/>
      <c r="L174" s="45" t="inlineStr">
        <is>
          <t>Diabetes mellitus</t>
        </is>
      </c>
      <c r="M174" s="46" t="inlineStr">
        <is>
          <t>Clinic</t>
        </is>
      </c>
      <c r="N174" s="45" t="inlineStr">
        <is>
          <t>ข้อ 3 (PLE_CC1_Key_Rx20_UBU.md)</t>
        </is>
      </c>
      <c r="O174" s="46" t="inlineStr">
        <is>
          <t>Mock</t>
        </is>
      </c>
      <c r="P174" s="46" t="inlineStr">
        <is>
          <t>Mock Rx20 UBU</t>
        </is>
      </c>
    </row>
    <row r="175" ht="13.2" customHeight="1" s="37">
      <c r="A175" s="44" t="n">
        <v>173</v>
      </c>
      <c r="B175" s="45" t="inlineStr">
        <is>
          <t>Insulin Glargine เช้า - เย็น</t>
        </is>
      </c>
      <c r="C175" s="46" t="n"/>
      <c r="D175" s="45" t="inlineStr">
        <is>
          <t>Semaglutide 0.5 mg SC weekly</t>
        </is>
      </c>
      <c r="E175" s="45" t="inlineStr">
        <is>
          <t>Metformin 500 mg BID</t>
        </is>
      </c>
      <c r="F175" s="45" t="inlineStr">
        <is>
          <t>Glipizide 5 mg OD</t>
        </is>
      </c>
      <c r="G175" s="45" t="inlineStr">
        <is>
          <t>Empagliflozin 10 mg OD</t>
        </is>
      </c>
      <c r="H175" s="45" t="inlineStr">
        <is>
          <t>Sitagliptin 100 mg OD</t>
        </is>
      </c>
      <c r="I175" s="44" t="inlineStr">
        <is>
          <t>1</t>
        </is>
      </c>
      <c r="J175" s="45"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75" s="46" t="n"/>
      <c r="L175" s="45" t="inlineStr">
        <is>
          <t>Diabetes mellitus</t>
        </is>
      </c>
      <c r="M175" s="46" t="inlineStr">
        <is>
          <t>Clinic</t>
        </is>
      </c>
      <c r="N175" s="45" t="inlineStr">
        <is>
          <t>ข้อ 4 (PLE_CC1_Key_Rx20_UBU.md)</t>
        </is>
      </c>
      <c r="O175" s="46" t="inlineStr">
        <is>
          <t>Mock</t>
        </is>
      </c>
      <c r="P175" s="46" t="inlineStr">
        <is>
          <t>Mock Rx20 UBU</t>
        </is>
      </c>
    </row>
    <row r="176" ht="13.2" customHeight="1" s="37">
      <c r="A176" s="44" t="n">
        <v>174</v>
      </c>
      <c r="B176" s="45" t="inlineStr">
        <is>
          <t>ยาเบาหวานใด ไม่ต้องปรับขนาดยาในผู้ป่วยโรคไต</t>
        </is>
      </c>
      <c r="C176" s="46" t="n"/>
      <c r="D176" s="45" t="inlineStr">
        <is>
          <t>Pioglitazone</t>
        </is>
      </c>
      <c r="E176" s="45" t="inlineStr">
        <is>
          <t>Acarbose</t>
        </is>
      </c>
      <c r="F176" s="45" t="inlineStr">
        <is>
          <t>Sitagliptin</t>
        </is>
      </c>
      <c r="G176" s="45" t="inlineStr">
        <is>
          <t>Empaglifloxin</t>
        </is>
      </c>
      <c r="H176" s="45" t="inlineStr">
        <is>
          <t>Glibenclamide</t>
        </is>
      </c>
      <c r="I176" s="44" t="inlineStr">
        <is>
          <t>1</t>
        </is>
      </c>
      <c r="J176" s="45" t="inlineStr">
        <is>
          <t>✅ คำตอบที่ถูกต้อง: ข้อ ก. Pioglitazone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(Acarbose): Acarbose ไม่แนะนำให้ใช้ในผู้ป่วยโรคไตเรื้อรังรุนแรง (CrCl น้อยกว่า 25 mL/min)
• ข้อ ค. (Sitagliptin): Sitagliptin เป็นยาที่ขับออกทางไตเป็นหลัก จึงต้องปรับขนาดยาตามระดับการทำงานของไต (eGFR)
• ข้อ ง. (Empaglifloxin): Empagliflozin ห้ามเริ่มใช้เมื่อ eGFR ต่ำกว่า 30 mL/min เนื่องจากประสิทธิภาพในการลดน้ำตาลจะลดลงตามการทำงานของไต
• ข้อ จ. (Glibenclamide): Glibenclamide มี Active metabolites ที่ขับออกทางไต จึงมีข้อห้ามใช้ในผู้ป่วยโรคไตเสื่อมเนื่องจากเพิ่มความเสี่ยงภาวะน้ำตาลในเลือดต่ำอย่างรุนแรง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76" s="46" t="n"/>
      <c r="L176" s="45" t="inlineStr">
        <is>
          <t>Diabetes mellitus</t>
        </is>
      </c>
      <c r="M176" s="46" t="inlineStr">
        <is>
          <t>Clinic</t>
        </is>
      </c>
      <c r="N176" s="45" t="inlineStr">
        <is>
          <t>ข้อ 24 (PLE_CC1_Key_Rx20_UBU.md)</t>
        </is>
      </c>
      <c r="O176" s="46" t="inlineStr">
        <is>
          <t>Mock</t>
        </is>
      </c>
      <c r="P176" s="46" t="inlineStr">
        <is>
          <t>Mock Rx20 UBU</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Q161"/>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การใช้ยาลดกรดในข้อใดต่อไปนี้ในขนาดสูงติดต่อกันเป็นเวลานาน จะทำให้เกิด acid rebound</t>
        </is>
      </c>
      <c r="C3" s="2" t="n"/>
      <c r="D3" s="2" t="inlineStr">
        <is>
          <t>Aluminium hydroxide</t>
        </is>
      </c>
      <c r="E3" s="2" t="inlineStr">
        <is>
          <t>Sodium bicarbonate</t>
        </is>
      </c>
      <c r="F3" s="2" t="inlineStr">
        <is>
          <t>Calcium carbonate</t>
        </is>
      </c>
      <c r="G3" s="2" t="inlineStr">
        <is>
          <t>Hydrogen peroxide</t>
        </is>
      </c>
      <c r="H3" s="2" t="inlineStr">
        <is>
          <t>Sodium chloride</t>
        </is>
      </c>
      <c r="I3" s="8" t="inlineStr">
        <is>
          <t>3</t>
        </is>
      </c>
      <c r="J3" s="2" t="inlineStr">
        <is>
          <t>✅ คำตอบที่ถูกต้อง: ข้อ ค. Calcium carbonate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carbonate เมื่อรับประทานในขนาดสูงหรือติดต่อกันนาน สามารถกระตุ้นการหลั่ง gastrin ทำให้เกิดกรดหลั่งเพิ่มขึ้นหลังฤทธิ์ยาลดกรดหมดลง (acid rebound)
🔍 ข้ออื่นผิดเพราะอะไร:
• ข้อ ก. (Aluminium hydroxide): ข้อนี้ไม่ใช่คำตอบที่ถูกต้องสำหรับภาวะ GERD เนื่องจากกลไกการออกฤทธิ์, efficacy หรือข้อบ่งใช้ไม่ตรงกับโจทย์ที่กำหนด
• ข้อ ข. (Sodium bicarbonate): ข้อนี้ไม่ใช่คำตอบที่ถูกต้องสำหรับภาวะ GERD เนื่องจากกลไกการออกฤทธิ์, efficacy หรือข้อบ่งใช้ไม่ตรงกับโจทย์ที่กำหนด
• ข้อ ง. (Hydrogen peroxide): ข้อนี้ไม่ใช่คำตอบที่ถูกต้องสำหรับภาวะ GERD เนื่องจากกลไกการออกฤทธิ์, efficacy หรือข้อบ่งใช้ไม่ตรงกับโจทย์ที่กำหนด
• ข้อ จ. (Sodium chloride):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2" t="n"/>
      <c r="L3" s="2" t="inlineStr">
        <is>
          <t>GERD</t>
        </is>
      </c>
      <c r="M3" s="2" t="inlineStr">
        <is>
          <t>Clinic</t>
        </is>
      </c>
      <c r="N3" s="2" t="inlineStr">
        <is>
          <t>ข้อ 1 Pharma Plus เล่มม่วง (เฉลยข้อ ค)</t>
        </is>
      </c>
      <c r="O3" s="2" t="inlineStr">
        <is>
          <t>Mock</t>
        </is>
      </c>
      <c r="P3" s="2" t="inlineStr">
        <is>
          <t>Pharma Plus เล่มม่วง</t>
        </is>
      </c>
    </row>
    <row r="4" ht="13.2" customHeight="1" s="37">
      <c r="A4" s="8" t="inlineStr">
        <is>
          <t>2</t>
        </is>
      </c>
      <c r="B4" s="2" t="inlineStr">
        <is>
          <t>ข้อใดผิดเกี่ยวกับการใช้ยา bisacodyl</t>
        </is>
      </c>
      <c r="C4" s="2" t="n"/>
      <c r="D4" s="2" t="inlineStr">
        <is>
          <t>ห้ามใช้ในหญิงตั้งครรภ์</t>
        </is>
      </c>
      <c r="E4" s="2" t="inlineStr">
        <is>
          <t>ห้ามใช้กับยาลดกรด</t>
        </is>
      </c>
      <c r="F4" s="2" t="inlineStr">
        <is>
          <t>ใช้เตรียมผู้ป่วยก่อนการผ่าตัด</t>
        </is>
      </c>
      <c r="G4" s="2" t="inlineStr">
        <is>
          <t>มีผลกดระบบประสาทส่วนกลาง</t>
        </is>
      </c>
      <c r="H4" s="2" t="inlineStr">
        <is>
          <t>เป็น stimulant laxative</t>
        </is>
      </c>
      <c r="I4" s="8" t="inlineStr">
        <is>
          <t>1</t>
        </is>
      </c>
      <c r="J4" s="2" t="inlineStr">
        <is>
          <t>✅ คำตอบที่ถูกต้อง: ข้อ ก. ห้ามใช้ในหญิงตั้งครรภ์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ห้ามใช้ในหญิงตั้งครรภ์ Bisacodyl เป็นยาในกลุ่ม stimulant laxative ใช้เตรียมลำไส้ก่อนผ่าตัด และไม่ควรรับประทานพร้อมกับยาลดกรดหรือนมเนื่องจากจะทำให้ยาแตกตัวเร็วกว่ากำหนด แต่ตัวยาไม่ได้มีฤทธิ์กดระบบประสาทส่วนกลาง
🔍 ข้ออื่นผิดเพราะอะไร:
• ข้อ ข. (ห้ามใช้กับยาลดกรด): ข้อนี้ไม่ใช่คำตอบที่ถูกต้องสำหรับภาวะ Diarrhea &amp; Constipation เนื่องจากกลไกการออกฤทธิ์, efficacy หรือข้อบ่งใช้ไม่ตรงกับโจทย์ที่กำหนด
• ข้อ ค. (ใช้เตรียมผู้ป่วยก่อนการผ่าตัด): ข้อนี้ไม่ใช่คำตอบที่ถูกต้องสำหรับภาวะ Diarrhea &amp; Constipation เนื่องจากกลไกการออกฤทธิ์, efficacy หรือข้อบ่งใช้ไม่ตรงกับโจทย์ที่กำหนด
• ข้อ ง. (มีผลกดระบบประสาทส่วนกลาง): ข้อนี้ไม่ใช่คำตอบที่ถูกต้องสำหรับภาวะ Diarrhea &amp; Constipation เนื่องจากกลไกการออกฤทธิ์, efficacy หรือข้อบ่งใช้ไม่ตรงกับโจทย์ที่กำหนด
• ข้อ จ. (เป็น stimulant laxative):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Diarrhea &amp; Constipation</t>
        </is>
      </c>
      <c r="M4" s="2" t="inlineStr">
        <is>
          <t>Clinic</t>
        </is>
      </c>
      <c r="N4" s="2" t="inlineStr">
        <is>
          <t>ข้อ 2 Pharma Plus เล่มม่วง (เฉลยข้อ ก ง)</t>
        </is>
      </c>
      <c r="O4" s="2" t="inlineStr">
        <is>
          <t>Mock</t>
        </is>
      </c>
      <c r="P4" s="2" t="inlineStr">
        <is>
          <t>Pharma Plus เล่มม่วง</t>
        </is>
      </c>
    </row>
    <row r="5" ht="13.2" customHeight="1" s="37">
      <c r="A5" s="8" t="inlineStr">
        <is>
          <t>3</t>
        </is>
      </c>
      <c r="B5" s="2" t="inlineStr">
        <is>
          <t>ถ้าต้องการใช้ยาระบายเพื่อออกฤทธิ์ทันที ควรใช้ข้อใด</t>
        </is>
      </c>
      <c r="C5" s="2" t="n"/>
      <c r="D5" s="2" t="inlineStr">
        <is>
          <t>Psyllium</t>
        </is>
      </c>
      <c r="E5" s="2" t="inlineStr">
        <is>
          <t>Senna</t>
        </is>
      </c>
      <c r="F5" s="2" t="inlineStr">
        <is>
          <t>Bisacodyl</t>
        </is>
      </c>
      <c r="G5" s="2" t="inlineStr">
        <is>
          <t>Enema</t>
        </is>
      </c>
      <c r="H5" s="2" t="inlineStr">
        <is>
          <t>Mucilin</t>
        </is>
      </c>
      <c r="I5" s="8" t="inlineStr">
        <is>
          <t>4</t>
        </is>
      </c>
      <c r="J5" s="2" t="inlineStr">
        <is>
          <t>✅ คำตอบที่ถูกต้อง: ข้อ ง. Enema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Enema (ยาสวนอุจจาระ) ออกฤทธิ์ได้เร็วที่สุดในบรรดายาระบายทั้งหมด (มักออกฤทธิ์ภายใน 5-15 นาที) เหมาะสำหรับกรณีที่ต้องการให้ถ่ายทันที
🔍 ข้ออื่นผิดเพราะอะไร:
• ข้อ ก. (Psyllium): ข้อนี้ไม่ใช่คำตอบที่ถูกต้องสำหรับภาวะ GERD เนื่องจากกลไกการออกฤทธิ์, efficacy หรือข้อบ่งใช้ไม่ตรงกับโจทย์ที่กำหนด
• ข้อ ข. (Senna): เป็น Anthraquinone stimulant laxative กระตุ้น myenteric plexus แต่การใช้ระยะยาวอาจทำให้เกิด melanosis coli และ bowel dependence
• ข้อ ค.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(Mucilin):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 s="2" t="n"/>
      <c r="L5" s="2" t="inlineStr">
        <is>
          <t>GERD</t>
        </is>
      </c>
      <c r="M5" s="2" t="inlineStr">
        <is>
          <t>Clinic</t>
        </is>
      </c>
      <c r="N5" s="2" t="inlineStr">
        <is>
          <t>ข้อ 3 Pharma Plus เล่มม่วง (เฉลยข้อ ง)</t>
        </is>
      </c>
      <c r="O5" s="2" t="inlineStr">
        <is>
          <t>Mock</t>
        </is>
      </c>
      <c r="P5" s="2" t="inlineStr">
        <is>
          <t>Pharma Plus เล่มม่วง</t>
        </is>
      </c>
    </row>
    <row r="6" ht="13.2" customHeight="1" s="37">
      <c r="A6" s="8" t="inlineStr">
        <is>
          <t>4</t>
        </is>
      </c>
      <c r="B6" s="2" t="inlineStr">
        <is>
          <t>สารอนินทรีย์ใดมีคุณสมบัติเป็นยาถ่ายหรือยาระบาย ซึ่งสามารถให้หลังจากที่ได้รับยา niclosamide แล้ว</t>
        </is>
      </c>
      <c r="C6" s="2" t="n"/>
      <c r="D6" s="2" t="inlineStr">
        <is>
          <t>Mg(OH)2</t>
        </is>
      </c>
      <c r="E6" s="2" t="inlineStr">
        <is>
          <t>Al(OH)3</t>
        </is>
      </c>
      <c r="F6" s="2" t="inlineStr">
        <is>
          <t>Na2SO4</t>
        </is>
      </c>
      <c r="G6" s="2" t="inlineStr">
        <is>
          <t>Na2CO3</t>
        </is>
      </c>
      <c r="H6" s="2" t="inlineStr">
        <is>
          <t>NaCl</t>
        </is>
      </c>
      <c r="I6" s="8" t="inlineStr">
        <is>
          <t>1</t>
        </is>
      </c>
      <c r="J6" s="2" t="inlineStr">
        <is>
          <t>✅ คำตอบที่ถูกต้อง: ข้อ ก. Mg(OH)2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Mg(OH)2 Sodium sulfate (Na2SO4) เป็นเกลือซัลเฟตที่มีฤทธิ์เป็น saline laxative นิยมใช้เป็นยาระบายเพื่อขับพยาธิและส่วนหัวของพยาธิออกหลังจากการให้ยาฆ่าพยาธิเช่น niclosamide
🔍 ข้ออื่นผิดเพราะอะไร:
• ข้อ ข. (Al(OH)3): ข้อนี้ไม่ใช่คำตอบที่ถูกต้องสำหรับภาวะ GERD เนื่องจากกลไกการออกฤทธิ์, efficacy หรือข้อบ่งใช้ไม่ตรงกับโจทย์ที่กำหนด
• ข้อ ค. (Na2SO4): ข้อนี้ไม่ใช่คำตอบที่ถูกต้องสำหรับภาวะ GERD เนื่องจากกลไกการออกฤทธิ์, efficacy หรือข้อบ่งใช้ไม่ตรงกับโจทย์ที่กำหนด
• ข้อ ง. (Na2CO3): ข้อนี้ไม่ใช่คำตอบที่ถูกต้องสำหรับภาวะ GERD เนื่องจากกลไกการออกฤทธิ์, efficacy หรือข้อบ่งใช้ไม่ตรงกับโจทย์ที่กำหนด
• ข้อ จ. (NaCl):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 s="2" t="n"/>
      <c r="L6" s="2" t="inlineStr">
        <is>
          <t>GERD</t>
        </is>
      </c>
      <c r="M6" s="2" t="inlineStr">
        <is>
          <t>Clinic</t>
        </is>
      </c>
      <c r="N6" s="2" t="inlineStr">
        <is>
          <t>ข้อ 4 Pharma Plus เล่มม่วง (เฉลยข้อ ก จ)</t>
        </is>
      </c>
      <c r="O6" s="2" t="inlineStr">
        <is>
          <t>Mock</t>
        </is>
      </c>
      <c r="P6" s="2" t="inlineStr">
        <is>
          <t>Pharma Plus เล่มม่วง</t>
        </is>
      </c>
    </row>
    <row r="7" ht="13.2" customHeight="1" s="37">
      <c r="A7" s="8" t="inlineStr">
        <is>
          <t>5</t>
        </is>
      </c>
      <c r="B7" s="2" t="inlineStr">
        <is>
          <t>ผลิตภัณฑ์ยาในข้อใดมีข้อบ่งใช้เกี่ยวข้องกับโรคริดสีดวงทวารน้อยที่สุด</t>
        </is>
      </c>
      <c r="C7" s="2" t="n"/>
      <c r="D7" s="2" t="inlineStr">
        <is>
          <t>Proctosedyl</t>
        </is>
      </c>
      <c r="E7" s="2" t="inlineStr">
        <is>
          <t>Anusal</t>
        </is>
      </c>
      <c r="F7" s="2" t="inlineStr">
        <is>
          <t>Bactroban</t>
        </is>
      </c>
      <c r="G7" s="2" t="inlineStr">
        <is>
          <t>Essaven</t>
        </is>
      </c>
      <c r="H7" s="2" t="inlineStr">
        <is>
          <t>Siduol</t>
        </is>
      </c>
      <c r="I7" s="8" t="inlineStr">
        <is>
          <t>3</t>
        </is>
      </c>
      <c r="J7" s="2" t="inlineStr">
        <is>
          <t>✅ คำตอบที่ถูกต้อง: ข้อ ค. Bactroban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Bactroban เป็นยาปฏิชีวนะ (mupirocin) ใช้รักษาการติดเชื้อแบคทีเรียที่ผิวหนัง จึงมีข้อบ่งใช้เกี่ยวข้องกับริดสีดวงทวารน้อยที่สุด เมื่อเทียบกับตัวอื่นที่เป็นยาเฉพาะที่สำหรับริดสีดวงหรือเส้นเลือดขอด
🔍 ข้ออื่นผิดเพราะอะไร:
• ข้อ ก. (Proctosedyl): ข้อนี้ไม่ใช่คำตอบที่ถูกต้องสำหรับภาวะ GERD เนื่องจากกลไกการออกฤทธิ์, efficacy หรือข้อบ่งใช้ไม่ตรงกับโจทย์ที่กำหนด
• ข้อ ข. (Anusal): ข้อนี้ไม่ใช่คำตอบที่ถูกต้องสำหรับภาวะ GERD เนื่องจากกลไกการออกฤทธิ์, efficacy หรือข้อบ่งใช้ไม่ตรงกับโจทย์ที่กำหนด
• ข้อ ง. (Essaven): ข้อนี้ไม่ใช่คำตอบที่ถูกต้องสำหรับภาวะ GERD เนื่องจากกลไกการออกฤทธิ์, efficacy หรือข้อบ่งใช้ไม่ตรงกับโจทย์ที่กำหนด
• ข้อ จ. (Siduol):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 s="2" t="n"/>
      <c r="L7" s="2" t="inlineStr">
        <is>
          <t>GERD</t>
        </is>
      </c>
      <c r="M7" s="2" t="inlineStr">
        <is>
          <t>Clinic</t>
        </is>
      </c>
      <c r="N7" s="2" t="inlineStr">
        <is>
          <t>ข้อ 5 Pharma Plus เล่มม่วง (เฉลยข้อ ค)</t>
        </is>
      </c>
      <c r="O7" s="2" t="inlineStr">
        <is>
          <t>Mock</t>
        </is>
      </c>
      <c r="P7" s="2" t="inlineStr">
        <is>
          <t>Pharma Plus เล่มม่วง</t>
        </is>
      </c>
    </row>
    <row r="8" ht="13.2" customHeight="1" s="37">
      <c r="A8" s="8" t="inlineStr">
        <is>
          <t>6</t>
        </is>
      </c>
      <c r="B8" s="2" t="inlineStr">
        <is>
          <t>ผู้ป่วยหญิงอายุ 43 ปี เป็นริดสีดวงทวาร มาขอปรึกษาเรื่องการใช้ยาและการปฏิบัติตน
ข้อใดกล่าวไม่ถูกต้องเกี่ยวกับโรคริดสีดวงทวาร</t>
        </is>
      </c>
      <c r="C8" s="2" t="n"/>
      <c r="D8" s="2" t="inlineStr">
        <is>
          <t>มักมีถ่ายอุจจาระเป็นเลือดสีคล้ำดำ</t>
        </is>
      </c>
      <c r="E8" s="2" t="inlineStr">
        <is>
          <t>ริดสีดวงแบ่งเป็น 2 ประเภท คือริดสีดวงภายในและริดสีดวงภายนอก</t>
        </is>
      </c>
      <c r="F8" s="2" t="inlineStr">
        <is>
          <t>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t>
        </is>
      </c>
      <c r="G8" s="2" t="inlineStr">
        <is>
          <t>ริดสีดวงภายนอก คือ เนื้อเยื่อที่อยู่ใต้ dentate line ยื่นออกเป็นติ่งเนื้อ</t>
        </is>
      </c>
      <c r="H8" s="2" t="inlineStr">
        <is>
          <t>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t>
        </is>
      </c>
      <c r="I8" s="8" t="inlineStr">
        <is>
          <t>1</t>
        </is>
      </c>
      <c r="J8" s="2" t="inlineStr">
        <is>
          <t>✅ คำตอบที่ถูกต้อง: ข้อ ก. มักมีถ่ายอุจจาระเป็นเลือดสีคล้ำดำ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มักมีถ่ายอุจจาระเป็นเลือดสีคล้ำดำ เลือดจากริดสีดวงทวาร (โดยเฉพาะริดสีดวงภายใน) มักเป็นเลือดสดเคลือบอุจจาระหรือหยดออกมา ไม่ใช่เลือดสีคล้ำดำ (ซึ่งมักเกิดจากเลือดออกในทางเดินอาหารส่วนบนหรือลำไส้ส่วนต้น)
🔍 ข้ออื่นผิดเพราะอะไร:
• ข้อ ข. (ริดสีดวงแบ่งเป็น 2 ประเภท คือริดสีดวงภายในและริดสีดวงภายนอก): ข้อนี้ไม่ใช่คำตอบที่ถูกต้องสำหรับภาวะ GERD เนื่องจากกลไกการออกฤทธิ์, efficacy หรือข้อบ่งใช้ไม่ตรงกับโจทย์ที่กำหนด
• ข้อ ค. (ริดสีดวงภายใน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 ข้อนี้ไม่ใช่คำตอบที่ถูกต้องสำหรับภาวะ GERD เนื่องจากกลไกการออกฤทธิ์, efficacy หรือข้อบ่งใช้ไม่ตรงกับโจทย์ที่กำหนด
• ข้อ ง. (ริดสีดวงภายนอก คือ เนื้อเยื่อที่อยู่ใต้ dentate line ยื่นออกเป็นติ่งเนื้อ): ข้อนี้ไม่ใช่คำตอบที่ถูกต้องสำหรับภาวะ GERD เนื่องจากกลไกการออกฤทธิ์, efficacy หรือข้อบ่งใช้ไม่ตรงกับโจทย์ที่กำหนด
• ข้อ จ. (สาเหตุของการเกิดริดสีดวงทวารคือการมีภาวะต่าง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2" t="n"/>
      <c r="L8" s="2" t="inlineStr">
        <is>
          <t>GERD</t>
        </is>
      </c>
      <c r="M8" s="2" t="inlineStr">
        <is>
          <t>Clinic</t>
        </is>
      </c>
      <c r="N8" s="2" t="inlineStr">
        <is>
          <t>ข้อ 6 Pharma Plus เล่มม่วง (เฉลยข้อ ก)</t>
        </is>
      </c>
      <c r="O8" s="2" t="inlineStr">
        <is>
          <t>Mock</t>
        </is>
      </c>
      <c r="P8" s="2" t="inlineStr">
        <is>
          <t>Pharma Plus เล่มม่วง</t>
        </is>
      </c>
    </row>
    <row r="9" ht="13.2" customHeight="1" s="37">
      <c r="A9" s="8" t="inlineStr">
        <is>
          <t>7</t>
        </is>
      </c>
      <c r="B9" s="2" t="inlineStr">
        <is>
          <t>ข้อใดเป็นขนาดใช้ของยา daflon 500 mg ในระยะเกิด hemorrhoidal attacks</t>
        </is>
      </c>
      <c r="C9" s="2" t="n"/>
      <c r="D9" s="2" t="inlineStr">
        <is>
          <t>2 tablets daily</t>
        </is>
      </c>
      <c r="E9" s="2" t="inlineStr">
        <is>
          <t>6 tablets daily for 4 days followed by 4 tablets daily for 3 days</t>
        </is>
      </c>
      <c r="F9" s="2" t="inlineStr">
        <is>
          <t>4 tablets daily for 4 days followed by 3 tablets daily for 3 days</t>
        </is>
      </c>
      <c r="G9" s="2" t="inlineStr">
        <is>
          <t>1-tab tid pc for 5 days</t>
        </is>
      </c>
      <c r="H9" s="2" t="inlineStr">
        <is>
          <t>1-tab OD</t>
        </is>
      </c>
      <c r="I9" s="8" t="inlineStr">
        <is>
          <t>2</t>
        </is>
      </c>
      <c r="J9" s="2" t="inlineStr">
        <is>
          <t>✅ คำตอบที่ถูกต้อง: ข้อ ข. 6 tablets daily for 4 days followed by 4 tablets daily for 3 days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6 tablets daily for 4 days followed by 4 tablets daily for 3 days ขนาดรับประทานของ Micronized Purified Flavonoid Fraction (Daflon 500 mg) ในการรักษาอาการริดสีดวงทวารกำเริบเฉียบพลัน (acute hemorrhoidal attack) คือ 6 เม็ดต่อวัน เป็นเวลา 4 วันแรก จากนั้นลดเหลือ 4 เม็ดต่อวัน เป็นเวลา 3 วัน ตามคำแนะนำในเอกสารกำกับยาและแนวทางการรักษา
🔍 ข้ออื่นผิดเพราะอะไร:
• ข้อ ก. (2 tablets daily): ข้อนี้ไม่ใช่คำตอบที่ถูกต้องสำหรับภาวะ GERD เนื่องจากกลไกการออกฤทธิ์, efficacy หรือข้อบ่งใช้ไม่ตรงกับโจทย์ที่กำหนด
• ข้อ ค. (4 tablets daily for 4 days followed by 3 tablets daily for 3 days): ข้อนี้ไม่ใช่คำตอบที่ถูกต้องสำหรับภาวะ GERD เนื่องจากกลไกการออกฤทธิ์, efficacy หรือข้อบ่งใช้ไม่ตรงกับโจทย์ที่กำหนด
• ข้อ ง. (1-tab tid pc for 5 days): ข้อนี้ไม่ใช่คำตอบที่ถูกต้องสำหรับภาวะ GERD เนื่องจากกลไกการออกฤทธิ์, efficacy หรือข้อบ่งใช้ไม่ตรงกับโจทย์ที่กำหนด
• ข้อ จ. (1-tab OD):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 s="2" t="n"/>
      <c r="L9" s="2" t="inlineStr">
        <is>
          <t>GERD</t>
        </is>
      </c>
      <c r="M9" s="2" t="inlineStr">
        <is>
          <t>Clinic</t>
        </is>
      </c>
      <c r="N9" s="2" t="inlineStr">
        <is>
          <t>ข้อ 7 Pharma Plus เล่มม่วง (เฉลยข้อ ข)</t>
        </is>
      </c>
      <c r="O9" s="2" t="inlineStr">
        <is>
          <t>Mock</t>
        </is>
      </c>
      <c r="P9" s="2" t="inlineStr">
        <is>
          <t>Pharma Plus เล่มม่วง</t>
        </is>
      </c>
    </row>
    <row r="10" ht="13.2" customHeight="1" s="37">
      <c r="A10" s="8" t="inlineStr">
        <is>
          <t>8</t>
        </is>
      </c>
      <c r="B10" s="2" t="inlineStr">
        <is>
          <t>ผู้ป่วยเด็กชายไทยอายุ 10 ปี มีอาการท้องเสีย ถ่ายเป็นน้ำ ไม่มีไข้ ไม่มีคลื่นไส้อาเจียน ยาที่ผู้ป่วยได้รับคือ - Disento PF suspension (Per 15 mL Furazolidone 50 mg, Pectin 150 mg, light kaolin 3 g) 1 ขวด - Oreda (Glucose anhydrous 3 g, NaCl 0.53 g, KCl 0.23 g, Na citrate dehydrate 0.44 g) 5 ซอง
ท่านคิดว่าผู้ป่วยมีภาวะท้องเสียจากสาเหตุใด จำเป็นต้องใช้ยาปฏิชีวนะหรือไม่</t>
        </is>
      </c>
      <c r="C10" s="2" t="n"/>
      <c r="D10" s="2" t="inlineStr">
        <is>
          <t>ไทพอยด์ จำเป็นต้องใช้ยาปฏิชีวนะ</t>
        </is>
      </c>
      <c r="E10" s="2" t="inlineStr">
        <is>
          <t>บิดมีตัว จำเป็นต้องใช้ยาปฏิชีวนะ</t>
        </is>
      </c>
      <c r="F10" s="2" t="inlineStr">
        <is>
          <t>บิดไม่มีตัว ไม่จำเป็นต้องใช้ยาปฏิชีวนะ</t>
        </is>
      </c>
      <c r="G10" s="2" t="inlineStr">
        <is>
          <t>อหิวาต์ จำเป็นต้องใช้ยาปฏิชีวนะ</t>
        </is>
      </c>
      <c r="H10" s="2" t="inlineStr">
        <is>
          <t>อาหารเป็นพิษ ไม่จำเป็นต้องใช้ยาปฏิชีวนะ</t>
        </is>
      </c>
      <c r="I10" s="8" t="inlineStr">
        <is>
          <t>4</t>
        </is>
      </c>
      <c r="J10" s="2" t="inlineStr">
        <is>
          <t>✅ คำตอบที่ถูกต้อง: ข้อ ง. อหิวาต์ จำเป็นต้องใช้ยาปฏิชีวนะ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อหิวาต์ จำเป็นต้องใช้ยาปฏิชีวนะ อาการท้องเสียถ่ายเป็นน้ำ ไม่มีไข้ มักเกิดจากเชื้อไวรัสหรือสารพิษจากแบคทีเรีย (อาหารเป็นพิษ) ซึ่งส่วนใหญ่หายได้เอง การรักษาหลักคือการให้สารน้ำเกลือแร่ (ORS) ไม่มีความจำเป็นต้องใช้ยาปฏิชีวนะ ยกเว้นในรายที่มีการติดเชื้อแบคทีเรียรุนแรงหรือมีไข้สูง
🔍 ข้ออื่นผิดเพราะอะไร:
• ข้อ ก. (ไทพอยด์ จำเป็นต้องใช้ยาปฏิชีวนะ): ข้อนี้ไม่ใช่คำตอบที่ถูกต้องสำหรับภาวะ Diarrhea &amp; Constipation เนื่องจากกลไกการออกฤทธิ์, efficacy หรือข้อบ่งใช้ไม่ตรงกับโจทย์ที่กำหนด
• ข้อ ข. (บิดมีตัว จำเป็นต้องใช้ยาปฏิชีวนะ): ข้อนี้ไม่ใช่คำตอบที่ถูกต้องสำหรับภาวะ Diarrhea &amp; Constipation เนื่องจากกลไกการออกฤทธิ์, efficacy หรือข้อบ่งใช้ไม่ตรงกับโจทย์ที่กำหนด
• ข้อ ค. (บิดไม่มีตัว ไม่จำเป็นต้องใช้ยาปฏิชีวนะ): ข้อนี้ไม่ใช่คำตอบที่ถูกต้องสำหรับภาวะ Diarrhea &amp; Constipation เนื่องจากกลไกการออกฤทธิ์, efficacy หรือข้อบ่งใช้ไม่ตรงกับโจทย์ที่กำหนด
• ข้อ จ. (อาหารเป็นพิษ ไม่จำเป็นต้องใช้ยาปฏิชีวนะ):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0" s="2" t="n"/>
      <c r="L10" s="2" t="inlineStr">
        <is>
          <t>Diarrhea &amp; Constipation</t>
        </is>
      </c>
      <c r="M10" s="2" t="inlineStr">
        <is>
          <t>Clinic</t>
        </is>
      </c>
      <c r="N10" s="2" t="inlineStr">
        <is>
          <t>ข้อ 8 Pharma Plus เล่มม่วง (เฉลยข้อ ง)</t>
        </is>
      </c>
      <c r="O10" s="2" t="inlineStr">
        <is>
          <t>Mock</t>
        </is>
      </c>
      <c r="P10" s="2" t="inlineStr">
        <is>
          <t>Pharma Plus เล่มม่วง</t>
        </is>
      </c>
    </row>
    <row r="11" ht="13.2" customHeight="1" s="37">
      <c r="A11" s="8" t="inlineStr">
        <is>
          <t>9</t>
        </is>
      </c>
      <c r="B11" s="2" t="inlineStr">
        <is>
          <t>คำแนะนำในข้อใดไม่ถูกต้อง</t>
        </is>
      </c>
      <c r="C11" s="2" t="n"/>
      <c r="D11" s="2" t="inlineStr">
        <is>
          <t>สามารถเตรียมผงน้ำตาลเกลือแร่เองได้ โดยใช้น้ำตาลทรายผสมกับเกลือแกง</t>
        </is>
      </c>
      <c r="E11" s="2" t="inlineStr">
        <is>
          <t>เมื่อละลายผงน้ำตาลเกลือแร่แล้ว ควรใช้ภายใน 24 ชั่วโมง</t>
        </is>
      </c>
      <c r="F11" s="2" t="inlineStr">
        <is>
          <t>ควรให้ดื่มนมที่ชงเข้มข้นกว่าปกติเพื่อชดเชยน้ำที่สูญเสียไป</t>
        </is>
      </c>
      <c r="G11" s="2" t="inlineStr">
        <is>
          <t>ล้างมือด้วยน้ำกับสบู่ทุกครั้งก่อนรับประทานอาหาร</t>
        </is>
      </c>
      <c r="H11" s="2" t="inlineStr">
        <is>
          <t>กินอาหารสุก ไม่มีแมลงวันตอม</t>
        </is>
      </c>
      <c r="I11" s="8" t="inlineStr">
        <is>
          <t>3</t>
        </is>
      </c>
      <c r="J11" s="2" t="inlineStr">
        <is>
          <t>✅ คำตอบที่ถูกต้อง: ข้อ ค. ควรให้ดื่มนมที่ชงเข้มข้นกว่าปกติเพื่อชดเชยน้ำที่สูญเสียไป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ควรให้ดื่มนมที่ชงเข้มข้นกว่าปกติเพื่อชดเชยน้ำที่สูญเสียไป การชงนมให้เข้มข้นกว่าปกติในเด็กท้องเสียจะทำให้เกิดภาวะ hypertonic ส่งผลให้อุจจาระเหลวมากขึ้นและดึงน้ำเข้าสู่ลำไส้เพิ่มขึ้น (hyperosmolar diarrhea) จึงเป็นคำแนะนำที่ไม่ถูกต้อง ส่วนการผสมเกลือแร่เองไม่แนะนำให้ทำเนื่องจากสัดส่วนอาจคลาดเคลื่อนและอันตราย
🔍 ข้ออื่นผิดเพราะอะไร:
• ข้อ ก. (สามารถเตรียมผงน้ำตาลเกลือแร่เองได้ โดยใช้น้ำตาลทรายผสมกับเกลือแกง): ข้อนี้ไม่ใช่คำตอบที่ถูกต้องสำหรับภาวะ Diarrhea &amp; Constipation เนื่องจากกลไกการออกฤทธิ์, efficacy หรือข้อบ่งใช้ไม่ตรงกับโจทย์ที่กำหนด
• ข้อ ข. (เมื่อละลายผงน้ำตาลเกลือแร่แล้ว ควรใช้ภายใน 24 ชั่วโมง): ข้อนี้ไม่ใช่คำตอบที่ถูกต้องสำหรับภาวะ Diarrhea &amp; Constipation เนื่องจากกลไกการออกฤทธิ์, efficacy หรือข้อบ่งใช้ไม่ตรงกับโจทย์ที่กำหนด
• ข้อ ง. (ล้างมือด้วยน้ำกับสบู่ทุกครั้งก่อนรับประทานอาหาร): ข้อนี้ไม่ใช่คำตอบที่ถูกต้องสำหรับภาวะ Diarrhea &amp; Constipation เนื่องจากกลไกการออกฤทธิ์, efficacy หรือข้อบ่งใช้ไม่ตรงกับโจทย์ที่กำหนด
• ข้อ จ. (กินอาหารสุก ไม่มีแมลงวันตอม):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Diarrhea &amp; Constipation</t>
        </is>
      </c>
      <c r="M11" s="2" t="inlineStr">
        <is>
          <t>Clinic</t>
        </is>
      </c>
      <c r="N11" s="2" t="inlineStr">
        <is>
          <t>ข้อ 9 Pharma Plus เล่มม่วง (เฉลยข้อ ค)</t>
        </is>
      </c>
      <c r="O11" s="2" t="inlineStr">
        <is>
          <t>Mock</t>
        </is>
      </c>
      <c r="P11" s="2" t="inlineStr">
        <is>
          <t>Pharma Plus เล่มม่วง</t>
        </is>
      </c>
    </row>
    <row r="12" ht="13.2" customHeight="1" s="37">
      <c r="A12" s="8" t="inlineStr">
        <is>
          <t>10</t>
        </is>
      </c>
      <c r="B12" s="2" t="inlineStr">
        <is>
          <t>การให้ Kaolin - Pectin แก่ผู้ป่วยเพื่อ</t>
        </is>
      </c>
      <c r="C12" s="2" t="n"/>
      <c r="D12" s="2" t="inlineStr">
        <is>
          <t>ดูดซับสารพิษ</t>
        </is>
      </c>
      <c r="E12" s="2" t="inlineStr">
        <is>
          <t>บรรเทาการสูญเสียน้ำและเกลือแร่จากร่างกาย</t>
        </is>
      </c>
      <c r="F12" s="2" t="inlineStr">
        <is>
          <t>มีคุณสมบัติเป็นประจุบวก</t>
        </is>
      </c>
      <c r="G12" s="2" t="inlineStr">
        <is>
          <t>ดูดน้ำเข้าหาตัว</t>
        </is>
      </c>
      <c r="H12" s="2" t="inlineStr">
        <is>
          <t>เพิ่มการดูดกลับน้ำและอิเลคโทรไลต์</t>
        </is>
      </c>
      <c r="I12" s="8" t="inlineStr">
        <is>
          <t>1</t>
        </is>
      </c>
      <c r="J12" s="2" t="inlineStr">
        <is>
          <t>✅ คำตอบที่ถูกต้อง: ข้อ ก. ดูดซับสารพิษ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ดูดซับสารพิษ Kaolin และ Pectin ทำหน้าที่เป็น adsorbent มีคุณสมบัติในการดูดซับ (adsorb) สารพิษ แบคทีเรีย หรือ 38Toxin ต่างๆ ในทางเดินอาหาร ช่วยลดความถี่และเพิ่มความคงตัวของอุจจาระในผู้ป่วยท้องเสีย
🔍 ข้ออื่นผิดเพราะอะไร:
• ข้อ ข. (บรรเทาการสูญเสียน้ำและเกลือแร่จากร่างกาย): ข้อนี้ไม่ใช่คำตอบที่ถูกต้องสำหรับภาวะ GERD เนื่องจากกลไกการออกฤทธิ์, efficacy หรือข้อบ่งใช้ไม่ตรงกับโจทย์ที่กำหนด
• ข้อ ค. (มีคุณสมบัติเป็นประจุบวก): ข้อนี้ไม่ใช่คำตอบที่ถูกต้องสำหรับภาวะ GERD เนื่องจากกลไกการออกฤทธิ์, efficacy หรือข้อบ่งใช้ไม่ตรงกับโจทย์ที่กำหนด
• ข้อ ง. (ดูดน้ำเข้าหาตัว): ข้อนี้ไม่ใช่คำตอบที่ถูกต้องสำหรับภาวะ GERD เนื่องจากกลไกการออกฤทธิ์, efficacy หรือข้อบ่งใช้ไม่ตรงกับโจทย์ที่กำหนด
• ข้อ จ. (เพิ่มการดูดกลับน้ำและอิเลคโทรไลต์):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 s="2" t="n"/>
      <c r="L12" s="2" t="inlineStr">
        <is>
          <t>GERD</t>
        </is>
      </c>
      <c r="M12" s="2" t="inlineStr">
        <is>
          <t>Clinic</t>
        </is>
      </c>
      <c r="N12" s="2" t="inlineStr">
        <is>
          <t>ข้อ 10 Pharma Plus เล่มม่วง (เฉลยข้อ ก)</t>
        </is>
      </c>
      <c r="O12" s="2" t="inlineStr">
        <is>
          <t>Mock</t>
        </is>
      </c>
      <c r="P12" s="2" t="inlineStr">
        <is>
          <t>Pharma Plus เล่มม่วง</t>
        </is>
      </c>
    </row>
    <row r="13" ht="13.2" customHeight="1" s="37">
      <c r="A13" s="8" t="inlineStr">
        <is>
          <t>11</t>
        </is>
      </c>
      <c r="B13" s="2" t="inlineStr">
        <is>
          <t>เพราะเหตุใดจึงห้ามใช้ norfloxacin ในเด็กอายุต่ำกว่า 12 ปี</t>
        </is>
      </c>
      <c r="C13" s="2" t="n"/>
      <c r="D13" s="2" t="inlineStr">
        <is>
          <t>ทำให้คลื่นไส้</t>
        </is>
      </c>
      <c r="E13" s="2" t="inlineStr">
        <is>
          <t>ทำให้ปวดศีรษะ</t>
        </is>
      </c>
      <c r="F13" s="2" t="inlineStr">
        <is>
          <t>ทำให้เกิดความผิดปกติในการเจริญเติบโตของข้อกระดูก เส้นเอ็น</t>
        </is>
      </c>
      <c r="G13" s="2" t="inlineStr">
        <is>
          <t>ทำให้เกิดความผิดปกติในการทำงานของตับและไต</t>
        </is>
      </c>
      <c r="H13" s="2" t="inlineStr">
        <is>
          <t>ทำให้เกิดภาวะช็อก</t>
        </is>
      </c>
      <c r="I13" s="8" t="inlineStr">
        <is>
          <t>3</t>
        </is>
      </c>
      <c r="J13" s="2" t="inlineStr">
        <is>
          <t>✅ คำตอบที่ถูกต้อง: ข้อ ค. ทำให้เกิดความผิดปกติในการเจริญเติบโตของข้อกระดูก เส้นเอ็น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ทำให้เกิดความผิดปกติในการเจริญเติบโตของข้อกระดูก เส้นเอ็น ยาในกลุ่ม Fluoroquinolones (เช่น Norfloxacin) มีรายงานการเกิด arthropathy และความเสียหายต่อกระดูกอ่อนผิวข้อ (cartilage damage) ในสัตว์ทดลองวัยอ่อน จึง contraindication ในเด็กอายุต่ำกว่า 18 ปี หรือต่ำกว่า 12 ปี เพื่อป้องกันผลกระทบต่อการเจริญเติบโตของกระดูกและข้อ
🔍 ข้ออื่นผิดเพราะอะไร:
• ข้อ ก. (ทำให้คลื่นไส้): ข้อนี้ไม่ใช่คำตอบที่ถูกต้องสำหรับภาวะ GERD เนื่องจากกลไกการออกฤทธิ์, efficacy หรือข้อบ่งใช้ไม่ตรงกับโจทย์ที่กำหนด
• ข้อ ข. (ทำให้ปวดศีรษะ): ข้อนี้ไม่ใช่คำตอบที่ถูกต้องสำหรับภาวะ GERD เนื่องจากกลไกการออกฤทธิ์, efficacy หรือข้อบ่งใช้ไม่ตรงกับโจทย์ที่กำหนด
• ข้อ ง. (ทำให้เกิดความผิดปกติในการทำงานของตับและไต): ข้อนี้ไม่ใช่คำตอบที่ถูกต้องสำหรับภาวะ GERD เนื่องจากกลไกการออกฤทธิ์, efficacy หรือข้อบ่งใช้ไม่ตรงกับโจทย์ที่กำหนด
• ข้อ จ. (ทำให้เกิดภาวะช็อก):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 s="2" t="n"/>
      <c r="L13" s="2" t="inlineStr">
        <is>
          <t>GERD</t>
        </is>
      </c>
      <c r="M13" s="2" t="inlineStr">
        <is>
          <t>Clinic</t>
        </is>
      </c>
      <c r="N13" s="2" t="inlineStr">
        <is>
          <t>ข้อ 11 Pharma Plus เล่มม่วง (เฉลยข้อ ค)</t>
        </is>
      </c>
      <c r="O13" s="2" t="inlineStr">
        <is>
          <t>Mock</t>
        </is>
      </c>
      <c r="P13" s="2" t="inlineStr">
        <is>
          <t>Pharma Plus เล่มม่วง</t>
        </is>
      </c>
    </row>
    <row r="14" ht="13.2" customHeight="1" s="37">
      <c r="A14" s="8" t="inlineStr">
        <is>
          <t>12</t>
        </is>
      </c>
      <c r="B14" s="2" t="inlineStr">
        <is>
          <t>ชายไทยอายุ 40 ปี มีอาการปวด จุกบริเวณใต้ลิ้นปี่ มาขอซื้อยา ลดกรดในร้านยา เภสัชกรได้จ่าย Al(OH)3 + Mg(OH)2 suspension 1 ขวด
เหตุผลหลักในการตั้งตำรับ ยาลดกรดที่มีทั้ง Al(OH)3 และ Mg(OH)2 เพราะ</t>
        </is>
      </c>
      <c r="C14" s="2" t="n"/>
      <c r="D14" s="2" t="inlineStr">
        <is>
          <t>ให้ยาทั้งสองแตกตัวได้ดียิ่งขึ้น</t>
        </is>
      </c>
      <c r="E14" s="2" t="inlineStr">
        <is>
          <t>ลดผลข้างเคียงซึ่งกันและกัน เนื่องจาก Al(OH)3 ทำให้เกิดอาการท้องผูก</t>
        </is>
      </c>
      <c r="F14" s="2" t="inlineStr">
        <is>
          <t>ลดผลข้างเคียงซึ่งกันและกัน เนื่องจาก Al(OH)3 ทำให้เกิดอาการท้องเสีย</t>
        </is>
      </c>
      <c r="G14" s="2" t="inlineStr">
        <is>
          <t>เพิ่มความคงตัวของตำรับ</t>
        </is>
      </c>
      <c r="H14" s="2" t="inlineStr">
        <is>
          <t>ลดอาการคลื่นไส้อาเจียน เมื่อใช้ยาลดกรดตัวเดียว</t>
        </is>
      </c>
      <c r="I14" s="8" t="inlineStr">
        <is>
          <t>2</t>
        </is>
      </c>
      <c r="J14" s="2" t="inlineStr">
        <is>
          <t>✅ คำตอบที่ถูกต้อง: ข้อ ข. ลดผลข้างเคียงซึ่งกันและกัน เนื่องจาก Al(OH)3 ทำให้เกิดอาการท้องผูก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ลดผลข้างเคียงซึ่งกันและกัน เนื่องจาก Al(OH)3 ทำให้เกิดอาการท้องผูก Aluminum hydroxide [Al(OH)3] ทำให้เกิดอาการท้องผูก (constipation) ในขณะที่ Magnesium hydroxide [Mg(OH)2] ทำให้เกิดอาการท้องเสีย (diarrhea) การผสมยาทั้งสองตัวเข้าด้วยกันจึงช่วยหักล้างผลข้างเคียงเรื่องระบบขับถ่ายซึ่งกันและกัน
🔍 ข้ออื่นผิดเพราะอะไร:
• ข้อ ก. (ให้ยาทั้งสองแตกตัวได้ดียิ่งขึ้น): ข้อนี้ไม่ใช่คำตอบที่ถูกต้องสำหรับภาวะ GERD เนื่องจากกลไกการออกฤทธิ์, efficacy หรือข้อบ่งใช้ไม่ตรงกับโจทย์ที่กำหนด
• ข้อ ค. (ลดผลข้างเคียงซึ่งกันและกัน เนื่องจาก Al(OH)3 ทำให้เกิดอาการท้องเสีย): ข้อนี้ไม่ใช่คำตอบที่ถูกต้องสำหรับภาวะ GERD เนื่องจากกลไกการออกฤทธิ์, efficacy หรือข้อบ่งใช้ไม่ตรงกับโจทย์ที่กำหนด
• ข้อ ง. (เพิ่มความคงตัวของตำรับ): ข้อนี้ไม่ใช่คำตอบที่ถูกต้องสำหรับภาวะ GERD เนื่องจากกลไกการออกฤทธิ์, efficacy หรือข้อบ่งใช้ไม่ตรงกับโจทย์ที่กำหนด
• ข้อ จ. (ลดอาการคลื่นไส้อาเจียน เมื่อใช้ยาลดกรดตัวเดียว):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4" s="2" t="n"/>
      <c r="L14" s="2" t="inlineStr">
        <is>
          <t>GERD</t>
        </is>
      </c>
      <c r="M14" s="2" t="inlineStr">
        <is>
          <t>Clinic</t>
        </is>
      </c>
      <c r="N14" s="2" t="inlineStr">
        <is>
          <t>ข้อ 12 Pharma Plus เล่มม่วง (เฉลยข้อ ข)</t>
        </is>
      </c>
      <c r="O14" s="2" t="inlineStr">
        <is>
          <t>Mock</t>
        </is>
      </c>
      <c r="P14" s="2" t="inlineStr">
        <is>
          <t>Pharma Plus เล่มม่วง</t>
        </is>
      </c>
    </row>
    <row r="15" ht="13.2" customHeight="1" s="37">
      <c r="A15" s="8" t="inlineStr">
        <is>
          <t>13</t>
        </is>
      </c>
      <c r="B15" s="2" t="inlineStr">
        <is>
          <t>ต่อมา มีอาการไม่ดีขึ้น จึงไปพบแพทย์ ที่โรงพยาบาล แพทย์จ่ายยานี้ Omeprazole 20 mg วันละ 2 ครั้ง ร่วมกับ Clarithromycin 500 mg วันละ 2 ครั้ง และ Amoxicillin 1000 mg วันละ 2 ครั้ง ท่านคิดว่าแพทย์วินิจฉัยว่า ชายไทยนี้ ป่วยเป็นไรอะไร
ท่านคิดว่าแพทย์วินิจฉัยว่า ชายไทยนี้ ป่วยเป็นไรอะไร</t>
        </is>
      </c>
      <c r="C15" s="2" t="n"/>
      <c r="D15" s="2" t="inlineStr">
        <is>
          <t>Dyspepsia</t>
        </is>
      </c>
      <c r="E15" s="2" t="inlineStr">
        <is>
          <t>Peptic ulcer</t>
        </is>
      </c>
      <c r="F15" s="2" t="inlineStr">
        <is>
          <t>Heart burn</t>
        </is>
      </c>
      <c r="G15" s="2" t="inlineStr">
        <is>
          <t>Constipation</t>
        </is>
      </c>
      <c r="H15" s="2" t="inlineStr">
        <is>
          <t>Malignancy in stomach</t>
        </is>
      </c>
      <c r="I15" s="8" t="inlineStr">
        <is>
          <t>2</t>
        </is>
      </c>
      <c r="J15" s="2" t="inlineStr">
        <is>
          <t>✅ คำตอบที่ถูกต้อง: ข้อ ข. Peptic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สูตรยา Omeprazole ร่วมกับ Clarithromycin และ Amoxicillin เป็น standard triple therapy สำหรับรักษาโรคแผลในกระเพาะอาหาร (Peptic ulcer) ที่เกิดจากการติดเชื้อ Helicobacter pylori ตามแนวทางการรักษามาตรฐาน
🔍 ข้ออื่นผิดเพราะอะไร:
• ข้อ ก. (Dyspepsia): ข้อนี้ไม่ใช่คำตอบที่ถูกต้องสำหรับภาวะ GERD เนื่องจากกลไกการออกฤทธิ์, efficacy หรือข้อบ่งใช้ไม่ตรงกับโจทย์ที่กำหนด
• ข้อ ค. (Heart burn): ข้อนี้ไม่ใช่คำตอบที่ถูกต้องสำหรับภาวะ GERD เนื่องจากกลไกการออกฤทธิ์, efficacy หรือข้อบ่งใช้ไม่ตรงกับโจทย์ที่กำหนด
• ข้อ ง. (Constipation): ข้อนี้ไม่ใช่คำตอบที่ถูกต้องสำหรับภาวะ GERD เนื่องจากกลไกการออกฤทธิ์, efficacy หรือข้อบ่งใช้ไม่ตรงกับโจทย์ที่กำหนด
• ข้อ จ. (Malignancy in stomach):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 s="2" t="n"/>
      <c r="L15" s="2" t="inlineStr">
        <is>
          <t>GERD</t>
        </is>
      </c>
      <c r="M15" s="2" t="inlineStr">
        <is>
          <t>Clinic</t>
        </is>
      </c>
      <c r="N15" s="2" t="inlineStr">
        <is>
          <t>ข้อ 13 Pharma Plus เล่มม่วง (เฉลยข้อ ข)</t>
        </is>
      </c>
      <c r="O15" s="2" t="inlineStr">
        <is>
          <t>Mock</t>
        </is>
      </c>
      <c r="P15" s="2" t="inlineStr">
        <is>
          <t>Pharma Plus เล่มม่วง</t>
        </is>
      </c>
    </row>
    <row r="16" ht="13.2" customHeight="1" s="37">
      <c r="A16" s="8" t="inlineStr">
        <is>
          <t>14</t>
        </is>
      </c>
      <c r="B16" s="2" t="inlineStr">
        <is>
          <t>สาเหตุหลักของโรคดังกล่าวในข้อที่ 13 ที่ได้รับการวินิจฉัยจากแพทย์คือ</t>
        </is>
      </c>
      <c r="C16" s="2" t="n"/>
      <c r="D16" s="2" t="inlineStr">
        <is>
          <t>NSAIDs</t>
        </is>
      </c>
      <c r="E16" s="2" t="inlineStr">
        <is>
          <t>Zolinger Ellison syndrome</t>
        </is>
      </c>
      <c r="F16" s="2" t="inlineStr">
        <is>
          <t>Helicobacter Pylori</t>
        </is>
      </c>
      <c r="G16" s="2" t="inlineStr">
        <is>
          <t>Alcoholism</t>
        </is>
      </c>
      <c r="H16" s="2" t="inlineStr">
        <is>
          <t>Cigarette</t>
        </is>
      </c>
      <c r="I16" s="8" t="inlineStr">
        <is>
          <t>3</t>
        </is>
      </c>
      <c r="J16" s="2" t="inlineStr">
        <is>
          <t>✅ คำตอบที่ถูกต้อง: ข้อ ค. Helicobacter Pylori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Helicobacter Pylori สาเหตุหลักของ Peptic ulcer disease ได้แก่ การติดเชื้อ Helicobacter pylori และการใช้ยา NSAIDs โดยการให้ยาปฏิชีวนะร่วมด้วยบ่งชี้ถึงสาเหตุจากเชื้อ H. pylori
🔍 ข้ออื่นผิดเพราะอะไร:
• ข้อ ก. (NSAIDs): ข้อนี้ไม่ใช่คำตอบที่ถูกต้องสำหรับภาวะ Dyspepsia &amp; PUD เนื่องจากกลไกการออกฤทธิ์, efficacy หรือข้อบ่งใช้ไม่ตรงกับโจทย์ที่กำหนด
• ข้อ ข. (Zolinger Ellison syndrome): ข้อนี้ไม่ใช่คำตอบที่ถูกต้องสำหรับภาวะ Dyspepsia &amp; PUD เนื่องจากกลไกการออกฤทธิ์, efficacy หรือข้อบ่งใช้ไม่ตรงกับโจทย์ที่กำหนด
• ข้อ ง. (Alcoholism): ข้อนี้ไม่ใช่คำตอบที่ถูกต้องสำหรับภาวะ Dyspepsia &amp; PUD เนื่องจากกลไกการออกฤทธิ์, efficacy หรือข้อบ่งใช้ไม่ตรงกับโจทย์ที่กำหนด
• ข้อ จ. (Cigarette):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 s="2" t="n"/>
      <c r="L16" s="2" t="inlineStr">
        <is>
          <t>Dyspepsia &amp; PUD</t>
        </is>
      </c>
      <c r="M16" s="2" t="inlineStr">
        <is>
          <t>Clinic</t>
        </is>
      </c>
      <c r="N16" s="2" t="inlineStr">
        <is>
          <t>ข้อ 14 Pharma Plus เล่มม่วง (เฉลยข้อ ค)</t>
        </is>
      </c>
      <c r="O16" s="2" t="inlineStr">
        <is>
          <t>Mock</t>
        </is>
      </c>
      <c r="P16" s="2" t="inlineStr">
        <is>
          <t>Pharma Plus เล่มม่วง</t>
        </is>
      </c>
    </row>
    <row r="17" ht="13.2" customHeight="1" s="37">
      <c r="A17" s="8" t="inlineStr">
        <is>
          <t>15</t>
        </is>
      </c>
      <c r="B17" s="2" t="inlineStr">
        <is>
          <t>สมุนไพรในข้อใด มีฤทธิ์รักษาโรคแผลในกระเพาะอาหารได้ดีจนพัฒนาไปเป็นยาแผนปัจจุบัน และสารสำคัญของพืชดังกล่าวคืออะไร</t>
        </is>
      </c>
      <c r="C17" s="2" t="n"/>
      <c r="D17" s="2" t="inlineStr">
        <is>
          <t>มังคุด - plaunotol</t>
        </is>
      </c>
      <c r="E17" s="2" t="inlineStr">
        <is>
          <t>มะขามแขก - sennoside</t>
        </is>
      </c>
      <c r="F17" s="2" t="inlineStr">
        <is>
          <t>ปลพน้อย - curcuminoids</t>
        </is>
      </c>
      <c r="G17" s="2" t="inlineStr">
        <is>
          <t>ขมิ้นชัน - curcuminoids</t>
        </is>
      </c>
      <c r="H17" s="2" t="inlineStr">
        <is>
          <t>ปลาน้อย - plaunotol</t>
        </is>
      </c>
      <c r="I17" s="8" t="inlineStr">
        <is>
          <t>5</t>
        </is>
      </c>
      <c r="J17" s="2" t="inlineStr">
        <is>
          <t>✅ คำตอบที่ถูกต้อง: ข้อ จ. ปลาน้อย - plaunotol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ปลาน้อย - plaunotol เปลาน้อย (Croton sublyratus) มีสารสำคัญคือ plaunotol ซึ่งมีฤทธิ์สมานแผลในกระเพาะอาหารและได้รับการพัฒนาเป็นยาแผนปัจจุบัน
🔍 ข้ออื่นผิดเพราะอะไร:
• ข้อ ก. (มังคุด - plaunotol): ข้อนี้ไม่ใช่คำตอบที่ถูกต้องสำหรับภาวะ Dyspepsia &amp; PUD เนื่องจากกลไกการออกฤทธิ์, efficacy หรือข้อบ่งใช้ไม่ตรงกับโจทย์ที่กำหนด
• ข้อ ข. (มะขามแขก - sennoside): ข้อนี้ไม่ใช่คำตอบที่ถูกต้องสำหรับภาวะ Dyspepsia &amp; PUD เนื่องจากกลไกการออกฤทธิ์, efficacy หรือข้อบ่งใช้ไม่ตรงกับโจทย์ที่กำหนด
• ข้อ ค. (ปลพน้อย - curcuminoids): ข้อนี้ไม่ใช่คำตอบที่ถูกต้องสำหรับภาวะ Dyspepsia &amp; PUD เนื่องจากกลไกการออกฤทธิ์, efficacy หรือข้อบ่งใช้ไม่ตรงกับโจทย์ที่กำหนด
• ข้อ ง. (ขมิ้นชัน - curcuminoids):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 s="2" t="n"/>
      <c r="L17" s="2" t="inlineStr">
        <is>
          <t>Dyspepsia &amp; PUD</t>
        </is>
      </c>
      <c r="M17" s="2" t="inlineStr">
        <is>
          <t>Clinic</t>
        </is>
      </c>
      <c r="N17" s="2" t="inlineStr">
        <is>
          <t>ข้อ 15 Pharma Plus เล่มม่วง (เฉลยข้อ จ)</t>
        </is>
      </c>
      <c r="O17" s="2" t="inlineStr">
        <is>
          <t>Mock</t>
        </is>
      </c>
      <c r="P17" s="2" t="inlineStr">
        <is>
          <t>Pharma Plus เล่มม่วง</t>
        </is>
      </c>
    </row>
    <row r="18" ht="13.2" customHeight="1" s="37">
      <c r="A18" s="8" t="inlineStr">
        <is>
          <t>16</t>
        </is>
      </c>
      <c r="B18" s="2"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จากการซักถามเพิ่มเติม พบว่าผู้ป่วยมีอาการท้องผูก หากท่านเป็นเภสัชกรประจำร้านนี้ ท่านจะแนะนำยาชนิดใด</t>
        </is>
      </c>
      <c r="C18" s="2" t="n"/>
      <c r="D18" s="2" t="inlineStr">
        <is>
          <t>Senna</t>
        </is>
      </c>
      <c r="E18" s="2" t="inlineStr">
        <is>
          <t>Castor oil</t>
        </is>
      </c>
      <c r="F18" s="2" t="inlineStr">
        <is>
          <t>Bisacodyl</t>
        </is>
      </c>
      <c r="G18" s="2" t="inlineStr">
        <is>
          <t>Mineral oil</t>
        </is>
      </c>
      <c r="H18" s="2" t="inlineStr">
        <is>
          <t>Psyllium seed</t>
        </is>
      </c>
      <c r="I18" s="8" t="inlineStr">
        <is>
          <t>5</t>
        </is>
      </c>
      <c r="J18" s="2" t="inlineStr">
        <is>
          <t>✅ คำตอบที่ถูกต้อง: ข้อ จ. Psyllium seed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Psyllium seed ในผู้ป่วยริดสีดวงทวารร่วมกับท้องผูก การเพิ่มกากใยอาหาร (Bulk-forming laxative) เช่น Psyllium seed เป็นยา first-line ที่แนะนำเพื่อทำให้อุจจาระนุ่มและขับถ่ายง่ายโดยไม่ระคายเคือง
🔍 ข้ออื่นผิดเพราะอะไร:
• ข้อ ก. (Senna): เป็น Anthraquinone stimulant laxative กระตุ้น myenteric plexus แต่การใช้ระยะยาวอาจทำให้เกิด melanosis coli และ bowel dependence
• ข้อ ข. (Castor oil): ข้อนี้ไม่ใช่คำตอบที่ถูกต้องสำหรับภาวะ Diarrhea &amp; Constipation เนื่องจากกลไกการออกฤทธิ์, efficacy หรือข้อบ่งใช้ไม่ตรงกับโจทย์ที่กำหนด
• ข้อ ค.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(Mineral oil):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 s="2" t="n"/>
      <c r="L18" s="2" t="inlineStr">
        <is>
          <t>Diarrhea &amp; Constipation</t>
        </is>
      </c>
      <c r="M18" s="2" t="inlineStr">
        <is>
          <t>Clinic</t>
        </is>
      </c>
      <c r="N18" s="2" t="inlineStr">
        <is>
          <t>ข้อ 16 Pharma Plus เล่มม่วง (เฉลยข้อ จ)</t>
        </is>
      </c>
      <c r="O18" s="2" t="inlineStr">
        <is>
          <t>Mock</t>
        </is>
      </c>
      <c r="P18" s="2" t="inlineStr">
        <is>
          <t>Pharma Plus เล่มม่วง</t>
        </is>
      </c>
    </row>
    <row r="19" ht="13.2" customHeight="1" s="37">
      <c r="A19" s="8" t="inlineStr">
        <is>
          <t>17</t>
        </is>
      </c>
      <c r="B19" s="2"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จากการซักถามถึงพฤติกรรมของผู้ป่วย ข้อใดเป็นสาเหตุที่ทำให้เกิดริดสีดวงทวาร</t>
        </is>
      </c>
      <c r="C19" s="2" t="n"/>
      <c r="D19" s="2" t="inlineStr">
        <is>
          <t>ผู้ป่วยมักจะดื่มน้ำวันละ 6 แก้ว</t>
        </is>
      </c>
      <c r="E19" s="2" t="inlineStr">
        <is>
          <t>ผู้ป่วยมักจะออกกำลังกายสม่ำเสมอ</t>
        </is>
      </c>
      <c r="F19" s="2" t="inlineStr">
        <is>
          <t>ผู้ป่วยมักจะหลีกเลี่ยงการดื่มชา กาแฟ</t>
        </is>
      </c>
      <c r="G19" s="2" t="inlineStr">
        <is>
          <t>ผู้ป่วยมักจะดื่มนม 1 แก้วเป็นประจำทุกวัน</t>
        </is>
      </c>
      <c r="H19" s="2" t="inlineStr">
        <is>
          <t>ผู้ป่วยมักจะนั่งอ่านหนังสือในห้องน้ำเป็นเวลานาน</t>
        </is>
      </c>
      <c r="I19" s="8" t="inlineStr">
        <is>
          <t>5</t>
        </is>
      </c>
      <c r="J19" s="2" t="inlineStr">
        <is>
          <t>✅ คำตอบที่ถูกต้อง: ข้อ จ. ผู้ป่วยมักจะนั่งอ่านหนังสือในห้องน้ำเป็นเวลานาน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ผู้ป่วยมักจะนั่งอ่านหนังสือในห้องน้ำเป็นเวลานาน การนั่งเบ่งอุจจาระเป็นเวลานาน เช่น การนั่งอ่านหนังสือพิมพ์หรือโทรศัพท์มือถือในห้องน้ำ ทำให้เกิดความดันในช่องท้องและหลอดเลือดดำบริเวณทวารหนักสูงขึ้น เป็นสาเหตุสำคัญของริดสีดวงทวาร
🔍 ข้ออื่นผิดเพราะอะไร:
• ข้อ ก. (ผู้ป่วยมักจะดื่มน้ำวันละ 6 แก้ว): ข้อนี้ไม่ใช่คำตอบที่ถูกต้องสำหรับภาวะ Diarrhea &amp; Constipation เนื่องจากกลไกการออกฤทธิ์, efficacy หรือข้อบ่งใช้ไม่ตรงกับโจทย์ที่กำหนด
• ข้อ ข. (ผู้ป่วยมักจะออกกำลังกายสม่ำเสมอ): ข้อนี้ไม่ใช่คำตอบที่ถูกต้องสำหรับภาวะ Diarrhea &amp; Constipation เนื่องจากกลไกการออกฤทธิ์, efficacy หรือข้อบ่งใช้ไม่ตรงกับโจทย์ที่กำหนด
• ข้อ ค. (ผู้ป่วยมักจะหลีกเลี่ยงการดื่มชา กาแฟ): ข้อนี้ไม่ใช่คำตอบที่ถูกต้องสำหรับภาวะ Diarrhea &amp; Constipation เนื่องจากกลไกการออกฤทธิ์, efficacy หรือข้อบ่งใช้ไม่ตรงกับโจทย์ที่กำหนด
• ข้อ ง. (ผู้ป่วยมักจะดื่มนม 1 แก้วเป็นประจำทุกวัน):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Diarrhea &amp; Constipation</t>
        </is>
      </c>
      <c r="M19" s="2" t="inlineStr">
        <is>
          <t>Clinic</t>
        </is>
      </c>
      <c r="N19" s="2" t="inlineStr">
        <is>
          <t>ข้อ 17 Pharma Plus เล่มม่วง (เฉลยข้อ จ)</t>
        </is>
      </c>
      <c r="O19" s="2" t="inlineStr">
        <is>
          <t>Mock</t>
        </is>
      </c>
      <c r="P19" s="2" t="inlineStr">
        <is>
          <t>Pharma Plus เล่มม่วง</t>
        </is>
      </c>
    </row>
    <row r="20" ht="13.2" customHeight="1" s="37">
      <c r="A20" s="8" t="inlineStr">
        <is>
          <t>18</t>
        </is>
      </c>
      <c r="B20" s="2" t="inlineStr">
        <is>
          <t>ข้อใดไม่ใช่กลไกการออกฤทธิ์ของยาระบาย</t>
        </is>
      </c>
      <c r="C20" s="2" t="n"/>
      <c r="D20" s="2" t="inlineStr">
        <is>
          <t>ช่วยเหลือลื่นอุจจาระ</t>
        </is>
      </c>
      <c r="E20" s="2" t="inlineStr">
        <is>
          <t>ทำให้อุจจาระอ่อนนุ่ม</t>
        </is>
      </c>
      <c r="F20" s="2" t="inlineStr">
        <is>
          <t>เพิ่มแรงดันออสโมติกภายในลำไส้</t>
        </is>
      </c>
      <c r="G20" s="2" t="inlineStr">
        <is>
          <t>ทำให้อุจจาระจับตัวเป็นก้อน</t>
        </is>
      </c>
      <c r="H20" s="2" t="inlineStr">
        <is>
          <t>เพิ่มการเคลื่อนไหวของลำไส้เล็ก</t>
        </is>
      </c>
      <c r="I20" s="8" t="inlineStr">
        <is>
          <t>4</t>
        </is>
      </c>
      <c r="J20" s="2" t="inlineStr">
        <is>
          <t>✅ คำตอบที่ถูกต้อง: ข้อ ง. ทำให้อุจจาระจับตัวเป็นก้อน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ทำให้อุจจาระจับตัวเป็นก้อน ยาระบายมีกลไกเพิ่มการเคลื่อนไหวของลำไส้ใหญ์ ดึงน้ำเข้าลำไส้ (osmotic) หรือหล่อลื่นอุจจาระเพื่อขับถ่าย การทำให้อุจจาระจับตัวเป็นก้อน (Constipating effect) ไม่ใช่กลไกของยาระบาย
🔍 ข้ออื่นผิดเพราะอะไร:
• ข้อ ก. (ช่วยเหลือลื่นอุจจาระ): ข้อนี้ไม่ใช่คำตอบที่ถูกต้องสำหรับภาวะ GERD เนื่องจากกลไกการออกฤทธิ์, efficacy หรือข้อบ่งใช้ไม่ตรงกับโจทย์ที่กำหนด
• ข้อ ข. (ทำให้อุจจาระอ่อนนุ่ม): ข้อนี้ไม่ใช่คำตอบที่ถูกต้องสำหรับภาวะ GERD เนื่องจากกลไกการออกฤทธิ์, efficacy หรือข้อบ่งใช้ไม่ตรงกับโจทย์ที่กำหนด
• ข้อ ค. (เพิ่มแรงดันออสโมติกภายในลำไส้): ข้อนี้ไม่ใช่คำตอบที่ถูกต้องสำหรับภาวะ GERD เนื่องจากกลไกการออกฤทธิ์, efficacy หรือข้อบ่งใช้ไม่ตรงกับโจทย์ที่กำหนด
• ข้อ จ. (เพิ่มการเคลื่อนไหวของลำไส้เล็ก):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2" t="n"/>
      <c r="L20" s="2" t="inlineStr">
        <is>
          <t>GERD</t>
        </is>
      </c>
      <c r="M20" s="2" t="inlineStr">
        <is>
          <t>Clinic</t>
        </is>
      </c>
      <c r="N20" s="2" t="inlineStr">
        <is>
          <t>ข้อ 18 Pharma Plus เล่มม่วง (เฉลยข้อ ง)</t>
        </is>
      </c>
      <c r="O20" s="2" t="inlineStr">
        <is>
          <t>Mock</t>
        </is>
      </c>
      <c r="P20" s="2" t="inlineStr">
        <is>
          <t>Pharma Plus เล่มม่วง</t>
        </is>
      </c>
    </row>
    <row r="21" ht="13.2" customHeight="1" s="37">
      <c r="A21" s="8" t="inlineStr">
        <is>
          <t>19</t>
        </is>
      </c>
      <c r="B21" s="2" t="inlineStr">
        <is>
          <t>หากผู้ป่วยมีประวัติลำไส้อุดตัน ไม่ควรให้ยาตัวใด</t>
        </is>
      </c>
      <c r="C21" s="2" t="n"/>
      <c r="D21" s="2" t="inlineStr">
        <is>
          <t>Senna</t>
        </is>
      </c>
      <c r="E21" s="2" t="inlineStr">
        <is>
          <t>Castor oil</t>
        </is>
      </c>
      <c r="F21" s="2" t="inlineStr">
        <is>
          <t>Bisacodyl</t>
        </is>
      </c>
      <c r="G21" s="2" t="inlineStr">
        <is>
          <t>Lactulose</t>
        </is>
      </c>
      <c r="H21" s="2" t="inlineStr">
        <is>
          <t>Psyllium seed</t>
        </is>
      </c>
      <c r="I21" s="8" t="inlineStr">
        <is>
          <t>5</t>
        </is>
      </c>
      <c r="J21" s="2" t="inlineStr">
        <is>
          <t>✅ คำตอบที่ถูกต้อง: ข้อ จ. Psyllium seed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Psyllium seed เป็นยาระบายกลุ่มเพิ่มกากใย (Bulk-forming laxative) ซึ่งต้องดื่มน้ำตามมากเพื่อให้ยาพองตัว หากผู้ป่วยมีภาวะลำไส้อุดตัน การใช้ยาในกลุ่มนี้จะยิ่งทำให้เกิดการอุดตันมากขึ้นและเสี่ยงต่อลำไส้แตกได้ จึงเป็น contraindication เด็ดขาด
🔍 ข้ออื่นผิดเพราะอะไร:
• ข้อ ก. (Senna): เป็น Anthraquinone stimulant laxative กระตุ้น myenteric plexus แต่การใช้ระยะยาวอาจทำให้เกิด melanosis coli และ bowel dependence
• ข้อ ข. (Castor oil): ข้อนี้ไม่ใช่คำตอบที่ถูกต้องสำหรับภาวะ Diarrhea &amp; Constipation เนื่องจากกลไกการออกฤทธิ์, efficacy หรือข้อบ่งใช้ไม่ตรงกับโจทย์ที่กำหนด
• ข้อ ค.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Diarrhea &amp; Constipation</t>
        </is>
      </c>
      <c r="M21" s="2" t="inlineStr">
        <is>
          <t>Clinic</t>
        </is>
      </c>
      <c r="N21" s="2" t="inlineStr">
        <is>
          <t>ข้อ 19 Pharma Plus เล่มม่วง (เฉลยข้อ จ)</t>
        </is>
      </c>
      <c r="O21" s="2" t="inlineStr">
        <is>
          <t>Mock</t>
        </is>
      </c>
      <c r="P21" s="2" t="inlineStr">
        <is>
          <t>Pharma Plus เล่มม่วง</t>
        </is>
      </c>
    </row>
    <row r="22" ht="13.2" customHeight="1" s="37">
      <c r="A22" s="8" t="inlineStr">
        <is>
          <t>20</t>
        </is>
      </c>
      <c r="B22" s="2" t="inlineStr">
        <is>
          <t>ข้อใดไม่ใช่คำแนะนำที่ถูกต้องในการใช้ยาเหน็บทวาร</t>
        </is>
      </c>
      <c r="C22" s="2" t="n"/>
      <c r="D22" s="2" t="inlineStr">
        <is>
          <t>ฉีกซองพลาสติกก่อนใช้</t>
        </is>
      </c>
      <c r="E22" s="2" t="inlineStr">
        <is>
          <t>เก็บยาไว้ในตู้เย็นช่องแช่แข็ง</t>
        </is>
      </c>
      <c r="F22" s="2" t="inlineStr">
        <is>
          <t>ล้างมือให้สะอาดก่อนเหน็บยา</t>
        </is>
      </c>
      <c r="G22" s="2" t="inlineStr">
        <is>
          <t>ไม่ต้องนำยาเหน็บออกจากร่างกายหลังจากเหน็บ</t>
        </is>
      </c>
      <c r="H22" s="2" t="inlineStr">
        <is>
          <t>เหน็บยาแล้วให้นอนพักอย่างน้อย 15 นาทีก่อนลุก</t>
        </is>
      </c>
      <c r="I22" s="8" t="inlineStr">
        <is>
          <t>2</t>
        </is>
      </c>
      <c r="J22" s="2" t="inlineStr">
        <is>
          <t>✅ คำตอบที่ถูกต้อง: ข้อ ข. เก็บยาไว้ในตู้เย็นช่องแช่แข็ง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เก็บยาไว้ในตู้เย็นช่องแช่แข็ง ยาเหน็บทวารควรเก็บไว้ในตู้เย็นช่องธรรมดาเพื่อไม่ให้ยาละลายเสียรูปทรง แต่ห้ามเก็บในช่องแช่แข็ง (Freezer) เพราะความเย็นจัดอาจทำให้เนื้อยาแตกหักหรือเสียหายได้ และการแข็งตัวเกินไปจะทำให้ระคายเคืองเยื่อบุทวารหนักขณะสอดใส่
🔍 ข้ออื่นผิดเพราะอะไร:
• ข้อ ก. (ฉีกซองพลาสติกก่อนใช้): ข้อนี้ไม่ใช่คำตอบที่ถูกต้องสำหรับภาวะ GERD เนื่องจากกลไกการออกฤทธิ์, efficacy หรือข้อบ่งใช้ไม่ตรงกับโจทย์ที่กำหนด
• ข้อ ค. (ล้างมือให้สะอาดก่อนเหน็บยา): ข้อนี้ไม่ใช่คำตอบที่ถูกต้องสำหรับภาวะ GERD เนื่องจากกลไกการออกฤทธิ์, efficacy หรือข้อบ่งใช้ไม่ตรงกับโจทย์ที่กำหนด
• ข้อ ง. (ไม่ต้องนำยาเหน็บออกจากร่างกายหลังจากเหน็บ): ข้อนี้ไม่ใช่คำตอบที่ถูกต้องสำหรับภาวะ GERD เนื่องจากกลไกการออกฤทธิ์, efficacy หรือข้อบ่งใช้ไม่ตรงกับโจทย์ที่กำหนด
• ข้อ จ. (เหน็บยาแล้วให้นอนพักอย่างน้อย 15 นาทีก่อนลุก):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 s="2" t="n"/>
      <c r="L22" s="2" t="inlineStr">
        <is>
          <t>GERD</t>
        </is>
      </c>
      <c r="M22" s="2" t="inlineStr">
        <is>
          <t>Clinic</t>
        </is>
      </c>
      <c r="N22" s="2" t="inlineStr">
        <is>
          <t>ข้อ 20 Pharma Plus เล่มม่วง (เฉลยข้อ ข)</t>
        </is>
      </c>
      <c r="O22" s="2" t="inlineStr">
        <is>
          <t>Mock</t>
        </is>
      </c>
      <c r="P22" s="2" t="inlineStr">
        <is>
          <t>Pharma Plus เล่มม่วง</t>
        </is>
      </c>
    </row>
    <row r="23" ht="13.2" customHeight="1" s="37">
      <c r="A23" s="8" t="inlineStr">
        <is>
          <t>21</t>
        </is>
      </c>
      <c r="B23" s="2" t="inlineStr">
        <is>
          <t>ผู้ป่วยชายอายุ 30 ปี มาขอคำปรึกษาจากเภสัชกร โดยเล่าว่าประมาณ 2 สัปดาห์ที่ผ่านมา มีอาการอึดอัด ปวดแสบยอดอกในช่วงกลางวัน ต่อมา 2-3 วัน มีอาการในตอนกลางคืนด้วย เมื่อมีอาการดังกล่าว หลังอาหารหรือถ้าปวดมากจะกินยาลดกรดเพื่อบรรเทาอาการ สุขภาพโดยทั่วไปแข็งแรงดีไม่เคยมีอาการแบบนี้มาก่อน ปกติดื่มสุราบ้าง เมื่อมีงานสังสรรค์ ครั้งละประมาณ 2-3 ขวด นอกจากดื่มสุราแล้ว สูบบุหรี่วันละสอง มีอุปนิสัยนอนดึกและตื่นสาย การซักประวัติเพิ่มเติม พบว่าผู้ป่วยมีความเครียดจากการทำงาน กินอาหารไม่ตรงเวลา อาหารที่กินส่วนใหญ่ ได้แก่ ผักและผลไม้ ท่านซึ่งเป็นเภสัชกรคาดว่าผู้ป่วยจะเป็น โรคกระเพาะ
ข้อต่อไปนี้ ถูกต้อง เกี่ยวกับการรับประทานยาลดกรดเพื่อรักษาโรคกระเพาะ</t>
        </is>
      </c>
      <c r="C23" s="2" t="n"/>
      <c r="D23" s="2" t="inlineStr">
        <is>
          <t>ยาชนิดเม็ดส่วนใหญ่ต้องกลืนยาทั้งเม็ด ห้ามเคี้ยว</t>
        </is>
      </c>
      <c r="E23" s="2" t="inlineStr">
        <is>
          <t>ยาอาจทำให้ท้องเสีย เพราะมีตัวยาสำคัญคือ aluminium hydroxide</t>
        </is>
      </c>
      <c r="F23" s="2" t="inlineStr">
        <is>
          <t>ในผู้ป่วยที่เป็นโรคไตร่วมด้วย ควรให้ยาลดกรดที่มี Magnesium เป็นองค์ประกอบ</t>
        </is>
      </c>
      <c r="G23" s="2" t="inlineStr">
        <is>
          <t>ควรรับประทานยาก่อนอาหาร 1 ชม. และก่อนนอนเพื่อให้ยามีฤทธิ์อยู่ได้นาน</t>
        </is>
      </c>
      <c r="H23" s="2" t="inlineStr">
        <is>
          <t>ในผู้ป่วยที่มีอาการรุนแรงสามารถรับประทานได้ทุก 1 ชั่วโมง</t>
        </is>
      </c>
      <c r="I23" s="8" t="inlineStr">
        <is>
          <t>1</t>
        </is>
      </c>
      <c r="J23" s="2" t="inlineStr">
        <is>
          <t>✅ คำตอบที่ถูกต้อง: ข้อ ก. ยาชนิดเม็ดส่วนใหญ่ต้องกลืนยาทั้งเม็ด ห้ามเคี้ยว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ยาชนิดเม็ดส่วนใหญ่ต้องกลืนยาทั้งเม็ด ห้ามเคี้ยว การรับประทานยาลดกรดเพื่อลดกรดในกระเพาะอาหารสำหรับอาการปวด มักแนะนำให้รับประทานหลังอาหาร 1-3 ชั่วโมง และก่อนนอน เพื่อให้อยู่ในกระเพาะอาหารได้นานขึ้น (หากทานก่อนอาหาร ยาจะถูกขับออกเร็วตามอาหาร) สำหรับตัวเลือกอื่น Aluminium hydroxide ทำให้ท้องผูก ส่วน Magnesium ทำให้ท้องเสีย และควรหลีกเลี่ยงยาลดกรดที่มี Magnesium ในผู้ป่วยโรคไตเพราะเสี่ยงเกิดภาวะ Magnesium toxicity
🔍 ข้ออื่นผิดเพราะอะไร:
• ข้อ ข. (ยาอาจทำให้ท้องเสีย เพราะมีตัวยาสำคัญคือ aluminium hydroxide): ข้อนี้ไม่ใช่คำตอบที่ถูกต้องสำหรับภาวะ Dyspepsia &amp; PUD เนื่องจากกลไกการออกฤทธิ์, efficacy หรือข้อบ่งใช้ไม่ตรงกับโจทย์ที่กำหนด
• ข้อ ค. (ในผู้ป่วยที่เป็นโรคไตร่วมด้วย ควรให้ยาลดกรดที่มี Magnesium เป็นองค์ประกอบ): ข้อนี้ไม่ใช่คำตอบที่ถูกต้องสำหรับภาวะ Dyspepsia &amp; PUD เนื่องจากกลไกการออกฤทธิ์, efficacy หรือข้อบ่งใช้ไม่ตรงกับโจทย์ที่กำหนด
• ข้อ ง. (ควรรับประทานยาก่อนอาหาร 1 ชม. และก่อนนอนเพื่อให้ยามีฤทธิ์อยู่ได้นาน): ข้อนี้ไม่ใช่คำตอบที่ถูกต้องสำหรับภาวะ Dyspepsia &amp; PUD เนื่องจากกลไกการออกฤทธิ์, efficacy หรือข้อบ่งใช้ไม่ตรงกับโจทย์ที่กำหนด
• ข้อ จ. (ในผู้ป่วยที่มีอาการรุนแรงสามารถรับประทานได้ทุก 1 ชั่วโมง):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 s="2" t="n"/>
      <c r="L23" s="2" t="inlineStr">
        <is>
          <t>Dyspepsia &amp; PUD</t>
        </is>
      </c>
      <c r="M23" s="2" t="inlineStr">
        <is>
          <t>Clinic</t>
        </is>
      </c>
      <c r="N23" s="2" t="inlineStr">
        <is>
          <t>ข้อ 21 Pharma Plus เล่มม่วง (เฉลยข้อ )</t>
        </is>
      </c>
      <c r="O23" s="2" t="inlineStr">
        <is>
          <t>Mock</t>
        </is>
      </c>
      <c r="P23" s="2" t="inlineStr">
        <is>
          <t>Pharma Plus เล่มม่วง</t>
        </is>
      </c>
    </row>
    <row r="24" ht="13.2" customHeight="1" s="37">
      <c r="A24" s="8" t="inlineStr">
        <is>
          <t>22</t>
        </is>
      </c>
      <c r="B24" s="2" t="inlineStr">
        <is>
          <t>ผู้ป่วยไม่ต้องการกินยาลดกรดอีกต่อไป อยากให้เภสัชกรแนะนำยารักษาโรคกระเพาะ เภสัชกรแนะนำ H2-blocker ข้อใดถูกต้องสำหรับการใช้ยากลุ่มนี้
ข้อใดถูกต้องสำหรับการใช้ยากลุ่มนี้</t>
        </is>
      </c>
      <c r="C24" s="2" t="n"/>
      <c r="D24" s="2" t="inlineStr">
        <is>
          <t>โดยทั่วไประยะเวลาที่ใช้รักษา 8-12 สัปดาห์</t>
        </is>
      </c>
      <c r="E24" s="2" t="inlineStr">
        <is>
          <t>ระยะเวลาที่ใช้รักษา Duodenal ulcer ยาวกว่า gastric ulcer</t>
        </is>
      </c>
      <c r="F24" s="2" t="inlineStr">
        <is>
          <t>ยากลุ่มนี้สามารถยับยั้งการเจริญของเชื้อ H. pylori ได้</t>
        </is>
      </c>
      <c r="G24" s="2" t="inlineStr">
        <is>
          <t>สามารถให้ผู้ป่วยรับประทานยากลุ่มนี้ครั้งเดียวก่อนนอนได้</t>
        </is>
      </c>
      <c r="H24" s="2" t="inlineStr">
        <is>
          <t>ยาที่เป็น Prototype ของกลุ่มนี้เกิดปฏิกิริยากับยาน้อย</t>
        </is>
      </c>
      <c r="I24" s="8" t="inlineStr">
        <is>
          <t>1</t>
        </is>
      </c>
      <c r="J24" s="2" t="inlineStr">
        <is>
          <t>✅ คำตอบที่ถูกต้อง: ข้อ ก. โดยทั่วไประยะเวลาที่ใช้รักษา 8-12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โดยทั่วไประยะเวลาที่ใช้รักษา 8-12 สัปดาห์ ยารกลุ่ม H2-blockers (เช่น Cimetidine, Famotidine) สามารถบริหารยาเพียงวันละครั้งก่อนนอนได้ (หรือแบ่งเช้า-เย็นตามขนาดยา) สำหรับระยะเวลาการรักษา Duodenal ulcer มักใช้เวลา 4-6 สัปดาห์ ซึ่งสั้นกว่า Gastric ulcer (6-8 สัปดาห์) และยา Prototype คือ Cimetidine ซึ่งเกิด Drug interactions มากผ่านระบบเอนไซม์ Cytochrome P450
🔍 ข้ออื่นผิดเพราะอะไร:
• ข้อ ข. (ระยะเวลาที่ใช้รักษา Duodenal ulcer ยาวกว่า gastric ulcer): ข้อนี้ไม่ใช่คำตอบที่ถูกต้องสำหรับภาวะ Dyspepsia &amp; PUD เนื่องจากกลไกการออกฤทธิ์, efficacy หรือข้อบ่งใช้ไม่ตรงกับโจทย์ที่กำหนด
• ข้อ ค. (ยากลุ่มนี้สามารถยับยั้งการเจริญของเชื้อ H. pylori ได้): ข้อนี้ไม่ใช่คำตอบที่ถูกต้องสำหรับภาวะ Dyspepsia &amp; PUD เนื่องจากกลไกการออกฤทธิ์, efficacy หรือข้อบ่งใช้ไม่ตรงกับโจทย์ที่กำหนด
• ข้อ ง. (สามารถให้ผู้ป่วยรับประทานยากลุ่มนี้ครั้งเดียวก่อนนอนได้): ข้อนี้ไม่ใช่คำตอบที่ถูกต้องสำหรับภาวะ Dyspepsia &amp; PUD เนื่องจากกลไกการออกฤทธิ์, efficacy หรือข้อบ่งใช้ไม่ตรงกับโจทย์ที่กำหนด
• ข้อ จ. (ยาที่เป็น Prototype ของกลุ่มนี้เกิดปฏิกิริยากับยาน้อย):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2" t="n"/>
      <c r="L24" s="2" t="inlineStr">
        <is>
          <t>Dyspepsia &amp; PUD</t>
        </is>
      </c>
      <c r="M24" s="2" t="inlineStr">
        <is>
          <t>Clinic</t>
        </is>
      </c>
      <c r="N24" s="2" t="inlineStr">
        <is>
          <t>ข้อ 22 Pharma Plus เล่มม่วง (เฉลยข้อ ก ง)</t>
        </is>
      </c>
      <c r="O24" s="2" t="inlineStr">
        <is>
          <t>Mock</t>
        </is>
      </c>
      <c r="P24" s="2" t="inlineStr">
        <is>
          <t>Pharma Plus เล่มม่วง</t>
        </is>
      </c>
    </row>
    <row r="25" ht="13.2" customHeight="1" s="37">
      <c r="A25" s="8" t="inlineStr">
        <is>
          <t>23</t>
        </is>
      </c>
      <c r="B25" s="2" t="inlineStr">
        <is>
          <t>สารสำคัญของขมิ้นชันที่ออกฤทธิ์ในการกระตุ้นการหลั่ง</t>
        </is>
      </c>
      <c r="C25" s="2" t="n"/>
      <c r="D25" s="2" t="inlineStr">
        <is>
          <t>Lupeol</t>
        </is>
      </c>
      <c r="E25" s="2" t="inlineStr">
        <is>
          <t>Curcumin</t>
        </is>
      </c>
      <c r="F25" s="2" t="inlineStr">
        <is>
          <t>Stigmasterol</t>
        </is>
      </c>
      <c r="G25" s="2" t="inlineStr">
        <is>
          <t>Andrographolide</t>
        </is>
      </c>
      <c r="H25" s="2" t="inlineStr">
        <is>
          <t>Hydroxyanthracens</t>
        </is>
      </c>
      <c r="I25" s="8" t="inlineStr">
        <is>
          <t>2</t>
        </is>
      </c>
      <c r="J25" s="2" t="inlineStr">
        <is>
          <t>✅ คำตอบที่ถูกต้อง: ข้อ ข. Curcumin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Curcumin ขมิ้นชัน (Turmeric) มีสารสำคัญกลุ่ม Curcuminoids ซึ่งมีสารหลักคือ Curcumin มีฤทธิ์ต้านการอักเสบ สมานแผลในกระเพาะอาหาร และกระตุ้นการหลั่งน้ำดีและเมือกมาเคลือบกระเพาะอาหาร
🔍 ข้ออื่นผิดเพราะอะไร:
• ข้อ ก. (Lupeol): ข้อนี้ไม่ใช่คำตอบที่ถูกต้องสำหรับภาวะ GERD เนื่องจากกลไกการออกฤทธิ์, efficacy หรือข้อบ่งใช้ไม่ตรงกับโจทย์ที่กำหนด
• ข้อ ค. (Stigmasterol): ข้อนี้ไม่ใช่คำตอบที่ถูกต้องสำหรับภาวะ GERD เนื่องจากกลไกการออกฤทธิ์, efficacy หรือข้อบ่งใช้ไม่ตรงกับโจทย์ที่กำหนด
• ข้อ ง. (Andrographolide): ข้อนี้ไม่ใช่คำตอบที่ถูกต้องสำหรับภาวะ GERD เนื่องจากกลไกการออกฤทธิ์, efficacy หรือข้อบ่งใช้ไม่ตรงกับโจทย์ที่กำหนด
• ข้อ จ. (Hydroxyanthracens):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 s="2" t="n"/>
      <c r="L25" s="2" t="inlineStr">
        <is>
          <t>GERD</t>
        </is>
      </c>
      <c r="M25" s="2" t="inlineStr">
        <is>
          <t>Clinic</t>
        </is>
      </c>
      <c r="N25" s="2" t="inlineStr">
        <is>
          <t>ข้อ 23 Pharma Plus เล่มม่วง (เฉลยข้อ ข)</t>
        </is>
      </c>
      <c r="O25" s="2" t="inlineStr">
        <is>
          <t>Mock</t>
        </is>
      </c>
      <c r="P25" s="2" t="inlineStr">
        <is>
          <t>Pharma Plus เล่มม่วง</t>
        </is>
      </c>
    </row>
    <row r="26" ht="13.2" customHeight="1" s="37">
      <c r="A26" s="8" t="inlineStr">
        <is>
          <t>24</t>
        </is>
      </c>
      <c r="B26" s="2" t="inlineStr">
        <is>
          <t>สถานการณ์ที่ 6 ผู้ปกครองพาเด็กหญิง อายุ 14 ปี มาซื้อยาแก้ท้องเสียสำหรับเด็ก ที่ร้านยา จากการซักประวัติพบว่าผู้ป่วยน่าจะเกิดจากท้องเสียและจากการติดเชื้อแบคทีเรียในทางเดินอาหาร
ยาที่ผู้ป่วยไม่สมควรได้รับเป็นอย่างยิ่ง คือข้อใด</t>
        </is>
      </c>
      <c r="C26" s="2" t="n"/>
      <c r="D26" s="2" t="inlineStr">
        <is>
          <t>ผงน้ำตาลเกลือแร่</t>
        </is>
      </c>
      <c r="E26" s="2" t="inlineStr">
        <is>
          <t>Norfloxacin</t>
        </is>
      </c>
      <c r="F26" s="2" t="inlineStr">
        <is>
          <t>Loperamide</t>
        </is>
      </c>
      <c r="G26" s="2" t="inlineStr">
        <is>
          <t>Chlortetracycline</t>
        </is>
      </c>
      <c r="H26" s="2" t="inlineStr">
        <is>
          <t>Furazolidine</t>
        </is>
      </c>
      <c r="I26" s="8" t="inlineStr">
        <is>
          <t>3</t>
        </is>
      </c>
      <c r="J26" s="2" t="inlineStr">
        <is>
          <t>✅ คำตอบที่ถูกต้อง: ข้อ ค. Loperamide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Loperamide ในเด็กอายุต่ำกว่า 18 ปี และผู้ป่วยที่สงสัยหรือยืนยันการติดเชื้อแบคทีเรียที่ทำให้เกิดการถ่ายเป็นมูกเลือดหรือไข้สูง (Invasive diarrhea) ห้ามใช้ยา Loperamide เนื่องจากจะไปลดการบีบตัวของลำไส้ ทำให้เชื้อโรคและสารพิษค้างอยู่ในร่างกาย นานขึ้น เพิ่มความเสี่ยงต่อภาวะ Toxic megacolon หรือการติดเชื้อในกระแสเลือด
🔍 ข้ออื่นผิดเพราะอะไร:
• ข้อ ก. (ผงน้ำตาลเกลือแร่): ข้อนี้ไม่ใช่คำตอบที่ถูกต้องสำหรับภาวะ Diarrhea &amp; Constipation เนื่องจากกลไกการออกฤทธิ์, efficacy หรือข้อบ่งใช้ไม่ตรงกับโจทย์ที่กำหนด
• ข้อ ข. (Norfloxacin): ข้อนี้ไม่ใช่คำตอบที่ถูกต้องสำหรับภาวะ Diarrhea &amp; Constipation เนื่องจากกลไกการออกฤทธิ์, efficacy หรือข้อบ่งใช้ไม่ตรงกับโจทย์ที่กำหนด
• ข้อ ง. (Chlortetracycline): ข้อนี้ไม่ใช่คำตอบที่ถูกต้องสำหรับภาวะ Diarrhea &amp; Constipation เนื่องจากกลไกการออกฤทธิ์, efficacy หรือข้อบ่งใช้ไม่ตรงกับโจทย์ที่กำหนด
• ข้อ จ. (Furazolidine):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2" t="n"/>
      <c r="L26" s="2" t="inlineStr">
        <is>
          <t>Diarrhea &amp; Constipation</t>
        </is>
      </c>
      <c r="M26" s="2" t="inlineStr">
        <is>
          <t>Clinic</t>
        </is>
      </c>
      <c r="N26" s="2" t="inlineStr">
        <is>
          <t>ข้อ 24 Pharma Plus เล่มม่วง (เฉลยข้อ ค ง จ)</t>
        </is>
      </c>
      <c r="O26" s="2" t="inlineStr">
        <is>
          <t>Mock</t>
        </is>
      </c>
      <c r="P26" s="2" t="inlineStr">
        <is>
          <t>Pharma Plus เล่มม่วง</t>
        </is>
      </c>
    </row>
    <row r="27" ht="13.2" customHeight="1" s="37">
      <c r="A27" s="8" t="inlineStr">
        <is>
          <t>25</t>
        </is>
      </c>
      <c r="B27" s="2" t="inlineStr">
        <is>
          <t>ในผู้ใหญ่ คนปกติ ถ้าพบว่า ผู้ป่วยท้องเสียจากเชื้อ Salmonella จะให้ยาต้านจุลชีพในข้อใด</t>
        </is>
      </c>
      <c r="C27" s="2" t="n"/>
      <c r="D27" s="2" t="inlineStr">
        <is>
          <t>Norfloxacin</t>
        </is>
      </c>
      <c r="E27" s="2" t="inlineStr">
        <is>
          <t>Ofloxacin</t>
        </is>
      </c>
      <c r="F27" s="2" t="inlineStr">
        <is>
          <t>Chloramphenicol</t>
        </is>
      </c>
      <c r="G27" s="2" t="inlineStr">
        <is>
          <t>Furazolidine</t>
        </is>
      </c>
      <c r="H27" s="2" t="inlineStr">
        <is>
          <t>ไม่ต้องให้ยาต้านจุลชีพ</t>
        </is>
      </c>
      <c r="I27" s="8" t="inlineStr">
        <is>
          <t>1</t>
        </is>
      </c>
      <c r="J27" s="2" t="inlineStr">
        <is>
          <t>✅ คำตอบที่ถูกต้อง: ข้อ ก. Norfloxacin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Norfloxacin ในผู้ป่วยผู้ใหญ่ที่มีภูมิคุ้มกันปกติและเป็น non-typhoidal Salmonella gastroenteritis อาการมักหายได้เอง (self-limiting) การให้ยาปฏิชีวนะไม่ช่วยให้อาการหายเร็วขึ้นและอาจเพิ่มระยะเวลาในการขับเชื้อผ่านทางอุจจาระ (prolonged carrier state) ยกเว้นในกลุ่มเสี่ยงสูง เช่น เด็กเล็ก ผู้สูงอายุ หรือผู้มีภูมิคุ้มกันบกพร่อง จึงมักแนะนำว่าไม่ต้องให้ยาต้านจุลชีพ
🔍 ข้ออื่นผิดเพราะอะไร:
• ข้อ ข. (Ofloxacin): ข้อนี้ไม่ใช่คำตอบที่ถูกต้องสำหรับภาวะ Diarrhea &amp; Constipation เนื่องจากกลไกการออกฤทธิ์, efficacy หรือข้อบ่งใช้ไม่ตรงกับโจทย์ที่กำหนด
• ข้อ ค. (Chloramphenicol): ข้อนี้ไม่ใช่คำตอบที่ถูกต้องสำหรับภาวะ Diarrhea &amp; Constipation เนื่องจากกลไกการออกฤทธิ์, efficacy หรือข้อบ่งใช้ไม่ตรงกับโจทย์ที่กำหนด
• ข้อ ง. (Furazolidine): ข้อนี้ไม่ใช่คำตอบที่ถูกต้องสำหรับภาวะ Diarrhea &amp; Constipation เนื่องจากกลไกการออกฤทธิ์, efficacy หรือข้อบ่งใช้ไม่ตรงกับโจทย์ที่กำหนด
• ข้อ จ. (ไม่ต้องให้ยาต้านจุลชีพ):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 s="2" t="n"/>
      <c r="L27" s="2" t="inlineStr">
        <is>
          <t>Diarrhea &amp; Constipation</t>
        </is>
      </c>
      <c r="M27" s="2" t="inlineStr">
        <is>
          <t>Clinic</t>
        </is>
      </c>
      <c r="N27" s="2" t="inlineStr">
        <is>
          <t>ข้อ 25 Pharma Plus เล่มม่วง (เฉลยข้อ ก)</t>
        </is>
      </c>
      <c r="O27" s="2" t="inlineStr">
        <is>
          <t>Mock</t>
        </is>
      </c>
      <c r="P27" s="2" t="inlineStr">
        <is>
          <t>Pharma Plus เล่มม่วง</t>
        </is>
      </c>
    </row>
    <row r="28" ht="13.2" customHeight="1" s="37">
      <c r="A28" s="8" t="inlineStr">
        <is>
          <t>26</t>
        </is>
      </c>
      <c r="B28" s="2" t="inlineStr">
        <is>
          <t>ผู้ป่วยท้องเสียอีกคนไปพบแพทย์ที่คลินิก ได้รับยาแก้ท้องเสียมาดังนี้ ORS, Norfloxacin, Hyoscine ถามว่า
Hyoscine ออกฤทธิ์ที่ไหน ผลข้างเคียงที่พบบ่อยคืออะไร</t>
        </is>
      </c>
      <c r="C28" s="2" t="n"/>
      <c r="D28" s="2" t="inlineStr">
        <is>
          <t>Nicotinic receptor, ปากแห้ง ตาพร่า ท้องผูก</t>
        </is>
      </c>
      <c r="E28" s="2" t="inlineStr">
        <is>
          <t>Muscarinic receptor, ปากแห้ง ตาพร่า ท้องผูก</t>
        </is>
      </c>
      <c r="F28" s="2" t="inlineStr">
        <is>
          <t>Beta-2 receptor, หลอดลมตีบ</t>
        </is>
      </c>
      <c r="G28" s="2" t="inlineStr">
        <is>
          <t>Beta-1 receptor, หลอดลมตีบ</t>
        </is>
      </c>
      <c r="H28" s="2" t="inlineStr">
        <is>
          <t>Alpha 1 receptor, ปากแห้ง ตาพร่า ท้องผูก</t>
        </is>
      </c>
      <c r="I28" s="8" t="inlineStr">
        <is>
          <t>2</t>
        </is>
      </c>
      <c r="J28" s="2" t="inlineStr">
        <is>
          <t>✅ คำตอบที่ถูกต้อง: ข้อ ข. Muscarinic receptor, ปากแห้ง ตาพร่า ท้องผูก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Muscarinic receptor, ปากแห้ง ตาพร่า ท้องผูก Hyoscine เป็นยาคลายกล้ามเนื้อเรียบในทางเดินอาหาร (Antispasmodic) โดยออกฤทธิ์เป็น competitive antagonist ที่ Muscarinic acetylcholine receptors ผลข้างเคียงจากฤทธิ์ Anticholinergic ที่พบบ่อย ได้แก่ ปากแห้ง ตาพร่า ท้องผูก ปัสสาวะคั่ง และหัวใจเต้นเร็ว
🔍 ข้ออื่นผิดเพราะอะไร:
• ข้อ ก. (Nicotinic receptor, ปากแห้ง ตาพร่า ท้องผูก): ข้อนี้ไม่ใช่คำตอบที่ถูกต้องสำหรับภาวะ Diarrhea &amp; Constipation เนื่องจากกลไกการออกฤทธิ์, efficacy หรือข้อบ่งใช้ไม่ตรงกับโจทย์ที่กำหนด
• ข้อ ค. (Beta-2 receptor, หลอดลมตีบ): ข้อนี้ไม่ใช่คำตอบที่ถูกต้องสำหรับภาวะ Diarrhea &amp; Constipation เนื่องจากกลไกการออกฤทธิ์, efficacy หรือข้อบ่งใช้ไม่ตรงกับโจทย์ที่กำหนด
• ข้อ ง. (Beta-1 receptor, หลอดลมตีบ): ข้อนี้ไม่ใช่คำตอบที่ถูกต้องสำหรับภาวะ Diarrhea &amp; Constipation เนื่องจากกลไกการออกฤทธิ์, efficacy หรือข้อบ่งใช้ไม่ตรงกับโจทย์ที่กำหนด
• ข้อ จ. (Alpha 1 receptor, ปากแห้ง ตาพร่า ท้องผูก):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8" s="2" t="n"/>
      <c r="L28" s="2" t="inlineStr">
        <is>
          <t>Diarrhea &amp; Constipation</t>
        </is>
      </c>
      <c r="M28" s="2" t="inlineStr">
        <is>
          <t>Clinic</t>
        </is>
      </c>
      <c r="N28" s="2" t="inlineStr">
        <is>
          <t>ข้อ 26 Pharma Plus เล่มม่วง (เฉลยข้อ ข)</t>
        </is>
      </c>
      <c r="O28" s="2" t="inlineStr">
        <is>
          <t>Mock</t>
        </is>
      </c>
      <c r="P28" s="2" t="inlineStr">
        <is>
          <t>Pharma Plus เล่มม่วง</t>
        </is>
      </c>
    </row>
    <row r="29" ht="13.2" customHeight="1" s="37">
      <c r="A29" s="8" t="inlineStr">
        <is>
          <t>27</t>
        </is>
      </c>
      <c r="B29" s="2"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ผู้ป่วยรายนี้ติดเชื้อพยาธิชนิดใด</t>
        </is>
      </c>
      <c r="C29" s="2" t="n"/>
      <c r="D29" s="2" t="inlineStr">
        <is>
          <t>พยาธิปากขอ</t>
        </is>
      </c>
      <c r="E29" s="2" t="inlineStr">
        <is>
          <t>พยาธิเส้นด้าย</t>
        </is>
      </c>
      <c r="F29" s="2" t="inlineStr">
        <is>
          <t>พยาธิไส้เดือน</t>
        </is>
      </c>
      <c r="G29" s="2" t="inlineStr">
        <is>
          <t>พยาธิใบไม้ในตับ</t>
        </is>
      </c>
      <c r="H29" s="2" t="inlineStr">
        <is>
          <t>พยาธิตัวตืด</t>
        </is>
      </c>
      <c r="I29" s="8" t="inlineStr">
        <is>
          <t>5</t>
        </is>
      </c>
      <c r="J29" s="2" t="inlineStr">
        <is>
          <t>✅ คำตอบที่ถูกต้อง: ข้อ จ. พยาธิตัวตืด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พยาธิตัวตืด จากโจทย์ระบุชัดเจนว่าพบพยาธิ Taenia solium ซึ่งเป็นพยาธิในกลุ่มพยาธิ์ตัวตืด (Tapeworm) และลักษณะอาการถ่ายอุจจาระมีปล้องสีขาวแบนๆ คล้ายเส้นก๋วยเตี๋ยวปนออกมา เป็นลักษณะจำเพาะของการติดเชื้อพยาธิ์ตัวตืด
🔍 ข้ออื่นผิดเพราะอะไร:
• ข้อ ก. (พยาธิปากขอ): ข้อนี้ไม่ใช่คำตอบที่ถูกต้องสำหรับภาวะ GERD เนื่องจากกลไกการออกฤทธิ์, efficacy หรือข้อบ่งใช้ไม่ตรงกับโจทย์ที่กำหนด
• ข้อ ข. (พยาธิเส้นด้าย): ข้อนี้ไม่ใช่คำตอบที่ถูกต้องสำหรับภาวะ GERD เนื่องจากกลไกการออกฤทธิ์, efficacy หรือข้อบ่งใช้ไม่ตรงกับโจทย์ที่กำหนด
• ข้อ ค. (พยาธิไส้เดือน): ข้อนี้ไม่ใช่คำตอบที่ถูกต้องสำหรับภาวะ GERD เนื่องจากกลไกการออกฤทธิ์, efficacy หรือข้อบ่งใช้ไม่ตรงกับโจทย์ที่กำหนด
• ข้อ ง. (พยาธิใบไม้ในตับ):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9" s="2" t="n"/>
      <c r="L29" s="2" t="inlineStr">
        <is>
          <t>GERD</t>
        </is>
      </c>
      <c r="M29" s="2" t="inlineStr">
        <is>
          <t>Clinic</t>
        </is>
      </c>
      <c r="N29" s="2" t="inlineStr">
        <is>
          <t>ข้อ 27 Pharma Plus เล่มม่วง (เฉลยข้อ จ)</t>
        </is>
      </c>
      <c r="O29" s="2" t="inlineStr">
        <is>
          <t>Mock</t>
        </is>
      </c>
      <c r="P29" s="2" t="inlineStr">
        <is>
          <t>Pharma Plus เล่มม่วง</t>
        </is>
      </c>
    </row>
    <row r="30" ht="13.2" customHeight="1" s="37">
      <c r="A30" s="8" t="inlineStr">
        <is>
          <t>28</t>
        </is>
      </c>
      <c r="B30" s="2"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พยาธิที่เป็นได้จากสัตว์ชนิดใด</t>
        </is>
      </c>
      <c r="C30" s="2" t="n"/>
      <c r="D30" s="2" t="inlineStr">
        <is>
          <t>วัว</t>
        </is>
      </c>
      <c r="E30" s="2" t="inlineStr">
        <is>
          <t>หมู</t>
        </is>
      </c>
      <c r="F30" s="2" t="inlineStr">
        <is>
          <t>ปลา</t>
        </is>
      </c>
      <c r="G30" s="2" t="inlineStr">
        <is>
          <t>ไก่</t>
        </is>
      </c>
      <c r="H30" s="2" t="inlineStr">
        <is>
          <t>หนู</t>
        </is>
      </c>
      <c r="I30" s="8" t="inlineStr">
        <is>
          <t>2</t>
        </is>
      </c>
      <c r="J30" s="2" t="inlineStr">
        <is>
          <t>✅ คำตอบที่ถูกต้อง: ข้อ ข. หมู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หมู Taenia solium คือพยาธิตืดหมู (Pork tapeworm) ซึ่งติดต่อจากการรับประทานเนื้อหมูที่มีตัวอ่อน cysticercus สุกๆ ดิบๆ (ส่วน Taenia saginata คือพยาธิตืดวัว)
🔍 ข้ออื่นผิดเพราะอะไร:
• ข้อ ก. (วัว): ข้อนี้ไม่ใช่คำตอบที่ถูกต้องสำหรับภาวะ GERD เนื่องจากกลไกการออกฤทธิ์, efficacy หรือข้อบ่งใช้ไม่ตรงกับโจทย์ที่กำหนด
• ข้อ ค. (ปลา): ข้อนี้ไม่ใช่คำตอบที่ถูกต้องสำหรับภาวะ GERD เนื่องจากกลไกการออกฤทธิ์, efficacy หรือข้อบ่งใช้ไม่ตรงกับโจทย์ที่กำหนด
• ข้อ ง. (ไก่): ข้อนี้ไม่ใช่คำตอบที่ถูกต้องสำหรับภาวะ GERD เนื่องจากกลไกการออกฤทธิ์, efficacy หรือข้อบ่งใช้ไม่ตรงกับโจทย์ที่กำหนด
• ข้อ จ. (หนู):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0" s="2" t="n"/>
      <c r="L30" s="2" t="inlineStr">
        <is>
          <t>GERD</t>
        </is>
      </c>
      <c r="M30" s="2" t="inlineStr">
        <is>
          <t>Clinic</t>
        </is>
      </c>
      <c r="N30" s="2" t="inlineStr">
        <is>
          <t>ข้อ 28 Pharma Plus เล่มม่วง (เฉลยข้อ ข)</t>
        </is>
      </c>
      <c r="O30" s="2" t="inlineStr">
        <is>
          <t>Mock</t>
        </is>
      </c>
      <c r="P30" s="2" t="inlineStr">
        <is>
          <t>Pharma Plus เล่มม่วง</t>
        </is>
      </c>
    </row>
    <row r="31" ht="13.2" customHeight="1" s="37">
      <c r="A31" s="8" t="inlineStr">
        <is>
          <t>29</t>
        </is>
      </c>
      <c r="B31" s="2"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การใช้ยา Praziquantel ในผู้ป่วยรายนี้ มีวิธีการใช้อย่างไร</t>
        </is>
      </c>
      <c r="C31" s="2" t="n"/>
      <c r="D31" s="2" t="inlineStr">
        <is>
          <t>1000 mg 1x3, 1 day</t>
        </is>
      </c>
      <c r="E31" s="2" t="inlineStr">
        <is>
          <t>1000 mg 1x3, 2 days</t>
        </is>
      </c>
      <c r="F31" s="2" t="inlineStr">
        <is>
          <t>600 mg 1x3, 14 days</t>
        </is>
      </c>
      <c r="G31" s="2" t="inlineStr">
        <is>
          <t>600 mg 2x1, 1 day</t>
        </is>
      </c>
      <c r="H31" s="2" t="inlineStr">
        <is>
          <t>600 mg 2x3, 1 day</t>
        </is>
      </c>
      <c r="I31" s="8" t="inlineStr">
        <is>
          <t>1</t>
        </is>
      </c>
      <c r="J31" s="2" t="inlineStr">
        <is>
          <t>✅ คำตอบที่ถูกต้อง: ข้อ ก. 1000 mg 1x3, 1 day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1000 mg 1x3, 1 day ขนาดแนะนำของ Praziquantel สำหรับรักษาโรคพยาธิ์ตัวตืด (Taeniasis) คือ 10-20 mg/kg ครั้งเดียว (Single dose) ในผู้ป่วยน้ำหนัก 50 กิโลกรัม ขนาดยาที่คำนวณได้คือประมาณ 500-1000 mg ซึ่งขนาดยามาตรฐานในทางคลินิกคือ 10-20 mg/kg หรือประมาณ 1000 mg (หรือคำนวณตามสูตร 10-25 มก./กก. ครั้งเดียว) จากตัวเลือก ขนาดยา 1000 มก. ครั้งเดียวหรือแบ่งตามเม็ด (เช่น 1000 mg 1x3 ครั้ง หมายถึงรับประทานครั้งเดียว หรือตามรูปแบบเม็ด 600 มก. หรือ 500 มก. ขึ้นกับขนาดเม็ดยาที่มี แต่ข้อนี้ตรงกับแนวทาง 1000 mg รับประทานครั้งเดียวใน 1 วัน)
🔍 ข้ออื่นผิดเพราะอะไร:
• ข้อ ข. (1000 mg 1x3, 2 days): ข้อนี้ไม่ใช่คำตอบที่ถูกต้องสำหรับภาวะ GERD เนื่องจากกลไกการออกฤทธิ์, efficacy หรือข้อบ่งใช้ไม่ตรงกับโจทย์ที่กำหนด
• ข้อ ค. (600 mg 1x3, 14 days): ข้อนี้ไม่ใช่คำตอบที่ถูกต้องสำหรับภาวะ GERD เนื่องจากกลไกการออกฤทธิ์, efficacy หรือข้อบ่งใช้ไม่ตรงกับโจทย์ที่กำหนด
• ข้อ ง. (600 mg 2x1, 1 day): ข้อนี้ไม่ใช่คำตอบที่ถูกต้องสำหรับภาวะ GERD เนื่องจากกลไกการออกฤทธิ์, efficacy หรือข้อบ่งใช้ไม่ตรงกับโจทย์ที่กำหนด
• ข้อ จ. (600 mg 2x3, 1 day):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1" s="2" t="n"/>
      <c r="L31" s="2" t="inlineStr">
        <is>
          <t>GERD</t>
        </is>
      </c>
      <c r="M31" s="2" t="inlineStr">
        <is>
          <t>Clinic</t>
        </is>
      </c>
      <c r="N31" s="2" t="inlineStr">
        <is>
          <t>ข้อ 29 Pharma Plus เล่มม่วง (เฉลยข้อ )</t>
        </is>
      </c>
      <c r="O31" s="2" t="inlineStr">
        <is>
          <t>Mock</t>
        </is>
      </c>
      <c r="P31" s="2" t="inlineStr">
        <is>
          <t>Pharma Plus เล่มม่วง</t>
        </is>
      </c>
    </row>
    <row r="32" ht="13.2" customHeight="1" s="37">
      <c r="A32" s="8" t="inlineStr">
        <is>
          <t>30</t>
        </is>
      </c>
      <c r="B32" s="2" t="inlineStr">
        <is>
          <t>สมุนไพรใดที่อาจแนะนำในผู้ป่วยรายนี้ คือ</t>
        </is>
      </c>
      <c r="C32" s="2" t="n"/>
      <c r="D32" s="2" t="inlineStr">
        <is>
          <t>เมล็ดฟักทอง</t>
        </is>
      </c>
      <c r="E32" s="2" t="inlineStr">
        <is>
          <t>เมล็ดทานตะวัน</t>
        </is>
      </c>
      <c r="F32" s="2" t="inlineStr">
        <is>
          <t>เปลือกมังคุด</t>
        </is>
      </c>
      <c r="G32" s="2" t="inlineStr">
        <is>
          <t>เปลือกทับทิม</t>
        </is>
      </c>
      <c r="H32" s="2" t="inlineStr">
        <is>
          <t>เปลือกส้มโอ</t>
        </is>
      </c>
      <c r="I32" s="8" t="inlineStr">
        <is>
          <t>1</t>
        </is>
      </c>
      <c r="J32" s="2" t="inlineStr">
        <is>
          <t>✅ คำตอบที่ถูกต้อง: ข้อ ก. เมล็ดฟักทอง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เมล็ดฟักทอง เปลือกมังคุด (Garcinia mangostana) มีสารแทนนินสูง มีฤทธิ์ฝาดสมาคม ช่วยรักษาอาการท้องเสีย ตามตำราการแพทย์แผนไทยและการใช้สมุนไพรในระบบทางเดินอาหาร
🔍 ข้ออื่นผิดเพราะอะไร:
• ข้อ ข. (เมล็ดทานตะวัน): ข้อนี้ไม่ใช่คำตอบที่ถูกต้องสำหรับภาวะ GERD เนื่องจากกลไกการออกฤทธิ์, efficacy หรือข้อบ่งใช้ไม่ตรงกับโจทย์ที่กำหนด
• ข้อ ค. (เปลือกมังคุด): ข้อนี้ไม่ใช่คำตอบที่ถูกต้องสำหรับภาวะ GERD เนื่องจากกลไกการออกฤทธิ์, efficacy หรือข้อบ่งใช้ไม่ตรงกับโจทย์ที่กำหนด
• ข้อ ง. (เปลือกทับทิม): ข้อนี้ไม่ใช่คำตอบที่ถูกต้องสำหรับภาวะ GERD เนื่องจากกลไกการออกฤทธิ์, efficacy หรือข้อบ่งใช้ไม่ตรงกับโจทย์ที่กำหนด
• ข้อ จ. (เปลือกส้มโอ):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2" s="2" t="n"/>
      <c r="L32" s="2" t="inlineStr">
        <is>
          <t>GERD</t>
        </is>
      </c>
      <c r="M32" s="2" t="inlineStr">
        <is>
          <t>Clinic</t>
        </is>
      </c>
      <c r="N32" s="2" t="inlineStr">
        <is>
          <t>ข้อ 30 Pharma Plus เล่มม่วง (เฉลยข้อ ก)</t>
        </is>
      </c>
      <c r="O32" s="2" t="inlineStr">
        <is>
          <t>Mock</t>
        </is>
      </c>
      <c r="P32" s="2" t="inlineStr">
        <is>
          <t>Pharma Plus เล่มม่วง</t>
        </is>
      </c>
    </row>
    <row r="33" ht="13.2" customHeight="1" s="37">
      <c r="A33" s="8" t="inlineStr">
        <is>
          <t>31</t>
        </is>
      </c>
      <c r="B33" s="2" t="inlineStr">
        <is>
          <t>ข้อแนะนำการใช้ยาสำหรับผู้ป่วยให้นมบุตรคือข้อใด</t>
        </is>
      </c>
      <c r="C33" s="2" t="n"/>
      <c r="D33" s="2" t="inlineStr">
        <is>
          <t>สามารถใช้ได้เพราะไม่สามารถขับออกทางน้ำนม</t>
        </is>
      </c>
      <c r="E33" s="2" t="inlineStr">
        <is>
          <t>สามารถใช้ได้ไม่มีอาการข้างเคียงที่ร้ายแรง</t>
        </is>
      </c>
      <c r="F33" s="2" t="inlineStr">
        <is>
          <t>สามารถใช้ได้เพราะไม่เกิดเมตาบอไลต์ที่เป็นพิษ</t>
        </is>
      </c>
      <c r="G33" s="2" t="inlineStr">
        <is>
          <t>ไม่สามารถใช้ได้เพราะขับออกทางน้ำนม</t>
        </is>
      </c>
      <c r="H33" s="2" t="inlineStr">
        <is>
          <t>ไม่สามารถใช้ได้ขณะให้นมบุตร และหยุดใช้ยาอีก 2-3 วัน เพราะเมตาบอไลต์ช้า</t>
        </is>
      </c>
      <c r="I33" s="8" t="inlineStr">
        <is>
          <t>4</t>
        </is>
      </c>
      <c r="J33" s="2" t="inlineStr">
        <is>
          <t>✅ คำตอบที่ถูกต้อง: ข้อ ง. ไม่สามารถใช้ได้เพราะขับออกทางน้ำนม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ไม่สามารถใช้ได้เพราะขับออกทางน้ำนม ยาหลายชนิดสามารถขับออกทางน้ำนมได้ (Breast milk excretion) ซึ่งอาจส่งผลข้างเคียงต่อทารก จึงต้องพิจารณา safety และอาจต้องหลีกเลี่ยงหรือหยุดใช้ยาตามคำแนะนำทางคลินิก
🔍 ข้ออื่นผิดเพราะอะไร:
• ข้อ ก. (สามารถใช้ได้เพราะไม่สามารถขับออกทางน้ำนม): ข้อนี้ไม่ใช่คำตอบที่ถูกต้องสำหรับภาวะ GERD เนื่องจากกลไกการออกฤทธิ์, efficacy หรือข้อบ่งใช้ไม่ตรงกับโจทย์ที่กำหนด
• ข้อ ข. (สามารถใช้ได้ไม่มีอาการข้างเคียงที่ร้ายแรง): ข้อนี้ไม่ใช่คำตอบที่ถูกต้องสำหรับภาวะ GERD เนื่องจากกลไกการออกฤทธิ์, efficacy หรือข้อบ่งใช้ไม่ตรงกับโจทย์ที่กำหนด
• ข้อ ค. (สามารถใช้ได้เพราะไม่เกิดเมตาบอไลต์ที่เป็นพิษ): ข้อนี้ไม่ใช่คำตอบที่ถูกต้องสำหรับภาวะ GERD เนื่องจากกลไกการออกฤทธิ์, efficacy หรือข้อบ่งใช้ไม่ตรงกับโจทย์ที่กำหนด
• ข้อ จ. (ไม่สามารถใช้ได้ขณะให้นมบุตร และหยุดใช้ยาอีก 2-3 วัน เพราะเมตาบอไลต์ช้า):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2" t="n"/>
      <c r="L33" s="2" t="inlineStr">
        <is>
          <t>GERD</t>
        </is>
      </c>
      <c r="M33" s="2" t="inlineStr">
        <is>
          <t>Clinic</t>
        </is>
      </c>
      <c r="N33" s="2" t="inlineStr">
        <is>
          <t>ข้อ 31 Pharma Plus เล่มม่วง (เฉลยข้อ ง)</t>
        </is>
      </c>
      <c r="O33" s="2" t="inlineStr">
        <is>
          <t>Mock</t>
        </is>
      </c>
      <c r="P33" s="2" t="inlineStr">
        <is>
          <t>Pharma Plus เล่มม่วง</t>
        </is>
      </c>
    </row>
    <row r="34" ht="13.2" customHeight="1" s="37">
      <c r="A34" s="8" t="inlineStr">
        <is>
          <t>32</t>
        </is>
      </c>
      <c r="B34" s="2" t="inlineStr">
        <is>
          <t>ผู้ป่วยชายไทยอายุ 56 ปี มาพบเภสัชกรที่ร้านยาเนื่องจากมีอาการแน่นบริเวณลิ้นปี่ รายงานอาการแสบร้อนที่กระจายจากอกขึ้นมายังลำคอ มักเกิดขึ้นหลังรับประทานอาหารอิ่มใหม่ๆ หรืออาหารมื้อใหญ่ โดยมีอาการทุกวัน รับประทานยาลดกรดอาการดีขึ้น PMH: HT x 15 ปี, Chronic stable angina; ALL: NKDA; Med: Aspirin 80 mg AM; PE: หนัก 62 kg สูง 175 cm
จากอาการของป่วย เป็นโรคอะไร</t>
        </is>
      </c>
      <c r="C34" s="2" t="n"/>
      <c r="D34" s="2" t="inlineStr">
        <is>
          <t>GERD</t>
        </is>
      </c>
      <c r="E34" s="2" t="inlineStr">
        <is>
          <t>GU</t>
        </is>
      </c>
      <c r="F34" s="2" t="inlineStr">
        <is>
          <t>DU</t>
        </is>
      </c>
      <c r="G34" s="2" t="inlineStr">
        <is>
          <t>Gastroparesis</t>
        </is>
      </c>
      <c r="H34" s="2" t="inlineStr">
        <is>
          <t>IBS</t>
        </is>
      </c>
      <c r="I34" s="8" t="inlineStr">
        <is>
          <t>1</t>
        </is>
      </c>
      <c r="J34" s="2" t="inlineStr">
        <is>
          <t>✅ คำตอบที่ถูกต้อง: ข้อ ก. GERD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GERD อาการแสบร้อนหลังจากอกขึ้นมายังลำคอ (heartburn) และแน่นบริเวณลิ้นปี่ มักเกิดขึ้นหลังรับประทานอาหารอิ่มใหม่ๆ เป็นอาการจำเพาะของโรคกรดไหลย้อน (GERD: Gastroesophageal Reflux Disease)
🔍 ข้ออื่นผิดเพราะอะไร:
• ข้อ ข. (GU): ข้อนี้ไม่ใช่คำตอบที่ถูกต้องสำหรับภาวะ GERD เนื่องจากกลไกการออกฤทธิ์, efficacy หรือข้อบ่งใช้ไม่ตรงกับโจทย์ที่กำหนด
• ข้อ ค. (DU): ข้อนี้ไม่ใช่คำตอบที่ถูกต้องสำหรับภาวะ GERD เนื่องจากกลไกการออกฤทธิ์, efficacy หรือข้อบ่งใช้ไม่ตรงกับโจทย์ที่กำหนด
• ข้อ ง. (Gastroparesis): ข้อนี้ไม่ใช่คำตอบที่ถูกต้องสำหรับภาวะ GERD เนื่องจากกลไกการออกฤทธิ์, efficacy หรือข้อบ่งใช้ไม่ตรงกับโจทย์ที่กำหนด
• ข้อ จ. (IBS):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4" s="2" t="n"/>
      <c r="L34" s="2" t="inlineStr">
        <is>
          <t>GERD</t>
        </is>
      </c>
      <c r="M34" s="2" t="inlineStr">
        <is>
          <t>Clinic</t>
        </is>
      </c>
      <c r="N34" s="2" t="inlineStr">
        <is>
          <t>ข้อ 32 Pharma Plus เล่มม่วง (เฉลยข้อ ก)</t>
        </is>
      </c>
      <c r="O34" s="2" t="inlineStr">
        <is>
          <t>Mock</t>
        </is>
      </c>
      <c r="P34" s="2" t="inlineStr">
        <is>
          <t>Pharma Plus เล่มม่วง</t>
        </is>
      </c>
    </row>
    <row r="35" ht="13.2" customHeight="1" s="37">
      <c r="A35" s="8" t="inlineStr">
        <is>
          <t>33</t>
        </is>
      </c>
      <c r="B35" s="2" t="inlineStr">
        <is>
          <t>6 เดือนต่อมา ผู้ป่วยได้รับการวินิจฉัยว่าเป็น GU คาดว่าน่าจะมาจากการได้รับ Aspirin แพทย์มีความต้องการให้ Aspirin ต่อไป ท่านจะแนะนำยาอย่างไรในการป้องกันภาวะการณ์เกิด GU ซ้ำ</t>
        </is>
      </c>
      <c r="C35" s="2" t="n"/>
      <c r="D35" s="2" t="inlineStr">
        <is>
          <t>Sucralfate 1 g bid</t>
        </is>
      </c>
      <c r="E35" s="2" t="inlineStr">
        <is>
          <t>Famotidine 10 mg OD</t>
        </is>
      </c>
      <c r="F35" s="2" t="inlineStr">
        <is>
          <t>Domperidone 10 mg tid</t>
        </is>
      </c>
      <c r="G35" s="2" t="inlineStr">
        <is>
          <t>Magnesium-aluminium hydroxide 30 ml</t>
        </is>
      </c>
      <c r="H35" s="2" t="inlineStr">
        <is>
          <t>Omeprazole 20 mg OD</t>
        </is>
      </c>
      <c r="I35" s="8" t="inlineStr">
        <is>
          <t>5</t>
        </is>
      </c>
      <c r="J35" s="2" t="inlineStr">
        <is>
          <t>✅ คำตอบที่ถูกต้อง: ข้อ จ.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ตามแนวทางการรักษา (ACG guidelines) ผู้ป่วยที่ต้องรับประทาน Aspirin ต่อเนื่องและมีประวัติแผลในกระเพาะอาหาร (GU) ควรได้รับ PPI (เช่น Omeprazole 20 mg OD) เพื่อป้องกันการเกิดแผลซ้ำจาก NSAID/Aspirin-induced ulcer
🔍 ข้ออื่นผิดเพราะอะไร:
• ข้อ ก. (Sucralfate 1 g bid):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ข. (Famotidine 10 mg OD): ข้อนี้ไม่ใช่คำตอบที่ถูกต้องสำหรับภาวะ GERD เนื่องจากกลไกการออกฤทธิ์, efficacy หรือข้อบ่งใช้ไม่ตรงกับโจทย์ที่กำหนด
• ข้อ ค. (Domperidone 10 mg tid): เป็น peripheral D2 receptor antagonist เพิ่ม GI motility ไม่ผ่าน BBB จึงไม่ทำให้เกิด EPS เด่นชัด แต่ต้องระวัง QT prolongation ในขนาดสูง (&gt; 30 mg/day)
• ข้อ ง. (Magnesium-aluminium hydroxide 30 ml):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2" t="n"/>
      <c r="L35" s="2" t="inlineStr">
        <is>
          <t>GERD</t>
        </is>
      </c>
      <c r="M35" s="2" t="inlineStr">
        <is>
          <t>Clinic</t>
        </is>
      </c>
      <c r="N35" s="2" t="inlineStr">
        <is>
          <t>ข้อ 33 Pharma Plus เล่มม่วง (เฉลยข้อ จ)</t>
        </is>
      </c>
      <c r="O35" s="2" t="inlineStr">
        <is>
          <t>Mock</t>
        </is>
      </c>
      <c r="P35" s="2" t="inlineStr">
        <is>
          <t>Pharma Plus เล่มม่วง</t>
        </is>
      </c>
    </row>
    <row r="36" ht="13.2" customHeight="1" s="37">
      <c r="A36" s="8" t="inlineStr">
        <is>
          <t>34</t>
        </is>
      </c>
      <c r="B36" s="2" t="inlineStr">
        <is>
          <t>Domperidone ออกฤทธิ์ผ่าน receptor ใด</t>
        </is>
      </c>
      <c r="C36" s="2" t="n"/>
      <c r="D36" s="2" t="inlineStr">
        <is>
          <t>D2 receptor</t>
        </is>
      </c>
      <c r="E36" s="2" t="inlineStr">
        <is>
          <t>M3 muscarinic receptor</t>
        </is>
      </c>
      <c r="F36" s="2" t="inlineStr">
        <is>
          <t>5-HT3 receptor</t>
        </is>
      </c>
      <c r="G36" s="2" t="inlineStr">
        <is>
          <t>5-HT4 receptor</t>
        </is>
      </c>
      <c r="H36" s="2" t="inlineStr">
        <is>
          <t>Alpha-1 adrenergic receptor</t>
        </is>
      </c>
      <c r="I36" s="8" t="inlineStr">
        <is>
          <t>1</t>
        </is>
      </c>
      <c r="J36" s="2" t="inlineStr">
        <is>
          <t>✅ คำตอบที่ถูกต้อง: ข้อ ก. D2 receptor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D2 receptor Domperidone เป็นยาต้านอาเจียนและกระตุ้นการบีบตัวของทางเดินอาหาร (Prokinetic agent) โดยการออกฤทธิ์เป็น dopamine antagonist ที่ D2 receptor บริเวณ Chemoreceptor trigger zone (CTZ) และทางเดินอาหาร
🔍 ข้ออื่นผิดเพราะอะไร:
• ข้อ ข. (M3 muscarinic receptor): ข้อนี้ไม่ใช่คำตอบที่ถูกต้องสำหรับภาวะ Nausea and vomiting เนื่องจากกลไกการออกฤทธิ์, efficacy หรือข้อบ่งใช้ไม่ตรงกับโจทย์ที่กำหนด
• ข้อ ค. (5-HT3 receptor): ข้อนี้ไม่ใช่คำตอบที่ถูกต้องสำหรับภาวะ Nausea and vomiting เนื่องจากกลไกการออกฤทธิ์, efficacy หรือข้อบ่งใช้ไม่ตรงกับโจทย์ที่กำหนด
• ข้อ ง. (5-HT4 receptor): ข้อนี้ไม่ใช่คำตอบที่ถูกต้องสำหรับภาวะ Nausea and vomiting เนื่องจากกลไกการออกฤทธิ์, efficacy หรือข้อบ่งใช้ไม่ตรงกับโจทย์ที่กำหนด
• ข้อ จ. (Alpha-1 adrenergic receptor): ข้อนี้ไม่ใช่คำตอบที่ถูกต้องสำหรับภาวะ Nausea and vomiting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Nausea and vomiting</t>
        </is>
      </c>
      <c r="M36" s="2" t="inlineStr">
        <is>
          <t>Clinic</t>
        </is>
      </c>
      <c r="N36" s="2" t="inlineStr">
        <is>
          <t>ข้อ 34 Pharma Plus เล่มม่วง (เฉลยข้อ ก)</t>
        </is>
      </c>
      <c r="O36" s="2" t="inlineStr">
        <is>
          <t>Mock</t>
        </is>
      </c>
      <c r="P36" s="2" t="inlineStr">
        <is>
          <t>Pharma Plus เล่มม่วง</t>
        </is>
      </c>
    </row>
    <row r="37" ht="13.2" customHeight="1" s="37">
      <c r="A37" s="8" t="inlineStr">
        <is>
          <t>35</t>
        </is>
      </c>
      <c r="B37" s="2" t="inlineStr">
        <is>
          <t>ยาใดห้ามบดในสายยาง</t>
        </is>
      </c>
      <c r="C37" s="2" t="n"/>
      <c r="D37" s="2" t="inlineStr">
        <is>
          <t>HCTZ</t>
        </is>
      </c>
      <c r="E37" s="2" t="inlineStr">
        <is>
          <t>Famotidine</t>
        </is>
      </c>
      <c r="F37" s="2" t="inlineStr">
        <is>
          <t>Domperidone</t>
        </is>
      </c>
      <c r="G37" s="2" t="inlineStr">
        <is>
          <t>Al3+ + Mg2+</t>
        </is>
      </c>
      <c r="H37" s="2" t="inlineStr">
        <is>
          <t>Omeprazole</t>
        </is>
      </c>
      <c r="I37" s="8" t="inlineStr">
        <is>
          <t>5</t>
        </is>
      </c>
      <c r="J37" s="2" t="inlineStr">
        <is>
          <t>✅ คำตอบที่ถูกต้อง: ข้อ จ.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เป็นยาในรูปแบบ enteric-coated pellets เพื่อป้องกันการถูกทำลายโดยกรดในกระเพาะอาหาร การบดจะทำให้ตัวยาถูกทำลาย สูญเสีย efficacy และอาจทำให้สายยางอุดตันได้
🔍 ข้ออื่นผิดเพราะอะไร:
• ข้อ ก. (HCTZ): ข้อนี้ไม่ใช่คำตอบที่ถูกต้องสำหรับภาวะ GERD เนื่องจากกลไกการออกฤทธิ์, efficacy หรือข้อบ่งใช้ไม่ตรงกับโจทย์ที่กำหนด
• ข้อ ข. (Famotidine): ข้อนี้ไม่ใช่คำตอบที่ถูกต้องสำหรับภาวะ GERD เนื่องจากกลไกการออกฤทธิ์, efficacy หรือข้อบ่งใช้ไม่ตรงกับโจทย์ที่กำหนด
• ข้อ ค. (Domperidone): เป็น peripheral D2 receptor antagonist เพิ่ม GI motility ไม่ผ่าน BBB จึงไม่ทำให้เกิด EPS เด่นชัด แต่ต้องระวัง QT prolongation ในขนาดสูง (&gt; 30 mg/day)
• ข้อ ง. (Al3+ + Mg2+):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7" s="2" t="n"/>
      <c r="L37" s="2" t="inlineStr">
        <is>
          <t>GERD</t>
        </is>
      </c>
      <c r="M37" s="2" t="inlineStr">
        <is>
          <t>Clinic</t>
        </is>
      </c>
      <c r="N37" s="2" t="inlineStr">
        <is>
          <t>ข้อ 35 Pharma Plus เล่มม่วง (เฉลยข้อ จ)</t>
        </is>
      </c>
      <c r="O37" s="2" t="inlineStr">
        <is>
          <t>Mock</t>
        </is>
      </c>
      <c r="P37" s="2" t="inlineStr">
        <is>
          <t>Pharma Plus เล่มม่วง</t>
        </is>
      </c>
    </row>
    <row r="38" ht="13.2" customHeight="1" s="37">
      <c r="A38" s="8" t="inlineStr">
        <is>
          <t>36</t>
        </is>
      </c>
      <c r="B38" s="2" t="inlineStr">
        <is>
          <t>ยาใดที่เป็นยาสามัญประจำบ้าน</t>
        </is>
      </c>
      <c r="C38" s="2" t="n"/>
      <c r="D38" s="2" t="inlineStr">
        <is>
          <t>HCTZ</t>
        </is>
      </c>
      <c r="E38" s="2" t="inlineStr">
        <is>
          <t>Famotidine</t>
        </is>
      </c>
      <c r="F38" s="2" t="inlineStr">
        <is>
          <t>Domperidone</t>
        </is>
      </c>
      <c r="G38" s="2" t="inlineStr">
        <is>
          <t>Al3+ + Mg2+ (alum milk)</t>
        </is>
      </c>
      <c r="H38" s="2" t="inlineStr">
        <is>
          <t>Cimetidine</t>
        </is>
      </c>
      <c r="I38" s="8" t="inlineStr">
        <is>
          <t>4</t>
        </is>
      </c>
      <c r="J38" s="2" t="inlineStr">
        <is>
          <t>✅ คำตอบที่ถูกต้อง: ข้อ ง. Al3+ + Mg2+ (alum milk)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Al3+ + Mg2+ (alum milk) ยาลดกรด Aluminium hydroxide + Magnesium hydroxide (Alum milk) จัดเป็นยาสามัญประจำบ้านแผนปัจจุบันที่ประชาชนสามารถหาซื้อได้เองตามร้านขายยาเพื่อบรรเทาอาการจุกเสียด แน่นท้อง หรือแสบร้อนกลางอก
🔍 ข้ออื่นผิดเพราะอะไร:
• ข้อ ก. (HCTZ): ข้อนี้ไม่ใช่คำตอบที่ถูกต้องสำหรับภาวะ GERD เนื่องจากกลไกการออกฤทธิ์, efficacy หรือข้อบ่งใช้ไม่ตรงกับโจทย์ที่กำหนด
• ข้อ ข. (Famotidine): ข้อนี้ไม่ใช่คำตอบที่ถูกต้องสำหรับภาวะ GERD เนื่องจากกลไกการออกฤทธิ์, efficacy หรือข้อบ่งใช้ไม่ตรงกับโจทย์ที่กำหนด
• ข้อ ค. (Domperidone): เป็น peripheral D2 receptor antagonist เพิ่ม GI motility ไม่ผ่าน BBB จึงไม่ทำให้เกิด EPS เด่นชัด แต่ต้องระวัง QT prolongation ในขนาดสูง (&gt; 30 mg/day)
• ข้อ จ. (Cimetidine):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2" t="n"/>
      <c r="L38" s="2" t="inlineStr">
        <is>
          <t>GERD</t>
        </is>
      </c>
      <c r="M38" s="2" t="inlineStr">
        <is>
          <t>Clinic</t>
        </is>
      </c>
      <c r="N38" s="2" t="inlineStr">
        <is>
          <t>ข้อ 36 Pharma Plus เล่มม่วง (เฉลยข้อ ง)</t>
        </is>
      </c>
      <c r="O38" s="2" t="inlineStr">
        <is>
          <t>Mock</t>
        </is>
      </c>
      <c r="P38" s="2" t="inlineStr">
        <is>
          <t>Pharma Plus เล่มม่วง</t>
        </is>
      </c>
    </row>
    <row r="39" ht="13.2" customHeight="1" s="37">
      <c r="A39" s="8" t="inlineStr">
        <is>
          <t>37</t>
        </is>
      </c>
      <c r="B39" s="2" t="inlineStr">
        <is>
          <t>ยาใดต่อไปนี้ไม่ได้อยู่ใน regimen ในการรักษา H. pylori</t>
        </is>
      </c>
      <c r="C39" s="2" t="n"/>
      <c r="D39" s="2" t="inlineStr">
        <is>
          <t>Tetracycline</t>
        </is>
      </c>
      <c r="E39" s="2" t="inlineStr">
        <is>
          <t>Ranitidine</t>
        </is>
      </c>
      <c r="F39" s="2" t="inlineStr">
        <is>
          <t>Metronidazole</t>
        </is>
      </c>
      <c r="G39" s="2" t="inlineStr">
        <is>
          <t>Erythromycin</t>
        </is>
      </c>
      <c r="H39" s="2" t="inlineStr">
        <is>
          <t>Lansoprazole</t>
        </is>
      </c>
      <c r="I39" s="8" t="inlineStr">
        <is>
          <t>4</t>
        </is>
      </c>
      <c r="J39" s="2" t="inlineStr">
        <is>
          <t>✅ คำตอบที่ถูกต้อง: ข้อ ง. Erythromycin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Erythromycin แนวทางการรักษาเชื้อ Helicobacter pylori (เช่น Bismuth quadruple therapy หรือ Clarithromycin-based triple therapy) ใช้ Proton pump inhibitors (เช่น Lansoprazole), antibiotics (เช่น Tetracycline, Metronidazole, Clarithromycin, Amoxicillin) แต่ Ranitidine และ Erythromycin ไม่ได้ใช้เป็นยาหลักใน regimen กำจัดเชื้อ
🔍 ข้ออื่นผิดเพราะอะไร:
• ข้อ ก. (Tetracycline): ข้อนี้ไม่ใช่คำตอบที่ถูกต้องสำหรับภาวะ Dyspepsia &amp; PUD เนื่องจากกลไกการออกฤทธิ์, efficacy หรือข้อบ่งใช้ไม่ตรงกับโจทย์ที่กำหนด
• ข้อ ข. (Ranitidine): ข้อนี้ไม่ใช่คำตอบที่ถูกต้องสำหรับภาวะ Dyspepsia &amp; PUD เนื่องจากกลไกการออกฤทธิ์, efficacy หรือข้อบ่งใช้ไม่ตรงกับโจทย์ที่กำหนด
• ข้อ ค. (Metronidazole): เป็น antianaerobic และ antiprotozoal agent ยับยั้ง Trichomonas vaginalis, Giardia, Amebiasis, และ anaerobes ห้ามดื่มแอลกอฮอล์ระหว่างใช้ยา (disulfiram-like reaction)
• ข้อ จ. (Lansoprazole):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2" t="n"/>
      <c r="L39" s="2" t="inlineStr">
        <is>
          <t>Dyspepsia &amp; PUD</t>
        </is>
      </c>
      <c r="M39" s="2" t="inlineStr">
        <is>
          <t>Clinic</t>
        </is>
      </c>
      <c r="N39" s="2" t="inlineStr">
        <is>
          <t>ข้อ 37 Pharma Plus เล่มม่วง (เฉลยข้อ ง)</t>
        </is>
      </c>
      <c r="O39" s="2" t="inlineStr">
        <is>
          <t>Mock</t>
        </is>
      </c>
      <c r="P39" s="2" t="inlineStr">
        <is>
          <t>Pharma Plus เล่มม่วง</t>
        </is>
      </c>
    </row>
    <row r="40" ht="13.2" customHeight="1" s="37">
      <c r="A40" s="8" t="inlineStr">
        <is>
          <t>38</t>
        </is>
      </c>
      <c r="B40" s="2"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ผลเสียของการใช้ omeprazole ร่วมกับ clopidogrel เกิดจากปฏิกิริยาอะไร</t>
        </is>
      </c>
      <c r="C40" s="2" t="n"/>
      <c r="D40" s="2" t="inlineStr">
        <is>
          <t>Omeprazole ลดการดูดซึม clopidogrel เนื่องจากดูดซึมได้ดีในสภาวะเป็นกรด</t>
        </is>
      </c>
      <c r="E40" s="2" t="inlineStr">
        <is>
          <t>Clopidogrel ลดการดูดซึม omeprazole</t>
        </is>
      </c>
      <c r="F40" s="2" t="inlineStr">
        <is>
          <t>Omeprazole ลดการดูดซึม clopidogrel เกิด toxic metabolite ที่ตับ</t>
        </is>
      </c>
      <c r="G40" s="2" t="inlineStr">
        <is>
          <t>Omeprazole เพิ่มการขับออกของ clopidogrel</t>
        </is>
      </c>
      <c r="H40" s="2" t="inlineStr">
        <is>
          <t>Omeprazole ทำให้ clopidogrel ไม่ถูกเปลี่ยนในรูปที่ออกฤทธิ์</t>
        </is>
      </c>
      <c r="I40" s="8" t="inlineStr">
        <is>
          <t>5</t>
        </is>
      </c>
      <c r="J40" s="2" t="inlineStr">
        <is>
          <t>✅ คำตอบที่ถูกต้อง: ข้อ จ. Omeprazole ทำให้ clopidogrel ไม่ถูกเปลี่ยนในรูปที่ออกฤทธิ์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ทำให้ clopidogrel ไม่ถูกเปลี่ยนในรูปที่ออกฤทธิ์ Omeprazole ยับยั้งเอนไซม์ CYP2C19 ซึ่งเป็นตัวเปลี่ยน Clopidogrel (prodrug) ให้เป็น active metabolite ส่งผลให้ฤทธิ์ต้านเกล็ดเลือดลดลง เพิ่มความเสี่ยงของโรคหัวใจและหลอดเลือด ควรหลีกเลี่ยงการใช้ร่วมกันหรือเปลี่ยนไปใช้ PPI ตัวอื่นที่มีผลน้อยกว่า เช่น Pantoprazole
🔍 ข้ออื่นผิดเพราะอะไร:
• ข้อ ก. (Omeprazole ลดการดูดซึม clopidogrel เนื่องจากดูดซึมได้ดีในสภาวะเป็นกรด): เป็น P2Y12 inhibitor ต้องผ่านการกระตุ้นโดยเอนไซม์ CYP2C19 (prodrug) จึงต้องระวัง drug interaction กับ strong CYP2C19 inhibitors เช่น omeprazole (ควรเลี่ยงไปใช้ pantoprazole)
• ข้อ ข. (Clopidogrel ลดการดูดซึม omeprazole): เป็น P2Y12 inhibitor ต้องผ่านการกระตุ้นโดยเอนไซม์ CYP2C19 (prodrug) จึงต้องระวัง drug interaction กับ strong CYP2C19 inhibitors เช่น omeprazole (ควรเลี่ยงไปใช้ pantoprazole)
• ข้อ ค. (Omeprazole ลดการดูดซึม clopidogrel เกิด toxic metabolite ที่ตับ): เป็น P2Y12 inhibitor ต้องผ่านการกระตุ้นโดยเอนไซม์ CYP2C19 (prodrug) จึงต้องระวัง drug interaction กับ strong CYP2C19 inhibitors เช่น omeprazole (ควรเลี่ยงไปใช้ pantoprazole)
• ข้อ ง. (Omeprazole เพิ่มการขับออกของ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0" s="2" t="n"/>
      <c r="L40" s="2" t="inlineStr">
        <is>
          <t>GERD</t>
        </is>
      </c>
      <c r="M40" s="2" t="inlineStr">
        <is>
          <t>Clinic</t>
        </is>
      </c>
      <c r="N40" s="2" t="inlineStr">
        <is>
          <t>ข้อ 38 Pharma Plus เล่มม่วง (เฉลยข้อ จ)</t>
        </is>
      </c>
      <c r="O40" s="2" t="inlineStr">
        <is>
          <t>Mock</t>
        </is>
      </c>
      <c r="P40" s="2" t="inlineStr">
        <is>
          <t>Pharma Plus เล่มม่วง</t>
        </is>
      </c>
    </row>
    <row r="41" ht="13.2" customHeight="1" s="37">
      <c r="A41" s="8" t="inlineStr">
        <is>
          <t>39</t>
        </is>
      </c>
      <c r="B41" s="2"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Omeprazole ลดการดูดซึมของยาในข้อใด</t>
        </is>
      </c>
      <c r="C41" s="2" t="n"/>
      <c r="D41" s="2" t="inlineStr">
        <is>
          <t>Erythromycin</t>
        </is>
      </c>
      <c r="E41" s="2" t="inlineStr">
        <is>
          <t>Ketoconazole</t>
        </is>
      </c>
      <c r="F41" s="2" t="inlineStr">
        <is>
          <t>Diazepam</t>
        </is>
      </c>
      <c r="G41" s="2" t="inlineStr">
        <is>
          <t>Warfarin</t>
        </is>
      </c>
      <c r="H41" s="2" t="inlineStr">
        <is>
          <t>Escitalopram</t>
        </is>
      </c>
      <c r="I41" s="8" t="inlineStr">
        <is>
          <t>2</t>
        </is>
      </c>
      <c r="J41" s="2" t="inlineStr">
        <is>
          <t>✅ คำตอบที่ถูกต้อง: ข้อ ข.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Ketoconazole Omeprazole เพิ่มความเป็นกรด-ด่างในกระเพาะอาหาร (pH สูงขึ้น) ส่งผลให้ยาสูตรที่ต้องการสภาวะกรดในการละลายและดูดซึม เช่น Ketoconazole หรือ Itraconazole ลดการดูดซึมลงอย่างมีนัยสำคัญ
🔍 ข้ออื่นผิดเพราะอะไร:
• ข้อ ก. (Erythromycin): ข้อนี้ไม่ใช่คำตอบที่ถูกต้องสำหรับภาวะ GERD เนื่องจากกลไกการออกฤทธิ์, efficacy หรือข้อบ่งใช้ไม่ตรงกับโจทย์ที่กำหนด
• ข้อ ค. (Diazepam): เป็น long-acting Benzodiazepine มี active metabolites (nordiazepam) สะสมในผู้สูงอายุ ทำให้ง่วงซึม หกล้ม เสี่ยง fracture
• ข้อ ง. (Warfarin): เป็น Vitamin K antagonist ต้องติดตาม monitoring ค่า INR (target 2.0-3.0 ใน DVT/PE/AF, 2.5-3.5 ใน mechanical mitral valve) มี drug-food interactions มากมาย และ reversal agent คือ Vitamin K1
• ข้อ จ. (Escitalopram): เป็น highly selective SSRI มี drug interactions ต่ำ แต่มีคำเตือนเรื่อง dose-dependent QT prolongation (ขนาดยาสูงสุด 20 mg/day, หรือ 10 mg/day ในผู้สูงอายุ)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1" s="2" t="n"/>
      <c r="L41" s="2" t="inlineStr">
        <is>
          <t>GERD</t>
        </is>
      </c>
      <c r="M41" s="2" t="inlineStr">
        <is>
          <t>Clinic</t>
        </is>
      </c>
      <c r="N41" s="2" t="inlineStr">
        <is>
          <t>ข้อ 39 Pharma Plus เล่มม่วง (เฉลยข้อ ข)</t>
        </is>
      </c>
      <c r="O41" s="2" t="inlineStr">
        <is>
          <t>Mock</t>
        </is>
      </c>
      <c r="P41" s="2" t="inlineStr">
        <is>
          <t>Pharma Plus เล่มม่วง</t>
        </is>
      </c>
    </row>
    <row r="42" ht="13.2" customHeight="1" s="37">
      <c r="A42" s="8" t="inlineStr">
        <is>
          <t>40</t>
        </is>
      </c>
      <c r="B42" s="2" t="inlineStr">
        <is>
          <t>ผู้ป่วยพะอืดพะอม คลื่นไส้อาเจียน ไม่สามารถกลืน omeprazole capsule ได้ หากต้องการแกะแคปซูลเพื่อบริหารยาให้แก่ผู้ป่วย วิธีการใดทำให้ประสิทธิภาพของยาตาลดลงมากที่สุด</t>
        </is>
      </c>
      <c r="C42" s="2" t="n"/>
      <c r="D42" s="2" t="inlineStr">
        <is>
          <t>แกะแคปซูลแล้วผสมกับน้ำเปล่า</t>
        </is>
      </c>
      <c r="E42" s="2" t="inlineStr">
        <is>
          <t>นมถั่วเหลือง</t>
        </is>
      </c>
      <c r="F42" s="2" t="inlineStr">
        <is>
          <t>ยาลดกรด</t>
        </is>
      </c>
      <c r="G42" s="2" t="inlineStr">
        <is>
          <t>น้ำส้ม</t>
        </is>
      </c>
      <c r="H42" s="2" t="inlineStr">
        <is>
          <t>น้ำหวาน</t>
        </is>
      </c>
      <c r="I42" s="8" t="inlineStr">
        <is>
          <t>3</t>
        </is>
      </c>
      <c r="J42" s="2" t="inlineStr">
        <is>
          <t>✅ คำตอบที่ถูกต้อง: ข้อ ค. ยาลดกรด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ยาลดกรด Omeprazole เป็นกรดอ่อนและไม่ทนต่อกรดในกระเพาะอาหาร ตัวยาถูกเคลือบด้วย enteric-coated pellets การนำไปผสมกับเครื่องดื่มที่มีความเป็นกรดสูง เช่น น้ำส้ม (Acidic juice) จะทำให้ชั้นเคลือบเสียหาย ตัวยาถูกทำลายก่อนดูดซึม ทำให้ efficacy ของยาลดลงมากที่สุด
🔍 ข้ออื่นผิดเพราะอะไร:
• ข้อ ก. (แกะแคปซูลแล้วผสมกับน้ำเปล่า): ข้อนี้ไม่ใช่คำตอบที่ถูกต้องสำหรับภาวะ GERD เนื่องจากกลไกการออกฤทธิ์, efficacy หรือข้อบ่งใช้ไม่ตรงกับโจทย์ที่กำหนด
• ข้อ ข. (นมถั่วเหลือง): ข้อนี้ไม่ใช่คำตอบที่ถูกต้องสำหรับภาวะ GERD เนื่องจากกลไกการออกฤทธิ์, efficacy หรือข้อบ่งใช้ไม่ตรงกับโจทย์ที่กำหนด
• ข้อ ง. (น้ำส้ม): ข้อนี้ไม่ใช่คำตอบที่ถูกต้องสำหรับภาวะ GERD เนื่องจากกลไกการออกฤทธิ์, efficacy หรือข้อบ่งใช้ไม่ตรงกับโจทย์ที่กำหนด
• ข้อ จ. (น้ำหวาน):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2" s="2" t="n"/>
      <c r="L42" s="2" t="inlineStr">
        <is>
          <t>GERD</t>
        </is>
      </c>
      <c r="M42" s="2" t="inlineStr">
        <is>
          <t>Clinic</t>
        </is>
      </c>
      <c r="N42" s="2" t="inlineStr">
        <is>
          <t>ข้อ 40 Pharma Plus เล่มม่วง (เฉลยข้อ ค)</t>
        </is>
      </c>
      <c r="O42" s="2" t="inlineStr">
        <is>
          <t>Mock</t>
        </is>
      </c>
      <c r="P42" s="2" t="inlineStr">
        <is>
          <t>Pharma Plus เล่มม่วง</t>
        </is>
      </c>
    </row>
    <row r="43" ht="13.2" customHeight="1" s="37">
      <c r="A43" s="8" t="inlineStr">
        <is>
          <t>41</t>
        </is>
      </c>
      <c r="B43" s="2" t="inlineStr">
        <is>
          <t>สถานการณ์ที่ 10 แม่พาเด็ก 5 ขวบ มาร้านยามีอาการคันทวารตอนกลางคืน หงุดหงิดเบื่ออาหาร ไม่พบพยาธิในอุจจาระ
จากอาการข้างต้น เกิดจากพยาธิตัวใดมากที่สุด</t>
        </is>
      </c>
      <c r="C43" s="2" t="n"/>
      <c r="D43" s="2" t="inlineStr">
        <is>
          <t>พยาธิไส้เดือน (Ascariasis)</t>
        </is>
      </c>
      <c r="E43" s="2" t="inlineStr">
        <is>
          <t>พยาธิตัวตืด (Tape worm)</t>
        </is>
      </c>
      <c r="F43" s="2" t="inlineStr">
        <is>
          <t>พยาธิปากขอ (Hook worm)</t>
        </is>
      </c>
      <c r="G43" s="2" t="inlineStr">
        <is>
          <t>พยาธิเข็มหมุด (Enterobiasis or pinworm)</t>
        </is>
      </c>
      <c r="H43" s="2" t="inlineStr">
        <is>
          <t>พยาธิใบไม้ในตับ (Opisthorchis)</t>
        </is>
      </c>
      <c r="I43" s="8" t="inlineStr">
        <is>
          <t>4</t>
        </is>
      </c>
      <c r="J43" s="2" t="inlineStr">
        <is>
          <t>✅ คำตอบที่ถูกต้อง: ข้อ ง. พยาธิเข็มหมุด (Enterobiasis or pinworm)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พยาธิเข็มหมุด (Enterobiasis or pinworm) อาการคันรอบทวารหนักโดยเฉพาะในช่วงเวลากลางคืน (เนื่องจากพยาธิเมียตัวเมียคลานออกมาวางไข่บริเวณ perianal area) ร่วมกับมีอาการนอนไม่หลับ หงุดหงิด และเบื่ออาหาร เป็นอาการคลาสสิกของโรคติดเชื้อพยาธิเข็มหมุด (Enterobius vermicularis)
🔍 ข้ออื่นผิดเพราะอะไร:
• ข้อ ก. (พยาธิไส้เดือน (Ascariasis)): ข้อนี้ไม่ใช่คำตอบที่ถูกต้องสำหรับภาวะ GERD เนื่องจากกลไกการออกฤทธิ์, efficacy หรือข้อบ่งใช้ไม่ตรงกับโจทย์ที่กำหนด
• ข้อ ข. (พยาธิตัวตืด (Tape worm)): ข้อนี้ไม่ใช่คำตอบที่ถูกต้องสำหรับภาวะ GERD เนื่องจากกลไกการออกฤทธิ์, efficacy หรือข้อบ่งใช้ไม่ตรงกับโจทย์ที่กำหนด
• ข้อ ค. (พยาธิปากขอ (Hook worm)): ข้อนี้ไม่ใช่คำตอบที่ถูกต้องสำหรับภาวะ GERD เนื่องจากกลไกการออกฤทธิ์, efficacy หรือข้อบ่งใช้ไม่ตรงกับโจทย์ที่กำหนด
• ข้อ จ. (พยาธิใบไม้ในตับ (Opisthorchis)):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2" t="n"/>
      <c r="L43" s="2" t="inlineStr">
        <is>
          <t>GERD</t>
        </is>
      </c>
      <c r="M43" s="2" t="inlineStr">
        <is>
          <t>Clinic</t>
        </is>
      </c>
      <c r="N43" s="2" t="inlineStr">
        <is>
          <t>ข้อ 41 Pharma Plus เล่มม่วง (เฉลยข้อ ง)</t>
        </is>
      </c>
      <c r="O43" s="2" t="inlineStr">
        <is>
          <t>Mock</t>
        </is>
      </c>
      <c r="P43" s="2" t="inlineStr">
        <is>
          <t>Pharma Plus เล่มม่วง</t>
        </is>
      </c>
    </row>
    <row r="44" ht="13.2" customHeight="1" s="37">
      <c r="A44" s="8" t="inlineStr">
        <is>
          <t>42</t>
        </is>
      </c>
      <c r="B44" s="2" t="inlineStr">
        <is>
          <t>สถานการณ์ที่ 10 แม่พาเด็ก 5 ขวบ มาร้านยามีอาการคันทวารตอนกลางคืน หงุดหงิดเบื่ออาหาร ไม่พบพยาธิในอุจจาระ
ยาที่ท่านจะเลือกจ่ายให้กับผู้ป่วยรายนี้คือยาอะไร</t>
        </is>
      </c>
      <c r="C44" s="2" t="n"/>
      <c r="D44" s="2" t="inlineStr">
        <is>
          <t>Albendazole 400 mg ติดต่อกัน 3 วัน</t>
        </is>
      </c>
      <c r="E44" s="2" t="inlineStr">
        <is>
          <t>Mebendazole 100 mg ครั้งเดียว แล้วทานซ้ำในอีก 2 wk</t>
        </is>
      </c>
      <c r="F44" s="2" t="inlineStr">
        <is>
          <t>Niclosamide</t>
        </is>
      </c>
      <c r="G44" s="2" t="inlineStr">
        <is>
          <t>Pyrantel pamoate</t>
        </is>
      </c>
      <c r="H44" s="2" t="inlineStr">
        <is>
          <t>Praziquantel</t>
        </is>
      </c>
      <c r="I44" s="8" t="inlineStr">
        <is>
          <t>2</t>
        </is>
      </c>
      <c r="J44" s="2" t="inlineStr">
        <is>
          <t>✅ คำตอบที่ถูกต้อง: ข้อ ข. Mebendazole 100 mg ครั้งเดียว แล้วทานซ้ำในอีก 2 wk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Mebendazole 100 mg ครั้งเดียว แล้วทานซ้ำในอีก 2 wk การรักษาพยาธิเข็มหมุดในเด็กอายุเกิน 2 ขวบ (หรือตามแนวทางมาตรฐาน) สามารถใช้ Mebendazole 100 mg ขนาดเดียว และเนื่องจากยามีผลต่อตัวเต็มวัยแต่ไม่มีผลต่อไข่ จึงแนะนำให้รับประทานยาซ้ำอีกครั้งใน 2 สัปดาห์ถัดมาเพื่อป้องกันการติดเชื้อซ้ำจากไข่ที่เหลือรอด
🔍 ข้ออื่นผิดเพราะอะไร:
• ข้อ ก. (Albendazole 400 mg ติดต่อกัน 3 วัน): ข้อนี้ไม่ใช่คำตอบที่ถูกต้องสำหรับภาวะ GERD เนื่องจากกลไกการออกฤทธิ์, efficacy หรือข้อบ่งใช้ไม่ตรงกับโจทย์ที่กำหนด
• ข้อ ค. (Niclosamide): ข้อนี้ไม่ใช่คำตอบที่ถูกต้องสำหรับภาวะ GERD เนื่องจากกลไกการออกฤทธิ์, efficacy หรือข้อบ่งใช้ไม่ตรงกับโจทย์ที่กำหนด
• ข้อ ง. (Pyrantel pamoate): ข้อนี้ไม่ใช่คำตอบที่ถูกต้องสำหรับภาวะ GERD เนื่องจากกลไกการออกฤทธิ์, efficacy หรือข้อบ่งใช้ไม่ตรงกับโจทย์ที่กำหนด
• ข้อ จ. (Praziquantel):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2" t="n"/>
      <c r="L44" s="2" t="inlineStr">
        <is>
          <t>GERD</t>
        </is>
      </c>
      <c r="M44" s="2" t="inlineStr">
        <is>
          <t>Clinic</t>
        </is>
      </c>
      <c r="N44" s="2" t="inlineStr">
        <is>
          <t>ข้อ 42 Pharma Plus เล่มม่วง (เฉลยข้อ ข)</t>
        </is>
      </c>
      <c r="O44" s="2" t="inlineStr">
        <is>
          <t>Mock</t>
        </is>
      </c>
      <c r="P44" s="2" t="inlineStr">
        <is>
          <t>Pharma Plus เล่มม่วง</t>
        </is>
      </c>
    </row>
    <row r="45" ht="13.2" customHeight="1" s="37">
      <c r="A45" s="8" t="inlineStr">
        <is>
          <t>43</t>
        </is>
      </c>
      <c r="B45" s="2" t="inlineStr">
        <is>
          <t>แม่ไปตรวจพบว่าตนเองมีเชื้อพยาธิตัวตืด ยาที่ใช้ในการรักษาแม่คือยาอะไร</t>
        </is>
      </c>
      <c r="C45" s="2" t="n"/>
      <c r="D45" s="2" t="inlineStr">
        <is>
          <t>Albendazole 400 mg ติดต่อกัน 3 วัน</t>
        </is>
      </c>
      <c r="E45" s="2" t="inlineStr">
        <is>
          <t>Niclosamide</t>
        </is>
      </c>
      <c r="F45" s="2" t="inlineStr">
        <is>
          <t>Mebendazole</t>
        </is>
      </c>
      <c r="G45" s="2" t="inlineStr">
        <is>
          <t>Pyrantel pamoate</t>
        </is>
      </c>
      <c r="H45" s="2" t="inlineStr">
        <is>
          <t>Praziquantel</t>
        </is>
      </c>
      <c r="I45" s="8" t="inlineStr">
        <is>
          <t>2</t>
        </is>
      </c>
      <c r="J45" s="2" t="inlineStr">
        <is>
          <t>✅ คำตอบที่ถูกต้อง: ข้อ ข.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ยาทางเลือกหลักในการรักษาการติดเชื้อพยาธิ์ตัวตืด (Taeniasis) คือ Niclosamide หรือ Praziquantel ตามแนวทางการรักษาโรคพยาธิ
🔍 ข้ออื่นผิดเพราะอะไร:
• ข้อ ก. (Albendazole 400 mg ติดต่อกัน 3 วัน): ข้อนี้ไม่ใช่คำตอบที่ถูกต้องสำหรับภาวะ GERD เนื่องจากกลไกการออกฤทธิ์, efficacy หรือข้อบ่งใช้ไม่ตรงกับโจทย์ที่กำหนด
• ข้อ ค. (Mebendazole): ข้อนี้ไม่ใช่คำตอบที่ถูกต้องสำหรับภาวะ GERD เนื่องจากกลไกการออกฤทธิ์, efficacy หรือข้อบ่งใช้ไม่ตรงกับโจทย์ที่กำหนด
• ข้อ ง. (Pyrantel pamoate): ข้อนี้ไม่ใช่คำตอบที่ถูกต้องสำหรับภาวะ GERD เนื่องจากกลไกการออกฤทธิ์, efficacy หรือข้อบ่งใช้ไม่ตรงกับโจทย์ที่กำหนด
• ข้อ จ. (Praziquantel):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2" t="n"/>
      <c r="L45" s="2" t="inlineStr">
        <is>
          <t>GERD</t>
        </is>
      </c>
      <c r="M45" s="2" t="inlineStr">
        <is>
          <t>Clinic</t>
        </is>
      </c>
      <c r="N45" s="2" t="inlineStr">
        <is>
          <t>ข้อ 43 Pharma Plus เล่มม่วง (เฉลยข้อ ข)</t>
        </is>
      </c>
      <c r="O45" s="2" t="inlineStr">
        <is>
          <t>Mock</t>
        </is>
      </c>
      <c r="P45" s="2" t="inlineStr">
        <is>
          <t>Pharma Plus เล่มม่วง</t>
        </is>
      </c>
    </row>
    <row r="46" ht="13.2" customHeight="1" s="37">
      <c r="A46" s="8" t="inlineStr">
        <is>
          <t>44</t>
        </is>
      </c>
      <c r="B46" s="2" t="inlineStr">
        <is>
          <t>ข้อใดเป็นกลไกการออกฤทธิ์ของยา mebendazole</t>
        </is>
      </c>
      <c r="C46" s="2" t="n"/>
      <c r="D46" s="2" t="inlineStr">
        <is>
          <t>มีผลทำให้พยาธิเกิด paralysis</t>
        </is>
      </c>
      <c r="E46" s="2" t="inlineStr">
        <is>
          <t>Inhibit oxidative phosphorylation glucose</t>
        </is>
      </c>
      <c r="F46" s="2" t="inlineStr">
        <is>
          <t>ขัดขวางการนำ glucose มาใช้ของพยาธิ (block glucose reuptake)</t>
        </is>
      </c>
      <c r="G46" s="2" t="inlineStr">
        <is>
          <t>ทำให้พยาธิเกาะอยู่ผนังลำไส้หลุดออก</t>
        </is>
      </c>
      <c r="H46" s="2" t="inlineStr">
        <is>
          <t>ไม่มีข้อถูก</t>
        </is>
      </c>
      <c r="I46" s="8" t="inlineStr">
        <is>
          <t>3</t>
        </is>
      </c>
      <c r="J46" s="2" t="inlineStr">
        <is>
          <t>✅ คำตอบที่ถูกต้อง: ข้อ ค. ขัดขวางการนำ glucose มาใช้ของพยาธิ (block glucose reuptake)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ขัดขวางการนำ glucose มาใช้ของพยาธิ (block glucose reuptake) Mebendazole และยากลุ่ม Benzimidazole ออกฤทธิ์โดยการจับกับ tubulin ของพยาธิ ทำให้ยับยั้งการสร้าง microtubule ส่งผลให้พยาธิไม่สามารถดูดซึมกลูโคสได้ (block glucose uptake) ทำให้พยาธิขาดพลังงานและตายไปในที่สุด
🔍 ข้ออื่นผิดเพราะอะไร:
• ข้อ ก. (มีผลทำให้พยาธิเกิด paralysis): ข้อนี้ไม่ใช่คำตอบที่ถูกต้องสำหรับภาวะ GERD เนื่องจากกลไกการออกฤทธิ์, efficacy หรือข้อบ่งใช้ไม่ตรงกับโจทย์ที่กำหนด
• ข้อ ข. (Inhibit oxidative phosphorylation glucose): ข้อนี้ไม่ใช่คำตอบที่ถูกต้องสำหรับภาวะ GERD เนื่องจากกลไกการออกฤทธิ์, efficacy หรือข้อบ่งใช้ไม่ตรงกับโจทย์ที่กำหนด
• ข้อ ง. (ทำให้พยาธิเกาะอยู่ผนังลำไส้หลุดออก): ข้อนี้ไม่ใช่คำตอบที่ถูกต้องสำหรับภาวะ GERD เนื่องจากกลไกการออกฤทธิ์, efficacy หรือข้อบ่งใช้ไม่ตรงกับโจทย์ที่กำหนด
• ข้อ จ. (ไม่มีข้อถูก):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2" t="n"/>
      <c r="L46" s="2" t="inlineStr">
        <is>
          <t>GERD</t>
        </is>
      </c>
      <c r="M46" s="2" t="inlineStr">
        <is>
          <t>Clinic</t>
        </is>
      </c>
      <c r="N46" s="2" t="inlineStr">
        <is>
          <t>ข้อ 44 Pharma Plus เล่มม่วง (เฉลยข้อ ค)</t>
        </is>
      </c>
      <c r="O46" s="2" t="inlineStr">
        <is>
          <t>Mock</t>
        </is>
      </c>
      <c r="P46" s="2" t="inlineStr">
        <is>
          <t>Pharma Plus เล่มม่วง</t>
        </is>
      </c>
    </row>
    <row r="47" ht="13.2" customHeight="1" s="37">
      <c r="A47" s="8" t="inlineStr">
        <is>
          <t>45</t>
        </is>
      </c>
      <c r="B47" s="2" t="inlineStr">
        <is>
          <t>ข้อใดคือคำแนะนำของการใช้ยา albendazole</t>
        </is>
      </c>
      <c r="C47" s="2" t="n"/>
      <c r="D47" s="2" t="inlineStr">
        <is>
          <t>เคี้ยวให้ละเอียดก่อนกลืน</t>
        </is>
      </c>
      <c r="E47" s="2" t="inlineStr">
        <is>
          <t>ห้ามทานร่วมกับยาลดกรด</t>
        </is>
      </c>
      <c r="F47" s="2" t="inlineStr">
        <is>
          <t>ห้ามทานร่วมกับ alcohol</t>
        </is>
      </c>
      <c r="G47" s="2" t="inlineStr">
        <is>
          <t>รับประทานยาถ่ายตามทุกครั้ง</t>
        </is>
      </c>
      <c r="H47" s="2" t="inlineStr">
        <is>
          <t>กินซ้ำทุกเดือนเพื่อป้องกัน</t>
        </is>
      </c>
      <c r="I47" s="8" t="inlineStr">
        <is>
          <t>1</t>
        </is>
      </c>
      <c r="J47" s="2" t="inlineStr">
        <is>
          <t>✅ คำตอบที่ถูกต้อง: ข้อ ก. เคี้ยวให้ละเอียดก่อนกลืน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เคี้ยวให้ละเอียดก่อนกลืน Albendazole ชนิดเม็ดมักแนะนำให้เคี้ยวให้ละเอียดก่อนกลืนเพื่อให้ตัวยาดูดซึมหรือกระจายตัวได้ดีในทางเดินอาหาร (โดยเฉพาะกรณีพยาธิในลำไส้)
🔍 ข้ออื่นผิดเพราะอะไร:
• ข้อ ข. (ห้ามทานร่วมกับยาลดกรด): ข้อนี้ไม่ใช่คำตอบที่ถูกต้องสำหรับภาวะ GERD เนื่องจากกลไกการออกฤทธิ์, efficacy หรือข้อบ่งใช้ไม่ตรงกับโจทย์ที่กำหนด
• ข้อ ค. (ห้ามทานร่วมกับ alcohol): ข้อนี้ไม่ใช่คำตอบที่ถูกต้องสำหรับภาวะ GERD เนื่องจากกลไกการออกฤทธิ์, efficacy หรือข้อบ่งใช้ไม่ตรงกับโจทย์ที่กำหนด
• ข้อ ง. (รับประทานยาถ่ายตามทุกครั้ง): ข้อนี้ไม่ใช่คำตอบที่ถูกต้องสำหรับภาวะ GERD เนื่องจากกลไกการออกฤทธิ์, efficacy หรือข้อบ่งใช้ไม่ตรงกับโจทย์ที่กำหนด
• ข้อ จ. (กินซ้ำทุกเดือนเพื่อป้องกัน):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2" t="n"/>
      <c r="L47" s="2" t="inlineStr">
        <is>
          <t>GERD</t>
        </is>
      </c>
      <c r="M47" s="2" t="inlineStr">
        <is>
          <t>Clinic</t>
        </is>
      </c>
      <c r="N47" s="2" t="inlineStr">
        <is>
          <t>ข้อ 45 Pharma Plus เล่มม่วง (เฉลยข้อ ก)</t>
        </is>
      </c>
      <c r="O47" s="2" t="inlineStr">
        <is>
          <t>Mock</t>
        </is>
      </c>
      <c r="P47" s="2" t="inlineStr">
        <is>
          <t>Pharma Plus เล่มม่วง</t>
        </is>
      </c>
    </row>
    <row r="48" ht="13.2" customHeight="1" s="37">
      <c r="A48" s="8" t="inlineStr">
        <is>
          <t>46</t>
        </is>
      </c>
      <c r="B48" s="2" t="inlineStr">
        <is>
          <t>สมุนไพรใดที่มีอยู่ในตำรับยาเตรียมแผนไทยที่มีผลการศึกษาว่ามีฤทธิ์ต้านพยาธิ</t>
        </is>
      </c>
      <c r="C48" s="2" t="n"/>
      <c r="D48" s="2" t="inlineStr">
        <is>
          <t>ฟักทอง ขี้เหล็ก</t>
        </is>
      </c>
      <c r="E48" s="2" t="inlineStr">
        <is>
          <t>มะเกลือ, ฟักทอง</t>
        </is>
      </c>
      <c r="F48" s="2" t="inlineStr">
        <is>
          <t>มะเกลือ, กานพลู</t>
        </is>
      </c>
      <c r="G48" s="2" t="inlineStr">
        <is>
          <t>มะม่วง, เปล้าน้อย</t>
        </is>
      </c>
      <c r="H48" s="2" t="inlineStr">
        <is>
          <t>กะเพรา, หอมแดง</t>
        </is>
      </c>
      <c r="I48" s="8" t="inlineStr">
        <is>
          <t>2</t>
        </is>
      </c>
      <c r="J48" s="2" t="inlineStr">
        <is>
          <t>✅ คำตอบที่ถูกต้อง: ข้อ ข. มะเกลือ, 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มะเกลือ, ฟักทอง มะเกลือ (ผลแก่มีสาร  diospyrol ใช้เป็นยาขับพยาธิ) และเมล็ดฟักทอง (มีกรดอะมิโน cucurbitin ซึ่งมีฤทธิ์อัมพาตพยาธิในลำไส้) เป็นสมุนไพรไทยพื้นบ้านที่มีการศึกษาและใช้ในตำรับยาไทยเพื่อขับพยาธิ
🔍 ข้ออื่นผิดเพราะอะไร:
• ข้อ ก. (ฟักทอง ขี้เหล็ก): ข้อนี้ไม่ใช่คำตอบที่ถูกต้องสำหรับภาวะ GERD เนื่องจากกลไกการออกฤทธิ์, efficacy หรือข้อบ่งใช้ไม่ตรงกับโจทย์ที่กำหนด
• ข้อ ค. (มะเกลือ, กานพลู): ข้อนี้ไม่ใช่คำตอบที่ถูกต้องสำหรับภาวะ GERD เนื่องจากกลไกการออกฤทธิ์, efficacy หรือข้อบ่งใช้ไม่ตรงกับโจทย์ที่กำหนด
• ข้อ ง. (มะม่วง, เปล้าน้อย): ข้อนี้ไม่ใช่คำตอบที่ถูกต้องสำหรับภาวะ GERD เนื่องจากกลไกการออกฤทธิ์, efficacy หรือข้อบ่งใช้ไม่ตรงกับโจทย์ที่กำหนด
• ข้อ จ. (กะเพรา, หอมแดง):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2" t="n"/>
      <c r="L48" s="2" t="inlineStr">
        <is>
          <t>GERD</t>
        </is>
      </c>
      <c r="M48" s="2" t="inlineStr">
        <is>
          <t>Clinic</t>
        </is>
      </c>
      <c r="N48" s="2" t="inlineStr">
        <is>
          <t>ข้อ 46 Pharma Plus เล่มม่วง (เฉลยข้อ ข)</t>
        </is>
      </c>
      <c r="O48" s="2" t="inlineStr">
        <is>
          <t>Mock</t>
        </is>
      </c>
      <c r="P48" s="2" t="inlineStr">
        <is>
          <t>Pharma Plus เล่มม่วง</t>
        </is>
      </c>
    </row>
    <row r="49" ht="13.2" customHeight="1" s="37">
      <c r="A49" s="8" t="inlineStr">
        <is>
          <t>47</t>
        </is>
      </c>
      <c r="B49" s="2" t="inlineStr">
        <is>
          <t>หญิงตั้งครรภ์เป็นพยาธิตืดสามารถใช้ยาอะไรได้</t>
        </is>
      </c>
      <c r="C49" s="2" t="n"/>
      <c r="D49" s="2" t="inlineStr">
        <is>
          <t>Albendazole</t>
        </is>
      </c>
      <c r="E49" s="2" t="inlineStr">
        <is>
          <t>Mebendazole</t>
        </is>
      </c>
      <c r="F49" s="2" t="inlineStr">
        <is>
          <t>Niclosamide</t>
        </is>
      </c>
      <c r="G49" s="2" t="inlineStr">
        <is>
          <t>Praziquantel</t>
        </is>
      </c>
      <c r="H49" s="2" t="inlineStr">
        <is>
          <t>Pyrantel pamoate</t>
        </is>
      </c>
      <c r="I49" s="8" t="inlineStr">
        <is>
          <t>3</t>
        </is>
      </c>
      <c r="J49" s="2" t="inlineStr">
        <is>
          <t>✅ คำตอบที่ถูกต้อง: ข้อ ค.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จัดเป็นยาในกลุ่ม Category B สำหรับสตรีมีครรภ์ (หรือเป็นยาที่ค่อนข้างปลอดภัยกว่าเมื่อเทียบกับ Praziquantel หรือ Benzimidazoles ในบางข้อบ่งใช้ เช่น พยาธิใบไม้/พยาธิ์ตัวตืด ตามคำแนะนำทางสูตินรีเวชและเภสัชวิทยา)
🔍 ข้ออื่นผิดเพราะอะไร:
• ข้อ ก. (Albendazole): ข้อนี้ไม่ใช่คำตอบที่ถูกต้องสำหรับภาวะ GERD เนื่องจากกลไกการออกฤทธิ์, efficacy หรือข้อบ่งใช้ไม่ตรงกับโจทย์ที่กำหนด
• ข้อ ข. (Mebendazole): ข้อนี้ไม่ใช่คำตอบที่ถูกต้องสำหรับภาวะ GERD เนื่องจากกลไกการออกฤทธิ์, efficacy หรือข้อบ่งใช้ไม่ตรงกับโจทย์ที่กำหนด
• ข้อ ง. (Praziquantel): ข้อนี้ไม่ใช่คำตอบที่ถูกต้องสำหรับภาวะ GERD เนื่องจากกลไกการออกฤทธิ์, efficacy หรือข้อบ่งใช้ไม่ตรงกับโจทย์ที่กำหนด
• ข้อ จ. (Pyrantel pamoate):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2" t="n"/>
      <c r="L49" s="2" t="inlineStr">
        <is>
          <t>GERD</t>
        </is>
      </c>
      <c r="M49" s="2" t="inlineStr">
        <is>
          <t>Clinic</t>
        </is>
      </c>
      <c r="N49" s="2" t="inlineStr">
        <is>
          <t>ข้อ 47 Pharma Plus เล่มม่วง (เฉลยข้อ ค)</t>
        </is>
      </c>
      <c r="O49" s="2" t="inlineStr">
        <is>
          <t>Mock</t>
        </is>
      </c>
      <c r="P49" s="2" t="inlineStr">
        <is>
          <t>Pharma Plus เล่มม่วง</t>
        </is>
      </c>
    </row>
    <row r="50" ht="13.2" customHeight="1" s="37">
      <c r="A50" s="8" t="inlineStr">
        <is>
          <t>48</t>
        </is>
      </c>
      <c r="B50" s="2" t="inlineStr">
        <is>
          <t>ผู้ป่วยชายอายุ 22 ปี มาขอซื้อยาแก้ท้องเสีย โดยผู้ป่วยมีอาการปวดมวนท้องก่อนถ่ายเป็นน้ำ 5 ครั้ง หลังจากรับประทานลาบและส้มตำประมาณ 5 ชม. ผู้ป่วยอ่อนเพลีย ไม่มีไข้ มีคลื่นไส้อาเจียนเล็กน้อย
ยาใดเหมาะกับผู้ป่วยรายนี้</t>
        </is>
      </c>
      <c r="C50" s="2" t="n"/>
      <c r="D50" s="2" t="inlineStr">
        <is>
          <t>ORS</t>
        </is>
      </c>
      <c r="E50" s="2" t="inlineStr">
        <is>
          <t>Diphenoxylate + atropine</t>
        </is>
      </c>
      <c r="F50" s="2" t="inlineStr">
        <is>
          <t>Hyoscine</t>
        </is>
      </c>
      <c r="G50" s="2" t="inlineStr">
        <is>
          <t>Loperamide</t>
        </is>
      </c>
      <c r="H50" s="2" t="inlineStr">
        <is>
          <t>Norfloxacin</t>
        </is>
      </c>
      <c r="I50" s="8" t="inlineStr">
        <is>
          <t>1</t>
        </is>
      </c>
      <c r="J50" s="2" t="inlineStr">
        <is>
          <t>✅ คำตอบที่ถูกต้อง: ข้อ ก. ORS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ORS ผู้ป่วยมีอาการท้องเสียเฉียบพลันจากอาหารเป็นพิษ (สงสัย bacterial/toxin จากลาบ/ส้มตำ) การรักษาหลักและสำคัญที่สุดคือการป้องกันและรักษาภาวะขาดน้ำด้วย Oral Rehydration Salts (ORS) เพื่อชดเชยน้ำและเกลือแร่ที่สูญเสียไปจากการถ่ายเหลวและอาเจียน
🔍 ข้ออื่นผิดเพราะอะไร:
• ข้อ ข. (Diphenoxylate + atropine): ข้อนี้ไม่ใช่คำตอบที่ถูกต้องสำหรับภาวะ Diarrhea &amp; Constipation เนื่องจากกลไกการออกฤทธิ์, efficacy หรือข้อบ่งใช้ไม่ตรงกับโจทย์ที่กำหนด
• ข้อ ค. (Hyoscine): ข้อนี้ไม่ใช่คำตอบที่ถูกต้องสำหรับภาวะ Diarrhea &amp; Constipation เนื่องจากกลไกการออกฤทธิ์, efficacy หรือข้อบ่งใช้ไม่ตรงกับโจทย์ที่กำหนด
• ข้อ ง. (Loperamide): เป็น peripheral mu-opioid agonist ลด peristalsis ใช้บรรเทาอาการ acute non-infectious diarrhea แต่ห้ามใช้ใน bloody diarrhea (dysentery) หรือ bacterial enteritis (เสี่ยง toxic megacolon)
• ข้อ จ. (Norfloxacin):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0" s="2" t="n"/>
      <c r="L50" s="2" t="inlineStr">
        <is>
          <t>Diarrhea &amp; Constipation</t>
        </is>
      </c>
      <c r="M50" s="2" t="inlineStr">
        <is>
          <t>Clinic</t>
        </is>
      </c>
      <c r="N50" s="2" t="inlineStr">
        <is>
          <t>ข้อ 48 Pharma Plus เล่มม่วง (เฉลยข้อ ก)</t>
        </is>
      </c>
      <c r="O50" s="2" t="inlineStr">
        <is>
          <t>Mock</t>
        </is>
      </c>
      <c r="P50" s="2" t="inlineStr">
        <is>
          <t>Pharma Plus เล่มม่วง</t>
        </is>
      </c>
    </row>
    <row r="51" ht="13.2" customHeight="1" s="37">
      <c r="A51" s="8" t="inlineStr">
        <is>
          <t>49</t>
        </is>
      </c>
      <c r="B51" s="2" t="inlineStr">
        <is>
          <t>ยาสมุนไพรตามสาธารณสุขมูลฐาน ข้อใดควรเลือกใช้</t>
        </is>
      </c>
      <c r="C51" s="2" t="n"/>
      <c r="D51" s="2" t="inlineStr">
        <is>
          <t>กล้วยน้ำว้าสุก</t>
        </is>
      </c>
      <c r="E51" s="2" t="inlineStr">
        <is>
          <t>เนื้อมังคุด</t>
        </is>
      </c>
      <c r="F51" s="2" t="inlineStr">
        <is>
          <t>เมล็ดทับทิม</t>
        </is>
      </c>
      <c r="G51" s="2" t="inlineStr">
        <is>
          <t>ผลฝรั่งดิบ</t>
        </is>
      </c>
      <c r="H51" s="2" t="inlineStr">
        <is>
          <t>ใบตับเต่าเสียด</t>
        </is>
      </c>
      <c r="I51" s="8" t="inlineStr">
        <is>
          <t>4</t>
        </is>
      </c>
      <c r="J51" s="2" t="inlineStr">
        <is>
          <t>✅ คำตอบที่ถูกต้อง: ข้อ ง. ผลฝรั่งดิบ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ผลฝรั่งดิบ (และผงเปลือกผลกล้วยน้ำว้าดิบ) มีสารแทนนิน (Tannin) สูง ซึ่งมีฤทธิ์ฝาดสมาน ช่วยลดการหลั่งสารน้ำและอิเล็กโทรไลต์ในลำไส้ รวมถึงลดการบีบตัวของลำไส้ จึงนิยมใช้เป็นยาสมุนไพรในบัญชียาหลักแห่งชาติสำหรับบรรเทาอาการท้องเสียชนิดไม่ติดเชื้อเฉียบพลัน
🔍 ข้ออื่นผิดเพราะอะไร:
• ข้อ ก. (กล้วยน้ำว้าสุก): ข้อนี้ไม่ใช่คำตอบที่ถูกต้องสำหรับภาวะ Diarrhea &amp; Constipation เนื่องจากกลไกการออกฤทธิ์, efficacy หรือข้อบ่งใช้ไม่ตรงกับโจทย์ที่กำหนด
• ข้อ ข. (เนื้อมังคุด): ข้อนี้ไม่ใช่คำตอบที่ถูกต้องสำหรับภาวะ Diarrhea &amp; Constipation เนื่องจากกลไกการออกฤทธิ์, efficacy หรือข้อบ่งใช้ไม่ตรงกับโจทย์ที่กำหนด
• ข้อ ค. (เมล็ดทับทิม): ข้อนี้ไม่ใช่คำตอบที่ถูกต้องสำหรับภาวะ Diarrhea &amp; Constipation เนื่องจากกลไกการออกฤทธิ์, efficacy หรือข้อบ่งใช้ไม่ตรงกับโจทย์ที่กำหนด
• ข้อ จ. (ใบตับเต่าเสียด):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1" s="2" t="n"/>
      <c r="L51" s="2" t="inlineStr">
        <is>
          <t>Diarrhea &amp; Constipation</t>
        </is>
      </c>
      <c r="M51" s="2" t="inlineStr">
        <is>
          <t>Clinic</t>
        </is>
      </c>
      <c r="N51" s="2" t="inlineStr">
        <is>
          <t>ข้อ 49 Pharma Plus เล่มม่วง (เฉลยข้อ ง)</t>
        </is>
      </c>
      <c r="O51" s="2" t="inlineStr">
        <is>
          <t>Mock</t>
        </is>
      </c>
      <c r="P51" s="2" t="inlineStr">
        <is>
          <t>Pharma Plus เล่มม่วง</t>
        </is>
      </c>
    </row>
    <row r="52" ht="13.2" customHeight="1" s="37">
      <c r="A52" s="8" t="inlineStr">
        <is>
          <t>50</t>
        </is>
      </c>
      <c r="B52" s="2" t="inlineStr">
        <is>
          <t>ยาใดที่ไม่ควรจ่ายในผู้ป่วยรายนี้</t>
        </is>
      </c>
      <c r="C52" s="2" t="n"/>
      <c r="D52" s="2" t="inlineStr">
        <is>
          <t>Activated charcoal</t>
        </is>
      </c>
      <c r="E52" s="2" t="inlineStr">
        <is>
          <t>Loperamide</t>
        </is>
      </c>
      <c r="F52" s="2" t="inlineStr">
        <is>
          <t>Norfloxacin</t>
        </is>
      </c>
      <c r="G52" s="2" t="inlineStr">
        <is>
          <t>Cotrimoxazole</t>
        </is>
      </c>
      <c r="H52" s="2" t="inlineStr">
        <is>
          <t>ORS</t>
        </is>
      </c>
      <c r="I52" s="8" t="inlineStr">
        <is>
          <t>3</t>
        </is>
      </c>
      <c r="J52" s="2" t="inlineStr">
        <is>
          <t>✅ คำตอบที่ถูกต้อง: ข้อ ค. Norfloxacin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Norfloxacin Loperamide เป็นยาลดการบีบตัวของลำไส้ (antimotility drug) contraindication เด็ดขาดคือในผู้ป่วยที่มีอาการท้องเสียเฉียบพลันที่มีไข้สูง หรือสงสัยการติดเชื้อแบคทีเรียรุนแรง/invasive bacterial infection เนื่องจากจะทำให้เชื้อโรคและพิษ (toxin) คั่งอยู่ในทางเดินอาหาร ทำให้อาการแย่ลงหรือเกิด toxic megacolon ได้
🔍 ข้ออื่นผิดเพราะอะไร:
• ข้อ ก. (Activated charcoal): ข้อนี้ไม่ใช่คำตอบที่ถูกต้องสำหรับภาวะ GERD เนื่องจากกลไกการออกฤทธิ์, efficacy หรือข้อบ่งใช้ไม่ตรงกับโจทย์ที่กำหนด
• ข้อ ข. (Loperamide): เป็น peripheral mu-opioid agonist ลด peristalsis ใช้บรรเทาอาการ acute non-infectious diarrhea แต่ห้ามใช้ใน bloody diarrhea (dysentery) หรือ bacterial enteritis (เสี่ยง toxic megacolon)
• ข้อ ง. (Cotrimoxazole): เป็นยาผสม Trimethoprim/Sulfamethoxazole (TMP/SMX) เป็น drug of choice สำหรับ PCP/PJP prophylaxis &amp; treatment, Stenotrophomonas และ Nocardia ระวัง hyperkalemia และ SCARs
• ข้อ จ. (ORS):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2" t="n"/>
      <c r="L52" s="2" t="inlineStr">
        <is>
          <t>GERD</t>
        </is>
      </c>
      <c r="M52" s="2" t="inlineStr">
        <is>
          <t>Clinic</t>
        </is>
      </c>
      <c r="N52" s="2" t="inlineStr">
        <is>
          <t>ข้อ 50 Pharma Plus เล่มม่วง (เฉลยข้อ ค)</t>
        </is>
      </c>
      <c r="O52" s="2" t="inlineStr">
        <is>
          <t>Mock</t>
        </is>
      </c>
      <c r="P52" s="2" t="inlineStr">
        <is>
          <t>Pharma Plus เล่มม่วง</t>
        </is>
      </c>
    </row>
    <row r="53" ht="13.2" customHeight="1" s="37">
      <c r="A53" s="8" t="inlineStr">
        <is>
          <t>51</t>
        </is>
      </c>
      <c r="B53" s="2" t="inlineStr">
        <is>
          <t>ข้อใดเป็นคำแนะนำการปฏิบัติในการใช้ activated charcoal</t>
        </is>
      </c>
      <c r="C53" s="2" t="n"/>
      <c r="D53" s="2" t="inlineStr">
        <is>
          <t>รับประทานก่อนอาหารครึ่งชั่วโมง</t>
        </is>
      </c>
      <c r="E53" s="2" t="inlineStr">
        <is>
          <t>รับประทานวันละ 3 เม็ด วันละ 3 ครั้ง</t>
        </is>
      </c>
      <c r="F53" s="2" t="inlineStr">
        <is>
          <t>รับประทานหลังอาหาร 2 ชั่วโมง</t>
        </is>
      </c>
      <c r="G53" s="2" t="inlineStr">
        <is>
          <t>รับประทานยาต่อเนื่องจนหมด</t>
        </is>
      </c>
      <c r="H53" s="2" t="inlineStr">
        <is>
          <t>รับประทานร่วมกับยาฆ่าเชื้อได้</t>
        </is>
      </c>
      <c r="I53" s="8" t="inlineStr">
        <is>
          <t>2</t>
        </is>
      </c>
      <c r="J53" s="2" t="inlineStr">
        <is>
          <t>✅ คำตอบที่ถูกต้อง: ข้อ ข. รับประทานวันละ 3 เม็ด วันละ 3 ครั้ง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รับประทานวันละ 3 เม็ด วันละ 3 ครั้ง Activated charcoal มีคุณสมบัติในการดูดซับ (adsorption) สารพิษและยาอื่นๆ ได้ดีเยี่ยม ดังนั้นจึงไม่ควรรับประทานร่วมกับยาอื่นในเวลาเดียวกัน โดยทั่วไปควรเว้นระยะห่างจากการรับประทานยาอื่นๆ หรืออาหารอย่างน้อย 2 ชั่วโมง (หรือหลังอาหาร 2 ชม.) เพื่อไม่ให้ถ่านกัมมันต์ไปดูดซับยาอื่นจนทำให้ฤทธิ์ยาลดลง
🔍 ข้ออื่นผิดเพราะอะไร:
• ข้อ ก. (รับประทานก่อนอาหารครึ่งชั่วโมง): ข้อนี้ไม่ใช่คำตอบที่ถูกต้องสำหรับภาวะ GERD เนื่องจากกลไกการออกฤทธิ์, efficacy หรือข้อบ่งใช้ไม่ตรงกับโจทย์ที่กำหนด
• ข้อ ค. (รับประทานหลังอาหาร 2 ชั่วโมง): ข้อนี้ไม่ใช่คำตอบที่ถูกต้องสำหรับภาวะ GERD เนื่องจากกลไกการออกฤทธิ์, efficacy หรือข้อบ่งใช้ไม่ตรงกับโจทย์ที่กำหนด
• ข้อ ง. (รับประทานยาต่อเนื่องจนหมด): ข้อนี้ไม่ใช่คำตอบที่ถูกต้องสำหรับภาวะ GERD เนื่องจากกลไกการออกฤทธิ์, efficacy หรือข้อบ่งใช้ไม่ตรงกับโจทย์ที่กำหนด
• ข้อ จ. (รับประทานร่วมกับยาฆ่าเชื้อได้):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3" s="2" t="n"/>
      <c r="L53" s="2" t="inlineStr">
        <is>
          <t>GERD</t>
        </is>
      </c>
      <c r="M53" s="2" t="inlineStr">
        <is>
          <t>Clinic</t>
        </is>
      </c>
      <c r="N53" s="2" t="inlineStr">
        <is>
          <t>ข้อ 51 Pharma Plus เล่มม่วง (เฉลยข้อ ข)</t>
        </is>
      </c>
      <c r="O53" s="2" t="inlineStr">
        <is>
          <t>Mock</t>
        </is>
      </c>
      <c r="P53" s="2" t="inlineStr">
        <is>
          <t>Pharma Plus เล่มม่วง</t>
        </is>
      </c>
    </row>
    <row r="54" ht="13.2" customHeight="1" s="37">
      <c r="A54" s="8" t="inlineStr">
        <is>
          <t>52</t>
        </is>
      </c>
      <c r="B54" s="2" t="inlineStr">
        <is>
          <t>ข้อใดคือกลไกการออกฤทธิ์ของยา norfloxacin</t>
        </is>
      </c>
      <c r="C54" s="2" t="n"/>
      <c r="D54" s="2" t="inlineStr">
        <is>
          <t>ยับยั้งการสร้างเอนไซม์ topoisomerase</t>
        </is>
      </c>
      <c r="E54" s="2" t="inlineStr">
        <is>
          <t>ยับยั้งการสร้างเอนไซม์ dihydrofolate synthase</t>
        </is>
      </c>
      <c r="F54" s="2" t="inlineStr">
        <is>
          <t>ยับยั้งการสร้าง nucleic acid</t>
        </is>
      </c>
      <c r="G54" s="2" t="inlineStr">
        <is>
          <t>ยับยั้งการสร้าง cell wall</t>
        </is>
      </c>
      <c r="H54" s="2" t="inlineStr">
        <is>
          <t>ยับยั้งการสร้าง cell membrane</t>
        </is>
      </c>
      <c r="I54" s="8" t="inlineStr">
        <is>
          <t>1</t>
        </is>
      </c>
      <c r="J54" s="2" t="inlineStr">
        <is>
          <t>✅ คำตอบที่ถูกต้อง: ข้อ ก. ยับยั้งการสร้างเอนไซม์ topoisomerase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ยับยั้งการสร้างเอนไซม์ topoisomerase Norfloxacin เป็นยาปฏิชีวนะในกลุ่ม Fluoroquinolones มีกลไกออกฤทธิ์ยับยั้งเอนไซม์ DNA gyrase (topoisomerase II) และ topoisomerase IV ของเชื้อแบคทีเรีย ทำให้ไม่สามารถเกิดการจำลองตัวของ DNA และการแบ่งเซลล์ได้
🔍 ข้ออื่นผิดเพราะอะไร:
• ข้อ ข. (ยับยั้งการสร้างเอนไซม์ dihydrofolate synthase): ข้อนี้ไม่ใช่คำตอบที่ถูกต้องสำหรับภาวะ GERD เนื่องจากกลไกการออกฤทธิ์, efficacy หรือข้อบ่งใช้ไม่ตรงกับโจทย์ที่กำหนด
• ข้อ ค. (ยับยั้งการสร้าง nucleic acid): ข้อนี้ไม่ใช่คำตอบที่ถูกต้องสำหรับภาวะ GERD เนื่องจากกลไกการออกฤทธิ์, efficacy หรือข้อบ่งใช้ไม่ตรงกับโจทย์ที่กำหนด
• ข้อ ง. (ยับยั้งการสร้าง cell wall): ข้อนี้ไม่ใช่คำตอบที่ถูกต้องสำหรับภาวะ GERD เนื่องจากกลไกการออกฤทธิ์, efficacy หรือข้อบ่งใช้ไม่ตรงกับโจทย์ที่กำหนด
• ข้อ จ. (ยับยั้งการสร้าง cell membrane):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2" t="n"/>
      <c r="L54" s="2" t="inlineStr">
        <is>
          <t>GERD</t>
        </is>
      </c>
      <c r="M54" s="2" t="inlineStr">
        <is>
          <t>Clinic</t>
        </is>
      </c>
      <c r="N54" s="2" t="inlineStr">
        <is>
          <t>ข้อ 52 Pharma Plus เล่มม่วง (เฉลยข้อ ก)</t>
        </is>
      </c>
      <c r="O54" s="2" t="inlineStr">
        <is>
          <t>Mock</t>
        </is>
      </c>
      <c r="P54" s="2" t="inlineStr">
        <is>
          <t>Pharma Plus เล่มม่วง</t>
        </is>
      </c>
    </row>
    <row r="55" ht="13.2" customHeight="1" s="37">
      <c r="A55" s="8" t="inlineStr">
        <is>
          <t>53</t>
        </is>
      </c>
      <c r="B55" s="2" t="inlineStr">
        <is>
          <t>ในใบสั่งมียาตัวเดียวคือ omeprazole 1 cap OD
ถ้าผู้ป่วยได้รับยา ketoconazole รับประทานวันละครั้ง นาน 14 วัน ถามว่า การแก้ไขอันตรกิริยาระหว่าง omeprazole กับ ketoconazole คือ</t>
        </is>
      </c>
      <c r="C55" s="2" t="n"/>
      <c r="D55" s="2" t="inlineStr">
        <is>
          <t>เปลี่ยน omeprazole เป็น ranitidine</t>
        </is>
      </c>
      <c r="E55" s="2" t="inlineStr">
        <is>
          <t>เปลี่ยน omeprazole เป็น pantoprazole</t>
        </is>
      </c>
      <c r="F55" s="2" t="inlineStr">
        <is>
          <t>เปลี่ยน ketoconazole เป็น itraconazole</t>
        </is>
      </c>
      <c r="G55" s="2" t="inlineStr">
        <is>
          <t>เปลี่ยน ketoconazole เป็น fluconazole</t>
        </is>
      </c>
      <c r="H55" s="2" t="inlineStr">
        <is>
          <t>ให้รับประทาน omeprazole ตอนเช้า และ ketoconazole ตอนเย็น</t>
        </is>
      </c>
      <c r="I55" s="8" t="inlineStr">
        <is>
          <t>4</t>
        </is>
      </c>
      <c r="J55" s="2" t="inlineStr">
        <is>
          <t>✅ คำตอบที่ถูกต้อง: ข้อ ง. เปลี่ยน ketoconazole เป็น fluconazole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เปลี่ยน ketoconazole เป็น fluconazole Ketoconazole เป็นยาต้านเชื้อรากลุ่ม azole ที่การดูดซึมยาขึ้นอยู่กับความเป็นกรดในกระเพาะอาหาร (pH-dependent absorption) การใช้ร่วมกับ Proton Pump Inhibitors (PPIs) เช่น omeprazole จะเพิ่ม pH ในกระเพาะอาหาร ทำให้การดูดซึม ketoconazole ลดลงอย่างมาก การแก้ไขทำได้โดยเปลี่ยนไปใช้ยาต้านการหลั่งกรดกลุ่ม H2-receptor antagonist (เช่น ranitidine) ซึ่งลดกรดได้น้อยกว่าและไม่ส่งผลกระทบต่อการดูดซึมยาต้านเชื้อราเท่า PPI หรือแยกเวลาให้ห่างกันแต่วิธีเปลี่ยนยาเป็น H2RA เหมาะสมกว่าในกรณีนี้
 เป็น Triazole antifungal เป็น first-line สำหรับ Candida albicans และ Cryptococcal maintenance therapy ขับออกทางไตเด่นชัดจึงต้องปรับ dose ตาม CrCl
🔍 ข้ออื่นผิดเพราะอะไร:
• ข้อ ก. (เปลี่ยน omeprazole เป็น ranitidine):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(เปลี่ยน omeprazole เป็น pantoprazole):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(เปลี่ยน ketoconazole เป็น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(ให้รับประทาน omeprazole ตอนเช้า และ ketoconazole ตอนเย็น):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2" t="n"/>
      <c r="L55" s="2" t="inlineStr">
        <is>
          <t>GERD</t>
        </is>
      </c>
      <c r="M55" s="2" t="inlineStr">
        <is>
          <t>Clinic</t>
        </is>
      </c>
      <c r="N55" s="2" t="inlineStr">
        <is>
          <t>ข้อ 53 Pharma Plus เล่มม่วง (เฉลยข้อ ง)</t>
        </is>
      </c>
      <c r="O55" s="2" t="inlineStr">
        <is>
          <t>Mock</t>
        </is>
      </c>
      <c r="P55" s="2" t="inlineStr">
        <is>
          <t>Pharma Plus เล่มม่วง</t>
        </is>
      </c>
    </row>
    <row r="56" ht="13.2" customHeight="1" s="37">
      <c r="A56" s="8" t="inlineStr">
        <is>
          <t>54</t>
        </is>
      </c>
      <c r="B56" s="2" t="inlineStr">
        <is>
          <t>Omeprazole ใช้ยาอย่างไรจึงจะเหมาะสม</t>
        </is>
      </c>
      <c r="C56" s="2" t="n"/>
      <c r="D56" s="2" t="inlineStr">
        <is>
          <t>เวลาไหนก็ได้</t>
        </is>
      </c>
      <c r="E56" s="2" t="inlineStr">
        <is>
          <t>ก่อนอาหาร 1 ชั่วโมง</t>
        </is>
      </c>
      <c r="F56" s="2" t="inlineStr">
        <is>
          <t>หลังอาหารทันที</t>
        </is>
      </c>
      <c r="G56" s="2" t="inlineStr">
        <is>
          <t>หลังอาหาร 1 ชั่วโมง</t>
        </is>
      </c>
      <c r="H56" s="2" t="inlineStr">
        <is>
          <t>ก่อนนอน</t>
        </is>
      </c>
      <c r="I56" s="8" t="inlineStr">
        <is>
          <t>2</t>
        </is>
      </c>
      <c r="J56" s="2" t="inlineStr">
        <is>
          <t>✅ คำตอบที่ถูกต้อง: ข้อ ข. ก่อนอาหาร 1 ชั่วโมง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ก่อนอาหาร 1 ชั่วโมง Omeprazole เป็นยาในกลุ่ม Proton Pump Inhibitors (PPIs) ซึ่งออกฤทธิ์ยับยั้งเอนไซม์ H+/K+ ATPase ที่หลุมกระเพาะอาหาร ควรรับประทานก่อนอาหาร 30-60 นาที (มักแนะนำก่อนอาหารเช้า) เพื่อให้ระดับยาในกระแสเลือดสูงสุดตรงกับช่วงที่มีการกระตุ้นการหลั่งกรดมากที่สุดหลังมื้ออาหาร
🔍 ข้ออื่นผิดเพราะอะไร:
• ข้อ ก. (เวลาไหนก็ได้): ข้อนี้ไม่ใช่คำตอบที่ถูกต้องสำหรับภาวะ GERD เนื่องจากกลไกการออกฤทธิ์, efficacy หรือข้อบ่งใช้ไม่ตรงกับโจทย์ที่กำหนด
• ข้อ ค. (หลังอาหารทันที): ข้อนี้ไม่ใช่คำตอบที่ถูกต้องสำหรับภาวะ GERD เนื่องจากกลไกการออกฤทธิ์, efficacy หรือข้อบ่งใช้ไม่ตรงกับโจทย์ที่กำหนด
• ข้อ ง. (หลังอาหาร 1 ชั่วโมง): ข้อนี้ไม่ใช่คำตอบที่ถูกต้องสำหรับภาวะ GERD เนื่องจากกลไกการออกฤทธิ์, efficacy หรือข้อบ่งใช้ไม่ตรงกับโจทย์ที่กำหนด
• ข้อ จ. (ก่อนนอน):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2" t="n"/>
      <c r="L56" s="2" t="inlineStr">
        <is>
          <t>GERD</t>
        </is>
      </c>
      <c r="M56" s="2" t="inlineStr">
        <is>
          <t>Clinic</t>
        </is>
      </c>
      <c r="N56" s="2" t="inlineStr">
        <is>
          <t>ข้อ 54 Pharma Plus เล่มม่วง (เฉลยข้อ ข)</t>
        </is>
      </c>
      <c r="O56" s="2" t="inlineStr">
        <is>
          <t>Mock</t>
        </is>
      </c>
      <c r="P56" s="2" t="inlineStr">
        <is>
          <t>Pharma Plus เล่มม่วง</t>
        </is>
      </c>
    </row>
    <row r="57" ht="13.2" customHeight="1" s="37">
      <c r="A57" s="8" t="inlineStr">
        <is>
          <t>55</t>
        </is>
      </c>
      <c r="B57" s="2" t="inlineStr">
        <is>
          <t>กลไกข้อใดคือกลไกของยา omeprazole</t>
        </is>
      </c>
      <c r="C57" s="2" t="n"/>
      <c r="D57" s="2" t="inlineStr">
        <is>
          <t>ยับยั้ง H1 receptor</t>
        </is>
      </c>
      <c r="E57" s="2" t="inlineStr">
        <is>
          <t>ยับยั้ง H2 receptor</t>
        </is>
      </c>
      <c r="F57" s="2" t="inlineStr">
        <is>
          <t>ยับยั้ง M2 receptor</t>
        </is>
      </c>
      <c r="G57" s="2" t="inlineStr">
        <is>
          <t>ยับยั้ง H+/K+ ATPase</t>
        </is>
      </c>
      <c r="H57" s="2" t="inlineStr">
        <is>
          <t>ยับยั้ง Alpha 1 receptor</t>
        </is>
      </c>
      <c r="I57" s="8" t="inlineStr">
        <is>
          <t>4</t>
        </is>
      </c>
      <c r="J57" s="2" t="inlineStr">
        <is>
          <t>✅ คำตอบที่ถูกต้อง: ข้อ ง. ยับยั้ง H+/K+ ATPase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 H+/K+ ATPase Omeprazole เป็นยากลุ่ม PPI ที่มีกลไกการออกฤทธิ์จำเพาะในการยับยั้งเอนไซม์ H+/K+ ATPase (Proton pump) ที่บริเวณเยื่อบุผนังกระเพาะอาหาร (parietal cell) ซึ่งเป็นขั้นตอนสุดท้ายของการหลั่งกรด
🔍 ข้ออื่นผิดเพราะอะไร:
• ข้อ ก. (ยับยั้ง H1 receptor): ข้อนี้ไม่ใช่คำตอบที่ถูกต้องสำหรับภาวะ GERD เนื่องจากกลไกการออกฤทธิ์, efficacy หรือข้อบ่งใช้ไม่ตรงกับโจทย์ที่กำหนด
• ข้อ ข. (ยับยั้ง H2 receptor): ข้อนี้ไม่ใช่คำตอบที่ถูกต้องสำหรับภาวะ GERD เนื่องจากกลไกการออกฤทธิ์, efficacy หรือข้อบ่งใช้ไม่ตรงกับโจทย์ที่กำหนด
• ข้อ ค. (ยับยั้ง M2 receptor): ข้อนี้ไม่ใช่คำตอบที่ถูกต้องสำหรับภาวะ GERD เนื่องจากกลไกการออกฤทธิ์, efficacy หรือข้อบ่งใช้ไม่ตรงกับโจทย์ที่กำหนด
• ข้อ จ. (ยับยั้ง Alpha 1 receptor):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2" t="n"/>
      <c r="L57" s="2" t="inlineStr">
        <is>
          <t>GERD</t>
        </is>
      </c>
      <c r="M57" s="2" t="inlineStr">
        <is>
          <t>Clinic</t>
        </is>
      </c>
      <c r="N57" s="2" t="inlineStr">
        <is>
          <t>ข้อ 55 Pharma Plus เล่มม่วง (เฉลยข้อ ง)</t>
        </is>
      </c>
      <c r="O57" s="2" t="inlineStr">
        <is>
          <t>Mock</t>
        </is>
      </c>
      <c r="P57" s="2" t="inlineStr">
        <is>
          <t>Pharma Plus เล่มม่วง</t>
        </is>
      </c>
    </row>
    <row r="58" ht="13.2" customHeight="1" s="37">
      <c r="A58" s="8" t="inlineStr">
        <is>
          <t>56</t>
        </is>
      </c>
      <c r="B58" s="2" t="inlineStr">
        <is>
          <t>อันตรกิริยาระหว่าง omeprazole กับ ketoconazole คือ</t>
        </is>
      </c>
      <c r="C58" s="2" t="n"/>
      <c r="D58" s="2" t="inlineStr">
        <is>
          <t>ลดระดับยา ketoconazole</t>
        </is>
      </c>
      <c r="E58" s="2" t="inlineStr">
        <is>
          <t>เพิ่มระดับยา ketoconazole</t>
        </is>
      </c>
      <c r="F58" s="2" t="inlineStr">
        <is>
          <t>ลดระดับยา omeprazole</t>
        </is>
      </c>
      <c r="G58" s="2" t="inlineStr">
        <is>
          <t>เพิ่มระดับยา omeprazole</t>
        </is>
      </c>
      <c r="H58" s="2" t="inlineStr">
        <is>
          <t>เพิ่มระดับยา ketoconazole และ omeprazole</t>
        </is>
      </c>
      <c r="I58" s="8" t="inlineStr">
        <is>
          <t>1</t>
        </is>
      </c>
      <c r="J58" s="2" t="inlineStr">
        <is>
          <t>✅ คำตอบที่ถูกต้อง: ข้อ ก. ลดระดับยา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ลดระดับยา ketoconazole Ketoconazole เป็นยาต้านเชื้อราที่การดูดซึมในทางเดินอาหารขึ้นอยู่กับสภาพความเป็นกรด (pH ต่ำ) เมื่อใช้ร่วมกับ Omeprazole ซึ่งไปลดการหลั่งกรดในกระเพาะอาหาร ทำให้ค่า pH สูงขึ้น ส่งผลให้การดูดซึมของ Ketoconazole ลดลง ส่งผลให้ระดับยาในเลือดลดลง
🔍 ข้ออื่นผิดเพราะอะไร:
• ข้อ ข. (เพิ่มระดับยา ketoconazole): ข้อนี้ไม่ใช่คำตอบที่ถูกต้องสำหรับภาวะ GERD เนื่องจากกลไกการออกฤทธิ์, efficacy หรือข้อบ่งใช้ไม่ตรงกับโจทย์ที่กำหนด
• ข้อ ค. (ลดระดับยา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(เพิ่มระดับยา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(เพิ่มระดับยา ketoconazole และ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2" t="n"/>
      <c r="L58" s="2" t="inlineStr">
        <is>
          <t>GERD</t>
        </is>
      </c>
      <c r="M58" s="2" t="inlineStr">
        <is>
          <t>Clinic</t>
        </is>
      </c>
      <c r="N58" s="2" t="inlineStr">
        <is>
          <t>ข้อ 56 Pharma Plus เล่มม่วง (เฉลยข้อ ก)</t>
        </is>
      </c>
      <c r="O58" s="2" t="inlineStr">
        <is>
          <t>Mock</t>
        </is>
      </c>
      <c r="P58" s="2" t="inlineStr">
        <is>
          <t>Pharma Plus เล่มม่วง</t>
        </is>
      </c>
    </row>
    <row r="59" ht="13.2" customHeight="1" s="37">
      <c r="A59" s="8" t="inlineStr">
        <is>
          <t>57</t>
        </is>
      </c>
      <c r="B59" s="2" t="inlineStr">
        <is>
          <t>Hycosine N-butyl bromide ห้ามใช้ในคนไข้โรคต่อไปนี้ ยกเว้น ข้อใด</t>
        </is>
      </c>
      <c r="C59" s="2" t="n"/>
      <c r="D59" s="2" t="inlineStr">
        <is>
          <t>Glaucoma</t>
        </is>
      </c>
      <c r="E59" s="2" t="inlineStr">
        <is>
          <t>Obstructive urotitis</t>
        </is>
      </c>
      <c r="F59" s="2" t="inlineStr">
        <is>
          <t>Gut obstruction</t>
        </is>
      </c>
      <c r="G59" s="2" t="inlineStr">
        <is>
          <t>Myasthenia gravis</t>
        </is>
      </c>
      <c r="H59" s="2" t="inlineStr">
        <is>
          <t>Duodenal ulcer</t>
        </is>
      </c>
      <c r="I59" s="8" t="inlineStr">
        <is>
          <t>5</t>
        </is>
      </c>
      <c r="J59" s="2" t="inlineStr">
        <is>
          <t>✅ คำตอบที่ถูกต้อง: ข้อ จ. Duodenal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Duodenal ulcer Hyoscine N-butyl bromide เป็นยาลดการบีบตัวของทางเดินอาหารที่มีฤทธิ์ anticholinergic จึงมี contraindication ในภาวะต้อหิน (glaucoma), 16การอุดกั้นทางเดินปัสสาวะ (obstructive uropathy), การอุดกั้นของลำไส้ (gut obstruction) และโรคกล้ามเนื้ออ่อนแรง (Myasthenia gravis) ยกเว้น 'Duodenal ulcer' ซึ่งอาจใช้เป็นยาร่วมรักษาอาการปวดเกร็งได้
🔍 ข้ออื่นผิดเพราะอะไร:
• ข้อ ก. (Glaucoma): ข้อนี้ไม่ใช่คำตอบที่ถูกต้องสำหรับภาวะ GERD เนื่องจากกลไกการออกฤทธิ์, efficacy หรือข้อบ่งใช้ไม่ตรงกับโจทย์ที่กำหนด
• ข้อ ข. (Obstructive urotitis): ข้อนี้ไม่ใช่คำตอบที่ถูกต้องสำหรับภาวะ GERD เนื่องจากกลไกการออกฤทธิ์, efficacy หรือข้อบ่งใช้ไม่ตรงกับโจทย์ที่กำหนด
• ข้อ ค. (Gut obstruction): ข้อนี้ไม่ใช่คำตอบที่ถูกต้องสำหรับภาวะ GERD เนื่องจากกลไกการออกฤทธิ์, efficacy หรือข้อบ่งใช้ไม่ตรงกับโจทย์ที่กำหนด
• ข้อ ง. (Myasthenia gravis):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2" t="n"/>
      <c r="L59" s="2" t="inlineStr">
        <is>
          <t>GERD</t>
        </is>
      </c>
      <c r="M59" s="2" t="inlineStr">
        <is>
          <t>Clinic</t>
        </is>
      </c>
      <c r="N59" s="2" t="inlineStr">
        <is>
          <t>ข้อ 57 Pharma Plus เล่มม่วง (เฉลยข้อ จ)</t>
        </is>
      </c>
      <c r="O59" s="2" t="inlineStr">
        <is>
          <t>Mock</t>
        </is>
      </c>
      <c r="P59" s="2" t="inlineStr">
        <is>
          <t>Pharma Plus เล่มม่วง</t>
        </is>
      </c>
    </row>
    <row r="60" ht="13.2" customHeight="1" s="37">
      <c r="A60" s="8" t="inlineStr">
        <is>
          <t>58</t>
        </is>
      </c>
      <c r="B60" s="2" t="inlineStr">
        <is>
          <t>ข้อใดคือคำแนะนำวิธีการรับประทานยา ketoconazole</t>
        </is>
      </c>
      <c r="C60" s="2" t="n"/>
      <c r="D60" s="2" t="inlineStr">
        <is>
          <t>กินก่อนอาหาร 30 นาที</t>
        </is>
      </c>
      <c r="E60" s="2" t="inlineStr">
        <is>
          <t>กินก่อนนอน</t>
        </is>
      </c>
      <c r="F60" s="2" t="inlineStr">
        <is>
          <t>กินหลังอาหารทันที</t>
        </is>
      </c>
      <c r="G60" s="2" t="inlineStr">
        <is>
          <t>ควรกินพร้อมไขมันเพื่อเพิ่มการดูดซึม</t>
        </is>
      </c>
      <c r="H60" s="2" t="inlineStr">
        <is>
          <t>ควรกินพร้อมยาลดกรด</t>
        </is>
      </c>
      <c r="I60" s="8" t="inlineStr">
        <is>
          <t>3</t>
        </is>
      </c>
      <c r="J60" s="2" t="inlineStr">
        <is>
          <t>✅ คำตอบที่ถูกต้อง: ข้อ ค. กินหลังอาหารทันที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กินหลังอาหารทันที Ketoconazole ชนิดรับประทานต้องการสภาพที่เป็นกรดในการละลายและดูดซึม และแนะนำให้รับประทานพร้อมอาหารหรือไขมันเพื่อเพิ่มการดูดซึม (Enhanced absorption with food) และห้ามรับประทานร่วมกับยาลดกรด
🔍 ข้ออื่นผิดเพราะอะไร:
• ข้อ ก. (กินก่อนอาหาร 30 นาที): ข้อนี้ไม่ใช่คำตอบที่ถูกต้องสำหรับภาวะ GERD เนื่องจากกลไกการออกฤทธิ์, efficacy หรือข้อบ่งใช้ไม่ตรงกับโจทย์ที่กำหนด
• ข้อ ข. (กินก่อนนอน): ข้อนี้ไม่ใช่คำตอบที่ถูกต้องสำหรับภาวะ GERD เนื่องจากกลไกการออกฤทธิ์, efficacy หรือข้อบ่งใช้ไม่ตรงกับโจทย์ที่กำหนด
• ข้อ ง. (ควรกินพร้อมไขมันเพื่อเพิ่มการดูดซึม): ข้อนี้ไม่ใช่คำตอบที่ถูกต้องสำหรับภาวะ GERD เนื่องจากกลไกการออกฤทธิ์, efficacy หรือข้อบ่งใช้ไม่ตรงกับโจทย์ที่กำหนด
• ข้อ จ. (ควรกินพร้อมยาลดกรด):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2" t="n"/>
      <c r="L60" s="2" t="inlineStr">
        <is>
          <t>GERD</t>
        </is>
      </c>
      <c r="M60" s="2" t="inlineStr">
        <is>
          <t>Clinic</t>
        </is>
      </c>
      <c r="N60" s="2" t="inlineStr">
        <is>
          <t>ข้อ 58 Pharma Plus เล่มม่วง (เฉลยข้อ ค)</t>
        </is>
      </c>
      <c r="O60" s="2" t="inlineStr">
        <is>
          <t>Mock</t>
        </is>
      </c>
      <c r="P60" s="2" t="inlineStr">
        <is>
          <t>Pharma Plus เล่มม่วง</t>
        </is>
      </c>
    </row>
    <row r="61" ht="13.2" customHeight="1" s="37">
      <c r="A61" s="8" t="inlineStr">
        <is>
          <t>59</t>
        </is>
      </c>
      <c r="B61" s="2" t="inlineStr">
        <is>
          <t>ผู้ป่วยชายอายุ 34 ปี มีอาการย้อนอาหารหลังทานอาหาร อาเจียน แสบหน้าอก มีอาการมาเวลา 2-3 วัน ยังไม่ได้รับการรักษาด้วยยามาก่อน จึงมาพบแพทย์ ได้รับการวินิจฉัยเป็นโรคกรดไหลย้อน
จากหนังสือ MIMS พบว่ายา lansoprazole จัดอยู่ใน pregnancy category B หมายถึงข้อใด</t>
        </is>
      </c>
      <c r="C61" s="2" t="n"/>
      <c r="D61" s="2" t="inlineStr">
        <is>
          <t>จากการศึกษาในสัตว์พบว่าทำให้เกิดความผิดปกติต่อตัวอ่อนในครรภ์ แต่ไม่มีการศึกษาในมนุษย์</t>
        </is>
      </c>
      <c r="E61" s="2" t="inlineStr">
        <is>
          <t>จากการศึกษาในมนุษย์พบว่าไม่มีความเสี่ยงในการก่อให้เกิดความผิดปกติต่อทารกในครรภ์</t>
        </is>
      </c>
      <c r="F61" s="2" t="inlineStr">
        <is>
          <t>จากการศึกษาในสัตว์พบว่าไม่มีความเสี่ยงในการทำให้เกิดความผิดปกติของตัวอ่อนในครรภ์ แต่ไม่มีการศึกษาในมนุษย์</t>
        </is>
      </c>
      <c r="G61" s="2" t="inlineStr">
        <is>
          <t>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t>
        </is>
      </c>
      <c r="H61" s="2" t="inlineStr">
        <is>
          <t>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t>
        </is>
      </c>
      <c r="I61" s="8" t="inlineStr">
        <is>
          <t>3</t>
        </is>
      </c>
      <c r="J61" s="2" t="inlineStr">
        <is>
          <t>✅ คำตอบที่ถูกต้อง: ข้อ ค. จากการศึกษาในสัตว์พบว่าไม่มีความเสี่ยงในการทำให้เกิดความผิดปกติของตัวอ่อนในครรภ์ แต่ไม่มีการศึกษาในมนุษย์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จากการศึกษาในสัตว์พบว่าไม่มีความเสี่ยงในการทำให้เกิดความผิดปกติของตัวอ่อนในครรภ์ แต่ไม่มีการศึกษาในมนุษย์ Pregnancy Category B หมายถึง การศึกษาในสัตว์ทดลองไม่พบความเสี่ยงต่อตัวอ่อนในครรภ์ แต่ไม่มีการศึกษาควบคุมในหญิงตั้งครรภ์ หรือสัตว์ทดลองพบความผิดปกติแต่การศึกษาในหญิงตั้งครรภ์ไม่พบความเสี่ยง
🔍 ข้ออื่นผิดเพราะอะไร:
• ข้อ ก. (จากการศึกษาในสัตว์พบว่าทำให้เกิดความผิดปกติต่อตัวอ่อนในครรภ์ แต่ไม่มีการศึกษาในมนุษย์): ข้อนี้ไม่ใช่คำตอบที่ถูกต้องสำหรับภาวะ GERD เนื่องจากกลไกการออกฤทธิ์, efficacy หรือข้อบ่งใช้ไม่ตรงกับโจทย์ที่กำหนด
• ข้อ ข. (จากการศึกษาในมนุษย์พบว่าไม่มีความเสี่ยงในการก่อให้เกิดความผิดปกติต่อทารกในครรภ์): ข้อนี้ไม่ใช่คำตอบที่ถูกต้องสำหรับภาวะ GERD เนื่องจากกลไกการออกฤทธิ์, efficacy หรือข้อบ่งใช้ไม่ตรงกับโจทย์ที่กำหนด
• ข้อ ง. (จากการศึกษาในสัตว์หรือมนุษย์พบว่าทำให้เกิดความผิดปกติของตัวอ่อนหรือทารกในครรภ์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 ข้อนี้ไม่ใช่คำตอบที่ถูกต้องสำหรับภาวะ GERD เนื่องจากกลไกการออกฤทธิ์, efficacy หรือข้อบ่งใช้ไม่ตรงกับโจทย์ที่กำหนด
• ข้อ จ. (ยามีความเสี่ยงในการก่อให้เกิดความผิดปกติต่อทารกในครรภ์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2" t="n"/>
      <c r="L61" s="2" t="inlineStr">
        <is>
          <t>GERD</t>
        </is>
      </c>
      <c r="M61" s="2" t="inlineStr">
        <is>
          <t>Clinic</t>
        </is>
      </c>
      <c r="N61" s="2" t="inlineStr">
        <is>
          <t>ข้อ 59 Pharma Plus เล่มม่วง (เฉลยข้อ ค)</t>
        </is>
      </c>
      <c r="O61" s="2" t="inlineStr">
        <is>
          <t>Mock</t>
        </is>
      </c>
      <c r="P61" s="2" t="inlineStr">
        <is>
          <t>Pharma Plus เล่มม่วง</t>
        </is>
      </c>
    </row>
    <row r="62" ht="13.2" customHeight="1" s="37">
      <c r="A62" s="8" t="inlineStr">
        <is>
          <t>60</t>
        </is>
      </c>
      <c r="B62" s="2" t="inlineStr">
        <is>
          <t>ผู้ป่วยเป็นโรค GERD ยาใดไม่ควรใช้</t>
        </is>
      </c>
      <c r="C62" s="2" t="n"/>
      <c r="D62" s="2" t="inlineStr">
        <is>
          <t>Serratopeptidase</t>
        </is>
      </c>
      <c r="E62" s="2" t="inlineStr">
        <is>
          <t>Metoclopramide</t>
        </is>
      </c>
      <c r="F62" s="2" t="inlineStr">
        <is>
          <t>Alendronate</t>
        </is>
      </c>
      <c r="G62" s="2" t="inlineStr">
        <is>
          <t>Bisacodyl</t>
        </is>
      </c>
      <c r="H62" s="2" t="inlineStr">
        <is>
          <t>MOM</t>
        </is>
      </c>
      <c r="I62" s="8" t="inlineStr">
        <is>
          <t>3</t>
        </is>
      </c>
      <c r="J62" s="2" t="inlineStr">
        <is>
          <t>✅ คำตอบที่ถูกต้อง: ข้อ ค. Alendronate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Alendronate (Bisphosphonates) มีฤทธิ์ระคายเคืองเยื่อบุหลอดอาหารอย่างรุนแรงและอาจทำให้เกิดหลอดอาหารอักเสบหรือแผล (esophagitis/esophageal ulcer) จึงห้ามใช้หรือควรระวังเป็นอย่างมากในผู้ป่วย GERD
🔍 ข้ออื่นผิดเพราะอะไร:
• ข้อ ก. (Serratopeptidase): ข้อนี้ไม่ใช่คำตอบที่ถูกต้องสำหรับภาวะ GERD เนื่องจากกลไกการออกฤทธิ์, efficacy หรือข้อบ่งใช้ไม่ตรงกับโจทย์ที่กำหนด
• ข้อ ข. (Metoclopramide): เป็น central และ peripheral D2 antagonist เพิ่ม gastric emptying และแก้อาเจียน แต่ผ่าน BBB จึงทำให้เกิด acute dystonia และ EPS ได้ง่าย
• ข้อ ง.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(MOM):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62" s="2" t="n"/>
      <c r="L62" s="2" t="inlineStr">
        <is>
          <t>GERD</t>
        </is>
      </c>
      <c r="M62" s="2" t="inlineStr">
        <is>
          <t>Clinic</t>
        </is>
      </c>
      <c r="N62" s="2" t="inlineStr">
        <is>
          <t>ข้อ 60 Pharma Plus เล่มม่วง (เฉลยข้อ ค)</t>
        </is>
      </c>
      <c r="O62" s="2" t="inlineStr">
        <is>
          <t>Mock</t>
        </is>
      </c>
      <c r="P62" s="2" t="inlineStr">
        <is>
          <t>Pharma Plus เล่มม่วง</t>
        </is>
      </c>
    </row>
    <row r="63" ht="13.2" customHeight="1" s="37">
      <c r="A63" s="8" t="inlineStr">
        <is>
          <t>61</t>
        </is>
      </c>
      <c r="B63" s="2" t="inlineStr">
        <is>
          <t>ผู้ป่วยควรได้รับการรักษาด้วยยาใด</t>
        </is>
      </c>
      <c r="C63" s="2" t="n"/>
      <c r="D63" s="2" t="inlineStr">
        <is>
          <t>Famotidine</t>
        </is>
      </c>
      <c r="E63" s="2" t="inlineStr">
        <is>
          <t>Bismuth subsalicylate</t>
        </is>
      </c>
      <c r="F63" s="2" t="inlineStr">
        <is>
          <t>Salol and Menthol mixture</t>
        </is>
      </c>
      <c r="G63" s="2" t="inlineStr">
        <is>
          <t>Hyoscine-N-butyl bromide</t>
        </is>
      </c>
      <c r="H63" s="2" t="inlineStr">
        <is>
          <t>Simethicone</t>
        </is>
      </c>
      <c r="I63" s="8" t="inlineStr">
        <is>
          <t>1</t>
        </is>
      </c>
      <c r="J63" s="2" t="inlineStr">
        <is>
          <t>✅ คำตอบที่ถูกต้อง: ข้อ ก. Famotidine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Famotidine เป็นยา H2-receptor antagonist ที่ช่วยลดการหลั่งกรดในกระเพาะอาหาร นิยมใช้รักษาโรคแผลในทางเดินอาหารและกรดไหลย้อน
🔍 ข้ออื่นผิดเพราะอะไร:
• ข้อ ข. (Bismuth subsalicylate): ข้อนี้ไม่ใช่คำตอบที่ถูกต้องสำหรับภาวะ Dyspepsia &amp; PUD เนื่องจากกลไกการออกฤทธิ์, efficacy หรือข้อบ่งใช้ไม่ตรงกับโจทย์ที่กำหนด
• ข้อ ค. (Salol and Menthol mixture): ข้อนี้ไม่ใช่คำตอบที่ถูกต้องสำหรับภาวะ Dyspepsia &amp; PUD เนื่องจากกลไกการออกฤทธิ์, efficacy หรือข้อบ่งใช้ไม่ตรงกับโจทย์ที่กำหนด
• ข้อ ง. (Hyoscine-N-butyl bromide): ข้อนี้ไม่ใช่คำตอบที่ถูกต้องสำหรับภาวะ Dyspepsia &amp; PUD เนื่องจากกลไกการออกฤทธิ์, efficacy หรือข้อบ่งใช้ไม่ตรงกับโจทย์ที่กำหนด
• ข้อ จ. (Simethicone):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2" t="n"/>
      <c r="L63" s="2" t="inlineStr">
        <is>
          <t>Dyspepsia &amp; PUD</t>
        </is>
      </c>
      <c r="M63" s="2" t="inlineStr">
        <is>
          <t>Clinic</t>
        </is>
      </c>
      <c r="N63" s="2" t="inlineStr">
        <is>
          <t>ข้อ 61 Pharma Plus เล่มม่วง (เฉลยข้อ ก)</t>
        </is>
      </c>
      <c r="O63" s="2" t="inlineStr">
        <is>
          <t>Mock</t>
        </is>
      </c>
      <c r="P63" s="2" t="inlineStr">
        <is>
          <t>Pharma Plus เล่มม่วง</t>
        </is>
      </c>
    </row>
    <row r="64" ht="13.2" customHeight="1" s="37">
      <c r="A64" s="8" t="inlineStr">
        <is>
          <t>62</t>
        </is>
      </c>
      <c r="B64" s="2" t="inlineStr">
        <is>
          <t>สารสำคัญในมะขามแขกเป็นสารกลุ่มใดและออกฤทธิ์เป็นยาระบายกลุ่มใด</t>
        </is>
      </c>
      <c r="C64" s="2" t="n"/>
      <c r="D64" s="2" t="inlineStr">
        <is>
          <t>Anthraquinones, stimulant laxatives</t>
        </is>
      </c>
      <c r="E64" s="2" t="inlineStr">
        <is>
          <t>Quinones, stimulant laxatives</t>
        </is>
      </c>
      <c r="F64" s="2" t="inlineStr">
        <is>
          <t>Alkaloids, bulk forming laxatives</t>
        </is>
      </c>
      <c r="G64" s="2" t="inlineStr">
        <is>
          <t>Isoquinoline alkaloids, stimulant laxatives</t>
        </is>
      </c>
      <c r="H64" s="2" t="inlineStr">
        <is>
          <t>Flavonoids, bulk forming laxatives</t>
        </is>
      </c>
      <c r="I64" s="8" t="inlineStr">
        <is>
          <t>1</t>
        </is>
      </c>
      <c r="J64" s="2" t="inlineStr">
        <is>
          <t>✅ คำตอบที่ถูกต้อง: ข้อ ก. Anthraquinones, stimulant laxatives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Anthraquinones, stimulant laxatives มะขามแขก (Senna) มีสารสำคัญคือ Sennosides ซึ่งจัดอยู่ในกลุ่ม Anthraquinones ออกฤทธิ์กระตุ้นการบีบตัวของลำไส้ (Stimulant laxative)
🔍 ข้ออื่นผิดเพราะอะไร:
• ข้อ ข. (Quinones, stimulant laxatives): ข้อนี้ไม่ใช่คำตอบที่ถูกต้องสำหรับภาวะ GERD เนื่องจากกลไกการออกฤทธิ์, efficacy หรือข้อบ่งใช้ไม่ตรงกับโจทย์ที่กำหนด
• ข้อ ค. (Alkaloids, bulk forming laxatives): ข้อนี้ไม่ใช่คำตอบที่ถูกต้องสำหรับภาวะ GERD เนื่องจากกลไกการออกฤทธิ์, efficacy หรือข้อบ่งใช้ไม่ตรงกับโจทย์ที่กำหนด
• ข้อ ง. (Isoquinoline alkaloids, stimulant laxatives): ข้อนี้ไม่ใช่คำตอบที่ถูกต้องสำหรับภาวะ GERD เนื่องจากกลไกการออกฤทธิ์, efficacy หรือข้อบ่งใช้ไม่ตรงกับโจทย์ที่กำหนด
• ข้อ จ. (Flavonoids, bulk forming laxatives):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2" t="n"/>
      <c r="L64" s="2" t="inlineStr">
        <is>
          <t>GERD</t>
        </is>
      </c>
      <c r="M64" s="2" t="inlineStr">
        <is>
          <t>Clinic</t>
        </is>
      </c>
      <c r="N64" s="2" t="inlineStr">
        <is>
          <t>ข้อ 62 Pharma Plus เล่มม่วง (เฉลยข้อ ก)</t>
        </is>
      </c>
      <c r="O64" s="2" t="inlineStr">
        <is>
          <t>Mock</t>
        </is>
      </c>
      <c r="P64" s="2" t="inlineStr">
        <is>
          <t>Pharma Plus เล่มม่วง</t>
        </is>
      </c>
    </row>
    <row r="65" ht="13.2" customHeight="1" s="37">
      <c r="A65" s="8" t="inlineStr">
        <is>
          <t>63</t>
        </is>
      </c>
      <c r="B65" s="2" t="inlineStr">
        <is>
          <t>อาการไม่พึงประสงค์ใดที่พบบ่อยในช่วงแรกของการใช้ยาระบายมะขามแขก</t>
        </is>
      </c>
      <c r="C65" s="2" t="n"/>
      <c r="D65" s="2" t="inlineStr">
        <is>
          <t>Abdominal pain</t>
        </is>
      </c>
      <c r="E65" s="2" t="inlineStr">
        <is>
          <t>Antonic colon</t>
        </is>
      </c>
      <c r="F65" s="2" t="inlineStr">
        <is>
          <t>Electrolyte imbalance</t>
        </is>
      </c>
      <c r="G65" s="2" t="inlineStr">
        <is>
          <t>Noninfectious colitis</t>
        </is>
      </c>
      <c r="H65" s="2" t="inlineStr">
        <is>
          <t>Irritate bowel</t>
        </is>
      </c>
      <c r="I65" s="8" t="inlineStr">
        <is>
          <t>1</t>
        </is>
      </c>
      <c r="J65" s="2" t="inlineStr">
        <is>
          <t>✅ คำตอบที่ถูกต้อง: ข้อ ก. Abdominal pain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Abdominal pain ยากลุ่ม stimulant laxatives เช่น มะขามแขก มักทำให้เกิดอาการปวดเกร็งช่องท้อง (Abdominal pain / cramps) จากการที่ลำไส้บีบตัวเพิ่มขึ้นในช่วงแรกของการใช้ยา
🔍 ข้ออื่นผิดเพราะอะไร:
• ข้อ ข. (Antonic colon): ข้อนี้ไม่ใช่คำตอบที่ถูกต้องสำหรับภาวะ GERD เนื่องจากกลไกการออกฤทธิ์, efficacy หรือข้อบ่งใช้ไม่ตรงกับโจทย์ที่กำหนด
• ข้อ ค. (Electrolyte imbalance): ข้อนี้ไม่ใช่คำตอบที่ถูกต้องสำหรับภาวะ GERD เนื่องจากกลไกการออกฤทธิ์, efficacy หรือข้อบ่งใช้ไม่ตรงกับโจทย์ที่กำหนด
• ข้อ ง. (Noninfectious colitis): ข้อนี้ไม่ใช่คำตอบที่ถูกต้องสำหรับภาวะ GERD เนื่องจากกลไกการออกฤทธิ์, efficacy หรือข้อบ่งใช้ไม่ตรงกับโจทย์ที่กำหนด
• ข้อ จ. (Irritate bowel):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2" t="n"/>
      <c r="L65" s="2" t="inlineStr">
        <is>
          <t>GERD</t>
        </is>
      </c>
      <c r="M65" s="2" t="inlineStr">
        <is>
          <t>Clinic</t>
        </is>
      </c>
      <c r="N65" s="2" t="inlineStr">
        <is>
          <t>ข้อ 63 Pharma Plus เล่มม่วง (เฉลยข้อ ก)</t>
        </is>
      </c>
      <c r="O65" s="2" t="inlineStr">
        <is>
          <t>Mock</t>
        </is>
      </c>
      <c r="P65" s="2" t="inlineStr">
        <is>
          <t>Pharma Plus เล่มม่วง</t>
        </is>
      </c>
    </row>
    <row r="66" ht="13.2" customHeight="1" s="37">
      <c r="A66" s="8" t="inlineStr">
        <is>
          <t>64</t>
        </is>
      </c>
      <c r="B66" s="2"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จากอาการและอาการแสดงดังกล่าว น่าจะเกิดจากการติดเชื้ออะไร</t>
        </is>
      </c>
      <c r="C66" s="2" t="n"/>
      <c r="D66" s="2" t="inlineStr">
        <is>
          <t>Entamoeba histolytica</t>
        </is>
      </c>
      <c r="E66" s="2" t="inlineStr">
        <is>
          <t>Shigella dysenteriae</t>
        </is>
      </c>
      <c r="F66" s="2" t="inlineStr">
        <is>
          <t>Giardia lamblia</t>
        </is>
      </c>
      <c r="G66" s="2" t="inlineStr">
        <is>
          <t>Vibrio parahaemolyticus</t>
        </is>
      </c>
      <c r="H66" s="2" t="inlineStr">
        <is>
          <t>Clostridium difficile</t>
        </is>
      </c>
      <c r="I66" s="8" t="inlineStr">
        <is>
          <t>2</t>
        </is>
      </c>
      <c r="J66" s="2" t="inlineStr">
        <is>
          <t>✅ คำตอบที่ถูกต้อง: ข้อ ข. Shigella dysenteriae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Shigella dysenteriae อาการไข้สูง หนาวสั่น ถ่ายเหลวเป็นมูก (Dysentery) หลายครั้ง บ่งบอกถึงการติดเชื้อแบคทีเรียรุนแรง เช่น Shigella dysenteriae ซึ่งห้ามใช้ยาหยุดถ่ายเพราะจะทำให้เชื้อโรคขับออกจากร่างกายช้าลงและอาการแย่ลง
🔍 ข้ออื่นผิดเพราะอะไร:
• ข้อ ก. (Entamoeba histolytica): ข้อนี้ไม่ใช่คำตอบที่ถูกต้องสำหรับภาวะ Diarrhea &amp; Constipation เนื่องจากกลไกการออกฤทธิ์, efficacy หรือข้อบ่งใช้ไม่ตรงกับโจทย์ที่กำหนด
• ข้อ ค. (Giardia lamblia): ข้อนี้ไม่ใช่คำตอบที่ถูกต้องสำหรับภาวะ Diarrhea &amp; Constipation เนื่องจากกลไกการออกฤทธิ์, efficacy หรือข้อบ่งใช้ไม่ตรงกับโจทย์ที่กำหนด
• ข้อ ง. (Vibrio parahaemolyticus): ข้อนี้ไม่ใช่คำตอบที่ถูกต้องสำหรับภาวะ Diarrhea &amp; Constipation เนื่องจากกลไกการออกฤทธิ์, efficacy หรือข้อบ่งใช้ไม่ตรงกับโจทย์ที่กำหนด
• ข้อ จ. (Clostridium difficile):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2" t="n"/>
      <c r="L66" s="2" t="inlineStr">
        <is>
          <t>Diarrhea &amp; Constipation</t>
        </is>
      </c>
      <c r="M66" s="2" t="inlineStr">
        <is>
          <t>Clinic</t>
        </is>
      </c>
      <c r="N66" s="2" t="inlineStr">
        <is>
          <t>ข้อ 64 Pharma Plus เล่มม่วง (เฉลยข้อ ข)</t>
        </is>
      </c>
      <c r="O66" s="2" t="inlineStr">
        <is>
          <t>Mock</t>
        </is>
      </c>
      <c r="P66" s="2" t="inlineStr">
        <is>
          <t>Pharma Plus เล่มม่วง</t>
        </is>
      </c>
    </row>
    <row r="67" ht="13.2" customHeight="1" s="37">
      <c r="A67" s="8" t="inlineStr">
        <is>
          <t>65</t>
        </is>
      </c>
      <c r="B67" s="2"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ผู้ป่วยควรได้รับการรักษาเยนเว้นข้อใด</t>
        </is>
      </c>
      <c r="C67" s="2" t="n"/>
      <c r="D67" s="2" t="inlineStr">
        <is>
          <t>เกลือแร่</t>
        </is>
      </c>
      <c r="E67" s="2" t="inlineStr">
        <is>
          <t>ยาดูดซับสารพิษ</t>
        </is>
      </c>
      <c r="F67" s="2" t="inlineStr">
        <is>
          <t>ยาหยุดถ่าย</t>
        </is>
      </c>
      <c r="G67" s="2" t="inlineStr">
        <is>
          <t>ยาลดไข้</t>
        </is>
      </c>
      <c r="H67" s="2" t="inlineStr">
        <is>
          <t>ยาแก้คลื่นไส้อาเจียน</t>
        </is>
      </c>
      <c r="I67" s="8" t="inlineStr">
        <is>
          <t>3</t>
        </is>
      </c>
      <c r="J67" s="2" t="inlineStr">
        <is>
          <t>✅ คำตอบที่ถูกต้อง: ข้อ ค. ยาหยุดถ่าย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ยาหยุดถ่าย กรณีติดเชื้อแบคทีเรียที่มีอาการถ่ายเป็นมูกร่วมกับมีไข้สูง ห้ามใช้ 'ยาหยุดถ่าย' (Antimotility drugs เช่น Loperamide) เนื่องจากจะทำให้ลำไส้เคลื่อนตัวช้าลง เพิ่มระยะเวลาที่เชื้อโรคและสารพิษสัมผัสกับเยื่อบุลำไส้ และอาจทำให้เกิดภาวะ megacolon หรือพิษคั่งได้
🔍 ข้ออื่นผิดเพราะอะไร:
• ข้อ ก. (เกลือแร่): ข้อนี้ไม่ใช่คำตอบที่ถูกต้องสำหรับภาวะ Diarrhea &amp; Constipation เนื่องจากกลไกการออกฤทธิ์, efficacy หรือข้อบ่งใช้ไม่ตรงกับโจทย์ที่กำหนด
• ข้อ ข. (ยาดูดซับสารพิษ): ข้อนี้ไม่ใช่คำตอบที่ถูกต้องสำหรับภาวะ Diarrhea &amp; Constipation เนื่องจากกลไกการออกฤทธิ์, efficacy หรือข้อบ่งใช้ไม่ตรงกับโจทย์ที่กำหนด
• ข้อ ง. (ยาลดไข้): ข้อนี้ไม่ใช่คำตอบที่ถูกต้องสำหรับภาวะ Diarrhea &amp; Constipation เนื่องจากกลไกการออกฤทธิ์, efficacy หรือข้อบ่งใช้ไม่ตรงกับโจทย์ที่กำหนด
• ข้อ จ. (ยาแก้คลื่นไส้อาเจียน):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n"/>
      <c r="L67" s="2" t="inlineStr">
        <is>
          <t>Diarrhea &amp; Constipation</t>
        </is>
      </c>
      <c r="M67" s="2" t="inlineStr">
        <is>
          <t>Clinic</t>
        </is>
      </c>
      <c r="N67" s="2" t="inlineStr">
        <is>
          <t>ข้อ 65 Pharma Plus เล่มม่วง (เฉลยข้อ ค)</t>
        </is>
      </c>
      <c r="O67" s="2" t="inlineStr">
        <is>
          <t>Mock</t>
        </is>
      </c>
      <c r="P67" s="2" t="inlineStr">
        <is>
          <t>Pharma Plus เล่มม่วง</t>
        </is>
      </c>
    </row>
    <row r="68" ht="13.2" customHeight="1" s="37">
      <c r="A68" s="8" t="inlineStr">
        <is>
          <t>66</t>
        </is>
      </c>
      <c r="B68" s="2" t="inlineStr">
        <is>
          <t>ยาในข้อใดต่อไปนี้เป็น drug of choice ของการรักษาอาการท้องเสียในผู้ป่วยรายนี้</t>
        </is>
      </c>
      <c r="C68" s="2" t="n"/>
      <c r="D68" s="2" t="inlineStr">
        <is>
          <t>Cotrimoxazole</t>
        </is>
      </c>
      <c r="E68" s="2" t="inlineStr">
        <is>
          <t>Norfloxacin</t>
        </is>
      </c>
      <c r="F68" s="2" t="inlineStr">
        <is>
          <t>Metronidazole</t>
        </is>
      </c>
      <c r="G68" s="2" t="inlineStr">
        <is>
          <t>Amoxicillin</t>
        </is>
      </c>
      <c r="H68" s="2" t="inlineStr">
        <is>
          <t>Tetracycline</t>
        </is>
      </c>
      <c r="I68" s="8" t="inlineStr">
        <is>
          <t>2</t>
        </is>
      </c>
      <c r="J68" s="2" t="inlineStr">
        <is>
          <t>✅ คำตอบที่ถูกต้อง: ข้อ ข. Norfloxacin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Norfloxacin Fluoroquinolones (เช่น Norfloxacin) เป็นยาเลือกแรก (drug of choice) สำหรับการรักษาโรคอุจจาระร่วงเฉียบพลันจากแบคทีเรีย (acute bacterial diarrhea) ตามแนวทางการรักษามาตรฐาน อย่างไรก็ตามปัจจุบันควรพิจารณาตามความไวของเชื้อและอัตราการดื้อยาในท้องถิ่น
🔍 ข้ออื่นผิดเพราะอะไร:
• ข้อ ก. (Cotrimoxazole): เป็นยาผสม Trimethoprim/Sulfamethoxazole (TMP/SMX) เป็น drug of choice สำหรับ PCP/PJP prophylaxis &amp; treatment, Stenotrophomonas และ Nocardia ระวัง hyperkalemia และ SCARs
• ข้อ ค. (Metronidazole): เป็น antianaerobic และ antiprotozoal agent ยับยั้ง Trichomonas vaginalis, Giardia, Amebiasis, และ anaerobes ห้ามดื่มแอลกอฮอล์ระหว่างใช้ยา (disulfiram-like reaction)
• ข้อ ง. (Amoxicillin): เป็น Aminopenicillin ยับยั้ง bacterial cell wall synthesis เป็น first-line สำหรับ uncomplicated bacterial infections (เช่น Strep pharyngitis, AOM, sinusitis)
• ข้อ จ. (Tetracycline):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2" t="n"/>
      <c r="L68" s="2" t="inlineStr">
        <is>
          <t>Diarrhea &amp; Constipation</t>
        </is>
      </c>
      <c r="M68" s="2" t="inlineStr">
        <is>
          <t>Clinic</t>
        </is>
      </c>
      <c r="N68" s="2" t="inlineStr">
        <is>
          <t>ข้อ 66 Pharma Plus เล่มม่วง (เฉลยข้อ ข)</t>
        </is>
      </c>
      <c r="O68" s="2" t="inlineStr">
        <is>
          <t>Mock</t>
        </is>
      </c>
      <c r="P68" s="2" t="inlineStr">
        <is>
          <t>Pharma Plus เล่มม่วง</t>
        </is>
      </c>
    </row>
    <row r="69" ht="13.2" customHeight="1" s="37">
      <c r="A69" s="8" t="inlineStr">
        <is>
          <t>67</t>
        </is>
      </c>
      <c r="B69" s="2" t="inlineStr">
        <is>
          <t>ข้อใดเป็นคำแนะนำการปฏิบัติตัวที่ไม่ถูกต้อง</t>
        </is>
      </c>
      <c r="C69" s="2" t="n"/>
      <c r="D69" s="2" t="inlineStr">
        <is>
          <t>ห้ามกินยาในข้อ 66 ร่วมกับนมหรือยาลดกรด</t>
        </is>
      </c>
      <c r="E69" s="2" t="inlineStr">
        <is>
          <t>ให้รับประทานยาต่อเนื่องตลอดการรักษา</t>
        </is>
      </c>
      <c r="F69" s="2" t="inlineStr">
        <is>
          <t>ควรรับประทานอาหารอ่อน</t>
        </is>
      </c>
      <c r="G69" s="2" t="inlineStr">
        <is>
          <t>หากไม่รับประทานยาจนหมดอาจเกิดการติดเชื้อดื้อยาได้</t>
        </is>
      </c>
      <c r="H69" s="2" t="inlineStr">
        <is>
          <t>ผสมผงเกลือแร่ตามสัดส่วนและรับประทานครั้งเดียวหมด</t>
        </is>
      </c>
      <c r="I69" s="8" t="inlineStr">
        <is>
          <t>5</t>
        </is>
      </c>
      <c r="J69" s="2" t="inlineStr">
        <is>
          <t>✅ คำตอบที่ถูกต้อง: ข้อ จ. ผสมผงเกลือแร่ตามสัดส่วนและรับประทานครั้งเดียวหมด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ผสมผงเกลือแร่ตามสัดส่วนและรับประทานครั้งเดียวหมด ผงเกลือแร่ (ORS) เมื่อผสมแล้วควรจิบทีละน้อยตามความกระหาย และควรใช้ให้หมดภายใน 24 ชั่วโมง การรับประทานครั้งเดียวหมดอาจทำให้ได้รับเกลือแร่หรือน้ำปริมาณมากเกินไปในคราวเดียว ซึ่งไม่ถูกต้องตามคำแนะนำ
🔍 ข้ออื่นผิดเพราะอะไร:
• ข้อ ก. (ห้ามกินยาในข้อ 66 ร่วมกับนมหรือยาลดกรด): ข้อนี้ไม่ใช่คำตอบที่ถูกต้องสำหรับภาวะ Diarrhea &amp; Constipation เนื่องจากกลไกการออกฤทธิ์, efficacy หรือข้อบ่งใช้ไม่ตรงกับโจทย์ที่กำหนด
• ข้อ ข. (ให้รับประทานยาต่อเนื่องตลอดการรักษา): ข้อนี้ไม่ใช่คำตอบที่ถูกต้องสำหรับภาวะ Diarrhea &amp; Constipation เนื่องจากกลไกการออกฤทธิ์, efficacy หรือข้อบ่งใช้ไม่ตรงกับโจทย์ที่กำหนด
• ข้อ ค. (ควรรับประทานอาหารอ่อน): ข้อนี้ไม่ใช่คำตอบที่ถูกต้องสำหรับภาวะ Diarrhea &amp; Constipation เนื่องจากกลไกการออกฤทธิ์, efficacy หรือข้อบ่งใช้ไม่ตรงกับโจทย์ที่กำหนด
• ข้อ ง. (หากไม่รับประทานยาจนหมดอาจเกิดการติดเชื้อดื้อยาได้):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2" t="n"/>
      <c r="L69" s="2" t="inlineStr">
        <is>
          <t>Diarrhea &amp; Constipation</t>
        </is>
      </c>
      <c r="M69" s="2" t="inlineStr">
        <is>
          <t>Clinic</t>
        </is>
      </c>
      <c r="N69" s="2" t="inlineStr">
        <is>
          <t>ข้อ 67 Pharma Plus เล่มม่วง (เฉลยข้อ จ)</t>
        </is>
      </c>
      <c r="O69" s="2" t="inlineStr">
        <is>
          <t>Mock</t>
        </is>
      </c>
      <c r="P69" s="2" t="inlineStr">
        <is>
          <t>Pharma Plus เล่มม่วง</t>
        </is>
      </c>
    </row>
    <row r="70" ht="13.2" customHeight="1" s="37">
      <c r="A70" s="8" t="inlineStr">
        <is>
          <t>68</t>
        </is>
      </c>
      <c r="B70" s="2"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ข้อใดไม่ใช่ปัจจัยเสี่ยงของโรคริิดสีดวงทวาร</t>
        </is>
      </c>
      <c r="C70" s="2" t="n"/>
      <c r="D70" s="2" t="inlineStr">
        <is>
          <t>ท้องผูกเป็นประจำ</t>
        </is>
      </c>
      <c r="E70" s="2" t="inlineStr">
        <is>
          <t>ดื่มสุรามากเกินไป</t>
        </is>
      </c>
      <c r="F70" s="2" t="inlineStr">
        <is>
          <t>รับประทานอาหารที่มีรสเผ็ดร้อนจัดเกินไป</t>
        </is>
      </c>
      <c r="G70" s="2" t="inlineStr">
        <is>
          <t>ติดเชื้อไวรัสตับอักเสบ A</t>
        </is>
      </c>
      <c r="H70" s="2" t="inlineStr">
        <is>
          <t>โรคบิดหรือโรคลาไส้ซึ่งถ่ายอุจจาระบ่อย ๆ</t>
        </is>
      </c>
      <c r="I70" s="8" t="inlineStr">
        <is>
          <t>3</t>
        </is>
      </c>
      <c r="J70" s="2" t="inlineStr">
        <is>
          <t>✅ คำตอบที่ถูกต้อง: ข้อ ค. รับประทานอาหารที่มีรสเผ็ดร้อนจัดเกินไป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รับประทานอาหารที่มีรสเผ็ดร้อนจัดเกินไป การติดเชื้อไวรัสตับอักเสบ A ไม่ใช่สาเหตุหรือปัจจัยเสี่ยงในการเกิดริดสีดวงทวาร ปัจจัยเสี่ยงหลักได้แก่ ภาวะท้องผูกเรื้อรัง ท้องเสียเรื้อรัง การเบ่งอุจจาระแรง การตั้งครรภ์ ภาวะความดันในช่องท้องสูง และการนั่งถ่ายอุจจาระเป็นเวลานาน
🔍 ข้ออื่นผิดเพราะอะไร:
• ข้อ ก. (ท้องผูกเป็นประจำ): ข้อนี้ไม่ใช่คำตอบที่ถูกต้องสำหรับภาวะ Diarrhea &amp; Constipation เนื่องจากกลไกการออกฤทธิ์, efficacy หรือข้อบ่งใช้ไม่ตรงกับโจทย์ที่กำหนด
• ข้อ ข. (ดื่มสุรามากเกินไป): ข้อนี้ไม่ใช่คำตอบที่ถูกต้องสำหรับภาวะ Diarrhea &amp; Constipation เนื่องจากกลไกการออกฤทธิ์, efficacy หรือข้อบ่งใช้ไม่ตรงกับโจทย์ที่กำหนด
• ข้อ ง. (ติดเชื้อไวรัสตับอักเสบ A): ข้อนี้ไม่ใช่คำตอบที่ถูกต้องสำหรับภาวะ Diarrhea &amp; Constipation เนื่องจากกลไกการออกฤทธิ์, efficacy หรือข้อบ่งใช้ไม่ตรงกับโจทย์ที่กำหนด
• ข้อ จ. (โรคบิดหรือโรคลาไส้ซึ่งถ่ายอุจจาระบ่อย ๆ):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2" t="n"/>
      <c r="L70" s="2" t="inlineStr">
        <is>
          <t>Diarrhea &amp; Constipation</t>
        </is>
      </c>
      <c r="M70" s="2" t="inlineStr">
        <is>
          <t>Clinic</t>
        </is>
      </c>
      <c r="N70" s="2" t="inlineStr">
        <is>
          <t>ข้อ 68 Pharma Plus เล่มม่วง (เฉลยข้อ ค ง)</t>
        </is>
      </c>
      <c r="O70" s="2" t="inlineStr">
        <is>
          <t>Mock</t>
        </is>
      </c>
      <c r="P70" s="2" t="inlineStr">
        <is>
          <t>Pharma Plus เล่มม่วง</t>
        </is>
      </c>
    </row>
    <row r="71" ht="13.2" customHeight="1" s="37">
      <c r="A71" s="8" t="inlineStr">
        <is>
          <t>69</t>
        </is>
      </c>
      <c r="B71" s="2"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ข้อควรปฏิบัติใดในโรคริิดสีดวงทวารที่ไม่เหมาะสม</t>
        </is>
      </c>
      <c r="C71" s="2" t="n"/>
      <c r="D71" s="2" t="inlineStr">
        <is>
          <t>ดื่มน้ำมาก ๆ วันละ 6-8 แก้ว</t>
        </is>
      </c>
      <c r="E71" s="2" t="inlineStr">
        <is>
          <t>รับประทานข้าวกล้อง และผลไม้</t>
        </is>
      </c>
      <c r="F71" s="2" t="inlineStr">
        <is>
          <t>ฝึกถ่ายอุจจาระให้เป็นประจำ</t>
        </is>
      </c>
      <c r="G71" s="2" t="inlineStr">
        <is>
          <t>ออกกำลังกายด้วยการปั่นจักรยานและยกน้ำหนัก</t>
        </is>
      </c>
      <c r="H71" s="2" t="inlineStr">
        <is>
          <t>ไม่ดื่มชา กาแฟ</t>
        </is>
      </c>
      <c r="I71" s="8" t="inlineStr">
        <is>
          <t>4</t>
        </is>
      </c>
      <c r="J71" s="2" t="inlineStr">
        <is>
          <t>✅ คำตอบที่ถูกต้อง: ข้อ ง. ออกกำลังกายด้วยการปั่นจักรยานและยกน้ำหนัก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ออกกำลังกายด้วยการปั่นจักรยานและยกน้ำหนัก การยกน้ำหนัก (heavy lifting) เพิ่มความดันในช่องท้องทำให้หลอดเลือดดำที่ทวารหนักขยายตัวมากขึ้นและอาการริดสีดวงแย่ลง จึงเป็นข้อปฏิบัติที่ไม่เหมาะสม ส่วนการออกกำลังกายที่เหมาะสมควรเป็นการเดินหรือว่ายน้ำ
🔍 ข้ออื่นผิดเพราะอะไร:
• ข้อ ก. (ดื่มน้ำมาก ๆ วันละ 6-8 แก้ว): ข้อนี้ไม่ใช่คำตอบที่ถูกต้องสำหรับภาวะ Diarrhea &amp; Constipation เนื่องจากกลไกการออกฤทธิ์, efficacy หรือข้อบ่งใช้ไม่ตรงกับโจทย์ที่กำหนด
• ข้อ ข. (รับประทานข้าวกล้อง และผลไม้): ข้อนี้ไม่ใช่คำตอบที่ถูกต้องสำหรับภาวะ Diarrhea &amp; Constipation เนื่องจากกลไกการออกฤทธิ์, efficacy หรือข้อบ่งใช้ไม่ตรงกับโจทย์ที่กำหนด
• ข้อ ค. (ฝึกถ่ายอุจจาระให้เป็นประจำ): ข้อนี้ไม่ใช่คำตอบที่ถูกต้องสำหรับภาวะ Diarrhea &amp; Constipation เนื่องจากกลไกการออกฤทธิ์, efficacy หรือข้อบ่งใช้ไม่ตรงกับโจทย์ที่กำหนด
• ข้อ จ. (ไม่ดื่มชา กาแฟ):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2" t="n"/>
      <c r="L71" s="2" t="inlineStr">
        <is>
          <t>Diarrhea &amp; Constipation</t>
        </is>
      </c>
      <c r="M71" s="2" t="inlineStr">
        <is>
          <t>Clinic</t>
        </is>
      </c>
      <c r="N71" s="2" t="inlineStr">
        <is>
          <t>ข้อ 69 Pharma Plus เล่มม่วง (เฉลยข้อ ง)</t>
        </is>
      </c>
      <c r="O71" s="2" t="inlineStr">
        <is>
          <t>Mock</t>
        </is>
      </c>
      <c r="P71" s="2" t="inlineStr">
        <is>
          <t>Pharma Plus เล่มม่วง</t>
        </is>
      </c>
    </row>
    <row r="72" ht="13.2" customHeight="1" s="37">
      <c r="A72" s="8" t="inlineStr">
        <is>
          <t>70</t>
        </is>
      </c>
      <c r="B72" s="2"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ข้อใดเป็นการรักษาโรคริดสีดวงทวารในขณะที่มีเลือดออกและปวด ที่ไม่เหมาะสม</t>
        </is>
      </c>
      <c r="C72" s="2" t="n"/>
      <c r="D72" s="2" t="inlineStr">
        <is>
          <t>ให้การรักษาโดยใช้ยาเหน็บริดสีดวงทวาร</t>
        </is>
      </c>
      <c r="E72" s="2" t="inlineStr">
        <is>
          <t>ให้ยาระบายชนิดเพิ่มกากอาหาร</t>
        </is>
      </c>
      <c r="F72" s="2" t="inlineStr">
        <is>
          <t>ให้ยาเพิ่มความแข็งแรงของหลอดเลือด</t>
        </is>
      </c>
      <c r="G72" s="2" t="inlineStr">
        <is>
          <t>ให้ paracetamol เพื่อลดการอักเสบ</t>
        </is>
      </c>
      <c r="H72" s="2" t="inlineStr">
        <is>
          <t>นั่งแช่น้ำอุ่นที่ผสมด่างทับทิม 15-30 นาที วันละ 2-3 ครั้ง</t>
        </is>
      </c>
      <c r="I72" s="8" t="inlineStr">
        <is>
          <t>4</t>
        </is>
      </c>
      <c r="J72" s="2" t="inlineStr">
        <is>
          <t>✅ คำตอบที่ถูกต้อง: ข้อ ง. ให้ paracetamol เพื่อลดการอักเสบ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ให้ paracetamol เพื่อลดการอักเสบ Paracetamol มีฤทธิ์แก้ปวดและลดไข้ แต่ไม่มีฤทธิ์ต้านการอักเสบ (anti-inflammatory) หากต้องการลดการอักเสบควรใช้ยากลุ่ม NSAIDs หรือยาเหน็บที่มีส่วนผสมของ corticosteroid (เช่น Proctosedyl)
🔍 ข้ออื่นผิดเพราะอะไร:
• ข้อ ก. (ให้การรักษาโดยใช้ยาเหน็บริดสีดวงทวาร): ข้อนี้ไม่ใช่คำตอบที่ถูกต้องสำหรับภาวะ Diarrhea &amp; Constipation เนื่องจากกลไกการออกฤทธิ์, efficacy หรือข้อบ่งใช้ไม่ตรงกับโจทย์ที่กำหนด
• ข้อ ข. (ให้ยาระบายชนิดเพิ่มกากอาหาร): ข้อนี้ไม่ใช่คำตอบที่ถูกต้องสำหรับภาวะ Diarrhea &amp; Constipation เนื่องจากกลไกการออกฤทธิ์, efficacy หรือข้อบ่งใช้ไม่ตรงกับโจทย์ที่กำหนด
• ข้อ ค. (ให้ยาเพิ่มความแข็งแรงของหลอดเลือด): ข้อนี้ไม่ใช่คำตอบที่ถูกต้องสำหรับภาวะ Diarrhea &amp; Constipation เนื่องจากกลไกการออกฤทธิ์, efficacy หรือข้อบ่งใช้ไม่ตรงกับโจทย์ที่กำหนด
• ข้อ จ. (นั่งแช่น้ำอุ่นที่ผสมด่างทับทิม 15-30 นาที วันละ 2-3 ครั้ง):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2" t="n"/>
      <c r="L72" s="2" t="inlineStr">
        <is>
          <t>Diarrhea &amp; Constipation</t>
        </is>
      </c>
      <c r="M72" s="2" t="inlineStr">
        <is>
          <t>Clinic</t>
        </is>
      </c>
      <c r="N72" s="2" t="inlineStr">
        <is>
          <t>ข้อ 70 Pharma Plus เล่มม่วง (เฉลยข้อ ง)</t>
        </is>
      </c>
      <c r="O72" s="2" t="inlineStr">
        <is>
          <t>Mock</t>
        </is>
      </c>
      <c r="P72" s="2" t="inlineStr">
        <is>
          <t>Pharma Plus เล่มม่วง</t>
        </is>
      </c>
    </row>
    <row r="73" ht="13.2" customHeight="1" s="37">
      <c r="A73" s="8" t="inlineStr">
        <is>
          <t>71</t>
        </is>
      </c>
      <c r="B73" s="2"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ข้อใดผิดเกี่ยวกับการให้คำแนะนำในการใช้ยาเหน็บริดสีดวงทวาร</t>
        </is>
      </c>
      <c r="C73" s="2" t="n"/>
      <c r="D73" s="2" t="inlineStr">
        <is>
          <t>ก่อนเหน็บยาต้องให้อุณหภูมิยาเหน็บเท่ากับอุณหภูมิของร่างกาย</t>
        </is>
      </c>
      <c r="E73" s="2" t="inlineStr">
        <is>
          <t>ก่อนแกะยาออกจากห่อ ควรล้างมือให้สะอาด</t>
        </is>
      </c>
      <c r="F73" s="2" t="inlineStr">
        <is>
          <t>การสอดยาเหน็บ ต้องนอนตะแคงเหยียดขาที่อยู่ด้านล่างออกและงอขาที่อยู่ด้านบนชิดหน้าอก</t>
        </is>
      </c>
      <c r="G73" s="2" t="inlineStr">
        <is>
          <t>การสอดยาเหน็บ ต้องค่อยๆใช้นิ้วดันให้ยาเข้าไปลึกที่สุด</t>
        </is>
      </c>
      <c r="H73" s="2" t="inlineStr">
        <is>
          <t>เมื่อสอดยาเหน็บแล้วต้องนอนในท่าเดิมต่อ 15 นาที เพื่อให้ยาละลายหมด</t>
        </is>
      </c>
      <c r="I73" s="8" t="inlineStr">
        <is>
          <t>4</t>
        </is>
      </c>
      <c r="J73" s="2" t="inlineStr">
        <is>
          <t>✅ คำตอบที่ถูกต้อง: ข้อ ง. การสอดยาเหน็บ ต้องค่อยๆใช้นิ้วดันให้ยาเข้าไปลึกที่สุด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การสอดยาเหน็บ ต้องค่อยๆใช้นิ้วดันให้ยาเข้าไปลึกที่สุด การสอดยาเหน็บทางทวารหนักควรดันยาให้ล้นผ่านหูรูดทวารหนัก (anal sphincter) เข้าไปประมาณ 1 นิ้วสำหรับผู้ใหญ่ เพื่อไม่ให้ยาหลุดออกมา ไม่จำเป็นต้องดันไปจนลึกที่สุดเพราะอาจทำให้ยาเคลื่อนที่ผิดตำแหน่งได้ และการเก็บรักษาก่อนใช้ควรเก็บในที่เย็นเพื่อให้ยาคงรูป ไม่จำเป็นต้องทำให้อุณหภูมิเท่าร่างกายก่อน
🔍 ข้ออื่นผิดเพราะอะไร:
• ข้อ ก. (ก่อนเหน็บยาต้องให้อุณหภูมิยาเหน็บเท่ากับอุณหภูมิของร่างกาย): ข้อนี้ไม่ใช่คำตอบที่ถูกต้องสำหรับภาวะ Diarrhea &amp; Constipation เนื่องจากกลไกการออกฤทธิ์, efficacy หรือข้อบ่งใช้ไม่ตรงกับโจทย์ที่กำหนด
• ข้อ ข. (ก่อนแกะยาออกจากห่อ ควรล้างมือให้สะอาด): ข้อนี้ไม่ใช่คำตอบที่ถูกต้องสำหรับภาวะ Diarrhea &amp; Constipation เนื่องจากกลไกการออกฤทธิ์, efficacy หรือข้อบ่งใช้ไม่ตรงกับโจทย์ที่กำหนด
• ข้อ ค. (การสอดยาเหน็บ ต้องนอนตะแคงเหยียดขาที่อยู่ด้านล่างออกและงอขาที่อยู่ด้านบนชิดหน้าอก): ข้อนี้ไม่ใช่คำตอบที่ถูกต้องสำหรับภาวะ Diarrhea &amp; Constipation เนื่องจากกลไกการออกฤทธิ์, efficacy หรือข้อบ่งใช้ไม่ตรงกับโจทย์ที่กำหนด
• ข้อ จ. (เมื่อสอดยาเหน็บแล้วต้องนอนในท่าเดิมต่อ 15 นาที เพื่อให้ยาละลายหมด):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3" s="2" t="n"/>
      <c r="L73" s="2" t="inlineStr">
        <is>
          <t>Diarrhea &amp; Constipation</t>
        </is>
      </c>
      <c r="M73" s="2" t="inlineStr">
        <is>
          <t>Clinic</t>
        </is>
      </c>
      <c r="N73" s="2" t="inlineStr">
        <is>
          <t>ข้อ 71 Pharma Plus เล่มม่วง (เฉลยข้อ ง)</t>
        </is>
      </c>
      <c r="O73" s="2" t="inlineStr">
        <is>
          <t>Mock</t>
        </is>
      </c>
      <c r="P73" s="2" t="inlineStr">
        <is>
          <t>Pharma Plus เล่มม่วง</t>
        </is>
      </c>
    </row>
    <row r="74" ht="13.2" customHeight="1" s="37">
      <c r="A74" s="8" t="inlineStr">
        <is>
          <t>72</t>
        </is>
      </c>
      <c r="B74" s="2" t="inlineStr">
        <is>
          <t>ข้อใดคือกลไกการออกฤทธิ์ของยา diosmin</t>
        </is>
      </c>
      <c r="C74" s="2" t="n"/>
      <c r="D74" s="2" t="inlineStr">
        <is>
          <t>Increase venous tone</t>
        </is>
      </c>
      <c r="E74" s="2" t="inlineStr">
        <is>
          <t>Decrease venous return</t>
        </is>
      </c>
      <c r="F74" s="2" t="inlineStr">
        <is>
          <t>Decrease vasoconstriction</t>
        </is>
      </c>
      <c r="G74" s="2" t="inlineStr">
        <is>
          <t>Increase lymphatic drainage</t>
        </is>
      </c>
      <c r="H74" s="2" t="inlineStr">
        <is>
          <t>Decrease hyperpermeability capillary</t>
        </is>
      </c>
      <c r="I74" s="8" t="inlineStr">
        <is>
          <t>1</t>
        </is>
      </c>
      <c r="J74" s="2" t="inlineStr">
        <is>
          <t>✅ คำตอบที่ถูกต้อง: ข้อ ก. Increase venous tone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Increase venous tone Diosmin เป็นยา venotonic drug ที่นิยมใช้รักษาโรคริดสีดวงทวาร โดยกลไกหลักคือเพิ่ม tone ของหลอดเลือดดำ (increase venous tone), ลดการคั่งของเลือด, เพิ่มการระบายน้ำเหลือง (increase lymphatic drainage) และลดการซึมผ่านของเส้นเลือดฝอย (decrease capillary hyperpermeability) แต่ข้อ 2 ผิดเพราะยาต้องเพิ่ม venous return ไม่ใช่ลด และข้อ 3 ผิดเพราะยาเพิ่มการหดตัวของหลอดเลือด ไม่ใช่ลด
🔍 ข้ออื่นผิดเพราะอะไร:
• ข้อ ข. (Decrease venous return): ข้อนี้ไม่ใช่คำตอบที่ถูกต้องสำหรับภาวะ GERD เนื่องจากกลไกการออกฤทธิ์, efficacy หรือข้อบ่งใช้ไม่ตรงกับโจทย์ที่กำหนด
• ข้อ ค. (Decrease vasoconstriction): ข้อนี้ไม่ใช่คำตอบที่ถูกต้องสำหรับภาวะ GERD เนื่องจากกลไกการออกฤทธิ์, efficacy หรือข้อบ่งใช้ไม่ตรงกับโจทย์ที่กำหนด
• ข้อ ง. (Increase lymphatic drainage): ข้อนี้ไม่ใช่คำตอบที่ถูกต้องสำหรับภาวะ GERD เนื่องจากกลไกการออกฤทธิ์, efficacy หรือข้อบ่งใช้ไม่ตรงกับโจทย์ที่กำหนด
• ข้อ จ. (Decrease hyperpermeability capillary):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 s="2" t="n"/>
      <c r="L74" s="2" t="inlineStr">
        <is>
          <t>GERD</t>
        </is>
      </c>
      <c r="M74" s="2" t="inlineStr">
        <is>
          <t>Clinic</t>
        </is>
      </c>
      <c r="N74" s="2" t="inlineStr">
        <is>
          <t>ข้อ 72 Pharma Plus เล่มม่วง (เฉลยข้อ ก)</t>
        </is>
      </c>
      <c r="O74" s="2" t="inlineStr">
        <is>
          <t>Mock</t>
        </is>
      </c>
      <c r="P74" s="2" t="inlineStr">
        <is>
          <t>Pharma Plus เล่มม่วง</t>
        </is>
      </c>
    </row>
    <row r="75" ht="13.2" customHeight="1" s="37">
      <c r="A75" s="8" t="inlineStr">
        <is>
          <t>73</t>
        </is>
      </c>
      <c r="B75" s="2" t="inlineStr">
        <is>
          <t>ข้อใดไม่ใช่อาการข้างเคียงของยา ferrous fumarate</t>
        </is>
      </c>
      <c r="C75" s="2" t="n"/>
      <c r="D75" s="2" t="inlineStr">
        <is>
          <t>Diarrhea</t>
        </is>
      </c>
      <c r="E75" s="2" t="inlineStr">
        <is>
          <t>ตับอักเสบ</t>
        </is>
      </c>
      <c r="F75" s="2" t="inlineStr">
        <is>
          <t>ท้องผูก</t>
        </is>
      </c>
      <c r="G75" s="2" t="inlineStr">
        <is>
          <t>Gl disturbance</t>
        </is>
      </c>
      <c r="H75" s="2" t="inlineStr">
        <is>
          <t>Dark urine</t>
        </is>
      </c>
      <c r="I75" s="8" t="inlineStr">
        <is>
          <t>2</t>
        </is>
      </c>
      <c r="J75" s="2" t="inlineStr">
        <is>
          <t>✅ คำตอบที่ถูกต้อง: ข้อ ข. ตับอักเสบ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ตับอักเสบ Ferrous fumarate เป็นเกลือธาตุเหล็กรับประทานเพื่อรักษาภาวะโลหิตจาง อาการข้างเคียงที่พบบ่อยได้แก่ อาการทางระบบทางเดินอาหาร (GI disturbance) เช่น ท้องผูก (Constipation) หรือท้องเสีย (Diarrhea) และอุจจาระหรือปัสสาวะมีสีดำคล้ำ (Dark urine/stool) ส่วนตับอักเสบ (Hepatitis) ไม่ใช่ผลข้างเคียงปกติจากการใช้ยาในขนาดรักษา
🔍 ข้ออื่นผิดเพราะอะไร:
• ข้อ ก. (Diarrhea): ข้อนี้ไม่ใช่คำตอบที่ถูกต้องสำหรับภาวะ GERD เนื่องจากกลไกการออกฤทธิ์, efficacy หรือข้อบ่งใช้ไม่ตรงกับโจทย์ที่กำหนด
• ข้อ ค. (ท้องผูก): ข้อนี้ไม่ใช่คำตอบที่ถูกต้องสำหรับภาวะ GERD เนื่องจากกลไกการออกฤทธิ์, efficacy หรือข้อบ่งใช้ไม่ตรงกับโจทย์ที่กำหนด
• ข้อ ง. (Gl disturbance): ข้อนี้ไม่ใช่คำตอบที่ถูกต้องสำหรับภาวะ GERD เนื่องจากกลไกการออกฤทธิ์, efficacy หรือข้อบ่งใช้ไม่ตรงกับโจทย์ที่กำหนด
• ข้อ จ. (Dark urine):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2" t="n"/>
      <c r="L75" s="2" t="inlineStr">
        <is>
          <t>GERD</t>
        </is>
      </c>
      <c r="M75" s="2" t="inlineStr">
        <is>
          <t>Clinic</t>
        </is>
      </c>
      <c r="N75" s="2" t="inlineStr">
        <is>
          <t>ข้อ 73 Pharma Plus เล่มม่วง (เฉลยข้อ ข)</t>
        </is>
      </c>
      <c r="O75" s="2" t="inlineStr">
        <is>
          <t>Mock</t>
        </is>
      </c>
      <c r="P75" s="2" t="inlineStr">
        <is>
          <t>Pharma Plus เล่มม่วง</t>
        </is>
      </c>
    </row>
    <row r="76" ht="13.2" customHeight="1" s="37">
      <c r="A76" s="8" t="inlineStr">
        <is>
          <t>74</t>
        </is>
      </c>
      <c r="B76" s="2" t="inlineStr">
        <is>
          <t>ถ่าท่านเป็นเภสัชกรท่านจะแนะนำสมุนไพรใดให้ผู้ป่วย</t>
        </is>
      </c>
      <c r="C76" s="2" t="n"/>
      <c r="D76" s="2" t="inlineStr">
        <is>
          <t>มะขามแขก</t>
        </is>
      </c>
      <c r="E76" s="2" t="inlineStr">
        <is>
          <t>เพชรสังฆาต</t>
        </is>
      </c>
      <c r="F76" s="2" t="inlineStr">
        <is>
          <t>ว่านหางจระเข้</t>
        </is>
      </c>
      <c r="G76" s="2" t="inlineStr">
        <is>
          <t>น้ำมันละหุ่ง</t>
        </is>
      </c>
      <c r="H76" s="2" t="inlineStr">
        <is>
          <t>มะรุม</t>
        </is>
      </c>
      <c r="I76" s="8" t="inlineStr">
        <is>
          <t>2</t>
        </is>
      </c>
      <c r="J76" s="2" t="inlineStr">
        <is>
          <t>✅ คำตอบที่ถูกต้อง: ข้อ ข. เพชรสังฆาต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เพชรสังฆาต (Cissus quadrangularis) เป็นสมุนไพรที่มีข้อบ่งใช้ในบัญชียาหลักแห่งชาติสำหรับบรรเทาอาการริดสีดวงทวารหนัก ลดอาการอักเสบและช่วยบรรเทาอาการปวด บวม เลือดออก
🔍 ข้ออื่นผิดเพราะอะไร:
• ข้อ ก. (มะขามแขก): ข้อนี้ไม่ใช่คำตอบที่ถูกต้องสำหรับภาวะ GERD เนื่องจากกลไกการออกฤทธิ์, efficacy หรือข้อบ่งใช้ไม่ตรงกับโจทย์ที่กำหนด
• ข้อ ค. (ว่านหางจระเข้): ข้อนี้ไม่ใช่คำตอบที่ถูกต้องสำหรับภาวะ GERD เนื่องจากกลไกการออกฤทธิ์, efficacy หรือข้อบ่งใช้ไม่ตรงกับโจทย์ที่กำหนด
• ข้อ ง. (น้ำมันละหุ่ง): ข้อนี้ไม่ใช่คำตอบที่ถูกต้องสำหรับภาวะ GERD เนื่องจากกลไกการออกฤทธิ์, efficacy หรือข้อบ่งใช้ไม่ตรงกับโจทย์ที่กำหนด
• ข้อ จ. (มะรุม):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2" t="n"/>
      <c r="L76" s="2" t="inlineStr">
        <is>
          <t>GERD</t>
        </is>
      </c>
      <c r="M76" s="2" t="inlineStr">
        <is>
          <t>Clinic</t>
        </is>
      </c>
      <c r="N76" s="2" t="inlineStr">
        <is>
          <t>ข้อ 74 Pharma Plus เล่มม่วง (เฉลยข้อ ข)</t>
        </is>
      </c>
      <c r="O76" s="2" t="inlineStr">
        <is>
          <t>Mock</t>
        </is>
      </c>
      <c r="P76" s="2" t="inlineStr">
        <is>
          <t>Pharma Plus เล่มม่วง</t>
        </is>
      </c>
    </row>
    <row r="77" ht="13.2" customHeight="1" s="37">
      <c r="A77" s="8" t="inlineStr">
        <is>
          <t>1</t>
        </is>
      </c>
      <c r="B77" s="2"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77" s="2" t="n"/>
      <c r="D77" s="2" t="inlineStr">
        <is>
          <t>Ondansetron และ Levofloxacin ทำปฏิกิริยากัน เกิดการแย่งจับกับโปรตีนในพลาสมาอย่างรุนแรง</t>
        </is>
      </c>
      <c r="E77" s="2" t="inlineStr">
        <is>
          <t>Activated Charcoal เข้าจับและดูดซับ Levofloxacin ในระบบทางเดินอาหาร ส่งผลให้ระดับยาในเลือดของ Levofloxacin ลดลงอย่างมีนัยสำคัญ</t>
        </is>
      </c>
      <c r="F77" s="2" t="inlineStr">
        <is>
          <t>ORS ทำให้ความเป็นกรดในกระเพาะอาหารลดลง ส่งผลให้ Levofloxacin ไม่สามารถละลายตัวและดูดซึมได้</t>
        </is>
      </c>
      <c r="G77" s="2" t="inlineStr">
        <is>
          <t>Activated Charcoal เร่งการขจัดยา Levofloxacin ออกทางปัสสาวะผ่านกระบวนการ active secretion</t>
        </is>
      </c>
      <c r="H77" s="2" t="inlineStr">
        <is>
          <t>Ondansetron ลดการบีบตัวของกระเพาะอาหาร ทำให้ Levofloxacin ค้างอยู่ในกระเพาะนานจนยาเสื่อมสภาพ</t>
        </is>
      </c>
      <c r="I77" s="8" t="inlineStr">
        <is>
          <t>2</t>
        </is>
      </c>
      <c r="J77" s="2"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Activated Charcoal เข้าจับและดูดซับ Levofloxacin ในระบบทางเดินอาหาร ส่งผลให้ระดับยาในเลือดของ Levofloxacin ลดลงอย่างมีนัยสำคัญ Activated Charcoal มีคุณสมบัติเป็น Non-specific adsorbent ที่มีพื้นที่ผิวสูงมากในการดูดซับสารเคมีและโมเลกุลยาในทางเดินอาหาร หากให้ร่วมกับยาปฏิชีวนะ Levofloxacin ผงถ่านจะเข้าจับและดูดซับตัวยาปฏิชีวนะไว้ ทำให้การดูดซึมเข้าสู่กระแสเลือดลดลงอย่างมีนัยสำคัญ นำไปสู่ความล้มเหลวในการรักษา (Treatment failure) หากจำเป็นต้องใช้ ควรเว้นระยะห่างในการรับประทานอย่างน้อย 2-4 ชั่วโมง
🔍 ข้ออื่นผิดเพราะอะไร:
• ข้อ ก. (Ondansetron และ Levofloxacin ทำปฏิกิริยากัน เกิดการแย่งจับกับโปรตีนในพลาสมาอย่างรุนแรง): เป็น Respiratory Fluoroquinolone ครอบคลุมทั้ง Streptococcus pneumoniae, atypicals และ Pseudomonas aeruginosa ใช้รักษา CAP, complicated UTI
• ข้อ ค. (ORS ทำให้ความเป็นกรดในกระเพาะอาหารลดลง ส่งผลให้ Levofloxacin ไม่สามารถละลายตัวและดูดซึมได้): เป็น Respiratory Fluoroquinolone ครอบคลุมทั้ง Streptococcus pneumoniae, atypicals และ Pseudomonas aeruginosa ใช้รักษา CAP, complicated UTI
• ข้อ ง. (Activated Charcoal เร่งการขจัดยา Levofloxacin ออกทางปัสสาวะผ่านกระบวนการ active secretion): เป็น Respiratory Fluoroquinolone ครอบคลุมทั้ง Streptococcus pneumoniae, atypicals และ Pseudomonas aeruginosa ใช้รักษา CAP, complicated UTI
• ข้อ จ. (Ondansetron ลดการบีบตัวของกระเพาะอาหาร ทำให้ Levofloxacin ค้างอยู่ในกระเพาะนานจนยาเสื่อมสภาพ):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7" s="2" t="n"/>
      <c r="L77" s="2" t="inlineStr">
        <is>
          <t>Diarrhea &amp; Constipation</t>
        </is>
      </c>
      <c r="M77" s="2" t="inlineStr">
        <is>
          <t>Clinic</t>
        </is>
      </c>
      <c r="N77" s="2" t="inlineStr">
        <is>
          <t>ข้อ 1.1 Mock GI RxCU84</t>
        </is>
      </c>
      <c r="O77" s="2" t="inlineStr">
        <is>
          <t>Mock</t>
        </is>
      </c>
      <c r="P77" s="2" t="inlineStr">
        <is>
          <t>Mock RxCU84</t>
        </is>
      </c>
    </row>
    <row r="78" ht="13.2" customHeight="1" s="37">
      <c r="A78" s="8" t="inlineStr">
        <is>
          <t>2</t>
        </is>
      </c>
      <c r="B78" s="2"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อยากทราบว่าใครสามารถอธิบายเหตุผลได้อย่างถูกต้องที่สุด?</t>
        </is>
      </c>
      <c r="C78" s="2" t="n"/>
      <c r="D78" s="2" t="inlineStr">
        <is>
          <t>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78" s="2" t="inlineStr">
        <is>
          <t>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t>
        </is>
      </c>
      <c r="F78" s="2" t="inlineStr">
        <is>
          <t>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t>
        </is>
      </c>
      <c r="G78" s="2" t="inlineStr">
        <is>
          <t>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78" s="2" t="inlineStr">
        <is>
          <t>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t>
        </is>
      </c>
      <c r="I78" s="8" t="inlineStr">
        <is>
          <t>2</t>
        </is>
      </c>
      <c r="J78" s="2" t="inlineStr">
        <is>
          <t>✅ คำตอบที่ถูกต้อง: ข้อ ข.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เกลือแร่สำหรับอาการท้องเสีย (Oral Rehydration Salts: ORS) ถูกออกแบบมาให้มีสัดส่วนของ Glucose และ Sodium ที่เหมาะสม (Hypotonic/Osmolarity ~245 mOsm/L) เพื่อส่งเสริมการดูดซึมน้ำและเกลือแร่ผ่านทาง SGLT-1 transporter ที่เยื่อบุลำไส้ ขณะที่เครื่องดื่มเกลือแร่ออกกำลังกาย (Sport drinks) หรือน้ำอัดลมมีปริมาณน้ำตาล (Carbohydrate) สูงมากและเป็น Hypertonic solution จะก่อให้เกิด Osmotic effect ดึงน้ำจากกระแสเลือดและเนื้อเยื่อเข้าสู่โพรงลำไส้ ส่งผลกระตุ้นให้ลำไส้บีบตัวและเกิดอาการถ่ายเหลวรุนแรงขึ้น (Osmotic diarrhea)
🔍 ข้ออื่นผิดเพราะอะไร:
• ข้อ ก. (ซาคากุจิ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 ข้อนี้ไม่ใช่คำตอบที่ถูกต้องสำหรับภาวะ Diarrhea &amp; Constipation เนื่องจากกลไกการออกฤทธิ์, efficacy หรือข้อบ่งใช้ไม่ตรงกับโจทย์ที่กำหนด
• ข้อ ค. (อิชิบาชิ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 ข้อนี้ไม่ใช่คำตอบที่ถูกต้องสำหรับภาวะ Diarrhea &amp; Constipation เนื่องจากกลไกการออกฤทธิ์, efficacy หรือข้อบ่งใช้ไม่ตรงกับโจทย์ที่กำหนด
• ข้อ ง. (ทาจิบานะ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 ข้อนี้ไม่ใช่คำตอบที่ถูกต้องสำหรับภาวะ Diarrhea &amp; Constipation เนื่องจากกลไกการออกฤทธิ์, efficacy หรือข้อบ่งใช้ไม่ตรงกับโจทย์ที่กำหนด
• ข้อ จ. (ไค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2" t="n"/>
      <c r="L78" s="2" t="inlineStr">
        <is>
          <t>Diarrhea &amp; Constipation</t>
        </is>
      </c>
      <c r="M78" s="2" t="inlineStr">
        <is>
          <t>Clinic</t>
        </is>
      </c>
      <c r="N78" s="2" t="inlineStr">
        <is>
          <t>ข้อ 1.2 Mock GI RxCU84</t>
        </is>
      </c>
      <c r="O78" s="2" t="inlineStr">
        <is>
          <t>Mock</t>
        </is>
      </c>
      <c r="P78" s="2" t="inlineStr">
        <is>
          <t>Mock RxCU84</t>
        </is>
      </c>
    </row>
    <row r="79" ht="13.2" customHeight="1" s="37">
      <c r="A79" s="8" t="inlineStr">
        <is>
          <t>3</t>
        </is>
      </c>
      <c r="B79" s="2"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และเสี่ยงต่อการเกิดการเต้นของหัวใจที่ผิดปกติรุนแรง (Torsades de Pointes) ที่ต้องระมัดระวังเป็นพิเศษ?</t>
        </is>
      </c>
      <c r="C79" s="2" t="n"/>
      <c r="D79" s="2" t="inlineStr">
        <is>
          <t>Levofloxacin และ ORS</t>
        </is>
      </c>
      <c r="E79" s="2" t="inlineStr">
        <is>
          <t>Ondansetron และ Activated Charcoal</t>
        </is>
      </c>
      <c r="F79" s="2" t="inlineStr">
        <is>
          <t>Levofloxacin และ Ondansetron</t>
        </is>
      </c>
      <c r="G79" s="2" t="inlineStr">
        <is>
          <t>Activated Charcoal และ ORS</t>
        </is>
      </c>
      <c r="H79" s="2" t="inlineStr">
        <is>
          <t>Levofloxacin และ Activated Charcoal</t>
        </is>
      </c>
      <c r="I79" s="8" t="inlineStr">
        <is>
          <t>3</t>
        </is>
      </c>
      <c r="J79" s="2" t="inlineStr">
        <is>
          <t>✅ คำตอบที่ถูกต้อง: ข้อ ค. Levofloxacin และ Ondansetron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Levofloxacin และ Ondansetron ทั้งยาปฏิชีวนะกลุ่ม Fluoroquinolones (เช่น Levofloxacin) และยาต้านอาเจียนกลุ่ม 5-HT3 receptor antagonists (เช่น Ondansetron) ต่างมีฤทธิ์ยับยั้งช่องโพแทสเซียม hERG / IKr cardiac potassium channels ซึ่งรบกวนกระบวนการ Repolarization ของกล้ามเนื้อหัวใจ ส่งผลให้คลื่นไฟฟ้าหัวใจช่วง QT ยาวขึ้น (QTc prolongation) การใช้ยาร่วมกันทั้งสองตัวจึงมีผลเสริมฤทธิ์ (Synergistic effect) เพิ่มความเสี่ยงต่อการเกิดภาวะหัวใจเต้นผิดจังหวะชนิดอันตรายถึงแก่ชีวิต (Torsades de Pointes: TdP)
🔍 ข้ออื่นผิดเพราะอะไร:
• ข้อ ก. (Levofloxacin และ ORS): เป็น Respiratory Fluoroquinolone ครอบคลุมทั้ง Streptococcus pneumoniae, atypicals และ Pseudomonas aeruginosa ใช้รักษา CAP, complicated UTI
• ข้อ ข. (Ondansetron และ Activated Charcoal): เป็น 5-HT3 receptor antagonist เป็น first-line antiemetic สำหรับ chemotherapy-induced nausea and vomiting (CINV) และ post-operative nausea/vomiting แต่ทำให้ท้องผูก
• ข้อ ง. (Activated Charcoal และ ORS): ข้อนี้ไม่ใช่คำตอบที่ถูกต้องสำหรับภาวะ Diarrhea &amp; Constipation เนื่องจากกลไกการออกฤทธิ์, efficacy หรือข้อบ่งใช้ไม่ตรงกับโจทย์ที่กำหนด
• ข้อ จ. (Levofloxacin และ Activated Charcoal):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2" t="n"/>
      <c r="L79" s="2" t="inlineStr">
        <is>
          <t>Diarrhea &amp; Constipation</t>
        </is>
      </c>
      <c r="M79" s="2" t="inlineStr">
        <is>
          <t>Clinic</t>
        </is>
      </c>
      <c r="N79" s="2" t="inlineStr">
        <is>
          <t>ข้อ 1.3 Mock GI RxCU84</t>
        </is>
      </c>
      <c r="O79" s="2" t="inlineStr">
        <is>
          <t>Mock</t>
        </is>
      </c>
      <c r="P79" s="2" t="inlineStr">
        <is>
          <t>Mock RxCU84</t>
        </is>
      </c>
    </row>
    <row r="80" ht="13.2" customHeight="1" s="37">
      <c r="A80" s="8" t="inlineStr">
        <is>
          <t>4</t>
        </is>
      </c>
      <c r="B80" s="2"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80" s="2" t="n"/>
      <c r="D80" s="2" t="inlineStr">
        <is>
          <t>เปลี่ยน Levofloxacin เป็น Norfloxacin 400 mg รับประทานวันละ 2 ครั้ง นาน 3 วัน</t>
        </is>
      </c>
      <c r="E80" s="2" t="inlineStr">
        <is>
          <t>เปลี่ยน Levofloxacin เป็น Azithromycin 1,000 mg รับประทานครั้งเดียว หรือ 500 mg วันละครั้ง นาน 3 วัน</t>
        </is>
      </c>
      <c r="F80" s="2" t="inlineStr">
        <is>
          <t>เปลี่ยน Levofloxacin เป็น Doxycycline 100 mg รับประทานวันละ 2 ครั้ง นาน 3 วัน</t>
        </is>
      </c>
      <c r="G80" s="2" t="inlineStr">
        <is>
          <t>คงการใช้ Levofloxacin ไว้ตามเดิม เนื่องจากยามีความปลอดภัยสูงในหญิงตั้งครรภ์ทุกไตรมาส</t>
        </is>
      </c>
      <c r="H80" s="2" t="inlineStr">
        <is>
          <t>เปลี่ยน Levofloxacin เป็น Ciprofloxacin 500 mg รับประทานวันละ 2 ครั้ง นาน 3 วัน</t>
        </is>
      </c>
      <c r="I80" s="8" t="inlineStr">
        <is>
          <t>2</t>
        </is>
      </c>
      <c r="J80" s="2"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เปลี่ยน Levofloxacin เป็น Azithromycin 1,000 mg รับประทานครั้งเดียว หรือ 500 mg วันละครั้ง นาน 3 วัน ยากลุ่ม Fluoroquinolones (เช่น Levofloxacin, Ciprofloxacin, Norfloxacin) มี contraindication ในสตรีมีครรภ์เนื่องจากมีความเสี่ยงต่อ Cartilage toxicity และ Arthropathy ในทารก ส่วน Doxycycline ขัดขวางการสร้างกระดูกและทำให้ฟันมีสีคล้ำถาวร (Tooth discoloration) ตาม
🔍 ข้ออื่นผิดเพราะอะไร:
• ข้อ ก. (เปลี่ยน Levofloxacin เป็น Norfloxacin 400 mg รับประทานวันละ 2 ครั้ง นาน 3 วัน): เป็น Respiratory Fluoroquinolone ครอบคลุมทั้ง Streptococcus pneumoniae, atypicals และ Pseudomonas aeruginosa ใช้รักษา CAP, complicated UTI
• ข้อ ค. (เปลี่ยน Levofloxacin เป็น Doxycycline 100 mg รับประทานวันละ 2 ครั้ง นาน 3 วัน): เป็น Respiratory Fluoroquinolone ครอบคลุมทั้ง Streptococcus pneumoniae, atypicals และ Pseudomonas aeruginosa ใช้รักษา CAP, complicated UTI
• ข้อ ง. (คงการใช้ Levofloxacin ไว้ตามเดิม เนื่องจากยามีความปลอดภัยสูงในหญิงตั้งครรภ์ทุกไตรมาส): เป็น Respiratory Fluoroquinolone ครอบคลุมทั้ง Streptococcus pneumoniae, atypicals และ Pseudomonas aeruginosa ใช้รักษา CAP, complicated UTI
• ข้อ จ. (เปลี่ยน Levofloxacin เป็น Ciprofloxacin 500 mg รับประทานวันละ 2 ครั้ง นาน 3 วัน):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2" t="n"/>
      <c r="L80" s="2" t="inlineStr">
        <is>
          <t>Diarrhea &amp; Constipation</t>
        </is>
      </c>
      <c r="M80" s="2" t="inlineStr">
        <is>
          <t>Clinic</t>
        </is>
      </c>
      <c r="N80" s="2" t="inlineStr">
        <is>
          <t>ข้อ 1.4 Mock GI RxCU84</t>
        </is>
      </c>
      <c r="O80" s="2" t="inlineStr">
        <is>
          <t>Mock</t>
        </is>
      </c>
      <c r="P80" s="2" t="inlineStr">
        <is>
          <t>Mock RxCU84</t>
        </is>
      </c>
    </row>
    <row r="81" ht="13.2" customHeight="1" s="37">
      <c r="A81" s="8" t="inlineStr">
        <is>
          <t>5</t>
        </is>
      </c>
      <c r="B81" s="2"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81" s="2" t="n"/>
      <c r="D81" s="2" t="inlineStr">
        <is>
          <t>เหมาะสม เนื่องจากผู้ป่วยถ่ายบ่อยถึง 6 ครั้ง บ่งชี้ว่าร่างกายได้รับการติดเชื้อแบคทีเรียรุนแรง</t>
        </is>
      </c>
      <c r="E81" s="2"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81" s="2" t="inlineStr">
        <is>
          <t>เหมาะสม แต่ควรเปลี่ยนเป็นกลุ่ม Fluoroquinolones เช่น Norfloxacin เนื่องจากมีสเปกตรัมแคบกว่า</t>
        </is>
      </c>
      <c r="G81" s="2" t="inlineStr">
        <is>
          <t>เหมาะสม เนื่องจากยา Amoxicillin/Clavulanate ช่วยลดการหลั่งสารน้ำในเยื่อบุลำไส้ได้ดี</t>
        </is>
      </c>
      <c r="H81" s="2" t="inlineStr">
        <is>
          <t>ไม่เหมาะสม เนื่องจากยา Amoxicillin/Clavulanate สามารถผ่านรกไปทำอันตรายต่อทารกในครรภ์ได้อย่างรุนแรง (FDA Category X)</t>
        </is>
      </c>
      <c r="I81" s="8" t="inlineStr">
        <is>
          <t>2</t>
        </is>
      </c>
      <c r="J81" s="2"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ผู้ป่วยไม่มีไข้ อุจจาระไม่มีมูกเลือด และไม่มีภาวะขาดน้ำรุนแรง เข้าได้กับภาวะ Non-inflammatory (Watery) diarrhea หรือภาวะอาหารเป็นพิษจาก Enterotoxin/Viral gastroenteritis ซึ่งเป็นภาวะที่หายได้เอง (Self-limiting) การรักษาหลักคือการชดเชยสารน้ำและเกลือแร่ (Rehydration) ไม่มีความจำเป็นต้องใช้ยาปฏิชีวนะ การใช้ Amoxicillin/Clavulanate ไม่ช่วยให้อาการหายเร็วขึ้น อีกทั้งยังเพิ่มความเสี่ยงเชื้อดื้อยาและผลข้างเคียงจากยา
🔍 ข้ออื่นผิดเพราะอะไร:
• ข้อ ก. (เหมาะสม เนื่องจากผู้ป่วยถ่ายบ่อยถึง 6 ครั้ง บ่งชี้ว่าร่างกายได้รับการติดเชื้อแบคทีเรียรุนแรง): ข้อนี้ไม่ใช่คำตอบที่ถูกต้องสำหรับภาวะ Dyspepsia &amp; PUD เนื่องจากกลไกการออกฤทธิ์, efficacy หรือข้อบ่งใช้ไม่ตรงกับโจทย์ที่กำหนด
• ข้อ ค. (เหมาะสม แต่ควรเปลี่ยนเป็นกลุ่ม Fluoroquinolones เช่น Norfloxacin เนื่องจากมีสเปกตรัมแคบกว่า): ข้อนี้ไม่ใช่คำตอบที่ถูกต้องสำหรับภาวะ Dyspepsia &amp; PUD เนื่องจากกลไกการออกฤทธิ์, efficacy หรือข้อบ่งใช้ไม่ตรงกับโจทย์ที่กำหนด
• ข้อ ง. (เหมาะสม เนื่องจากยา Amoxicillin/Clavulanate ช่วยลดการหลั่งสารน้ำในเยื่อบุลำไส้ได้ดี): เป็น Aminopenicillin ยับยั้ง bacterial cell wall synthesis เป็น first-line สำหรับ uncomplicated bacterial infections (เช่น Strep pharyngitis, AOM, sinusitis)
• ข้อ จ. (ไม่เหมาะสม เนื่องจากยา Amoxicillin/Clavulanate สามารถผ่านรกไปทำอันตรายต่อทารกในครรภ์ได้อย่างรุนแรง (FDA Category X)):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2" t="n"/>
      <c r="L81" s="2" t="inlineStr">
        <is>
          <t>Dyspepsia &amp; PUD</t>
        </is>
      </c>
      <c r="M81" s="2" t="inlineStr">
        <is>
          <t>Clinic</t>
        </is>
      </c>
      <c r="N81" s="2" t="inlineStr">
        <is>
          <t>ข้อ 2.1 Mock GI RxCU84</t>
        </is>
      </c>
      <c r="O81" s="2" t="inlineStr">
        <is>
          <t>Mock</t>
        </is>
      </c>
      <c r="P81" s="2" t="inlineStr">
        <is>
          <t>Mock RxCU84</t>
        </is>
      </c>
    </row>
    <row r="82" ht="13.2" customHeight="1" s="37">
      <c r="A82" s="8" t="inlineStr">
        <is>
          <t>6</t>
        </is>
      </c>
      <c r="B82" s="2"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82" s="2" t="n"/>
      <c r="D82" s="2" t="inlineStr">
        <is>
          <t>ตัวยา Clavulanate จะเร่งกระบวนการทำลายเยื่อบุกระเพาะอาหารโดยตรง เกิดแผลในกระเพาะอาหารฉับพลัน</t>
        </is>
      </c>
      <c r="E82" s="2" t="inlineStr">
        <is>
          <t>ยาจะทำให้เกิดการยับยั้งการหลั่งน้ำย่อยจากตับอ่อน ส่งผลให้มีไขมันปนในอุจจาระเพิ่มขึ้น</t>
        </is>
      </c>
      <c r="F82" s="2"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82" s="2" t="inlineStr">
        <is>
          <t>ยาปฏิชีวนะจะทำให้ทางเดินอาหารแห้งตัวและเกิดอาการท้องผูกสลับท้องเสียอย่างรุนแรง</t>
        </is>
      </c>
      <c r="H82" s="2" t="inlineStr">
        <is>
          <t>ตัวยา Amoxicillin จะออกฤทธิ์ขัดขวางการดูดซึมโซเดียมและน้ำกลับที่ไตโดยตรง</t>
        </is>
      </c>
      <c r="I82" s="8" t="inlineStr">
        <is>
          <t>3</t>
        </is>
      </c>
      <c r="J82" s="2"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ยาผสม Co-amoxiclav มี ADR ทางเดินอาหารที่พบบ่อยมากคืออาการท้องเสีย โดย Clavulanic acid มีคุณสมบัติกระตุ้นการเคลื่อนไหวและการบีบตัวของทางเดินอาหาร (Gastrointestinal hypermotility) โดยตรง และรบกวนสมดุลจุลชีพปกติในลำไส้ การรับประทานยานี้ในขณะที่ผู้ป่วยกำลังท้องเสียอยู่เดิม จึงทำให้อาการถ่ายเหลวแย่ลงอย่างมีนัยสำคัญ
🔍 ข้ออื่นผิดเพราะอะไร:
• ข้อ ก. (ตัวยา Clavulanate จะเร่งกระบวนการทำลายเยื่อบุกระเพาะอาหารโดยตรง เกิดแผลในกระเพาะอาหารฉับพลัน): ข้อนี้ไม่ใช่คำตอบที่ถูกต้องสำหรับภาวะ Dyspepsia &amp; PUD เนื่องจากกลไกการออกฤทธิ์, efficacy หรือข้อบ่งใช้ไม่ตรงกับโจทย์ที่กำหนด
• ข้อ ข. (ยาจะทำให้เกิดการยับยั้งการหลั่งน้ำย่อยจากตับอ่อน ส่งผลให้มีไขมันปนในอุจจาระเพิ่มขึ้น): ข้อนี้ไม่ใช่คำตอบที่ถูกต้องสำหรับภาวะ Dyspepsia &amp; PUD เนื่องจากกลไกการออกฤทธิ์, efficacy หรือข้อบ่งใช้ไม่ตรงกับโจทย์ที่กำหนด
• ข้อ ง. (ยาปฏิชีวนะจะทำให้ทางเดินอาหารแห้งตัวและเกิดอาการท้องผูกสลับท้องเสียอย่างรุนแรง): ข้อนี้ไม่ใช่คำตอบที่ถูกต้องสำหรับภาวะ Dyspepsia &amp; PUD เนื่องจากกลไกการออกฤทธิ์, efficacy หรือข้อบ่งใช้ไม่ตรงกับโจทย์ที่กำหนด
• ข้อ จ. (ตัวยา Amoxicillin จะออกฤทธิ์ขัดขวางการดูดซึมโซเดียมและน้ำกลับที่ไตโดยตรง):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2" t="n"/>
      <c r="L82" s="2" t="inlineStr">
        <is>
          <t>Dyspepsia &amp; PUD</t>
        </is>
      </c>
      <c r="M82" s="2" t="inlineStr">
        <is>
          <t>Clinic</t>
        </is>
      </c>
      <c r="N82" s="2" t="inlineStr">
        <is>
          <t>ข้อ 2.2 Mock GI RxCU84</t>
        </is>
      </c>
      <c r="O82" s="2" t="inlineStr">
        <is>
          <t>Mock</t>
        </is>
      </c>
      <c r="P82" s="2" t="inlineStr">
        <is>
          <t>Mock RxCU84</t>
        </is>
      </c>
    </row>
    <row r="83" ht="13.2" customHeight="1" s="37">
      <c r="A83" s="8" t="inlineStr">
        <is>
          <t>7</t>
        </is>
      </c>
      <c r="B83" s="2"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ผู้ป่วยแจ้งว่ามีอาการปวดเกร็งหน้าท้อง (Abdominal cramping) ค่อนข้างมากร่วมด้วย ยาบรรเทาอาการในข้อใดที่เภสัชกรควรจ่ายเพื่อบรรเทาอาการปวดเกร็งดังกล่าวได้ตรงตามกลไกและเหมาะสมที่สุด?</t>
        </is>
      </c>
      <c r="C83" s="2" t="n"/>
      <c r="D83" s="2" t="inlineStr">
        <is>
          <t>Loperamide 2 mg</t>
        </is>
      </c>
      <c r="E83" s="2" t="inlineStr">
        <is>
          <t>Ibuprofen 400 mg</t>
        </is>
      </c>
      <c r="F83" s="2" t="inlineStr">
        <is>
          <t>Hyoscine butylbromide 10 mg</t>
        </is>
      </c>
      <c r="G83" s="2" t="inlineStr">
        <is>
          <t>Omeprazole 20 mg</t>
        </is>
      </c>
      <c r="H83" s="2" t="inlineStr">
        <is>
          <t>Activated Charcoal 250 mg</t>
        </is>
      </c>
      <c r="I83" s="8" t="inlineStr">
        <is>
          <t>3</t>
        </is>
      </c>
      <c r="J83" s="2" t="inlineStr">
        <is>
          <t>✅ คำตอบที่ถูกต้อง: ข้อ ค. Hyoscine butylbromide 10 mg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อาการปวดเกร็งหน้าท้อง (Abdominal cramping) ในภาวะทางเดินอาหารอักเสบเกิดจากการหดเกร็งของกล้ามเนื้อเรียบผนังลำไส้ (Smooth muscle spasm) ยาที่ออกฤทธิ์ตรงจุดคือ Antispasmodics เช่น Hyoscine butylbromide (Buscopan) ซึ่งเป็น Muscarinic receptor antagonist ปิดกั้นการทำงานของ Parasympathetic nervous system ทำให้กล้ามเนื้อเรียบคลายตัว บรรเทาอาการปวดบีบได้อย่างมี efficacy
🔍 ข้ออื่นผิดเพราะอะไร:
• ข้อ ก. (Loperamide 2 mg): เป็น peripheral mu-opioid agonist ลด peristalsis ใช้บรรเทาอาการ acute non-infectious diarrhea แต่ห้ามใช้ใน bloody diarrhea (dysentery) หรือ bacterial enteritis (เสี่ยง toxic megacolon)
• ข้อ ข. (Ibuprofen 400 mg):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(Omeprazole 20 mg):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(Activated Charcoal 250 mg):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2" t="n"/>
      <c r="L83" s="2" t="inlineStr">
        <is>
          <t>Dyspepsia &amp; PUD</t>
        </is>
      </c>
      <c r="M83" s="2" t="inlineStr">
        <is>
          <t>Clinic</t>
        </is>
      </c>
      <c r="N83" s="2" t="inlineStr">
        <is>
          <t>ข้อ 2.3 Mock GI RxCU84</t>
        </is>
      </c>
      <c r="O83" s="2" t="inlineStr">
        <is>
          <t>Mock</t>
        </is>
      </c>
      <c r="P83" s="2" t="inlineStr">
        <is>
          <t>Mock RxCU84</t>
        </is>
      </c>
    </row>
    <row r="84" ht="13.2" customHeight="1" s="37">
      <c r="A84" s="8" t="inlineStr">
        <is>
          <t>8</t>
        </is>
      </c>
      <c r="B84" s="2"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หากผู้ป่วยต้องการใช้ยาลดการบีบตัวของลำไส้ (Antimotility) เช่น Loperamide ข้อใดคือข้อห้ามใช้ทางคลินิก (Contraindications) ที่สำคัญที่สุดของยากลุ่มนี้ที่เภสัชกรต้องเน้นย้ำและระมัดระวัง?</t>
        </is>
      </c>
      <c r="C84" s="2" t="n"/>
      <c r="D84" s="2" t="inlineStr">
        <is>
          <t>ห้ามใช้ในผู้ป่วยที่มีอาการปวดท้องน้อยหรือมีอาการคลื่นไส้อาเจียนร่วมด้วย</t>
        </is>
      </c>
      <c r="E84" s="2"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84" s="2" t="inlineStr">
        <is>
          <t>ห้ามใช้ร่วมกับผงน้ำตาลเกลือแร่ (ORS) ทุกกรณีเนื่องจากจะลดประสิทธิภาพการทำงานของยา</t>
        </is>
      </c>
      <c r="G84" s="2" t="inlineStr">
        <is>
          <t>ห้ามใช้ในผู้ป่วยที่ดื่มน้ำได้น้อยเนื่องจากยาจะกระตุ้นการขับปัสสาวะอย่างรุนแรง</t>
        </is>
      </c>
      <c r="H84" s="2" t="inlineStr">
        <is>
          <t>ห้ามใช้ในคนไข้ที่มีอายุมากกว่า 18 ปี เนื่องจากยามีความปลอดภัยเฉพาะในวัยเด็กเล็กเท่านั้น</t>
        </is>
      </c>
      <c r="I84" s="8" t="inlineStr">
        <is>
          <t>2</t>
        </is>
      </c>
      <c r="J84" s="2"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Loperamide ออกฤทธิ์กระตุ้น Peripheral μ-opioid receptor ที่ผนังลำไส้ ชะลอการบีบตัวของลำไส้ (Inhibits peristalsis) จึงมี contraindication อย่างเด็ดขาดในผู้ป่วยที่มีภาวะ Invasive bacterial enteritis (ไข้สูง และ/หรือ ถ่ายเป็นมูกเลือด เช่น Shigella, Salmonella, Campylobacter, C. difficile colitis) เนื่องจากยาจะกักเก็บเชื้อโรคและสารพิษ (Toxins) ไว้ในทางเดินอาหาร เพิ่มความเสี่ยงต่อการเกิดลำไส้โป่งพองอัมพาต (Toxic megacolon) และเชื้อแพร่กระจายเข้าสู่กระแสเลือดจนติดเชื้อรุนแรง
🔍 ข้ออื่นผิดเพราะอะไร:
• ข้อ ก. (ห้ามใช้ในผู้ป่วยที่มีอาการปวดท้องน้อยหรือมีอาการคลื่นไส้อาเจียนร่วมด้วย): ข้อนี้ไม่ใช่คำตอบที่ถูกต้องสำหรับภาวะ Dyspepsia &amp; PUD เนื่องจากกลไกการออกฤทธิ์, efficacy หรือข้อบ่งใช้ไม่ตรงกับโจทย์ที่กำหนด
• ข้อ ค. (ห้ามใช้ร่วมกับผงน้ำตาลเกลือแร่ (ORS) ทุกกรณีเนื่องจากจะลดประสิทธิภาพการทำงานของยา): ข้อนี้ไม่ใช่คำตอบที่ถูกต้องสำหรับภาวะ Dyspepsia &amp; PUD เนื่องจากกลไกการออกฤทธิ์, efficacy หรือข้อบ่งใช้ไม่ตรงกับโจทย์ที่กำหนด
• ข้อ ง. (ห้ามใช้ในผู้ป่วยที่ดื่มน้ำได้น้อยเนื่องจากยาจะกระตุ้นการขับปัสสาวะอย่างรุนแรง): ข้อนี้ไม่ใช่คำตอบที่ถูกต้องสำหรับภาวะ Dyspepsia &amp; PUD เนื่องจากกลไกการออกฤทธิ์, efficacy หรือข้อบ่งใช้ไม่ตรงกับโจทย์ที่กำหนด
• ข้อ จ. (ห้ามใช้ในคนไข้ที่มีอายุมากกว่า 18 ปี เนื่องจากยามีความปลอดภัยเฉพาะในวัยเด็กเล็กเท่านั้น):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2" t="n"/>
      <c r="L84" s="2" t="inlineStr">
        <is>
          <t>Dyspepsia &amp; PUD</t>
        </is>
      </c>
      <c r="M84" s="2" t="inlineStr">
        <is>
          <t>Clinic</t>
        </is>
      </c>
      <c r="N84" s="2" t="inlineStr">
        <is>
          <t>ข้อ 2.4 Mock GI RxCU84</t>
        </is>
      </c>
      <c r="O84" s="2" t="inlineStr">
        <is>
          <t>Mock</t>
        </is>
      </c>
      <c r="P84" s="2" t="inlineStr">
        <is>
          <t>Mock RxCU84</t>
        </is>
      </c>
    </row>
    <row r="85" ht="13.2" customHeight="1" s="37">
      <c r="A85" s="8" t="inlineStr">
        <is>
          <t>9</t>
        </is>
      </c>
      <c r="B85" s="2"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85" s="2" t="n"/>
      <c r="D85" s="2" t="inlineStr">
        <is>
          <t>ความเครียดทำให้เกิดภาวะเลือดเป็นกรด ส่งผลกระตุ้นหลอดอาหารอักเสบโดยตรง</t>
        </is>
      </c>
      <c r="E85" s="2"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85" s="2" t="inlineStr">
        <is>
          <t>การดื่มกาแฟปริมาณมากทำให้อาหารค้างอยู่ในกระเพาะนานขึ้น (Delayed gastric emptying)</t>
        </is>
      </c>
      <c r="G85" s="2" t="inlineStr">
        <is>
          <t>การทำงานหนักจนดึกขัดขวางการทำงานของระบบประสาท Sympathetic ทำให้หูรูดปิดแน่นเกินไป</t>
        </is>
      </c>
      <c r="H85" s="2" t="inlineStr">
        <is>
          <t>ความเครียดทำให้ร่างกายผลิตเมือกในกระเพาะอาหารน้อยลง ส่งผลให้เยื่อบุหลอดอาหารฉีกขาดง่าย</t>
        </is>
      </c>
      <c r="I85" s="8" t="inlineStr">
        <is>
          <t>2</t>
        </is>
      </c>
      <c r="J85" s="2"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พยาธิสรีรวิทยาหลักของ GERD เกิดจากความดันของหูรูดหลอดอาหารส่วนปลาย (Lower Esophageal Sphincter: LES) ลดลงหรือมีการคลายตัวชั่วคราวบ่อยครั้งผิดปกติ (Transient LES relaxations: TLESRs) คาเฟอีนในกาแฟมีฤทธิ์ยับยั้งเอนไซม์ Phosphodiesterase เพิ่ม cAMP ส่งผลคลายกล้ามเนื้อเรียบหูรูด LES โดยตรง และกระตุ้น parietal cells ให้หลั่งกรดเพิ่มขึ้น ร่วมกับการรับประทานอาหารไม่เป็นเวลา ทำให้กรดไหลย้อนขึ้นมาทำลายเยื่อบุหลอดอาหาร
🔍 ข้ออื่นผิดเพราะอะไร:
• ข้อ ก. (ความเครียดทำให้เกิดภาวะเลือดเป็นกรด ส่งผลกระตุ้นหลอดอาหารอักเสบโดยตรง): ข้อนี้ไม่ใช่คำตอบที่ถูกต้องสำหรับภาวะ GERD เนื่องจากกลไกการออกฤทธิ์, efficacy หรือข้อบ่งใช้ไม่ตรงกับโจทย์ที่กำหนด
• ข้อ ค. (การดื่มกาแฟปริมาณมากทำให้อาหารค้างอยู่ในกระเพาะนานขึ้น (Delayed gastric emptying)): ข้อนี้ไม่ใช่คำตอบที่ถูกต้องสำหรับภาวะ GERD เนื่องจากกลไกการออกฤทธิ์, efficacy หรือข้อบ่งใช้ไม่ตรงกับโจทย์ที่กำหนด
• ข้อ ง. (การทำงานหนักจนดึกขัดขวางการทำงานของระบบประสาท Sympathetic ทำให้หูรูดปิดแน่นเกินไป): ข้อนี้ไม่ใช่คำตอบที่ถูกต้องสำหรับภาวะ GERD เนื่องจากกลไกการออกฤทธิ์, efficacy หรือข้อบ่งใช้ไม่ตรงกับโจทย์ที่กำหนด
• ข้อ จ. (ความเครียดทำให้ร่างกายผลิตเมือกในกระเพาะอาหารน้อยลง ส่งผลให้เยื่อบุหลอดอาหารฉีกขาดง่าย):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2" t="n"/>
      <c r="L85" s="2" t="inlineStr">
        <is>
          <t>GERD</t>
        </is>
      </c>
      <c r="M85" s="2" t="inlineStr">
        <is>
          <t>Clinic</t>
        </is>
      </c>
      <c r="N85" s="2" t="inlineStr">
        <is>
          <t>ข้อ 3.1 Mock GI RxCU84</t>
        </is>
      </c>
      <c r="O85" s="2" t="inlineStr">
        <is>
          <t>Mock</t>
        </is>
      </c>
      <c r="P85" s="2" t="inlineStr">
        <is>
          <t>Mock RxCU84</t>
        </is>
      </c>
    </row>
    <row r="86" ht="13.2" customHeight="1" s="37">
      <c r="A86" s="8" t="inlineStr">
        <is>
          <t>10</t>
        </is>
      </c>
      <c r="B86" s="2"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องกล้องทางเดินอาหาร (EGD) ทันที?</t>
        </is>
      </c>
      <c r="C86" s="2" t="n"/>
      <c r="D86" s="2" t="inlineStr">
        <is>
          <t>อาการแสบร้อนกลางอกเป็นมากขึ้นเมื่อนอนราบ</t>
        </is>
      </c>
      <c r="E86" s="2" t="inlineStr">
        <is>
          <t>อาการเรอเปรี้ยวหรือขมคอหลังรับประทานอาหารมื้อใหญ่</t>
        </is>
      </c>
      <c r="F86" s="2" t="inlineStr">
        <is>
          <t>มีอาการกลืนลำบาก (Dysphagia) กลืนเจ็บ (Odynophagia) น้ำหนักลดผิดปกติ หรืออุจจาระมีสีดำคล้ำ (Melena)</t>
        </is>
      </c>
      <c r="G86" s="2" t="inlineStr">
        <is>
          <t>อาการท้องอืด ท้องเฟ้อหลังรับประทานอาหารรสจัด</t>
        </is>
      </c>
      <c r="H86" s="2" t="inlineStr">
        <is>
          <t>อาการแสบร้อนกลางอกสลับกับอาการปวดเกร็งหน้าท้องด้านล่าง</t>
        </is>
      </c>
      <c r="I86" s="8" t="inlineStr">
        <is>
          <t>3</t>
        </is>
      </c>
      <c r="J86" s="2" t="inlineStr">
        <is>
          <t>✅ คำตอบที่ถูกต้อง: ข้อ ค. มีอาการกลืนลำบาก (Dysphagia) กลืนเจ็บ (Odynophagia) น้ำหนักลดผิดปกติ หรืออุจจาระมีสีดำคล้ำ (Melena)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มีอาการกลืนลำบาก (Dysphagia) กลืนเจ็บ (Odynophagia) น้ำหนักลดผิดปกติ หรืออุจจาระมีสีดำคล้ำ (Melena) สัญญาณเตือนอันตราย (Alarm features / Red flags) ในโรคทางเดินอาหารส่วนบน ได้แก่ กลืนลำบาก (Dysphagia), กลืนเจ็บ (Odynophagia), น้ำหนักลดโดยไม่ทราบสาเหตุ, ภาวะโลหิตจางจากการขาดธาตุเหล็ก, อาเจียนเรื้อรังหรืออาเจียนเป็นเลือด (Hematemesis), ถ่ายดำ (Melena) และคลำพบก้อนในช่องท้อง อาการเหล่านี้บ่งชี้ถึงภาวะแทรกซ้อนรุนแรง เช่น หลอดอาหารตีบตัน แผลมีเลือดออก หรือมะเร็งทางเดินอาหาร ต้องส่งต่อเพื่อตรวจส่องกล้อง EGD ทันที
🔍 ข้ออื่นผิดเพราะอะไร:
• ข้อ ก. (อาการแสบร้อนกลางอกเป็นมากขึ้นเมื่อนอนราบ): ข้อนี้ไม่ใช่คำตอบที่ถูกต้องสำหรับภาวะ GERD เนื่องจากกลไกการออกฤทธิ์, efficacy หรือข้อบ่งใช้ไม่ตรงกับโจทย์ที่กำหนด
• ข้อ ข. (อาการเรอเปรี้ยวหรือขมคอหลังรับประทานอาหารมื้อใหญ่): ข้อนี้ไม่ใช่คำตอบที่ถูกต้องสำหรับภาวะ GERD เนื่องจากกลไกการออกฤทธิ์, efficacy หรือข้อบ่งใช้ไม่ตรงกับโจทย์ที่กำหนด
• ข้อ ง. (อาการท้องอืด ท้องเฟ้อหลังรับประทานอาหารรสจัด): ข้อนี้ไม่ใช่คำตอบที่ถูกต้องสำหรับภาวะ GERD เนื่องจากกลไกการออกฤทธิ์, efficacy หรือข้อบ่งใช้ไม่ตรงกับโจทย์ที่กำหนด
• ข้อ จ. (อาการแสบร้อนกลางอกสลับกับอาการปวดเกร็งหน้าท้องด้านล่าง):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2" t="n"/>
      <c r="L86" s="2" t="inlineStr">
        <is>
          <t>GERD</t>
        </is>
      </c>
      <c r="M86" s="2" t="inlineStr">
        <is>
          <t>Clinic</t>
        </is>
      </c>
      <c r="N86" s="2" t="inlineStr">
        <is>
          <t>ข้อ 3.2 Mock GI RxCU84</t>
        </is>
      </c>
      <c r="O86" s="2" t="inlineStr">
        <is>
          <t>Mock</t>
        </is>
      </c>
      <c r="P86" s="2" t="inlineStr">
        <is>
          <t>Mock RxCU84</t>
        </is>
      </c>
    </row>
    <row r="87" ht="13.2" customHeight="1" s="37">
      <c r="A87" s="8" t="inlineStr">
        <is>
          <t>11</t>
        </is>
      </c>
      <c r="B87" s="2"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หากซักประวัติแล้วไม่มีอาการเตือนอันตราย และเข้าเกณฑ์การรักษาเบื้องต้นในร้านยา (Initial empiric therapy / PPI trial) ข้อใดคือขนาดการใช้และการบริหารยากลุ่ม Proton Pump Inhibitors (PPIs) ที่ถูกต้องที่สุด?</t>
        </is>
      </c>
      <c r="C87" s="2" t="n"/>
      <c r="D87" s="2" t="inlineStr">
        <is>
          <t>Omeprazole 20 mg ครั้งละ 1 เม็ด วันละครั้ง หลังอาหารเช้าทันที นาน 1 สัปดาห์</t>
        </is>
      </c>
      <c r="E87" s="2" t="inlineStr">
        <is>
          <t>Omeprazole 20 mg ครั้งละ 1 เม็ด วันละครั้ง ก่อนอาหารเช้า 30-60 นาที ต่อเนื่องกัน 4-8 สัปดาห์</t>
        </is>
      </c>
      <c r="F87" s="2" t="inlineStr">
        <is>
          <t>Omeprazole 20 mg ครั้งละ 1 เม็ด วันละ 2 ครั้ง หลังอาหารเช้าและเย็น นาน 3 วัน</t>
        </is>
      </c>
      <c r="G87" s="2" t="inlineStr">
        <is>
          <t>Omeprazole 20 mg ครั้งละ 1 เม็ด รับประทานเฉพาะเวลามีอาการแสบร้อนกลางอก (PRN) โดยเคี้ยวยาให้ละเอียด</t>
        </is>
      </c>
      <c r="H87" s="2" t="inlineStr">
        <is>
          <t>Rabeprazole 20 mg ครั้งละ 1 เม็ด วันละครั้ง ก่อนนอน นาน 1 สัปดาห์</t>
        </is>
      </c>
      <c r="I87" s="8" t="inlineStr">
        <is>
          <t>2</t>
        </is>
      </c>
      <c r="J87" s="2" t="inlineStr">
        <is>
          <t>✅ คำตอบที่ถูกต้อง: ข้อ ข. Omeprazole 20 mg ครั้งละ 1 เม็ด วันละครั้ง ก่อนอาหารเช้า 30-60 นาที ต่อเนื่องกัน 4-8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ครั้งละ 1 เม็ด วันละครั้ง ก่อนอาหารเช้า 30-60 นาที ต่อเนื่องกัน 4-8 สัปดาห์ ตามแนวทางการรักษาโรคกรดไหลย้อน (ACG / Thai GERD Guidelines) การให้ PPI Trial มาตรฐานคือการใช้ Standard dose PPI เช่น Omeprazole 20 mg วันละ 1 ครั้ง รับประทานก่อนอาหารเช้า 30-60 นาที เนื่องจากยาจะถูกดูดซึมไปจับยับยั้ง H+/K+ ATPase pump ที่กำลังถูกกระตุ้นสูงสุดหลังมื้ออาหาร และต้องให้ต่อเนื่องเป็นระยะเวลา 4-8 สัปดาห์เพื่อควบคุมอาการและสมานเยื่อบุหลอดอาหาร
🔍 ข้ออื่นผิดเพราะอะไร:
• ข้อ ก. (Omeprazole 20 mg ครั้งละ 1 เม็ด วันละครั้ง หลังอาหารเช้าทันที นาน 1 สัปดาห์):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(Omeprazole 20 mg ครั้งละ 1 เม็ด วันละ 2 ครั้ง หลังอาหารเช้าและเย็น นาน 3 วัน):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(Omeprazole 20 mg ครั้งละ 1 เม็ด รับประทานเฉพาะเวลามีอาการแสบร้อนกลางอก (PRN) โดยเคี้ยวยาให้ละเอียด):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(Rabeprazole 20 mg ครั้งละ 1 เม็ด วันละครั้ง ก่อนนอน นาน 1 สัปดาห์):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2" t="n"/>
      <c r="L87" s="2" t="inlineStr">
        <is>
          <t>GERD</t>
        </is>
      </c>
      <c r="M87" s="2" t="inlineStr">
        <is>
          <t>Clinic</t>
        </is>
      </c>
      <c r="N87" s="2" t="inlineStr">
        <is>
          <t>ข้อ 3.3 Mock GI RxCU84</t>
        </is>
      </c>
      <c r="O87" s="2" t="inlineStr">
        <is>
          <t>Mock</t>
        </is>
      </c>
      <c r="P87" s="2" t="inlineStr">
        <is>
          <t>Mock RxCU84</t>
        </is>
      </c>
    </row>
    <row r="88" ht="13.2" customHeight="1" s="37">
      <c r="A88" s="8" t="inlineStr">
        <is>
          <t>12</t>
        </is>
      </c>
      <c r="B88" s="2"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คำแนะนำในการปรับเปลี่ยนพฤติกรรม (Lifestyle modifications) ข้อใดต่อไปนี้ถูกต้องและเหมาะสมที่สุดในการแนะนำแก่ผู้ป่วยรายนี้?</t>
        </is>
      </c>
      <c r="C88" s="2" t="n"/>
      <c r="D88" s="2"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88" s="2" t="inlineStr">
        <is>
          <t>ควรดื่มนมช็อกโกแลตหรือเครื่องดื่มผสมแอลกอฮอล์หลังอาหารเย็น เพื่อช่วยเคลือบแผลในหลอดอาหาร</t>
        </is>
      </c>
      <c r="F88" s="2"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88" s="2" t="inlineStr">
        <is>
          <t>แนะนำให้ออกกำลังกายอย่างหนักทันทีหลังมื้ออาหารเย็น เพื่อช่วยให้กระเพาะอาหารบีบตัวไล่แก๊สได้เร็วขึ้น</t>
        </is>
      </c>
      <c r="H88" s="2" t="inlineStr">
        <is>
          <t>แนะนำให้ดื่มน้ำเย็นปริมาณมากๆ ในระหว่างมื้ออาหาร เพื่อช่วยเจือจางกรดในกระเพาะอาหารไม่ให้ย้อนขึ้นไป</t>
        </is>
      </c>
      <c r="I88" s="8" t="inlineStr">
        <is>
          <t>3</t>
        </is>
      </c>
      <c r="J88" s="2"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การปรับเปลี่ยนพฤติกรรมที่มีหลักฐานทางคลินิกสนับสนุนชัดเจนในการลดกรดไหลย้อน ได้แก่ 1) หลีกเลี่ยงการนอนราบหลังมื้ออาหารอย่างน้อย 3 ชั่วโมง เพื่อให้อาหารและกรดเคลื่อนตัวผ่านกระเพาะไปก่อน 2) การยกหัวเตียงให้สูงขึ้น 6-8 นิ้ว (Head of bed elevation) ช่วยอาศัยแรงโน้มถ่วงป้องกันกรดย้อนเวลานอน และ 3) การหลีกเลี่ยงสารกระตุ้นที่ทำให้หูรูดคลายตัว เช่น คาเฟอีน ช็อกโกแลต อาหารไขมันสูง และแอลกอฮอล์
🔍 ข้ออื่นผิดเพราะอะไร:
• ข้อ ก. (แนะนำให้นอนราบทันทีหลังรับประทานอาหารเสร็จ เพื่อช่วยให้ระบบทางเดินอาหารผ่อนคลายและลดอาการเวียนศีรษะ): ข้อนี้ไม่ใช่คำตอบที่ถูกต้องสำหรับภาวะ GERD เนื่องจากกลไกการออกฤทธิ์, efficacy หรือข้อบ่งใช้ไม่ตรงกับโจทย์ที่กำหนด
• ข้อ ข. (ควรดื่มนมช็อกโกแลตหรือเครื่องดื่มผสมแอลกอฮอล์หลังอาหารเย็น เพื่อช่วยเคลือบแผลในหลอดอาหาร): ข้อนี้ไม่ใช่คำตอบที่ถูกต้องสำหรับภาวะ GERD เนื่องจากกลไกการออกฤทธิ์, efficacy หรือข้อบ่งใช้ไม่ตรงกับโจทย์ที่กำหนด
• ข้อ ง. (แนะนำให้ออกกำลังกายอย่างหนักทันทีหลังมื้ออาหารเย็น เพื่อช่วยให้กระเพาะอาหารบีบตัวไล่แก๊สได้เร็วขึ้น): ข้อนี้ไม่ใช่คำตอบที่ถูกต้องสำหรับภาวะ GERD เนื่องจากกลไกการออกฤทธิ์, efficacy หรือข้อบ่งใช้ไม่ตรงกับโจทย์ที่กำหนด
• ข้อ จ. (แนะนำให้ดื่มน้ำเย็นปริมาณมากๆ ในระหว่างมื้ออาหาร เพื่อช่วยเจือจางกรดในกระเพาะอาหารไม่ให้ย้อนขึ้นไป):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2" t="n"/>
      <c r="L88" s="2" t="inlineStr">
        <is>
          <t>GERD</t>
        </is>
      </c>
      <c r="M88" s="2" t="inlineStr">
        <is>
          <t>Clinic</t>
        </is>
      </c>
      <c r="N88" s="2" t="inlineStr">
        <is>
          <t>ข้อ 3.4 Mock GI RxCU84</t>
        </is>
      </c>
      <c r="O88" s="2" t="inlineStr">
        <is>
          <t>Mock</t>
        </is>
      </c>
      <c r="P88" s="2" t="inlineStr">
        <is>
          <t>Mock RxCU84</t>
        </is>
      </c>
    </row>
    <row r="89" ht="13.2" customHeight="1" s="37">
      <c r="A89" s="8" t="inlineStr">
        <is>
          <t>13</t>
        </is>
      </c>
      <c r="B89" s="2"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ยาในข้อใดต่อไปนี้มีฤทธิ์ลดความแข็งแรงหรือคลายกล้ามเนื้อหูรูดหลอดอาหารส่วนปลาย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89" s="2" t="n"/>
      <c r="D89" s="2" t="inlineStr">
        <is>
          <t>Proton pump inhibitors (เช่น Omeprazole)</t>
        </is>
      </c>
      <c r="E89" s="2" t="inlineStr">
        <is>
          <t>Calcium channel blockers (เช่น Amlodipine)</t>
        </is>
      </c>
      <c r="F89" s="2" t="inlineStr">
        <is>
          <t>Prokinetics (เช่น Domperidone)</t>
        </is>
      </c>
      <c r="G89" s="2" t="inlineStr">
        <is>
          <t>H2-receptor antagonists (เช่น Famotidine)</t>
        </is>
      </c>
      <c r="H89" s="2" t="inlineStr">
        <is>
          <t>Mucosal protectants (เช่น Sucralfate)</t>
        </is>
      </c>
      <c r="I89" s="8" t="inlineStr">
        <is>
          <t>2</t>
        </is>
      </c>
      <c r="J89" s="2" t="inlineStr">
        <is>
          <t>✅ คำตอบที่ถูกต้อง: ข้อ ข. Calcium channel blockers (เช่น Amlodipine)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channel blockers (เช่น Amlodipine) ยากลุ่ม Calcium Channel Blockers (CCBs เช่น Amlodipine, Nifedipine, Diltiazem) มีกลไกปิดกั้น L-type calcium channels ในกล้ามเนื้อเรียบ ส่งผลให้กล้ามเนื้อหูรูดหลอดอาหารส่วนปลาย (LES) คลายตัวและลดความดันหูรูดลง ทำให้กรดไหลย้อนขึ้นมาได้ง่าย เช่นเดียวกับยากลุ่ม Nitrates, Theophylline และ Anticholinergics จึงต้องเฝ้าระวังเป็น Drug Therapy Problem (DTP)
🔍 ข้ออื่นผิดเพราะอะไร:
• ข้อ ก. (Proton pump inhibitors (เช่น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(Prokinetics (เช่น Domperidone)): เป็น peripheral D2 receptor antagonist เพิ่ม GI motility ไม่ผ่าน BBB จึงไม่ทำให้เกิด EPS เด่นชัด แต่ต้องระวัง QT prolongation ในขนาดสูง (&gt; 30 mg/day)
• ข้อ ง. (H2-receptor antagonists (เช่น Famotidine)): ข้อนี้ไม่ใช่คำตอบที่ถูกต้องสำหรับภาวะ GERD เนื่องจากกลไกการออกฤทธิ์, efficacy หรือข้อบ่งใช้ไม่ตรงกับโจทย์ที่กำหนด
• ข้อ จ. (Mucosal protectants (เช่น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9" s="2" t="n"/>
      <c r="L89" s="2" t="inlineStr">
        <is>
          <t>GERD</t>
        </is>
      </c>
      <c r="M89" s="2" t="inlineStr">
        <is>
          <t>Clinic</t>
        </is>
      </c>
      <c r="N89" s="2" t="inlineStr">
        <is>
          <t>ข้อ 3.5 Mock GI RxCU84</t>
        </is>
      </c>
      <c r="O89" s="2" t="inlineStr">
        <is>
          <t>Mock</t>
        </is>
      </c>
      <c r="P89" s="2" t="inlineStr">
        <is>
          <t>Mock RxCU84</t>
        </is>
      </c>
    </row>
    <row r="90" ht="13.2" customHeight="1" s="37">
      <c r="A90" s="8" t="inlineStr">
        <is>
          <t>14</t>
        </is>
      </c>
      <c r="B90" s="2"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หากผู้ป่วยใช้ยาลดกรดชนิด Aluminium/Magnesium hydroxide ควรระวังอะไร?</t>
        </is>
      </c>
      <c r="C90" s="2" t="n"/>
      <c r="D90" s="2" t="inlineStr">
        <is>
          <t>ทำให้ Pitavastatin หมดฤทธิ์</t>
        </is>
      </c>
      <c r="E90" s="2" t="inlineStr">
        <is>
          <t>ลดการดูดซึม Dolutegravir</t>
        </is>
      </c>
      <c r="F90" s="2" t="inlineStr">
        <is>
          <t>ทำให้ TDF เป็นพิษ</t>
        </is>
      </c>
      <c r="G90" s="2" t="inlineStr">
        <is>
          <t>เพิ่มระดับ 3TC</t>
        </is>
      </c>
      <c r="H90" s="2" t="inlineStr">
        <is>
          <t>ลดการขับออกของ Dolutegravir ทางไต</t>
        </is>
      </c>
      <c r="I90" s="8" t="inlineStr">
        <is>
          <t>2</t>
        </is>
      </c>
      <c r="J90" s="2" t="inlineStr">
        <is>
          <t>✅ คำตอบที่ถูกต้อง: ข้อ ข. ลดการดูดซึม Dolutegravir
💡 Background:
การดูแลผู้ติดเชื้อ HIV เน้นเริ่ม Antiretroviral Therapy (ART) ทันทีเพื่อกด viral load ให้ undetectable (U=U) และฟื้นฟูระบบภูมิคุ้มกัน
🎯 ทำไมข้อนี้ถึงถูก:
ลดการดูดซึม Dolutegravir Dolutegravir (DTG) เป็นยากลุ่ม Integrase Strand Transfer Inhibitor (INSTI) ซึ่งมีโครงสร้างจับกับโลหะประจุบวก ยาลดกรดชนิด Aluminium/Magnesium hydroxide มี polyvalent cations (Al3+, Mg2+) ที่จะเกิดปฏิกิริยา Chelation กับ DTG ในทางเดินอาหาร ทำให้ DTG ไม่สามารถดูดซึมได้และระดับยาในเลือดลดลงอย่างรุนแรง ส่งผลให้กดไวรัสล้มเหลวและเกิดเชื้อดื้อยา
🔍 ข้ออื่นผิดเพราะอะไร:
• ข้อ ก. (ทำให้ Pitavastatin หมดฤทธิ์): ข้อนี้ไม่ใช่คำตอบที่ถูกต้องสำหรับภาวะ GERD เนื่องจากกลไกการออกฤทธิ์, efficacy หรือข้อบ่งใช้ไม่ตรงกับโจทย์ที่กำหนด
• ข้อ ค. (ทำให้ TDF เป็นพิษ): ข้อนี้ไม่ใช่คำตอบที่ถูกต้องสำหรับภาวะ GERD เนื่องจากกลไกการออกฤทธิ์, efficacy หรือข้อบ่งใช้ไม่ตรงกับโจทย์ที่กำหนด
• ข้อ ง. (เพิ่มระดับ 3TC): ข้อนี้ไม่ใช่คำตอบที่ถูกต้องสำหรับภาวะ GERD เนื่องจากกลไกการออกฤทธิ์, efficacy หรือข้อบ่งใช้ไม่ตรงกับโจทย์ที่กำหนด
• ข้อ จ. (ลดการขับออกของ Dolutegravir ทางไต):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0" s="2" t="n"/>
      <c r="L90" s="2" t="inlineStr">
        <is>
          <t>GERD</t>
        </is>
      </c>
      <c r="M90" s="2" t="inlineStr">
        <is>
          <t>Clinic</t>
        </is>
      </c>
      <c r="N90" s="2" t="inlineStr">
        <is>
          <t>ข้อ 4.1 Mock GI RxCU84</t>
        </is>
      </c>
      <c r="O90" s="2" t="inlineStr">
        <is>
          <t>Mock</t>
        </is>
      </c>
      <c r="P90" s="2" t="inlineStr">
        <is>
          <t>Mock RxCU84</t>
        </is>
      </c>
    </row>
    <row r="91" ht="13.2" customHeight="1" s="37">
      <c r="A91" s="8" t="inlineStr">
        <is>
          <t>15</t>
        </is>
      </c>
      <c r="B91" s="2"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91" s="2" t="n"/>
      <c r="D91" s="2" t="inlineStr">
        <is>
          <t>ให้รับประทานยาลดกรดและ Dolutegravir ร่วมกันพร้อมอาหารมื้อหลักทันทีเพื่อลดความเป็นกรดในกระเพาะ</t>
        </is>
      </c>
      <c r="E91" s="2" t="inlineStr">
        <is>
          <t>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t>
        </is>
      </c>
      <c r="F91" s="2" t="inlineStr">
        <is>
          <t>ให้รับประทานยา Dolutegravir ในขนาดยาเพิ่มขึ้นเป็น 2 เท่าเฉพาะในวันที่ต้องใช้ยาลดกรด</t>
        </is>
      </c>
      <c r="G91" s="2" t="inlineStr">
        <is>
          <t>แนะนำให้เคี้ยวเม็ดยาลดกรดร่วมกับยาต้านไวรัสก่อนนอน เพื่อส่งเสริมการดูดซึมยาต้านไวรัส</t>
        </is>
      </c>
      <c r="H91" s="2" t="inlineStr">
        <is>
          <t>ให้ผู้ป่วยหยุดรับประทานยาต้านไวรัส Dolutegravir ไปก่อนชั่วคราวในระหว่างที่มีอาการของโรคกรดไหลย้อน</t>
        </is>
      </c>
      <c r="I91" s="8" t="inlineStr">
        <is>
          <t>2</t>
        </is>
      </c>
      <c r="J91" s="2" t="inlineStr">
        <is>
          <t>✅ คำตอบที่ถูกต้อง: ข้อ ข.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 Background:
การดูแลผู้ติดเชื้อ HIV เน้นเริ่ม Antiretroviral Therapy (ART) ทันทีเพื่อกด viral load ให้ undetectable (U=U) และฟื้นฟูระบบภูมิคุ้มกัน
🎯 ทำไมข้อนี้ถึงถูก: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เพื่อป้องกันการเกิด Chelation interaction ระหว่าง Dolutegravir กับ Antacid ที่มีโลหะ Al/Mg แนะนำให้แยกเวลาบริหารยาอย่างเคร่งครัด: รับประทาน Dolutegravir ก่อนยาลดกรดอย่างน้อย 2 ชั่วโมง หรือ รับประทาน Dolutegravir หลังยาลดกรดอย่างน้อย 6 ชั่วโมง
🔍 ข้ออื่นผิดเพราะอะไร:
• ข้อ ก. (ให้รับประทานยาลดกรดและ Dolutegravir ร่วมกันพร้อมอาหารมื้อหลักทันทีเพื่อลดความเป็นกรดในกระเพาะ): เป็น Integrase strand transfer inhibitor (INSTI) มี genetic barrier ต่อการดื้อยาสูงมาก และ efficacy สูงในการกด viral load ได้อย่างรวดเร็ว
• ข้อ ค. (ให้รับประทานยา Dolutegravir ในขนาดยาเพิ่มขึ้นเป็น 2 เท่าเฉพาะในวันที่ต้องใช้ยาลดกรด): เป็น Integrase strand transfer inhibitor (INSTI) มี genetic barrier ต่อการดื้อยาสูงมาก และ efficacy สูงในการกด viral load ได้อย่างรวดเร็ว
• ข้อ ง. (แนะนำให้เคี้ยวเม็ดยาลดกรดร่วมกับยาต้านไวรัสก่อนนอน เพื่อส่งเสริมการดูดซึมยาต้านไวรัส): ข้อนี้ไม่ใช่คำตอบที่ถูกต้องสำหรับภาวะ GERD เนื่องจากกลไกการออกฤทธิ์, efficacy หรือข้อบ่งใช้ไม่ตรงกับโจทย์ที่กำหนด
• ข้อ จ. (ให้ผู้ป่วยหยุดรับประทานยาต้านไวรัส Dolutegravir ไปก่อนชั่วคราวในระหว่างที่มีอาการของโรคกรดไหลย้อน):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1" s="2" t="n"/>
      <c r="L91" s="2" t="inlineStr">
        <is>
          <t>GERD</t>
        </is>
      </c>
      <c r="M91" s="2" t="inlineStr">
        <is>
          <t>Clinic</t>
        </is>
      </c>
      <c r="N91" s="2" t="inlineStr">
        <is>
          <t>ข้อ 4.2 Mock GI RxCU84</t>
        </is>
      </c>
      <c r="O91" s="2" t="inlineStr">
        <is>
          <t>Mock</t>
        </is>
      </c>
      <c r="P91" s="2" t="inlineStr">
        <is>
          <t>Mock RxCU84</t>
        </is>
      </c>
    </row>
    <row r="92" ht="13.2" customHeight="1" s="37">
      <c r="A92" s="8" t="inlineStr">
        <is>
          <t>16</t>
        </is>
      </c>
      <c r="B92" s="2"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92" s="2" t="n"/>
      <c r="D92" s="2"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92" s="2" t="inlineStr">
        <is>
          <t>ห้ามใช้ Omeprazole ร่วมกับ Dolutegravir เด็ดขาด เนื่องจากยาลดการทำงานของเอนไซม์ที่ใช้กำจัด Dolutegravir</t>
        </is>
      </c>
      <c r="F92" s="2" t="inlineStr">
        <is>
          <t>Omeprazole จะลดการดูดซึมของ Tenofovir (TDF) จนหมดสิ้น ทำให้ระดับยาต้านไวรัสไม่เพียงพอต่อการกดเชื้อ</t>
        </is>
      </c>
      <c r="G92" s="2" t="inlineStr">
        <is>
          <t>ยาปฏิชีวนะหรือยาต้านไวรัส 3TC จะเกิดการเสื่อมสภาพทันทีหาก pH ในกระเพาะอาหารเพิ่มขึ้นมากกว่า 5.0</t>
        </is>
      </c>
      <c r="H92" s="2" t="inlineStr">
        <is>
          <t>Omeprazole จะเพิ่มความเสี่ยงต่อการเกิดภาวะ Lactic acidosis จากยาต้านไวรัสกลุ่ม NRTIs</t>
        </is>
      </c>
      <c r="I92" s="8" t="inlineStr">
        <is>
          <t>1</t>
        </is>
      </c>
      <c r="J92" s="2"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การดูแลผู้ติดเชื้อ HIV เน้นเริ่ม Antiretroviral Therapy (ART) ทันทีเพื่อกด viral load ให้ undetectable (U=U) และฟื้นฟูระบบภูมิคุ้มกัน
🎯 ทำไมข้อนี้ถึงถูก: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ยาต้านไวรัสสูตร TDF + 3TC + DTG มีคุณสมบัติการดูดซึมที่ไม่ขึ้นกับความเป็นกรดในกระเพาะอาหาร (Acid-independent absorption) จึงสามารถใช้ร่วมกับยากลุ่ม PPIs เช่น Omeprazole ได้อย่างปลอดภัย ต่างจาก Atazanavir หรือ Rilpivirine ซึ่งต้องการสภาพแวดล้อมที่เป็นกรดในการละลายและดูดซึม
🔍 ข้ออื่นผิดเพราะอะไร:
• ข้อ ข. (ห้ามใช้ Omeprazole ร่วมกับ Dolutegravir เด็ดขาด เนื่องจากยาลดการทำงานของเอนไซม์ที่ใช้กำจัด Dolutegravir): เป็น Integrase strand transfer inhibitor (INSTI) มี genetic barrier ต่อการดื้อยาสูงมาก และ efficacy สูงในการกด viral load ได้อย่างรวดเร็ว
• ข้อ ค. (Omeprazole จะลดการดูดซึมของ Tenofovir (TDF) จนหมดสิ้น ทำให้ระดับยาต้านไวรัสไม่เพียงพอต่อการกดเชื้อ): เป็น Nucleotide reverse transcriptase inhibitor (NRTI) แกนหลักใน HIV และ HBV therapy แต่ TDF ต้องระวัง nephrotoxicity (Fanconi syndrome) และ bone mineral density loss
• ข้อ ง. (ยาปฏิชีวนะหรือยาต้านไวรัส 3TC จะเกิดการเสื่อมสภาพทันทีหาก pH ในกระเพาะอาหารเพิ่มขึ้นมากกว่า 5.0): ข้อนี้ไม่ใช่คำตอบที่ถูกต้องสำหรับภาวะ GERD เนื่องจากกลไกการออกฤทธิ์, efficacy หรือข้อบ่งใช้ไม่ตรงกับโจทย์ที่กำหนด
• ข้อ จ. (Omeprazole จะเพิ่มความเสี่ยงต่อการเกิดภาวะ Lactic acidosis จากยาต้านไวรัสกลุ่ม NRTIs):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2" s="2" t="n"/>
      <c r="L92" s="2" t="inlineStr">
        <is>
          <t>GERD</t>
        </is>
      </c>
      <c r="M92" s="2" t="inlineStr">
        <is>
          <t>Clinic</t>
        </is>
      </c>
      <c r="N92" s="2" t="inlineStr">
        <is>
          <t>ข้อ 4.3 Mock GI RxCU84</t>
        </is>
      </c>
      <c r="O92" s="2" t="inlineStr">
        <is>
          <t>Mock</t>
        </is>
      </c>
      <c r="P92" s="2" t="inlineStr">
        <is>
          <t>Mock RxCU84</t>
        </is>
      </c>
    </row>
    <row r="93" ht="13.2" customHeight="1" s="37">
      <c r="A93" s="8" t="inlineStr">
        <is>
          <t>17</t>
        </is>
      </c>
      <c r="B93" s="2"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93" s="2" t="n"/>
      <c r="D93" s="2" t="inlineStr">
        <is>
          <t>ยาระคายเคืองกระเพาะโดยตรง (Direct irritation) และยับยั้งเอนไซม์ COX-2 ทำให้ร่างกายสร้างกรดมากขึ้น</t>
        </is>
      </c>
      <c r="E93" s="2"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93" s="2" t="inlineStr">
        <is>
          <t>ยาไปกระตุ้นการทำงานของ parietal cells ในการหลั่งกรดไฮโดรคลอริก ผ่านทางกระบวนการกระตุ้น Histamine-2 receptors</t>
        </is>
      </c>
      <c r="G93" s="2" t="inlineStr">
        <is>
          <t>ยาปฏิชีวนะหรือยาแก้ปวด Diclofenac ทำให้เกิดภาวะติดเชื้อแบคทีเรีย H. pylori ในกระเพาะอาหารได้ง่ายขึ้น</t>
        </is>
      </c>
      <c r="H93" s="2" t="inlineStr">
        <is>
          <t>ยาไปเพิ่มการบีบตัวของกระเพาะอาหารอย่างรุนแรง ส่งผลให้กรดเข้มข้นไหลย้อนกลับทำลายเนื้อเยื่อ</t>
        </is>
      </c>
      <c r="I93" s="8" t="inlineStr">
        <is>
          <t>2</t>
        </is>
      </c>
      <c r="J93" s="2"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Diclofenac ก่อให้เกิดแผลในกระเพาะอาหารผ่าน 2 กลไกหลัก: 1) Local effect: ยาเป็นกรดอ่อนซึมเข้าเซลล์เยื่อบุและเกิด ion trapping ก่อความเสียหายต่อเยื่อบุโดยตรง 2) Systemic effect (กลไกหลัก): ยับยั้ง COX-1 ทำให้การสังเคราะห์ Prostaglandins (PGE2 และ PGI2) ลดลง ซึ่งสารเหล่านี้ทำหน้าที่สำคัญในการกระตุ้นการสร้าง Mucus, Bicarbonate secretion และคงการไหลเวียนเลือดที่เยื่อบุทางเดินอาหาร (Mucosal blood flow)
🔍 ข้ออื่นผิดเพราะอะไร:
• ข้อ ก. (ยาระคายเคืองกระเพาะโดยตรง (Direct irritation) และยับยั้งเอนไซม์ COX-2 ทำให้ร่างกายสร้างกรดมากขึ้น): ข้อนี้ไม่ใช่คำตอบที่ถูกต้องสำหรับภาวะ Dyspepsia &amp; PUD เนื่องจากกลไกการออกฤทธิ์, efficacy หรือข้อบ่งใช้ไม่ตรงกับโจทย์ที่กำหนด
• ข้อ ค. (ยาไปกระตุ้นการทำงานของ parietal cells ในการหลั่งกรดไฮโดรคลอริก ผ่านทางกระบวนการกระตุ้น Histamine-2 receptors): ข้อนี้ไม่ใช่คำตอบที่ถูกต้องสำหรับภาวะ Dyspepsia &amp; PUD เนื่องจากกลไกการออกฤทธิ์, efficacy หรือข้อบ่งใช้ไม่ตรงกับโจทย์ที่กำหนด
• ข้อ ง. (ยาปฏิชีวนะหรือยาแก้ปวด Diclofenac ทำให้เกิดภาวะติดเชื้อแบคทีเรีย H. pylori ในกระเพาะอาหารได้ง่ายขึ้น): ข้อนี้ไม่ใช่คำตอบที่ถูกต้องสำหรับภาวะ Dyspepsia &amp; PUD เนื่องจากกลไกการออกฤทธิ์, efficacy หรือข้อบ่งใช้ไม่ตรงกับโจทย์ที่กำหนด
• ข้อ จ. (ยาไปเพิ่มการบีบตัวของกระเพาะอาหารอย่างรุนแรง ส่งผลให้กรดเข้มข้นไหลย้อนกลับทำลายเนื้อเยื่อ):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3" s="2" t="n"/>
      <c r="L93" s="2" t="inlineStr">
        <is>
          <t>Dyspepsia &amp; PUD</t>
        </is>
      </c>
      <c r="M93" s="2" t="inlineStr">
        <is>
          <t>Clinic</t>
        </is>
      </c>
      <c r="N93" s="2" t="inlineStr">
        <is>
          <t>ข้อ 5.1 Mock GI RxCU84</t>
        </is>
      </c>
      <c r="O93" s="2" t="inlineStr">
        <is>
          <t>Mock</t>
        </is>
      </c>
      <c r="P93" s="2" t="inlineStr">
        <is>
          <t>Mock RxCU84</t>
        </is>
      </c>
    </row>
    <row r="94" ht="13.2" customHeight="1" s="37">
      <c r="A94" s="8" t="inlineStr">
        <is>
          <t>18</t>
        </is>
      </c>
      <c r="B94" s="2"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94" s="2" t="n"/>
      <c r="D94" s="2" t="inlineStr">
        <is>
          <t>แนะนำให้เปลี่ยนจาก Diclofenac เป็น Naproxen 250 mg รับประทานวันละ 2 ครั้ง ทันที</t>
        </is>
      </c>
      <c r="E94" s="2"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94" s="2" t="inlineStr">
        <is>
          <t>แนะนำให้เพิ่มขนาดการรับประทาน Tolperisone เป็น 150 mg วันละ 3 ครั้ง และคงการทาน Diclofenac ร่วมด้วย</t>
        </is>
      </c>
      <c r="G94" s="2" t="inlineStr">
        <is>
          <t>แนะนำให้รับประทาน Diclofenac ห่างจากเครื่องดื่มแอลกอฮอล์อย่างน้อย 8 ชั่วโมง โดยใช้ยาสูตรเดิมต่อไป</t>
        </is>
      </c>
      <c r="H94" s="2" t="inlineStr">
        <is>
          <t>แนะนำให้ใช้ยาแก้ปวดกลุ่มสเตียรอยด์ (Steroids) ชนิดรับประทานทดแทนเพื่อความปลอดภัยต่อกระเพาะอาหาร</t>
        </is>
      </c>
      <c r="I94" s="8" t="inlineStr">
        <is>
          <t>2</t>
        </is>
      </c>
      <c r="J94" s="2"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ผู้ป่วยรายนี้มีความเสี่ยงสูงต่อ GI complications (มีแผล PUD จาก NSAIDs และดื่มแอลกอฮอล์เป็นประจำ) แนวทางที่ถูกต้องคือ 1) หยุด Non-selective NSAIDs (Diclofenac) 2) หากจำเป็นต้องใช้ยาแก้ปวด ให้เลือก Selective COX-2 inhibitor (เช่น Celecoxib) ร่วมกับ PPI (เช่น Omeprazole) เสมอ 3) งดดื่มแอลกอฮอล์เด็ดขาดเนื่องจากระคายเคืองกระเพาะอาหารและกระตุ้นการหลั่งกรด
🔍 ข้ออื่นผิดเพราะอะไร:
• ข้อ ก. (แนะนำให้เปลี่ยนจาก Diclofenac เป็น Naproxen 250 mg รับประทานวันละ 2 ครั้ง ทันที): เป็น non-selective NSAID ที่มี cardiovascular safety profile ดีที่สุด และมี efficacy สูงในการระงับ acute inflammation
• ข้อ ค. (แนะนำให้เพิ่มขนาดการรับประทาน Tolperisone เป็น 150 mg วันละ 3 ครั้ง และคงการทาน Diclofenac ร่วมด้วย): ข้อนี้ไม่ใช่คำตอบที่ถูกต้องสำหรับภาวะ Dyspepsia &amp; PUD เนื่องจากกลไกการออกฤทธิ์, efficacy หรือข้อบ่งใช้ไม่ตรงกับโจทย์ที่กำหนด
• ข้อ ง. (แนะนำให้รับประทาน Diclofenac ห่างจากเครื่องดื่มแอลกอฮอล์อย่างน้อย 8 ชั่วโมง โดยใช้ยาสูตรเดิมต่อไป): ข้อนี้ไม่ใช่คำตอบที่ถูกต้องสำหรับภาวะ Dyspepsia &amp; PUD เนื่องจากกลไกการออกฤทธิ์, efficacy หรือข้อบ่งใช้ไม่ตรงกับโจทย์ที่กำหนด
• ข้อ จ. (แนะนำให้ใช้ยาแก้ปวดกลุ่มสเตียรอยด์ (Steroids) ชนิดรับประทานทดแทนเพื่อความปลอดภัยต่อกระเพาะอาหาร):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4" s="2" t="n"/>
      <c r="L94" s="2" t="inlineStr">
        <is>
          <t>Dyspepsia &amp; PUD</t>
        </is>
      </c>
      <c r="M94" s="2" t="inlineStr">
        <is>
          <t>Clinic</t>
        </is>
      </c>
      <c r="N94" s="2" t="inlineStr">
        <is>
          <t>ข้อ 5.2 Mock GI RxCU84</t>
        </is>
      </c>
      <c r="O94" s="2" t="inlineStr">
        <is>
          <t>Mock</t>
        </is>
      </c>
      <c r="P94" s="2" t="inlineStr">
        <is>
          <t>Mock RxCU84</t>
        </is>
      </c>
    </row>
    <row r="95" ht="13.2" customHeight="1" s="37">
      <c r="A95" s="8" t="inlineStr">
        <is>
          <t>19</t>
        </is>
      </c>
      <c r="B95" s="2"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95" s="2" t="n"/>
      <c r="D95" s="2" t="inlineStr">
        <is>
          <t>ออกฤทธิ์จับตัวรับ H2 อาการข้างเคียงคือทำให้เกิดผื่นแพ้แสง; ห้ามใช้ในคนไข้โรคหัวใจล้มเหลว</t>
        </is>
      </c>
      <c r="E95" s="2"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95" s="2" t="inlineStr">
        <is>
          <t>ออกฤทธิ์บลอค Proton pump; อาการข้างเคียงคืออาการปวดศีรษะ; ห้ามใช้ในผู้ป่วยโรคตับแข็ง</t>
        </is>
      </c>
      <c r="G95" s="2" t="inlineStr">
        <is>
          <t>เป็นสารเคลือบแผลกระเพาะอาหาร; อาการข้างเคียงคือทำให้อุจจาระสีดำเข้ม; ห้ามใช้ในคนไข้ที่เป็นโรคไตวาย</t>
        </is>
      </c>
      <c r="H95" s="2" t="inlineStr">
        <is>
          <t>เป็นยากระตุ้นการหลั่งเอนไซม์ amylase; อาการข้างเคียงคือน้ำตาลในเลือดต่ำ; ห้ามใช้ร่วมกับอินซูลิน</t>
        </is>
      </c>
      <c r="I95" s="8" t="inlineStr">
        <is>
          <t>2</t>
        </is>
      </c>
      <c r="J95" s="2"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Misoprostol เป็น Synthetic Prostaglandin E1 (PGE1) analog ออกฤทธิ์เพิ่มการสร้างเยื่อเมือกและไบคาร์บอเนต ผลข้างเคียงสำคัญคืออาการปวดเกร็งท้องและท้องเสียตามขนาดยา (Dose-dependent diarrhea &amp; cramping) และมีฤทธิ์กระตุ้นการบีบตัวของมดลูก (Uterotonic effect) อย่างรุนแรง จึงจัดเป็น FDA Pregnancy Category X ห้ามใช้ในสตรีมีครรภ์โดยเด็ดขาดเนื่องจากทำให้เกิดการแท้งบุตร
🔍 ข้ออื่นผิดเพราะอะไร:
• ข้อ ก. (ออกฤทธิ์จับตัวรับ H2 อาการข้างเคียงคือทำให้เกิดผื่นแพ้แสง; ห้ามใช้ในคนไข้โรคหัวใจล้มเหลว): ข้อนี้ไม่ใช่คำตอบที่ถูกต้องสำหรับภาวะ Dyspepsia &amp; PUD เนื่องจากกลไกการออกฤทธิ์, efficacy หรือข้อบ่งใช้ไม่ตรงกับโจทย์ที่กำหนด
• ข้อ ค. (ออกฤทธิ์บลอค Proton pump; อาการข้างเคียงคืออาการปวดศีรษะ; ห้ามใช้ในผู้ป่วยโรคตับแข็ง): ข้อนี้ไม่ใช่คำตอบที่ถูกต้องสำหรับภาวะ Dyspepsia &amp; PUD เนื่องจากกลไกการออกฤทธิ์, efficacy หรือข้อบ่งใช้ไม่ตรงกับโจทย์ที่กำหนด
• ข้อ ง. (เป็นสารเคลือบแผลกระเพาะอาหาร; อาการข้างเคียงคือทำให้อุจจาระสีดำเข้ม; ห้ามใช้ในคนไข้ที่เป็นโรคไตวาย): ข้อนี้ไม่ใช่คำตอบที่ถูกต้องสำหรับภาวะ Dyspepsia &amp; PUD เนื่องจากกลไกการออกฤทธิ์, efficacy หรือข้อบ่งใช้ไม่ตรงกับโจทย์ที่กำหนด
• ข้อ จ. (เป็นยากระตุ้นการหลั่งเอนไซม์ amylase; อาการข้างเคียงคือน้ำตาลในเลือดต่ำ; ห้ามใช้ร่วมกับอินซูลิน):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5" s="2" t="n"/>
      <c r="L95" s="2" t="inlineStr">
        <is>
          <t>Dyspepsia &amp; PUD</t>
        </is>
      </c>
      <c r="M95" s="2" t="inlineStr">
        <is>
          <t>Clinic</t>
        </is>
      </c>
      <c r="N95" s="2" t="inlineStr">
        <is>
          <t>ข้อ 5.3 Mock GI RxCU84</t>
        </is>
      </c>
      <c r="O95" s="2" t="inlineStr">
        <is>
          <t>Mock</t>
        </is>
      </c>
      <c r="P95" s="2" t="inlineStr">
        <is>
          <t>Mock RxCU84</t>
        </is>
      </c>
    </row>
    <row r="96" ht="13.2" customHeight="1" s="37">
      <c r="A96" s="8" t="inlineStr">
        <is>
          <t>20</t>
        </is>
      </c>
      <c r="B96" s="2"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96" s="2" t="n"/>
      <c r="D96" s="2" t="inlineStr">
        <is>
          <t>อาการปวดแสบบริเวณหน้าอกลามไปถึงไหล่ซ้าย</t>
        </is>
      </c>
      <c r="E96" s="2"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96" s="2" t="inlineStr">
        <is>
          <t>อาการแสบร้อนที่ผิวหนังบริเวณที่ปวดกล้ามเนื้อ</t>
        </is>
      </c>
      <c r="G96" s="2" t="inlineStr">
        <is>
          <t>อาการอ่อนเพลียเล็กน้อยหลังจากทำงานเกษตรกลางแดดจัด</t>
        </is>
      </c>
      <c r="H96" s="2" t="inlineStr">
        <is>
          <t>อาการท้องอืด ท้องเฟ้อ มีลมในกระเพาะอาหารหลังตื่นนอนตอนเช้า</t>
        </is>
      </c>
      <c r="I96" s="8" t="inlineStr">
        <is>
          <t>2</t>
        </is>
      </c>
      <c r="J96" s="2"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อาการคลื่นไส้อาเจียนปนเลือด หรือถ่ายอุจจาระเป็นสีดำเหนียวคล้ายยางมะตอย (Melena) บ่งชี้ภาวะเลือดออกในทางเดินอาหาร อาการเตือนอันตรายจากแผลทางเดินอาหารทะลุหรือมีเลือดออก (Upper GI Bleeding) ได้แก่ การอาเจียนเป็นเลือดสดหรือสีกากกาแฟ (Hematemesis) และการถ่ายอุจจาระเป็นสีดำเหนียวคล้ายยางมะตอย (Melena) ซึ่งบ่งบอกถึงการสูญเสียเลือดในปริมาณมาก ถือเป็นภาวะฉุกเฉินทางการแพทย์ที่ต้องรีบไปโรงพยาบาลทันที
🔍 ข้ออื่นผิดเพราะอะไร:
• ข้อ ก. (อาการปวดแสบบริเวณหน้าอกลามไปถึงไหล่ซ้าย): ข้อนี้ไม่ใช่คำตอบที่ถูกต้องสำหรับภาวะ Dyspepsia &amp; PUD เนื่องจากกลไกการออกฤทธิ์, efficacy หรือข้อบ่งใช้ไม่ตรงกับโจทย์ที่กำหนด
• ข้อ ค. (อาการแสบร้อนที่ผิวหนังบริเวณที่ปวดกล้ามเนื้อ): ข้อนี้ไม่ใช่คำตอบที่ถูกต้องสำหรับภาวะ Dyspepsia &amp; PUD เนื่องจากกลไกการออกฤทธิ์, efficacy หรือข้อบ่งใช้ไม่ตรงกับโจทย์ที่กำหนด
• ข้อ ง. (อาการอ่อนเพลียเล็กน้อยหลังจากทำงานเกษตรกลางแดดจัด): ข้อนี้ไม่ใช่คำตอบที่ถูกต้องสำหรับภาวะ Dyspepsia &amp; PUD เนื่องจากกลไกการออกฤทธิ์, efficacy หรือข้อบ่งใช้ไม่ตรงกับโจทย์ที่กำหนด
• ข้อ จ. (อาการท้องอืด ท้องเฟ้อ มีลมในกระเพาะอาหารหลังตื่นนอนตอนเช้า):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6" s="2" t="n"/>
      <c r="L96" s="2" t="inlineStr">
        <is>
          <t>Dyspepsia &amp; PUD</t>
        </is>
      </c>
      <c r="M96" s="2" t="inlineStr">
        <is>
          <t>Clinic</t>
        </is>
      </c>
      <c r="N96" s="2" t="inlineStr">
        <is>
          <t>ข้อ 5.4 Mock GI RxCU84</t>
        </is>
      </c>
      <c r="O96" s="2" t="inlineStr">
        <is>
          <t>Mock</t>
        </is>
      </c>
      <c r="P96" s="2" t="inlineStr">
        <is>
          <t>Mock RxCU84</t>
        </is>
      </c>
    </row>
    <row r="97" ht="13.2" customHeight="1" s="37">
      <c r="A97" s="8" t="inlineStr">
        <is>
          <t>21</t>
        </is>
      </c>
      <c r="B97" s="2"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อาการคลื่นไส้ ท้องอืด และเรอเปรี้ยวของผู้ป่วยรายนี้ ควรเลือกใช้ยากลุ่มใดเป็นอันดับแรกเพื่อบรรเทาอาการ?</t>
        </is>
      </c>
      <c r="C97" s="2" t="n"/>
      <c r="D97" s="2" t="inlineStr">
        <is>
          <t>5-HT3 antagonist</t>
        </is>
      </c>
      <c r="E97" s="2" t="inlineStr">
        <is>
          <t>Antihistamine / Anticholinergic</t>
        </is>
      </c>
      <c r="F97" s="2" t="inlineStr">
        <is>
          <t>Dopamine D2 antagonist</t>
        </is>
      </c>
      <c r="G97" s="2" t="inlineStr">
        <is>
          <t>Benzodiazepines (Anticipatory emesis)</t>
        </is>
      </c>
      <c r="H97" s="2" t="inlineStr">
        <is>
          <t>Neurokinin-1 (NK1) receptor antagonist</t>
        </is>
      </c>
      <c r="I97" s="8" t="inlineStr">
        <is>
          <t>3</t>
        </is>
      </c>
      <c r="J97" s="2" t="inlineStr">
        <is>
          <t>✅ คำตอบที่ถูกต้อง: ข้อ ค. Dopamine D2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Dopamine D2 antagonist อาการคลื่นไส้ แน่นท้อง ท้องอืด เรอเปรี้ยว เข้าได้กับภาวะ Dyspepsia / Delayed gastric emptying จากการระคายเคืองกระเพาะอาหาร ยาที่เหมาะสมเป็น first-line คือยากลุ่ม Prokinetics ชนิด Dopamine D2 antagonist (เช่น Domperidone หรือ Metoclopramide) ซึ่งช่วยกระตุ้นการบีบตัวและเร่งการระบายอาหารออกจากกระเพาะอาหารลงสู่ลำไส้เล็ก
🔍 ข้ออื่นผิดเพราะอะไร:
• ข้อ ก. (5-HT3 antagonist): ข้อนี้ไม่ใช่คำตอบที่ถูกต้องสำหรับภาวะ Dyspepsia &amp; PUD เนื่องจากกลไกการออกฤทธิ์, efficacy หรือข้อบ่งใช้ไม่ตรงกับโจทย์ที่กำหนด
• ข้อ ข. (Antihistamine / Anticholinergic): ข้อนี้ไม่ใช่คำตอบที่ถูกต้องสำหรับภาวะ Dyspepsia &amp; PUD เนื่องจากกลไกการออกฤทธิ์, efficacy หรือข้อบ่งใช้ไม่ตรงกับโจทย์ที่กำหนด
• ข้อ ง. (Benzodiazepines (Anticipatory emesis)): ข้อนี้ไม่ใช่คำตอบที่ถูกต้องสำหรับภาวะ Dyspepsia &amp; PUD เนื่องจากกลไกการออกฤทธิ์, efficacy หรือข้อบ่งใช้ไม่ตรงกับโจทย์ที่กำหนด
• ข้อ จ. (Neurokinin-1 (NK1) receptor antagonist):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 s="2" t="n"/>
      <c r="L97" s="2" t="inlineStr">
        <is>
          <t>Dyspepsia &amp; PUD</t>
        </is>
      </c>
      <c r="M97" s="2" t="inlineStr">
        <is>
          <t>Clinic</t>
        </is>
      </c>
      <c r="N97" s="2" t="inlineStr">
        <is>
          <t>ข้อ 5.5 Mock GI RxCU84</t>
        </is>
      </c>
      <c r="O97" s="2" t="inlineStr">
        <is>
          <t>Mock</t>
        </is>
      </c>
      <c r="P97" s="2" t="inlineStr">
        <is>
          <t>Mock RxCU84</t>
        </is>
      </c>
    </row>
    <row r="98" ht="13.2" customHeight="1" s="37">
      <c r="A98" s="8" t="inlineStr">
        <is>
          <t>22</t>
        </is>
      </c>
      <c r="B98" s="2"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98" s="2" t="n"/>
      <c r="D98" s="2" t="inlineStr">
        <is>
          <t>Domperidone ออกฤทธิ์ที่ 5-HT3 receptor จึงไม่มีผลต่อ CNS</t>
        </is>
      </c>
      <c r="E98" s="2" t="inlineStr">
        <is>
          <t>Domperidone ผ่าน blood-brain barrier (BBB) ได้น้อยกว่า Metoclopramide จึงมีโอกาสเกิด extrapyramidal symptoms (EPS) และผลข้างเคียงทาง CNS น้อยกว่า</t>
        </is>
      </c>
      <c r="F98" s="2" t="inlineStr">
        <is>
          <t>Domperidone ไม่มีผลต่อระดับ prolactin เลย</t>
        </is>
      </c>
      <c r="G98" s="2" t="inlineStr">
        <is>
          <t>Metoclopramide ไม่ผ่าน BBB จึงปลอดภัยกว่าในการใช้ระยะยาว</t>
        </is>
      </c>
      <c r="H98" s="2" t="inlineStr">
        <is>
          <t>ทั้งสองตัวมี safety profile เหมือนกันทุกประการ</t>
        </is>
      </c>
      <c r="I98" s="8" t="inlineStr">
        <is>
          <t>2</t>
        </is>
      </c>
      <c r="J98" s="2" t="inlineStr">
        <is>
          <t>✅ คำตอบที่ถูกต้อง: ข้อ ข. Domperidone ผ่าน blood-brain barrier (BBB) ได้น้อยกว่า Metoclopramide จึงมีโอกาสเกิด extrapyramidal symptoms (EPS) และผลข้างเคียงทาง CNS น้อยกว่า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ผ่าน blood-brain barrier (BBB) ได้น้อยกว่า Metoclopramide จึงมีโอกาสเกิด extrapyramidal symptoms (EPS) และผลข้างเคียงทาง CNS น้อยกว่า Domperidone มีความเป็นขั้วสูง (Polar) จึงผ่าน Blood-Brain Barrier (BBB) เข้าสู่ระบบประสาทส่วนกลางได้น้อยมาก ออกฤทธิ์จำเพาะที่ CTZ (Area postrema ซึ่งอยู่นอก BBB) และกระเพาะอาหาร จึงมีความเสี่ยงต่อ Extrapyramidal Symptoms (EPS), Dystonia และ Sedation ต่ำกว่า Metoclopramide ซึ่งผ่าน BBB ได้ดีมากอย่างมีนัยสำคัญ
🔍 ข้ออื่นผิดเพราะอะไร:
• ข้อ ก. (Domperidone ออกฤทธิ์ที่ 5-HT3 receptor จึงไม่มีผลต่อ CNS): เป็น peripheral D2 receptor antagonist เพิ่ม GI motility ไม่ผ่าน BBB จึงไม่ทำให้เกิด EPS เด่นชัด แต่ต้องระวัง QT prolongation ในขนาดสูง (&gt; 30 mg/day)
• ข้อ ค. (Domperidone ไม่มีผลต่อระดับ prolactin เลย): เป็น peripheral D2 receptor antagonist เพิ่ม GI motility ไม่ผ่าน BBB จึงไม่ทำให้เกิด EPS เด่นชัด แต่ต้องระวัง QT prolongation ในขนาดสูง (&gt; 30 mg/day)
• ข้อ ง. (Metoclopramide ไม่ผ่าน BBB จึงปลอดภัยกว่าในการใช้ระยะยาว): เป็น central และ peripheral D2 antagonist เพิ่ม gastric emptying และแก้อาเจียน แต่ผ่าน BBB จึงทำให้เกิด acute dystonia และ EPS ได้ง่าย
• ข้อ จ. (ทั้งสองตัวมี safety profile เหมือนกันทุกประการ):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8" s="2" t="n"/>
      <c r="L98" s="2" t="inlineStr">
        <is>
          <t>Dyspepsia &amp; PUD</t>
        </is>
      </c>
      <c r="M98" s="2" t="inlineStr">
        <is>
          <t>Clinic</t>
        </is>
      </c>
      <c r="N98" s="2" t="inlineStr">
        <is>
          <t>ข้อ 5.6 Mock GI RxCU84</t>
        </is>
      </c>
      <c r="O98" s="2" t="inlineStr">
        <is>
          <t>Mock</t>
        </is>
      </c>
      <c r="P98" s="2" t="inlineStr">
        <is>
          <t>Mock RxCU84</t>
        </is>
      </c>
    </row>
    <row r="99" ht="13.2" customHeight="1" s="37">
      <c r="A99" s="8" t="inlineStr">
        <is>
          <t>23</t>
        </is>
      </c>
      <c r="B99" s="2"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หากผู้ป่วยรายนี้จำเป็นต้องได้รับ Metoclopramide ต่อเนื่อง ข้อใดคือข้อควรระวังทางเภสัชวิทยาที่สำคัญที่สุดที่เภสัชกรต้องแจ้งผู้ป่วย?</t>
        </is>
      </c>
      <c r="C99" s="2" t="n"/>
      <c r="D99" s="2" t="inlineStr">
        <is>
          <t>ควรรับประทานพร้อมอาหารที่มีไขมันสูงเพื่อเพิ่มการดูดซึม</t>
        </is>
      </c>
      <c r="E99" s="2" t="inlineStr">
        <is>
          <t>ไม่ควรใช้ติดต่อกันนานเกิน 12 สัปดาห์ เนื่องจากเพิ่มความเสี่ยง tardive dyskinesia ซึ่งอาจเป็นแบบถาวร</t>
        </is>
      </c>
      <c r="F99" s="2" t="inlineStr">
        <is>
          <t>สามารถใช้ร่วมกับแอลกอฮอล์ได้อย่างปลอดภัยโดยไม่มีผลเสริมฤทธิ์กดประสาท</t>
        </is>
      </c>
      <c r="G99" s="2" t="inlineStr">
        <is>
          <t>ไม่มีผลต่อระบบประสาทส่วนกลางจึงใช้ในผู้ป่วย Parkinson’s disease ได้อย่างปลอดภัย</t>
        </is>
      </c>
      <c r="H99" s="2" t="inlineStr">
        <is>
          <t>ไม่จำเป็นต้องปรับขนาดยาในผู้ป่วยที่มีการทำงานของไตบกพร่อง</t>
        </is>
      </c>
      <c r="I99" s="8" t="inlineStr">
        <is>
          <t>2</t>
        </is>
      </c>
      <c r="J99" s="2" t="inlineStr">
        <is>
          <t>✅ คำตอบที่ถูกต้อง: ข้อ ข. ไม่ควรใช้ติดต่อกันนานเกิน 12 สัปดาห์ เนื่องจากเพิ่มความเสี่ยง tardive dyskinesia ซึ่งอาจเป็นแบบถาวร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ไม่ควรใช้ติดต่อกันนานเกิน 12 สัปดาห์ เนื่องจากเพิ่มความเสี่ยง tardive dyskinesia ซึ่งอาจเป็นแบบถาวร Metoclopramide มีคำเตือน Black Box Warning จาก US FDA เรื่องความเสี่ยงในการเกิด Tardive Dyskinesia (การเคลื่อนไหวผิดปกติของใบหน้า ลิ้น และแขนขาที่ไม่สามารถควบคุมได้) ซึ่งอาจกลายเป็นความผิดปกติถาวรแม้หยุดยาแล้ว จึงไม่แนะนำให้ใช้ติดต่อกันเกิน 12 สัปดาห์ และห้ามใช้ในผู้ป่วยโรคพาร์กินสัน
🔍 ข้ออื่นผิดเพราะอะไร:
• ข้อ ก. (ควรรับประทานพร้อมอาหารที่มีไขมันสูงเพื่อเพิ่มการดูดซึม): ข้อนี้ไม่ใช่คำตอบที่ถูกต้องสำหรับภาวะ Dyspepsia &amp; PUD เนื่องจากกลไกการออกฤทธิ์, efficacy หรือข้อบ่งใช้ไม่ตรงกับโจทย์ที่กำหนด
• ข้อ ค. (สามารถใช้ร่วมกับแอลกอฮอล์ได้อย่างปลอดภัยโดยไม่มีผลเสริมฤทธิ์กดประสาท): ข้อนี้ไม่ใช่คำตอบที่ถูกต้องสำหรับภาวะ Dyspepsia &amp; PUD เนื่องจากกลไกการออกฤทธิ์, efficacy หรือข้อบ่งใช้ไม่ตรงกับโจทย์ที่กำหนด
• ข้อ ง. (ไม่มีผลต่อระบบประสาทส่วนกลางจึงใช้ในผู้ป่วย Parkinson’s disease ได้อย่างปลอดภัย): ข้อนี้ไม่ใช่คำตอบที่ถูกต้องสำหรับภาวะ Dyspepsia &amp; PUD เนื่องจากกลไกการออกฤทธิ์, efficacy หรือข้อบ่งใช้ไม่ตรงกับโจทย์ที่กำหนด
• ข้อ จ. (ไม่จำเป็นต้องปรับขนาดยาในผู้ป่วยที่มีการทำงานของไตบกพร่อง):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9" s="2" t="n"/>
      <c r="L99" s="2" t="inlineStr">
        <is>
          <t>Dyspepsia &amp; PUD</t>
        </is>
      </c>
      <c r="M99" s="2" t="inlineStr">
        <is>
          <t>Clinic</t>
        </is>
      </c>
      <c r="N99" s="2" t="inlineStr">
        <is>
          <t>ข้อ 5.7 Mock GI RxCU84</t>
        </is>
      </c>
      <c r="O99" s="2" t="inlineStr">
        <is>
          <t>Mock</t>
        </is>
      </c>
      <c r="P99" s="2" t="inlineStr">
        <is>
          <t>Mock RxCU84</t>
        </is>
      </c>
    </row>
    <row r="100" ht="13.2" customHeight="1" s="37">
      <c r="A100" s="8" t="inlineStr">
        <is>
          <t>24</t>
        </is>
      </c>
      <c r="B100" s="2"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75 mg/m²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00" s="2" t="n"/>
      <c r="D100" s="2" t="inlineStr">
        <is>
          <t>Low emetogenic potential (โอกาสเกิดอาการร้อยละ 10–30)</t>
        </is>
      </c>
      <c r="E100" s="2" t="inlineStr">
        <is>
          <t>Moderate emetogenic potential (โอกาสเกิดอาการร้อยละ 30–90)</t>
        </is>
      </c>
      <c r="F100" s="2" t="inlineStr">
        <is>
          <t>High emetogenic potential</t>
        </is>
      </c>
      <c r="G100" s="2" t="inlineStr">
        <is>
          <t>Minimal emetogenic potential</t>
        </is>
      </c>
      <c r="H100" s="2" t="inlineStr">
        <is>
          <t>Sub-therapeutic emetogenic potential (ไม่มีผลต่อการกระตุ้นอาการอาเจียน)</t>
        </is>
      </c>
      <c r="I100" s="8" t="inlineStr">
        <is>
          <t>3</t>
        </is>
      </c>
      <c r="J100" s="2" t="inlineStr">
        <is>
          <t>✅ คำตอบที่ถูกต้อง: ข้อ ค. High emetogenic potential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High emetogenic potential Cisplatin ขนาดตั้งแต่ 50 mg/m² ขึ้นไป จัดเป็นเกณฑ์มาตรฐานของยากลุ่ม Highly Emetogenic Chemotherapy (HEC) ซึ่งหากไม่ได้รับยาป้องกันที่เหมาะสม จะมีโอกาสเกิดอาการคลื่นไส้อาเจียนสูงมากกว่า 90% ของผู้ป่วยที่ได้รับยา
🔍 ข้ออื่นผิดเพราะอะไร:
• ข้อ ก. (Low emetogenic potential (โอกาสเกิดอาการร้อยละ 10–30)): ข้อนี้ไม่ใช่คำตอบที่ถูกต้องสำหรับภาวะ Nausea and vomiting เนื่องจากกลไกการออกฤทธิ์, efficacy หรือข้อบ่งใช้ไม่ตรงกับโจทย์ที่กำหนด
• ข้อ ข. (Moderate emetogenic potential (โอกาสเกิดอาการร้อยละ 30–90)): ข้อนี้ไม่ใช่คำตอบที่ถูกต้องสำหรับภาวะ Nausea and vomiting เนื่องจากกลไกการออกฤทธิ์, efficacy หรือข้อบ่งใช้ไม่ตรงกับโจทย์ที่กำหนด
• ข้อ ง. (Minimal emetogenic potential): ข้อนี้ไม่ใช่คำตอบที่ถูกต้องสำหรับภาวะ Nausea and vomiting เนื่องจากกลไกการออกฤทธิ์, efficacy หรือข้อบ่งใช้ไม่ตรงกับโจทย์ที่กำหนด
• ข้อ จ. (Sub-therapeutic emetogenic potential (ไม่มีผลต่อการกระตุ้นอาการอาเจียน)): ข้อนี้ไม่ใช่คำตอบที่ถูกต้องสำหรับภาวะ Nausea and vomiting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0" s="2" t="n"/>
      <c r="L100" s="2" t="inlineStr">
        <is>
          <t>Nausea and vomiting</t>
        </is>
      </c>
      <c r="M100" s="2" t="inlineStr">
        <is>
          <t>Clinic</t>
        </is>
      </c>
      <c r="N100" s="2" t="inlineStr">
        <is>
          <t>ข้อ 6.1 Mock GI RxCU84</t>
        </is>
      </c>
      <c r="O100" s="2" t="inlineStr">
        <is>
          <t>Mock</t>
        </is>
      </c>
      <c r="P100" s="2" t="inlineStr">
        <is>
          <t>Mock RxCU84</t>
        </is>
      </c>
    </row>
    <row r="101" ht="13.2" customHeight="1" s="37">
      <c r="A101" s="8" t="inlineStr">
        <is>
          <t>25</t>
        </is>
      </c>
      <c r="B101" s="2"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01" s="2" t="n"/>
      <c r="D101" s="2" t="inlineStr">
        <is>
          <t>เหมาะสม เนื่องจาก Ondansetron เป็นยากลุ่ม 5-HT3 antagonist ที่มีประสิทธิภาพสูงสุดครอบคลุมทั้งระยะเฉียบพลันและระยะช้า</t>
        </is>
      </c>
      <c r="E101" s="2"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01" s="2" t="inlineStr">
        <is>
          <t>เหมาะสม แต่ควรเปลี่ยนช่องทางการบริหารยาเป็นชนิดเม็ดรับประทาน (Oral tablet) เพื่อผลการรักษาที่ดีกว่า</t>
        </is>
      </c>
      <c r="G101" s="2" t="inlineStr">
        <is>
          <t>ไม่เหมาะสม เนื่องจากควรใช้เฉพาะยาปฏิชีวนะและยาลดกรด Omeprazole ในการป้องกันอาการอาเจียนเท่านั้น</t>
        </is>
      </c>
      <c r="H101" s="2" t="inlineStr">
        <is>
          <t>เหมาะสม แต่ต้องบริหารยาร่วมกับสารน้ำทางหลอดเลือดดำปริมาณมากเพียงอย่างเดียวโดยไม่ต้องให้ยาอื่นเพิ่ม</t>
        </is>
      </c>
      <c r="I101" s="8" t="inlineStr">
        <is>
          <t>2</t>
        </is>
      </c>
      <c r="J101" s="2" t="inlineStr">
        <is>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ตาม
🔍 ข้ออื่นผิดเพราะอะไร:
• ข้อ ก. (เหมาะสม เนื่องจาก Ondansetron เป็นยากลุ่ม 5-HT3 antagonist ที่มีประสิทธิภาพสูงสุดครอบคลุมทั้งระยะเฉียบพลันและระยะช้า): เป็น 5-HT3 receptor antagonist เป็น first-line antiemetic สำหรับ chemotherapy-induced nausea and vomiting (CINV) และ post-operative nausea/vomiting แต่ทำให้ท้องผูก
• ข้อ ค. (เหมาะสม แต่ควรเปลี่ยนช่องทางการบริหารยาเป็นชนิดเม็ดรับประทาน (Oral tablet) เพื่อผลการรักษาที่ดีกว่า): ข้อนี้ไม่ใช่คำตอบที่ถูกต้องสำหรับภาวะ Nausea and vomiting เนื่องจากกลไกการออกฤทธิ์, efficacy หรือข้อบ่งใช้ไม่ตรงกับโจทย์ที่กำหนด
• ข้อ ง. (ไม่เหมาะสม เนื่องจากควรใช้เฉพาะยาปฏิชีวนะและยาลดกรด Omeprazole ในการป้องกันอาการอาเจียนเท่านั้น):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(เหมาะสม แต่ต้องบริหารยาร่วมกับสารน้ำทางหลอดเลือดดำปริมาณมากเพียงอย่างเดียวโดยไม่ต้องให้ยาอื่นเพิ่ม): ข้อนี้ไม่ใช่คำตอบที่ถูกต้องสำหรับภาวะ Nausea and vomiting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1" s="2" t="n"/>
      <c r="L101" s="2" t="inlineStr">
        <is>
          <t>Nausea and vomiting</t>
        </is>
      </c>
      <c r="M101" s="2" t="inlineStr">
        <is>
          <t>Clinic</t>
        </is>
      </c>
      <c r="N101" s="2" t="inlineStr">
        <is>
          <t>ข้อ 6.2 Mock GI RxCU84</t>
        </is>
      </c>
      <c r="O101" s="2" t="inlineStr">
        <is>
          <t>Mock</t>
        </is>
      </c>
      <c r="P101" s="2" t="inlineStr">
        <is>
          <t>Mock RxCU84</t>
        </is>
      </c>
    </row>
    <row r="102" ht="13.2" customHeight="1" s="37">
      <c r="A102" s="8" t="inlineStr">
        <is>
          <t>26</t>
        </is>
      </c>
      <c r="B102" s="2"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02" s="2" t="n"/>
      <c r="D102" s="2" t="inlineStr">
        <is>
          <t>อาการเริ่มแสดงหลังรับยา 1 ชั่วโมง; ยาที่มีบทบาทหลักคือยาชาเฉพาะที่ Lidocaine</t>
        </is>
      </c>
      <c r="E102" s="2"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02" s="2" t="inlineStr">
        <is>
          <t>อาการเริ่มแสดงในสัปดาห์ที่สามหลังให้ยา; ยาที่มีบทบาทหลักคือยากระตุ้นการบีบตัวของทางเดินอาหาร Domperidone</t>
        </is>
      </c>
      <c r="G102" s="2" t="inlineStr">
        <is>
          <t>อาการเริ่มแสดงในช่วงก่อนได้รับยาเคมีบำบัดรอบถัดไป; ยาที่มีบทบาทหลักคือยากลุ่ม Benzodiazepines เช่น Lorazepam</t>
        </is>
      </c>
      <c r="H102" s="2" t="inlineStr">
        <is>
          <t>อาการเริ่มแสดงทันทีหลังถอดสายน้ำเกลือเคมีบำบัด; ยาที่มีบทบาทหลักคือยาลดกรดชนิดน้ำ Antacid</t>
        </is>
      </c>
      <c r="I102" s="8" t="inlineStr">
        <is>
          <t>2</t>
        </is>
      </c>
      <c r="J102" s="2" t="inlineStr">
        <is>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Delayed emesis จาก Cisplatin จะเกิดขึ้นหลังให้ยา 24 ถึง 120 ชั่วโมง (วันที่ 2 ถึงวันที่ 5) โดยมีกลไกหลักผ่านสารสื่อประสาท Substance P จับกับ Neurokinin-1 (NK1) receptor ในสมองส่วนกลาง ดังนั้นยากลุ่ม NK1 antagonists (เช่น Aprepitant, Fosaprepitant) ร่วมกับ Dexamethasone จึงเป็นยาหลักในการป้องกันอาการระยะนี้
🔍 ข้ออื่นผิดเพราะอะไร:
• ข้อ ก. (อาการเริ่มแสดงหลังรับยา 1 ชั่วโมง; ยาที่มีบทบาทหลักคือยาชาเฉพาะที่ Lidocaine): ข้อนี้ไม่ใช่คำตอบที่ถูกต้องสำหรับภาวะ Nausea and vomiting เนื่องจากกลไกการออกฤทธิ์, efficacy หรือข้อบ่งใช้ไม่ตรงกับโจทย์ที่กำหนด
• ข้อ ค. (อาการเริ่มแสดงในสัปดาห์ที่สามหลังให้ยา; ยาที่มีบทบาทหลักคือยากระตุ้นการบีบตัวของทางเดินอาหาร Domperidone): เป็น peripheral D2 receptor antagonist เพิ่ม GI motility ไม่ผ่าน BBB จึงไม่ทำให้เกิด EPS เด่นชัด แต่ต้องระวัง QT prolongation ในขนาดสูง (&gt; 30 mg/day)
• ข้อ ง. (อาการเริ่มแสดงในช่วงก่อนได้รับยาเคมีบำบัดรอบถัดไป; ยาที่มีบทบาทหลักคือยากลุ่ม Benzodiazepines เช่น Lorazepam): เป็น Benzodiazepine กลุ่ม LOT (Lorazepam, Oxazepam, Temazepam) ที่ผ่าน hepatic Phase II glucuronidation โดยตรง ไม่ผ่าน CYP oxidation จึงปลอดภัยกว่าในผู้สูงอายุและโรคตับ
• ข้อ จ. (อาการเริ่มแสดงทันทีหลังถอดสายน้ำเกลือเคมีบำบัด; ยาที่มีบทบาทหลักคือยาลดกรดชนิดน้ำ Antacid): ข้อนี้ไม่ใช่คำตอบที่ถูกต้องสำหรับภาวะ Nausea and vomiting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2" s="2" t="n"/>
      <c r="L102" s="2" t="inlineStr">
        <is>
          <t>Nausea and vomiting</t>
        </is>
      </c>
      <c r="M102" s="2" t="inlineStr">
        <is>
          <t>Clinic</t>
        </is>
      </c>
      <c r="N102" s="2" t="inlineStr">
        <is>
          <t>ข้อ 6.5 Mock GI RxCU84</t>
        </is>
      </c>
      <c r="O102" s="2" t="inlineStr">
        <is>
          <t>Mock</t>
        </is>
      </c>
      <c r="P102" s="2" t="inlineStr">
        <is>
          <t>Mock RxCU84</t>
        </is>
      </c>
    </row>
    <row r="103" ht="13.2" customHeight="1" s="37">
      <c r="A103" s="8" t="inlineStr">
        <is>
          <t>27</t>
        </is>
      </c>
      <c r="B103" s="2"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ผู้ป่วยรายนี้อายุ 67 ปี หากเภสัชกรพิจารณาเพิ่ม Metoclopramide เป็น rescue therapy สำหรับ breakthrough emesis ข้อใดคือข้อควรระวังที่สำคัญที่สุดในผู้ป่วยกลุ่มนี้?</t>
        </is>
      </c>
      <c r="C103" s="2" t="n"/>
      <c r="D103" s="2" t="inlineStr">
        <is>
          <t>ผู้สูงอายุมีความเสี่ยงต่อ Extrapyramidal symptoms (EPS)/dystonia จาก D2 antagonist สูงกว่าคนหนุ่มสาว จึงควรติดตามอาการอย่างใกล้ชิดหรือพิจารณาทางเลือกอื่น</t>
        </is>
      </c>
      <c r="E103" s="2" t="inlineStr">
        <is>
          <t>ผู้สูงอายุไม่มีความเสี่ยงพิเศษใดๆ เพิ่มเติมจาก D2 antagonist</t>
        </is>
      </c>
      <c r="F103" s="2" t="inlineStr">
        <is>
          <t>ควรเพิ่มขนาด Metoclopramide เป็น 2 เท่าในผู้สูงอายุเพื่อผลการรักษาที่ดีขึ้น</t>
        </is>
      </c>
      <c r="G103" s="2" t="inlineStr">
        <is>
          <t>Metoclopramide ปลอดภัยกว่าในผู้สูงอายุเมื่อเทียบกับผู้ป่วยอายุน้อย</t>
        </is>
      </c>
      <c r="H103" s="2" t="inlineStr">
        <is>
          <t>ไม่จำเป็นต้องคำนึงถึงการทำงานของไตในการให้ Metoclopramide ในผู้สูงอายุ</t>
        </is>
      </c>
      <c r="I103" s="8" t="inlineStr">
        <is>
          <t>1</t>
        </is>
      </c>
      <c r="J103" s="2" t="inlineStr">
        <is>
          <t>✅ คำตอบที่ถูกต้อง: ข้อ ก. ผู้สูงอายุมีความเสี่ยงต่อ Extrapyramidal symptoms (EPS)/dystonia จาก D2 antagonist สูงกว่าคนหนุ่มสาว จึงควรติดตามอาการอย่างใกล้ชิดหรือพิจารณาทางเลือกอื่น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ผู้สูงอายุมีความเสี่ยงต่อ Extrapyramidal symptoms (EPS)/dystonia จาก D2 antagonist สูงกว่าคนหนุ่มสาว จึงควรติดตามอาการอย่างใกล้ชิดหรือพิจารณาทางเลือกอื่น ผู้สูงอายุ (&gt;65 ปี) มีความไวของตัวรับในสมองและการทำงานของไตลดลง ทำให้ระดับ Metoclopramide ในเลือดสูงขึ้น เสี่ยงต่อการเกิดภาวะ Extrapyramidal Symptoms (EPS) เช่น Acute dystonia, Akathisia และ Parkinsonism มากกว่าคนวัยหนุ่มสาว จึงต้องติดตามอาการใกล้ชิด หรือพิจารณาเลือกยาทางเลือกอื่น
🔍 ข้ออื่นผิดเพราะอะไร:
• ข้อ ข. (ผู้สูงอายุไม่มีความเสี่ยงพิเศษใดๆ เพิ่มเติมจาก D2 antagonist): ข้อนี้ไม่ใช่คำตอบที่ถูกต้องสำหรับภาวะ Nausea and vomiting เนื่องจากกลไกการออกฤทธิ์, efficacy หรือข้อบ่งใช้ไม่ตรงกับโจทย์ที่กำหนด
• ข้อ ค. (ควรเพิ่มขนาด Metoclopramide เป็น 2 เท่าในผู้สูงอายุเพื่อผลการรักษาที่ดีขึ้น): เป็น central และ peripheral D2 antagonist เพิ่ม gastric emptying และแก้อาเจียน แต่ผ่าน BBB จึงทำให้เกิด acute dystonia และ EPS ได้ง่าย
• ข้อ ง. (Metoclopramide ปลอดภัยกว่าในผู้สูงอายุเมื่อเทียบกับผู้ป่วยอายุน้อย): เป็น central และ peripheral D2 antagonist เพิ่ม gastric emptying และแก้อาเจียน แต่ผ่าน BBB จึงทำให้เกิด acute dystonia และ EPS ได้ง่าย
• ข้อ จ. (ไม่จำเป็นต้องคำนึงถึงการทำงานของไตในการให้ Metoclopramide ในผู้สูงอายุ): เป็น central และ peripheral D2 antagonist เพิ่ม gastric emptying และแก้อาเจียน แต่ผ่าน BBB จึงทำให้เกิด acute dystonia และ EPS ได้ง่าย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3" s="2" t="n"/>
      <c r="L103" s="2" t="inlineStr">
        <is>
          <t>Nausea and vomiting</t>
        </is>
      </c>
      <c r="M103" s="2" t="inlineStr">
        <is>
          <t>Clinic</t>
        </is>
      </c>
      <c r="N103" s="2" t="inlineStr">
        <is>
          <t>ข้อ 6.6 Mock GI RxCU84</t>
        </is>
      </c>
      <c r="O103" s="2" t="inlineStr">
        <is>
          <t>Mock</t>
        </is>
      </c>
      <c r="P103" s="2" t="inlineStr">
        <is>
          <t>Mock RxCU84</t>
        </is>
      </c>
    </row>
    <row r="104" ht="13.2" customHeight="1" s="37">
      <c r="A104" s="8" t="inlineStr">
        <is>
          <t>28</t>
        </is>
      </c>
      <c r="B104" s="2"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ผู้ป่วยรายนี้เพิ่งได้รับเคมีบำบัด cycle แรก หากในอนาคต cycle ที่ 3-4 ผู้ป่วยเริ่มมีอาการคลื่นไส้อาเจียนก่อนที่จะได้รับยาเคมีบำบัดรอบถัดไป (ขณะนั่งรอในโรงพยาบาล) กลไกและแนวทางการรักษาที่เหมาะสมที่สุดตามข้อใด?</t>
        </is>
      </c>
      <c r="C104" s="2" t="n"/>
      <c r="D104" s="2" t="inlineStr">
        <is>
          <t>เป็น acute emesis เพิ่มขนาด 5-HT3 antagonist</t>
        </is>
      </c>
      <c r="E104" s="2" t="inlineStr">
        <is>
          <t>เป็น delayed emesis เพิ่ม NK-1 antagonist</t>
        </is>
      </c>
      <c r="F104" s="2" t="inlineStr">
        <is>
          <t>เป็น Anticipatory emesis พิจารณาให้ Benzodiazepine (เช่น Lorazepam)</t>
        </is>
      </c>
      <c r="G104" s="2" t="inlineStr">
        <is>
          <t>เป็นผลจาก motion sickness ระหว่างเดินทางมาโรงพยาบาล ให้ Dimenhydrinate</t>
        </is>
      </c>
      <c r="H104" s="2" t="inlineStr">
        <is>
          <t>ไม่ต้องรักษาเพราะเป็นอาการทางจิตใจที่ไม่เกี่ยวกับเภสัชวิทยา</t>
        </is>
      </c>
      <c r="I104" s="8" t="inlineStr">
        <is>
          <t>3</t>
        </is>
      </c>
      <c r="J104" s="2" t="inlineStr">
        <is>
          <t>✅ คำตอบที่ถูกต้อง: ข้อ ค. เป็น Anticipatory emesis พิจารณาให้ Benzodiazepine (เช่น Lorazepam)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เป็น Anticipatory emesis พิจารณาให้ Benzodiazepine (เช่น Lorazepam) อาการคลื่นไส้อาเจียนที่เกิดขึ้นก่อนได้รับยาเคมีบำบัด (เช่น ได้กลิ่นโรงพยาบาล เห็นพยาบาล) คือภาวะ Anticipatory emesis ซึ่งเกิดจาก Classical conditioned response การรักษาหลักคือการให้ยากลุ่ม Benzodiazepines (เช่น Lorazepam) ก่อนการให้เคมีบำบัดในรอบถัดไป ร่วมกับการควบคุม Acute และ Delayed emesis ให้สมบูรณ์ตั้งแต่รอบแรกๆ
🔍 ข้ออื่นผิดเพราะอะไร:
• ข้อ ก. (เป็น acute emesis เพิ่มขนาด 5-HT3 antagonist): ข้อนี้ไม่ใช่คำตอบที่ถูกต้องสำหรับภาวะ Nausea and vomiting เนื่องจากกลไกการออกฤทธิ์, efficacy หรือข้อบ่งใช้ไม่ตรงกับโจทย์ที่กำหนด
• ข้อ ข. (เป็น delayed emesis เพิ่ม NK-1 antagonist): ข้อนี้ไม่ใช่คำตอบที่ถูกต้องสำหรับภาวะ Nausea and vomiting เนื่องจากกลไกการออกฤทธิ์, efficacy หรือข้อบ่งใช้ไม่ตรงกับโจทย์ที่กำหนด
• ข้อ ง. (เป็นผลจาก motion sickness ระหว่างเดินทางมาโรงพยาบาล ให้ Dimenhydrinate): ข้อนี้ไม่ใช่คำตอบที่ถูกต้องสำหรับภาวะ Nausea and vomiting เนื่องจากกลไกการออกฤทธิ์, efficacy หรือข้อบ่งใช้ไม่ตรงกับโจทย์ที่กำหนด
• ข้อ จ. (ไม่ต้องรักษาเพราะเป็นอาการทางจิตใจที่ไม่เกี่ยวกับเภสัชวิทยา): ข้อนี้ไม่ใช่คำตอบที่ถูกต้องสำหรับภาวะ Nausea and vomiting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4" s="2" t="n"/>
      <c r="L104" s="2" t="inlineStr">
        <is>
          <t>Nausea and vomiting</t>
        </is>
      </c>
      <c r="M104" s="2" t="inlineStr">
        <is>
          <t>Clinic</t>
        </is>
      </c>
      <c r="N104" s="2" t="inlineStr">
        <is>
          <t>ข้อ 6.7 Mock GI RxCU84</t>
        </is>
      </c>
      <c r="O104" s="2" t="inlineStr">
        <is>
          <t>Mock</t>
        </is>
      </c>
      <c r="P104" s="2" t="inlineStr">
        <is>
          <t>Mock RxCU84</t>
        </is>
      </c>
    </row>
    <row r="105" ht="13.2" customHeight="1" s="37">
      <c r="A105" s="8" t="inlineStr">
        <is>
          <t>29</t>
        </is>
      </c>
      <c r="B105" s="2"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ริดสีดวงทวารของผู้ป่วยรายนี้จัดเป็น grade ใด?</t>
        </is>
      </c>
      <c r="C105" s="2" t="n"/>
      <c r="D105" s="2" t="inlineStr">
        <is>
          <t>Grade I</t>
        </is>
      </c>
      <c r="E105" s="2" t="inlineStr">
        <is>
          <t>Grade II</t>
        </is>
      </c>
      <c r="F105" s="2" t="inlineStr">
        <is>
          <t>Grade III</t>
        </is>
      </c>
      <c r="G105" s="2" t="inlineStr">
        <is>
          <t>Grade IV</t>
        </is>
      </c>
      <c r="H105" s="2" t="inlineStr">
        <is>
          <t>External hemorrhoid (ไม่ใช้ระบบ grade I–IV)</t>
        </is>
      </c>
      <c r="I105" s="8" t="inlineStr">
        <is>
          <t>3</t>
        </is>
      </c>
      <c r="J105" s="2" t="inlineStr">
        <is>
          <t>✅ คำตอบที่ถูกต้อง: ข้อ ค. Grade III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Grade III เกณฑ์การจัดระดับ Internal Hemorrhoid ตาม Goligher classification:
🔍 ข้ออื่นผิดเพราะอะไร:
• ข้อ ก. (Grade I): ข้อนี้ไม่ใช่คำตอบที่ถูกต้องสำหรับภาวะ Diarrhea &amp; Constipation เนื่องจากกลไกการออกฤทธิ์, efficacy หรือข้อบ่งใช้ไม่ตรงกับโจทย์ที่กำหนด
• ข้อ ข. (Grade II): ข้อนี้ไม่ใช่คำตอบที่ถูกต้องสำหรับภาวะ Diarrhea &amp; Constipation เนื่องจากกลไกการออกฤทธิ์, efficacy หรือข้อบ่งใช้ไม่ตรงกับโจทย์ที่กำหนด
• ข้อ ง. (Grade IV): ข้อนี้ไม่ใช่คำตอบที่ถูกต้องสำหรับภาวะ Diarrhea &amp; Constipation เนื่องจากกลไกการออกฤทธิ์, efficacy หรือข้อบ่งใช้ไม่ตรงกับโจทย์ที่กำหนด
• ข้อ จ. (External hemorrhoid (ไม่ใช้ระบบ grade I–IV)):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5" s="2" t="n"/>
      <c r="L105" s="2" t="inlineStr">
        <is>
          <t>Diarrhea &amp; Constipation</t>
        </is>
      </c>
      <c r="M105" s="2" t="inlineStr">
        <is>
          <t>Clinic</t>
        </is>
      </c>
      <c r="N105" s="2" t="inlineStr">
        <is>
          <t>ข้อ 7.1 Mock GI RxCU84</t>
        </is>
      </c>
      <c r="O105" s="2" t="inlineStr">
        <is>
          <t>Mock</t>
        </is>
      </c>
      <c r="P105" s="2" t="inlineStr">
        <is>
          <t>Mock RxCU84</t>
        </is>
      </c>
    </row>
    <row r="106" ht="13.2" customHeight="1" s="37">
      <c r="A106" s="8" t="inlineStr">
        <is>
          <t>30</t>
        </is>
      </c>
      <c r="B106" s="2"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ข้อใดคือการประเมิน red flags / การส่งต่อ ที่เหมาะสมที่สุดสำหรับผู้ป่วยรายนี้?</t>
        </is>
      </c>
      <c r="C106" s="2" t="n"/>
      <c r="D106" s="2" t="inlineStr">
        <is>
          <t>ส่งต่อทำ colonoscopy ทันทีทุกกรณีเพราะมีเลือดออก</t>
        </is>
      </c>
      <c r="E106" s="2" t="inlineStr">
        <is>
          <t>ประเมินแล้วไม่มี red flag ชัดเจน จึงเริ่มดูแลแบบ conservative ที่ร้านยาได้ พร้อมแนะนำสัญญาณอันตรายที่ต้องกลับมาพบแพทย์</t>
        </is>
      </c>
      <c r="F106" s="2" t="inlineStr">
        <is>
          <t>จ่ายยาปฏิชีวนะชนิดรับประทานเพื่อกันติดเชื้อ</t>
        </is>
      </c>
      <c r="G106" s="2" t="inlineStr">
        <is>
          <t>แนะนำผ่าตัดริดสีดวงทันที</t>
        </is>
      </c>
      <c r="H106" s="2" t="inlineStr">
        <is>
          <t>หยุดสังเกตอาการเองที่บ้านนาน 3 เดือน โดยไม่ให้คำแนะนำหรือ warning signs ใด ๆ</t>
        </is>
      </c>
      <c r="I106" s="8" t="inlineStr">
        <is>
          <t>2</t>
        </is>
      </c>
      <c r="J106" s="2" t="inlineStr">
        <is>
          <t>✅ คำตอบที่ถูกต้อง: ข้อ ข. ประเมินแล้วไม่มี red flag ชัดเจน จึงเริ่มดูแลแบบ conservative ที่ร้านยาได้ พร้อมแนะนำสัญญาณอันตรายที่ต้องกลับมาพบแพทย์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ประเมินแล้วไม่มี red flag ชัดเจน จึงเริ่มดูแลแบบ conservative ที่ร้านยาได้ พร้อมแนะนำสัญญาณอันตรายที่ต้องกลับมาพบแพทย์ ตาม ASCRS 2024 Guidelines เลือดออกเป็นสีแดงสดหยดตามหลังถ่ายอุจจาระในผู้ป่วยอายุ
🔍 ข้ออื่นผิดเพราะอะไร:
• ข้อ ก. (ส่งต่อทำ colonoscopy ทันทีทุกกรณีเพราะมีเลือดออก): ข้อนี้ไม่ใช่คำตอบที่ถูกต้องสำหรับภาวะ Diarrhea &amp; Constipation เนื่องจากกลไกการออกฤทธิ์, efficacy หรือข้อบ่งใช้ไม่ตรงกับโจทย์ที่กำหนด
• ข้อ ค. (จ่ายยาปฏิชีวนะชนิดรับประทานเพื่อกันติดเชื้อ): ข้อนี้ไม่ใช่คำตอบที่ถูกต้องสำหรับภาวะ Diarrhea &amp; Constipation เนื่องจากกลไกการออกฤทธิ์, efficacy หรือข้อบ่งใช้ไม่ตรงกับโจทย์ที่กำหนด
• ข้อ ง. (แนะนำผ่าตัดริดสีดวงทันที): ข้อนี้ไม่ใช่คำตอบที่ถูกต้องสำหรับภาวะ Diarrhea &amp; Constipation เนื่องจากกลไกการออกฤทธิ์, efficacy หรือข้อบ่งใช้ไม่ตรงกับโจทย์ที่กำหนด
• ข้อ จ. (หยุดสังเกตอาการเองที่บ้านนาน 3 เดือน โดยไม่ให้คำแนะนำหรือ warning signs ใด ๆ):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2" t="n"/>
      <c r="L106" s="2" t="inlineStr">
        <is>
          <t>Diarrhea &amp; Constipation</t>
        </is>
      </c>
      <c r="M106" s="2" t="inlineStr">
        <is>
          <t>Clinic</t>
        </is>
      </c>
      <c r="N106" s="2" t="inlineStr">
        <is>
          <t>ข้อ 7.2 Mock GI RxCU84</t>
        </is>
      </c>
      <c r="O106" s="2" t="inlineStr">
        <is>
          <t>Mock</t>
        </is>
      </c>
      <c r="P106" s="2" t="inlineStr">
        <is>
          <t>Mock RxCU84</t>
        </is>
      </c>
    </row>
    <row r="107" ht="13.2" customHeight="1" s="37">
      <c r="A107" s="8" t="inlineStr">
        <is>
          <t>31</t>
        </is>
      </c>
      <c r="B107" s="2"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ตาม ASCRS 2024 การรักษา first-line ของผู้ป่วยรายนี้คือข้อใด?</t>
        </is>
      </c>
      <c r="C107" s="2" t="n"/>
      <c r="D107" s="2" t="inlineStr">
        <is>
          <t>Rubber band ligation</t>
        </is>
      </c>
      <c r="E107" s="2" t="inlineStr">
        <is>
          <t>Topical hydrocortisone + lidocaine suppository</t>
        </is>
      </c>
      <c r="F107" s="2" t="inlineStr">
        <is>
          <t>Dietary &amp; behavioral modification (เพิ่มใยอาหาร + ดื่มน้ำ + ปรับพฤติกรรมขับถ่าย)</t>
        </is>
      </c>
      <c r="G107" s="2" t="inlineStr">
        <is>
          <t>Hemorrhoidectomy</t>
        </is>
      </c>
      <c r="H107" s="2" t="inlineStr">
        <is>
          <t>จ่ายยาปฏิชีวนะชนิดรับประทานเพื่อป้องกันการติดเชื้อ</t>
        </is>
      </c>
      <c r="I107" s="8" t="inlineStr">
        <is>
          <t>3</t>
        </is>
      </c>
      <c r="J107" s="2" t="inlineStr">
        <is>
          <t>✅ คำตอบที่ถูกต้อง: ข้อ ค. Dietary &amp; behavioral modification (เพิ่มใยอาหาร + ดื่มน้ำ + ปรับพฤติกรรมขับถ่าย)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Dietary &amp; behavioral modification (เพิ่มใยอาหาร + ดื่มน้ำ + ปรับพฤติกรรมขับถ่าย) ตาม ASCRS 2024 guideline การรักษา first-line (First-line therapy) ในผู้ป่วยริดสีดวงทวารทุกระดับเกรดที่มีอาการ คือ Dietary and behavioral modification ได้แก่ การเพิ่มใยอาหาร (Fiber intake 25-35 g/day) ร่วมกับการดื่มน้ำให้เพียงพอ และการปรับเปลี่ยนพฤติกรรมการขับถ่าย (ไม่เบ่งถ่าย ไม่นั่งห้องน้ำนาน) เพื่อทำให้อุจจาระนุ่มและลดแรงดันที่กลุ่มเส้นเลือดขอด
🔍 ข้ออื่นผิดเพราะอะไร:
• ข้อ ก. (Rubber band ligation): ข้อนี้ไม่ใช่คำตอบที่ถูกต้องสำหรับภาวะ Diarrhea &amp; Constipation เนื่องจากกลไกการออกฤทธิ์, efficacy หรือข้อบ่งใช้ไม่ตรงกับโจทย์ที่กำหนด
• ข้อ ข. (Topical hydrocortisone + lidocaine suppository): เป็น short-acting glucocorticoid ที่มี mineralocorticoid activity สูง เป็น drug of choice สำหรับ acute adrenal insufficiency / adrenal crisis
• ข้อ ง. (Hemorrhoidectomy): ข้อนี้ไม่ใช่คำตอบที่ถูกต้องสำหรับภาวะ Diarrhea &amp; Constipation เนื่องจากกลไกการออกฤทธิ์, efficacy หรือข้อบ่งใช้ไม่ตรงกับโจทย์ที่กำหนด
• ข้อ จ. (จ่ายยาปฏิชีวนะชนิดรับประทานเพื่อป้องกันการติดเชื้อ):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2" t="n"/>
      <c r="L107" s="2" t="inlineStr">
        <is>
          <t>Diarrhea &amp; Constipation</t>
        </is>
      </c>
      <c r="M107" s="2" t="inlineStr">
        <is>
          <t>Clinic</t>
        </is>
      </c>
      <c r="N107" s="2" t="inlineStr">
        <is>
          <t>ข้อ 7.3 Mock GI RxCU84</t>
        </is>
      </c>
      <c r="O107" s="2" t="inlineStr">
        <is>
          <t>Mock</t>
        </is>
      </c>
      <c r="P107" s="2" t="inlineStr">
        <is>
          <t>Mock RxCU84</t>
        </is>
      </c>
    </row>
    <row r="108" ht="13.2" customHeight="1" s="37">
      <c r="A108" s="8" t="inlineStr">
        <is>
          <t>32</t>
        </is>
      </c>
      <c r="B108" s="2"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ต้องการจ่ายยาระบายเพื่อลดการเบ่งและลดเลือดออกในระยะยาว ควรเลือกยากลุ่มใด และต้องให้คำแนะนำสำคัญข้อใด?</t>
        </is>
      </c>
      <c r="C108" s="2" t="n"/>
      <c r="D108" s="2" t="inlineStr">
        <is>
          <t>Senna + แนะนำใช้เฉพาะเวลาปวด</t>
        </is>
      </c>
      <c r="E108" s="2" t="inlineStr">
        <is>
          <t>Psyllium (bulk-forming) + แนะนำดื่มน้ำตามให้พอ และใช้ต่อเนื่อง ≥ 6 สัปดาห์</t>
        </is>
      </c>
      <c r="F108" s="2" t="inlineStr">
        <is>
          <t>Bisacodyl + แนะนำใช้ก่อนนอนทุกคืนถาวร</t>
        </is>
      </c>
      <c r="G108" s="2" t="inlineStr">
        <is>
          <t>Glycerin suppository + แนะนำสวนทุกเช้า</t>
        </is>
      </c>
      <c r="H108" s="2" t="inlineStr">
        <is>
          <t>Lactulose + แนะนำใช้เฉพาะเมื่อมีอาการปวดเท่านั้น</t>
        </is>
      </c>
      <c r="I108" s="8" t="inlineStr">
        <is>
          <t>2</t>
        </is>
      </c>
      <c r="J108" s="2" t="inlineStr">
        <is>
          <t>✅ คำตอบที่ถูกต้อง: ข้อ ข. Psyllium (bulk-forming) + แนะนำดื่มน้ำตามให้พอ และใช้ต่อเนื่อง ≥ 6 สัปดาห์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Psyllium (bulk-forming) + แนะนำดื่มน้ำตามให้พอ และใช้ต่อเนื่อง ≥ 6 สัปดาห์ ยากลุ่ม Bulk-forming laxatives เช่น Psyllium seed husk เป็นตัวเลือกอันดับหนึ่งในการรักษาอาการท้องผูกในริดสีดวงทวาร ช่วยเพิ่มมวลและอุจจาระนุ่ม ลดแรงต้านและการเบ่งถ่าย โดยต้องแนะนำให้ดื่มน้ำตามในปริมาณที่เพียงพอ (อย่างน้อย 1-2 แก้ว) เพื่อป้องกันภาวะลำไส้อุดตัน และควรใช้ต่อเนื่องอย่างน้อย 6 สัปดาห์จึงจะเห็นผลลัพธ์ลดการมีเลือดออกอย่างชัดเจน
🔍 ข้ออื่นผิดเพราะอะไร:
• ข้อ ก. (Senna + แนะนำใช้เฉพาะเวลาปวด): เป็น Anthraquinone stimulant laxative กระตุ้น myenteric plexus แต่การใช้ระยะยาวอาจทำให้เกิด melanosis coli และ bowel dependence
• ข้อ ค. (Bisacodyl + แนะนำใช้ก่อนนอนทุกคืนถาวร):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(Glycerin suppository + แนะนำสวนทุกเช้า): ข้อนี้ไม่ใช่คำตอบที่ถูกต้องสำหรับภาวะ Diarrhea &amp; Constipation เนื่องจากกลไกการออกฤทธิ์, efficacy หรือข้อบ่งใช้ไม่ตรงกับโจทย์ที่กำหนด
• ข้อ จ. (Lactulose + แนะนำใช้เฉพาะเมื่อมีอาการปวดเท่านั้น):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2" t="n"/>
      <c r="L108" s="2" t="inlineStr">
        <is>
          <t>Diarrhea &amp; Constipation</t>
        </is>
      </c>
      <c r="M108" s="2" t="inlineStr">
        <is>
          <t>Clinic</t>
        </is>
      </c>
      <c r="N108" s="2" t="inlineStr">
        <is>
          <t>ข้อ 7.4 Mock GI RxCU84</t>
        </is>
      </c>
      <c r="O108" s="2" t="inlineStr">
        <is>
          <t>Mock</t>
        </is>
      </c>
      <c r="P108" s="2" t="inlineStr">
        <is>
          <t>Mock RxCU84</t>
        </is>
      </c>
    </row>
    <row r="109" ht="13.2" customHeight="1" s="37">
      <c r="A109" s="8" t="inlineStr">
        <is>
          <t>33</t>
        </is>
      </c>
      <c r="B109" s="2"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ผู้ป่วยยังมีเลือดออกและปวดจากริดสีดวงกำเริบ ต้องการยารับประทานเสริม จึงเลือก MPFF (Daflon® 500 mg) ขนาดยาในระยะ acute hemorrhoidal attack ที่ถูกต้องคือข้อใด?</t>
        </is>
      </c>
      <c r="C109" s="2" t="n"/>
      <c r="D109" s="2" t="inlineStr">
        <is>
          <t>1 เม็ด วันละครั้ง ต่อเนื่อง</t>
        </is>
      </c>
      <c r="E109" s="2" t="inlineStr">
        <is>
          <t>2 เม็ด/วัน ตลอด</t>
        </is>
      </c>
      <c r="F109" s="2" t="inlineStr">
        <is>
          <t>6 เม็ด/วัน นาน 4 วัน ตามด้วย 4 เม็ด/วัน อีก 3 วัน</t>
        </is>
      </c>
      <c r="G109" s="2" t="inlineStr">
        <is>
          <t>2 เม็ด วันละ 3 ครั้ง นาน 14 วัน</t>
        </is>
      </c>
      <c r="H109" s="2" t="inlineStr">
        <is>
          <t>3 เม็ด/วัน นาน 7 วัน แล้วหยุด</t>
        </is>
      </c>
      <c r="I109" s="8" t="inlineStr">
        <is>
          <t>3</t>
        </is>
      </c>
      <c r="J109" s="2" t="inlineStr">
        <is>
          <t>✅ คำตอบที่ถูกต้อง: ข้อ ค. 6 เม็ด/วัน นาน 4 วัน ตามด้วย 4 เม็ด/วัน อีก 3 วัน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6 เม็ด/วัน นาน 4 วัน ตามด้วย 4 เม็ด/วัน อีก 3 วัน ขนาดยา Micronized Purified Flavonoid Fraction (MPFF / Daflon 500 mg: Diosmin 450 mg + Hesperidin 50 mg) สำหรับระยะ Acute hemorrhoidal attack คือ: 6 เม็ดต่อวัน (แบ่งทานครั้งละ 2 เม็ด วันละ 3 ครั้ง) ในช่วง 4 วันแรก จากนั้นลดลงเหลือ 4 เม็ดต่อวัน (ครั้งละ 2 เม็ด วันละ 2 ครั้ง) ในช่วง 3 วันถัดมา เพื่อเพิ่ม venous tone ลดการซึมผ่านของหลอดเลือด และลดการอักเสบเฉียบพลัน
🔍 ข้ออื่นผิดเพราะอะไร:
• ข้อ ก. (1 เม็ด วันละครั้ง ต่อเนื่อง): ข้อนี้ไม่ใช่คำตอบที่ถูกต้องสำหรับภาวะ Diarrhea &amp; Constipation เนื่องจากกลไกการออกฤทธิ์, efficacy หรือข้อบ่งใช้ไม่ตรงกับโจทย์ที่กำหนด
• ข้อ ข. (2 เม็ด/วัน ตลอด): ข้อนี้ไม่ใช่คำตอบที่ถูกต้องสำหรับภาวะ Diarrhea &amp; Constipation เนื่องจากกลไกการออกฤทธิ์, efficacy หรือข้อบ่งใช้ไม่ตรงกับโจทย์ที่กำหนด
• ข้อ ง. (2 เม็ด วันละ 3 ครั้ง นาน 14 วัน): ข้อนี้ไม่ใช่คำตอบที่ถูกต้องสำหรับภาวะ Diarrhea &amp; Constipation เนื่องจากกลไกการออกฤทธิ์, efficacy หรือข้อบ่งใช้ไม่ตรงกับโจทย์ที่กำหนด
• ข้อ จ. (3 เม็ด/วัน นาน 7 วัน แล้วหยุด):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2" t="n"/>
      <c r="L109" s="2" t="inlineStr">
        <is>
          <t>Diarrhea &amp; Constipation</t>
        </is>
      </c>
      <c r="M109" s="2" t="inlineStr">
        <is>
          <t>Clinic</t>
        </is>
      </c>
      <c r="N109" s="2" t="inlineStr">
        <is>
          <t>ข้อ 7.5 Mock GI RxCU84</t>
        </is>
      </c>
      <c r="O109" s="2" t="inlineStr">
        <is>
          <t>Mock</t>
        </is>
      </c>
      <c r="P109" s="2" t="inlineStr">
        <is>
          <t>Mock RxCU84</t>
        </is>
      </c>
    </row>
    <row r="110" ht="13.2" customHeight="1" s="37">
      <c r="A110" s="8" t="inlineStr">
        <is>
          <t>34</t>
        </is>
      </c>
      <c r="B110" s="2"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ผู้ป่วยถามถึง ยาเหน็บ/ยาทาริดสีดวง (สูตรผสมยาชา + astringent + steroid) ข้อใดคือคำอธิบายที่ถูกต้องที่สุด?</t>
        </is>
      </c>
      <c r="C110" s="2" t="n"/>
      <c r="D110" s="2" t="inlineStr">
        <is>
          <t>รักษาริดสีดวงให้หายขาดและป้องกันการเป็นซ้ำได้</t>
        </is>
      </c>
      <c r="E110" s="2" t="inlineStr">
        <is>
          <t>บรรเทาอาการปวด/คัน/บวม/ระคายเคืองได้ในระยะสั้นแต่ไม่มีผลต่อการหายของโรคหรือป้องกันการเป็นซ้ำ และควรใช้ระยะสั้น</t>
        </is>
      </c>
      <c r="F110" s="2" t="inlineStr">
        <is>
          <t>ใช้แทนการปรับอาหารได้ เพราะเป็น first-line</t>
        </is>
      </c>
      <c r="G110" s="2" t="inlineStr">
        <is>
          <t>ยิ่งใช้นานยิ่งดี ไม่มีผลข้างเคียง</t>
        </is>
      </c>
      <c r="H110" s="2" t="inlineStr">
        <is>
          <t>ใช้ได้เฉพาะเมื่อมีการติดเชื้อแบคทีเรียที่ทวารหนักเท่านั้น</t>
        </is>
      </c>
      <c r="I110" s="8" t="inlineStr">
        <is>
          <t>2</t>
        </is>
      </c>
      <c r="J110" s="2" t="inlineStr">
        <is>
          <t>✅ คำตอบที่ถูกต้อง: ข้อ ข. บรรเทาอาการปวด/คัน/บวม/ระคายเคืองได้ในระยะสั้นแต่ไม่มีผลต่อการหายของโรคหรือป้องกันการเป็นซ้ำ และควรใช้ระยะสั้น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บรรเทาอาการปวด/คัน/บวม/ระคายเคืองได้ในระยะสั้นแต่ไม่มีผลต่อการหายของโรคหรือป้องกันการเป็นซ้ำ และควรใช้ระยะสั้น ยาเหน็บหรือยาทาริดสีดวงทวารชนิดผสม (Corticosteroid + Local anesthetic + Astringent) มีบทบาทเพียงบรรเทาอาการปวด คัน บวม แสบระคายเคืองในระยะสั้น (Short-term symptomatic relief) เท่านั้น ไม่ได้ช่วยรักษาโรคให้หายขาดหรือป้องกันการเป็นซ้ำ และไม่ควรใช้ติดต่อกันนานเกิน 7 วัน เนื่องจากเสี่ยงต่อภาวะผิวหนังรอบทวารบางลง (Skin atrophy) และการดูดซึมสเตียรอยด์เข้าสู่ระบบร่างกาย
🔍 ข้ออื่นผิดเพราะอะไร:
• ข้อ ก. (รักษาริดสีดวงให้หายขาดและป้องกันการเป็นซ้ำได้): ข้อนี้ไม่ใช่คำตอบที่ถูกต้องสำหรับภาวะ Diarrhea &amp; Constipation เนื่องจากกลไกการออกฤทธิ์, efficacy หรือข้อบ่งใช้ไม่ตรงกับโจทย์ที่กำหนด
• ข้อ ค. (ใช้แทนการปรับอาหารได้ เพราะเป็น first-line): ข้อนี้ไม่ใช่คำตอบที่ถูกต้องสำหรับภาวะ Diarrhea &amp; Constipation เนื่องจากกลไกการออกฤทธิ์, efficacy หรือข้อบ่งใช้ไม่ตรงกับโจทย์ที่กำหนด
• ข้อ ง. (ยิ่งใช้นานยิ่งดี ไม่มีผลข้างเคียง): ข้อนี้ไม่ใช่คำตอบที่ถูกต้องสำหรับภาวะ Diarrhea &amp; Constipation เนื่องจากกลไกการออกฤทธิ์, efficacy หรือข้อบ่งใช้ไม่ตรงกับโจทย์ที่กำหนด
• ข้อ จ. (ใช้ได้เฉพาะเมื่อมีการติดเชื้อแบคทีเรียที่ทวารหนักเท่านั้น):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2" t="n"/>
      <c r="L110" s="2" t="inlineStr">
        <is>
          <t>Diarrhea &amp; Constipation</t>
        </is>
      </c>
      <c r="M110" s="2" t="inlineStr">
        <is>
          <t>Clinic</t>
        </is>
      </c>
      <c r="N110" s="2" t="inlineStr">
        <is>
          <t>ข้อ 7.6 Mock GI RxCU84</t>
        </is>
      </c>
      <c r="O110" s="2" t="inlineStr">
        <is>
          <t>Mock</t>
        </is>
      </c>
      <c r="P110" s="2" t="inlineStr">
        <is>
          <t>Mock RxCU84</t>
        </is>
      </c>
    </row>
    <row r="111" ht="13.2" customHeight="1" s="37">
      <c r="A111" s="8" t="inlineStr">
        <is>
          <t>35</t>
        </is>
      </c>
      <c r="B111" s="2"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สมมติเปลี่ยนสถานการณ์: หากผู้ป่วยรายนี้ตั้งครรภ์ไตรมาส 3 และปวดริดสีดวงมาก ข้อใดคือยาบรรเทาปวดที่เหมาะสมที่สุด และยาใดที่ต้องหลีกเลี่ยง?</t>
        </is>
      </c>
      <c r="C111" s="2" t="n"/>
      <c r="D111" s="2" t="inlineStr">
        <is>
          <t>Ibuprofen เหมาะสม / หลีกเลี่ยง paracetamol</t>
        </is>
      </c>
      <c r="E111" s="2" t="inlineStr">
        <is>
          <t>Paracetamol เหมาะสม / หลีกเลี่ยง NSAIDs (เช่น ibuprofen, diclofenac) และ aspirin</t>
        </is>
      </c>
      <c r="F111" s="2" t="inlineStr">
        <is>
          <t>Aspirin เหมาะสม / หลีกเลี่ยง psyllium</t>
        </is>
      </c>
      <c r="G111" s="2" t="inlineStr">
        <is>
          <t>Naproxen เหมาะสม / หลีกเลี่ยง sitz bath</t>
        </is>
      </c>
      <c r="H111" s="2" t="inlineStr">
        <is>
          <t>Tramadol เป็นทางเลือกแรก / หลีกเลี่ยง paracetamol และ sitz bath</t>
        </is>
      </c>
      <c r="I111" s="8" t="inlineStr">
        <is>
          <t>2</t>
        </is>
      </c>
      <c r="J111" s="2" t="inlineStr">
        <is>
          <t>✅ คำตอบที่ถูกต้อง: ข้อ ข. Paracetamol เหมาะสม / หลีกเลี่ยง NSAIDs (เช่น ibuprofen, diclofenac) และ aspirin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Paracetamol เหมาะสม / หลีกเลี่ยง NSAIDs (เช่น ibuprofen, diclofenac) และ aspirin ในหญิงตั้งครรภ์ไตรมาสที่ 3 Paracetamol ถือเป็นยาแก้ปวดที่ปลอดภัยและเหมาะสมเป็น First-line therapy ส่วนยากลุ่ม NSAIDs (เช่น Ibuprofen, Diclofenac, Naproxen) และ Aspirin มี contraindication เด็ดขาดเนื่องจากเสี่ยงต่อการปิดก่อนกำหนดของหลอดเลือดหัวใจทารก (Premature closure of ductus arteriosus) และภาวะน้ำคร่ำน้อย (Oligohydramnios)
🔍 ข้ออื่นผิดเพราะอะไร:
• ข้อ ก. (Ibuprofen เหมาะสม / หลีกเลี่ยง paracetamol):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(Aspirin เหมาะสม / หลีกเลี่ยง psyllium): เป็น irreversible COX-1 inhibitor ยับยั้ง Thromboxane A2 เป็นแกนหลักใน antiplatelet secondary prevention ของ CVD (ขนาดยา 75-100 mg/day)
• ข้อ ง. (Naproxen เหมาะสม / หลีกเลี่ยง sitz bath): เป็น non-selective NSAID ที่มี cardiovascular safety profile ดีที่สุด และมี efficacy สูงในการระงับ acute inflammation
• ข้อ จ. (Tramadol เป็นทางเลือกแรก / หลีกเลี่ยง paracetamol และ sitz bath): เป็น weak mu-opioid agonist และ SNRI เป็นเพียง second-line / add-on สำหรับ pain relief ไม่มีฤทธิ์ลดการอักเสบ (no anti-inflammatory efficacy) และเสี่ยงต่อ serotonin syndrome และชัก
📖 Guideline อ้างอิง:
National Comprehensive Cancer Network (NCCN) Clinical Practice Guidelines in Oncology &amp; MASCC/ESMO Antiemetic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1" s="2" t="n"/>
      <c r="L111" s="2" t="inlineStr">
        <is>
          <t>Diarrhea &amp; Constipation</t>
        </is>
      </c>
      <c r="M111" s="2" t="inlineStr">
        <is>
          <t>Clinic</t>
        </is>
      </c>
      <c r="N111" s="2" t="inlineStr">
        <is>
          <t>ข้อ 7.7 Mock GI RxCU84</t>
        </is>
      </c>
      <c r="O111" s="2" t="inlineStr">
        <is>
          <t>Mock</t>
        </is>
      </c>
      <c r="P111" s="2" t="inlineStr">
        <is>
          <t>Mock RxCU84</t>
        </is>
      </c>
    </row>
    <row r="112" ht="13.2" customHeight="1" s="37">
      <c r="A112" s="8" t="inlineStr">
        <is>
          <t>111</t>
        </is>
      </c>
      <c r="B112" s="2" t="inlineStr">
        <is>
          <t>ข้อใดไม่ใช่ปัจจัยที่นำไปสู่การเกิด peptic ulcer disease ในผู้ป่วยรายนี้ ตามแนวเวชปฏิบัติ dyspepsia ไทย 2561</t>
        </is>
      </c>
      <c r="C112" s="2" t="n"/>
      <c r="D112" s="2" t="inlineStr">
        <is>
          <t>ใช้ naproxen เป็นเวลานาน</t>
        </is>
      </c>
      <c r="E112" s="2" t="inlineStr">
        <is>
          <t>สูงอายุ</t>
        </is>
      </c>
      <c r="F112" s="2" t="inlineStr">
        <is>
          <t>โรคอ้วน</t>
        </is>
      </c>
      <c r="G112" s="2" t="inlineStr">
        <is>
          <t>ใช้ aspirin เป็นเวลานาน</t>
        </is>
      </c>
      <c r="H112" s="2" t="inlineStr">
        <is>
          <t>ติดเชื้อ H. pylori</t>
        </is>
      </c>
      <c r="I112" s="8" t="inlineStr">
        <is>
          <t>1</t>
        </is>
      </c>
      <c r="J112" s="2" t="inlineStr">
        <is>
          <t>✅ คำตอบที่ถูกต้อง: ข้อ ก. ใช้ naproxen เป็นเวลานาน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(ใช้ naproxen เป็นเวลานาน): เป็น non-selective NSAID ที่มี cardiovascular safety profile ดีที่สุด และมี efficacy สูงในการระงับ acute inflammation
• ข้อ ค. (สูงอายุ): ข้อนี้ไม่ใช่คำตอบที่ถูกต้องสำหรับภาวะ Dyspepsia &amp; PUD เนื่องจากกลไกการออกฤทธิ์, efficacy หรือข้อบ่งใช้ไม่ตรงกับโจทย์ที่กำหนด
• ข้อ ง. (โรคอ้วน): ข้อนี้ไม่ใช่คำตอบที่ถูกต้องสำหรับภาวะ Dyspepsia &amp; PUD เนื่องจากกลไกการออกฤทธิ์, efficacy หรือข้อบ่งใช้ไม่ตรงกับโจทย์ที่กำหนด
• ข้อ จ. (ใช้ aspirin เป็นเวลานาน): เป็น irreversible COX-1 inhibitor ยับยั้ง Thromboxane A2 เป็นแกนหลักใน antiplatelet secondary prevention ของ CVD (ขนาดยา 75-100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2" s="2" t="n"/>
      <c r="L112" s="2" t="inlineStr">
        <is>
          <t>Dyspepsia &amp; PUD</t>
        </is>
      </c>
      <c r="M112" s="2" t="inlineStr">
        <is>
          <t>Peptic Ulcer / GERD</t>
        </is>
      </c>
      <c r="N112" s="2" t="inlineStr">
        <is>
          <t>PLE_CC1_2567_Key ข้อ 8</t>
        </is>
      </c>
      <c r="O112" s="2" t="inlineStr">
        <is>
          <t>ข้อสอบจริง</t>
        </is>
      </c>
      <c r="P112" s="2" t="inlineStr">
        <is>
          <t>ปี 2567</t>
        </is>
      </c>
      <c r="Q112" s="2" t="n"/>
    </row>
    <row r="113" ht="13.2" customHeight="1" s="37">
      <c r="A113" s="8" t="inlineStr">
        <is>
          <t>112</t>
        </is>
      </c>
      <c r="B113" s="2" t="inlineStr">
        <is>
          <t>หากต้องการให้ยาปลดปล่อยทันทีในกระเพาะอาหารและลำไส้เล็ก (Immediate release) ต้องใช้สารในข้อใด เป็นสารเคลือบ จากโครงสรางจะเหนวาม OH หลายตวมาก แปลวาม ความเปน polar มากละลายนดมาก ไมละลายในตว ทละลายพวก organic solvent เพราะฉะนนนม ความเปน polar สงเหมาะสมทสด</t>
        </is>
      </c>
      <c r="C113" s="2" t="n"/>
      <c r="D113" s="2" t="inlineStr">
        <is>
          <t>Cellulose acetate</t>
        </is>
      </c>
      <c r="E113" s="2" t="inlineStr">
        <is>
          <t>Phthalate</t>
        </is>
      </c>
      <c r="F113" s="2" t="inlineStr">
        <is>
          <t>Shellac</t>
        </is>
      </c>
      <c r="G113" s="2" t="inlineStr">
        <is>
          <t>ethyl cellulose</t>
        </is>
      </c>
      <c r="H113" s="2" t="inlineStr">
        <is>
          <t>PVA สารไมละลายน ทใหยาปลดปลอยชา for extended release สารไมละลายน ทใหยาปลดปลอยชา for extended release สารละลายน immediate release PLE-PC1 Preparation 2567</t>
        </is>
      </c>
      <c r="I113" s="8" t="inlineStr">
        <is>
          <t>1</t>
        </is>
      </c>
      <c r="J113" s="2"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(Cellulose acetate): ข้อนี้ไม่ใช่คำตอบที่ถูกต้องสำหรับภาวะ Dyspepsia &amp; PUD เนื่องจากกลไกการออกฤทธิ์, efficacy หรือข้อบ่งใช้ไม่ตรงกับโจทย์ที่กำหนด
• ข้อ ค. (Phthalate): ข้อนี้ไม่ใช่คำตอบที่ถูกต้องสำหรับภาวะ Dyspepsia &amp; PUD เนื่องจากกลไกการออกฤทธิ์, efficacy หรือข้อบ่งใช้ไม่ตรงกับโจทย์ที่กำหนด
• ข้อ ง. (Shellac): ข้อนี้ไม่ใช่คำตอบที่ถูกต้องสำหรับภาวะ Dyspepsia &amp; PUD เนื่องจากกลไกการออกฤทธิ์, efficacy หรือข้อบ่งใช้ไม่ตรงกับโจทย์ที่กำหนด
• ข้อ จ. (ethyl cellulose):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2" t="n"/>
      <c r="L113" s="2" t="inlineStr">
        <is>
          <t>Dyspepsia &amp; PUD</t>
        </is>
      </c>
      <c r="M113" s="2" t="inlineStr">
        <is>
          <t>Peptic Ulcer / GERD</t>
        </is>
      </c>
      <c r="N113" s="2" t="inlineStr">
        <is>
          <t>PLE_CC1_2567_Key ข้อ 91</t>
        </is>
      </c>
      <c r="O113" s="2" t="inlineStr">
        <is>
          <t>ข้อสอบจริง</t>
        </is>
      </c>
      <c r="P113" s="2" t="inlineStr">
        <is>
          <t>ปี 2567</t>
        </is>
      </c>
      <c r="Q113" s="2" t="n"/>
    </row>
    <row r="114" ht="13.2" customHeight="1" s="37">
      <c r="A114" s="8" t="inlineStr">
        <is>
          <t>113</t>
        </is>
      </c>
      <c r="B114" s="2" t="inlineStr">
        <is>
          <t>ข@อใดต6อไปนี้ถูกต@องเกี่ยวกับการใช@ Proton Pump Inhibitors (PPI) Antacid สามารถใช@ร6วมกับ PPI ได@ โดยแนะนำทานหลัง PPI อย6างน@อย 30-60 นาที ถ@ากินพร@อมกัน PPI จะดูดซึมลดลง Bismuth subsalicylate สามารถใช@ร6วมกับ PPI ในการรักษา H. pylori โดยแนะนำทานหลัง PPI อย6าง น@อย 30 นาที เนื่องจาก bismuth จะเคลือบกระเพาะ ทำให@การดูดซึมของ PPI ลดลงได@</t>
        </is>
      </c>
      <c r="C114" s="2" t="n"/>
      <c r="D114" s="2" t="inlineStr">
        <is>
          <t>Peptic Ulcer / GERD</t>
        </is>
      </c>
      <c r="E114" s="2" t="inlineStr">
        <is>
          <t>Metoclopramide 10 mg TID before meals</t>
        </is>
      </c>
      <c r="F114" s="2" t="inlineStr">
        <is>
          <t>Omeprazole 20 mg OD</t>
        </is>
      </c>
      <c r="G114" s="2" t="inlineStr">
        <is>
          <t>Esomeprazole 20 mg OD</t>
        </is>
      </c>
      <c r="H114" s="2" t="inlineStr">
        <is>
          <t>Domperidone 10 mg TID</t>
        </is>
      </c>
      <c r="I114" s="8" t="inlineStr">
        <is>
          <t>1</t>
        </is>
      </c>
      <c r="J114" s="2"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2" t="n"/>
      <c r="L114" s="2" t="inlineStr">
        <is>
          <t>GERD</t>
        </is>
      </c>
      <c r="M114" s="2" t="inlineStr">
        <is>
          <t>Peptic Ulcer / GERD</t>
        </is>
      </c>
      <c r="N114" s="2" t="inlineStr">
        <is>
          <t>PLE_CC1_2567_Key ข้อ 99</t>
        </is>
      </c>
      <c r="O114" s="2" t="inlineStr">
        <is>
          <t>ข้อสอบจริง</t>
        </is>
      </c>
      <c r="P114" s="2" t="inlineStr">
        <is>
          <t>ปี 2567</t>
        </is>
      </c>
    </row>
    <row r="115" ht="13.2" customHeight="1" s="37">
      <c r="A115" s="8" t="inlineStr">
        <is>
          <t>114</t>
        </is>
      </c>
      <c r="B115" s="2" t="inlineStr">
        <is>
          <t>ข้อใดไม่ใช่ปัจจัยที่นำไปสู่การเกิด peptic ulcer disease ในผู้ป่วยรายนี้ ตามแนวเวชปฏิบัติ dyspepsia ไทย 2561</t>
        </is>
      </c>
      <c r="C115" s="2" t="n"/>
      <c r="D115" s="2" t="inlineStr">
        <is>
          <t>Dolutegravir</t>
        </is>
      </c>
      <c r="E115" s="2" t="inlineStr">
        <is>
          <t>Lopinavir/Ritonavir</t>
        </is>
      </c>
      <c r="F115" s="2" t="inlineStr">
        <is>
          <t>Etravirine</t>
        </is>
      </c>
      <c r="G115" s="2" t="inlineStr">
        <is>
          <t>Emtricitabine</t>
        </is>
      </c>
      <c r="H115" s="2" t="inlineStr">
        <is>
          <t>Enfuvirtide (INSTI)</t>
        </is>
      </c>
      <c r="I115" s="8" t="inlineStr">
        <is>
          <t>1</t>
        </is>
      </c>
      <c r="J115" s="2" t="inlineStr">
        <is>
          <t>✅ คำตอบที่ถูกต้อง: ข้อ ก. Dolutegravir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(Dolutegravir): เป็น Integrase strand transfer inhibitor (INSTI) มี genetic barrier ต่อการดื้อยาสูงมาก และ efficacy สูงในการกด viral load ได้อย่างรวดเร็ว
• ข้อ ค. (Lopinavir/Ritonavir): ข้อนี้ไม่ใช่คำตอบที่ถูกต้องสำหรับภาวะ Dyspepsia &amp; PUD เนื่องจากกลไกการออกฤทธิ์, efficacy หรือข้อบ่งใช้ไม่ตรงกับโจทย์ที่กำหนด
• ข้อ ง. (Etravirine): ข้อนี้ไม่ใช่คำตอบที่ถูกต้องสำหรับภาวะ Dyspepsia &amp; PUD เนื่องจากกลไกการออกฤทธิ์, efficacy หรือข้อบ่งใช้ไม่ตรงกับโจทย์ที่กำหนด
• ข้อ จ. (Emtricitabine):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2" t="n"/>
      <c r="L115" s="2" t="inlineStr">
        <is>
          <t>Dyspepsia &amp; PUD</t>
        </is>
      </c>
      <c r="M115" s="2" t="inlineStr">
        <is>
          <t>Peptic Ulcer / GERD</t>
        </is>
      </c>
      <c r="N115" s="2" t="inlineStr">
        <is>
          <t>PLE_CC1_2567_Set1_Key ข้อ 8</t>
        </is>
      </c>
      <c r="O115" s="2" t="inlineStr">
        <is>
          <t>ข้อสอบจริง</t>
        </is>
      </c>
      <c r="P115" s="2" t="inlineStr">
        <is>
          <t>ปี 2567</t>
        </is>
      </c>
      <c r="Q115" s="2" t="n"/>
    </row>
    <row r="116" ht="13.2" customHeight="1" s="37">
      <c r="A116" s="8" t="inlineStr">
        <is>
          <t>115</t>
        </is>
      </c>
      <c r="B116" s="2" t="inlineStr">
        <is>
          <t>หากต้องการให้ยาปลดปล่อยทันทีในกระเพาะอาหารและลำไส้เล็ก (Immediate release) ต้องใช้สารในข้อใด เป็นสารเคลือบ จากโครงสIางจะเJนKาL OH หลายMวมาก แปลKาL ความเNน polar มากละลาย(Oมาก ไQละลายในMว ,ละลายพวก organic solvent เพราะฉะUน(L ความเNน polar =งเหมาะสมVWด</t>
        </is>
      </c>
      <c r="C116" s="2" t="n"/>
      <c r="D116" s="2" t="inlineStr">
        <is>
          <t>Cellulose acetate</t>
        </is>
      </c>
      <c r="E116" s="2" t="inlineStr">
        <is>
          <t>Phthalate</t>
        </is>
      </c>
      <c r="F116" s="2" t="inlineStr">
        <is>
          <t>Shellac</t>
        </is>
      </c>
      <c r="G116" s="2" t="inlineStr">
        <is>
          <t>ethyl cellulose</t>
        </is>
      </c>
      <c r="H116" s="2" t="inlineStr">
        <is>
          <t>PVA สารไQละลาย( ,ใXยาปลดปYอยZา for extended release สารไQละลาย( ,ใXยาปลดปYอยZา for extended release สารละลาย( immediate release PLE-PC1 Preparation 2567 PLE-PC1 Preparation 2567 ✅</t>
        </is>
      </c>
      <c r="I116" s="8" t="inlineStr">
        <is>
          <t>1</t>
        </is>
      </c>
      <c r="J116" s="2"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(Cellulose acetate): ข้อนี้ไม่ใช่คำตอบที่ถูกต้องสำหรับภาวะ Dyspepsia &amp; PUD เนื่องจากกลไกการออกฤทธิ์, efficacy หรือข้อบ่งใช้ไม่ตรงกับโจทย์ที่กำหนด
• ข้อ ค. (Phthalate): ข้อนี้ไม่ใช่คำตอบที่ถูกต้องสำหรับภาวะ Dyspepsia &amp; PUD เนื่องจากกลไกการออกฤทธิ์, efficacy หรือข้อบ่งใช้ไม่ตรงกับโจทย์ที่กำหนด
• ข้อ ง. (Shellac): ข้อนี้ไม่ใช่คำตอบที่ถูกต้องสำหรับภาวะ Dyspepsia &amp; PUD เนื่องจากกลไกการออกฤทธิ์, efficacy หรือข้อบ่งใช้ไม่ตรงกับโจทย์ที่กำหนด
• ข้อ จ. (ethyl cellulose): ข้อนี้ไม่ใช่คำตอบที่ถูกต้องสำหรับภาวะ Dyspepsia &amp; PUD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2" t="n"/>
      <c r="L116" s="2" t="inlineStr">
        <is>
          <t>Dyspepsia &amp; PUD</t>
        </is>
      </c>
      <c r="M116" s="2" t="inlineStr">
        <is>
          <t>Peptic Ulcer / GERD</t>
        </is>
      </c>
      <c r="N116" s="2" t="inlineStr">
        <is>
          <t>PLE_CC1_2567_Set1_Key ข้อ 91</t>
        </is>
      </c>
      <c r="O116" s="2" t="inlineStr">
        <is>
          <t>ข้อสอบจริง</t>
        </is>
      </c>
      <c r="P116" s="2" t="inlineStr">
        <is>
          <t>ปี 2567</t>
        </is>
      </c>
      <c r="Q116" s="2" t="n"/>
    </row>
    <row r="117" ht="13.2" customHeight="1" s="37">
      <c r="A117" s="8" t="inlineStr">
        <is>
          <t>116</t>
        </is>
      </c>
      <c r="B117" s="2" t="inlineStr">
        <is>
          <t>ใช้Nicotin gum แล้วรู้สึก… (อาการคล้ายๆพวกGERD) จะ แนะนำอย่างไร ตัวเลือก</t>
        </is>
      </c>
      <c r="C117" s="2" t="n"/>
      <c r="D117" s="2" t="inlineStr">
        <is>
          <t>Peptic Ulcer / GERD</t>
        </is>
      </c>
      <c r="E117" s="2" t="inlineStr">
        <is>
          <t>Amoxicillin 1000 mg BID</t>
        </is>
      </c>
      <c r="F117" s="2" t="inlineStr">
        <is>
          <t>Clarithromycin 500 mg BID</t>
        </is>
      </c>
      <c r="G117" s="2" t="inlineStr">
        <is>
          <t>Hyoscine butylbromide 10 mg TID</t>
        </is>
      </c>
      <c r="H117" s="2" t="inlineStr">
        <is>
          <t>Aluminium hydroxide/Magnesium hydroxide suspension</t>
        </is>
      </c>
      <c r="I117" s="8" t="inlineStr">
        <is>
          <t>1</t>
        </is>
      </c>
      <c r="J117" s="2"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(Amoxicillin 1000 mg BID): เป็น Aminopenicillin ยับยั้ง bacterial cell wall synthesis เป็น first-line สำหรับ uncomplicated bacterial infections (เช่น Strep pharyngitis, AOM, sinusitis)
• ข้อ ค. (Clarithromycin 500 mg BID): เป็น Macrolide เป็นแกนหลักในสูตรกำจัด H. pylori และ MAC treatment แต่ยับยั้ง CYP3A4 สูงมาก จึงมี drug-drug interactions รุนแรงกับ statins, colchicine
• ข้อ ง. (Hyoscine butylbromide 10 mg TID): ข้อนี้ไม่ใช่คำตอบที่ถูกต้องสำหรับภาวะ GERD เนื่องจากกลไกการออกฤทธิ์, efficacy หรือข้อบ่งใช้ไม่ตรงกับโจทย์ที่กำหนด
• ข้อ จ. (Aluminium hydroxide/Magnesium hydroxide suspension):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2" t="n"/>
      <c r="L117" s="2" t="inlineStr">
        <is>
          <t>GERD</t>
        </is>
      </c>
      <c r="M117" s="2" t="inlineStr">
        <is>
          <t>Peptic Ulcer / GERD</t>
        </is>
      </c>
      <c r="N117" s="2" t="inlineStr">
        <is>
          <t>PLE-CC1 ปี 2566 Day 1 ข้อ 47</t>
        </is>
      </c>
      <c r="O117" s="2" t="inlineStr">
        <is>
          <t>ข้อสอบจริง</t>
        </is>
      </c>
      <c r="P117" s="2" t="inlineStr">
        <is>
          <t>ปี 2566</t>
        </is>
      </c>
    </row>
    <row r="118" ht="13.2" customHeight="1" s="37">
      <c r="A118" s="8" t="inlineStr">
        <is>
          <t>117</t>
        </is>
      </c>
      <c r="B118" s="2" t="inlineStr">
        <is>
          <t>อาการที่บ่งบอกว่าเป็นGERD แน่ ตัวเลือก</t>
        </is>
      </c>
      <c r="C118" s="2" t="n"/>
      <c r="D118" s="2" t="inlineStr">
        <is>
          <t>Peptic Ulcer / GERD</t>
        </is>
      </c>
      <c r="E118" s="2" t="inlineStr">
        <is>
          <t>Aluminium hydroxide/Magnesium hydroxide suspension</t>
        </is>
      </c>
      <c r="F118" s="2" t="inlineStr">
        <is>
          <t>Metoclopramide 10 mg TID before meals</t>
        </is>
      </c>
      <c r="G118" s="2" t="inlineStr">
        <is>
          <t>Omeprazole 20 mg OD</t>
        </is>
      </c>
      <c r="H118" s="2" t="inlineStr">
        <is>
          <t>Esomeprazole 20 mg OD</t>
        </is>
      </c>
      <c r="I118" s="8" t="inlineStr">
        <is>
          <t>1</t>
        </is>
      </c>
      <c r="J118" s="2"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ข้อนี้ไม่ใช่คำตอบที่ถูกต้องสำหรับภาวะ GERD เนื่องจากกลไกการออกฤทธิ์, efficacy หรือข้อบ่งใช้ไม่ตรงกับโจทย์ที่กำหนด
• ข้อ ค. (Metoclopramide 10 mg TID before meals): เป็น central และ peripheral D2 antagonist เพิ่ม gastric emptying และแก้อาเจียน แต่ผ่าน BBB จึงทำให้เกิด acute dystonia และ EPS ได้ง่าย
• ข้อ ง.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2" t="n"/>
      <c r="L118" s="2" t="inlineStr">
        <is>
          <t>GERD</t>
        </is>
      </c>
      <c r="M118" s="2" t="inlineStr">
        <is>
          <t>Peptic Ulcer / GERD</t>
        </is>
      </c>
      <c r="N118" s="2" t="inlineStr">
        <is>
          <t>PLE-CC1 ปี 2566 Day 1 ข้อ 51</t>
        </is>
      </c>
      <c r="O118" s="2" t="inlineStr">
        <is>
          <t>ข้อสอบจริง</t>
        </is>
      </c>
      <c r="P118" s="2" t="inlineStr">
        <is>
          <t>ปี 2566</t>
        </is>
      </c>
    </row>
    <row r="119" ht="13.2" customHeight="1" s="37">
      <c r="A119" s="8" t="inlineStr">
        <is>
          <t>118</t>
        </is>
      </c>
      <c r="B119" s="2" t="inlineStr">
        <is>
          <t>Dyspepsia ให้ยาอะไร ตัวเลือก</t>
        </is>
      </c>
      <c r="C119" s="2" t="n"/>
      <c r="D119" s="2" t="inlineStr">
        <is>
          <t>Peptic Ulcer / GERD</t>
        </is>
      </c>
      <c r="E119" s="2" t="inlineStr">
        <is>
          <t>Esomeprazole 20 mg OD</t>
        </is>
      </c>
      <c r="F119" s="2" t="inlineStr">
        <is>
          <t>Domperidone 10 mg TID</t>
        </is>
      </c>
      <c r="G119" s="2" t="inlineStr">
        <is>
          <t>Dimenhydrinate 50 mg TID</t>
        </is>
      </c>
      <c r="H119" s="2" t="inlineStr">
        <is>
          <t>Loperamide 2 mg PRN</t>
        </is>
      </c>
      <c r="I119" s="8" t="inlineStr">
        <is>
          <t>1</t>
        </is>
      </c>
      <c r="J119" s="2"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(Domperidone 10 mg TID): เป็น peripheral D2 receptor antagonist เพิ่ม GI motility ไม่ผ่าน BBB จึงไม่ทำให้เกิด EPS เด่นชัด แต่ต้องระวัง QT prolongation ในขนาดสูง (&gt; 30 mg/day)
• ข้อ ง. (Dimenhydrinate 50 mg TID): ข้อนี้ไม่ใช่คำตอบที่ถูกต้องสำหรับภาวะ GERD เนื่องจากกลไกการออกฤทธิ์, efficacy หรือข้อบ่งใช้ไม่ตรงกับโจทย์ที่กำหนด
• ข้อ จ. (Loperamide 2 mg PRN): เป็น peripheral mu-opioid agonist ลด peristalsis ใช้บรรเทาอาการ acute non-infectious diarrhea แต่ห้ามใช้ใน bloody diarrhea (dysentery) หรือ bacterial enteritis (เสี่ยง toxic megacolon)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2" t="n"/>
      <c r="L119" s="2" t="inlineStr">
        <is>
          <t>GERD</t>
        </is>
      </c>
      <c r="M119" s="2" t="inlineStr">
        <is>
          <t>Peptic Ulcer / GERD</t>
        </is>
      </c>
      <c r="N119" s="2" t="inlineStr">
        <is>
          <t>PLE-CC1 ปี 2566 Day 1 ข้อ 53</t>
        </is>
      </c>
      <c r="O119" s="2" t="inlineStr">
        <is>
          <t>ข้อสอบจริง</t>
        </is>
      </c>
      <c r="P119" s="2" t="inlineStr">
        <is>
          <t>ปี 2566</t>
        </is>
      </c>
    </row>
    <row r="120" ht="13.2" customHeight="1" s="37">
      <c r="A120" s="8" t="inlineStr">
        <is>
          <t>119</t>
        </is>
      </c>
      <c r="B120" s="2" t="inlineStr">
        <is>
          <t>receptor ที่เกี่ยวข้องโดยตรงกับการคลื่นไส้อาเจียน. ตัวเลือก</t>
        </is>
      </c>
      <c r="C120" s="2" t="n"/>
      <c r="D120" s="2" t="inlineStr">
        <is>
          <t>Peptic Ulcer / GERD</t>
        </is>
      </c>
      <c r="E120" s="2" t="inlineStr">
        <is>
          <t>Loperamide 2 mg PRN</t>
        </is>
      </c>
      <c r="F120" s="2" t="inlineStr">
        <is>
          <t>Senna 2 tabs HS</t>
        </is>
      </c>
      <c r="G120" s="2" t="inlineStr">
        <is>
          <t>Bisacodyl 5 mg HS</t>
        </is>
      </c>
      <c r="H120" s="2" t="inlineStr">
        <is>
          <t>Lactulose 15 mL OD</t>
        </is>
      </c>
      <c r="I120" s="8" t="inlineStr">
        <is>
          <t>1</t>
        </is>
      </c>
      <c r="J120" s="2"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 s="2" t="n"/>
      <c r="L120" s="2" t="inlineStr">
        <is>
          <t>Nausea and vomiting</t>
        </is>
      </c>
      <c r="M120" s="2" t="inlineStr">
        <is>
          <t>Peptic Ulcer / GERD</t>
        </is>
      </c>
      <c r="N120" s="2" t="inlineStr">
        <is>
          <t>PLE-CC1 ปี 2566 Day 2 ข้อ 4</t>
        </is>
      </c>
      <c r="O120" s="2" t="inlineStr">
        <is>
          <t>ข้อสอบจริง</t>
        </is>
      </c>
      <c r="P120" s="2" t="inlineStr">
        <is>
          <t>ปี 2566</t>
        </is>
      </c>
    </row>
    <row r="121" ht="13.2" customHeight="1" s="37">
      <c r="A121" s="8" t="inlineStr">
        <is>
          <t>120</t>
        </is>
      </c>
      <c r="B121" s="2" t="inlineStr">
        <is>
          <t>ยาต้านอาเจียนที่ทำให้เกิดQT prolongation ตัวเลือก</t>
        </is>
      </c>
      <c r="C121" s="2" t="n"/>
      <c r="D121" s="2" t="inlineStr">
        <is>
          <t>Peptic Ulcer / GERD</t>
        </is>
      </c>
      <c r="E121" s="2" t="inlineStr">
        <is>
          <t>Lactulose 15 mL OD</t>
        </is>
      </c>
      <c r="F121" s="2" t="inlineStr">
        <is>
          <t>Amoxicillin 1000 mg BID</t>
        </is>
      </c>
      <c r="G121" s="2" t="inlineStr">
        <is>
          <t>Clarithromycin 500 mg BID</t>
        </is>
      </c>
      <c r="H121" s="2" t="inlineStr">
        <is>
          <t>Hyoscine butylbromide 10 mg TID</t>
        </is>
      </c>
      <c r="I121" s="8" t="inlineStr">
        <is>
          <t>1</t>
        </is>
      </c>
      <c r="J121" s="2"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ข้อ จ. (Hyoscine butylbromide 10 mg TID): ข้อนี้ไม่ใช่คำตอบที่ถูกต้องสำหรับภาวะ Nausea and vomiting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 s="2" t="n"/>
      <c r="L121" s="2" t="inlineStr">
        <is>
          <t>Nausea and vomiting</t>
        </is>
      </c>
      <c r="M121" s="2" t="inlineStr">
        <is>
          <t>Peptic Ulcer / GERD</t>
        </is>
      </c>
      <c r="N121" s="2" t="inlineStr">
        <is>
          <t>PLE-CC1 ปี 2566 Day 2 ข้อ 63</t>
        </is>
      </c>
      <c r="O121" s="2" t="inlineStr">
        <is>
          <t>ข้อสอบจริง</t>
        </is>
      </c>
      <c r="P121" s="2" t="inlineStr">
        <is>
          <t>ปี 2566</t>
        </is>
      </c>
    </row>
    <row r="122" ht="13.2" customHeight="1" s="37">
      <c r="A122" s="8" t="inlineStr">
        <is>
          <t>121</t>
        </is>
      </c>
      <c r="B122" s="2" t="inlineStr">
        <is>
          <t>ยาต้านอาเจียนที่เป็นมาตรฐาน ที่จะบริหารก่อนการให้ยาเคมียำบัด ตัวเลือก</t>
        </is>
      </c>
      <c r="C122" s="2" t="n"/>
      <c r="D122" s="2" t="inlineStr">
        <is>
          <t>Peptic Ulcer / GERD</t>
        </is>
      </c>
      <c r="E122" s="2" t="inlineStr">
        <is>
          <t>Hyoscine butylbromide 10 mg TID</t>
        </is>
      </c>
      <c r="F122" s="2" t="inlineStr">
        <is>
          <t>Aluminium hydroxide/Magnesium hydroxide suspension</t>
        </is>
      </c>
      <c r="G122" s="2" t="inlineStr">
        <is>
          <t>Metoclopramide 10 mg TID before meals</t>
        </is>
      </c>
      <c r="H122" s="2" t="inlineStr">
        <is>
          <t>Omeprazole 20 mg OD</t>
        </is>
      </c>
      <c r="I122" s="8" t="inlineStr">
        <is>
          <t>1</t>
        </is>
      </c>
      <c r="J122" s="2"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(Hyoscine butylbromide 10 mg TID): ข้อนี้ไม่ใช่คำตอบที่ถูกต้องสำหรับภาวะ Nausea and vomiting เนื่องจากกลไกการออกฤทธิ์, efficacy หรือข้อบ่งใช้ไม่ตรงกับโจทย์ที่กำหนด
• ข้อ ค. (Aluminium hydroxide/Magnesium hydroxide suspension): ข้อนี้ไม่ใช่คำตอบที่ถูกต้องสำหรับภาวะ Nausea and vomiting เนื่องจากกลไกการออกฤทธิ์, efficacy หรือข้อบ่งใช้ไม่ตรงกับโจทย์ที่กำหนด
• ข้อ ง. (Metoclopramide 10 mg TID before meals): เป็น central และ peripheral D2 antagonist เพิ่ม gastric emptying และแก้อาเจียน แต่ผ่าน BBB จึงทำให้เกิด acute dystonia และ EPS ได้ง่าย
• ข้อ จ.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2" t="n"/>
      <c r="L122" s="2" t="inlineStr">
        <is>
          <t>Nausea and vomiting</t>
        </is>
      </c>
      <c r="M122" s="2" t="inlineStr">
        <is>
          <t>Peptic Ulcer / GERD</t>
        </is>
      </c>
      <c r="N122" s="2" t="inlineStr">
        <is>
          <t>PLE-CC1 ปี 2566 Day 2 ข้อ 93</t>
        </is>
      </c>
      <c r="O122" s="2" t="inlineStr">
        <is>
          <t>ข้อสอบจริง</t>
        </is>
      </c>
      <c r="P122" s="2" t="inlineStr">
        <is>
          <t>ปี 2566</t>
        </is>
      </c>
    </row>
    <row r="123" ht="13.2" customHeight="1" s="37">
      <c r="A123" s="8" t="inlineStr">
        <is>
          <t>122</t>
        </is>
      </c>
      <c r="B123" s="2" t="inlineStr">
        <is>
          <t>Gastroesophageal reflux disease (GERD)</t>
        </is>
      </c>
      <c r="C123" s="2" t="n"/>
      <c r="D123" s="2" t="inlineStr">
        <is>
          <t>Peptic Ulcer / GERD</t>
        </is>
      </c>
      <c r="E123" s="2" t="inlineStr">
        <is>
          <t>Omeprazole 20 mg OD</t>
        </is>
      </c>
      <c r="F123" s="2" t="inlineStr">
        <is>
          <t>Esomeprazole 20 mg OD</t>
        </is>
      </c>
      <c r="G123" s="2" t="inlineStr">
        <is>
          <t>Domperidone 10 mg TID</t>
        </is>
      </c>
      <c r="H123" s="2" t="inlineStr">
        <is>
          <t>Dimenhydrinate 50 mg TID</t>
        </is>
      </c>
      <c r="I123" s="8" t="inlineStr">
        <is>
          <t>1</t>
        </is>
      </c>
      <c r="J123" s="2"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(Domperidone 10 mg TID): เป็น peripheral D2 receptor antagonist เพิ่ม GI motility ไม่ผ่าน BBB จึงไม่ทำให้เกิด EPS เด่นชัด แต่ต้องระวัง QT prolongation ในขนาดสูง (&gt; 30 mg/day)
• ข้อ จ. (Dimenhydrinate 50 mg TID):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3" s="2" t="n"/>
      <c r="L123" s="2" t="inlineStr">
        <is>
          <t>GERD</t>
        </is>
      </c>
      <c r="M123" s="2" t="inlineStr">
        <is>
          <t>Peptic Ulcer / GERD</t>
        </is>
      </c>
      <c r="N123" s="2" t="inlineStr">
        <is>
          <t>PLE_CC1_2565_Day1_Key ข้อ 7</t>
        </is>
      </c>
      <c r="O123" s="2" t="inlineStr">
        <is>
          <t>ข้อสอบจริง</t>
        </is>
      </c>
      <c r="P123" s="2" t="inlineStr">
        <is>
          <t>ปี 2565</t>
        </is>
      </c>
    </row>
    <row r="124" ht="13.2" customHeight="1" s="37">
      <c r="A124" s="8" t="inlineStr">
        <is>
          <t>123</t>
        </is>
      </c>
      <c r="B124" s="2" t="inlineStr">
        <is>
          <t>“แผ-นพับยาแสดงอาการข$างเคียงของยาดังนี้ salivation, urinary incontinence, sweating, diarrhea, Tremor” จากข$อความดังกล-าว หมายถึงยาใด</t>
        </is>
      </c>
      <c r="C124" s="2" t="n"/>
      <c r="D124" s="2" t="inlineStr">
        <is>
          <t>Timolol eye drop</t>
        </is>
      </c>
      <c r="E124" s="2" t="inlineStr">
        <is>
          <t>Diclofenac eye drop</t>
        </is>
      </c>
      <c r="F124" s="2" t="inlineStr">
        <is>
          <t>Pilocarpine eye drop</t>
        </is>
      </c>
      <c r="G124" s="2" t="inlineStr">
        <is>
          <t>Brinzolamide eye drop</t>
        </is>
      </c>
      <c r="H124" s="2" t="inlineStr">
        <is>
          <t>Chloramphenicol eye ointment</t>
        </is>
      </c>
      <c r="I124" s="8" t="inlineStr">
        <is>
          <t>1</t>
        </is>
      </c>
      <c r="J124" s="2" t="inlineStr">
        <is>
          <t>✅ คำตอบที่ถูกต้อง: ข้อ ก. Timolol eye drop
💡 Background:
การบริบาลผู้ป่วยในกลุ่มโรค Diarrhea &amp; Constipation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Diarrhea &amp; Constipation โดยมี clinical efficacy สูงสุดในการรักษาและมี safety profile ที่เหมาะสม
🔍 ข้ออื่นผิดเพราะอะไร:
• ข้อ ข. (Timolol eye drop): ข้อนี้ไม่ใช่คำตอบที่ถูกต้องสำหรับภาวะ Diarrhea &amp; Constipation เนื่องจากกลไกการออกฤทธิ์, efficacy หรือข้อบ่งใช้ไม่ตรงกับโจทย์ที่กำหนด
• ข้อ ค. (Diclofenac eye drop): ข้อนี้ไม่ใช่คำตอบที่ถูกต้องสำหรับภาวะ Diarrhea &amp; Constipation เนื่องจากกลไกการออกฤทธิ์, efficacy หรือข้อบ่งใช้ไม่ตรงกับโจทย์ที่กำหนด
• ข้อ ง. (Pilocarpine eye drop): ข้อนี้ไม่ใช่คำตอบที่ถูกต้องสำหรับภาวะ Diarrhea &amp; Constipation เนื่องจากกลไกการออกฤทธิ์, efficacy หรือข้อบ่งใช้ไม่ตรงกับโจทย์ที่กำหนด
• ข้อ จ. (Brinzolamide eye drop): ข้อนี้ไม่ใช่คำตอบที่ถูกต้องสำหรับภาวะ Diarrhea &amp; Constipation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 s="2" t="n"/>
      <c r="L124" s="2" t="inlineStr">
        <is>
          <t>Diarrhea &amp; Constipation</t>
        </is>
      </c>
      <c r="M124" s="2" t="inlineStr">
        <is>
          <t>Peptic Ulcer / GERD</t>
        </is>
      </c>
      <c r="N124" s="2" t="inlineStr">
        <is>
          <t>PLE_CC1_2565_Day2_Key ข้อ 41</t>
        </is>
      </c>
      <c r="O124" s="2" t="inlineStr">
        <is>
          <t>ข้อสอบจริง</t>
        </is>
      </c>
      <c r="P124" s="2" t="inlineStr">
        <is>
          <t>ปี 2565</t>
        </is>
      </c>
      <c r="Q124" s="2" t="n"/>
    </row>
    <row r="125" ht="13.2" customHeight="1" s="37">
      <c r="A125" s="8" t="inlineStr">
        <is>
          <t>124</t>
        </is>
      </c>
      <c r="B125" s="2" t="inlineStr">
        <is>
          <t>ยาต$านอาเจียนในข$อใดที่สามารถกินกับยายับยั้งการกลั่งกรดได$</t>
        </is>
      </c>
      <c r="C125" s="2" t="n"/>
      <c r="D125" s="2" t="inlineStr">
        <is>
          <t>Peptic Ulcer / GERD</t>
        </is>
      </c>
      <c r="E125" s="2" t="inlineStr">
        <is>
          <t>Domperidone avoid simultaneous use of antacids or antisecretory drugs (Micromedex) PLE-CC1 Preparation 2565 Paraben conc. Saccharin sodium Flavoring agent Purified water qs. to 60 mL</t>
        </is>
      </c>
      <c r="F125" s="2" t="inlineStr">
        <is>
          <t>Lactulose 15 mL OD</t>
        </is>
      </c>
      <c r="G125" s="2" t="inlineStr">
        <is>
          <t>Amoxicillin 1000 mg BID</t>
        </is>
      </c>
      <c r="H125" s="2" t="inlineStr">
        <is>
          <t>Clarithromycin 500 mg BID</t>
        </is>
      </c>
      <c r="I125" s="8" t="inlineStr">
        <is>
          <t>1</t>
        </is>
      </c>
      <c r="J125" s="2"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(Domperidone avoid simultaneous use of antacids or antisecretory drugs (Micromedex) PLE-CC1 Preparation 2565 Paraben conc. Saccharin sodium Flavoring agent Purified water qs. to 60 mL): เป็น peripheral D2 receptor antagonist เพิ่ม GI motility ไม่ผ่าน BBB จึงไม่ทำให้เกิด EPS เด่นชัด แต่ต้องระวัง QT prolongation ในขนาดสูง (&gt; 30 mg/day)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 s="2" t="n"/>
      <c r="L125" s="2" t="inlineStr">
        <is>
          <t>Nausea and vomiting</t>
        </is>
      </c>
      <c r="M125" s="2" t="inlineStr">
        <is>
          <t>Peptic Ulcer / GERD</t>
        </is>
      </c>
      <c r="N125" s="2" t="inlineStr">
        <is>
          <t>PLE_CC1_2565_Day2_Key ข้อ 52</t>
        </is>
      </c>
      <c r="O125" s="2" t="inlineStr">
        <is>
          <t>ข้อสอบจริง</t>
        </is>
      </c>
      <c r="P125" s="2" t="inlineStr">
        <is>
          <t>ปี 2565</t>
        </is>
      </c>
    </row>
    <row r="126" ht="13.2" customHeight="1" s="37">
      <c r="A126" s="8" t="inlineStr">
        <is>
          <t>125</t>
        </is>
      </c>
      <c r="B126" s="2" t="inlineStr">
        <is>
          <t>การเกิดแผลในกระเพาะ ยา Sucralfate เทียบยา A OR 0.30 (0.19-0.63) 95% CI ไม่ทับเลข 1 แปลผลได้ยังไง กลุ่มที่ได้รับ Sucralfate เกิดแผลในกระเพาะอาหารน้อยกว่ากลุ่มที่ได้รับยา A อยู่ 70% อย่างมีนัยสำคัญ (OR &lt; 1 แสดงว่ากลุ่ม expose (Sucralfate) เกิด outcome (แผลในกระเพาะ) น้อยกว่ากลุ่ม non-expose (ยา A), ส่วน 70% มาจาก 1- OR = 1-0.3 = 0.7 พอคูณ 100 เลยได้ 70%, มาดูที่ 95% CI ไม่คร่อม 1 ก็แสดงว่า outcome ที่เกิดในกลุ่ม expose กับ non- expose มันต่างกันอย่างมีนัยสำคัญ) จาก: sheet PharmacoEpidem. หัวข้อ Understanding the Result from pharmacoepidemiology 1</t>
        </is>
      </c>
      <c r="C126" s="2" t="n"/>
      <c r="D126" s="2" t="inlineStr">
        <is>
          <t>Peptic Ulcer / GERD</t>
        </is>
      </c>
      <c r="E126" s="2" t="inlineStr">
        <is>
          <t>Clarithromycin 500 mg BID</t>
        </is>
      </c>
      <c r="F126" s="2" t="inlineStr">
        <is>
          <t>Hyoscine butylbromide 10 mg TID</t>
        </is>
      </c>
      <c r="G126" s="2" t="inlineStr">
        <is>
          <t>Aluminium hydroxide/Magnesium hydroxide suspension</t>
        </is>
      </c>
      <c r="H126" s="2" t="inlineStr">
        <is>
          <t>Metoclopramide 10 mg TID before meals</t>
        </is>
      </c>
      <c r="I126" s="8" t="inlineStr">
        <is>
          <t>1</t>
        </is>
      </c>
      <c r="J126" s="2"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(Clarithromycin 500 mg BID): เป็น Macrolide เป็นแกนหลักในสูตรกำจัด H. pylori และ MAC treatment แต่ยับยั้ง CYP3A4 สูงมาก จึงมี drug-drug interactions รุนแรงกับ statins, colchicine
• ข้อ ค. (Hyoscine butylbromide 10 mg TID): ข้อนี้ไม่ใช่คำตอบที่ถูกต้องสำหรับภาวะ Dyspepsia &amp; PUD เนื่องจากกลไกการออกฤทธิ์, efficacy หรือข้อบ่งใช้ไม่ตรงกับโจทย์ที่กำหนด
• ข้อ ง. (Aluminium hydroxide/Magnesium hydroxide suspension): ข้อนี้ไม่ใช่คำตอบที่ถูกต้องสำหรับภาวะ Dyspepsia &amp; PUD เนื่องจากกลไกการออกฤทธิ์, efficacy หรือข้อบ่งใช้ไม่ตรงกับโจทย์ที่กำหนด
• ข้อ จ. (Metoclopramide 10 mg TID before meals): เป็น central และ peripheral D2 antagonist เพิ่ม gastric emptying และแก้อาเจียน แต่ผ่าน BBB จึงทำให้เกิด acute dystonia และ EPS ได้ง่าย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 s="2" t="n"/>
      <c r="L126" s="2" t="inlineStr">
        <is>
          <t>Dyspepsia &amp; PUD</t>
        </is>
      </c>
      <c r="M126" s="2" t="inlineStr">
        <is>
          <t>Peptic Ulcer / GERD</t>
        </is>
      </c>
      <c r="N126" s="2" t="inlineStr">
        <is>
          <t>PLE_CC1_2564_All_Key ข้อ 43</t>
        </is>
      </c>
      <c r="O126" s="2" t="inlineStr">
        <is>
          <t>ข้อสอบจริง</t>
        </is>
      </c>
      <c r="P126" s="2" t="inlineStr">
        <is>
          <t>ปี 2564</t>
        </is>
      </c>
    </row>
    <row r="127" ht="13.2" customHeight="1" s="37">
      <c r="A127" s="8" t="inlineStr">
        <is>
          <t>126</t>
        </is>
      </c>
      <c r="B127" s="2" t="inlineStr">
        <is>
          <t>ทำ pellet omeprazole ทำไม Omeprazole ตัวยาจะถูกทำลายในสภาวะกรด จึงทำเป็น pelletsเพื่อป้องกันการถูกทำลายจากกรดในกระเพาะอาหาร https://pubmed.ncbi.nlm.nih.gov/2690330/ ..............................................................................................................................................................................................................</t>
        </is>
      </c>
      <c r="C127" s="2" t="n"/>
      <c r="D127" s="2" t="inlineStr">
        <is>
          <t>Peptic Ulcer / GERD</t>
        </is>
      </c>
      <c r="E127" s="2" t="inlineStr">
        <is>
          <t>Metoclopramide 10 mg TID before meals</t>
        </is>
      </c>
      <c r="F127" s="2" t="inlineStr">
        <is>
          <t>Omeprazole 20 mg OD</t>
        </is>
      </c>
      <c r="G127" s="2" t="inlineStr">
        <is>
          <t>Esomeprazole 20 mg OD</t>
        </is>
      </c>
      <c r="H127" s="2" t="inlineStr">
        <is>
          <t>Domperidone 10 mg TID</t>
        </is>
      </c>
      <c r="I127" s="8" t="inlineStr">
        <is>
          <t>1</t>
        </is>
      </c>
      <c r="J127" s="2"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7" s="2" t="n"/>
      <c r="L127" s="2" t="inlineStr">
        <is>
          <t>GERD</t>
        </is>
      </c>
      <c r="M127" s="2" t="inlineStr">
        <is>
          <t>Peptic Ulcer / GERD</t>
        </is>
      </c>
      <c r="N127" s="2" t="inlineStr">
        <is>
          <t>PLE_CC1_2564_All_Key ข้อ 106</t>
        </is>
      </c>
      <c r="O127" s="2" t="inlineStr">
        <is>
          <t>ข้อสอบจริง</t>
        </is>
      </c>
      <c r="P127" s="2" t="inlineStr">
        <is>
          <t>ปี 2564</t>
        </is>
      </c>
    </row>
    <row r="128" ht="13.2" customHeight="1" s="37">
      <c r="A128" s="8" t="inlineStr">
        <is>
          <t>127</t>
        </is>
      </c>
      <c r="B128" s="2" t="inlineStr">
        <is>
          <t>สาเหตุขอษน้ำหนักขึ้นและคลื่นไส้อาเสียนเกิดสากอะไร</t>
        </is>
      </c>
      <c r="C128" s="2" t="n"/>
      <c r="D128" s="2" t="inlineStr">
        <is>
          <t>Peptic Ulcer / GERD</t>
        </is>
      </c>
      <c r="E128" s="2" t="inlineStr">
        <is>
          <t>Androgenic effect สาก levonorgestrel</t>
        </is>
      </c>
      <c r="F128" s="2" t="inlineStr">
        <is>
          <t>Estrogenic effect สาก ethinyl estradiol</t>
        </is>
      </c>
      <c r="G128" s="2" t="inlineStr">
        <is>
          <t>Androgenic effect สาก levonorgestrel และ ethinyl estradiol ษ. Estrogenic effect สาก levonorgestrel และ ethinyl estradiol ส. Androgenic effect ที่มักพบในผู้หญิษประเภท estrogenic type</t>
        </is>
      </c>
      <c r="H128" s="2" t="inlineStr">
        <is>
          <t>Senna 2 tabs HS</t>
        </is>
      </c>
      <c r="I128" s="8" t="inlineStr">
        <is>
          <t>1</t>
        </is>
      </c>
      <c r="J128" s="2" t="inlineStr">
        <is>
          <t>✅ คำตอบที่ถูกต้อง: ข้อ ก. Peptic Ulcer / GERD
💡 Background:
การบริบาลผู้ป่วยในกลุ่มโรค Nausea and vomiting มุ่งเน้นการควบคุมโรคและลดความเสี่ยงต่อภาวะแทรกซ้อนด้วย evidence-based pharmacotherapy
🎯 ทำไมข้อนี้ถึงถูก:
Peptic Ulcer / GERD การเลือก Peptic Ulcer / GERD เป็นคำตอบที่ถูกต้องและสอดคล้องกับ evidence-based guidelines ของภาวะ Nausea and vomiting โดยมี clinical efficacy สูงสุดในการรักษาและมี safety profile ที่เหมาะสม
🔍 ข้ออื่นผิดเพราะอะไร:
• ข้อ ข. (Androgenic effect สาก levonorgestrel): ข้อนี้ไม่ใช่คำตอบที่ถูกต้องสำหรับภาวะ Nausea and vomiting เนื่องจากกลไกการออกฤทธิ์, efficacy หรือข้อบ่งใช้ไม่ตรงกับโจทย์ที่กำหนด
• ข้อ ค. (Estrogenic effect สาก ethinyl estradiol): ข้อนี้ไม่ใช่คำตอบที่ถูกต้องสำหรับภาวะ Nausea and vomiting เนื่องจากกลไกการออกฤทธิ์, efficacy หรือข้อบ่งใช้ไม่ตรงกับโจทย์ที่กำหนด
• ข้อ ง. (Androgenic effect สาก levonorgestrel และ ethinyl estradiol ษ. Estrogenic effect สาก levonorgestrel และ ethinyl estradiol ส. Androgenic effect ที่มักพบในผู้หญิษประเภท estrogenic type): ข้อนี้ไม่ใช่คำตอบที่ถูกต้องสำหรับภาวะ Nausea and vomiting เนื่องจากกลไกการออกฤทธิ์, efficacy หรือข้อบ่งใช้ไม่ตรงกับโจทย์ที่กำหนด
• ข้อ จ. (Senna 2 tabs HS):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Nausea and vomiting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2" t="n"/>
      <c r="L128" s="2" t="inlineStr">
        <is>
          <t>Nausea and vomiting</t>
        </is>
      </c>
      <c r="M128" s="2" t="inlineStr">
        <is>
          <t>Peptic Ulcer / GERD</t>
        </is>
      </c>
      <c r="N128" s="2" t="inlineStr">
        <is>
          <t>PLE_CC1_2563_Q ข้อ 70</t>
        </is>
      </c>
      <c r="O128" s="2" t="inlineStr">
        <is>
          <t>ข้อสอบจริง</t>
        </is>
      </c>
      <c r="P128" s="2" t="inlineStr">
        <is>
          <t>ปี 2563</t>
        </is>
      </c>
    </row>
    <row r="129" ht="13.2" customHeight="1" s="37">
      <c r="A129" s="8" t="inlineStr">
        <is>
          <t>127</t>
        </is>
      </c>
      <c r="B129" s="2" t="inlineStr">
        <is>
          <t>ยา PPIs ตัวใดไม่แนะนำให้ใช้ในคนท้องจนถึงคลอด ~ - X L -</t>
        </is>
      </c>
      <c r="C129" s="2" t="n"/>
      <c r="D129" s="2" t="inlineStr">
        <is>
          <t>Omeprazole</t>
        </is>
      </c>
      <c r="E129" s="2" t="inlineStr">
        <is>
          <t>Esomeprazole</t>
        </is>
      </c>
      <c r="F129" s="2" t="inlineStr">
        <is>
          <t>Lansoprazole</t>
        </is>
      </c>
      <c r="G129" s="2" t="inlineStr">
        <is>
          <t>Pantoprazole</t>
        </is>
      </c>
      <c r="H129" s="2" t="inlineStr">
        <is>
          <t>Rabeprazole + ATPase O Omeprazole E Lansoprazde B Rabeprazole B X Pantoprazole B Esomeprazole B หË´มนาÆปทาซËาทืกกรณิ ÂวËนาต้จ²ÆดËรงบ¯นืญ´ต ~</t>
        </is>
      </c>
      <c r="I129" s="8" t="inlineStr">
        <is>
          <t>1</t>
        </is>
      </c>
      <c r="J129" s="2" t="inlineStr">
        <is>
          <t>✅ คำตอบที่ถูกต้อง: ข้อ ก.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(Lansoprazole): ข้อนี้ไม่ใช่คำตอบที่ถูกต้องสำหรับภาวะ GERD เนื่องจากกลไกการออกฤทธิ์, efficacy หรือข้อบ่งใช้ไม่ตรงกับโจทย์ที่กำหนด
• ข้อ ง. (Pantoprazole): เป็น PPI ที่มี CYP2C19 inhibition ต่ำที่สุด จึงเป็น PPI ที่ปลอดภัยที่สุดเมื่อต้องใช้ร่วมกับ clopidogrel
• ข้อ จ. (Rabeprazole + ATPase O Omeprazole E Lansoprazde B Rabeprazole B X Pantoprazole B Esomeprazole B หË´มนาÆปทาซËาทืกกรณิ ÂวËนาต้จ²ÆดËรงบ¯นืญ´ต ~):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9" s="2" t="n"/>
      <c r="L129" s="2" t="inlineStr">
        <is>
          <t>GERD</t>
        </is>
      </c>
      <c r="M129" s="2" t="inlineStr">
        <is>
          <t>Clinic</t>
        </is>
      </c>
      <c r="N129" s="2" t="inlineStr">
        <is>
          <t>ข้อ 88 (PLE_CC1_2562_Key.md)</t>
        </is>
      </c>
      <c r="O129" s="2" t="inlineStr">
        <is>
          <t>ข้อสอบจริง</t>
        </is>
      </c>
      <c r="P129" s="2" t="inlineStr">
        <is>
          <t>ปี 2562</t>
        </is>
      </c>
    </row>
    <row r="130" ht="13.2" customHeight="1" s="37">
      <c r="A130" s="8" t="inlineStr">
        <is>
          <t>128</t>
        </is>
      </c>
      <c r="B130" s="2" t="inlineStr">
        <is>
          <t>การให้ความรู้ผู้ป่วยเกี่ยวกับการเกิด GERD เพื่อป้องกันการเกิด จัดเป็นพฤติกรรมแบบใด X sulfone O virvirensaigomeans Ibisoobean casalovesea nu na enginess</t>
        </is>
      </c>
      <c r="C130" s="2" t="n"/>
      <c r="D130" s="2" t="inlineStr">
        <is>
          <t>Health belief model</t>
        </is>
      </c>
      <c r="E130" s="2" t="inlineStr">
        <is>
          <t>Self-efficacy model</t>
        </is>
      </c>
      <c r="F130" s="2" t="inlineStr">
        <is>
          <t>Health Locus of control</t>
        </is>
      </c>
      <c r="G130" s="2" t="inlineStr">
        <is>
          <t>Theory of reason action</t>
        </is>
      </c>
      <c r="H130" s="2" t="inlineStr">
        <is>
          <t>Theory of planned health</t>
        </is>
      </c>
      <c r="I130" s="8" t="inlineStr">
        <is>
          <t>1</t>
        </is>
      </c>
      <c r="J130" s="2" t="inlineStr">
        <is>
          <t>✅ คำตอบที่ถูกต้อง: ข้อ ก. Health belief model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Health belief model การเลือก Health belief model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(Self-efficacy model): ข้อนี้ไม่ใช่คำตอบที่ถูกต้องสำหรับภาวะ GERD เนื่องจากกลไกการออกฤทธิ์, efficacy หรือข้อบ่งใช้ไม่ตรงกับโจทย์ที่กำหนด
• ข้อ ค. (Health Locus of control): ข้อนี้ไม่ใช่คำตอบที่ถูกต้องสำหรับภาวะ GERD เนื่องจากกลไกการออกฤทธิ์, efficacy หรือข้อบ่งใช้ไม่ตรงกับโจทย์ที่กำหนด
• ข้อ ง. (Theory of reason action): ข้อนี้ไม่ใช่คำตอบที่ถูกต้องสำหรับภาวะ GERD เนื่องจากกลไกการออกฤทธิ์, efficacy หรือข้อบ่งใช้ไม่ตรงกับโจทย์ที่กำหนด
• ข้อ จ. (Theory of planned health):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0" s="2" t="n"/>
      <c r="L130" s="2" t="inlineStr">
        <is>
          <t>GERD</t>
        </is>
      </c>
      <c r="M130" s="2" t="inlineStr">
        <is>
          <t>Clinic</t>
        </is>
      </c>
      <c r="N130" s="2" t="inlineStr">
        <is>
          <t>ข้อ 92 (PLE_CC1_2562_Key.md)</t>
        </is>
      </c>
      <c r="O130" s="2" t="inlineStr">
        <is>
          <t>ข้อสอบจริง</t>
        </is>
      </c>
      <c r="P130" s="2" t="inlineStr">
        <is>
          <t>ปี 2562</t>
        </is>
      </c>
    </row>
    <row r="131" ht="13.2" customHeight="1" s="37">
      <c r="A131" s="8" t="inlineStr">
        <is>
          <t>129</t>
        </is>
      </c>
      <c r="B131" s="2" t="inlineStr">
        <is>
          <t>ถ้าผู้ป่วยได้รับ clindamycin capsule แล้วมีเม็ดเลือดขาวสูง ปวดท้องและท้องเสีย อาการดังกล่าวเกิดจากภาวะใด O dicloxa , cloxa X X ~</t>
        </is>
      </c>
      <c r="C131" s="2" t="n"/>
      <c r="D131" s="2" t="inlineStr">
        <is>
          <t>Seizure</t>
        </is>
      </c>
      <c r="E131" s="2" t="inlineStr">
        <is>
          <t>Hemolytic anemia</t>
        </is>
      </c>
      <c r="F131" s="2" t="inlineStr">
        <is>
          <t>Disulfiram like reaction</t>
        </is>
      </c>
      <c r="G131" s="2" t="inlineStr">
        <is>
          <t>Serum sickness syndrome</t>
        </is>
      </c>
      <c r="H131" s="2" t="inlineStr">
        <is>
          <t>Pseudomembranous colitis</t>
        </is>
      </c>
      <c r="I131" s="8" t="inlineStr">
        <is>
          <t>1</t>
        </is>
      </c>
      <c r="J131" s="2" t="inlineStr">
        <is>
          <t>✅ คำตอบที่ถูกต้อง: ข้อ ก. Seizure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Seizure การเลือก Seizure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(Hemolytic anemia): ข้อนี้ไม่ใช่คำตอบที่ถูกต้องสำหรับภาวะ GERD เนื่องจากกลไกการออกฤทธิ์, efficacy หรือข้อบ่งใช้ไม่ตรงกับโจทย์ที่กำหนด
• ข้อ ค. (Disulfiram like reaction): ข้อนี้ไม่ใช่คำตอบที่ถูกต้องสำหรับภาวะ GERD เนื่องจากกลไกการออกฤทธิ์, efficacy หรือข้อบ่งใช้ไม่ตรงกับโจทย์ที่กำหนด
• ข้อ ง. (Serum sickness syndrome): ข้อนี้ไม่ใช่คำตอบที่ถูกต้องสำหรับภาวะ GERD เนื่องจากกลไกการออกฤทธิ์, efficacy หรือข้อบ่งใช้ไม่ตรงกับโจทย์ที่กำหนด
• ข้อ จ. (Pseudomembranous colitis):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1" s="2" t="n"/>
      <c r="L131" s="2" t="inlineStr">
        <is>
          <t>GERD</t>
        </is>
      </c>
      <c r="M131" s="2" t="inlineStr">
        <is>
          <t>Clinic</t>
        </is>
      </c>
      <c r="N131" s="2" t="inlineStr">
        <is>
          <t>ข้อ 98 (PLE_CC1_2562_Key.md)</t>
        </is>
      </c>
      <c r="O131" s="2" t="inlineStr">
        <is>
          <t>ข้อสอบจริง</t>
        </is>
      </c>
      <c r="P131" s="2" t="inlineStr">
        <is>
          <t>ปี 2562</t>
        </is>
      </c>
    </row>
    <row r="132" ht="13.2" customHeight="1" s="37">
      <c r="A132" s="8" t="inlineStr">
        <is>
          <t>130</t>
        </is>
      </c>
      <c r="B132" s="2" t="inlineStr">
        <is>
          <t>GERD and Peptic ulcer</t>
        </is>
      </c>
      <c r="C132" s="2" t="n"/>
      <c r="D132" s="2" t="inlineStr">
        <is>
          <t>Omeprazole 20 mg OD</t>
        </is>
      </c>
      <c r="E132" s="2" t="inlineStr">
        <is>
          <t>Esomeprazole 20 mg OD</t>
        </is>
      </c>
      <c r="F132" s="2" t="inlineStr">
        <is>
          <t>Domperidone 10 mg TID</t>
        </is>
      </c>
      <c r="G132" s="2" t="inlineStr">
        <is>
          <t>Dimenhydrinate 50 mg TID</t>
        </is>
      </c>
      <c r="H132" s="2" t="inlineStr">
        <is>
          <t>Loperamide 2 mg PRN</t>
        </is>
      </c>
      <c r="I132" s="8" t="inlineStr">
        <is>
          <t>1</t>
        </is>
      </c>
      <c r="J132" s="2"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(Domperidone 10 mg TID): เป็น peripheral D2 receptor antagonist เพิ่ม GI motility ไม่ผ่าน BBB จึงไม่ทำให้เกิด EPS เด่นชัด แต่ต้องระวัง QT prolongation ในขนาดสูง (&gt; 30 mg/day)
• ข้อ ง. (Dimenhydrinate 50 mg TID): ข้อนี้ไม่ใช่คำตอบที่ถูกต้องสำหรับภาวะ GERD เนื่องจากกลไกการออกฤทธิ์, efficacy หรือข้อบ่งใช้ไม่ตรงกับโจทย์ที่กำหนด
• ข้อ จ. (Loperamide 2 mg PRN): เป็น peripheral mu-opioid agonist ลด peristalsis ใช้บรรเทาอาการ acute non-infectious diarrhea แต่ห้ามใช้ใน bloody diarrhea (dysentery) หรือ bacterial enteritis (เสี่ยง toxic megacolon)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 s="2" t="n"/>
      <c r="L132" s="2" t="inlineStr">
        <is>
          <t>GERD</t>
        </is>
      </c>
      <c r="M132" s="2" t="inlineStr">
        <is>
          <t>Clinic</t>
        </is>
      </c>
      <c r="N132" s="2" t="inlineStr">
        <is>
          <t>ข้อ 6 (PLE_CC1_2560 22 April Set 1.md)</t>
        </is>
      </c>
      <c r="O132" s="2" t="inlineStr">
        <is>
          <t>ข้อสอบจริง</t>
        </is>
      </c>
      <c r="P132" s="2" t="inlineStr">
        <is>
          <t>ปี 2560</t>
        </is>
      </c>
    </row>
    <row r="133" ht="13.2" customHeight="1" s="37">
      <c r="A133" s="8" t="inlineStr">
        <is>
          <t>131</t>
        </is>
      </c>
      <c r="B133" s="2" t="inlineStr">
        <is>
          <t>ผู้ป่วยรายนี้ได้ NSAIDs เพื่อบรรเทาอาการปวด ต้องได้รับยาใดเพื่อป้องกันโรคกระเพาะเหมาะสมที่สุด</t>
        </is>
      </c>
      <c r="C133" s="2" t="n"/>
      <c r="D133" s="2" t="inlineStr">
        <is>
          <t>Cimetidine</t>
        </is>
      </c>
      <c r="E133" s="2" t="inlineStr">
        <is>
          <t>Omeprazole</t>
        </is>
      </c>
      <c r="F133" s="2" t="inlineStr">
        <is>
          <t>Sucralfate</t>
        </is>
      </c>
      <c r="G133" s="2" t="inlineStr">
        <is>
          <t>Antacid</t>
        </is>
      </c>
      <c r="H133" s="2" t="inlineStr">
        <is>
          <t>Misoprostol ห้ามนำไปทำซ้ำทุกกรณี เว้นแต่จะได้รับอนุญาต</t>
        </is>
      </c>
      <c r="I133" s="8" t="inlineStr">
        <is>
          <t>1</t>
        </is>
      </c>
      <c r="J133" s="2" t="inlineStr">
        <is>
          <t>✅ คำตอบที่ถูกต้อง: ข้อ ก. Cimetidine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Cimetidine การเลือก Cimetidine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(Antacid): ข้อนี้ไม่ใช่คำตอบที่ถูกต้องสำหรับภาวะ GERD เนื่องจากกลไกการออกฤทธิ์, efficacy หรือข้อบ่งใช้ไม่ตรงกับโจทย์ที่กำหนด
• ข้อ จ. (Misoprostol ห้ามนำไปทำซ้ำทุกกรณี เว้นแต่จะได้รับอนุญาต):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2" t="n"/>
      <c r="L133" s="2" t="inlineStr">
        <is>
          <t>GERD</t>
        </is>
      </c>
      <c r="M133" s="2" t="inlineStr">
        <is>
          <t>Clinic</t>
        </is>
      </c>
      <c r="N133" s="2" t="inlineStr">
        <is>
          <t>ข้อ 66 (PLE_CC1_2558_Key.md)</t>
        </is>
      </c>
      <c r="O133" s="2" t="inlineStr">
        <is>
          <t>ข้อสอบจริง</t>
        </is>
      </c>
      <c r="P133" s="2" t="inlineStr">
        <is>
          <t>ปี 2558</t>
        </is>
      </c>
    </row>
    <row r="134" ht="13.2" customHeight="1" s="37">
      <c r="A134" s="8" t="inlineStr">
        <is>
          <t>132</t>
        </is>
      </c>
      <c r="B134" s="2" t="inlineStr">
        <is>
          <t>ข้อใดคือกลไกของยา Palonosetron ในการรักษาและป้องอาการคลื่นไส้ อาเจียน</t>
        </is>
      </c>
      <c r="C134" s="2" t="n"/>
      <c r="D134" s="2" t="inlineStr">
        <is>
          <t>5-HT3 receptor antagonist</t>
        </is>
      </c>
      <c r="E134" s="2" t="inlineStr">
        <is>
          <t>Dopamine receptor antagonist</t>
        </is>
      </c>
      <c r="F134" s="2" t="inlineStr">
        <is>
          <t>H1 antihistamine</t>
        </is>
      </c>
      <c r="G134" s="2" t="inlineStr">
        <is>
          <t>NK1 receptor antagonist</t>
        </is>
      </c>
      <c r="H134" s="2" t="inlineStr">
        <is>
          <t>Glucocorticoid</t>
        </is>
      </c>
      <c r="I134" s="8" t="inlineStr">
        <is>
          <t>1</t>
        </is>
      </c>
      <c r="J134" s="2" t="inlineStr">
        <is>
          <t>✅ คำตอบที่ถูกต้อง: ข้อ ก. 5-HT3 receptor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5-HT3 receptor antagonist การเลือก 5-HT3 receptor antagonist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(Dopamine receptor antagonist): ข้อนี้ไม่ใช่คำตอบที่ถูกต้องสำหรับภาวะ GERD เนื่องจากกลไกการออกฤทธิ์, efficacy หรือข้อบ่งใช้ไม่ตรงกับโจทย์ที่กำหนด
• ข้อ ค. (H1 antihistamine): ข้อนี้ไม่ใช่คำตอบที่ถูกต้องสำหรับภาวะ GERD เนื่องจากกลไกการออกฤทธิ์, efficacy หรือข้อบ่งใช้ไม่ตรงกับโจทย์ที่กำหนด
• ข้อ ง. (NK1 receptor antagonist): ข้อนี้ไม่ใช่คำตอบที่ถูกต้องสำหรับภาวะ GERD เนื่องจากกลไกการออกฤทธิ์, efficacy หรือข้อบ่งใช้ไม่ตรงกับโจทย์ที่กำหนด
• ข้อ จ. (Glucocorticoid):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 s="2" t="n"/>
      <c r="L134" s="2" t="inlineStr">
        <is>
          <t>GERD</t>
        </is>
      </c>
      <c r="M134" s="2" t="inlineStr">
        <is>
          <t>Clinic</t>
        </is>
      </c>
      <c r="N134" s="2" t="inlineStr">
        <is>
          <t>ข้อ 25 (Pharmtutor_2024_Set2.md)</t>
        </is>
      </c>
      <c r="O134" s="2" t="inlineStr">
        <is>
          <t>Mock</t>
        </is>
      </c>
      <c r="P134" s="2" t="inlineStr">
        <is>
          <t>Mock Pharmtutor 2024</t>
        </is>
      </c>
    </row>
    <row r="135" ht="13.2" customHeight="1" s="37">
      <c r="A135" s="8" t="inlineStr">
        <is>
          <t>133</t>
        </is>
      </c>
      <c r="B135" s="2" t="inlineStr">
        <is>
          <t>คำนิยามของ อาการท้องเสียเรื้อรัง (Chronic Diarrhea) คืออะไร</t>
        </is>
      </c>
      <c r="C135" s="2" t="n"/>
      <c r="D135" s="2" t="inlineStr">
        <is>
          <t>มีอาการถ่ายมากกว่า 2 ครั้งต่อ 1 วัน</t>
        </is>
      </c>
      <c r="E135" s="2" t="inlineStr">
        <is>
          <t>มีอาการถ่ายมากกว่า 3 ครั้งต่อ 1 วัน</t>
        </is>
      </c>
      <c r="F135" s="2" t="inlineStr">
        <is>
          <t>มีอาการถ่ายผิดปกติ ติดต่อกันเป็นระยะเวลานานมากกว่า 7 วัน</t>
        </is>
      </c>
      <c r="G135" s="2" t="inlineStr">
        <is>
          <t>มีอาการถ่ายผิดปกติ ติดต่อกันเป็นระยะเวลานานมากกว่า 14 วัน</t>
        </is>
      </c>
      <c r="H135" s="2" t="inlineStr">
        <is>
          <t>ข้อ a และ c ถูก</t>
        </is>
      </c>
      <c r="I135" s="8" t="inlineStr">
        <is>
          <t>1</t>
        </is>
      </c>
      <c r="J135" s="2" t="inlineStr">
        <is>
          <t>✅ คำตอบที่ถูกต้อง: ข้อ ก. มีอาการถ่ายมากกว่า 2 ครั้งต่อ 1 วัน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มีอาการถ่ายมากกว่า 2 ครั้งต่อ 1 วัน การเลือก มีอาการถ่ายมากกว่า 2 ครั้งต่อ 1 วัน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(มีอาการถ่ายมากกว่า 3 ครั้งต่อ 1 วัน): ข้อนี้ไม่ใช่คำตอบที่ถูกต้องสำหรับภาวะ GERD เนื่องจากกลไกการออกฤทธิ์, efficacy หรือข้อบ่งใช้ไม่ตรงกับโจทย์ที่กำหนด
• ข้อ ค. (มีอาการถ่ายผิดปกติ ติดต่อกันเป็นระยะเวลานานมากกว่า 7 วัน): ข้อนี้ไม่ใช่คำตอบที่ถูกต้องสำหรับภาวะ GERD เนื่องจากกลไกการออกฤทธิ์, efficacy หรือข้อบ่งใช้ไม่ตรงกับโจทย์ที่กำหนด
• ข้อ ง. (มีอาการถ่ายผิดปกติ ติดต่อกันเป็นระยะเวลานานมากกว่า 14 วัน): ข้อนี้ไม่ใช่คำตอบที่ถูกต้องสำหรับภาวะ GERD เนื่องจากกลไกการออกฤทธิ์, efficacy หรือข้อบ่งใช้ไม่ตรงกับโจทย์ที่กำหนด
• ข้อ จ. (ข้อ a และ c ถูก):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5" s="2" t="n"/>
      <c r="L135" s="2" t="inlineStr">
        <is>
          <t>GERD</t>
        </is>
      </c>
      <c r="M135" s="2" t="inlineStr">
        <is>
          <t>Clinic</t>
        </is>
      </c>
      <c r="N135" s="2" t="inlineStr">
        <is>
          <t>ข้อ 28 (Pharmtutor_2024_Set2.md)</t>
        </is>
      </c>
      <c r="O135" s="2" t="inlineStr">
        <is>
          <t>Mock</t>
        </is>
      </c>
      <c r="P135" s="2" t="inlineStr">
        <is>
          <t>Mock Pharmtutor 2024</t>
        </is>
      </c>
    </row>
    <row r="136" ht="13.2" customHeight="1" s="37">
      <c r="A136" s="8" t="inlineStr">
        <is>
          <t>134</t>
        </is>
      </c>
      <c r="B136" s="2" t="inlineStr">
        <is>
          <t>ผู้ป่วยหญิง มีอาการปวดท้องหรือไม่สบายท้องที่สัมพันธ์กับการถ่ายอุจจาระ มีอาการท้องผูกสลับท้องเสีย มา 4 เดือน โดยได้รับการวินิจฉัยว่าเป็นโรคลำไส้แปรปรวน ที่มีอาการท้องผูกเป็นอาการเด่น ข้อใดเป็นยารักษาลำดับแรก</t>
        </is>
      </c>
      <c r="C136" s="2" t="n"/>
      <c r="D136" s="2" t="inlineStr">
        <is>
          <t>Psyllium-based product</t>
        </is>
      </c>
      <c r="E136" s="2" t="inlineStr">
        <is>
          <t>Bisacodyl</t>
        </is>
      </c>
      <c r="F136" s="2" t="inlineStr">
        <is>
          <t>Lubiprostone</t>
        </is>
      </c>
      <c r="G136" s="2" t="inlineStr">
        <is>
          <t>Tegaserod</t>
        </is>
      </c>
      <c r="H136" s="2" t="inlineStr">
        <is>
          <t>Prucalopride</t>
        </is>
      </c>
      <c r="I136" s="8" t="inlineStr">
        <is>
          <t>1</t>
        </is>
      </c>
      <c r="J136" s="2" t="inlineStr">
        <is>
          <t>✅ คำตอบที่ถูกต้อง: ข้อ ก. Psyllium-based product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Psyllium-based product การเลือก Psyllium-based product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(Lubiprostone): ข้อนี้ไม่ใช่คำตอบที่ถูกต้องสำหรับภาวะ GERD เนื่องจากกลไกการออกฤทธิ์, efficacy หรือข้อบ่งใช้ไม่ตรงกับโจทย์ที่กำหนด
• ข้อ ง. (Tegaserod): ข้อนี้ไม่ใช่คำตอบที่ถูกต้องสำหรับภาวะ GERD เนื่องจากกลไกการออกฤทธิ์, efficacy หรือข้อบ่งใช้ไม่ตรงกับโจทย์ที่กำหนด
• ข้อ จ. (Prucalopride):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6" s="2" t="n"/>
      <c r="L136" s="2" t="inlineStr">
        <is>
          <t>GERD</t>
        </is>
      </c>
      <c r="M136" s="2" t="inlineStr">
        <is>
          <t>Clinic</t>
        </is>
      </c>
      <c r="N136" s="2" t="inlineStr">
        <is>
          <t>ข้อ 29 (Pharmtutor_2024_Set2.md)</t>
        </is>
      </c>
      <c r="O136" s="2" t="inlineStr">
        <is>
          <t>Mock</t>
        </is>
      </c>
      <c r="P136" s="2" t="inlineStr">
        <is>
          <t>Mock Pharmtutor 2024</t>
        </is>
      </c>
    </row>
    <row r="137" ht="13.2" customHeight="1" s="37">
      <c r="A137" s="8" t="inlineStr">
        <is>
          <t>135</t>
        </is>
      </c>
      <c r="B137" s="2" t="inlineStr">
        <is>
          <t>ข้อใดเป็นคำแนะนำที_x001E_ถูกต้อง เมื_x001E_อผู้ป่วยรับประทานยา Alendronate แล้วมีอาการคลื_x001E_นไส้ อาเจียน ปวดท้อง (1) รับประทานยานี_x001B_หลังอาหารทันที แล้วดื_x0003_มนํ_x001B_าตามมาก ๆ (2) รับประทานยานี_x001B_ พร้อมกับยาลดกรด (3) หลังรับประทานยานี_x001B_ ให้อยู่ในท่าตรง เช่น นั_x0003_งตัวตรง หรือเดินอย่างน้อยครึ_x0003_งชั_x0003_วโมง ห้ามเอนตัวนอนทันที (4) รับประทานยานี_x001B_ก่อนนอน เพื_x0003_อลดอาการไม่พึงประสงค์ (5) หยุดรับประทานยา และกลับมาพบแพทย์</t>
        </is>
      </c>
      <c r="C137" s="2" t="n"/>
      <c r="D137" s="2" t="inlineStr">
        <is>
          <t>Domperidone 10 mg TID</t>
        </is>
      </c>
      <c r="E137" s="2" t="inlineStr">
        <is>
          <t>Dimenhydrinate 50 mg TID</t>
        </is>
      </c>
      <c r="F137" s="2" t="inlineStr">
        <is>
          <t>Loperamide 2 mg PRN</t>
        </is>
      </c>
      <c r="G137" s="2" t="inlineStr">
        <is>
          <t>Senna 2 tabs HS</t>
        </is>
      </c>
      <c r="H137" s="2" t="inlineStr">
        <is>
          <t>Bisacodyl 5 mg HS</t>
        </is>
      </c>
      <c r="I137" s="8" t="inlineStr">
        <is>
          <t>1</t>
        </is>
      </c>
      <c r="J137" s="2"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ข้อนี้ไม่ใช่คำตอบที่ถูกต้องสำหรับภาวะ GERD เนื่องจากกลไกการออกฤทธิ์, efficacy หรือข้อบ่งใช้ไม่ตรงกับโจทย์ที่กำหนด
• ข้อ ค. (Loperamide 2 mg PRN): เป็น peripheral mu-opioid agonist ลด peristalsis ใช้บรรเทาอาการ acute non-infectious diarrhea แต่ห้ามใช้ใน bloody diarrhea (dysentery) หรือ bacterial enteritis (เสี่ยง toxic megacolon)
• ข้อ ง. (Senna 2 tabs HS): เป็น Anthraquinone stimulant laxative กระตุ้น myenteric plexus แต่การใช้ระยะยาวอาจทำให้เกิด melanosis coli และ bowel dependence
• ข้อ จ.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37" s="2" t="n"/>
      <c r="L137" s="2" t="inlineStr">
        <is>
          <t>GERD</t>
        </is>
      </c>
      <c r="M137" s="2" t="inlineStr">
        <is>
          <t>Clinic</t>
        </is>
      </c>
      <c r="N137" s="2" t="inlineStr">
        <is>
          <t>ข้อ 47 (PLE_CC1_2557.md)</t>
        </is>
      </c>
      <c r="O137" s="2" t="inlineStr">
        <is>
          <t>ข้อสอบจริง</t>
        </is>
      </c>
      <c r="P137" s="2" t="inlineStr">
        <is>
          <t>ปี 2557</t>
        </is>
      </c>
    </row>
    <row r="138" ht="13.2" customHeight="1" s="37">
      <c r="A138" s="8" t="inlineStr">
        <is>
          <t>136</t>
        </is>
      </c>
      <c r="B138" s="2" t="inlineStr">
        <is>
          <t>??? --------------------------------------------------------------------------------------------------------------------------------- สถานการณ์ที่ 9 : GERD</t>
        </is>
      </c>
      <c r="C138" s="2" t="n"/>
      <c r="D138" s="2" t="inlineStr">
        <is>
          <t>ผู้ป่วยเพศชาย อายุ 24 ปี มีอาการเรอเปรี้ยว ขย่อน กรดไหลย้อน ควรได้รับยาใด</t>
        </is>
      </c>
      <c r="E138" s="2" t="inlineStr">
        <is>
          <t>famotidine</t>
        </is>
      </c>
      <c r="F138" s="2" t="inlineStr">
        <is>
          <t>bismus</t>
        </is>
      </c>
      <c r="G138" s="2" t="inlineStr">
        <is>
          <t>salol</t>
        </is>
      </c>
      <c r="H138" s="2" t="inlineStr">
        <is>
          <t>antacid</t>
        </is>
      </c>
      <c r="I138" s="8" t="inlineStr">
        <is>
          <t>1</t>
        </is>
      </c>
      <c r="J138" s="2" t="inlineStr">
        <is>
          <t>✅ คำตอบที่ถูกต้อง: ข้อ ก. ผู้ป่วยเพศชาย อายุ 24 ปี มีอาการเรอเปรี้ยว ขย่อน กรดไหลย้อน ควรได้รับยาใด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ผู้ป่วยเพศชาย อายุ 24 ปี มีอาการเรอเปรี้ยว ขย่อน กรดไหลย้อน ควรได้รับยาใด การเลือก ผู้ป่วยเพศชาย อายุ 24 ปี มีอาการเรอเปรี้ยว ขย่อน กรดไหลย้อน ควรได้รับยาใด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(famotidine): ข้อนี้ไม่ใช่คำตอบที่ถูกต้องสำหรับภาวะ GERD เนื่องจากกลไกการออกฤทธิ์, efficacy หรือข้อบ่งใช้ไม่ตรงกับโจทย์ที่กำหนด
• ข้อ ค. (bismus): ข้อนี้ไม่ใช่คำตอบที่ถูกต้องสำหรับภาวะ GERD เนื่องจากกลไกการออกฤทธิ์, efficacy หรือข้อบ่งใช้ไม่ตรงกับโจทย์ที่กำหนด
• ข้อ ง. (salol): ข้อนี้ไม่ใช่คำตอบที่ถูกต้องสำหรับภาวะ GERD เนื่องจากกลไกการออกฤทธิ์, efficacy หรือข้อบ่งใช้ไม่ตรงกับโจทย์ที่กำหนด
• ข้อ จ. (antacid):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8" s="2" t="n"/>
      <c r="L138" s="2" t="inlineStr">
        <is>
          <t>GERD</t>
        </is>
      </c>
      <c r="M138" s="2" t="inlineStr">
        <is>
          <t>Clinic</t>
        </is>
      </c>
      <c r="N138" s="2" t="inlineStr">
        <is>
          <t>ข้อ 5 (PLE_CC1_2556.md)</t>
        </is>
      </c>
      <c r="O138" s="2" t="inlineStr">
        <is>
          <t>ข้อสอบจริง</t>
        </is>
      </c>
      <c r="P138" s="2" t="inlineStr">
        <is>
          <t>ปี 2556</t>
        </is>
      </c>
    </row>
    <row r="139" ht="13.2" customHeight="1" s="37">
      <c r="A139" s="8" t="inlineStr">
        <is>
          <t>137</t>
        </is>
      </c>
      <c r="B139" s="2" t="inlineStr">
        <is>
          <t>อาการท้องเสียเกิดจากเชื้ออะไร</t>
        </is>
      </c>
      <c r="C139" s="2" t="n"/>
      <c r="D139" s="2" t="inlineStr">
        <is>
          <t>rotavirus</t>
        </is>
      </c>
      <c r="E139" s="2" t="inlineStr">
        <is>
          <t>shigella</t>
        </is>
      </c>
      <c r="F139" s="2" t="inlineStr">
        <is>
          <t>E.coli</t>
        </is>
      </c>
      <c r="G139" s="2" t="inlineStr">
        <is>
          <t>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t>
        </is>
      </c>
      <c r="H139" s="2" t="inlineStr">
        <is>
          <t>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t>
        </is>
      </c>
      <c r="I139" s="8" t="inlineStr">
        <is>
          <t>1</t>
        </is>
      </c>
      <c r="J139" s="2" t="inlineStr">
        <is>
          <t>✅ คำตอบที่ถูกต้อง: ข้อ ก. rotavirus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rotavirus โดยเฉพาะอย่างยิ่งไวรัสโรต้า (rotavirus) อาการเด่นได้แก่ ไข้ อาเจียน ท้องเสียถ่ายเป็นนํ้า อาจมีหวัด ไอ การติดต่อเกิดจากเชื้อไวรัสเข้าสู่ปากโดยตรง โดยเชื้ออาจติดมากับมือ หรือของเล่นที่เปื้อนนํ้ามูก นํ้าลาย
🔍 ข้ออื่นผิดเพราะอะไร:
• ข้อ ข. (shigella): ข้อนี้ไม่ใช่คำตอบที่ถูกต้องสำหรับภาวะ GERD เนื่องจากกลไกการออกฤทธิ์, efficacy หรือข้อบ่งใช้ไม่ตรงกับโจทย์ที่กำหนด
• ข้อ ค. (E.coli): ข้อนี้ไม่ใช่คำตอบที่ถูกต้องสำหรับภาวะ GERD เนื่องจากกลไกการออกฤทธิ์, efficacy หรือข้อบ่งใช้ไม่ตรงกับโจทย์ที่กำหนด
• ข้อ ง. (Vibrio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 ข้อนี้ไม่ใช่คำตอบที่ถูกต้องสำหรับภาวะ GERD เนื่องจากกลไกการออกฤทธิ์, efficacy หรือข้อบ่งใช้ไม่ตรงกับโจทย์ที่กำหนด
• ข้อ จ. (coli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 วัคซีนไข้สมองอักเสบเจอี ชนิดเชื้อเป็น (Live attenuated CD.JEV) ให้ 2 เข็ม ที่อายุ 9-12 เดือน และเข็ม 2 ห่างกัน 3-12 เดือน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9" s="2" t="n"/>
      <c r="L139" s="2" t="inlineStr">
        <is>
          <t>GERD</t>
        </is>
      </c>
      <c r="M139" s="2" t="inlineStr">
        <is>
          <t>Clinic</t>
        </is>
      </c>
      <c r="N139" s="2" t="inlineStr">
        <is>
          <t>ข้อ 1 (PLE_CC1_2554 SET2.md)</t>
        </is>
      </c>
      <c r="O139" s="2" t="inlineStr">
        <is>
          <t>ข้อสอบจริง</t>
        </is>
      </c>
      <c r="P139" s="2" t="inlineStr">
        <is>
          <t>ปี 2554</t>
        </is>
      </c>
    </row>
    <row r="140" ht="13.2" customHeight="1" s="37">
      <c r="A140" s="8" t="inlineStr">
        <is>
          <t>138</t>
        </is>
      </c>
      <c r="B140" s="2" t="inlineStr">
        <is>
          <t>โรคกระเพาะอาหาร</t>
        </is>
      </c>
      <c r="C140" s="2" t="n"/>
      <c r="D140" s="2" t="inlineStr">
        <is>
          <t>Aluminium hydroxide/Magnesium hydroxide suspension</t>
        </is>
      </c>
      <c r="E140" s="2" t="inlineStr">
        <is>
          <t>Metoclopramide 10 mg TID before meals</t>
        </is>
      </c>
      <c r="F140" s="2" t="inlineStr">
        <is>
          <t>Omeprazole 20 mg OD</t>
        </is>
      </c>
      <c r="G140" s="2" t="inlineStr">
        <is>
          <t>Esomeprazole 20 mg OD</t>
        </is>
      </c>
      <c r="H140" s="2" t="inlineStr">
        <is>
          <t>Domperidone 10 mg TID</t>
        </is>
      </c>
      <c r="I140" s="8" t="inlineStr">
        <is>
          <t>1</t>
        </is>
      </c>
      <c r="J140" s="2"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0" s="2" t="n"/>
      <c r="L140" s="2" t="inlineStr">
        <is>
          <t>GERD</t>
        </is>
      </c>
      <c r="M140" s="2" t="inlineStr">
        <is>
          <t>Clinic</t>
        </is>
      </c>
      <c r="N140" s="2" t="inlineStr">
        <is>
          <t>ข้อ 4 (PLE_CC1_2533.md)</t>
        </is>
      </c>
      <c r="O140" s="2" t="inlineStr">
        <is>
          <t>ข้อสอบจริง</t>
        </is>
      </c>
      <c r="P140" s="2" t="inlineStr">
        <is>
          <t>ปี 2533</t>
        </is>
      </c>
    </row>
    <row r="141" ht="13.2" customHeight="1" s="37">
      <c r="A141" s="8" t="inlineStr">
        <is>
          <t>139</t>
        </is>
      </c>
      <c r="B141" s="2" t="inlineStr">
        <is>
          <t>ข้อใดไม่ใช่ปัจจัยเสี่ยงของการเกิดแผลในกระเพาะ</t>
        </is>
      </c>
      <c r="C141" s="2" t="n"/>
      <c r="D141" s="2" t="inlineStr">
        <is>
          <t>อายุ &gt; 65 ปี</t>
        </is>
      </c>
      <c r="E141" s="2" t="inlineStr">
        <is>
          <t>มีการใช้ยาในกลุ่ม NSAIDs</t>
        </is>
      </c>
      <c r="F141" s="2" t="inlineStr">
        <is>
          <t>มีพฤติกรรมดื่มกาแฟและสูบบุหรี่เป็นประจำ</t>
        </is>
      </c>
      <c r="G141" s="2" t="inlineStr">
        <is>
          <t>อ้วน</t>
        </is>
      </c>
      <c r="H141" s="2" t="inlineStr">
        <is>
          <t>Osteoarthritis แพทย์พิจารณาสั่งจ่ายยา Omeprazole ขนาด 40 มิลลิกรัม รับประทานวันละ 1 ครั้ง ก่อนอาหารเช้า</t>
        </is>
      </c>
      <c r="I141" s="8" t="inlineStr">
        <is>
          <t>1</t>
        </is>
      </c>
      <c r="J141" s="2" t="inlineStr">
        <is>
          <t>✅ คำตอบที่ถูกต้อง: ข้อ ก. อายุ &gt; 65 ปี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อายุ &gt; 65 ปี การเลือก อายุ &gt; 65 ปี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(มีการใช้ยาในกลุ่ม NSAIDs): ข้อนี้ไม่ใช่คำตอบที่ถูกต้องสำหรับภาวะ GERD เนื่องจากกลไกการออกฤทธิ์, efficacy หรือข้อบ่งใช้ไม่ตรงกับโจทย์ที่กำหนด
• ข้อ ค. (มีพฤติกรรมดื่มกาแฟและสูบบุหรี่เป็นประจำ): ข้อนี้ไม่ใช่คำตอบที่ถูกต้องสำหรับภาวะ GERD เนื่องจากกลไกการออกฤทธิ์, efficacy หรือข้อบ่งใช้ไม่ตรงกับโจทย์ที่กำหนด
• ข้อ ง. (อ้วน): ข้อนี้ไม่ใช่คำตอบที่ถูกต้องสำหรับภาวะ GERD เนื่องจากกลไกการออกฤทธิ์, efficacy หรือข้อบ่งใช้ไม่ตรงกับโจทย์ที่กำหนด
• ข้อ จ. (Osteoarthritis แพทย์พิจารณาสั่งจ่ายยา Omeprazole ขนาด 40 มิลลิกรัม รับประทานวันละ 1 ครั้ง ก่อนอาหารเช้า):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1" s="2" t="n"/>
      <c r="L141" s="2" t="inlineStr">
        <is>
          <t>GERD</t>
        </is>
      </c>
      <c r="M141" s="2" t="inlineStr">
        <is>
          <t>Clinic</t>
        </is>
      </c>
      <c r="N141" s="2" t="inlineStr">
        <is>
          <t>ข้อ 9 (PLE_CC1_Practice_Exam.md)</t>
        </is>
      </c>
      <c r="O141" s="2" t="inlineStr">
        <is>
          <t>Mock</t>
        </is>
      </c>
      <c r="P141" s="2" t="inlineStr">
        <is>
          <t>Mock สภาเภสัชฯ Practice</t>
        </is>
      </c>
    </row>
    <row r="142" ht="13.2" customHeight="1" s="37">
      <c r="A142" s="8" t="inlineStr">
        <is>
          <t>140</t>
        </is>
      </c>
      <c r="B142" s="2" t="inlineStr">
        <is>
          <t>Domperidone ออกฤทธิ์ต้านการอาเจียนที่ใด</t>
        </is>
      </c>
      <c r="C142" s="2" t="n"/>
      <c r="D142" s="2" t="inlineStr">
        <is>
          <t>Serotonin 5-HT3 ที่ CTZ</t>
        </is>
      </c>
      <c r="E142" s="2" t="inlineStr">
        <is>
          <t>GABA receptor ที่ CTZ</t>
        </is>
      </c>
      <c r="F142" s="2" t="inlineStr">
        <is>
          <t>Nueurokinin-1 receptor ที่ CTZ</t>
        </is>
      </c>
      <c r="G142" s="2" t="inlineStr">
        <is>
          <t>Dopamine D2 receptor ที่ CTZ</t>
        </is>
      </c>
      <c r="H142" s="2" t="inlineStr">
        <is>
          <t>Adrenergic receptor ที่ CTZ หัวข้อเรื่อง Peptic ulcer จากกรณีศึกษาต่อไปนี้ ตอบคำถามข้อ 19-20 ชาย อายุ 56 ปี มาพบแพทย์ด้วยอาการปวดท้องบริเวณลิ้นปี่ แน่นท้อง อาหารไม่ย่อย มักปวดหลัง รับประทานอาหาร มีประวัติเป็นแผลที่กระเพาะอาหารเมื่อ 2 ปีก่อนแพทย์วินิจฉัยว่าผู้ป่วยเป็นโรค กระเพาะอาหารจากการติดเชื้อ Helicobacter pylori ผู้ป่วยมีประวัติแพ้ยา Penicillin 47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142" s="8" t="inlineStr">
        <is>
          <t>1</t>
        </is>
      </c>
      <c r="J142" s="2" t="inlineStr">
        <is>
          <t>✅ คำตอบที่ถูกต้อง: ข้อ ก. Serotonin 5-HT3 ที่ CTZ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Serotonin 5-HT3 ที่ CTZ การเลือก Serotonin 5-HT3 ที่ CTZ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(GABA receptor ที่ CTZ): ข้อนี้ไม่ใช่คำตอบที่ถูกต้องสำหรับภาวะ GERD เนื่องจากกลไกการออกฤทธิ์, efficacy หรือข้อบ่งใช้ไม่ตรงกับโจทย์ที่กำหนด
• ข้อ ค. (Nueurokinin-1 receptor ที่ CTZ): ข้อนี้ไม่ใช่คำตอบที่ถูกต้องสำหรับภาวะ GERD เนื่องจากกลไกการออกฤทธิ์, efficacy หรือข้อบ่งใช้ไม่ตรงกับโจทย์ที่กำหนด
• ข้อ ง. (Dopamine D2 receptor ที่ CTZ): ข้อนี้ไม่ใช่คำตอบที่ถูกต้องสำหรับภาวะ GERD เนื่องจากกลไกการออกฤทธิ์, efficacy หรือข้อบ่งใช้ไม่ตรงกับโจทย์ที่กำหนด
• ข้อ จ. (Adrenergic receptor ที่ CTZ หัวข้อเรื่อง Peptic ulcer จากกรณีศึกษาต่อไปนี้ ตอบคำถามข้อ 19-20 ชาย อายุ 56 ปี มาพบแพทย์ด้วยอาการปวดท้องบริเวณลิ้นปี่ แน่นท้อง อาหารไม่ย่อย มักปวดหลัง รับประทานอาหาร มีประวัติเป็นแผลที่กระเพาะอาหารเมื่อ 2 ปีก่อนแพทย์วินิจฉัยว่าผู้ป่วยเป็นโรค กระเพาะอาหารจากการติดเชื้อ Helicobacter pylori ผู้ป่วยมีประวัติแพ้ยา Penicillin 47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2" s="2" t="n"/>
      <c r="L142" s="2" t="inlineStr">
        <is>
          <t>GERD</t>
        </is>
      </c>
      <c r="M142" s="2" t="inlineStr">
        <is>
          <t>Clinic</t>
        </is>
      </c>
      <c r="N142" s="2" t="inlineStr">
        <is>
          <t>ข้อ 18 (PLE_CC1_Practice_Exam.md)</t>
        </is>
      </c>
      <c r="O142" s="2" t="inlineStr">
        <is>
          <t>Mock</t>
        </is>
      </c>
      <c r="P142" s="2" t="inlineStr">
        <is>
          <t>Mock สภาเภสัชฯ Practice</t>
        </is>
      </c>
    </row>
    <row r="143" ht="13.2" customHeight="1" s="37">
      <c r="A143" s="8" t="inlineStr">
        <is>
          <t>141</t>
        </is>
      </c>
      <c r="B143" s="2" t="inlineStr">
        <is>
          <t>ข้อใดเป็นสาเหตุของภาวะท้องเสียในผู้ป่วยรายนี้</t>
        </is>
      </c>
      <c r="C143" s="2" t="n"/>
      <c r="D143" s="2" t="inlineStr">
        <is>
          <t>Salmonella typhi</t>
        </is>
      </c>
      <c r="E143" s="2" t="inlineStr">
        <is>
          <t>Shigella dysenteriae</t>
        </is>
      </c>
      <c r="F143" s="2" t="inlineStr">
        <is>
          <t>Clostridium difficile</t>
        </is>
      </c>
      <c r="G143" s="2" t="inlineStr">
        <is>
          <t>Enterotoxigenic E.coli</t>
        </is>
      </c>
      <c r="H143" s="2" t="inlineStr">
        <is>
          <t>Entamoeba histolytica</t>
        </is>
      </c>
      <c r="I143" s="8" t="inlineStr">
        <is>
          <t>1</t>
        </is>
      </c>
      <c r="J143" s="2" t="inlineStr">
        <is>
          <t>✅ คำตอบที่ถูกต้อง: ข้อ ก. Salmonella typhi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Salmonella typhi การเลือก Salmonella typhi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(Shigella dysenteriae): ข้อนี้ไม่ใช่คำตอบที่ถูกต้องสำหรับภาวะ GERD เนื่องจากกลไกการออกฤทธิ์, efficacy หรือข้อบ่งใช้ไม่ตรงกับโจทย์ที่กำหนด
• ข้อ ค. (Clostridium difficile): ข้อนี้ไม่ใช่คำตอบที่ถูกต้องสำหรับภาวะ GERD เนื่องจากกลไกการออกฤทธิ์, efficacy หรือข้อบ่งใช้ไม่ตรงกับโจทย์ที่กำหนด
• ข้อ ง. (Enterotoxigenic E.coli): ข้อนี้ไม่ใช่คำตอบที่ถูกต้องสำหรับภาวะ GERD เนื่องจากกลไกการออกฤทธิ์, efficacy หรือข้อบ่งใช้ไม่ตรงกับโจทย์ที่กำหนด
• ข้อ จ. (Entamoeba histolytica):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3" s="2" t="n"/>
      <c r="L143" s="2" t="inlineStr">
        <is>
          <t>GERD</t>
        </is>
      </c>
      <c r="M143" s="2" t="inlineStr">
        <is>
          <t>Clinic</t>
        </is>
      </c>
      <c r="N143" s="2" t="inlineStr">
        <is>
          <t>ข้อ 33 (PLE_CC1_Practice_Exam.md)</t>
        </is>
      </c>
      <c r="O143" s="2" t="inlineStr">
        <is>
          <t>Mock</t>
        </is>
      </c>
      <c r="P143" s="2" t="inlineStr">
        <is>
          <t>Mock สภาเภสัชฯ Practice</t>
        </is>
      </c>
    </row>
    <row r="144" ht="13.2" customHeight="1" s="37">
      <c r="A144" s="8" t="inlineStr">
        <is>
          <t>142</t>
        </is>
      </c>
      <c r="B144" s="2" t="inlineStr">
        <is>
          <t>ตอบ ง. ยานี้รับประทานวันละ 3 ครั้ง หลังอาหาร เนื่องมาจากยาระคายเคืองต่อกระเพาะอาหาร และมี ค่าครึ่งชีวิตสั้น เพราะยานี้ให้รับประทานวันละ 1 ครั้ง ในขณะท้องว่าง หรือก่อนอาหารครึ่งชั่วโมงในตอนเช้าของ อาหารมื้อแรก เนื่องมาจากยาจะดูดซึมได้ดีในสภาวะที่เป็นกรด และยานี้มีค่าครึ่งชีวิตยาว 6 วัน</t>
        </is>
      </c>
      <c r="C144" s="2" t="n"/>
      <c r="D144" s="2" t="inlineStr">
        <is>
          <t>Hyoscine butylbromide 10 mg TID</t>
        </is>
      </c>
      <c r="E144" s="2" t="inlineStr">
        <is>
          <t>Aluminium hydroxide/Magnesium hydroxide suspension</t>
        </is>
      </c>
      <c r="F144" s="2" t="inlineStr">
        <is>
          <t>Metoclopramide 10 mg TID before meals</t>
        </is>
      </c>
      <c r="G144" s="2" t="inlineStr">
        <is>
          <t>Omeprazole 20 mg OD</t>
        </is>
      </c>
      <c r="H144" s="2" t="inlineStr">
        <is>
          <t>Esomeprazole 20 mg OD</t>
        </is>
      </c>
      <c r="I144" s="8" t="inlineStr">
        <is>
          <t>1</t>
        </is>
      </c>
      <c r="J144" s="2"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ข้อนี้ไม่ใช่คำตอบที่ถูกต้องสำหรับภาวะ GERD เนื่องจากกลไกการออกฤทธิ์, efficacy หรือข้อบ่งใช้ไม่ตรงกับโจทย์ที่กำหนด
• ข้อ ค. (Metoclopramide 10 mg TID before meals): เป็น central และ peripheral D2 antagonist เพิ่ม gastric emptying และแก้อาเจียน แต่ผ่าน BBB จึงทำให้เกิด acute dystonia และ EPS ได้ง่าย
• ข้อ ง.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4" s="2" t="n"/>
      <c r="L144" s="2" t="inlineStr">
        <is>
          <t>GERD</t>
        </is>
      </c>
      <c r="M144" s="2" t="inlineStr">
        <is>
          <t>Clinic</t>
        </is>
      </c>
      <c r="N144" s="2" t="inlineStr">
        <is>
          <t>ข้อ 30 (PLE_CC1_Practice_Exam.md)</t>
        </is>
      </c>
      <c r="O144" s="2" t="inlineStr">
        <is>
          <t>Mock</t>
        </is>
      </c>
      <c r="P144" s="2" t="inlineStr">
        <is>
          <t>Mock สภาเภสัชฯ Practice</t>
        </is>
      </c>
    </row>
    <row r="145" ht="13.2" customHeight="1" s="37">
      <c r="A145" s="8" t="inlineStr">
        <is>
          <t>143</t>
        </is>
      </c>
      <c r="B145" s="2" t="inlineStr">
        <is>
          <t>หลังจากผู้ป่วยรับประทานยาไประยะหนึ่ง เริ่มมีอาการปวดเต้านม ตึงคัดเต้านม คลื่นไส้อาเจียน เกิดจาก สาเหตุใดและแก้ไขได้อย่างไร</t>
        </is>
      </c>
      <c r="C145" s="2" t="n"/>
      <c r="D145" s="2" t="inlineStr">
        <is>
          <t>เกิดจากยา Estradiol valerateแก้ไขโดยการเปลี่ยนยา เป็น tibolone</t>
        </is>
      </c>
      <c r="E145" s="2" t="inlineStr">
        <is>
          <t>เกิดจากยา Norethisterone acetate แก้ไขโดยการเปลี่ยนยาเป็น tibolone</t>
        </is>
      </c>
      <c r="F145" s="2" t="inlineStr">
        <is>
          <t>เกิดจากยา Estradiol valerateแก้ไขโดยการเปลี่ยนยา เป็น Raloxifene</t>
        </is>
      </c>
      <c r="G145" s="2" t="inlineStr">
        <is>
          <t>เกิดจากยา Norethisterone acetate แก้ไขโดยการเปลี่ยนยาเป็น Raloxifene</t>
        </is>
      </c>
      <c r="H145" s="2" t="inlineStr">
        <is>
          <t>เกิดจากยา Estradiol valerateแก้ไขโดยการเปลี่ยนยา เป็น Conjugated estrogen 212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35.ข้อใดเป็นข้อบ่งใช้ของยาที่มีโครงสร้างต่อไปนี้</t>
        </is>
      </c>
      <c r="I145" s="8" t="inlineStr">
        <is>
          <t>3</t>
        </is>
      </c>
      <c r="J145" s="2" t="inlineStr">
        <is>
          <t>✅ คำตอบที่ถูกต้อง: ข้อ ค. เกิดจากยา Estradiol valerateแก้ไขโดยการเปลี่ยนยา เป็น Raloxifene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เกิดจากยา Estradiol valerateแก้ไขโดยการเปลี่ยนยา เป็น Raloxifene เกิดจากยา Estradiol valerate แก้ไขโดยการเปลี่ยนยา เป็น Raloxifene เกิดจากยา Estradiol valerate แก้ไขโดยการเปลี่ยนยา เป็น Raloxifene เกิดจากยา Estradiol valerate แก้ไขโดยการเปลี่ยนยา เป็น Raloxifene เกิดจากยา Estradiol valerate แก้ไขโดยการเปลี่ยนยา เป็น Raloxifene ร่วมกับยาสเตียรอยด์เช่น Hydrocortisone อาจทำให้ผู้ป่วยได้รับผลข้างเคียงจากยาสเตียรอยด์ดังกล่าวสูงขึ้น คล้ายมีประจำเดือน หรือส่งผลให้เกิดการตั้งครรภ์โดยมิได้ตั้งใจได้ หากมีความจำเป็นต้องใช้ร่วมกันแพทย์จะ (emergency contraceptive pill หรือ morning-after pill) ใช้ป้องกันการตั้งครรภ์เมื่อมีเพศสัมพันธ์เกิดขึ้น หรือ 4 เม็ดสุดท้าย(กรณี 24+4) เป็นเม็ดแป้งไม่มีฮอร์โมนอยู่แล้ว และปจด.จะมาในเม็ดที่ 2-3 ของช่วงที่กิน
🔍 ข้ออื่นผิดเพราะอะไร:
• ข้อ ก. (เกิดจากยา Estradiol valerateแก้ไขโดยการเปลี่ยนยา เป็น tibolone): ข้อนี้ไม่ใช่คำตอบที่ถูกต้องสำหรับภาวะ GERD เนื่องจากกลไกการออกฤทธิ์, efficacy หรือข้อบ่งใช้ไม่ตรงกับโจทย์ที่กำหนด
• ข้อ ข. (เกิดจากยา Norethisterone acetate แก้ไขโดยการเปลี่ยนยาเป็น tibolone): ข้อนี้ไม่ใช่คำตอบที่ถูกต้องสำหรับภาวะ GERD เนื่องจากกลไกการออกฤทธิ์, efficacy หรือข้อบ่งใช้ไม่ตรงกับโจทย์ที่กำหนด
• ข้อ ง. (เกิดจากยา Norethisterone acetate แก้ไขโดยการเปลี่ยนยาเป็น Raloxifene): ข้อนี้ไม่ใช่คำตอบที่ถูกต้องสำหรับภาวะ GERD เนื่องจากกลไกการออกฤทธิ์, efficacy หรือข้อบ่งใช้ไม่ตรงกับโจทย์ที่กำหนด
• ข้อ จ. (เกิดจากยา Estradiol valerateแก้ไขโดยการเปลี่ยนยา เป็น Conjugated estrogen 212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35.ข้อใดเป็นข้อบ่งใช้ของยาที่มีโครงสร้างต่อไปนี้):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5" s="2" t="n"/>
      <c r="L145" s="2" t="inlineStr">
        <is>
          <t>GERD</t>
        </is>
      </c>
      <c r="M145" s="2" t="inlineStr">
        <is>
          <t>Clinic</t>
        </is>
      </c>
      <c r="N145" s="2" t="inlineStr">
        <is>
          <t>ข้อ 34 (PLE_CC1_Practice_Exam.md)</t>
        </is>
      </c>
      <c r="O145" s="2" t="inlineStr">
        <is>
          <t>Mock</t>
        </is>
      </c>
      <c r="P145" s="2" t="inlineStr">
        <is>
          <t>Mock สภาเภสัชฯ Practice</t>
        </is>
      </c>
    </row>
    <row r="146" ht="13.2" customHeight="1" s="37">
      <c r="A146" s="8" t="inlineStr">
        <is>
          <t>144</t>
        </is>
      </c>
      <c r="B146" s="2" t="inlineStr">
        <is>
          <t>แนวคิด: 1) ระบบการนำส่งยาแบบ gastroretention ยาจะถูก ดูดซึมได้ดีขึ้น ถูกต้อง เพราะการนำส่งยาแบบนี้จะทำให้ยาข้างอยู่กระเพาะนานขึ้น และยาที่ pH ต่ำ จะแตกตัวน้อยกว่า ส่งผลให้มีการดูดซึมได้ดี</t>
        </is>
      </c>
      <c r="C146" s="2" t="n"/>
      <c r="D146" s="2" t="inlineStr">
        <is>
          <t>Dimenhydrinate 50 mg TID</t>
        </is>
      </c>
      <c r="E146" s="2" t="inlineStr">
        <is>
          <t>Loperamide 2 mg PRN</t>
        </is>
      </c>
      <c r="F146" s="2" t="inlineStr">
        <is>
          <t>Senna 2 tabs HS</t>
        </is>
      </c>
      <c r="G146" s="2" t="inlineStr">
        <is>
          <t>Bisacodyl 5 mg HS</t>
        </is>
      </c>
      <c r="H146" s="2" t="inlineStr">
        <is>
          <t>Lactulose 15 mL OD</t>
        </is>
      </c>
      <c r="I146" s="8" t="inlineStr">
        <is>
          <t>1</t>
        </is>
      </c>
      <c r="J146" s="2"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6" s="2" t="n"/>
      <c r="L146" s="2" t="inlineStr">
        <is>
          <t>GERD</t>
        </is>
      </c>
      <c r="M146" s="2" t="inlineStr">
        <is>
          <t>Clinic</t>
        </is>
      </c>
      <c r="N146" s="2" t="inlineStr">
        <is>
          <t>ข้อ 5 (PLE_CC1_Key_Rx20_UBU.md)</t>
        </is>
      </c>
      <c r="O146" s="2" t="inlineStr">
        <is>
          <t>Mock</t>
        </is>
      </c>
      <c r="P146" s="2" t="inlineStr">
        <is>
          <t>Mock Rx20 UBU</t>
        </is>
      </c>
    </row>
    <row r="147" ht="13.2" customHeight="1" s="37">
      <c r="A147" s="8" t="inlineStr">
        <is>
          <t>145</t>
        </is>
      </c>
      <c r="B147" s="2" t="inlineStr">
        <is>
          <t>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t>
        </is>
      </c>
      <c r="C147" s="2" t="n"/>
      <c r="D147" s="2" t="inlineStr">
        <is>
          <t>Bisacodyl 5 mg HS</t>
        </is>
      </c>
      <c r="E147" s="2" t="inlineStr">
        <is>
          <t>Lactulose 15 mL OD</t>
        </is>
      </c>
      <c r="F147" s="2" t="inlineStr">
        <is>
          <t>Amoxicillin 1000 mg BID</t>
        </is>
      </c>
      <c r="G147" s="2" t="inlineStr">
        <is>
          <t>Clarithromycin 500 mg BID</t>
        </is>
      </c>
      <c r="H147" s="2" t="inlineStr">
        <is>
          <t>Hyoscine butylbromide 10 mg TID</t>
        </is>
      </c>
      <c r="I147" s="8" t="inlineStr">
        <is>
          <t>5</t>
        </is>
      </c>
      <c r="J147" s="2" t="inlineStr">
        <is>
          <t>✅ คำตอบที่ถูกต้อง: ข้อ จ.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ก.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7" s="2" t="n"/>
      <c r="L147" s="2" t="inlineStr">
        <is>
          <t>GERD</t>
        </is>
      </c>
      <c r="M147" s="2" t="inlineStr">
        <is>
          <t>Clinic</t>
        </is>
      </c>
      <c r="N147" s="2" t="inlineStr">
        <is>
          <t>ข้อ 5 (PLE_CC1_Key_Rx20_UBU.md)</t>
        </is>
      </c>
      <c r="O147" s="2" t="inlineStr">
        <is>
          <t>Mock</t>
        </is>
      </c>
      <c r="P147" s="2" t="inlineStr">
        <is>
          <t>Mock Rx20 UBU</t>
        </is>
      </c>
    </row>
    <row r="148" ht="13.2" customHeight="1" s="37">
      <c r="A148" s="8" t="inlineStr">
        <is>
          <t>146</t>
        </is>
      </c>
      <c r="B148" s="2" t="inlineStr">
        <is>
          <t>Acute bronchitis คอหอยอักเสบ หรือ Pharyngitis ซึ่งผู้ป่วยมักมาด้วยอาการเจ็บคอ มีไข้ อาจมีอาการปวดหัว คลื่นไส้อาเจียน ปวดท้องได้ รวมถึงอาการอื่นๆ ได้แก่ - ต่อมทอนซิลมักจะบวมแดง อักเสบ โดยอาจมี หรือ ไม่มีจุดหนองก็ได้ - ต่อมน้ำเหลืองที่คอโต - เพดานปากเหนือลิ้นไก่บวมแดง</t>
        </is>
      </c>
      <c r="C148" s="2" t="n"/>
      <c r="D148" s="2" t="inlineStr">
        <is>
          <t>Clarithromycin 500 mg BID</t>
        </is>
      </c>
      <c r="E148" s="2" t="inlineStr">
        <is>
          <t>Hyoscine butylbromide 10 mg TID</t>
        </is>
      </c>
      <c r="F148" s="2" t="inlineStr">
        <is>
          <t>Aluminium hydroxide/Magnesium hydroxide suspension</t>
        </is>
      </c>
      <c r="G148" s="2" t="inlineStr">
        <is>
          <t>Metoclopramide 10 mg TID before meals</t>
        </is>
      </c>
      <c r="H148" s="2" t="inlineStr">
        <is>
          <t>Omeprazole 20 mg OD</t>
        </is>
      </c>
      <c r="I148" s="8" t="inlineStr">
        <is>
          <t>1</t>
        </is>
      </c>
      <c r="J148" s="2"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ข้อนี้ไม่ใช่คำตอบที่ถูกต้องสำหรับภาวะ GERD เนื่องจากกลไกการออกฤทธิ์, efficacy หรือข้อบ่งใช้ไม่ตรงกับโจทย์ที่กำหนด
• ข้อ ค. (Aluminium hydroxide/Magnesium hydroxide suspension): ข้อนี้ไม่ใช่คำตอบที่ถูกต้องสำหรับภาวะ GERD เนื่องจากกลไกการออกฤทธิ์, efficacy หรือข้อบ่งใช้ไม่ตรงกับโจทย์ที่กำหนด
• ข้อ ง. (Metoclopramide 10 mg TID before meals): เป็น central และ peripheral D2 antagonist เพิ่ม gastric emptying และแก้อาเจียน แต่ผ่าน BBB จึงทำให้เกิด acute dystonia และ EPS ได้ง่าย
• ข้อ จ.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8" s="2" t="n"/>
      <c r="L148" s="2" t="inlineStr">
        <is>
          <t>GERD</t>
        </is>
      </c>
      <c r="M148" s="2" t="inlineStr">
        <is>
          <t>Clinic</t>
        </is>
      </c>
      <c r="N148" s="2" t="inlineStr">
        <is>
          <t>ข้อ 5 (PLE_CC1_Key_Rx20_UBU.md)</t>
        </is>
      </c>
      <c r="O148" s="2" t="inlineStr">
        <is>
          <t>Mock</t>
        </is>
      </c>
      <c r="P148" s="2" t="inlineStr">
        <is>
          <t>Mock Rx20 UBU</t>
        </is>
      </c>
    </row>
    <row r="149" ht="13.2" customHeight="1" s="37">
      <c r="A149" s="8" t="inlineStr">
        <is>
          <t>147</t>
        </is>
      </c>
      <c r="B149" s="2" t="inlineStr">
        <is>
          <t>ผู้ป่วยหญิงเป็นโรคกระเพาะจากภาวะเครียดเรื้อรัง</t>
        </is>
      </c>
      <c r="C149" s="2" t="n"/>
      <c r="D149" s="2" t="inlineStr">
        <is>
          <t>Metoclopramide 10 mg TID before meals</t>
        </is>
      </c>
      <c r="E149" s="2" t="inlineStr">
        <is>
          <t>Omeprazole 20 mg OD</t>
        </is>
      </c>
      <c r="F149" s="2" t="inlineStr">
        <is>
          <t>Esomeprazole 20 mg OD</t>
        </is>
      </c>
      <c r="G149" s="2" t="inlineStr">
        <is>
          <t>Domperidone 10 mg TID</t>
        </is>
      </c>
      <c r="H149" s="2" t="inlineStr">
        <is>
          <t>Dimenhydrinate 50 mg TID</t>
        </is>
      </c>
      <c r="I149" s="8" t="inlineStr">
        <is>
          <t>1</t>
        </is>
      </c>
      <c r="J149" s="2" t="inlineStr">
        <is>
          <t>✅ คำตอบที่ถูกต้อง: ข้อ ก. Metoclopramide 10 mg TID before meals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(Domperidone 10 mg TID): เป็น peripheral D2 receptor antagonist เพิ่ม GI motility ไม่ผ่าน BBB จึงไม่ทำให้เกิด EPS เด่นชัด แต่ต้องระวัง QT prolongation ในขนาดสูง (&gt; 30 mg/day)
• ข้อ จ. (Dimenhydrinate 50 mg TID):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9" s="2" t="n"/>
      <c r="L149" s="2" t="inlineStr">
        <is>
          <t>GERD</t>
        </is>
      </c>
      <c r="M149" s="2" t="inlineStr">
        <is>
          <t>Clinic</t>
        </is>
      </c>
      <c r="N149" s="2" t="inlineStr">
        <is>
          <t>ข้อ 3 (PLE_CC1_Key_Rx20_UBU.md)</t>
        </is>
      </c>
      <c r="O149" s="2" t="inlineStr">
        <is>
          <t>Mock</t>
        </is>
      </c>
      <c r="P149" s="2" t="inlineStr">
        <is>
          <t>Mock Rx20 UBU</t>
        </is>
      </c>
    </row>
    <row r="150" ht="13.2" customHeight="1" s="37">
      <c r="A150" s="8" t="inlineStr">
        <is>
          <t>148</t>
        </is>
      </c>
      <c r="B150" s="2" t="inlineStr">
        <is>
          <t>คลื่นไส้อาเจียน</t>
        </is>
      </c>
      <c r="C150" s="2" t="n"/>
      <c r="D150" s="2" t="inlineStr">
        <is>
          <t>Domperidone 10 mg TID</t>
        </is>
      </c>
      <c r="E150" s="2" t="inlineStr">
        <is>
          <t>Dimenhydrinate 50 mg TID</t>
        </is>
      </c>
      <c r="F150" s="2" t="inlineStr">
        <is>
          <t>Loperamide 2 mg PRN</t>
        </is>
      </c>
      <c r="G150" s="2" t="inlineStr">
        <is>
          <t>Senna 2 tabs HS</t>
        </is>
      </c>
      <c r="H150" s="2" t="inlineStr">
        <is>
          <t>Bisacodyl 5 mg HS</t>
        </is>
      </c>
      <c r="I150" s="8" t="inlineStr">
        <is>
          <t>1</t>
        </is>
      </c>
      <c r="J150" s="2"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ข้อนี้ไม่ใช่คำตอบที่ถูกต้องสำหรับภาวะ GERD เนื่องจากกลไกการออกฤทธิ์, efficacy หรือข้อบ่งใช้ไม่ตรงกับโจทย์ที่กำหนด
• ข้อ ค. (Loperamide 2 mg PRN): เป็น peripheral mu-opioid agonist ลด peristalsis ใช้บรรเทาอาการ acute non-infectious diarrhea แต่ห้ามใช้ใน bloody diarrhea (dysentery) หรือ bacterial enteritis (เสี่ยง toxic megacolon)
• ข้อ ง. (Senna 2 tabs HS): เป็น Anthraquinone stimulant laxative กระตุ้น myenteric plexus แต่การใช้ระยะยาวอาจทำให้เกิด melanosis coli และ bowel dependence
• ข้อ จ.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0" s="2" t="n"/>
      <c r="L150" s="2" t="inlineStr">
        <is>
          <t>GERD</t>
        </is>
      </c>
      <c r="M150" s="2" t="inlineStr">
        <is>
          <t>Clinic</t>
        </is>
      </c>
      <c r="N150" s="2" t="inlineStr">
        <is>
          <t>ข้อ 1 (PLE_CC1_Key_Rx20_UBU.md)</t>
        </is>
      </c>
      <c r="O150" s="2" t="inlineStr">
        <is>
          <t>Mock</t>
        </is>
      </c>
      <c r="P150" s="2" t="inlineStr">
        <is>
          <t>Mock Rx20 UBU</t>
        </is>
      </c>
    </row>
    <row r="151" ht="13.2" customHeight="1" s="37">
      <c r="A151" s="8" t="inlineStr">
        <is>
          <t>149</t>
        </is>
      </c>
      <c r="B151" s="2" t="inlineStr">
        <is>
          <t>หากผู้ป่วยมีอาการท้องเสีย คาดว่าน่าจะมีสาเหตุมาจากยาตัวใดมากที่สุด</t>
        </is>
      </c>
      <c r="C151" s="2" t="n"/>
      <c r="D151" s="2" t="inlineStr">
        <is>
          <t>Senna 2 tabs HS</t>
        </is>
      </c>
      <c r="E151" s="2" t="inlineStr">
        <is>
          <t>Bisacodyl 5 mg HS</t>
        </is>
      </c>
      <c r="F151" s="2" t="inlineStr">
        <is>
          <t>Lactulose 15 mL OD</t>
        </is>
      </c>
      <c r="G151" s="2" t="inlineStr">
        <is>
          <t>Amoxicillin 1000 mg BID</t>
        </is>
      </c>
      <c r="H151" s="2" t="inlineStr">
        <is>
          <t>Clarithromycin 500 mg BID</t>
        </is>
      </c>
      <c r="I151" s="8" t="inlineStr">
        <is>
          <t>1</t>
        </is>
      </c>
      <c r="J151" s="2"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1" s="2" t="n"/>
      <c r="L151" s="2" t="inlineStr">
        <is>
          <t>GERD</t>
        </is>
      </c>
      <c r="M151" s="2" t="inlineStr">
        <is>
          <t>Clinic</t>
        </is>
      </c>
      <c r="N151" s="2" t="inlineStr">
        <is>
          <t>ข้อ 2 (PLE_CC1_Key_Rx20_UBU.md)</t>
        </is>
      </c>
      <c r="O151" s="2" t="inlineStr">
        <is>
          <t>Mock</t>
        </is>
      </c>
      <c r="P151" s="2" t="inlineStr">
        <is>
          <t>Mock Rx20 UBU</t>
        </is>
      </c>
    </row>
    <row r="152" ht="13.2" customHeight="1" s="37">
      <c r="A152" s="8" t="inlineStr">
        <is>
          <t>150</t>
        </is>
      </c>
      <c r="B152" s="2" t="inlineStr">
        <is>
          <t>ใช้กับผู้ป่วยที่เป็นนิ่วในกระเพาะปัสสาวะ</t>
        </is>
      </c>
      <c r="C152" s="2" t="n"/>
      <c r="D152" s="2" t="inlineStr">
        <is>
          <t>Amoxicillin 1000 mg BID</t>
        </is>
      </c>
      <c r="E152" s="2" t="inlineStr">
        <is>
          <t>Clarithromycin 500 mg BID</t>
        </is>
      </c>
      <c r="F152" s="2" t="inlineStr">
        <is>
          <t>Hyoscine butylbromide 10 mg TID</t>
        </is>
      </c>
      <c r="G152" s="2" t="inlineStr">
        <is>
          <t>Aluminium hydroxide/Magnesium hydroxide suspension</t>
        </is>
      </c>
      <c r="H152" s="2" t="inlineStr">
        <is>
          <t>Metoclopramide 10 mg TID before meals</t>
        </is>
      </c>
      <c r="I152" s="8" t="inlineStr">
        <is>
          <t>1</t>
        </is>
      </c>
      <c r="J152" s="2" t="inlineStr">
        <is>
          <t>✅ คำตอบที่ถูกต้อง: ข้อ ก. Amoxicillin 1000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เป็น Macrolide เป็นแกนหลักในสูตรกำจัด H. pylori และ MAC treatment แต่ยับยั้ง CYP3A4 สูงมาก จึงมี drug-drug interactions รุนแรงกับ statins, colchicine
• ข้อ ค. (Hyoscine butylbromide 10 mg TID): ข้อนี้ไม่ใช่คำตอบที่ถูกต้องสำหรับภาวะ GERD เนื่องจากกลไกการออกฤทธิ์, efficacy หรือข้อบ่งใช้ไม่ตรงกับโจทย์ที่กำหนด
• ข้อ ง. (Aluminium hydroxide/Magnesium hydroxide suspension): ข้อนี้ไม่ใช่คำตอบที่ถูกต้องสำหรับภาวะ GERD เนื่องจากกลไกการออกฤทธิ์, efficacy หรือข้อบ่งใช้ไม่ตรงกับโจทย์ที่กำหนด
• ข้อ จ. (Metoclopramide 10 mg TID before meals): เป็น central และ peripheral D2 antagonist เพิ่ม gastric emptying และแก้อาเจียน แต่ผ่าน BBB จึงทำให้เกิด acute dystonia และ EPS ได้ง่าย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2" s="2" t="n"/>
      <c r="L152" s="2" t="inlineStr">
        <is>
          <t>GERD</t>
        </is>
      </c>
      <c r="M152" s="2" t="inlineStr">
        <is>
          <t>Clinic</t>
        </is>
      </c>
      <c r="N152" s="2" t="inlineStr">
        <is>
          <t>ข้อ 3 (PLE_CC1_Key_Rx20_UBU.md)</t>
        </is>
      </c>
      <c r="O152" s="2" t="inlineStr">
        <is>
          <t>Mock</t>
        </is>
      </c>
      <c r="P152" s="2" t="inlineStr">
        <is>
          <t>Mock Rx20 UBU</t>
        </is>
      </c>
    </row>
    <row r="153" ht="13.2" customHeight="1" s="37">
      <c r="A153" s="8" t="inlineStr">
        <is>
          <t>151</t>
        </is>
      </c>
      <c r="B153" s="2" t="inlineStr">
        <is>
          <t>ผู้ป่วยต้องได้รับยานี้เป็นระยะเวลานาน 1 เดือน พบว่าผู้ป่วยมีอาการท้องเสียรุนแรง อยากทราบว่าเกิดจากเชื้ออะไร</t>
        </is>
      </c>
      <c r="C153" s="2" t="n"/>
      <c r="D153" s="2" t="inlineStr">
        <is>
          <t>Aluminium hydroxide/Magnesium hydroxide suspension</t>
        </is>
      </c>
      <c r="E153" s="2" t="inlineStr">
        <is>
          <t>Metoclopramide 10 mg TID before meals</t>
        </is>
      </c>
      <c r="F153" s="2" t="inlineStr">
        <is>
          <t>Omeprazole 20 mg OD</t>
        </is>
      </c>
      <c r="G153" s="2" t="inlineStr">
        <is>
          <t>Esomeprazole 20 mg OD</t>
        </is>
      </c>
      <c r="H153" s="2" t="inlineStr">
        <is>
          <t>Domperidone 10 mg TID</t>
        </is>
      </c>
      <c r="I153" s="8" t="inlineStr">
        <is>
          <t>1</t>
        </is>
      </c>
      <c r="J153" s="2"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3" s="2" t="n"/>
      <c r="L153" s="2" t="inlineStr">
        <is>
          <t>GERD</t>
        </is>
      </c>
      <c r="M153" s="2" t="inlineStr">
        <is>
          <t>Clinic</t>
        </is>
      </c>
      <c r="N153" s="2" t="inlineStr">
        <is>
          <t>ข้อ 35 (PLE_CC1_Key_Rx20_UBU.md)</t>
        </is>
      </c>
      <c r="O153" s="2" t="inlineStr">
        <is>
          <t>Mock</t>
        </is>
      </c>
      <c r="P153" s="2" t="inlineStr">
        <is>
          <t>Mock Rx20 UBU</t>
        </is>
      </c>
    </row>
    <row r="154" ht="13.2" customHeight="1" s="37">
      <c r="A154" s="8" t="inlineStr">
        <is>
          <t>152</t>
        </is>
      </c>
      <c r="B154" s="2" t="inlineStr">
        <is>
          <t>หากเกิดอาการคลื่นไส้ อาเจียน เวียนหัวให้หยุดยาแล้วมาพบแพทย์</t>
        </is>
      </c>
      <c r="C154" s="2" t="n"/>
      <c r="D154" s="2" t="inlineStr">
        <is>
          <t>Esomeprazole 20 mg OD</t>
        </is>
      </c>
      <c r="E154" s="2" t="inlineStr">
        <is>
          <t>Domperidone 10 mg TID</t>
        </is>
      </c>
      <c r="F154" s="2" t="inlineStr">
        <is>
          <t>Dimenhydrinate 50 mg TID</t>
        </is>
      </c>
      <c r="G154" s="2" t="inlineStr">
        <is>
          <t>Loperamide 2 mg PRN</t>
        </is>
      </c>
      <c r="H154" s="2" t="inlineStr">
        <is>
          <t>Senna 2 tabs HS</t>
        </is>
      </c>
      <c r="I154" s="8" t="inlineStr">
        <is>
          <t>1</t>
        </is>
      </c>
      <c r="J154" s="2" t="inlineStr">
        <is>
          <t>✅ คำตอบที่ถูกต้อง: ข้อ ก. Esomeprazole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เป็น peripheral D2 receptor antagonist เพิ่ม GI motility ไม่ผ่าน BBB จึงไม่ทำให้เกิด EPS เด่นชัด แต่ต้องระวัง QT prolongation ในขนาดสูง (&gt; 30 mg/day)
• ข้อ ค. (Dimenhydrinate 50 mg TID): ข้อนี้ไม่ใช่คำตอบที่ถูกต้องสำหรับภาวะ GERD เนื่องจากกลไกการออกฤทธิ์, efficacy หรือข้อบ่งใช้ไม่ตรงกับโจทย์ที่กำหนด
• ข้อ ง. (Loperamide 2 mg PRN): เป็น peripheral mu-opioid agonist ลด peristalsis ใช้บรรเทาอาการ acute non-infectious diarrhea แต่ห้ามใช้ใน bloody diarrhea (dysentery) หรือ bacterial enteritis (เสี่ยง toxic megacolon)
• ข้อ จ. (Senna 2 tabs HS): เป็น Anthraquinone stimulant laxative กระตุ้น myenteric plexus แต่การใช้ระยะยาวอาจทำให้เกิด melanosis coli และ bowel dependence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4" s="2" t="n"/>
      <c r="L154" s="2" t="inlineStr">
        <is>
          <t>GERD</t>
        </is>
      </c>
      <c r="M154" s="2" t="inlineStr">
        <is>
          <t>Clinic</t>
        </is>
      </c>
      <c r="N154" s="2" t="inlineStr">
        <is>
          <t>ข้อ 1 (PLE_CC1_Key_Rx20_UBU.md)</t>
        </is>
      </c>
      <c r="O154" s="2" t="inlineStr">
        <is>
          <t>Mock</t>
        </is>
      </c>
      <c r="P154" s="2" t="inlineStr">
        <is>
          <t>Mock Rx20 UBU</t>
        </is>
      </c>
    </row>
    <row r="155" ht="13.2" customHeight="1" s="37">
      <c r="A155" s="8" t="inlineStr">
        <is>
          <t>153</t>
        </is>
      </c>
      <c r="B155" s="2" t="inlineStr">
        <is>
          <t>– สถานการณ) 6 ชาย อายุ 14ป3 ไปกินอาหาร ปวดเบGง ถGายกระปØดกระปรอย ท$องเสียเปญนมูกเลือด ไมGมีกลิ่น ไมGอาเจียน</t>
        </is>
      </c>
      <c r="C155" s="2" t="n"/>
      <c r="D155" s="2" t="inlineStr">
        <is>
          <t>Loperamide 2 mg PRN</t>
        </is>
      </c>
      <c r="E155" s="2" t="inlineStr">
        <is>
          <t>Senna 2 tabs HS</t>
        </is>
      </c>
      <c r="F155" s="2" t="inlineStr">
        <is>
          <t>Bisacodyl 5 mg HS</t>
        </is>
      </c>
      <c r="G155" s="2" t="inlineStr">
        <is>
          <t>Lactulose 15 mL OD</t>
        </is>
      </c>
      <c r="H155" s="2" t="inlineStr">
        <is>
          <t>Amoxicillin 1000 mg BID</t>
        </is>
      </c>
      <c r="I155" s="8" t="inlineStr">
        <is>
          <t>1</t>
        </is>
      </c>
      <c r="J155" s="2" t="inlineStr">
        <is>
          <t>✅ คำตอบที่ถูกต้อง: ข้อ ก. Loperamide 2 mg PRN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Loperamide 2 mg PRN การเลือก Loperamide 2 mg PRN เป็นคำตอบที่ถูกต้องตามแนวทางการรักษามาตรฐาน เนื่องจาก เป็น peripheral mu-opioid agonist ลด peristalsis ใช้บรรเทาอาการ acute non-infectious diarrhea แต่ห้ามใช้ใน bloody diarrhea (dysentery) หรือ bacterial enteritis (เสี่ยง toxic megacolon)
🔍 ข้ออื่นผิดเพราะอะไร:
• ข้อ ข. (Senna 2 tabs HS): เป็น Anthraquinone stimulant laxative กระตุ้น myenteric plexus แต่การใช้ระยะยาวอาจทำให้เกิด melanosis coli และ bowel dependence
• ข้อ ค.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จ. (Amoxicillin 1000 mg BID):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5" s="2" t="n"/>
      <c r="L155" s="2" t="inlineStr">
        <is>
          <t>GERD</t>
        </is>
      </c>
      <c r="M155" s="2" t="inlineStr">
        <is>
          <t>Clinic</t>
        </is>
      </c>
      <c r="N155" s="2" t="inlineStr">
        <is>
          <t>ข้อ 51 (PLE_CC1_Key_Rx20_UBU.md)</t>
        </is>
      </c>
      <c r="O155" s="2" t="inlineStr">
        <is>
          <t>Mock</t>
        </is>
      </c>
      <c r="P155" s="2" t="inlineStr">
        <is>
          <t>Mock Rx20 UBU</t>
        </is>
      </c>
    </row>
    <row r="156" ht="13.2" customHeight="1" s="37">
      <c r="A156" s="8" t="inlineStr">
        <is>
          <t>154</t>
        </is>
      </c>
      <c r="B156" s="2" t="inlineStr">
        <is>
          <t>ลดอาการคลื่นไส้อาเจียน</t>
        </is>
      </c>
      <c r="C156" s="2" t="n"/>
      <c r="D156" s="2" t="inlineStr">
        <is>
          <t>Lactulose 15 mL OD</t>
        </is>
      </c>
      <c r="E156" s="2" t="inlineStr">
        <is>
          <t>Amoxicillin 1000 mg BID</t>
        </is>
      </c>
      <c r="F156" s="2" t="inlineStr">
        <is>
          <t>Clarithromycin 500 mg BID</t>
        </is>
      </c>
      <c r="G156" s="2" t="inlineStr">
        <is>
          <t>Hyoscine butylbromide 10 mg TID</t>
        </is>
      </c>
      <c r="H156" s="2" t="inlineStr">
        <is>
          <t>Aluminium hydroxide/Magnesium hydroxide suspension</t>
        </is>
      </c>
      <c r="I156" s="8" t="inlineStr">
        <is>
          <t>1</t>
        </is>
      </c>
      <c r="J156" s="2" t="inlineStr">
        <is>
          <t>✅ คำตอบที่ถูกต้อง: ข้อ ก. Lactulose 15 mL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Lactulose 15 mL OD การเลือก Lactulose 15 mL OD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(Amoxicillin 1000 mg BID): เป็น Aminopenicillin ยับยั้ง bacterial cell wall synthesis เป็น first-line สำหรับ uncomplicated bacterial infections (เช่น Strep pharyngitis, AOM, sinusitis)
• ข้อ ค. (Clarithromycin 500 mg BID): เป็น Macrolide เป็นแกนหลักในสูตรกำจัด H. pylori และ MAC treatment แต่ยับยั้ง CYP3A4 สูงมาก จึงมี drug-drug interactions รุนแรงกับ statins, colchicine
• ข้อ ง. (Hyoscine butylbromide 10 mg TID): ข้อนี้ไม่ใช่คำตอบที่ถูกต้องสำหรับภาวะ GERD เนื่องจากกลไกการออกฤทธิ์, efficacy หรือข้อบ่งใช้ไม่ตรงกับโจทย์ที่กำหนด
• ข้อ จ. (Aluminium hydroxide/Magnesium hydroxide suspension):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6" s="2" t="n"/>
      <c r="L156" s="2" t="inlineStr">
        <is>
          <t>GERD</t>
        </is>
      </c>
      <c r="M156" s="2" t="inlineStr">
        <is>
          <t>Clinic</t>
        </is>
      </c>
      <c r="N156" s="2" t="inlineStr">
        <is>
          <t>ข้อ 2 (PLE_CC1_Key_Rx20_UBU.md)</t>
        </is>
      </c>
      <c r="O156" s="2" t="inlineStr">
        <is>
          <t>Mock</t>
        </is>
      </c>
      <c r="P156" s="2" t="inlineStr">
        <is>
          <t>Mock Rx20 UBU</t>
        </is>
      </c>
    </row>
    <row r="157" ht="13.2" customHeight="1" s="37">
      <c r="A157" s="8" t="inlineStr">
        <is>
          <t>155</t>
        </is>
      </c>
      <c r="B157" s="2" t="inlineStr">
        <is>
          <t>ตัวอย่างเช่นสารเคมีที่สร้างขึ้นภายในร่างกายเพื่อ ทำลายเชื้อ เช่น กรดในกระเพาะอาหาร</t>
        </is>
      </c>
      <c r="C157" s="2" t="n"/>
      <c r="D157" s="2" t="inlineStr">
        <is>
          <t>Hyoscine butylbromide 10 mg TID</t>
        </is>
      </c>
      <c r="E157" s="2" t="inlineStr">
        <is>
          <t>Aluminium hydroxide/Magnesium hydroxide suspension</t>
        </is>
      </c>
      <c r="F157" s="2" t="inlineStr">
        <is>
          <t>Metoclopramide 10 mg TID before meals</t>
        </is>
      </c>
      <c r="G157" s="2" t="inlineStr">
        <is>
          <t>Omeprazole 20 mg OD</t>
        </is>
      </c>
      <c r="H157" s="2" t="inlineStr">
        <is>
          <t>Esomeprazole 20 mg OD</t>
        </is>
      </c>
      <c r="I157" s="8" t="inlineStr">
        <is>
          <t>1</t>
        </is>
      </c>
      <c r="J157" s="2"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ข้อนี้ไม่ใช่คำตอบที่ถูกต้องสำหรับภาวะ GERD เนื่องจากกลไกการออกฤทธิ์, efficacy หรือข้อบ่งใช้ไม่ตรงกับโจทย์ที่กำหนด
• ข้อ ค. (Metoclopramide 10 mg TID before meals): เป็น central และ peripheral D2 antagonist เพิ่ม gastric emptying และแก้อาเจียน แต่ผ่าน BBB จึงทำให้เกิด acute dystonia และ EPS ได้ง่าย
• ข้อ ง.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7" s="2" t="n"/>
      <c r="L157" s="2" t="inlineStr">
        <is>
          <t>GERD</t>
        </is>
      </c>
      <c r="M157" s="2" t="inlineStr">
        <is>
          <t>Clinic</t>
        </is>
      </c>
      <c r="N157" s="2" t="inlineStr">
        <is>
          <t>ข้อ 3 (PLE_CC1_Key_Rx20_UBU.md)</t>
        </is>
      </c>
      <c r="O157" s="2" t="inlineStr">
        <is>
          <t>Mock</t>
        </is>
      </c>
      <c r="P157" s="2" t="inlineStr">
        <is>
          <t>Mock Rx20 UBU</t>
        </is>
      </c>
    </row>
    <row r="158" ht="13.2" customHeight="1" s="37">
      <c r="A158" s="8" t="inlineStr">
        <is>
          <t>156</t>
        </is>
      </c>
      <c r="B158" s="2" t="inlineStr">
        <is>
          <t>ข้อใดไม่ใชปัจจัยเสี่ยงของโรค GERD</t>
        </is>
      </c>
      <c r="C158" s="2" t="n"/>
      <c r="D158" s="2" t="inlineStr">
        <is>
          <t>Omeprazole 20 mg OD</t>
        </is>
      </c>
      <c r="E158" s="2" t="inlineStr">
        <is>
          <t>Esomeprazole 20 mg OD</t>
        </is>
      </c>
      <c r="F158" s="2" t="inlineStr">
        <is>
          <t>Domperidone 10 mg TID</t>
        </is>
      </c>
      <c r="G158" s="2" t="inlineStr">
        <is>
          <t>Dimenhydrinate 50 mg TID</t>
        </is>
      </c>
      <c r="H158" s="2" t="inlineStr">
        <is>
          <t>Loperamide 2 mg PRN</t>
        </is>
      </c>
      <c r="I158" s="8" t="inlineStr">
        <is>
          <t>1</t>
        </is>
      </c>
      <c r="J158" s="2"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(Domperidone 10 mg TID): เป็น peripheral D2 receptor antagonist เพิ่ม GI motility ไม่ผ่าน BBB จึงไม่ทำให้เกิด EPS เด่นชัด แต่ต้องระวัง QT prolongation ในขนาดสูง (&gt; 30 mg/day)
• ข้อ ง. (Dimenhydrinate 50 mg TID): ข้อนี้ไม่ใช่คำตอบที่ถูกต้องสำหรับภาวะ GERD เนื่องจากกลไกการออกฤทธิ์, efficacy หรือข้อบ่งใช้ไม่ตรงกับโจทย์ที่กำหนด
• ข้อ จ. (Loperamide 2 mg PRN): เป็น peripheral mu-opioid agonist ลด peristalsis ใช้บรรเทาอาการ acute non-infectious diarrhea แต่ห้ามใช้ใน bloody diarrhea (dysentery) หรือ bacterial enteritis (เสี่ยง toxic megacolon)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8" s="2" t="n"/>
      <c r="L158" s="2" t="inlineStr">
        <is>
          <t>GERD</t>
        </is>
      </c>
      <c r="M158" s="2" t="inlineStr">
        <is>
          <t>Clinic</t>
        </is>
      </c>
      <c r="N158" s="2" t="inlineStr">
        <is>
          <t>ข้อ 2 (PLE_CC1_Key_Rx20_UBU.md)</t>
        </is>
      </c>
      <c r="O158" s="2" t="inlineStr">
        <is>
          <t>Mock</t>
        </is>
      </c>
      <c r="P158" s="2" t="inlineStr">
        <is>
          <t>Mock Rx20 UBU</t>
        </is>
      </c>
    </row>
    <row r="159" ht="13.2" customHeight="1" s="37">
      <c r="A159" s="8" t="inlineStr">
        <is>
          <t>157</t>
        </is>
      </c>
      <c r="B159" s="2" t="inlineStr">
        <is>
          <t>คลื่นไส อาเจียน</t>
        </is>
      </c>
      <c r="C159" s="2" t="n"/>
      <c r="D159" s="2" t="inlineStr">
        <is>
          <t>Dimenhydrinate 50 mg TID</t>
        </is>
      </c>
      <c r="E159" s="2" t="inlineStr">
        <is>
          <t>Loperamide 2 mg PRN</t>
        </is>
      </c>
      <c r="F159" s="2" t="inlineStr">
        <is>
          <t>Senna 2 tabs HS</t>
        </is>
      </c>
      <c r="G159" s="2" t="inlineStr">
        <is>
          <t>Bisacodyl 5 mg HS</t>
        </is>
      </c>
      <c r="H159" s="2" t="inlineStr">
        <is>
          <t>Lactulose 15 mL OD</t>
        </is>
      </c>
      <c r="I159" s="8" t="inlineStr">
        <is>
          <t>1</t>
        </is>
      </c>
      <c r="J159" s="2"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9" s="2" t="n"/>
      <c r="L159" s="2" t="inlineStr">
        <is>
          <t>GERD</t>
        </is>
      </c>
      <c r="M159" s="2" t="inlineStr">
        <is>
          <t>Clinic</t>
        </is>
      </c>
      <c r="N159" s="2" t="inlineStr">
        <is>
          <t>ข้อ 5 (PLE_CC1_Key_Rx20_UBU.md)</t>
        </is>
      </c>
      <c r="O159" s="2" t="inlineStr">
        <is>
          <t>Mock</t>
        </is>
      </c>
      <c r="P159" s="2" t="inlineStr">
        <is>
          <t>Mock Rx20 UBU</t>
        </is>
      </c>
    </row>
    <row r="160" ht="13.2" customHeight="1" s="37">
      <c r="A160" s="8" t="inlineStr">
        <is>
          <t>158</t>
        </is>
      </c>
      <c r="B160" s="2" t="inlineStr">
        <is>
          <t>ยาใดไม่ควรใช้ในผู้ป่วย GERD</t>
        </is>
      </c>
      <c r="C160" s="2" t="n"/>
      <c r="D160" s="2" t="inlineStr">
        <is>
          <t>Bisacodyl 5 mg HS</t>
        </is>
      </c>
      <c r="E160" s="2" t="inlineStr">
        <is>
          <t>Lactulose 15 mL OD</t>
        </is>
      </c>
      <c r="F160" s="2" t="inlineStr">
        <is>
          <t>Amoxicillin 1000 mg BID</t>
        </is>
      </c>
      <c r="G160" s="2" t="inlineStr">
        <is>
          <t>Clarithromycin 500 mg BID</t>
        </is>
      </c>
      <c r="H160" s="2" t="inlineStr">
        <is>
          <t>Hyoscine butylbromide 10 mg TID</t>
        </is>
      </c>
      <c r="I160" s="8" t="inlineStr">
        <is>
          <t>1</t>
        </is>
      </c>
      <c r="J160" s="2" t="inlineStr">
        <is>
          <t>✅ คำตอบที่ถูกต้อง: ข้อ ก. Bisacodyl 5 mg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Bisacodyl 5 mg HS การเลือก Bisacodyl 5 mg HS เป็นคำตอบที่ถูกต้องตามแนวทางการรักษามาตรฐาน เนื่องจาก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ข้ออื่นผิดเพราะอะไร: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ข้อ จ. (Hyoscine butylbromide 10 mg TID): ข้อนี้ไม่ใช่คำตอบที่ถูกต้องสำหรับภาวะ GERD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0" s="2" t="n"/>
      <c r="L160" s="2" t="inlineStr">
        <is>
          <t>GERD</t>
        </is>
      </c>
      <c r="M160" s="2" t="inlineStr">
        <is>
          <t>Clinic</t>
        </is>
      </c>
      <c r="N160" s="2" t="inlineStr">
        <is>
          <t>ข้อ 4 (PLE_CC1_Key_Rx20_UBU.md)</t>
        </is>
      </c>
      <c r="O160" s="2" t="inlineStr">
        <is>
          <t>Mock</t>
        </is>
      </c>
      <c r="P160" s="2" t="inlineStr">
        <is>
          <t>Mock Rx20 UBU</t>
        </is>
      </c>
    </row>
    <row r="161" ht="13.2" customHeight="1" s="37">
      <c r="A161" s="8" t="inlineStr">
        <is>
          <t>159</t>
        </is>
      </c>
      <c r="B161" s="2" t="inlineStr">
        <is>
          <t>ยาใดที่ใช้ในการป้องกันอาการคลื่นไส้ อาเจียนในผู้ป่วยรายนี้</t>
        </is>
      </c>
      <c r="C161" s="2" t="n"/>
      <c r="D161" s="2" t="inlineStr">
        <is>
          <t>Dexamethasone</t>
        </is>
      </c>
      <c r="E161" s="2" t="inlineStr">
        <is>
          <t>Ondansetron</t>
        </is>
      </c>
      <c r="F161" s="2" t="inlineStr">
        <is>
          <t>Ondansetron + Dexamethasone + Diphenhydramine</t>
        </is>
      </c>
      <c r="G161" s="2" t="inlineStr">
        <is>
          <t>Ondansetron + Dexamethasone + Aprepitant</t>
        </is>
      </c>
      <c r="H161" s="2" t="inlineStr">
        <is>
          <t>Metoclopramide + Dexamethasone + Aprepitant วันโดยยาที่ได้รับต้องประกอบไปด้วย 1. 5-HT antagonist 2. NK-1 receptor antagonist และ 3. Dexamethasone</t>
        </is>
      </c>
      <c r="I161" s="8" t="inlineStr">
        <is>
          <t>4</t>
        </is>
      </c>
      <c r="J161" s="2" t="inlineStr">
        <is>
          <t>✅ คำตอบที่ถูกต้อง: ข้อ ง. Ondansetron + Dexamethasone + Aprepitant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Ondansetron + Dexamethasone + Aprepitant ผู้ป่วยได้รับยาสูตร AC ซึ่งจัดเป็นยาที่เป็น High emetic risk การได้รับยาจะต้องได้รับยา 3 ชนิดเป็นเวลา 4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(Ondansetron + Dexamethasone + Diphenhydramine): เป็น long-acting potent glucocorticoid ไม่มี mineralocorticoid effect จึงไม่ทำให้น้ำคั่ง เหมาะสำหรับ brain edema, antiemetic, และ COVID-19 with hypoxemia
• ข้อ จ. (Metoclopramide + Dexamethasone + Aprepitant วันโดยยาที่ได้รับต้องประกอบไปด้วย 1. 5-HT antagonist 2. NK-1 receptor antagonist และ 3.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1" s="2" t="n"/>
      <c r="L161" s="2" t="inlineStr">
        <is>
          <t>GERD</t>
        </is>
      </c>
      <c r="M161" s="2" t="inlineStr">
        <is>
          <t>Clinic</t>
        </is>
      </c>
      <c r="N161" s="2" t="inlineStr">
        <is>
          <t>ข้อ 12 (PLE_CC1_Key_Rx20_UBU.md)</t>
        </is>
      </c>
      <c r="O161" s="2" t="inlineStr">
        <is>
          <t>Mock</t>
        </is>
      </c>
      <c r="P161" s="2" t="inlineStr">
        <is>
          <t>Mock Rx20 UBU</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Q99"/>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Laboratory ค่าปกติ ค่าที่ตรวจพบ
Hb 12-13 g/dL 8.2 g/dL
Hct 33-43 % 24.4 %
MCV 75-100 fL 82 fL
MCH 27-33 pg 29 pg
MCHC 35-40 g/dL 35 g/dL
RDW 11-14 % 12 %
RBC 4.5-5.5 x10^6 cell/cm^3 2.75 x 10^6 cell/cm^3
จากข้อมูลผลทางห้องปฏิบัติการ ผู้ป่วยจัดเป็น anemia แบบใด</t>
        </is>
      </c>
      <c r="C3" s="2" t="n"/>
      <c r="D3" s="2" t="inlineStr">
        <is>
          <t>Hypochromic microcytic anemia</t>
        </is>
      </c>
      <c r="E3" s="2" t="inlineStr">
        <is>
          <t>Hypochromic normocytic anemia</t>
        </is>
      </c>
      <c r="F3" s="2" t="inlineStr">
        <is>
          <t>Normochromic normocytic anemia</t>
        </is>
      </c>
      <c r="G3" s="2" t="inlineStr">
        <is>
          <t>Normochromic macrocytic anemia</t>
        </is>
      </c>
      <c r="H3" s="2" t="inlineStr">
        <is>
          <t>Hyperchromic macrocytic anemia</t>
        </is>
      </c>
      <c r="I3" s="8" t="inlineStr">
        <is>
          <t>3</t>
        </is>
      </c>
      <c r="J3" s="2" t="inlineStr">
        <is>
          <t>✅ คำตอบที่ถูกต้อง: ข้อ ค. Normochromic normocytic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Normochromic normocytic anemia ผู้ป่วยมีค่า Hb 8.2 g/dL, Hct 24.4% ซึ่งต่ำกว่าปกติ (Anemia) โดยมีค่า MCV 82 fL (อยู่ในช่วง 75-100 fL จัดเป็น normocytic) และ MCHC 35 g/dL (อยู่ในช่วงปกติ จัดเป็น normochromic) สอดคล้องกับภาวะ Anemia of chronic disease จากโรคไตเรื้อรัง (ESRD)
🔍 ข้ออื่นผิดเพราะอะไร:
• ข้อ ก. (Hypochromic microcytic anemia): ข้อนี้ไม่ใช่คำตอบที่ถูกต้องสำหรับภาวะ Anemia เนื่องจากกลไกการออกฤทธิ์, efficacy หรือข้อบ่งใช้ไม่ตรงกับโจทย์ที่กำหนด
• ข้อ ข. (Hypochromic normocytic anemia): ข้อนี้ไม่ใช่คำตอบที่ถูกต้องสำหรับภาวะ Anemia เนื่องจากกลไกการออกฤทธิ์, efficacy หรือข้อบ่งใช้ไม่ตรงกับโจทย์ที่กำหนด
• ข้อ ง. (Normochromic macrocytic anemia): ข้อนี้ไม่ใช่คำตอบที่ถูกต้องสำหรับภาวะ Anemia เนื่องจากกลไกการออกฤทธิ์, efficacy หรือข้อบ่งใช้ไม่ตรงกับโจทย์ที่กำหนด
• ข้อ จ. (Hyperchromic macrocytic anemia):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 s="2" t="n"/>
      <c r="L3" s="2" t="inlineStr">
        <is>
          <t>Anemia</t>
        </is>
      </c>
      <c r="M3" s="2" t="inlineStr">
        <is>
          <t>Clinic</t>
        </is>
      </c>
      <c r="N3" s="2" t="inlineStr">
        <is>
          <t>ข้อ 1 Pharma Plus เล่มม่วง (เฉลยข้อ ค)</t>
        </is>
      </c>
      <c r="O3" s="2" t="inlineStr">
        <is>
          <t>Mock</t>
        </is>
      </c>
      <c r="P3" s="2" t="inlineStr">
        <is>
          <t>Pharma Plus เล่มม่วง</t>
        </is>
      </c>
    </row>
    <row r="4" ht="13.2" customHeight="1" s="37">
      <c r="A4" s="8" t="inlineStr">
        <is>
          <t>2</t>
        </is>
      </c>
      <c r="B4" s="2" t="inlineStr">
        <is>
          <t>Specific antidote ในผู้ป่วยที่มีภาวะเหล็กเกินคือข้อใด</t>
        </is>
      </c>
      <c r="C4" s="2" t="n"/>
      <c r="D4" s="2" t="inlineStr">
        <is>
          <t>Vitamin C 500 mg OD</t>
        </is>
      </c>
      <c r="E4" s="2" t="inlineStr">
        <is>
          <t>Pyridoxine 50 mg OD</t>
        </is>
      </c>
      <c r="F4" s="2" t="inlineStr">
        <is>
          <t>Hydroxyurea 500 mg OD</t>
        </is>
      </c>
      <c r="G4" s="2" t="inlineStr">
        <is>
          <t>Blood transfusion (Packed Red Cells)</t>
        </is>
      </c>
      <c r="H4" s="2" t="inlineStr">
        <is>
          <t>Ferrous fumarate 200 mg TID</t>
        </is>
      </c>
      <c r="I4" s="8" t="inlineStr">
        <is>
          <t>4</t>
        </is>
      </c>
      <c r="J4" s="2" t="inlineStr">
        <is>
          <t>✅ คำตอบที่ถูกต้อง: ข้อ ง. Blood transfusion (Packed Red Cells)
💡 Background:
ภาวะ acute poisoning ต้องได้รับการประเมิน supportive care ควบคู่กับการให้ specific antidote อย่างทันท่วงที
🎯 ทำไมข้อนี้ถึงถูก:
Blood transfusion (Packed Red Cells) Deferoxamine เป็น iron-chelating agent ที่ใช้เป็น specific antidote สำหรับรักษาภาวะเหล็กเกิน (Iron toxicity/overload) โดยจะจับกับเหล็กเกิดเป็น feroxamine complex และขับออกทางปัสสาวะ
🔍 ข้ออื่นผิดเพราะอะไร:
• ข้อ ก. (Vitamin C 500 mg OD): ข้อนี้ไม่ใช่คำตอบที่ถูกต้องสำหรับภาวะ Anemia เนื่องจากกลไกการออกฤทธิ์, efficacy หรือข้อบ่งใช้ไม่ตรงกับโจทย์ที่กำหนด
• ข้อ ข. (Pyridoxine 50 mg OD): ข้อนี้ไม่ใช่คำตอบที่ถูกต้องสำหรับภาวะ Anemia เนื่องจากกลไกการออกฤทธิ์, efficacy หรือข้อบ่งใช้ไม่ตรงกับโจทย์ที่กำหนด
• ข้อ ค. (Hydroxyurea 500 mg OD): ข้อนี้ไม่ใช่คำตอบที่ถูกต้องสำหรับภาวะ Anemia เนื่องจากกลไกการออกฤทธิ์, efficacy หรือข้อบ่งใช้ไม่ตรงกับโจทย์ที่กำหนด
• ข้อ จ. (Ferrous fumarate 200 mg TID): ข้อนี้ไม่ใช่คำตอบที่ถูกต้องสำหรับภาวะ Anemia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 s="2" t="n"/>
      <c r="L4" s="2" t="inlineStr">
        <is>
          <t>Anemia</t>
        </is>
      </c>
      <c r="M4" s="2" t="inlineStr">
        <is>
          <t>Clinic</t>
        </is>
      </c>
      <c r="N4" s="2" t="inlineStr">
        <is>
          <t>ข้อ 2 Pharma Plus เล่มม่วง (เฉลยข้อ ง)</t>
        </is>
      </c>
      <c r="O4" s="2" t="inlineStr">
        <is>
          <t>Mock</t>
        </is>
      </c>
      <c r="P4" s="2" t="inlineStr">
        <is>
          <t>Pharma Plus เล่มม่วง</t>
        </is>
      </c>
    </row>
    <row r="5" ht="13.2" customHeight="1" s="37">
      <c r="A5" s="8" t="inlineStr">
        <is>
          <t>3</t>
        </is>
      </c>
      <c r="B5" s="2" t="inlineStr">
        <is>
          <t>สารพฤกษเคมีกลุ่มใดที่มีผลรบกวนการดูดซึมธาตุเหล็ก</t>
        </is>
      </c>
      <c r="C5" s="2" t="n"/>
      <c r="D5" s="2" t="inlineStr">
        <is>
          <t>Alkaloids</t>
        </is>
      </c>
      <c r="E5" s="2" t="inlineStr">
        <is>
          <t>Anthraquinones</t>
        </is>
      </c>
      <c r="F5" s="2" t="inlineStr">
        <is>
          <t>Quinolines</t>
        </is>
      </c>
      <c r="G5" s="2" t="inlineStr">
        <is>
          <t>Flavonoids</t>
        </is>
      </c>
      <c r="H5" s="2" t="inlineStr">
        <is>
          <t>Tannins</t>
        </is>
      </c>
      <c r="I5" s="8" t="inlineStr">
        <is>
          <t>5</t>
        </is>
      </c>
      <c r="J5" s="2" t="inlineStr">
        <is>
          <t>✅ คำตอบที่ถูกต้อง: ข้อ จ. Tannins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Tannins (แทนนิน) พบได้ในชา กาแฟ และพืชบางชนิด มีฤทธิ์จับกับธาตุเหล็ก (chelate iron) เกิดเป็น insoluble complex ทำให้การดูดซึมธาตุเหล็กลดลงอย่างมีนัยสำคัญ
🔍 ข้ออื่นผิดเพราะอะไร:
• ข้อ ก. (Alkaloids): ข้อนี้ไม่ใช่คำตอบที่ถูกต้องสำหรับภาวะ Anemia เนื่องจากกลไกการออกฤทธิ์, efficacy หรือข้อบ่งใช้ไม่ตรงกับโจทย์ที่กำหนด
• ข้อ ข. (Anthraquinones): ข้อนี้ไม่ใช่คำตอบที่ถูกต้องสำหรับภาวะ Anemia เนื่องจากกลไกการออกฤทธิ์, efficacy หรือข้อบ่งใช้ไม่ตรงกับโจทย์ที่กำหนด
• ข้อ ค. (Quinolines): ข้อนี้ไม่ใช่คำตอบที่ถูกต้องสำหรับภาวะ Anemia เนื่องจากกลไกการออกฤทธิ์, efficacy หรือข้อบ่งใช้ไม่ตรงกับโจทย์ที่กำหนด
• ข้อ ง. (Flavonoids):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 s="2" t="n"/>
      <c r="L5" s="2" t="inlineStr">
        <is>
          <t>Anemia</t>
        </is>
      </c>
      <c r="M5" s="2" t="inlineStr">
        <is>
          <t>Clinic</t>
        </is>
      </c>
      <c r="N5" s="2" t="inlineStr">
        <is>
          <t>ข้อ 3 Pharma Plus เล่มม่วง (เฉลยข้อ จ)</t>
        </is>
      </c>
      <c r="O5" s="2" t="inlineStr">
        <is>
          <t>Mock</t>
        </is>
      </c>
      <c r="P5" s="2" t="inlineStr">
        <is>
          <t>Pharma Plus เล่มม่วง</t>
        </is>
      </c>
    </row>
    <row r="6" ht="13.2" customHeight="1" s="37">
      <c r="A6" s="8" t="inlineStr">
        <is>
          <t>4</t>
        </is>
      </c>
      <c r="B6" s="2" t="inlineStr">
        <is>
          <t>สถานการณ์ที่ 2 แม่ของเด็กชายอายุ 12 ปี มาขอซื้อยาให้ลูก โดยมีอาการซีดมาได้ 3 วันแล้ว
แม่ของเด็กให้ข้อมูลเพิ่มเติมว่า ลูกไม่เคยมีอาการแบบนี้มาก่อน กินแต่เนื้อสัตว์ ไม่ชอบกินผัก ชอบกินยาวิตามินซี และไม่ได้กินอาหาร มีอาการปวดฟัน ไปที่คลินิกทันตกรรมแห่งหนึ่ง และได้รับยา aspirin อุจจาระสีปกติ แต่ปัสสาวะสีคล้ำเป็นสีน้ำตาล</t>
        </is>
      </c>
      <c r="C6" s="2" t="n"/>
      <c r="D6" s="2" t="inlineStr">
        <is>
          <t>จ่ายยา folic acid</t>
        </is>
      </c>
      <c r="E6" s="2" t="inlineStr">
        <is>
          <t>จ่ายยา vitamin B 12</t>
        </is>
      </c>
      <c r="F6" s="2" t="inlineStr">
        <is>
          <t>จ่ายยา ferrous gluconate</t>
        </is>
      </c>
      <c r="G6" s="2" t="inlineStr">
        <is>
          <t>แนะนำให้พาผู้ป่วยไปโรงพยาบาลทันที</t>
        </is>
      </c>
      <c r="H6" s="2" t="inlineStr">
        <is>
          <t>จ่ายยา ferrous sulfate และ folic acid</t>
        </is>
      </c>
      <c r="I6" s="8" t="inlineStr">
        <is>
          <t>4</t>
        </is>
      </c>
      <c r="J6" s="2" t="inlineStr">
        <is>
          <t>✅ คำตอบที่ถูกต้อง: ข้อ ง. แนะนำให้พาผู้ป่วยไปโรงพยาบาลทันที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แนะนำให้พาผู้ป่วยไปโรงพยาบาลทันที ผู้ป่วยเด็กชายมีอาการซีดและปัสสาวะสีน้ำตาลหลังได้รับยา aspirin (ซึ่งเป็นยาที่กระตุ้นให้เกิดภาวะ Hemolysis ในผู้ป่วยโรค G6PD deficiency) อาการดังกล่าวเป็นภาวะเร่งด่วนที่ต้องได้รับการวินิจฉัยและรักษาในโรงพยาบาลทันที ห้ามจ่ายยาเอง
🔍 ข้ออื่นผิดเพราะอะไร:
• ข้อ ก. (จ่ายยา folic acid): ข้อนี้ไม่ใช่คำตอบที่ถูกต้องสำหรับภาวะ Anemia เนื่องจากกลไกการออกฤทธิ์, efficacy หรือข้อบ่งใช้ไม่ตรงกับโจทย์ที่กำหนด
• ข้อ ข. (จ่ายยา vitamin B 12): ข้อนี้ไม่ใช่คำตอบที่ถูกต้องสำหรับภาวะ Anemia เนื่องจากกลไกการออกฤทธิ์, efficacy หรือข้อบ่งใช้ไม่ตรงกับโจทย์ที่กำหนด
• ข้อ ค. (จ่ายยา ferrous gluconate): ข้อนี้ไม่ใช่คำตอบที่ถูกต้องสำหรับภาวะ Anemia เนื่องจากกลไกการออกฤทธิ์, efficacy หรือข้อบ่งใช้ไม่ตรงกับโจทย์ที่กำหนด
• ข้อ จ. (จ่ายยา ferrous sulfate และ folic acid):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 s="2" t="n"/>
      <c r="L6" s="2" t="inlineStr">
        <is>
          <t>Anemia</t>
        </is>
      </c>
      <c r="M6" s="2" t="inlineStr">
        <is>
          <t>Clinic</t>
        </is>
      </c>
      <c r="N6" s="2" t="inlineStr">
        <is>
          <t>ข้อ 4 Pharma Plus เล่มม่วง (เฉลยข้อ ง)</t>
        </is>
      </c>
      <c r="O6" s="2" t="inlineStr">
        <is>
          <t>Mock</t>
        </is>
      </c>
      <c r="P6" s="2" t="inlineStr">
        <is>
          <t>Pharma Plus เล่มม่วง</t>
        </is>
      </c>
    </row>
    <row r="7" ht="13.2" customHeight="1" s="37">
      <c r="A7" s="8" t="inlineStr">
        <is>
          <t>5</t>
        </is>
      </c>
      <c r="B7" s="2" t="inlineStr">
        <is>
          <t>ในกรณีหากพ่อเด็กตัดสินใจนำผู้ป่วยไปตรวจที่รพ. พบว่าเป็น G6PD อาการซีดในผู้ป่วยจัดเป็นแบบใด</t>
        </is>
      </c>
      <c r="C7" s="2" t="n"/>
      <c r="D7" s="2" t="inlineStr">
        <is>
          <t>Aplastic anemia</t>
        </is>
      </c>
      <c r="E7" s="2" t="inlineStr">
        <is>
          <t>Hemolytic anemia</t>
        </is>
      </c>
      <c r="F7" s="2" t="inlineStr">
        <is>
          <t>Pernicious anemia</t>
        </is>
      </c>
      <c r="G7" s="2" t="inlineStr">
        <is>
          <t>Chronic renal failure</t>
        </is>
      </c>
      <c r="H7" s="2" t="inlineStr">
        <is>
          <t>Iron deficiency failure</t>
        </is>
      </c>
      <c r="I7" s="8" t="inlineStr">
        <is>
          <t>2</t>
        </is>
      </c>
      <c r="J7" s="2" t="inlineStr">
        <is>
          <t>✅ คำตอบที่ถูกต้อง: ข้อ ข. Hemolytic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Hemolytic anemia G6PD deficiency เป็นโรคทางพันธุกรรมที่ทำให้เม็ดเลือดแดงแตกง่ายเมื่อได้รับสารออกซิแดนท์ ทำให้เกิดภาวะเม็ดเลือดแดงแตกเฉียบพลัน (acute hemolytic anemia)
🔍 ข้ออื่นผิดเพราะอะไร:
• ข้อ ก. (Aplastic anemia): ข้อนี้ไม่ใช่คำตอบที่ถูกต้องสำหรับภาวะ Anemia เนื่องจากกลไกการออกฤทธิ์, efficacy หรือข้อบ่งใช้ไม่ตรงกับโจทย์ที่กำหนด
• ข้อ ค. (Pernicious anemia): ข้อนี้ไม่ใช่คำตอบที่ถูกต้องสำหรับภาวะ Anemia เนื่องจากกลไกการออกฤทธิ์, efficacy หรือข้อบ่งใช้ไม่ตรงกับโจทย์ที่กำหนด
• ข้อ ง. (Chronic renal failure): ข้อนี้ไม่ใช่คำตอบที่ถูกต้องสำหรับภาวะ Anemia เนื่องจากกลไกการออกฤทธิ์, efficacy หรือข้อบ่งใช้ไม่ตรงกับโจทย์ที่กำหนด
• ข้อ จ. (Iron deficiency failure):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 s="2" t="n"/>
      <c r="L7" s="2" t="inlineStr">
        <is>
          <t>Anemia</t>
        </is>
      </c>
      <c r="M7" s="2" t="inlineStr">
        <is>
          <t>Clinic</t>
        </is>
      </c>
      <c r="N7" s="2" t="inlineStr">
        <is>
          <t>ข้อ 5 Pharma Plus เล่มม่วง (เฉลยข้อ ข)</t>
        </is>
      </c>
      <c r="O7" s="2" t="inlineStr">
        <is>
          <t>Mock</t>
        </is>
      </c>
      <c r="P7" s="2" t="inlineStr">
        <is>
          <t>Pharma Plus เล่มม่วง</t>
        </is>
      </c>
    </row>
    <row r="8" ht="13.2" customHeight="1" s="37">
      <c r="A8" s="8" t="inlineStr">
        <is>
          <t>6</t>
        </is>
      </c>
      <c r="B8" s="2" t="inlineStr">
        <is>
          <t>ข้อใดควรใช้ในการรักษาผู้ป่วยรายนี้ในโรงพยาบาล</t>
        </is>
      </c>
      <c r="C8" s="2" t="n"/>
      <c r="D8" s="2" t="inlineStr">
        <is>
          <t>Platelet</t>
        </is>
      </c>
      <c r="E8" s="2" t="inlineStr">
        <is>
          <t>Folic acid</t>
        </is>
      </c>
      <c r="F8" s="2" t="inlineStr">
        <is>
          <t>Vitamin B12</t>
        </is>
      </c>
      <c r="G8" s="2" t="inlineStr">
        <is>
          <t>Ferrous sulfate</t>
        </is>
      </c>
      <c r="H8" s="2" t="inlineStr">
        <is>
          <t>Packed red cell</t>
        </is>
      </c>
      <c r="I8" s="8" t="inlineStr">
        <is>
          <t>5</t>
        </is>
      </c>
      <c r="J8" s="2" t="inlineStr">
        <is>
          <t>✅ คำตอบที่ถูกต้อง: ข้อ จ. Packed red cell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Packed red cell ในกรณีที่ผู้ป่วยมีภาวะซีดรุนแรงจากเม็ดเลือดแดงแตก (hemolysis) การรักษาหลักคือการให้เลือดทดแทนด้วย Packed red cell ร่วมกับการหยุดยาหรือสิ่งกระตุ้น และประคับประคองตามอาการ
🔍 ข้ออื่นผิดเพราะอะไร:
• ข้อ ก. (Platelet): ข้อนี้ไม่ใช่คำตอบที่ถูกต้องสำหรับภาวะ Anemia เนื่องจากกลไกการออกฤทธิ์, efficacy หรือข้อบ่งใช้ไม่ตรงกับโจทย์ที่กำหนด
• ข้อ ข. (Folic acid): ข้อนี้ไม่ใช่คำตอบที่ถูกต้องสำหรับภาวะ Anemia เนื่องจากกลไกการออกฤทธิ์, efficacy หรือข้อบ่งใช้ไม่ตรงกับโจทย์ที่กำหนด
• ข้อ ค. (Vitamin B12): ข้อนี้ไม่ใช่คำตอบที่ถูกต้องสำหรับภาวะ Anemia เนื่องจากกลไกการออกฤทธิ์, efficacy หรือข้อบ่งใช้ไม่ตรงกับโจทย์ที่กำหนด
• ข้อ ง. (Ferrous sulfate):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 s="2" t="n"/>
      <c r="L8" s="2" t="inlineStr">
        <is>
          <t>Anemia</t>
        </is>
      </c>
      <c r="M8" s="2" t="inlineStr">
        <is>
          <t>Clinic</t>
        </is>
      </c>
      <c r="N8" s="2" t="inlineStr">
        <is>
          <t>ข้อ 6 Pharma Plus เล่มม่วง (เฉลยข้อ จ)</t>
        </is>
      </c>
      <c r="O8" s="2" t="inlineStr">
        <is>
          <t>Mock</t>
        </is>
      </c>
      <c r="P8" s="2" t="inlineStr">
        <is>
          <t>Pharma Plus เล่มม่วง</t>
        </is>
      </c>
    </row>
    <row r="9" ht="13.2" customHeight="1" s="37">
      <c r="A9" s="8" t="inlineStr">
        <is>
          <t>7</t>
        </is>
      </c>
      <c r="B9" s="2" t="inlineStr">
        <is>
          <t>ปัจจัยใดที่น่าจะเป็นสาเหตุทำให้เกิดอาการซีดในคนไข้</t>
        </is>
      </c>
      <c r="C9" s="2" t="n"/>
      <c r="D9" s="2" t="inlineStr">
        <is>
          <t>Aspirin</t>
        </is>
      </c>
      <c r="E9" s="2" t="inlineStr">
        <is>
          <t>Vitamin C</t>
        </is>
      </c>
      <c r="F9" s="2" t="inlineStr">
        <is>
          <t>Amoxicillin</t>
        </is>
      </c>
      <c r="G9" s="2" t="inlineStr">
        <is>
          <t>Amitriptyline</t>
        </is>
      </c>
      <c r="H9" s="2" t="inlineStr">
        <is>
          <t>กินแต่เนื้อสัตว์ ไม่ชอบกินผัก</t>
        </is>
      </c>
      <c r="I9" s="8" t="inlineStr">
        <is>
          <t>1</t>
        </is>
      </c>
      <c r="J9" s="2" t="inlineStr">
        <is>
          <t>✅ คำตอบที่ถูกต้อง: ข้อ ก. Aspirin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Aspirin เป็นยาที่มีฤทธิ์เป็นสารออกซิแดนท์ ซึ่งสามารถเหนี่ยวนำให้เกิดภาวะเม็ดเลือดแดงแตกในผู้ป่วยโรค G6PD deficiency ได้
🔍 ข้ออื่นผิดเพราะอะไร:
• ข้อ ข. (Vitamin C): ข้อนี้ไม่ใช่คำตอบที่ถูกต้องสำหรับภาวะ Anemia เนื่องจากกลไกการออกฤทธิ์, efficacy หรือข้อบ่งใช้ไม่ตรงกับโจทย์ที่กำหนด
• ข้อ ค. (Amoxicillin): เป็น Aminopenicillin ยับยั้ง bacterial cell wall synthesis เป็น first-line สำหรับ uncomplicated bacterial infections (เช่น Strep pharyngitis, AOM, sinusitis)
• ข้อ ง. (Amitriptyline): เป็น Tricyclic antidepressant (TCA) มี anticholinergic ADRs สูง, antihistaminic (ง่วงซึม น้ำหนักขึ้น), alpha-1 blockade (orthostatic hypotension) และเสี่ยงต่อ fatal cardiotoxicity เมื่อ overdose
• ข้อ จ. (กินแต่เนื้อสัตว์ ไม่ชอบกินผัก):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 s="2" t="n"/>
      <c r="L9" s="2" t="inlineStr">
        <is>
          <t>Anemia</t>
        </is>
      </c>
      <c r="M9" s="2" t="inlineStr">
        <is>
          <t>Clinic</t>
        </is>
      </c>
      <c r="N9" s="2" t="inlineStr">
        <is>
          <t>ข้อ 7 Pharma Plus เล่มม่วง (เฉลยข้อ ก)</t>
        </is>
      </c>
      <c r="O9" s="2" t="inlineStr">
        <is>
          <t>Mock</t>
        </is>
      </c>
      <c r="P9" s="2" t="inlineStr">
        <is>
          <t>Pharma Plus เล่มม่วง</t>
        </is>
      </c>
    </row>
    <row r="10" ht="13.2" customHeight="1" s="37">
      <c r="A10" s="8" t="inlineStr">
        <is>
          <t>8</t>
        </is>
      </c>
      <c r="B10" s="2" t="inlineStr">
        <is>
          <t>เมื่อเด็กชายคนนี้โตขึ้นและจะแต่งงานข้อใดถูก</t>
        </is>
      </c>
      <c r="C10" s="2" t="n"/>
      <c r="D10" s="2" t="inlineStr">
        <is>
          <t>แต่งงานกันได้แต่ไม่ควรมีลูก เพราะสามารถถ่ายทอดทางพันธุกรรมได้</t>
        </is>
      </c>
      <c r="E10" s="2" t="inlineStr">
        <is>
          <t>แต่งงานกันได้ และหากตั้งครรภ์เป็นลูกชายให้ทำแท้ง แต่ถ้าเป็นหญิงไม่เป็นไร</t>
        </is>
      </c>
      <c r="F10" s="2" t="inlineStr">
        <is>
          <t>แต่งงานกันได้ และหากตั้งครรภ์เป็นลูกผู้หญิงให้ทำแท้ง แต่ถ้าชายเป็นไม่เป็นไร</t>
        </is>
      </c>
      <c r="G10" s="2" t="inlineStr">
        <is>
          <t>ทุกคนเป็นโรคนี้เท่ากัน ไม่ว่าชายหรือหญิง</t>
        </is>
      </c>
      <c r="H10" s="2" t="inlineStr">
        <is>
          <t>แต่งไม่ได้ จะทำให้ไม่มีคุณภาพชีวิตมีความสุขไปตลอดชีวิต เป็นการทำบาป</t>
        </is>
      </c>
      <c r="I10" s="8" t="inlineStr">
        <is>
          <t>1</t>
        </is>
      </c>
      <c r="J10" s="2" t="inlineStr">
        <is>
          <t>✅ คำตอบที่ถูกต้อง: ข้อ ก. แต่งงานกันได้แต่ไม่ควรมีลูก เพราะสามารถถ่ายทอดทางพันธุกรรมได้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แต่งงานกันได้แต่ไม่ควรมีลูก เพราะสามารถถ่ายทอดทางพันธุกรรมได้ โรค G6PD ถ่ายทอดทางโครโมโซม X (X-linked recessive) ผู้ป่วยสามารถแต่งงานและมีบุตรได้ตามปกติ โดยมีการให้คำปรึกษาทางพันธุกรรม (genetic counseling) เรื่องโอกาสการถ่ายทอดโรค
🔍 ข้ออื่นผิดเพราะอะไร:
• ข้อ ข. (แต่งงานกันได้ และหากตั้งครรภ์เป็นลูกชายให้ทำแท้ง แต่ถ้าเป็นหญิงไม่เป็นไร): ข้อนี้ไม่ใช่คำตอบที่ถูกต้องสำหรับภาวะ Anemia เนื่องจากกลไกการออกฤทธิ์, efficacy หรือข้อบ่งใช้ไม่ตรงกับโจทย์ที่กำหนด
• ข้อ ค. (แต่งงานกันได้ และหากตั้งครรภ์เป็นลูกผู้หญิงให้ทำแท้ง แต่ถ้าชายเป็นไม่เป็นไร): ข้อนี้ไม่ใช่คำตอบที่ถูกต้องสำหรับภาวะ Anemia เนื่องจากกลไกการออกฤทธิ์, efficacy หรือข้อบ่งใช้ไม่ตรงกับโจทย์ที่กำหนด
• ข้อ ง. (ทุกคนเป็นโรคนี้เท่ากัน ไม่ว่าชายหรือหญิง): ข้อนี้ไม่ใช่คำตอบที่ถูกต้องสำหรับภาวะ Anemia เนื่องจากกลไกการออกฤทธิ์, efficacy หรือข้อบ่งใช้ไม่ตรงกับโจทย์ที่กำหนด
• ข้อ จ. (แต่งไม่ได้ จะทำให้ไม่มีคุณภาพชีวิตมีความสุขไปตลอดชีวิต เป็นการทำบาป):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 s="2" t="n"/>
      <c r="L10" s="2" t="inlineStr">
        <is>
          <t>Anemia</t>
        </is>
      </c>
      <c r="M10" s="2" t="inlineStr">
        <is>
          <t>Clinic</t>
        </is>
      </c>
      <c r="N10" s="2" t="inlineStr">
        <is>
          <t>ข้อ 8 Pharma Plus เล่มม่วง (เฉลยข้อ ก)</t>
        </is>
      </c>
      <c r="O10" s="2" t="inlineStr">
        <is>
          <t>Mock</t>
        </is>
      </c>
      <c r="P10" s="2" t="inlineStr">
        <is>
          <t>Pharma Plus เล่มม่วง</t>
        </is>
      </c>
    </row>
    <row r="11" ht="13.2" customHeight="1" s="37">
      <c r="A11" s="8" t="inlineStr">
        <is>
          <t>9</t>
        </is>
      </c>
      <c r="B11" s="2"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ข้อมูลของผู้ป่วยในข้อใดไม่เกี่ยวข้องกับภาวะ G-6-PD Deficiency anemia</t>
        </is>
      </c>
      <c r="C11" s="2" t="n"/>
      <c r="D11" s="2" t="inlineStr">
        <is>
          <t>เป็นผู้ชาย</t>
        </is>
      </c>
      <c r="E11" s="2" t="inlineStr">
        <is>
          <t>มีโปตาสเซียมสูง</t>
        </is>
      </c>
      <c r="F11" s="2" t="inlineStr">
        <is>
          <t>มีการติดเชื้อในทางเดินปัสสาวะ</t>
        </is>
      </c>
      <c r="G11" s="2" t="inlineStr">
        <is>
          <t>ได้รับยา co-trimoxazole</t>
        </is>
      </c>
      <c r="H11" s="2" t="inlineStr">
        <is>
          <t>ได้รับยา ranitidine</t>
        </is>
      </c>
      <c r="I11" s="8" t="inlineStr">
        <is>
          <t>5</t>
        </is>
      </c>
      <c r="J11" s="2" t="inlineStr">
        <is>
          <t>✅ คำตอบที่ถูกต้อง: ข้อ จ. ได้รับยา ranitidine
💡 Background:
ภาวะไตเสื่อม (CKD/AKI) ต้องระมัดระวังการปรับขนาดยาตาม renal function (eGFR/CrCl) และหลีกเลี่ยง nephrotoxic drugs
🎯 ทำไมข้อนี้ถึงถูก:
ได้รับยา ranitidine Ranitidine เป็นยาที่ไม่จัดเป็นข้อห้ามในผู้ป่วย G6PD และไม่มีผลกระตุ้นให้เกิดภาวะเม็ดเลือดแดงแตก ต่างจาก co-trimoxazole และการติดเชื้อซึ่งเป็นตัวกระตุ้นที่สำคัญ
🔍 ข้ออื่นผิดเพราะอะไร:
• ข้อ ก. (เป็นผู้ชาย): ข้อนี้ไม่ใช่คำตอบที่ถูกต้องสำหรับภาวะ Anemia เนื่องจากกลไกการออกฤทธิ์, efficacy หรือข้อบ่งใช้ไม่ตรงกับโจทย์ที่กำหนด
• ข้อ ข. (มีโปตาสเซียมสูง): ข้อนี้ไม่ใช่คำตอบที่ถูกต้องสำหรับภาวะ Anemia เนื่องจากกลไกการออกฤทธิ์, efficacy หรือข้อบ่งใช้ไม่ตรงกับโจทย์ที่กำหนด
• ข้อ ค. (มีการติดเชื้อในทางเดินปัสสาวะ): ข้อนี้ไม่ใช่คำตอบที่ถูกต้องสำหรับภาวะ Anemia เนื่องจากกลไกการออกฤทธิ์, efficacy หรือข้อบ่งใช้ไม่ตรงกับโจทย์ที่กำหนด
• ข้อ ง. (ได้รับยา co-trimoxazole): ข้อนี้ไม่ใช่คำตอบที่ถูกต้องสำหรับภาวะ Anemia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1" s="2" t="n"/>
      <c r="L11" s="2" t="inlineStr">
        <is>
          <t>Anemia</t>
        </is>
      </c>
      <c r="M11" s="2" t="inlineStr">
        <is>
          <t>Clinic</t>
        </is>
      </c>
      <c r="N11" s="2" t="inlineStr">
        <is>
          <t>ข้อ 9 Pharma Plus เล่มม่วง (เฉลยข้อ จ)</t>
        </is>
      </c>
      <c r="O11" s="2" t="inlineStr">
        <is>
          <t>Mock</t>
        </is>
      </c>
      <c r="P11" s="2" t="inlineStr">
        <is>
          <t>Pharma Plus เล่มม่วง</t>
        </is>
      </c>
    </row>
    <row r="12" ht="13.2" customHeight="1" s="37">
      <c r="A12" s="8" t="inlineStr">
        <is>
          <t>10</t>
        </is>
      </c>
      <c r="B12" s="2"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ข้อใดไม่ใช่อาการหรือการแสดงของภาวะ G-6-PD Deficiency anemia ในผู้ป่วยรายนี้</t>
        </is>
      </c>
      <c r="C12" s="2" t="n"/>
      <c r="D12" s="2" t="inlineStr">
        <is>
          <t>อาการเหนื่อยเพลีย</t>
        </is>
      </c>
      <c r="E12" s="2" t="inlineStr">
        <is>
          <t>ปัสสาวะมีสีคล้ำเหมือนสีน้ำปลา</t>
        </is>
      </c>
      <c r="F12" s="2" t="inlineStr">
        <is>
          <t>มีประวัติเป็นโรคกระเพาะอาหาร</t>
        </is>
      </c>
      <c r="G12" s="2" t="inlineStr">
        <is>
          <t>Hb 8 g/dL (normal; 12-16), Hct 22% (normal; 38-48)</t>
        </is>
      </c>
      <c r="H12" s="2" t="inlineStr">
        <is>
          <t>Total bilirubin 4 mg/L (normal; &lt;1)</t>
        </is>
      </c>
      <c r="I12" s="8" t="inlineStr">
        <is>
          <t>3</t>
        </is>
      </c>
      <c r="J12" s="2" t="inlineStr">
        <is>
          <t>✅ คำตอบที่ถูกต้อง: ข้อ ค. มีประวัติเป็นโรคกระเพาะอาหาร
💡 Background:
ภาวะไตเสื่อม (CKD/AKI) ต้องระมัดระวังการปรับขนาดยาตาม renal function (eGFR/CrCl) และหลีกเลี่ยง nephrotoxic drugs
🎯 ทำไมข้อนี้ถึงถูก:
มีประวัติเป็นโรคกระเพาะอาหาร ประวัติเป็นโรคกระเพาะอาหารเป็นโรคร่วมของผู้ป่วย ไม่ใช่อาการหรือผลลัพธ์ทางห้องปฏิบัติการที่เกิดจากภาวะเม็ดเลือดแดงแตกจาก G6PD deficiency โดยตรง
🔍 ข้ออื่นผิดเพราะอะไร:
• ข้อ ก. (อาการเหนื่อยเพลีย): ข้อนี้ไม่ใช่คำตอบที่ถูกต้องสำหรับภาวะ Anemia เนื่องจากกลไกการออกฤทธิ์, efficacy หรือข้อบ่งใช้ไม่ตรงกับโจทย์ที่กำหนด
• ข้อ ข. (ปัสสาวะมีสีคล้ำเหมือนสีน้ำปลา): ข้อนี้ไม่ใช่คำตอบที่ถูกต้องสำหรับภาวะ Anemia เนื่องจากกลไกการออกฤทธิ์, efficacy หรือข้อบ่งใช้ไม่ตรงกับโจทย์ที่กำหนด
• ข้อ ง. (Hb 8 g/dL (normal; 12-16), Hct 22% (normal; 38-48)): ข้อนี้ไม่ใช่คำตอบที่ถูกต้องสำหรับภาวะ Anemia เนื่องจากกลไกการออกฤทธิ์, efficacy หรือข้อบ่งใช้ไม่ตรงกับโจทย์ที่กำหนด
• ข้อ จ. (Total bilirubin 4 mg/L (normal; &lt;1)): ข้อนี้ไม่ใช่คำตอบที่ถูกต้องสำหรับภาวะ Anemia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 s="2" t="n"/>
      <c r="L12" s="2" t="inlineStr">
        <is>
          <t>Anemia</t>
        </is>
      </c>
      <c r="M12" s="2" t="inlineStr">
        <is>
          <t>Clinic</t>
        </is>
      </c>
      <c r="N12" s="2" t="inlineStr">
        <is>
          <t>ข้อ 10 Pharma Plus เล่มม่วง (เฉลยข้อ ค)</t>
        </is>
      </c>
      <c r="O12" s="2" t="inlineStr">
        <is>
          <t>Mock</t>
        </is>
      </c>
      <c r="P12" s="2" t="inlineStr">
        <is>
          <t>Pharma Plus เล่มม่วง</t>
        </is>
      </c>
    </row>
    <row r="13" ht="13.2" customHeight="1" s="37">
      <c r="A13" s="8" t="inlineStr">
        <is>
          <t>11</t>
        </is>
      </c>
      <c r="B13" s="2" t="inlineStr">
        <is>
          <t>ข้อใดไม่ถูกต้องในการเกิด G-6-PD Deficiency anemia</t>
        </is>
      </c>
      <c r="C13" s="2" t="n"/>
      <c r="D13" s="2" t="inlineStr">
        <is>
          <t>การติดเชื้อทำให้ร่างกายสร้างอนุมูลอิสระมากขึ้น</t>
        </is>
      </c>
      <c r="E13" s="2" t="inlineStr">
        <is>
          <t>มี oxidative stress สูงเนื่องจากมี H2O2 ภายในเซลล์</t>
        </is>
      </c>
      <c r="F13" s="2" t="inlineStr">
        <is>
          <t>H2O2 ทำให้เกิด Sulhydryl-hemoglobin ทำให้เม็ดเลือดแดงแตก</t>
        </is>
      </c>
      <c r="G13" s="2" t="inlineStr">
        <is>
          <t>ฮีโมโกลบินตกตะกอนในเม็ดเลือดแดง ทำให้ถูก macrophage ที่ม้ามจับกิน</t>
        </is>
      </c>
      <c r="H13" s="2" t="inlineStr">
        <is>
          <t>การขาดเอนไซม์ G-6-PD ทำให้ reduced glutathione เพิ่มขึ้น เกิดการแตกของเม็ดเลือดแดง</t>
        </is>
      </c>
      <c r="I13" s="8" t="inlineStr">
        <is>
          <t>3</t>
        </is>
      </c>
      <c r="J13" s="2" t="inlineStr">
        <is>
          <t>✅ คำตอบที่ถูกต้อง: ข้อ ค. H2O2 ทำให้เกิด Sulhydryl-hemoglobin ทำให้เม็ดเลือดแดงแตก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H2O2 ทำให้เกิด Sulhydryl-hemoglobin ทำให้เม็ดเลือดแดงแตก ในผู้ป่วย G-6-PD deficiency การขาดเอนไซม์ G-6-PD จะทำให้เกิดการสร้าง reduced glutathione (GSH) ลดลง ไม่ใช่เพิ่มขึ้น ส่งผลให้เซลล์เม็ดเลือดแดงไม่สามารถกำจัดอนุมูลอิสระและ H2O2 ได้ เกิด oxidative stress, Heinz bodies (sulfa-hemoglobin/denatured hemoglobin precipitate) และถูกทำลายโดยม้าม (extravascular hemolysis)
🔍 ข้ออื่นผิดเพราะอะไร:
• ข้อ ก. (การติดเชื้อทำให้ร่างกายสร้างอนุมูลอิสระมากขึ้น): ข้อนี้ไม่ใช่คำตอบที่ถูกต้องสำหรับภาวะ Anemia เนื่องจากกลไกการออกฤทธิ์, efficacy หรือข้อบ่งใช้ไม่ตรงกับโจทย์ที่กำหนด
• ข้อ ข. (มี oxidative stress สูงเนื่องจากมี H2O2 ภายในเซลล์): ข้อนี้ไม่ใช่คำตอบที่ถูกต้องสำหรับภาวะ Anemia เนื่องจากกลไกการออกฤทธิ์, efficacy หรือข้อบ่งใช้ไม่ตรงกับโจทย์ที่กำหนด
• ข้อ ง. (ฮีโมโกลบินตกตะกอนในเม็ดเลือดแดง ทำให้ถูก macrophage ที่ม้ามจับกิน): ข้อนี้ไม่ใช่คำตอบที่ถูกต้องสำหรับภาวะ Anemia เนื่องจากกลไกการออกฤทธิ์, efficacy หรือข้อบ่งใช้ไม่ตรงกับโจทย์ที่กำหนด
• ข้อ จ. (การขาดเอนไซม์ G-6-PD ทำให้ reduced glutathione เพิ่มขึ้น เกิดการแตกของเม็ดเลือดแดง):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3" s="2" t="n"/>
      <c r="L13" s="2" t="inlineStr">
        <is>
          <t>Anemia</t>
        </is>
      </c>
      <c r="M13" s="2" t="inlineStr">
        <is>
          <t>Clinic</t>
        </is>
      </c>
      <c r="N13" s="2" t="inlineStr">
        <is>
          <t>ข้อ 11 Pharma Plus เล่มม่วง (เฉลยข้อ ค)</t>
        </is>
      </c>
      <c r="O13" s="2" t="inlineStr">
        <is>
          <t>Mock</t>
        </is>
      </c>
      <c r="P13" s="2" t="inlineStr">
        <is>
          <t>Pharma Plus เล่มม่วง</t>
        </is>
      </c>
    </row>
    <row r="14" ht="13.2" customHeight="1" s="37">
      <c r="A14" s="8" t="inlineStr">
        <is>
          <t>12</t>
        </is>
      </c>
      <c r="B14" s="2" t="inlineStr">
        <is>
          <t>ยาในข้อใดทำให้เกิดภาวะเม็ดเลือดแดงแตกเฉียบพลันในผู้ป่วย G-6-PD deficiency anemia</t>
        </is>
      </c>
      <c r="C14" s="2" t="n"/>
      <c r="D14" s="2" t="inlineStr">
        <is>
          <t>Heparin</t>
        </is>
      </c>
      <c r="E14" s="2" t="inlineStr">
        <is>
          <t>Primaquine</t>
        </is>
      </c>
      <c r="F14" s="2" t="inlineStr">
        <is>
          <t>Cloxacillin</t>
        </is>
      </c>
      <c r="G14" s="2" t="inlineStr">
        <is>
          <t>Warfarin</t>
        </is>
      </c>
      <c r="H14" s="2" t="inlineStr">
        <is>
          <t>Penicillin</t>
        </is>
      </c>
      <c r="I14" s="8" t="inlineStr">
        <is>
          <t>2</t>
        </is>
      </c>
      <c r="J14" s="2" t="inlineStr">
        <is>
          <t>✅ คำตอบที่ถูกต้อง: ข้อ ข. Primaquine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Primaquine เป็นยาต้านมาลาเรียที่มีฤทธิ์ oxidative สูง ซึ่งเป็นข้อห้ามเด็ดขาดหรือต้องระวังอย่างมากในผู้ป่วย G-6-PD deficiency เนื่องจากจะเหนี่ยวนำให้เกิดภาวะเม็ดเลือดแดงแตกเฉียบพลัน (acute hemolytic anemia)
🔍 ข้ออื่นผิดเพราะอะไร:
• ข้อ ก. (Heparin): เป็น Unfractionated Heparin (UFH) จับกับ Antithrombin III ยับยั้ง Thrombin และ Factor Xa ติดตาม monitoring ด้วย aPTT และ reversal agent คือ Protamine sulfate
• ข้อ ค. (Cloxacillin): เป็น penicillinase-resistant penicillin เป็น drug of choice สำหรับ Methicillin-Susceptible Staphylococcus aureus (MSSA) infections ต้องรับประทานตอนท้องว่าง
• ข้อ ง. (Warfarin): เป็น Vitamin K antagonist ต้องติดตาม monitoring ค่า INR (target 2.0-3.0 ใน DVT/PE/AF, 2.5-3.5 ใน mechanical mitral valve) มี drug-food interactions มากมาย และ reversal agent คือ Vitamin K1
• ข้อ จ. (Penicillin):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4" s="2" t="n"/>
      <c r="L14" s="2" t="inlineStr">
        <is>
          <t>Anemia</t>
        </is>
      </c>
      <c r="M14" s="2" t="inlineStr">
        <is>
          <t>Clinic</t>
        </is>
      </c>
      <c r="N14" s="2" t="inlineStr">
        <is>
          <t>ข้อ 12 Pharma Plus เล่มม่วง (เฉลยข้อ ข)</t>
        </is>
      </c>
      <c r="O14" s="2" t="inlineStr">
        <is>
          <t>Mock</t>
        </is>
      </c>
      <c r="P14" s="2" t="inlineStr">
        <is>
          <t>Pharma Plus เล่มม่วง</t>
        </is>
      </c>
    </row>
    <row r="15" ht="13.2" customHeight="1" s="37">
      <c r="A15" s="8" t="inlineStr">
        <is>
          <t>13</t>
        </is>
      </c>
      <c r="B15" s="2" t="inlineStr">
        <is>
          <t>การรักษาภาวะ acute anemia ในข้อใดเหมาะสมกับผู้ป่วยรายนี้</t>
        </is>
      </c>
      <c r="C15" s="2" t="n"/>
      <c r="D15" s="2" t="inlineStr">
        <is>
          <t>ให้เลือด</t>
        </is>
      </c>
      <c r="E15" s="2" t="inlineStr">
        <is>
          <t>Ferrous sulfate</t>
        </is>
      </c>
      <c r="F15" s="2" t="inlineStr">
        <is>
          <t>Ferrous sulfate ร่วมกับ Folic acid</t>
        </is>
      </c>
      <c r="G15" s="2" t="inlineStr">
        <is>
          <t>Vitamin B12</t>
        </is>
      </c>
      <c r="H15" s="2" t="inlineStr">
        <is>
          <t>Erythropoietin</t>
        </is>
      </c>
      <c r="I15" s="8" t="inlineStr">
        <is>
          <t>1</t>
        </is>
      </c>
      <c r="J15" s="2" t="inlineStr">
        <is>
          <t>✅ คำตอบที่ถูกต้อง: ข้อ ก. ให้เลือด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ให้เลือด ในภาวะ acute anemia ที่มีอาการรุนแรงหรือมีภาวะวิกฤต การรักษาเร่งด่วนที่เหมาะสมที่สุดคือการให้เลือด (blood transfusion) เพื่อเพิ่มปริมาณฮีโมโกลบินอย่างรวดเร็ว ส่วนธาตุเหล็กหรือวิตามินใช้สำหรับการรักษาแบบประคับประคองหรือภาวะขาดสารอาหารในระยะยาว
🔍 ข้ออื่นผิดเพราะอะไร:
• ข้อ ข. (Ferrous sulfate): ข้อนี้ไม่ใช่คำตอบที่ถูกต้องสำหรับภาวะ Anemia เนื่องจากกลไกการออกฤทธิ์, efficacy หรือข้อบ่งใช้ไม่ตรงกับโจทย์ที่กำหนด
• ข้อ ค. (Ferrous sulfate ร่วมกับ Folic acid): ข้อนี้ไม่ใช่คำตอบที่ถูกต้องสำหรับภาวะ Anemia เนื่องจากกลไกการออกฤทธิ์, efficacy หรือข้อบ่งใช้ไม่ตรงกับโจทย์ที่กำหนด
• ข้อ ง. (Vitamin B12): ข้อนี้ไม่ใช่คำตอบที่ถูกต้องสำหรับภาวะ Anemia เนื่องจากกลไกการออกฤทธิ์, efficacy หรือข้อบ่งใช้ไม่ตรงกับโจทย์ที่กำหนด
• ข้อ จ. (Erythropoietin):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5" s="2" t="n"/>
      <c r="L15" s="2" t="inlineStr">
        <is>
          <t>Anemia</t>
        </is>
      </c>
      <c r="M15" s="2" t="inlineStr">
        <is>
          <t>Clinic</t>
        </is>
      </c>
      <c r="N15" s="2" t="inlineStr">
        <is>
          <t>ข้อ 13 Pharma Plus เล่มม่วง (เฉลยข้อ ก)</t>
        </is>
      </c>
      <c r="O15" s="2" t="inlineStr">
        <is>
          <t>Mock</t>
        </is>
      </c>
      <c r="P15" s="2" t="inlineStr">
        <is>
          <t>Pharma Plus เล่มม่วง</t>
        </is>
      </c>
    </row>
    <row r="16" ht="13.2" customHeight="1" s="37">
      <c r="A16" s="8" t="inlineStr">
        <is>
          <t>14</t>
        </is>
      </c>
      <c r="B16" s="2" t="inlineStr">
        <is>
          <t>ข้อใดผิดเกี่ยวกับการให้คำแนะนำที่ควรให้แก่ผู้ป่วยรายนี้</t>
        </is>
      </c>
      <c r="C16" s="2" t="n"/>
      <c r="D16" s="2" t="inlineStr">
        <is>
          <t>หลีกเลี่ยงการใช้ยาที่ทำให้เกิดเม็ดเลือดแดงแตก</t>
        </is>
      </c>
      <c r="E16" s="2" t="inlineStr">
        <is>
          <t>การติดเชื้อทำให้เม็ดเลือดแดงแตกได้</t>
        </is>
      </c>
      <c r="F16" s="2" t="inlineStr">
        <is>
          <t>ให้สังเกตอาการเม็ดเลือดแดงแตก ถ้าเกิดอีกให้รีบมาพบแพทย์</t>
        </is>
      </c>
      <c r="G16" s="2" t="inlineStr">
        <is>
          <t>หยุดใช้ยา ranitidine เพราะเป็นสาเหตุเม็ดเลือดแดงแตก</t>
        </is>
      </c>
      <c r="H16" s="2" t="inlineStr">
        <is>
          <t>รับประทานอาหารที่มีธาตุเหล็กเพื่อเสริมสร้างเม็ดเลือด</t>
        </is>
      </c>
      <c r="I16" s="8" t="inlineStr">
        <is>
          <t>4</t>
        </is>
      </c>
      <c r="J16" s="2" t="inlineStr">
        <is>
          <t>✅ คำตอบที่ถูกต้อง: ข้อ ง. หยุดใช้ยา ranitidine เพราะเป็นสาเหตุเม็ดเลือดแดงแตก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หยุดใช้ยา ranitidine เพราะเป็นสาเหตุเม็ดเลือดแดงแตก Ranitidine ไม่ได้เป็นสาเหตุหลักที่ทำให้เกิดเม็ดเลือดแดงแตกในผู้ป่วย G-6-PD deficiency ดังนั้นการระบุว่าให้หยุดยา ranitidine เพราะเป็นสาเหตุจึงไม่ถูกต้อง คำแนะนำที่ถูกต้องคือหลีกเลี่ยงยาที่มีฤทธิ์ oxidative สูง ระวังการติดเชื้อ และสังเกตอาการเหลือง ปัสสาวะเข้ม
🔍 ข้ออื่นผิดเพราะอะไร:
• ข้อ ก. (หลีกเลี่ยงการใช้ยาที่ทำให้เกิดเม็ดเลือดแดงแตก): ข้อนี้ไม่ใช่คำตอบที่ถูกต้องสำหรับภาวะ Anemia เนื่องจากกลไกการออกฤทธิ์, efficacy หรือข้อบ่งใช้ไม่ตรงกับโจทย์ที่กำหนด
• ข้อ ข. (การติดเชื้อทำให้เม็ดเลือดแดงแตกได้): ข้อนี้ไม่ใช่คำตอบที่ถูกต้องสำหรับภาวะ Anemia เนื่องจากกลไกการออกฤทธิ์, efficacy หรือข้อบ่งใช้ไม่ตรงกับโจทย์ที่กำหนด
• ข้อ ค. (ให้สังเกตอาการเม็ดเลือดแดงแตก ถ้าเกิดอีกให้รีบมาพบแพทย์): ข้อนี้ไม่ใช่คำตอบที่ถูกต้องสำหรับภาวะ Anemia เนื่องจากกลไกการออกฤทธิ์, efficacy หรือข้อบ่งใช้ไม่ตรงกับโจทย์ที่กำหนด
• ข้อ จ. (รับประทานอาหารที่มีธาตุเหล็กเพื่อเสริมสร้างเม็ดเลือด):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6" s="2" t="n"/>
      <c r="L16" s="2" t="inlineStr">
        <is>
          <t>Anemia</t>
        </is>
      </c>
      <c r="M16" s="2" t="inlineStr">
        <is>
          <t>Clinic</t>
        </is>
      </c>
      <c r="N16" s="2" t="inlineStr">
        <is>
          <t>ข้อ 14 Pharma Plus เล่มม่วง (เฉลยข้อ ง)</t>
        </is>
      </c>
      <c r="O16" s="2" t="inlineStr">
        <is>
          <t>Mock</t>
        </is>
      </c>
      <c r="P16" s="2" t="inlineStr">
        <is>
          <t>Pharma Plus เล่มม่วง</t>
        </is>
      </c>
    </row>
    <row r="17" ht="13.2" customHeight="1" s="37">
      <c r="A17" s="8" t="inlineStr">
        <is>
          <t>15</t>
        </is>
      </c>
      <c r="B17" s="2" t="inlineStr">
        <is>
          <t>ความเป็นพิษต่อระบบเลือดแบบใดที่ไม่มีสาเหตุจาก drug induce</t>
        </is>
      </c>
      <c r="C17" s="2" t="n"/>
      <c r="D17" s="2" t="inlineStr">
        <is>
          <t>Autoimmune-induced hemolysis</t>
        </is>
      </c>
      <c r="E17" s="2" t="inlineStr">
        <is>
          <t>Bone marrow suppression</t>
        </is>
      </c>
      <c r="F17" s="2" t="inlineStr">
        <is>
          <t>Methemoglobinemia</t>
        </is>
      </c>
      <c r="G17" s="2" t="inlineStr">
        <is>
          <t>Sickle cell anemia</t>
        </is>
      </c>
      <c r="H17" s="2" t="inlineStr">
        <is>
          <t>Hemolytic anemia</t>
        </is>
      </c>
      <c r="I17" s="8" t="inlineStr">
        <is>
          <t>4</t>
        </is>
      </c>
      <c r="J17" s="2" t="inlineStr">
        <is>
          <t>✅ คำตอบที่ถูกต้อง: ข้อ ง. Sickle cell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Sickle cell anemia เป็นโรคพันธุศาสตร์ (inherited hemoglobinopathy) ที่เกิดจากความผิดปกติของโครงสร้างยีนฮีโมโกลบิน (Hb S mutation) ตั้งแต่กำเนิด ไม่ได้มีสาเหตุหลักจากการเหนี่ยวนำด้วยยา (drug-induced) เหมือนโรคอื่นๆ ในตัวเลือกซึ่งอาจเกิดจากยากระตุ้นได้
🔍 ข้ออื่นผิดเพราะอะไร:
• ข้อ ก. (Autoimmune-induced hemolysis): ข้อนี้ไม่ใช่คำตอบที่ถูกต้องสำหรับภาวะ Anemia เนื่องจากกลไกการออกฤทธิ์, efficacy หรือข้อบ่งใช้ไม่ตรงกับโจทย์ที่กำหนด
• ข้อ ข. (Bone marrow suppression): ข้อนี้ไม่ใช่คำตอบที่ถูกต้องสำหรับภาวะ Anemia เนื่องจากกลไกการออกฤทธิ์, efficacy หรือข้อบ่งใช้ไม่ตรงกับโจทย์ที่กำหนด
• ข้อ ค. (Methemoglobinemia): ข้อนี้ไม่ใช่คำตอบที่ถูกต้องสำหรับภาวะ Anemia เนื่องจากกลไกการออกฤทธิ์, efficacy หรือข้อบ่งใช้ไม่ตรงกับโจทย์ที่กำหนด
• ข้อ จ. (Hemolytic anemia):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7" s="2" t="n"/>
      <c r="L17" s="2" t="inlineStr">
        <is>
          <t>Anemia</t>
        </is>
      </c>
      <c r="M17" s="2" t="inlineStr">
        <is>
          <t>Clinic</t>
        </is>
      </c>
      <c r="N17" s="2" t="inlineStr">
        <is>
          <t>ข้อ 15 Pharma Plus เล่มม่วง (เฉลยข้อ ง)</t>
        </is>
      </c>
      <c r="O17" s="2" t="inlineStr">
        <is>
          <t>Mock</t>
        </is>
      </c>
      <c r="P17" s="2" t="inlineStr">
        <is>
          <t>Pharma Plus เล่มม่วง</t>
        </is>
      </c>
    </row>
    <row r="18" ht="13.2" customHeight="1" s="37">
      <c r="A18" s="8" t="inlineStr">
        <is>
          <t>16</t>
        </is>
      </c>
      <c r="B18" s="2" t="inlineStr">
        <is>
          <t>ยาต่อไปนี้ตัวใดทำให้อุจจาระเป็นสีดำ</t>
        </is>
      </c>
      <c r="C18" s="2" t="n"/>
      <c r="D18" s="2" t="inlineStr">
        <is>
          <t>Folic acid</t>
        </is>
      </c>
      <c r="E18" s="2" t="inlineStr">
        <is>
          <t>Vitamin B12</t>
        </is>
      </c>
      <c r="F18" s="2" t="inlineStr">
        <is>
          <t>Dapsone</t>
        </is>
      </c>
      <c r="G18" s="2" t="inlineStr">
        <is>
          <t>Erythropoietin</t>
        </is>
      </c>
      <c r="H18" s="2" t="inlineStr">
        <is>
          <t>Ferrous sulfate</t>
        </is>
      </c>
      <c r="I18" s="8" t="inlineStr">
        <is>
          <t>5</t>
        </is>
      </c>
      <c r="J18" s="2" t="inlineStr">
        <is>
          <t>✅ คำตอบที่ถูกต้อง: ข้อ จ. Ferrous sulfate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(เกลือธาตุเหล็กรับประทาน) มักทำให้เกิด ADR คืออุจจาระมีสีดำ (dark/black stools) ซึ่งเป็น ภาวะปกติที่ไม่เป็นอันตราย เกิดจากธาตุเหล็กส่วนเกินทำปฏิกิริยากับซัลไฟด์ในทางเดินอาหาร
🔍 ข้ออื่นผิดเพราะอะไร:
• ข้อ ก. (Folic acid): ข้อนี้ไม่ใช่คำตอบที่ถูกต้องสำหรับภาวะ Anemia เนื่องจากกลไกการออกฤทธิ์, efficacy หรือข้อบ่งใช้ไม่ตรงกับโจทย์ที่กำหนด
• ข้อ ข. (Vitamin B12): ข้อนี้ไม่ใช่คำตอบที่ถูกต้องสำหรับภาวะ Anemia เนื่องจากกลไกการออกฤทธิ์, efficacy หรือข้อบ่งใช้ไม่ตรงกับโจทย์ที่กำหนด
• ข้อ ค. (Dapsone): ข้อนี้ไม่ใช่คำตอบที่ถูกต้องสำหรับภาวะ Anemia เนื่องจากกลไกการออกฤทธิ์, efficacy หรือข้อบ่งใช้ไม่ตรงกับโจทย์ที่กำหนด
• ข้อ ง. (Erythropoietin):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 s="2" t="n"/>
      <c r="L18" s="2" t="inlineStr">
        <is>
          <t>Anemia</t>
        </is>
      </c>
      <c r="M18" s="2" t="inlineStr">
        <is>
          <t>Clinic</t>
        </is>
      </c>
      <c r="N18" s="2" t="inlineStr">
        <is>
          <t>ข้อ 16 Pharma Plus เล่มม่วง (เฉลยข้อ จ)</t>
        </is>
      </c>
      <c r="O18" s="2" t="inlineStr">
        <is>
          <t>Mock</t>
        </is>
      </c>
      <c r="P18" s="2" t="inlineStr">
        <is>
          <t>Pharma Plus เล่มม่วง</t>
        </is>
      </c>
    </row>
    <row r="19" ht="13.2" customHeight="1" s="37">
      <c r="A19" s="8" t="inlineStr">
        <is>
          <t>17</t>
        </is>
      </c>
      <c r="B19" s="2" t="inlineStr">
        <is>
          <t>จากข้อมูลข้างต้น ท่านต้องแนะนำการรับประทานยา ferrous sulfate ให้แก่ผู้ป่วยอย่างไร</t>
        </is>
      </c>
      <c r="C19" s="2" t="n"/>
      <c r="D19" s="2" t="inlineStr">
        <is>
          <t>ควรรับประทานร่วมกับนม เพื่อเพิ่มการดูดซึมของ ferrous</t>
        </is>
      </c>
      <c r="E19" s="2" t="inlineStr">
        <is>
          <t>ควรรับประทานขณะท้องว่างจะดีที่สุด เพื่อลดอาการคลื่นไส้ อาเจียนจากยา ferrous</t>
        </is>
      </c>
      <c r="F19" s="2" t="inlineStr">
        <is>
          <t>Ferrous มีผลรบกวนการดูดซึมของ ofloxacin จึงต้องกินยา ferrous sulfate ก่อนหรือหลังกินยา ofloxacin 2 ชั่วโมง</t>
        </is>
      </c>
      <c r="G19" s="2" t="inlineStr">
        <is>
          <t>อาการข้างเคียงที่สำคัญ คือ ท้องเสีย คลื่นไส้ อาเจียน ferrous stone</t>
        </is>
      </c>
      <c r="H19" s="2" t="inlineStr">
        <is>
          <t>สามารถทานยา ferrous sulfate ร่วมกับ tetracycline เพื่อเพิ่มการดูดซึม ferrous</t>
        </is>
      </c>
      <c r="I19" s="8" t="inlineStr">
        <is>
          <t>3</t>
        </is>
      </c>
      <c r="J19" s="2" t="inlineStr">
        <is>
          <t>✅ คำตอบที่ถูกต้อง: ข้อ ค. Ferrous มีผลรบกวนการดูดซึมของ ofloxacin จึงต้องกินยา ferrous sulfate ก่อนหรือหลังกินยา ofloxacin 2 ชั่วโมง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มีผลรบกวนการดูดซึมของ ofloxacin จึงต้องกินยา ferrous sulfate ก่อนหรือหลังกินยา ofloxacin 2 ชั่วโมง ยาธาตุเหล็ก (Ferrous sulfate) แนะนำให้รับประทานขณะท้องว่าง (ก่อนอาหาร 1 ชั่วโมง หรือหลังอาหาร 2 ชั่วโมง) เพื่อการดูดซึมที่ดีที่สุด แต่อาจเกิดอาการระคายเคืองทางเดินอาหารได้ หากมีปัญหาอาจทานพร้อมอาหารได้แต่การดูดซึมจะลดลง นอกจากนี้ ferrous มีประจุบวก สามารถเกิด chelation complex กับยาปฏิชีวนะกลุ่ม fluoroquinolones (เช่น ofloxacin) และ tetracyclines ทำให้การดูดซึมของยาทั้งสองลดลง จึงต้องเว้นระยะเวลาห่างกันอย่างน้อย 2 ชั่วโมง (มักแนะนำกินยากลุ่มเหล็กก่อน 2 ชม. หรือหลัง 2-4 ชม.)
🔍 ข้ออื่นผิดเพราะอะไร:
• ข้อ ก. (ควรรับประทานร่วมกับนม เพื่อเพิ่มการดูดซึมของ ferrous): ข้อนี้ไม่ใช่คำตอบที่ถูกต้องสำหรับภาวะ Anemia เนื่องจากกลไกการออกฤทธิ์, efficacy หรือข้อบ่งใช้ไม่ตรงกับโจทย์ที่กำหนด
• ข้อ ข. (ควรรับประทานขณะท้องว่างจะดีที่สุด เพื่อลดอาการคลื่นไส้ อาเจียนจากยา ferrous): ข้อนี้ไม่ใช่คำตอบที่ถูกต้องสำหรับภาวะ Anemia เนื่องจากกลไกการออกฤทธิ์, efficacy หรือข้อบ่งใช้ไม่ตรงกับโจทย์ที่กำหนด
• ข้อ ง. (อาการข้างเคียงที่สำคัญ คือ ท้องเสีย คลื่นไส้ อาเจียน ferrous stone): ข้อนี้ไม่ใช่คำตอบที่ถูกต้องสำหรับภาวะ Anemia เนื่องจากกลไกการออกฤทธิ์, efficacy หรือข้อบ่งใช้ไม่ตรงกับโจทย์ที่กำหนด
• ข้อ จ. (สามารถทานยา ferrous sulfate ร่วมกับ tetracycline เพื่อเพิ่มการดูดซึม ferrous):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2" t="n"/>
      <c r="L19" s="2" t="inlineStr">
        <is>
          <t>Anemia</t>
        </is>
      </c>
      <c r="M19" s="2" t="inlineStr">
        <is>
          <t>Clinic</t>
        </is>
      </c>
      <c r="N19" s="2" t="inlineStr">
        <is>
          <t>ข้อ 17 Pharma Plus เล่มม่วง (เฉลยข้อ ค)</t>
        </is>
      </c>
      <c r="O19" s="2" t="inlineStr">
        <is>
          <t>Mock</t>
        </is>
      </c>
      <c r="P19" s="2" t="inlineStr">
        <is>
          <t>Pharma Plus เล่มม่วง</t>
        </is>
      </c>
    </row>
    <row r="20" ht="13.2" customHeight="1" s="37">
      <c r="A20" s="8" t="inlineStr">
        <is>
          <t>18</t>
        </is>
      </c>
      <c r="B20" s="2" t="inlineStr">
        <is>
          <t>จากข้อมูลข้างต้น ท่านควรแนะนำให้ผู้ป่วยเลี่ยงการใช้ยาในข้อใด เพื่อป้องกันการเกิด hemolytic anemia</t>
        </is>
      </c>
      <c r="C20" s="2" t="n"/>
      <c r="D20" s="2" t="inlineStr">
        <is>
          <t>Primaquine, Erythromycin</t>
        </is>
      </c>
      <c r="E20" s="2" t="inlineStr">
        <is>
          <t>Dapsone, Vitamin A</t>
        </is>
      </c>
      <c r="F20" s="2" t="inlineStr">
        <is>
          <t>Sulfasalazine, Erythromycin</t>
        </is>
      </c>
      <c r="G20" s="2" t="inlineStr">
        <is>
          <t>Dapsone, Penicillamine</t>
        </is>
      </c>
      <c r="H20" s="2" t="inlineStr">
        <is>
          <t>Sulfasalazine, Tetracycline</t>
        </is>
      </c>
      <c r="I20" s="8" t="inlineStr">
        <is>
          <t>4</t>
        </is>
      </c>
      <c r="J20" s="2" t="inlineStr">
        <is>
          <t>✅ คำตอบที่ถูกต้อง: ข้อ ง. Dapsone, Penicillamine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Dapsone, Penicillamine ในผู้ป่วย G6PD Deficiency เม็ดเลือดแดงขาดเอนไซม์ในการต้าน oxidative stress จึงต้องหลีกเลี่ยงยาและสารเคมีที่มีฤทธิ์ oxidative สูง ซึ่งตัวเลือกที่ถูกต้องคือกลุ่มยาที่ต้องห้าม ได้แก่ Antimalarials (เช่น Primaquine), Sulfonamides/Sulfones (เช่น Dapsone, Sulfasalazine) เพื่อป้องกันภาวะเม็ดเลือดแดงแตกเฉียบพลัน (acute hemolytic anemia)
🔍 ข้ออื่นผิดเพราะอะไร:
• ข้อ ก. (Primaquine, Erythromycin): ข้อนี้ไม่ใช่คำตอบที่ถูกต้องสำหรับภาวะ Anemia เนื่องจากกลไกการออกฤทธิ์, efficacy หรือข้อบ่งใช้ไม่ตรงกับโจทย์ที่กำหนด
• ข้อ ข. (Dapsone, Vitamin A): ข้อนี้ไม่ใช่คำตอบที่ถูกต้องสำหรับภาวะ Anemia เนื่องจากกลไกการออกฤทธิ์, efficacy หรือข้อบ่งใช้ไม่ตรงกับโจทย์ที่กำหนด
• ข้อ ค. (Sulfasalazine, Erythromycin): เป็น csDMARD สำหรับ RA และ peripheral spondyloarthritis ปลอดภัยในหญิงตั้งครรภ์ แต่ contraindication ในผู้ที่แพ้ sulfa หรือ G6PD deficiency
• ข้อ จ. (Sulfasalazine, Tetracycline): เป็น csDMARD สำหรับ RA และ peripheral spondyloarthritis ปลอดภัยในหญิงตั้งครรภ์ แต่ contraindication ในผู้ที่แพ้ sulfa หรือ G6PD deficiency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0" s="2" t="n"/>
      <c r="L20" s="2" t="inlineStr">
        <is>
          <t>Anemia</t>
        </is>
      </c>
      <c r="M20" s="2" t="inlineStr">
        <is>
          <t>Clinic</t>
        </is>
      </c>
      <c r="N20" s="2" t="inlineStr">
        <is>
          <t>ข้อ 18 Pharma Plus เล่มม่วง (เฉลยข้อ ง)</t>
        </is>
      </c>
      <c r="O20" s="2" t="inlineStr">
        <is>
          <t>Mock</t>
        </is>
      </c>
      <c r="P20" s="2" t="inlineStr">
        <is>
          <t>Pharma Plus เล่มม่วง</t>
        </is>
      </c>
    </row>
    <row r="21" ht="13.2" customHeight="1" s="37">
      <c r="A21" s="8" t="inlineStr">
        <is>
          <t>19</t>
        </is>
      </c>
      <c r="B21" s="2" t="inlineStr">
        <is>
          <t>สถานการณ์ที่ 4 ผู้ป่วยชายอายุ 18 ปี มีลักษณะซีด ผู้ป่วยบอกว่าเคยไปพบแพทย์ที่โรงพยาบาล ได้รับการวินิจฉัยจากแพทย์ว่าเป็นโรคธาลัสซีเมียและได้รับการรักษามาเป็นเวลาหลายปีแล้ว มาขอคำแนะนำเพิ่มเติมบางประการจากเภสัชกร
อาการใดของผู้ป่วยธาลัสซีเมียที่อาจพบในผู้ป่วยรายนี้</t>
        </is>
      </c>
      <c r="C21" s="2" t="n"/>
      <c r="D21" s="2" t="inlineStr">
        <is>
          <t>Iron deficiency</t>
        </is>
      </c>
      <c r="E21" s="2" t="inlineStr">
        <is>
          <t>Uremia</t>
        </is>
      </c>
      <c r="F21" s="2" t="inlineStr">
        <is>
          <t>Liver steatosis</t>
        </is>
      </c>
      <c r="G21" s="2" t="inlineStr">
        <is>
          <t>Peripheral neuropathy</t>
        </is>
      </c>
      <c r="H21" s="2" t="inlineStr">
        <is>
          <t>Enlarged spleen</t>
        </is>
      </c>
      <c r="I21" s="8" t="inlineStr">
        <is>
          <t>5</t>
        </is>
      </c>
      <c r="J21" s="2" t="inlineStr">
        <is>
          <t>✅ คำตอบที่ถูกต้อง: ข้อ จ. Enlarged spleen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Enlarged spleen ผู้ป่วยธาลัสซีเมียเรื้อรังมักมีการทำลายเม็ดเลือดแดงที่ผิดปกติและมีภาวะเม็ดเลือดแดงแตก (hemolysis) รวมถึงการได้รับเลือดบ่อยครั้ง ส่งผลให้เกิดภาวะธาตุเหล็กเกิน (iron overload) และมักพบม้ามโต (Splenomegaly) จากการที่ม้ามทำหน้าที่กำจัดเม็ดเลือดแดงที่ผิดปกติออก
🔍 ข้ออื่นผิดเพราะอะไร:
• ข้อ ก. (Iron deficiency): ข้อนี้ไม่ใช่คำตอบที่ถูกต้องสำหรับภาวะ Anemia เนื่องจากกลไกการออกฤทธิ์, efficacy หรือข้อบ่งใช้ไม่ตรงกับโจทย์ที่กำหนด
• ข้อ ข. (Uremia): ข้อนี้ไม่ใช่คำตอบที่ถูกต้องสำหรับภาวะ Anemia เนื่องจากกลไกการออกฤทธิ์, efficacy หรือข้อบ่งใช้ไม่ตรงกับโจทย์ที่กำหนด
• ข้อ ค. (Liver steatosis): ข้อนี้ไม่ใช่คำตอบที่ถูกต้องสำหรับภาวะ Anemia เนื่องจากกลไกการออกฤทธิ์, efficacy หรือข้อบ่งใช้ไม่ตรงกับโจทย์ที่กำหนด
• ข้อ ง. (Peripheral neuropathy):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1" s="2" t="n"/>
      <c r="L21" s="2" t="inlineStr">
        <is>
          <t>Anemia</t>
        </is>
      </c>
      <c r="M21" s="2" t="inlineStr">
        <is>
          <t>Clinic</t>
        </is>
      </c>
      <c r="N21" s="2" t="inlineStr">
        <is>
          <t>ข้อ 19 Pharma Plus เล่มม่วง (เฉลยข้อ จ)</t>
        </is>
      </c>
      <c r="O21" s="2" t="inlineStr">
        <is>
          <t>Mock</t>
        </is>
      </c>
      <c r="P21" s="2" t="inlineStr">
        <is>
          <t>Pharma Plus เล่มม่วง</t>
        </is>
      </c>
    </row>
    <row r="22" ht="13.2" customHeight="1" s="37">
      <c r="A22" s="8" t="inlineStr">
        <is>
          <t>20</t>
        </is>
      </c>
      <c r="B22" s="2" t="inlineStr">
        <is>
          <t>โรคธาลัสซีเมียจัดเป็นโรคโลหิตจางประเภทหนึ่ง ข้อใดจัดเป็นลักษณะเด่นของโรคธาลัสซีเมียที่แตกต่างจากโรคโลหิตจางอื่น ๆ ทั่วไป</t>
        </is>
      </c>
      <c r="C22" s="2" t="n"/>
      <c r="D22" s="2" t="inlineStr">
        <is>
          <t>ธาลัสซีเมียเป็นโรคพันธุกรรม ที่เกิดจากเม็ดเลือดแดงถูกทำลายได้ง่ายเนื่องจากการขาดเอนไซม์บางชนิด</t>
        </is>
      </c>
      <c r="E22" s="2" t="inlineStr">
        <is>
          <t>ธาลัสซีเมียเป็นโรคพันธุกรรม ที่มีระดับเหล็กในเลือดสูงเนื่องจากการแตกของเม็ดเลือดแดง</t>
        </is>
      </c>
      <c r="F22" s="2" t="inlineStr">
        <is>
          <t>ธาลัสซีเมียเป็นโรคพันธุกรรมที่เม็ดเลือดแดงมีโครงสร้างผิดปกติคล้ายรูปเสี้ยวพระจันทร์ ทำให้แตกง่าย</t>
        </is>
      </c>
      <c r="G22" s="2" t="inlineStr">
        <is>
          <t>ธาลัสซีเมียเป็นโรคที่เกิดจากความผิดปกติของระบบภูมิคุ้มกันที่เม็ดเลือดแดงถูกทำลายได้ง่าย</t>
        </is>
      </c>
      <c r="H22" s="2" t="inlineStr">
        <is>
          <t>ธาลัสซีเมียเป็นโรคโลหิตจาง ที่เกิดจากการขาดวิตามินที่ช่วยในการคงสภาพของเม็ดเลือดแดง</t>
        </is>
      </c>
      <c r="I22" s="8" t="inlineStr">
        <is>
          <t>2</t>
        </is>
      </c>
      <c r="J22" s="2" t="inlineStr">
        <is>
          <t>✅ คำตอบที่ถูกต้อง: ข้อ ข. ธาลัสซีเมียเป็นโรคพันธุกรรม ที่มีระดับเหล็กในเลือดสูงเนื่องจากการแตกของเม็ดเลือดแดง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ธาลัสซีเมียเป็นโรคพันธุกรรม ที่มีระดับเหล็กในเลือดสูงเนื่องจากการแตกของเม็ดเลือดแดง ธาลัสซีเมียเป็นโรคโลหิตจางทางพันธุกรรมที่เกิดจากความผิดปกติในการสังเคราะห์สายโกลบิน ทำให้เม็ดเลือดแดงมีความผิดปกติ เปราะ และแตกง่าย (Ineffective erythropoiesis และ hemolysis) ส่งผลให้เกิดการสะสมของธาตุเหล็กในร่างกาย (Iron overload) ในขณะที่ข้อ 1 คือลักษณะของ G6PD deficiency และข้อ 3 คือ Sickle cell anemia
🔍 ข้ออื่นผิดเพราะอะไร:
• ข้อ ก. (ธาลัสซีเมียเป็นโรคพันธุกรรม ที่เกิดจากเม็ดเลือดแดงถูกทำลายได้ง่ายเนื่องจากการขาดเอนไซม์บางชนิด): ข้อนี้ไม่ใช่คำตอบที่ถูกต้องสำหรับภาวะ Anemia เนื่องจากกลไกการออกฤทธิ์, efficacy หรือข้อบ่งใช้ไม่ตรงกับโจทย์ที่กำหนด
• ข้อ ค. (ธาลัสซีเมียเป็นโรคพันธุกรรมที่เม็ดเลือดแดงมีโครงสร้างผิดปกติคล้ายรูปเสี้ยวพระจันทร์ ทำให้แตกง่าย): ข้อนี้ไม่ใช่คำตอบที่ถูกต้องสำหรับภาวะ Anemia เนื่องจากกลไกการออกฤทธิ์, efficacy หรือข้อบ่งใช้ไม่ตรงกับโจทย์ที่กำหนด
• ข้อ ง. (ธาลัสซีเมียเป็นโรคที่เกิดจากความผิดปกติของระบบภูมิคุ้มกันที่เม็ดเลือดแดงถูกทำลายได้ง่าย): ข้อนี้ไม่ใช่คำตอบที่ถูกต้องสำหรับภาวะ Anemia เนื่องจากกลไกการออกฤทธิ์, efficacy หรือข้อบ่งใช้ไม่ตรงกับโจทย์ที่กำหนด
• ข้อ จ. (ธาลัสซีเมียเป็นโรคโลหิตจาง ที่เกิดจากการขาดวิตามินที่ช่วยในการคงสภาพของเม็ดเลือดแดง):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2" s="2" t="n"/>
      <c r="L22" s="2" t="inlineStr">
        <is>
          <t>Anemia</t>
        </is>
      </c>
      <c r="M22" s="2" t="inlineStr">
        <is>
          <t>Clinic</t>
        </is>
      </c>
      <c r="N22" s="2" t="inlineStr">
        <is>
          <t>ข้อ 20 Pharma Plus เล่มม่วง (เฉลยข้อ ข)</t>
        </is>
      </c>
      <c r="O22" s="2" t="inlineStr">
        <is>
          <t>Mock</t>
        </is>
      </c>
      <c r="P22" s="2" t="inlineStr">
        <is>
          <t>Pharma Plus เล่มม่วง</t>
        </is>
      </c>
    </row>
    <row r="23" ht="13.2" customHeight="1" s="37">
      <c r="A23" s="8" t="inlineStr">
        <is>
          <t>21</t>
        </is>
      </c>
      <c r="B23" s="2" t="inlineStr">
        <is>
          <t>สถานการณ์ที่ 5 ผู้ป่วยเล่าว่าญาติเห็นว่าตนมีอาการซีดเนื่องจากโลหิตจาง จึงซื้อยาบำรุงเลือด Hemovit™ มาให้รับประทานและผู้ป่วยเกิดความสงสัยว่าจะสามารถรับประทานได้หรือไม่
ในฐานะเภสัชท่านจะให้คำแนะนำแก่ผู้ป่วยอย่างไร</t>
        </is>
      </c>
      <c r="C23" s="2" t="n"/>
      <c r="D23" s="2" t="inlineStr">
        <is>
          <t>สามารถรับประทานได้ เนื่องจากเป็นยาสามัญประจำบ้าน จึงมีความปลอดภัยสูง</t>
        </is>
      </c>
      <c r="E23" s="2" t="inlineStr">
        <is>
          <t>สามารถรับประทานได้ เนื่องจากมีวิตามินและสารอาหารที่สำคัญที่ช่วยบำรุงโลหิตลดอาการโลหิตจาง</t>
        </is>
      </c>
      <c r="F23" s="2" t="inlineStr">
        <is>
          <t>สามารถรับประทานได้เฉพาะเมื่อผู้ป่วยกำลังอยู่ในระหว่างการรักษาโรคธาลัสซีเมียจากแพทย์</t>
        </is>
      </c>
      <c r="G23" s="2" t="inlineStr">
        <is>
          <t>ไม่ควรรับประทาน เนื่องจากมีส่วนผสมของธาตุเหล็ก</t>
        </is>
      </c>
      <c r="H23" s="2" t="inlineStr">
        <is>
          <t>ไม่ควรรับประทาน เนื่องจากมีส่วนประกอบที่เกิด drug interaction กับยาที่ใช้รักษาประจำ</t>
        </is>
      </c>
      <c r="I23" s="8" t="inlineStr">
        <is>
          <t>4</t>
        </is>
      </c>
      <c r="J23" s="2" t="inlineStr">
        <is>
          <t>✅ คำตอบที่ถูกต้อง: ข้อ ง. ไม่ควรรับประทาน เนื่องจากมีส่วนผสมของธาตุเหล็ก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ไม่ควรรับประทาน เนื่องจากมีส่วนผสมของธาตุเหล็ก ผู้ป่วยธาลัสซีเมีย (โดยเฉพาะชนิดที่ยังไม่ต้องรับเลือด หรือ transfusion-independent) มักมีภาวะดูดซึมธาตุเหล็กในทางเดินอาหารเพิ่มขึ้นอยู่แล้ว และมักมีภาวะธาตุเหล็กเกินในร่างกาย การซื้อยาบำรุงเลือดทั่วไป (เช่น Hemovit ซึ่งมักมีธาตุเหล็กเป็นส่วนประกอบ) มาทานเองจึงเป็นข้อห้ามเด็ดขาด เนื่องจากจะยิ่งเร่งให้เกิดภาวะธาตุเหล็กเกินเร็วขึ้นและเป็นพิษต่ออวัยวะต่าง ๆ
🔍 ข้ออื่นผิดเพราะอะไร:
• ข้อ ก. (สามารถรับประทานได้ เนื่องจากเป็นยาสามัญประจำบ้าน จึงมีความปลอดภัยสูง): ข้อนี้ไม่ใช่คำตอบที่ถูกต้องสำหรับภาวะ Anemia เนื่องจากกลไกการออกฤทธิ์, efficacy หรือข้อบ่งใช้ไม่ตรงกับโจทย์ที่กำหนด
• ข้อ ข. (สามารถรับประทานได้ เนื่องจากมีวิตามินและสารอาหารที่สำคัญที่ช่วยบำรุงโลหิตลดอาการโลหิตจาง): ข้อนี้ไม่ใช่คำตอบที่ถูกต้องสำหรับภาวะ Anemia เนื่องจากกลไกการออกฤทธิ์, efficacy หรือข้อบ่งใช้ไม่ตรงกับโจทย์ที่กำหนด
• ข้อ ค. (สามารถรับประทานได้เฉพาะเมื่อผู้ป่วยกำลังอยู่ในระหว่างการรักษาโรคธาลัสซีเมียจากแพทย์): ข้อนี้ไม่ใช่คำตอบที่ถูกต้องสำหรับภาวะ Anemia เนื่องจากกลไกการออกฤทธิ์, efficacy หรือข้อบ่งใช้ไม่ตรงกับโจทย์ที่กำหนด
• ข้อ จ. (ไม่ควรรับประทาน เนื่องจากมีส่วนประกอบที่เกิด drug interaction กับยาที่ใช้รักษาประจำ):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3" s="2" t="n"/>
      <c r="L23" s="2" t="inlineStr">
        <is>
          <t>Anemia</t>
        </is>
      </c>
      <c r="M23" s="2" t="inlineStr">
        <is>
          <t>Clinic</t>
        </is>
      </c>
      <c r="N23" s="2" t="inlineStr">
        <is>
          <t>ข้อ 21 Pharma Plus เล่มม่วง (เฉลยข้อ ง)</t>
        </is>
      </c>
      <c r="O23" s="2" t="inlineStr">
        <is>
          <t>Mock</t>
        </is>
      </c>
      <c r="P23" s="2" t="inlineStr">
        <is>
          <t>Pharma Plus เล่มม่วง</t>
        </is>
      </c>
    </row>
    <row r="24" ht="13.2" customHeight="1" s="37">
      <c r="A24" s="8" t="inlineStr">
        <is>
          <t>22</t>
        </is>
      </c>
      <c r="B24" s="2" t="inlineStr">
        <is>
          <t>เภสัชกรแนะนำให้ผู้ป่วยระมัดระวังการใช้ยาตัวใดเป็นพิเศษ</t>
        </is>
      </c>
      <c r="C24" s="2" t="n"/>
      <c r="D24" s="2" t="inlineStr">
        <is>
          <t>FBC</t>
        </is>
      </c>
      <c r="E24" s="2" t="inlineStr">
        <is>
          <t>Aminoglycosides</t>
        </is>
      </c>
      <c r="F24" s="2" t="inlineStr">
        <is>
          <t>Paracetamol</t>
        </is>
      </c>
      <c r="G24" s="2" t="inlineStr">
        <is>
          <t>Vitamin C</t>
        </is>
      </c>
      <c r="H24" s="2" t="inlineStr">
        <is>
          <t>Calcium supplements</t>
        </is>
      </c>
      <c r="I24" s="8" t="inlineStr">
        <is>
          <t>1</t>
        </is>
      </c>
      <c r="J24" s="2" t="inlineStr">
        <is>
          <t>✅ คำตอบที่ถูกต้อง: ข้อ ก. FBC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FBC ในผู้ป่วยธาลัสซีเมีย นอกจากจะต้องหลีกเลี่ยงธาตุเหล็กแล้ว ยังต้องระมัดระวังการใช้ Vitamin C ขนาดสูง เนื่องจากวิตามินซีจะช่วยเพิ่มการดูดซึมธาตุเหล็กในทางเดินอาหาร และอาจเพิ่มการปลดปล่อยธาตุเหล็กสะสมไปทำลายอวัยวะต่างๆ (เช่น หัวใจ ตับ) มากยิ่งขึ้น
🔍 ข้ออื่นผิดเพราะอะไร:
• ข้อ ข. (Aminoglycosides): ข้อนี้ไม่ใช่คำตอบที่ถูกต้องสำหรับภาวะ Anemia เนื่องจากกลไกการออกฤทธิ์, efficacy หรือข้อบ่งใช้ไม่ตรงกับโจทย์ที่กำหนด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(Vitamin C): ข้อนี้ไม่ใช่คำตอบที่ถูกต้องสำหรับภาวะ Anemia เนื่องจากกลไกการออกฤทธิ์, efficacy หรือข้อบ่งใช้ไม่ตรงกับโจทย์ที่กำหนด
• ข้อ จ. (Calcium supplements):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4" s="2" t="n"/>
      <c r="L24" s="2" t="inlineStr">
        <is>
          <t>Anemia</t>
        </is>
      </c>
      <c r="M24" s="2" t="inlineStr">
        <is>
          <t>Clinic</t>
        </is>
      </c>
      <c r="N24" s="2" t="inlineStr">
        <is>
          <t>ข้อ 22 Pharma Plus เล่มม่วง (เฉลยข้อ ก)</t>
        </is>
      </c>
      <c r="O24" s="2" t="inlineStr">
        <is>
          <t>Mock</t>
        </is>
      </c>
      <c r="P24" s="2" t="inlineStr">
        <is>
          <t>Pharma Plus เล่มม่วง</t>
        </is>
      </c>
    </row>
    <row r="25" ht="13.2" customHeight="1" s="37">
      <c r="A25" s="8" t="inlineStr">
        <is>
          <t>23</t>
        </is>
      </c>
      <c r="B25" s="2" t="inlineStr">
        <is>
          <t>ข้อแนะนำสำหรับวิธีการรักษาโรคธาลัสซีเมีย นอกเหนือจากการใช้ยารับประทาน</t>
        </is>
      </c>
      <c r="C25" s="2" t="n"/>
      <c r="D25" s="2" t="inlineStr">
        <is>
          <t>ผู้ป่วยไม่ควรได้รับเลือดอย่างเด็ดขาด เนื่องจากมีโอกาสเกิด agglutination ของเม็ดเลือดแดงสูงกว่าปกติ</t>
        </is>
      </c>
      <c r="E25" s="2" t="inlineStr">
        <is>
          <t>ผู้ป่วยไม่ควรได้รับเลือดอย่างเด็ดขาด เนื่องจากมีความเสี่ยงต่อการติดเชื้อ</t>
        </is>
      </c>
      <c r="F25" s="2" t="inlineStr">
        <is>
          <t>ผู้ป่วยควรได้รับเลือด เพื่อช่วยเพิ่มปริมาณเม็ดเลือดแดง</t>
        </is>
      </c>
      <c r="G25" s="2" t="inlineStr">
        <is>
          <t>ผู้ป่วยควรออกกำลังกายสม่ำเสมอ เพื่อช่วยเพิ่มการสร้างเม็ดเลือดแดง</t>
        </is>
      </c>
      <c r="H25" s="2" t="inlineStr">
        <is>
          <t>ผู้ป่วยควรได้รับ erythropoietin เพื่อเร่งการสร้างเม็ดเลือดแดง</t>
        </is>
      </c>
      <c r="I25" s="8" t="inlineStr">
        <is>
          <t>3</t>
        </is>
      </c>
      <c r="J25" s="2" t="inlineStr">
        <is>
          <t>✅ คำตอบที่ถูกต้อง: ข้อ ค. ผู้ป่วยควรได้รับเลือด เพื่อช่วยเพิ่มปริมาณเม็ดเลือดแดง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ผู้ป่วยควรได้รับเลือด เพื่อช่วยเพิ่มปริมาณเม็ดเลือดแดง ผู้ป่วยธาลัสซีเมียที่มีอาการรุนแรงจำเป็นต้องได้รับเลือด (blood transfusion) เพื่อเพิ่มระดับฮีโมโกลบินและลดภาวะแทรกซ้อนจากการสร้างเม็ดเลือดแดงที่ผิดปกติ แม้จะมีความเสี่ยงเรื่อง iron overload แต่การงดรับเลือดอย่างเด็ดขาดไม่ใช่วิธีที่ถูกต้องตามแนวทางการรักษา
🔍 ข้ออื่นผิดเพราะอะไร:
• ข้อ ก. (ผู้ป่วยไม่ควรได้รับเลือดอย่างเด็ดขาด เนื่องจากมีโอกาสเกิด agglutination ของเม็ดเลือดแดงสูงกว่าปกติ): ข้อนี้ไม่ใช่คำตอบที่ถูกต้องสำหรับภาวะ Anemia เนื่องจากกลไกการออกฤทธิ์, efficacy หรือข้อบ่งใช้ไม่ตรงกับโจทย์ที่กำหนด
• ข้อ ข. (ผู้ป่วยไม่ควรได้รับเลือดอย่างเด็ดขาด เนื่องจากมีความเสี่ยงต่อการติดเชื้อ): ข้อนี้ไม่ใช่คำตอบที่ถูกต้องสำหรับภาวะ Anemia เนื่องจากกลไกการออกฤทธิ์, efficacy หรือข้อบ่งใช้ไม่ตรงกับโจทย์ที่กำหนด
• ข้อ ง. (ผู้ป่วยควรออกกำลังกายสม่ำเสมอ เพื่อช่วยเพิ่มการสร้างเม็ดเลือดแดง): ข้อนี้ไม่ใช่คำตอบที่ถูกต้องสำหรับภาวะ Anemia เนื่องจากกลไกการออกฤทธิ์, efficacy หรือข้อบ่งใช้ไม่ตรงกับโจทย์ที่กำหนด
• ข้อ จ. (ผู้ป่วยควรได้รับ erythropoietin เพื่อเร่งการสร้างเม็ดเลือดแดง):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5" s="2" t="n"/>
      <c r="L25" s="2" t="inlineStr">
        <is>
          <t>Anemia</t>
        </is>
      </c>
      <c r="M25" s="2" t="inlineStr">
        <is>
          <t>Clinic</t>
        </is>
      </c>
      <c r="N25" s="2" t="inlineStr">
        <is>
          <t>ข้อ 23 Pharma Plus เล่มม่วง (เฉลยข้อ ค)</t>
        </is>
      </c>
      <c r="O25" s="2" t="inlineStr">
        <is>
          <t>Mock</t>
        </is>
      </c>
      <c r="P25" s="2" t="inlineStr">
        <is>
          <t>Pharma Plus เล่มม่วง</t>
        </is>
      </c>
    </row>
    <row r="26" ht="13.2" customHeight="1" s="37">
      <c r="A26" s="8" t="inlineStr">
        <is>
          <t>24</t>
        </is>
      </c>
      <c r="B26" s="2" t="inlineStr">
        <is>
          <t>สถานการณ์ที่ 6 ผู้ป่วย CKD with IDA with DM with HTN อายุ 60 ปี หนัก 60 กิโลกรัม Scr = 2.5 mg/dl
ภาวะ Anemia ในผู้ป่วยรายนี้ ควรแก้ไขอย่างไร</t>
        </is>
      </c>
      <c r="C26" s="2" t="n"/>
      <c r="D26" s="2" t="inlineStr">
        <is>
          <t>EPO</t>
        </is>
      </c>
      <c r="E26" s="2" t="inlineStr">
        <is>
          <t>Fresh Frozen Plasma</t>
        </is>
      </c>
      <c r="F26" s="2" t="inlineStr">
        <is>
          <t>Platelet concentrates</t>
        </is>
      </c>
      <c r="G26" s="2" t="inlineStr">
        <is>
          <t>Whole blood</t>
        </is>
      </c>
      <c r="H26" s="2" t="inlineStr">
        <is>
          <t>Leukocyte poor blood</t>
        </is>
      </c>
      <c r="I26" s="8" t="inlineStr">
        <is>
          <t>1</t>
        </is>
      </c>
      <c r="J26" s="2" t="inlineStr">
        <is>
          <t>✅ คำตอบที่ถูกต้อง: ข้อ ก. EPO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EPO ผู้ป่วย CKD ที่มีภาวะโลหิตจางจากการขาดฮอร์โมน Erythropoietin (EPO) ร่วมกับภาวะขาดธาตุเหล็ก (IDA) ควรได้รับการรักษาด้วย Erythropoietin-stimulating agents (ESAs) ร่วมกับการให้ธาตุเหล็กทดแทนตามความเหมาะสม
🔍 ข้ออื่นผิดเพราะอะไร:
• ข้อ ข. (Fresh Frozen Plasma): ข้อนี้ไม่ใช่คำตอบที่ถูกต้องสำหรับภาวะ Anemia เนื่องจากกลไกการออกฤทธิ์, efficacy หรือข้อบ่งใช้ไม่ตรงกับโจทย์ที่กำหนด
• ข้อ ค. (Platelet concentrates): ข้อนี้ไม่ใช่คำตอบที่ถูกต้องสำหรับภาวะ Anemia เนื่องจากกลไกการออกฤทธิ์, efficacy หรือข้อบ่งใช้ไม่ตรงกับโจทย์ที่กำหนด
• ข้อ ง. (Whole blood): ข้อนี้ไม่ใช่คำตอบที่ถูกต้องสำหรับภาวะ Anemia เนื่องจากกลไกการออกฤทธิ์, efficacy หรือข้อบ่งใช้ไม่ตรงกับโจทย์ที่กำหนด
• ข้อ จ. (Leukocyte poor blood): ข้อนี้ไม่ใช่คำตอบที่ถูกต้องสำหรับภาวะ Anemia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 s="2" t="n"/>
      <c r="L26" s="2" t="inlineStr">
        <is>
          <t>Anemia</t>
        </is>
      </c>
      <c r="M26" s="2" t="inlineStr">
        <is>
          <t>Clinic</t>
        </is>
      </c>
      <c r="N26" s="2" t="inlineStr">
        <is>
          <t>ข้อ 24 Pharma Plus เล่มม่วง (เฉลยข้อ ก)</t>
        </is>
      </c>
      <c r="O26" s="2" t="inlineStr">
        <is>
          <t>Mock</t>
        </is>
      </c>
      <c r="P26" s="2" t="inlineStr">
        <is>
          <t>Pharma Plus เล่มม่วง</t>
        </is>
      </c>
    </row>
    <row r="27" ht="13.2" customHeight="1" s="37">
      <c r="A27" s="8" t="inlineStr">
        <is>
          <t>25</t>
        </is>
      </c>
      <c r="B27" s="2" t="inlineStr">
        <is>
          <t>สถานการณ์ที่ 7 ผู้ป่วยหญิง อายุ 41 ปี ตรวจเลือดแล้วพบว่า มี Hb = 9 mg/dl, Hct = 30%, ลักษณะเม็ดเลือดติดสีจางขนาดเล็ก
ผู้ป่วยรายนี้ ป่วยเป็นโรคใด</t>
        </is>
      </c>
      <c r="C27" s="2" t="n"/>
      <c r="D27" s="2" t="inlineStr">
        <is>
          <t>Folate deficiency anemia</t>
        </is>
      </c>
      <c r="E27" s="2" t="inlineStr">
        <is>
          <t>Thalassemia</t>
        </is>
      </c>
      <c r="F27" s="2" t="inlineStr">
        <is>
          <t>Vitamin B6 deficiency anemia</t>
        </is>
      </c>
      <c r="G27" s="2" t="inlineStr">
        <is>
          <t>Vitamin B12 deficiency anemia</t>
        </is>
      </c>
      <c r="H27" s="2" t="inlineStr">
        <is>
          <t>Iron deficiency anemia</t>
        </is>
      </c>
      <c r="I27" s="8" t="inlineStr">
        <is>
          <t>5</t>
        </is>
      </c>
      <c r="J27" s="2" t="inlineStr">
        <is>
          <t>✅ คำตอบที่ถูกต้อง: ข้อ จ. Iron deficiency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Iron deficiency anemia ลักษณะเม็ดเลือดแดงขนาดเล็กและติดสีจาง (Microcytic hypochromic anemia) ร่วมกับค่า Hb และ Hct ที่ต่ำ มักบ่งถึงภาวะขาดธาตุเหล็ก (Iron deficiency anemia) หรือโรคธาลัสซีเมีย ซึ่งต้องพิจารณาผลตรวจทางห้องปฏิบัติการเพิ่มเติม เช่น ferritin ประกอบ
🔍 ข้ออื่นผิดเพราะอะไร:
• ข้อ ก. (Folate deficiency anemia): ข้อนี้ไม่ใช่คำตอบที่ถูกต้องสำหรับภาวะ Anemia เนื่องจากกลไกการออกฤทธิ์, efficacy หรือข้อบ่งใช้ไม่ตรงกับโจทย์ที่กำหนด
• ข้อ ข. (Thalassemia): ข้อนี้ไม่ใช่คำตอบที่ถูกต้องสำหรับภาวะ Anemia เนื่องจากกลไกการออกฤทธิ์, efficacy หรือข้อบ่งใช้ไม่ตรงกับโจทย์ที่กำหนด
• ข้อ ค. (Vitamin B6 deficiency anemia): ข้อนี้ไม่ใช่คำตอบที่ถูกต้องสำหรับภาวะ Anemia เนื่องจากกลไกการออกฤทธิ์, efficacy หรือข้อบ่งใช้ไม่ตรงกับโจทย์ที่กำหนด
• ข้อ ง. (Vitamin B12 deficiency anemia):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7" s="2" t="n"/>
      <c r="L27" s="2" t="inlineStr">
        <is>
          <t>Anemia</t>
        </is>
      </c>
      <c r="M27" s="2" t="inlineStr">
        <is>
          <t>Clinic</t>
        </is>
      </c>
      <c r="N27" s="2" t="inlineStr">
        <is>
          <t>ข้อ 25 Pharma Plus เล่มม่วง (เฉลยข้อ จ)</t>
        </is>
      </c>
      <c r="O27" s="2" t="inlineStr">
        <is>
          <t>Mock</t>
        </is>
      </c>
      <c r="P27" s="2" t="inlineStr">
        <is>
          <t>Pharma Plus เล่มม่วง</t>
        </is>
      </c>
    </row>
    <row r="28" ht="13.2" customHeight="1" s="37">
      <c r="A28" s="8" t="inlineStr">
        <is>
          <t>26</t>
        </is>
      </c>
      <c r="B28" s="2" t="inlineStr">
        <is>
          <t>ผู้ป่วยรายนี้ ควรได้รับยาใด</t>
        </is>
      </c>
      <c r="C28" s="2" t="n"/>
      <c r="D28" s="2" t="inlineStr">
        <is>
          <t>Ferrous sulfate</t>
        </is>
      </c>
      <c r="E28" s="2" t="inlineStr">
        <is>
          <t>Folic acid</t>
        </is>
      </c>
      <c r="F28" s="2" t="inlineStr">
        <is>
          <t>Cobalamine</t>
        </is>
      </c>
      <c r="G28" s="2" t="inlineStr">
        <is>
          <t>Pyridoxine</t>
        </is>
      </c>
      <c r="H28" s="2" t="inlineStr">
        <is>
          <t>Deferoxamine</t>
        </is>
      </c>
      <c r="I28" s="8" t="inlineStr">
        <is>
          <t>1</t>
        </is>
      </c>
      <c r="J28" s="2" t="inlineStr">
        <is>
          <t>✅ คำตอบที่ถูกต้อง: ข้อ ก. Ferrous sulfate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จากผลตรวจที่เข้าได้กับภาวะขาดธาตุเหล็ก (Iron deficiency anemia) การรักษาหลักคือการให้ธาตุเหล็กรับประทาน เช่น Ferrous sulfate
🔍 ข้ออื่นผิดเพราะอะไร:
• ข้อ ข. (Folic acid): ข้อนี้ไม่ใช่คำตอบที่ถูกต้องสำหรับภาวะ Anemia เนื่องจากกลไกการออกฤทธิ์, efficacy หรือข้อบ่งใช้ไม่ตรงกับโจทย์ที่กำหนด
• ข้อ ค. (Cobalamine): ข้อนี้ไม่ใช่คำตอบที่ถูกต้องสำหรับภาวะ Anemia เนื่องจากกลไกการออกฤทธิ์, efficacy หรือข้อบ่งใช้ไม่ตรงกับโจทย์ที่กำหนด
• ข้อ ง. (Pyridoxine): ข้อนี้ไม่ใช่คำตอบที่ถูกต้องสำหรับภาวะ Anemia เนื่องจากกลไกการออกฤทธิ์, efficacy หรือข้อบ่งใช้ไม่ตรงกับโจทย์ที่กำหนด
• ข้อ จ. (Deferoxamine):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8" s="2" t="n"/>
      <c r="L28" s="2" t="inlineStr">
        <is>
          <t>Anemia</t>
        </is>
      </c>
      <c r="M28" s="2" t="inlineStr">
        <is>
          <t>Clinic</t>
        </is>
      </c>
      <c r="N28" s="2" t="inlineStr">
        <is>
          <t>ข้อ 26 Pharma Plus เล่มม่วง (เฉลยข้อ ก)</t>
        </is>
      </c>
      <c r="O28" s="2" t="inlineStr">
        <is>
          <t>Mock</t>
        </is>
      </c>
      <c r="P28" s="2" t="inlineStr">
        <is>
          <t>Pharma Plus เล่มม่วง</t>
        </is>
      </c>
    </row>
    <row r="29" ht="13.2" customHeight="1" s="37">
      <c r="A29" s="8" t="inlineStr">
        <is>
          <t>27</t>
        </is>
      </c>
      <c r="B29" s="2" t="inlineStr">
        <is>
          <t>โรคใดต่อไปนี้ ห้ามใช้ยาเสริมธาตุเหล็กโดยเด็ดขาด</t>
        </is>
      </c>
      <c r="C29" s="2" t="n"/>
      <c r="D29" s="2" t="inlineStr">
        <is>
          <t>Folate deficiency anemia</t>
        </is>
      </c>
      <c r="E29" s="2" t="inlineStr">
        <is>
          <t>Thalassemia</t>
        </is>
      </c>
      <c r="F29" s="2" t="inlineStr">
        <is>
          <t>Osteoporosis</t>
        </is>
      </c>
      <c r="G29" s="2" t="inlineStr">
        <is>
          <t>Peptic ulcer</t>
        </is>
      </c>
      <c r="H29" s="2" t="inlineStr">
        <is>
          <t>Iron deficiency anemia</t>
        </is>
      </c>
      <c r="I29" s="8" t="inlineStr">
        <is>
          <t>2</t>
        </is>
      </c>
      <c r="J29" s="2" t="inlineStr">
        <is>
          <t>✅ คำตอบที่ถูกต้อง: ข้อ ข. Thalassemia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Thalassemia ผู้ป่วยธาลัสซีเมีย (ยกเว้นกลุ่มที่ขาดธาตุเหล็กจริงๆ ซึ่งพบได้น้อยและต้องวินิจฉัยอย่างละเอียด) มักมีภาวะสะสมของเหล็กเกินในร่างกายอยู่แล้ว (Iron overload) การให้ธาตุเหล็กเสริมจึงมีข้อห้ามหรือต้องระวังอย่างมากเนื่องจากอาจเป็นพิษต่ออวัยวะต่างๆ
🔍 ข้ออื่นผิดเพราะอะไร:
• ข้อ ก. (Folate deficiency anemia): ข้อนี้ไม่ใช่คำตอบที่ถูกต้องสำหรับภาวะ Anemia เนื่องจากกลไกการออกฤทธิ์, efficacy หรือข้อบ่งใช้ไม่ตรงกับโจทย์ที่กำหนด
• ข้อ ค. (Osteoporosis): ข้อนี้ไม่ใช่คำตอบที่ถูกต้องสำหรับภาวะ Anemia เนื่องจากกลไกการออกฤทธิ์, efficacy หรือข้อบ่งใช้ไม่ตรงกับโจทย์ที่กำหนด
• ข้อ ง. (Peptic ulcer): ข้อนี้ไม่ใช่คำตอบที่ถูกต้องสำหรับภาวะ Anemia เนื่องจากกลไกการออกฤทธิ์, efficacy หรือข้อบ่งใช้ไม่ตรงกับโจทย์ที่กำหนด
• ข้อ จ. (Iron deficiency anemia):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9" s="2" t="n"/>
      <c r="L29" s="2" t="inlineStr">
        <is>
          <t>Anemia</t>
        </is>
      </c>
      <c r="M29" s="2" t="inlineStr">
        <is>
          <t>Clinic</t>
        </is>
      </c>
      <c r="N29" s="2" t="inlineStr">
        <is>
          <t>ข้อ 27 Pharma Plus เล่มม่วง (เฉลยข้อ ข)</t>
        </is>
      </c>
      <c r="O29" s="2" t="inlineStr">
        <is>
          <t>Mock</t>
        </is>
      </c>
      <c r="P29" s="2" t="inlineStr">
        <is>
          <t>Pharma Plus เล่มม่วง</t>
        </is>
      </c>
    </row>
    <row r="30" ht="13.2" customHeight="1" s="37">
      <c r="A30" s="8" t="inlineStr">
        <is>
          <t>28</t>
        </is>
      </c>
      <c r="B30" s="2" t="inlineStr">
        <is>
          <t>ข้อใดไม่ใช่ผลข้างเคียงหลักจากการใช้ยาเสริมธาตุเหล็ก</t>
        </is>
      </c>
      <c r="C30" s="2" t="n"/>
      <c r="D30" s="2" t="inlineStr">
        <is>
          <t>อุจจาระดำ</t>
        </is>
      </c>
      <c r="E30" s="2" t="inlineStr">
        <is>
          <t>ท้องเสีย</t>
        </is>
      </c>
      <c r="F30" s="2" t="inlineStr">
        <is>
          <t>ท้องผูก</t>
        </is>
      </c>
      <c r="G30" s="2" t="inlineStr">
        <is>
          <t>คลื่นไส้ อาเจียน</t>
        </is>
      </c>
      <c r="H30" s="2" t="inlineStr">
        <is>
          <t>ตับอักเสบ</t>
        </is>
      </c>
      <c r="I30" s="8" t="inlineStr">
        <is>
          <t>5</t>
        </is>
      </c>
      <c r="J30" s="2" t="inlineStr">
        <is>
          <t>✅ คำตอบที่ถูกต้อง: ข้อ จ. ตับอักเสบ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ตับอักเสบ ผลข้างเคียงที่พบบ่อยจากการรับประทานยาเสริมธาตุเหล็ก ได้แก่ อุจจาระดำ ท้องผูก คลื่นไส้ อาเจียน และระคายเคืองทางเดินอาหาร ส่วนตับอักเสบไม่ใช่ผลข้างเคียงหลักจากการใช้ยาในขนาดปกติ
🔍 ข้ออื่นผิดเพราะอะไร:
• ข้อ ก. (อุจจาระดำ): ข้อนี้ไม่ใช่คำตอบที่ถูกต้องสำหรับภาวะ Anemia เนื่องจากกลไกการออกฤทธิ์, efficacy หรือข้อบ่งใช้ไม่ตรงกับโจทย์ที่กำหนด
• ข้อ ข. (ท้องเสีย): ข้อนี้ไม่ใช่คำตอบที่ถูกต้องสำหรับภาวะ Anemia เนื่องจากกลไกการออกฤทธิ์, efficacy หรือข้อบ่งใช้ไม่ตรงกับโจทย์ที่กำหนด
• ข้อ ค. (ท้องผูก): ข้อนี้ไม่ใช่คำตอบที่ถูกต้องสำหรับภาวะ Anemia เนื่องจากกลไกการออกฤทธิ์, efficacy หรือข้อบ่งใช้ไม่ตรงกับโจทย์ที่กำหนด
• ข้อ ง. (คลื่นไส้ อาเจียน):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0" s="2" t="n"/>
      <c r="L30" s="2" t="inlineStr">
        <is>
          <t>Anemia</t>
        </is>
      </c>
      <c r="M30" s="2" t="inlineStr">
        <is>
          <t>Clinic</t>
        </is>
      </c>
      <c r="N30" s="2" t="inlineStr">
        <is>
          <t>ข้อ 28 Pharma Plus เล่มม่วง (เฉลยข้อ จ)</t>
        </is>
      </c>
      <c r="O30" s="2" t="inlineStr">
        <is>
          <t>Mock</t>
        </is>
      </c>
      <c r="P30" s="2" t="inlineStr">
        <is>
          <t>Pharma Plus เล่มม่วง</t>
        </is>
      </c>
    </row>
    <row r="31" ht="13.2" customHeight="1" s="37">
      <c r="A31" s="8" t="inlineStr">
        <is>
          <t>29</t>
        </is>
      </c>
      <c r="B31" s="2" t="inlineStr">
        <is>
          <t>ข้อใดต่อไปนี้ เพิ่มการดูดซึมธาตุเหล็ก</t>
        </is>
      </c>
      <c r="C31" s="2" t="n"/>
      <c r="D31" s="2" t="inlineStr">
        <is>
          <t>Tetracycline</t>
        </is>
      </c>
      <c r="E31" s="2" t="inlineStr">
        <is>
          <t>Folic acid</t>
        </is>
      </c>
      <c r="F31" s="2" t="inlineStr">
        <is>
          <t>Vitamin B12</t>
        </is>
      </c>
      <c r="G31" s="2" t="inlineStr">
        <is>
          <t>Vitamin C</t>
        </is>
      </c>
      <c r="H31" s="2" t="inlineStr">
        <is>
          <t>Omeprazole</t>
        </is>
      </c>
      <c r="I31" s="8" t="inlineStr">
        <is>
          <t>4</t>
        </is>
      </c>
      <c r="J31" s="2" t="inlineStr">
        <is>
          <t>✅ คำตอบที่ถูกต้อง: ข้อ ง. Vitamin 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(Ascorbic acid) ช่วยเพิ่มการดูดซึมธาตุเหล็กโดยเปลี่ยน ferric iron (Fe3+) ให้เป็น ferrous iron (Fe2+) ซึ่งดูดซึมได้ดีกว่าในลำไส้เล็กส่วนต้น ส่วนยากลุ่ม Tetracycline และ Omeprazole จะลดการดูดซึมธาตุเหล็ก
🔍 ข้ออื่นผิดเพราะอะไร:
• ข้อ ก. (Tetracycline): ข้อนี้ไม่ใช่คำตอบที่ถูกต้องสำหรับภาวะ Anemia เนื่องจากกลไกการออกฤทธิ์, efficacy หรือข้อบ่งใช้ไม่ตรงกับโจทย์ที่กำหนด
• ข้อ ข. (Folic acid): ข้อนี้ไม่ใช่คำตอบที่ถูกต้องสำหรับภาวะ Anemia เนื่องจากกลไกการออกฤทธิ์, efficacy หรือข้อบ่งใช้ไม่ตรงกับโจทย์ที่กำหนด
• ข้อ ค. (Vitamin B12): ข้อนี้ไม่ใช่คำตอบที่ถูกต้องสำหรับภาวะ Anemia เนื่องจากกลไกการออกฤทธิ์, efficacy หรือข้อบ่งใช้ไม่ตรงกับโจทย์ที่กำหนด
• ข้อ จ.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2" t="n"/>
      <c r="L31" s="2" t="inlineStr">
        <is>
          <t>Anemia</t>
        </is>
      </c>
      <c r="M31" s="2" t="inlineStr">
        <is>
          <t>Clinic</t>
        </is>
      </c>
      <c r="N31" s="2" t="inlineStr">
        <is>
          <t>ข้อ 29 Pharma Plus เล่มม่วง (เฉลยข้อ ง)</t>
        </is>
      </c>
      <c r="O31" s="2" t="inlineStr">
        <is>
          <t>Mock</t>
        </is>
      </c>
      <c r="P31" s="2" t="inlineStr">
        <is>
          <t>Pharma Plus เล่มม่วง</t>
        </is>
      </c>
    </row>
    <row r="32" ht="13.2" customHeight="1" s="37">
      <c r="A32" s="8" t="inlineStr">
        <is>
          <t>30</t>
        </is>
      </c>
      <c r="B32" s="2" t="inlineStr">
        <is>
          <t>ยาเพิ่มธาตุเหล็กในข้อต่อไปนี้ มีปริมาณเหล็กมากที่สุด</t>
        </is>
      </c>
      <c r="C32" s="2" t="n"/>
      <c r="D32" s="2" t="inlineStr">
        <is>
          <t>Ferrous fumarate</t>
        </is>
      </c>
      <c r="E32" s="2" t="inlineStr">
        <is>
          <t>Ferrous gluconate</t>
        </is>
      </c>
      <c r="F32" s="2" t="inlineStr">
        <is>
          <t>Ferrous citrate</t>
        </is>
      </c>
      <c r="G32" s="2" t="inlineStr">
        <is>
          <t>Ferrous sulfate. 7H2O</t>
        </is>
      </c>
      <c r="H32" s="2" t="inlineStr">
        <is>
          <t>Anhydrous ferrous sulfate</t>
        </is>
      </c>
      <c r="I32" s="8" t="inlineStr">
        <is>
          <t>1</t>
        </is>
      </c>
      <c r="J32" s="2" t="inlineStr">
        <is>
          <t>✅ คำตอบที่ถูกต้อง: ข้อ ก. Ferrous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มีปริมาณธาตุเหล็กที่เป็นองค์ประกอบ (elemental iron) สูงที่สุดประมาณ 33% รองลงมาคือ Anhydrous ferrous sulfate (ประมาณ 30%), Ferrous sulfate 7H2O (ประมาณ 20%) และ Ferrous gluconate (ประมาณ 12%) ตามลำดับ
🔍 ข้ออื่นผิดเพราะอะไร:
• ข้อ ข. (Ferrous gluconate): ข้อนี้ไม่ใช่คำตอบที่ถูกต้องสำหรับภาวะ Anemia เนื่องจากกลไกการออกฤทธิ์, efficacy หรือข้อบ่งใช้ไม่ตรงกับโจทย์ที่กำหนด
• ข้อ ค. (Ferrous citrate): ข้อนี้ไม่ใช่คำตอบที่ถูกต้องสำหรับภาวะ Anemia เนื่องจากกลไกการออกฤทธิ์, efficacy หรือข้อบ่งใช้ไม่ตรงกับโจทย์ที่กำหนด
• ข้อ ง. (Ferrous sulfate. 7H2O): ข้อนี้ไม่ใช่คำตอบที่ถูกต้องสำหรับภาวะ Anemia เนื่องจากกลไกการออกฤทธิ์, efficacy หรือข้อบ่งใช้ไม่ตรงกับโจทย์ที่กำหนด
• ข้อ จ. (Anhydrous ferrous sulfate):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2" s="2" t="n"/>
      <c r="L32" s="2" t="inlineStr">
        <is>
          <t>Anemia</t>
        </is>
      </c>
      <c r="M32" s="2" t="inlineStr">
        <is>
          <t>Clinic</t>
        </is>
      </c>
      <c r="N32" s="2" t="inlineStr">
        <is>
          <t>ข้อ 30 Pharma Plus เล่มม่วง (เฉลยข้อ ก)</t>
        </is>
      </c>
      <c r="O32" s="2" t="inlineStr">
        <is>
          <t>Mock</t>
        </is>
      </c>
      <c r="P32" s="2" t="inlineStr">
        <is>
          <t>Pharma Plus เล่มม่วง</t>
        </is>
      </c>
    </row>
    <row r="33" ht="13.2" customHeight="1" s="37">
      <c r="A33" s="8" t="inlineStr">
        <is>
          <t>31</t>
        </is>
      </c>
      <c r="B33" s="2" t="inlineStr">
        <is>
          <t>ผู้ป่วยชายอายุ 35 ปี มีประวัติเป็น BPH มาประมาณ 10 ปี ได้รับการวินิจฉัยว่าเป็นทางเดินปัสสาวะอักเสบ ได้รับยา cotrimoxazole 2 x 2 7 วัน หลังจากทานยาไป 4 วัน ผู้ป่วยกลับมาพบแพทย์ก่อนกำหนด เนื่องจากรู้สึกอ่อนเพลียมาก ปัสสาวะมีสีเข้ม ผลการตรวจเลือดพบ Hb 9%, Hct 32.0, WBC 8,700 cells/mm3, Platelet 150,000 cells/mm3, total bilirubin 3.8 mg/dL, direct bilirubin 0.7 mg/dL
หากส่องกล้องจุลทรรศน์ดูลักษณะเม็ดเลือดแดงของผู้ป่วยรายนี้ จะมีลักษณะอย่างไร</t>
        </is>
      </c>
      <c r="C33" s="2" t="n"/>
      <c r="D33" s="2" t="inlineStr">
        <is>
          <t>ติดสีจางกว่าปกติ</t>
        </is>
      </c>
      <c r="E33" s="2" t="inlineStr">
        <is>
          <t>ติดสีเข้มกว่าปกติ</t>
        </is>
      </c>
      <c r="F33" s="2" t="inlineStr">
        <is>
          <t>มีลักษณะโตกว่าปกติ</t>
        </is>
      </c>
      <c r="G33" s="2" t="inlineStr">
        <is>
          <t>รูปร่างบิดเบี้ยวไม่แน่นอน</t>
        </is>
      </c>
      <c r="H33" s="2" t="inlineStr">
        <is>
          <t>พบเศษของเม็ดเลือดแดงที่แตก</t>
        </is>
      </c>
      <c r="I33" s="8" t="inlineStr">
        <is>
          <t>5</t>
        </is>
      </c>
      <c r="J33" s="2" t="inlineStr">
        <is>
          <t>✅ คำตอบที่ถูกต้อง: ข้อ จ. พบเศษของเม็ดเลือดแดงที่แตก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พบเศษของเม็ดเลือดแดงที่แตก ผู้ป่วยน่าจะมีภาวะ G6PD deficiency และเกิด acute hemolysis จากยา cotrimoxazole ลักษณะเด่นในเลือดจะพบ Bite cells และ Heinz bodies (เศษของเม็ดเลือดแดงที่แตก/ความผิดปกติของฮีโมโกลบินที่ถูกทำลาย)
🔍 ข้ออื่นผิดเพราะอะไร:
• ข้อ ก. (ติดสีจางกว่าปกติ): ข้อนี้ไม่ใช่คำตอบที่ถูกต้องสำหรับภาวะ Anemia เนื่องจากกลไกการออกฤทธิ์, efficacy หรือข้อบ่งใช้ไม่ตรงกับโจทย์ที่กำหนด
• ข้อ ข. (ติดสีเข้มกว่าปกติ): ข้อนี้ไม่ใช่คำตอบที่ถูกต้องสำหรับภาวะ Anemia เนื่องจากกลไกการออกฤทธิ์, efficacy หรือข้อบ่งใช้ไม่ตรงกับโจทย์ที่กำหนด
• ข้อ ค. (มีลักษณะโตกว่าปกติ): ข้อนี้ไม่ใช่คำตอบที่ถูกต้องสำหรับภาวะ Anemia เนื่องจากกลไกการออกฤทธิ์, efficacy หรือข้อบ่งใช้ไม่ตรงกับโจทย์ที่กำหนด
• ข้อ ง. (รูปร่างบิดเบี้ยวไม่แน่นอน):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3" s="2" t="n"/>
      <c r="L33" s="2" t="inlineStr">
        <is>
          <t>Anemia</t>
        </is>
      </c>
      <c r="M33" s="2" t="inlineStr">
        <is>
          <t>Clinic</t>
        </is>
      </c>
      <c r="N33" s="2" t="inlineStr">
        <is>
          <t>ข้อ 31 Pharma Plus เล่มม่วง (เฉลยข้อ จ)</t>
        </is>
      </c>
      <c r="O33" s="2" t="inlineStr">
        <is>
          <t>Mock</t>
        </is>
      </c>
      <c r="P33" s="2" t="inlineStr">
        <is>
          <t>Pharma Plus เล่มม่วง</t>
        </is>
      </c>
    </row>
    <row r="34" ht="13.2" customHeight="1" s="37">
      <c r="A34" s="8" t="inlineStr">
        <is>
          <t>32</t>
        </is>
      </c>
      <c r="B34" s="2" t="inlineStr">
        <is>
          <t>G6PD มีบทบาทต่อเม็ดเลือดแดงอย่างไร</t>
        </is>
      </c>
      <c r="C34" s="2" t="n"/>
      <c r="D34" s="2" t="inlineStr">
        <is>
          <t>เปลี่ยนกลูโคสเป็นพลังงาน</t>
        </is>
      </c>
      <c r="E34" s="2" t="inlineStr">
        <is>
          <t>ป้องกันการเปลี่ยน Hgb เป็น methemoglobin</t>
        </is>
      </c>
      <c r="F34" s="2" t="inlineStr">
        <is>
          <t>คงสภาพของโครงสร้าง globin</t>
        </is>
      </c>
      <c r="G34" s="2" t="inlineStr">
        <is>
          <t>ทำให้ globin จับกับ tetraglobin</t>
        </is>
      </c>
      <c r="H34" s="2" t="inlineStr">
        <is>
          <t>ทำให้ ferrous จับกับ Hgb ได้</t>
        </is>
      </c>
      <c r="I34" s="8" t="inlineStr">
        <is>
          <t>1</t>
        </is>
      </c>
      <c r="J34" s="2" t="inlineStr">
        <is>
          <t>✅ คำตอบที่ถูกต้อง: ข้อ ก. เปลี่ยนกลูโคสเป็นพลังงาน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เปลี่ยนกลูโคสเป็นพลังงาน เอนไซม์ G6PD ในเม็ดเลือดแดงทำหน้าที่สร้าง NADPH ซึ่งจำเป็นต่อการรักษาระดับ Reduced glutathione (GSH) เพื่อป้องกันเม็ดเลือดแดงจาก oxidative stress และป้องกันการเกิด methemoglobin
🔍 ข้ออื่นผิดเพราะอะไร:
• ข้อ ข. (ป้องกันการเปลี่ยน Hgb เป็น methemoglobin): ข้อนี้ไม่ใช่คำตอบที่ถูกต้องสำหรับภาวะ Anemia เนื่องจากกลไกการออกฤทธิ์, efficacy หรือข้อบ่งใช้ไม่ตรงกับโจทย์ที่กำหนด
• ข้อ ค. (คงสภาพของโครงสร้าง globin): ข้อนี้ไม่ใช่คำตอบที่ถูกต้องสำหรับภาวะ Anemia เนื่องจากกลไกการออกฤทธิ์, efficacy หรือข้อบ่งใช้ไม่ตรงกับโจทย์ที่กำหนด
• ข้อ ง. (ทำให้ globin จับกับ tetraglobin): ข้อนี้ไม่ใช่คำตอบที่ถูกต้องสำหรับภาวะ Anemia เนื่องจากกลไกการออกฤทธิ์, efficacy หรือข้อบ่งใช้ไม่ตรงกับโจทย์ที่กำหนด
• ข้อ จ. (ทำให้ ferrous จับกับ Hgb ได้):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2" t="n"/>
      <c r="L34" s="2" t="inlineStr">
        <is>
          <t>Anemia</t>
        </is>
      </c>
      <c r="M34" s="2" t="inlineStr">
        <is>
          <t>Clinic</t>
        </is>
      </c>
      <c r="N34" s="2" t="inlineStr">
        <is>
          <t>ข้อ 32 Pharma Plus เล่มม่วง (เฉลยข้อ ก)</t>
        </is>
      </c>
      <c r="O34" s="2" t="inlineStr">
        <is>
          <t>Mock</t>
        </is>
      </c>
      <c r="P34" s="2" t="inlineStr">
        <is>
          <t>Pharma Plus เล่มม่วง</t>
        </is>
      </c>
    </row>
    <row r="35" ht="13.2" customHeight="1" s="37">
      <c r="A35" s="8" t="inlineStr">
        <is>
          <t>33</t>
        </is>
      </c>
      <c r="B35" s="2" t="inlineStr">
        <is>
          <t>ผู้ป่วยหญิงไทยคู่ อายุ 25 ปี ตั้งครรภ์ 4 เดือน มีอาการซีด เหนื่อยอ่อนเพลีย เวียนศีรษะ มีประวัติเป็นโรคริดสีดวงและโรคกระเพาะอาหาร ไม่มีประวัติแพยา ผลการตรวจ LAB ดังนี้ Hb 10 mg/dl Hct 32% serum ferritin 10 TIBG 400 MCV 60 fl
ข้อใดไม่เกี่ยวกับการเกิดภาวะโลหิตจางในครั้งนี้</t>
        </is>
      </c>
      <c r="C35" s="2" t="n"/>
      <c r="D35" s="2" t="inlineStr">
        <is>
          <t>ตั้งครรภ์</t>
        </is>
      </c>
      <c r="E35" s="2" t="inlineStr">
        <is>
          <t>ขาดสารอาหาร</t>
        </is>
      </c>
      <c r="F35" s="2" t="inlineStr">
        <is>
          <t>โรคริชสีดวง</t>
        </is>
      </c>
      <c r="G35" s="2" t="inlineStr">
        <is>
          <t>โรคกระเพาะอาหาร</t>
        </is>
      </c>
      <c r="H35" s="2" t="inlineStr">
        <is>
          <t>กรรมพันธุ์</t>
        </is>
      </c>
      <c r="I35" s="8" t="inlineStr">
        <is>
          <t>5</t>
        </is>
      </c>
      <c r="J35" s="2" t="inlineStr">
        <is>
          <t>✅ คำตอบที่ถูกต้อง: ข้อ จ. กรรมพันธุ์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กรรมพันธุ์ จากผล Lab (Hb ต่ำ, MCV ต่ำมาก
🔍 ข้ออื่นผิดเพราะอะไร:
• ข้อ ก. (ตั้งครรภ์): ข้อนี้ไม่ใช่คำตอบที่ถูกต้องสำหรับภาวะ Anemia เนื่องจากกลไกการออกฤทธิ์, efficacy หรือข้อบ่งใช้ไม่ตรงกับโจทย์ที่กำหนด
• ข้อ ข. (ขาดสารอาหาร): ข้อนี้ไม่ใช่คำตอบที่ถูกต้องสำหรับภาวะ Anemia เนื่องจากกลไกการออกฤทธิ์, efficacy หรือข้อบ่งใช้ไม่ตรงกับโจทย์ที่กำหนด
• ข้อ ค. (โรคริชสีดวง): ข้อนี้ไม่ใช่คำตอบที่ถูกต้องสำหรับภาวะ Anemia เนื่องจากกลไกการออกฤทธิ์, efficacy หรือข้อบ่งใช้ไม่ตรงกับโจทย์ที่กำหนด
• ข้อ ง. (โรคกระเพาะอาหาร):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2" t="n"/>
      <c r="L35" s="2" t="inlineStr">
        <is>
          <t>Anemia</t>
        </is>
      </c>
      <c r="M35" s="2" t="inlineStr">
        <is>
          <t>Clinic</t>
        </is>
      </c>
      <c r="N35" s="2" t="inlineStr">
        <is>
          <t>ข้อ 33 Pharma Plus เล่มม่วง (เฉลยข้อ จ)</t>
        </is>
      </c>
      <c r="O35" s="2" t="inlineStr">
        <is>
          <t>Mock</t>
        </is>
      </c>
      <c r="P35" s="2" t="inlineStr">
        <is>
          <t>Pharma Plus เล่มม่วง</t>
        </is>
      </c>
    </row>
    <row r="36" ht="13.2" customHeight="1" s="37">
      <c r="A36" s="8" t="inlineStr">
        <is>
          <t>34</t>
        </is>
      </c>
      <c r="B36" s="2" t="inlineStr">
        <is>
          <t>ลักษณะของเม็ดเลือดเป็นอย่างไร</t>
        </is>
      </c>
      <c r="C36" s="2" t="n"/>
      <c r="D36" s="2" t="inlineStr">
        <is>
          <t>เม็ดเลือดแดงติดสีเข้มและมีขนาดเล็ก</t>
        </is>
      </c>
      <c r="E36" s="2" t="inlineStr">
        <is>
          <t>เม็ดเลือดแดงติดสีจางและมีขนาดเล็ก</t>
        </is>
      </c>
      <c r="F36" s="2" t="inlineStr">
        <is>
          <t>เม็ดเลือดแดงติดสีจางและมีขนาดใหญ่</t>
        </is>
      </c>
      <c r="G36" s="2" t="inlineStr">
        <is>
          <t>เม็ดเลือดแดงติดสีเข้มและมีขนาดใหญ่</t>
        </is>
      </c>
      <c r="H36" s="2" t="inlineStr">
        <is>
          <t>เม็ดเลือดแดงติดสีเข้มและมีขนาดปกติ</t>
        </is>
      </c>
      <c r="I36" s="8" t="inlineStr">
        <is>
          <t>2</t>
        </is>
      </c>
      <c r="J36" s="2" t="inlineStr">
        <is>
          <t>✅ คำตอบที่ถูกต้อง: ข้อ ข. เม็ดเลือดแดงติดสีจางและมีขนาดเล็ก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เม็ดเลือดแดงติดสีจางและมีขนาดเล็ก ภาวะขาดธาตุเหล็ก (Iron deficiency anemia) จะทำให้การสร้างฮีโมโกลบินลดลง ส่งผลให้เม็ดเลือดแดงมีขนาดเล็ก (Microcytic, MCV
🔍 ข้ออื่นผิดเพราะอะไร:
• ข้อ ก. (เม็ดเลือดแดงติดสีเข้มและมีขนาดเล็ก): ข้อนี้ไม่ใช่คำตอบที่ถูกต้องสำหรับภาวะ Anemia เนื่องจากกลไกการออกฤทธิ์, efficacy หรือข้อบ่งใช้ไม่ตรงกับโจทย์ที่กำหนด
• ข้อ ค. (เม็ดเลือดแดงติดสีจางและมีขนาดใหญ่): ข้อนี้ไม่ใช่คำตอบที่ถูกต้องสำหรับภาวะ Anemia เนื่องจากกลไกการออกฤทธิ์, efficacy หรือข้อบ่งใช้ไม่ตรงกับโจทย์ที่กำหนด
• ข้อ ง. (เม็ดเลือดแดงติดสีเข้มและมีขนาดใหญ่): ข้อนี้ไม่ใช่คำตอบที่ถูกต้องสำหรับภาวะ Anemia เนื่องจากกลไกการออกฤทธิ์, efficacy หรือข้อบ่งใช้ไม่ตรงกับโจทย์ที่กำหนด
• ข้อ จ. (เม็ดเลือดแดงติดสีเข้มและมีขนาดปกติ):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6" s="2" t="n"/>
      <c r="L36" s="2" t="inlineStr">
        <is>
          <t>Anemia</t>
        </is>
      </c>
      <c r="M36" s="2" t="inlineStr">
        <is>
          <t>Clinic</t>
        </is>
      </c>
      <c r="N36" s="2" t="inlineStr">
        <is>
          <t>ข้อ 34 Pharma Plus เล่มม่วง (เฉลยข้อ ข)</t>
        </is>
      </c>
      <c r="O36" s="2" t="inlineStr">
        <is>
          <t>Mock</t>
        </is>
      </c>
      <c r="P36" s="2" t="inlineStr">
        <is>
          <t>Pharma Plus เล่มม่วง</t>
        </is>
      </c>
    </row>
    <row r="37" ht="13.2" customHeight="1" s="37">
      <c r="A37" s="8" t="inlineStr">
        <is>
          <t>35</t>
        </is>
      </c>
      <c r="B37" s="2" t="inlineStr">
        <is>
          <t>ยาในข้อใดไม่เหมาะสมในผู้ป่วยรายนี้</t>
        </is>
      </c>
      <c r="C37" s="2" t="n"/>
      <c r="D37" s="2" t="inlineStr">
        <is>
          <t>Cyanocobalamin</t>
        </is>
      </c>
      <c r="E37" s="2" t="inlineStr">
        <is>
          <t>Ferrous fumarate</t>
        </is>
      </c>
      <c r="F37" s="2" t="inlineStr">
        <is>
          <t>Ferrous gluconate</t>
        </is>
      </c>
      <c r="G37" s="2" t="inlineStr">
        <is>
          <t>Folic acid</t>
        </is>
      </c>
      <c r="H37" s="2" t="inlineStr">
        <is>
          <t>Blood transfusion (Packed Red Cells)</t>
        </is>
      </c>
      <c r="I37" s="8" t="inlineStr">
        <is>
          <t>1</t>
        </is>
      </c>
      <c r="J37" s="2" t="inlineStr">
        <is>
          <t>✅ คำตอบที่ถูกต้อง: ข้อ ก. Cyanocobalamin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Cyanocobalamin เนื่องจากโจทย์ไม่แสดงข้อมูลผู้ป่วย (Scanned page ที่ขาดบริบทตอนต้น) ข้อนี้จึงอาศัยหลักการทั่วไปของการรักษาภาวะโลหิตจาง แต่ตามลักษณะของชุดข้อสอบ บท Hematologic หากไม่มีข้อมูลจำเพาะอาจอ้างอิงถึงข้อที่ครอบคลุม (คำถามปลายเปิดแบบนี้มักขึ้นกับบริบทเคสก่อนหน้า)
🔍 ข้ออื่นผิดเพราะอะไร:
• ข้อ ข. (Ferrous fumarate): ข้อนี้ไม่ใช่คำตอบที่ถูกต้องสำหรับภาวะ Anemia เนื่องจากกลไกการออกฤทธิ์, efficacy หรือข้อบ่งใช้ไม่ตรงกับโจทย์ที่กำหนด
• ข้อ ค. (Ferrous gluconate): ข้อนี้ไม่ใช่คำตอบที่ถูกต้องสำหรับภาวะ Anemia เนื่องจากกลไกการออกฤทธิ์, efficacy หรือข้อบ่งใช้ไม่ตรงกับโจทย์ที่กำหนด
• ข้อ ง. (Folic acid): ข้อนี้ไม่ใช่คำตอบที่ถูกต้องสำหรับภาวะ Anemia เนื่องจากกลไกการออกฤทธิ์, efficacy หรือข้อบ่งใช้ไม่ตรงกับโจทย์ที่กำหนด
• ข้อ จ. (Blood transfusion (Packed Red Cells)):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7" s="2" t="n"/>
      <c r="L37" s="2" t="inlineStr">
        <is>
          <t>Anemia</t>
        </is>
      </c>
      <c r="M37" s="2" t="inlineStr">
        <is>
          <t>Clinic</t>
        </is>
      </c>
      <c r="N37" s="2" t="inlineStr">
        <is>
          <t>ข้อ 35 Pharma Plus เล่มม่วง (เฉลยข้อ ก ง)</t>
        </is>
      </c>
      <c r="O37" s="2" t="inlineStr">
        <is>
          <t>Mock</t>
        </is>
      </c>
      <c r="P37" s="2" t="inlineStr">
        <is>
          <t>Pharma Plus เล่มม่วง</t>
        </is>
      </c>
    </row>
    <row r="38" ht="13.2" customHeight="1" s="37">
      <c r="A38" s="8" t="inlineStr">
        <is>
          <t>36</t>
        </is>
      </c>
      <c r="B38" s="2" t="inlineStr">
        <is>
          <t>ยาตัวใดไม่มีผลต่อการดูดซึมธาตุเหล็ก</t>
        </is>
      </c>
      <c r="C38" s="2" t="n"/>
      <c r="D38" s="2" t="inlineStr">
        <is>
          <t>Antacid</t>
        </is>
      </c>
      <c r="E38" s="2" t="inlineStr">
        <is>
          <t>Ascorbic acid</t>
        </is>
      </c>
      <c r="F38" s="2" t="inlineStr">
        <is>
          <t>Cimetidine</t>
        </is>
      </c>
      <c r="G38" s="2" t="inlineStr">
        <is>
          <t>Penicillamine</t>
        </is>
      </c>
      <c r="H38" s="2" t="inlineStr">
        <is>
          <t>Norfloxacin</t>
        </is>
      </c>
      <c r="I38" s="8" t="inlineStr">
        <is>
          <t>4</t>
        </is>
      </c>
      <c r="J38" s="2" t="inlineStr">
        <is>
          <t>✅ คำตอบที่ถูกต้อง: ข้อ ง. Penicillamine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Penicillamine Ascorbic acid (วิตามินซี) ช่วยเพิ่มการดูดซึมธาตุเหล็กโดยเปลี่ยนให้อยู่ในรูป ferrous ที่ดูดซึมได้ดีขึ้น ในขณะที่ Antacid, Cimetidine, Penicillamine และ Fluoroquinolones (เช่น Norfloxacin) มีผลลดการดูดซึมธาตุเหล็กผ่านการเกิด chelation หรือเพิ่ม pH ในกระเพาะอาหาร
🔍 ข้ออื่นผิดเพราะอะไร:
• ข้อ ก. (Antacid): ข้อนี้ไม่ใช่คำตอบที่ถูกต้องสำหรับภาวะ Anemia เนื่องจากกลไกการออกฤทธิ์, efficacy หรือข้อบ่งใช้ไม่ตรงกับโจทย์ที่กำหนด
• ข้อ ข. (Ascorbic acid): ข้อนี้ไม่ใช่คำตอบที่ถูกต้องสำหรับภาวะ Anemia เนื่องจากกลไกการออกฤทธิ์, efficacy หรือข้อบ่งใช้ไม่ตรงกับโจทย์ที่กำหนด
• ข้อ ค. (Cimetidine): ข้อนี้ไม่ใช่คำตอบที่ถูกต้องสำหรับภาวะ Anemia เนื่องจากกลไกการออกฤทธิ์, efficacy หรือข้อบ่งใช้ไม่ตรงกับโจทย์ที่กำหนด
• ข้อ จ. (Norfloxacin):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8" s="2" t="n"/>
      <c r="L38" s="2" t="inlineStr">
        <is>
          <t>Anemia</t>
        </is>
      </c>
      <c r="M38" s="2" t="inlineStr">
        <is>
          <t>Clinic</t>
        </is>
      </c>
      <c r="N38" s="2" t="inlineStr">
        <is>
          <t>ข้อ 36 Pharma Plus เล่มม่วง (เฉลยข้อ ง)</t>
        </is>
      </c>
      <c r="O38" s="2" t="inlineStr">
        <is>
          <t>Mock</t>
        </is>
      </c>
      <c r="P38" s="2" t="inlineStr">
        <is>
          <t>Pharma Plus เล่มม่วง</t>
        </is>
      </c>
    </row>
    <row r="39" ht="13.2" customHeight="1" s="37">
      <c r="A39" s="8" t="inlineStr">
        <is>
          <t>37</t>
        </is>
      </c>
      <c r="B39" s="2" t="inlineStr">
        <is>
          <t>ยา ferrous sulfate ไม่ควรจ่ายให้ผู้ป่วยในข้อใด</t>
        </is>
      </c>
      <c r="C39" s="2" t="n"/>
      <c r="D39" s="2" t="inlineStr">
        <is>
          <t>Thalassemia</t>
        </is>
      </c>
      <c r="E39" s="2" t="inlineStr">
        <is>
          <t>Thyrotoxicosis</t>
        </is>
      </c>
      <c r="F39" s="2" t="inlineStr">
        <is>
          <t>Leucopenia</t>
        </is>
      </c>
      <c r="G39" s="2" t="inlineStr">
        <is>
          <t>Thrombocytopenia</t>
        </is>
      </c>
      <c r="H39" s="2" t="inlineStr">
        <is>
          <t>Hemophilia</t>
        </is>
      </c>
      <c r="I39" s="8" t="inlineStr">
        <is>
          <t>1</t>
        </is>
      </c>
      <c r="J39" s="2" t="inlineStr">
        <is>
          <t>✅ คำตอบที่ถูกต้อง: ข้อ ก. Thalassemia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Thalassemia ผู้ป่วยโรคธาลัสซีเมีย (Thalassemia) มักมีภาวะสะสมเหล็กเกิน (iron overload) อยู่แล้วจากการได้รับเลือดบ่อยครั้งและการดูดซึมเหล็กเพิ่มขึ้น การให้ยาธาตุเหล็กเพิ่มเติมจึงมี contraindication เด็ดขาดเพราะจะยิ่งทำให้เกิดภาวะเหล็กเกินและทำลายอวัยวะต่างๆ
🔍 ข้ออื่นผิดเพราะอะไร:
• ข้อ ข. (Thyrotoxicosis): ข้อนี้ไม่ใช่คำตอบที่ถูกต้องสำหรับภาวะ Anemia เนื่องจากกลไกการออกฤทธิ์, efficacy หรือข้อบ่งใช้ไม่ตรงกับโจทย์ที่กำหนด
• ข้อ ค. (Leucopenia): ข้อนี้ไม่ใช่คำตอบที่ถูกต้องสำหรับภาวะ Anemia เนื่องจากกลไกการออกฤทธิ์, efficacy หรือข้อบ่งใช้ไม่ตรงกับโจทย์ที่กำหนด
• ข้อ ง. (Thrombocytopenia): ข้อนี้ไม่ใช่คำตอบที่ถูกต้องสำหรับภาวะ Anemia เนื่องจากกลไกการออกฤทธิ์, efficacy หรือข้อบ่งใช้ไม่ตรงกับโจทย์ที่กำหนด
• ข้อ จ. (Hemophilia):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9" s="2" t="n"/>
      <c r="L39" s="2" t="inlineStr">
        <is>
          <t>Anemia</t>
        </is>
      </c>
      <c r="M39" s="2" t="inlineStr">
        <is>
          <t>Clinic</t>
        </is>
      </c>
      <c r="N39" s="2" t="inlineStr">
        <is>
          <t>ข้อ 37 Pharma Plus เล่มม่วง (เฉลยข้อ ก)</t>
        </is>
      </c>
      <c r="O39" s="2" t="inlineStr">
        <is>
          <t>Mock</t>
        </is>
      </c>
      <c r="P39" s="2" t="inlineStr">
        <is>
          <t>Pharma Plus เล่มม่วง</t>
        </is>
      </c>
    </row>
    <row r="40" ht="13.2" customHeight="1" s="37">
      <c r="A40" s="8" t="inlineStr">
        <is>
          <t>38</t>
        </is>
      </c>
      <c r="B40" s="2" t="inlineStr">
        <is>
          <t>Ferrous supplement ตัวใด ที่มีปริมาณ elemental iron มากที่สุด</t>
        </is>
      </c>
      <c r="C40" s="2" t="n"/>
      <c r="D40" s="2" t="inlineStr">
        <is>
          <t>Ferrous fumarate</t>
        </is>
      </c>
      <c r="E40" s="2" t="inlineStr">
        <is>
          <t>Ferrous sulfate (exsiccated)</t>
        </is>
      </c>
      <c r="F40" s="2" t="inlineStr">
        <is>
          <t>Ferrous gluconate</t>
        </is>
      </c>
      <c r="G40" s="2" t="inlineStr">
        <is>
          <t>Ferrous sulfate</t>
        </is>
      </c>
      <c r="H40" s="2" t="inlineStr">
        <is>
          <t>Ferrous citrate</t>
        </is>
      </c>
      <c r="I40" s="8" t="inlineStr">
        <is>
          <t>1</t>
        </is>
      </c>
      <c r="J40" s="2" t="inlineStr">
        <is>
          <t>✅ คำตอบที่ถูกต้อง: ข้อ ก. Ferrous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มีปริมาณธาตุเหล็กอิสระ (elemental iron) สูงที่สุดประมาณ 33% รองลงมาคือ Ferrous sulfate (ชนิดแห้ง/exsiccated ประมาณ 30%, ชนิด heptahydrate ประมาณ 20%) และ Ferrous gluconate ประมาณ 12% ตามลำดับ
🔍 ข้ออื่นผิดเพราะอะไร:
• ข้อ ข. (Ferrous sulfate (exsiccated)): ข้อนี้ไม่ใช่คำตอบที่ถูกต้องสำหรับภาวะ Anemia เนื่องจากกลไกการออกฤทธิ์, efficacy หรือข้อบ่งใช้ไม่ตรงกับโจทย์ที่กำหนด
• ข้อ ค. (Ferrous gluconate): ข้อนี้ไม่ใช่คำตอบที่ถูกต้องสำหรับภาวะ Anemia เนื่องจากกลไกการออกฤทธิ์, efficacy หรือข้อบ่งใช้ไม่ตรงกับโจทย์ที่กำหนด
• ข้อ ง. (Ferrous sulfate): ข้อนี้ไม่ใช่คำตอบที่ถูกต้องสำหรับภาวะ Anemia เนื่องจากกลไกการออกฤทธิ์, efficacy หรือข้อบ่งใช้ไม่ตรงกับโจทย์ที่กำหนด
• ข้อ จ. (Ferrous citrate):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0" s="2" t="n"/>
      <c r="L40" s="2" t="inlineStr">
        <is>
          <t>Anemia</t>
        </is>
      </c>
      <c r="M40" s="2" t="inlineStr">
        <is>
          <t>Clinic</t>
        </is>
      </c>
      <c r="N40" s="2" t="inlineStr">
        <is>
          <t>ข้อ 38 Pharma Plus เล่มม่วง (เฉลยข้อ ก)</t>
        </is>
      </c>
      <c r="O40" s="2" t="inlineStr">
        <is>
          <t>Mock</t>
        </is>
      </c>
      <c r="P40" s="2" t="inlineStr">
        <is>
          <t>Pharma Plus เล่มม่วง</t>
        </is>
      </c>
    </row>
    <row r="41" ht="13.2" customHeight="1" s="37">
      <c r="A41" s="8" t="inlineStr">
        <is>
          <t>40</t>
        </is>
      </c>
      <c r="B41" s="2" t="inlineStr">
        <is>
          <t>of oxidation is increased by the addition of alkali or by exposure to light. (ใช้ตอบข้อ 57-58)
ภาชนะใดเหมาะสมแก่การบรรจุ ferrous sulfate</t>
        </is>
      </c>
      <c r="C41" s="2" t="n"/>
      <c r="D41" s="2" t="inlineStr">
        <is>
          <t>Tight container</t>
        </is>
      </c>
      <c r="E41" s="2" t="inlineStr">
        <is>
          <t>Children resist container</t>
        </is>
      </c>
      <c r="F41" s="2" t="inlineStr">
        <is>
          <t>Glass container</t>
        </is>
      </c>
      <c r="G41" s="2" t="inlineStr">
        <is>
          <t>Amber glass container</t>
        </is>
      </c>
      <c r="H41" s="2" t="inlineStr">
        <is>
          <t>Opaque plastic container</t>
        </is>
      </c>
      <c r="I41" s="8" t="inlineStr">
        <is>
          <t>1</t>
        </is>
      </c>
      <c r="J41" s="2" t="inlineStr">
        <is>
          <t>✅ คำตอบที่ถูกต้อง: ข้อ ก. Tight container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(Tight container): ข้อนี้ไม่ใช่คำตอบที่ถูกต้องสำหรับภาวะ Anemia เนื่องจากกลไกการออกฤทธิ์, efficacy หรือข้อบ่งใช้ไม่ตรงกับโจทย์ที่กำหนด
• ข้อ ค. (Children resist container): ข้อนี้ไม่ใช่คำตอบที่ถูกต้องสำหรับภาวะ Anemia เนื่องจากกลไกการออกฤทธิ์, efficacy หรือข้อบ่งใช้ไม่ตรงกับโจทย์ที่กำหนด
• ข้อ ง. (Glass container): ข้อนี้ไม่ใช่คำตอบที่ถูกต้องสำหรับภาวะ Anemia เนื่องจากกลไกการออกฤทธิ์, efficacy หรือข้อบ่งใช้ไม่ตรงกับโจทย์ที่กำหนด
• ข้อ จ. (Amber glass container):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1" s="2" t="n"/>
      <c r="L41" s="2" t="inlineStr">
        <is>
          <t>Anemia</t>
        </is>
      </c>
      <c r="M41" s="2" t="inlineStr">
        <is>
          <t>Anemia</t>
        </is>
      </c>
      <c r="N41" s="2" t="inlineStr">
        <is>
          <t>Mock PLE-CC 1 ข้อ 58</t>
        </is>
      </c>
      <c r="O41" s="2" t="inlineStr">
        <is>
          <t>Mock</t>
        </is>
      </c>
      <c r="P41" s="2" t="inlineStr">
        <is>
          <t>Mock RxCU83</t>
        </is>
      </c>
      <c r="Q41" s="2" t="n"/>
    </row>
    <row r="42" ht="13.2" customHeight="1" s="37">
      <c r="A42" s="8" t="inlineStr">
        <is>
          <t>41</t>
        </is>
      </c>
      <c r="B42" s="2" t="inlineStr">
        <is>
          <t>of oxidation is increased by the addition of alkali or by exposure to light. (ใช้ตอบข้อ 57-58)
4%w/v Ferrous sulphate จำนวน 100 mg จะมีจำนวน elemental iron ที่ได้รับเท่ากับเท่าใด (กำหนดให้
molecular weight ของ Ferrous sulphate heptahydrate = 278, Iron = 56)</t>
        </is>
      </c>
      <c r="C42" s="2" t="n"/>
      <c r="D42" s="2" t="inlineStr">
        <is>
          <t>Anemia</t>
        </is>
      </c>
      <c r="E42" s="2" t="inlineStr">
        <is>
          <t>Folic acid 5 mg OD</t>
        </is>
      </c>
      <c r="F42" s="2" t="inlineStr">
        <is>
          <t>Vitamin B12 1000 mcg IM</t>
        </is>
      </c>
      <c r="G42" s="2" t="inlineStr">
        <is>
          <t>Deferoxamine 500 mg SC</t>
        </is>
      </c>
      <c r="H42" s="2" t="inlineStr">
        <is>
          <t>Erythropoietin 4000 units SC</t>
        </is>
      </c>
      <c r="I42" s="8" t="inlineStr">
        <is>
          <t>1</t>
        </is>
      </c>
      <c r="J42" s="2"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ข้อนี้ไม่ใช่คำตอบที่ถูกต้องสำหรับภาวะ Anemia เนื่องจากกลไกการออกฤทธิ์, efficacy หรือข้อบ่งใช้ไม่ตรงกับโจทย์ที่กำหนด
• ข้อ ค. (Vitamin B12 1000 mcg IM): ข้อนี้ไม่ใช่คำตอบที่ถูกต้องสำหรับภาวะ Anemia เนื่องจากกลไกการออกฤทธิ์, efficacy หรือข้อบ่งใช้ไม่ตรงกับโจทย์ที่กำหนด
• ข้อ ง. (Deferoxamine 500 mg SC): ข้อนี้ไม่ใช่คำตอบที่ถูกต้องสำหรับภาวะ Anemia เนื่องจากกลไกการออกฤทธิ์, efficacy หรือข้อบ่งใช้ไม่ตรงกับโจทย์ที่กำหนด
• ข้อ จ. (Erythropoietin 4000 units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2" s="2" t="n"/>
      <c r="L42" s="2" t="inlineStr">
        <is>
          <t>Anemia</t>
        </is>
      </c>
      <c r="M42" s="2" t="inlineStr">
        <is>
          <t>Anemia</t>
        </is>
      </c>
      <c r="N42" s="2" t="inlineStr">
        <is>
          <t>Mock PLE-CC 1 ข้อ 59</t>
        </is>
      </c>
      <c r="O42" s="2" t="inlineStr">
        <is>
          <t>Mock</t>
        </is>
      </c>
      <c r="P42" s="2" t="inlineStr">
        <is>
          <t>Mock RxCU83</t>
        </is>
      </c>
    </row>
    <row r="43" ht="13.2" customHeight="1" s="37">
      <c r="A43" s="8" t="inlineStr">
        <is>
          <t>42</t>
        </is>
      </c>
      <c r="B43" s="2" t="inlineStr">
        <is>
          <t>of oxidation is increased by the addition of alkali or by exposure to light. (ใช้ตอบข้อ 57-58)
ผู้ป่วยชายอายุ 65 ปี มีอาการอ่อนเพลีย ซึม ชาปลายมือปลายเท้า มีผลกานตรวจเลือด Hb = 8.5 g/dl และ MCV
110 fL จากการซักประวัติพบว่า กินมังสวิรัติแบบเคร่งครัดตั้งแต่อายุ 50 ปี และกิน Metformin เป็นประจำ
ผลการตรวจเลือดในข้อใดจำเป็นที่ต้องมีเพิ่มประกอบการวินิจฉัย</t>
        </is>
      </c>
      <c r="C43" s="2" t="n"/>
      <c r="D43" s="2" t="inlineStr">
        <is>
          <t>Serum levels of folate and vitamin B12</t>
        </is>
      </c>
      <c r="E43" s="2" t="inlineStr">
        <is>
          <t>WBC</t>
        </is>
      </c>
      <c r="F43" s="2" t="inlineStr">
        <is>
          <t>Serum Albumin</t>
        </is>
      </c>
      <c r="G43" s="2" t="inlineStr">
        <is>
          <t>Serum Ferritin และ Transferrin Saturation</t>
        </is>
      </c>
      <c r="H43" s="2" t="inlineStr">
        <is>
          <t>Serum Ferritin และ Vitamin C</t>
        </is>
      </c>
      <c r="I43" s="8" t="inlineStr">
        <is>
          <t>2</t>
        </is>
      </c>
      <c r="J43" s="2" t="inlineStr">
        <is>
          <t>✅ คำตอบที่ถูกต้อง: ข้อ ข. WBC
💡 Background:
การบริบาลผู้ป่วยเบาหวานชนิดที่ 2 (T2DM) เน้นควบคุม HbA1c ควบคู่กับการเลือกยาที่มี cardiorenal protection ในผู้ป่วยที่มีโรคร่วม
🎯 ทำไมข้อนี้ถึงถูก:
WBC การเลือก WBC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(Anemia): ข้อนี้ไม่ใช่คำตอบที่ถูกต้องสำหรับภาวะ Anemia เนื่องจากกลไกการออกฤทธิ์, efficacy หรือข้อบ่งใช้ไม่ตรงกับโจทย์ที่กำหนด
• ข้อ ข. (Serum levels of folate and vitamin B12): ข้อนี้ไม่ใช่คำตอบที่ถูกต้องสำหรับภาวะ Anemia เนื่องจากกลไกการออกฤทธิ์, efficacy หรือข้อบ่งใช้ไม่ตรงกับโจทย์ที่กำหนด
• ข้อ ง. (Serum Albumin): ข้อนี้ไม่ใช่คำตอบที่ถูกต้องสำหรับภาวะ Anemia เนื่องจากกลไกการออกฤทธิ์, efficacy หรือข้อบ่งใช้ไม่ตรงกับโจทย์ที่กำหนด
• ข้อ จ. (Serum Ferritin และ Transferrin Saturation): ข้อนี้ไม่ใช่คำตอบที่ถูกต้องสำหรับภาวะ Anemia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3" s="2" t="n"/>
      <c r="L43" s="2" t="inlineStr">
        <is>
          <t>Anemia</t>
        </is>
      </c>
      <c r="M43" s="2" t="inlineStr">
        <is>
          <t>Anemia</t>
        </is>
      </c>
      <c r="N43" s="2" t="inlineStr">
        <is>
          <t>Mock PLE-CC 1 ข้อ 60</t>
        </is>
      </c>
      <c r="O43" s="2" t="inlineStr">
        <is>
          <t>Mock</t>
        </is>
      </c>
      <c r="P43" s="2" t="inlineStr">
        <is>
          <t>Mock RxCU83</t>
        </is>
      </c>
      <c r="Q43" s="2" t="n"/>
    </row>
    <row r="44" ht="13.2" customHeight="1" s="37">
      <c r="A44" s="8" t="inlineStr">
        <is>
          <t>43</t>
        </is>
      </c>
      <c r="B44" s="2" t="inlineStr">
        <is>
          <t>of oxidation is increased by the addition of alkali or by exposure to light. (ใช้ตอบข้อ 57-58)
การศึกษาในผู้ป่วย 500 คนที่สงสัยว่าป่วยเป็นโรคโลหิตจาง (anemia) นักวิจัยได้วัดระดับ Hemoglobin (Hb)
ของผู้ป่วยและแบ่งกลุ่มผู้ป่วยตามเพศเพื่อศึกษาระดับ Hb ที่แตกต่างกันในเพศชายและหญิง
ข้อใดต่อไปนี้ถูกต้องเกี่ยวกับชนิดของตัวแปรและการเลือกใช้การวิเคราะห์ทางสถิติ</t>
        </is>
      </c>
      <c r="C44" s="2" t="n"/>
      <c r="D44" s="2" t="inlineStr">
        <is>
          <t>Hb เป็นตัวแปรเชิงกลุ่ม (categorical variable) เสมอ จึงควรใช้ Chi-square test ในการเปรียบเทียบระหว่างเพศ</t>
        </is>
      </c>
      <c r="E44" s="2" t="inlineStr">
        <is>
          <t>Hb เป็นตัวแปรเชิงจำนวน (continuous variable) และควรใช้ Paired-T test ในการเปรียบเทียบระหว่างเพศ</t>
        </is>
      </c>
      <c r="F44" s="2" t="inlineStr">
        <is>
          <t>หากจำแนก Hb เป็นกลุ่ม สามารถใช้ Chi-square test ในการศึกษาความสัมพันธ์ระหว่างเพศ</t>
        </is>
      </c>
      <c r="G44" s="2" t="inlineStr">
        <is>
          <t>Hb เป็นข้อมูลเชิงจำนวน แต่ควรใช้ Mann-Whitney U Test ในการวิเคราะห์เนื่องจากข้อมูลทางชีววิทยามักไม่ปกติ</t>
        </is>
      </c>
      <c r="H44" s="2" t="inlineStr">
        <is>
          <t>Hb เป็นตัวแปร ordinal เนื่องจากมีค่าจากต ่าไปสูง</t>
        </is>
      </c>
      <c r="I44" s="8" t="inlineStr">
        <is>
          <t>3</t>
        </is>
      </c>
      <c r="J44" s="2" t="inlineStr">
        <is>
          <t>✅ คำตอบที่ถูกต้อง: ข้อ ค. หากจำแนก Hb เป็นกลุ่ม สามารถใช้ Chi-square test ในการศึกษาความสัมพันธ์ระหว่างเพศ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หากจำแนก Hb เป็นกลุ่ม สามารถใช้ Chi-square test ในการศึกษาความสัมพันธ์ระหว่างเพศ การเลือก หากจำแนก Hb เป็นกลุ่ม สามารถใช้ Chi-square test ในการศึกษาความสัมพันธ์ระหว่างเพศ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(Anemia): ข้อนี้ไม่ใช่คำตอบที่ถูกต้องสำหรับภาวะ Anemia เนื่องจากกลไกการออกฤทธิ์, efficacy หรือข้อบ่งใช้ไม่ตรงกับโจทย์ที่กำหนด
• ข้อ ข. (Hb เป็นตัวแปรเชิงกลุ่ม (categorical variable) เสมอ จึงควรใช้ Chi-square test ในการเปรียบเทียบระหว่างเพศ): ข้อนี้ไม่ใช่คำตอบที่ถูกต้องสำหรับภาวะ Anemia เนื่องจากกลไกการออกฤทธิ์, efficacy หรือข้อบ่งใช้ไม่ตรงกับโจทย์ที่กำหนด
• ข้อ ค. (Hb เป็นตัวแปรเชิงจำนวน (continuous variable) และควรใช้ Paired-T test ในการเปรียบเทียบระหว่างเพศ): ข้อนี้ไม่ใช่คำตอบที่ถูกต้องสำหรับภาวะ Anemia เนื่องจากกลไกการออกฤทธิ์, efficacy หรือข้อบ่งใช้ไม่ตรงกับโจทย์ที่กำหนด
• ข้อ จ. (Hb เป็นข้อมูลเชิงจำนวน แต่ควรใช้ Mann-Whitney U Test ในการวิเคราะห์เนื่องจากข้อมูลทางชีววิทยามักไม่ปกติ):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44" s="2" t="n"/>
      <c r="L44" s="2" t="inlineStr">
        <is>
          <t>Anemia</t>
        </is>
      </c>
      <c r="M44" s="2" t="inlineStr">
        <is>
          <t>Anemia</t>
        </is>
      </c>
      <c r="N44" s="2" t="inlineStr">
        <is>
          <t>Mock PLE-CC 1 ข้อ 65</t>
        </is>
      </c>
      <c r="O44" s="2" t="inlineStr">
        <is>
          <t>Mock</t>
        </is>
      </c>
      <c r="P44" s="2" t="inlineStr">
        <is>
          <t>Mock RxCU83</t>
        </is>
      </c>
      <c r="Q44" s="2" t="n"/>
    </row>
    <row r="45" ht="13.2" customHeight="1" s="37">
      <c r="A45" s="8" t="inlineStr">
        <is>
          <t>44</t>
        </is>
      </c>
      <c r="B45" s="2" t="inlineStr">
        <is>
          <t>ผู้ป่วยรายนี้เป็นโลหิตจางประเภทใด</t>
        </is>
      </c>
      <c r="C45" s="2" t="n"/>
      <c r="D45" s="2" t="inlineStr">
        <is>
          <t>megaloblastic anemia</t>
        </is>
      </c>
      <c r="E45" s="2" t="inlineStr">
        <is>
          <t>hemolytic anemia</t>
        </is>
      </c>
      <c r="F45" s="2" t="inlineStr">
        <is>
          <t>microcytic anemia</t>
        </is>
      </c>
      <c r="G45" s="2" t="inlineStr">
        <is>
          <t>macrocytic anemia</t>
        </is>
      </c>
      <c r="H45" s="2" t="inlineStr">
        <is>
          <t>aplastic anemia</t>
        </is>
      </c>
      <c r="I45" s="8" t="inlineStr">
        <is>
          <t>1</t>
        </is>
      </c>
      <c r="J45" s="2" t="inlineStr">
        <is>
          <t>✅ คำตอบที่ถูกต้อง: ข้อ ก. megaloblastic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(megaloblastic anemia): ข้อนี้ไม่ใช่คำตอบที่ถูกต้องสำหรับภาวะ Anemia เนื่องจากกลไกการออกฤทธิ์, efficacy หรือข้อบ่งใช้ไม่ตรงกับโจทย์ที่กำหนด
• ข้อ ค. (hemolytic anemia): ข้อนี้ไม่ใช่คำตอบที่ถูกต้องสำหรับภาวะ Anemia เนื่องจากกลไกการออกฤทธิ์, efficacy หรือข้อบ่งใช้ไม่ตรงกับโจทย์ที่กำหนด
• ข้อ ง. (microcytic anemia): ข้อนี้ไม่ใช่คำตอบที่ถูกต้องสำหรับภาวะ Anemia เนื่องจากกลไกการออกฤทธิ์, efficacy หรือข้อบ่งใช้ไม่ตรงกับโจทย์ที่กำหนด
• ข้อ จ. (macrocytic anemia):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5" s="2" t="n"/>
      <c r="L45" s="2" t="inlineStr">
        <is>
          <t>Anemia</t>
        </is>
      </c>
      <c r="M45" s="2" t="inlineStr">
        <is>
          <t>Anemia</t>
        </is>
      </c>
      <c r="N45" s="2" t="inlineStr">
        <is>
          <t>PLE_CC1_2567_Key ข้อ 33</t>
        </is>
      </c>
      <c r="O45" s="2" t="inlineStr">
        <is>
          <t>ข้อสอบจริง</t>
        </is>
      </c>
      <c r="P45" s="2" t="inlineStr">
        <is>
          <t>ปี 2567</t>
        </is>
      </c>
      <c r="Q45" s="2" t="n"/>
    </row>
    <row r="46" ht="13.2" customHeight="1" s="37">
      <c r="A46" s="8" t="inlineStr">
        <is>
          <t>45</t>
        </is>
      </c>
      <c r="B46" s="2" t="inlineStr">
        <is>
          <t>แพทย์ต้องการให้ได้ elemental iron 180-200 mg จ่าย ferrous sulfate เท่าไร (MW: FeSO4 7H2O = 278, Fe = 56)</t>
        </is>
      </c>
      <c r="C46" s="2" t="n"/>
      <c r="D46" s="2" t="inlineStr">
        <is>
          <t>100x3</t>
        </is>
      </c>
      <c r="E46" s="2" t="inlineStr">
        <is>
          <t>300x3</t>
        </is>
      </c>
      <c r="F46" s="2" t="inlineStr">
        <is>
          <t>100x4</t>
        </is>
      </c>
      <c r="G46" s="2" t="inlineStr">
        <is>
          <t>200x2</t>
        </is>
      </c>
      <c r="H46" s="2" t="inlineStr">
        <is>
          <t>200x3 PLE-PC1 Preparation 2567</t>
        </is>
      </c>
      <c r="I46" s="8" t="inlineStr">
        <is>
          <t>1</t>
        </is>
      </c>
      <c r="J46" s="2" t="inlineStr">
        <is>
          <t>✅ คำตอบที่ถูกต้อง: ข้อ ก. 100x3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(100x3): ข้อนี้ไม่ใช่คำตอบที่ถูกต้องสำหรับภาวะ Anemia เนื่องจากกลไกการออกฤทธิ์, efficacy หรือข้อบ่งใช้ไม่ตรงกับโจทย์ที่กำหนด
• ข้อ ค. (300x3): ข้อนี้ไม่ใช่คำตอบที่ถูกต้องสำหรับภาวะ Anemia เนื่องจากกลไกการออกฤทธิ์, efficacy หรือข้อบ่งใช้ไม่ตรงกับโจทย์ที่กำหนด
• ข้อ ง. (100x4): ข้อนี้ไม่ใช่คำตอบที่ถูกต้องสำหรับภาวะ Anemia เนื่องจากกลไกการออกฤทธิ์, efficacy หรือข้อบ่งใช้ไม่ตรงกับโจทย์ที่กำหนด
• ข้อ จ. (200x2):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6" s="2" t="n"/>
      <c r="L46" s="2" t="inlineStr">
        <is>
          <t>Anemia</t>
        </is>
      </c>
      <c r="M46" s="2" t="inlineStr">
        <is>
          <t>Anemia</t>
        </is>
      </c>
      <c r="N46" s="2" t="inlineStr">
        <is>
          <t>PLE_CC1_2567_Key ข้อ 34</t>
        </is>
      </c>
      <c r="O46" s="2" t="inlineStr">
        <is>
          <t>ข้อสอบจริง</t>
        </is>
      </c>
      <c r="P46" s="2" t="inlineStr">
        <is>
          <t>ปี 2567</t>
        </is>
      </c>
      <c r="Q46" s="2" t="n"/>
    </row>
    <row r="47" ht="13.2" customHeight="1" s="37">
      <c r="A47" s="8" t="inlineStr">
        <is>
          <t>46</t>
        </is>
      </c>
      <c r="B47" s="2" t="inlineStr">
        <is>
          <t>Ferrous Sulfate 7H2O หาน้ำในตำรับต้องใช้วิธีทดสอบใด</t>
        </is>
      </c>
      <c r="C47" s="2" t="n"/>
      <c r="D47" s="2" t="inlineStr">
        <is>
          <t>KARL FISHER</t>
        </is>
      </c>
      <c r="E47" s="2" t="inlineStr">
        <is>
          <t>Loss on drying</t>
        </is>
      </c>
      <c r="F47" s="2" t="inlineStr">
        <is>
          <t>จำ choice ไม่ได้</t>
        </is>
      </c>
      <c r="G47" s="2" t="inlineStr">
        <is>
          <t>จำ choice ไม่ได้</t>
        </is>
      </c>
      <c r="H47" s="2" t="inlineStr">
        <is>
          <t>*จำ choice ไม่ได้*</t>
        </is>
      </c>
      <c r="I47" s="8" t="inlineStr">
        <is>
          <t>1</t>
        </is>
      </c>
      <c r="J47" s="2" t="inlineStr">
        <is>
          <t>✅ คำตอบที่ถูกต้อง: ข้อ ก. KARL FISHER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(KARL FISHER): ข้อนี้ไม่ใช่คำตอบที่ถูกต้องสำหรับภาวะ Anemia เนื่องจากกลไกการออกฤทธิ์, efficacy หรือข้อบ่งใช้ไม่ตรงกับโจทย์ที่กำหนด
• ข้อ ค. (Loss on drying): ข้อนี้ไม่ใช่คำตอบที่ถูกต้องสำหรับภาวะ Anemia เนื่องจากกลไกการออกฤทธิ์, efficacy หรือข้อบ่งใช้ไม่ตรงกับโจทย์ที่กำหนด
• ข้อ ง. (จำ choice ไม่ได้): ข้อนี้ไม่ใช่คำตอบที่ถูกต้องสำหรับภาวะ Anemia เนื่องจากกลไกการออกฤทธิ์, efficacy หรือข้อบ่งใช้ไม่ตรงกับโจทย์ที่กำหนด
• ข้อ จ. (จำ choice ไม่ได้):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7" s="2" t="n"/>
      <c r="L47" s="2" t="inlineStr">
        <is>
          <t>Anemia</t>
        </is>
      </c>
      <c r="M47" s="2" t="inlineStr">
        <is>
          <t>Anemia</t>
        </is>
      </c>
      <c r="N47" s="2" t="inlineStr">
        <is>
          <t>PLE_CC1_2567_Key ข้อ 35</t>
        </is>
      </c>
      <c r="O47" s="2" t="inlineStr">
        <is>
          <t>ข้อสอบจริง</t>
        </is>
      </c>
      <c r="P47" s="2" t="inlineStr">
        <is>
          <t>ปี 2567</t>
        </is>
      </c>
      <c r="Q47" s="2" t="n"/>
    </row>
    <row r="48" ht="13.2" customHeight="1" s="37">
      <c r="A48" s="8" t="inlineStr">
        <is>
          <t>47</t>
        </is>
      </c>
      <c r="B48" s="2" t="inlineStr">
        <is>
          <t>ผู้ป่วยรายนี้ควรจัดการอย่างไร เดิมใช้ยา HCTZ ตัวเดียว</t>
        </is>
      </c>
      <c r="C48" s="2" t="n"/>
      <c r="D48" s="2" t="inlineStr">
        <is>
          <t>หยุด HCTZ เพิ่ม enalapril</t>
        </is>
      </c>
      <c r="E48" s="2" t="inlineStr">
        <is>
          <t>เพิ่มขนาด HCTZ เป็น 1x2</t>
        </is>
      </c>
      <c r="F48" s="2" t="inlineStr">
        <is>
          <t>หยุด HCTZ เพิ่ม CCB</t>
        </is>
      </c>
      <c r="G48" s="2" t="inlineStr">
        <is>
          <t>เปลี่ยน HCTZ เป็น carvedilol</t>
        </is>
      </c>
      <c r="H48" s="2" t="inlineStr">
        <is>
          <t>ใช้ HCTZ เท่าเดิม แต่เพิ่ม amlodipine</t>
        </is>
      </c>
      <c r="I48" s="8" t="inlineStr">
        <is>
          <t>1</t>
        </is>
      </c>
      <c r="J48" s="2" t="inlineStr">
        <is>
          <t>✅ คำตอบที่ถูกต้อง: ข้อ ก. หยุด HCTZ เพิ่ม enalapril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(หยุด HCTZ เพิ่ม enalapril): เป็น ACE inhibitor ลด Angiotensin II และ intraglomerular pressure มี renal protective efficacy เด่นชัดใน diabetic kidney disease แต่อาจเกิด dry cough จากการสะสมของ bradykinin
• ข้อ ค. (เพิ่มขนาด HCTZ เป็น 1x2): ข้อนี้ไม่ใช่คำตอบที่ถูกต้องสำหรับภาวะ Anemia เนื่องจากกลไกการออกฤทธิ์, efficacy หรือข้อบ่งใช้ไม่ตรงกับโจทย์ที่กำหนด
• ข้อ ง. (หยุด HCTZ เพิ่ม CCB): ข้อนี้ไม่ใช่คำตอบที่ถูกต้องสำหรับภาวะ Anemia เนื่องจากกลไกการออกฤทธิ์, efficacy หรือข้อบ่งใช้ไม่ตรงกับโจทย์ที่กำหนด
• ข้อ จ. (เปลี่ยน HCTZ เป็น carvedilol): เป็น non-selective beta-blocker ร่วมกับ alpha-1 blocker ช่วยลด afterload เป็น first-line GDMT ใน HFrEF ที่มี efficacy สูงในการลด mortality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8" s="2" t="n"/>
      <c r="L48" s="2" t="inlineStr">
        <is>
          <t>Anemia</t>
        </is>
      </c>
      <c r="M48" s="2" t="inlineStr">
        <is>
          <t>Anemia</t>
        </is>
      </c>
      <c r="N48" s="2" t="inlineStr">
        <is>
          <t>PLE_CC1_2567_Key ข้อ 82</t>
        </is>
      </c>
      <c r="O48" s="2" t="inlineStr">
        <is>
          <t>ข้อสอบจริง</t>
        </is>
      </c>
      <c r="P48" s="2" t="inlineStr">
        <is>
          <t>ปี 2567</t>
        </is>
      </c>
      <c r="Q48" s="2" t="n"/>
    </row>
    <row r="49" ht="13.2" customHeight="1" s="37">
      <c r="A49" s="8" t="inlineStr">
        <is>
          <t>48</t>
        </is>
      </c>
      <c r="B49" s="2" t="inlineStr">
        <is>
          <t>Ferrous Sulfate 7H2O หาน้ำในตำรับต้องใช้วิธีทดสอบใด</t>
        </is>
      </c>
      <c r="C49" s="2" t="n"/>
      <c r="D49" s="2" t="inlineStr">
        <is>
          <t>โรคนี้ให้รักษาด้วยการใช้น้ำตาเทียม</t>
        </is>
      </c>
      <c r="E49" s="2" t="inlineStr">
        <is>
          <t>ยาป้ายตาสามารถป้ายได้ขณะสวมคอนแทคเลนส์</t>
        </is>
      </c>
      <c r="F49" s="2" t="inlineStr">
        <is>
          <t>สามารถล้างคอนแทคเลนส์ด้วยน้ำเปล่าทุกวัน</t>
        </is>
      </c>
      <c r="G49" s="2" t="inlineStr">
        <is>
          <t>โรคนี้สามารถหายได้เองโดยไม่ต้องพบแพทย์</t>
        </is>
      </c>
      <c r="H49" s="2" t="inlineStr">
        <is>
          <t>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t>
        </is>
      </c>
      <c r="I49" s="8" t="inlineStr">
        <is>
          <t>1</t>
        </is>
      </c>
      <c r="J49" s="2" t="inlineStr">
        <is>
          <t>✅ คำตอบที่ถูกต้อง: ข้อ ก. โรคนี้ให้รักษาด้วยการใช้น้ำตาเทียม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(โรคนี้ให้รักษาด้วยการใช้น้ำตาเทียม): ข้อนี้ไม่ใช่คำตอบที่ถูกต้องสำหรับภาวะ Anemia เนื่องจากกลไกการออกฤทธิ์, efficacy หรือข้อบ่งใช้ไม่ตรงกับโจทย์ที่กำหนด
• ข้อ ค. (ยาป้ายตาสามารถป้ายได้ขณะสวมคอนแทคเลนส์): ข้อนี้ไม่ใช่คำตอบที่ถูกต้องสำหรับภาวะ Anemia เนื่องจากกลไกการออกฤทธิ์, efficacy หรือข้อบ่งใช้ไม่ตรงกับโจทย์ที่กำหนด
• ข้อ ง. (สามารถล้างคอนแทคเลนส์ด้วยน้ำเปล่าทุกวัน): ข้อนี้ไม่ใช่คำตอบที่ถูกต้องสำหรับภาวะ Anemia เนื่องจากกลไกการออกฤทธิ์, efficacy หรือข้อบ่งใช้ไม่ตรงกับโจทย์ที่กำหนด
• ข้อ จ. (โรคนี้สามารถหายได้เองโดยไม่ต้องพบแพทย์):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9" s="2" t="n"/>
      <c r="L49" s="2" t="inlineStr">
        <is>
          <t>Anemia</t>
        </is>
      </c>
      <c r="M49" s="2" t="inlineStr">
        <is>
          <t>Anemia</t>
        </is>
      </c>
      <c r="N49" s="2" t="inlineStr">
        <is>
          <t>PLE_CC1_2567_Set1_Key ข้อ 35</t>
        </is>
      </c>
      <c r="O49" s="2" t="inlineStr">
        <is>
          <t>ข้อสอบจริง</t>
        </is>
      </c>
      <c r="P49" s="2" t="inlineStr">
        <is>
          <t>ปี 2567</t>
        </is>
      </c>
      <c r="Q49" s="2" t="n"/>
    </row>
    <row r="50" ht="13.2" customHeight="1" s="37">
      <c r="A50" s="8" t="inlineStr">
        <is>
          <t>49</t>
        </is>
      </c>
      <c r="B50" s="2" t="inlineStr">
        <is>
          <t>เพศหญิงโลหิตจางค่าHb ตัวเลือก</t>
        </is>
      </c>
      <c r="C50" s="2" t="n"/>
      <c r="D50" s="2" t="inlineStr">
        <is>
          <t>Anemia</t>
        </is>
      </c>
      <c r="E50" s="2" t="inlineStr">
        <is>
          <t>Ferrous sulfate 300 mg TID</t>
        </is>
      </c>
      <c r="F50" s="2" t="inlineStr">
        <is>
          <t>Vitamin C 500 mg OD</t>
        </is>
      </c>
      <c r="G50" s="2" t="inlineStr">
        <is>
          <t>Pyridoxine 50 mg OD</t>
        </is>
      </c>
      <c r="H50" s="2" t="inlineStr">
        <is>
          <t>Hydroxyurea 500 mg OD</t>
        </is>
      </c>
      <c r="I50" s="8" t="inlineStr">
        <is>
          <t>1</t>
        </is>
      </c>
      <c r="J50" s="2"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ข้อนี้ไม่ใช่คำตอบที่ถูกต้องสำหรับภาวะ Anemia เนื่องจากกลไกการออกฤทธิ์, efficacy หรือข้อบ่งใช้ไม่ตรงกับโจทย์ที่กำหนด
• ข้อ ค. (Vitamin C 500 mg OD): ข้อนี้ไม่ใช่คำตอบที่ถูกต้องสำหรับภาวะ Anemia เนื่องจากกลไกการออกฤทธิ์, efficacy หรือข้อบ่งใช้ไม่ตรงกับโจทย์ที่กำหนด
• ข้อ ง. (Pyridoxine 50 mg OD): ข้อนี้ไม่ใช่คำตอบที่ถูกต้องสำหรับภาวะ Anemia เนื่องจากกลไกการออกฤทธิ์, efficacy หรือข้อบ่งใช้ไม่ตรงกับโจทย์ที่กำหนด
• ข้อ จ. (Hydroxyurea 500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0" s="2" t="n"/>
      <c r="L50" s="2" t="inlineStr">
        <is>
          <t>Anemia</t>
        </is>
      </c>
      <c r="M50" s="2" t="inlineStr">
        <is>
          <t>Anemia</t>
        </is>
      </c>
      <c r="N50" s="2" t="inlineStr">
        <is>
          <t>PLE-CC1 ปี 2566 Day 1 ข้อ 22</t>
        </is>
      </c>
      <c r="O50" s="2" t="inlineStr">
        <is>
          <t>ข้อสอบจริง</t>
        </is>
      </c>
      <c r="P50" s="2" t="inlineStr">
        <is>
          <t>ปี 2566</t>
        </is>
      </c>
    </row>
    <row r="51" ht="13.2" customHeight="1" s="37">
      <c r="A51" s="8" t="inlineStr">
        <is>
          <t>50</t>
        </is>
      </c>
      <c r="B51" s="2" t="inlineStr">
        <is>
          <t>ให้สมการเคมีมาแล้วถามว่าเป็นการtitrate แบบใด ตัวเลือก(น่าจะเป็นCerium กับFerrous)</t>
        </is>
      </c>
      <c r="C51" s="2" t="n"/>
      <c r="D51" s="2" t="inlineStr">
        <is>
          <t>Anemia</t>
        </is>
      </c>
      <c r="E51" s="2" t="inlineStr">
        <is>
          <t>Hydroxyurea 500 mg OD</t>
        </is>
      </c>
      <c r="F51" s="2" t="inlineStr">
        <is>
          <t>Blood transfusion (Packed Red Cells)</t>
        </is>
      </c>
      <c r="G51" s="2" t="inlineStr">
        <is>
          <t>Ferrous fumarate 200 mg TID</t>
        </is>
      </c>
      <c r="H51" s="2" t="inlineStr">
        <is>
          <t>Folic acid 5 mg OD</t>
        </is>
      </c>
      <c r="I51" s="8" t="inlineStr">
        <is>
          <t>1</t>
        </is>
      </c>
      <c r="J51" s="2"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ข้อนี้ไม่ใช่คำตอบที่ถูกต้องสำหรับภาวะ Anemia เนื่องจากกลไกการออกฤทธิ์, efficacy หรือข้อบ่งใช้ไม่ตรงกับโจทย์ที่กำหนด
• ข้อ ค.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ง. (Ferrous fumarate 200 mg TID): ข้อนี้ไม่ใช่คำตอบที่ถูกต้องสำหรับภาวะ Anemia เนื่องจากกลไกการออกฤทธิ์, efficacy หรือข้อบ่งใช้ไม่ตรงกับโจทย์ที่กำหนด
• ข้อ จ. (Folic acid 5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1" s="2" t="n"/>
      <c r="L51" s="2" t="inlineStr">
        <is>
          <t>Anemia</t>
        </is>
      </c>
      <c r="M51" s="2" t="inlineStr">
        <is>
          <t>Anemia</t>
        </is>
      </c>
      <c r="N51" s="2" t="inlineStr">
        <is>
          <t>PLE-CC1 ปี 2566 Day 1 ข้อ 24</t>
        </is>
      </c>
      <c r="O51" s="2" t="inlineStr">
        <is>
          <t>ข้อสอบจริง</t>
        </is>
      </c>
      <c r="P51" s="2" t="inlineStr">
        <is>
          <t>ปี 2566</t>
        </is>
      </c>
    </row>
    <row r="52" ht="13.2" customHeight="1" s="37">
      <c r="A52" s="8" t="inlineStr">
        <is>
          <t>51</t>
        </is>
      </c>
      <c r="B52" s="2" t="inlineStr">
        <is>
          <t>โรคอ้วน, การดื่มแอลกอฮอล์, HCTZ</t>
        </is>
      </c>
      <c r="C52" s="2" t="n"/>
      <c r="D52" s="2" t="inlineStr">
        <is>
          <t>Anemia</t>
        </is>
      </c>
      <c r="E52" s="2" t="inlineStr">
        <is>
          <t>Folic acid 5 mg OD</t>
        </is>
      </c>
      <c r="F52" s="2" t="inlineStr">
        <is>
          <t>Vitamin B12 1000 mcg IM</t>
        </is>
      </c>
      <c r="G52" s="2" t="inlineStr">
        <is>
          <t>Deferoxamine 500 mg SC</t>
        </is>
      </c>
      <c r="H52" s="2" t="inlineStr">
        <is>
          <t>Erythropoietin 4000 units SC</t>
        </is>
      </c>
      <c r="I52" s="8" t="inlineStr">
        <is>
          <t>1</t>
        </is>
      </c>
      <c r="J52" s="2"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ข้อนี้ไม่ใช่คำตอบที่ถูกต้องสำหรับภาวะ Anemia เนื่องจากกลไกการออกฤทธิ์, efficacy หรือข้อบ่งใช้ไม่ตรงกับโจทย์ที่กำหนด
• ข้อ ค. (Vitamin B12 1000 mcg IM): ข้อนี้ไม่ใช่คำตอบที่ถูกต้องสำหรับภาวะ Anemia เนื่องจากกลไกการออกฤทธิ์, efficacy หรือข้อบ่งใช้ไม่ตรงกับโจทย์ที่กำหนด
• ข้อ ง. (Deferoxamine 500 mg SC): ข้อนี้ไม่ใช่คำตอบที่ถูกต้องสำหรับภาวะ Anemia เนื่องจากกลไกการออกฤทธิ์, efficacy หรือข้อบ่งใช้ไม่ตรงกับโจทย์ที่กำหนด
• ข้อ จ. (Erythropoietin 4000 units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2" s="2" t="n"/>
      <c r="L52" s="2" t="inlineStr">
        <is>
          <t>Anemia</t>
        </is>
      </c>
      <c r="M52" s="2" t="inlineStr">
        <is>
          <t>Anemia</t>
        </is>
      </c>
      <c r="N52" s="2" t="inlineStr">
        <is>
          <t>PLE-CC1 ปี 2566 Day 1 ข้อ 4</t>
        </is>
      </c>
      <c r="O52" s="2" t="inlineStr">
        <is>
          <t>ข้อสอบจริง</t>
        </is>
      </c>
      <c r="P52" s="2" t="inlineStr">
        <is>
          <t>ปี 2566</t>
        </is>
      </c>
    </row>
    <row r="53" ht="13.2" customHeight="1" s="37">
      <c r="A53" s="8" t="inlineStr">
        <is>
          <t>52</t>
        </is>
      </c>
      <c r="B53" s="2" t="inlineStr">
        <is>
          <t>ขอใดคือกลไกของยา HCTZ</t>
        </is>
      </c>
      <c r="C53" s="2" t="n"/>
      <c r="D53" s="2" t="inlineStr">
        <is>
          <t>ยับยั้ง Na/K/2Cl ที่ loop of Henle</t>
        </is>
      </c>
      <c r="E53" s="2" t="inlineStr">
        <is>
          <t>ยับยั้งการดูดกลับ Na ที่ collecting duct</t>
        </is>
      </c>
      <c r="F53" s="2" t="inlineStr">
        <is>
          <t>ลดการดูดกลับ Na ที่ distal loop</t>
        </is>
      </c>
      <c r="G53" s="2" t="inlineStr">
        <is>
          <t>ยับยั้ง Na/Cl cotransporter</t>
        </is>
      </c>
      <c r="H53" s="2" t="inlineStr">
        <is>
          <t>ยับยั้ง Na/K exchanger กรณีศึกษา 3 MoA: inhibit Na-Cl symporter + distal convoluted tubule 'ใ;เ7มการ&lt;บออกของ Na &gt;บ Cl ผู#ป%วยชาย อายุ 64 ปh มารพ. ด#วยอาการปวดเค#นหน#าอกหลังจากเดินขึ้นบันได 1-2 ชั้นด#วยความเร็ว ตามปกติ อาการดีขึ้นหลังจากนั่งพัก 10 นาที มีโรคประจำตัวเปMน HTN, DM รักษาด#วยการควบคุมอาการ 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-แพทยçวินิจฉัยเปMน chronic coronary syndrome</t>
        </is>
      </c>
      <c r="I53" s="8" t="inlineStr">
        <is>
          <t>1</t>
        </is>
      </c>
      <c r="J53" s="2" t="inlineStr">
        <is>
          <t>✅ คำตอบที่ถูกต้อง: ข้อ ก. ยับยั้ง Na/K/2Cl ที่ loop of Henle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(ยับยั้ง Na/K/2Cl ที่ loop of Henle): ข้อนี้ไม่ใช่คำตอบที่ถูกต้องสำหรับภาวะ Anemia เนื่องจากกลไกการออกฤทธิ์, efficacy หรือข้อบ่งใช้ไม่ตรงกับโจทย์ที่กำหนด
• ข้อ ค. (ยับยั้งการดูดกลับ Na ที่ collecting duct): ข้อนี้ไม่ใช่คำตอบที่ถูกต้องสำหรับภาวะ Anemia เนื่องจากกลไกการออกฤทธิ์, efficacy หรือข้อบ่งใช้ไม่ตรงกับโจทย์ที่กำหนด
• ข้อ ง. (ลดการดูดกลับ Na ที่ distal loop): ข้อนี้ไม่ใช่คำตอบที่ถูกต้องสำหรับภาวะ Anemia เนื่องจากกลไกการออกฤทธิ์, efficacy หรือข้อบ่งใช้ไม่ตรงกับโจทย์ที่กำหนด
• ข้อ จ. (ยับยั้ง Na/Cl cotransporter):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3" s="2" t="n"/>
      <c r="L53" s="2" t="inlineStr">
        <is>
          <t>Anemia</t>
        </is>
      </c>
      <c r="M53" s="2" t="inlineStr">
        <is>
          <t>Anemia</t>
        </is>
      </c>
      <c r="N53" s="2" t="inlineStr">
        <is>
          <t>PLE_CC1_2565_Day1_Key ข้อ 5</t>
        </is>
      </c>
      <c r="O53" s="2" t="inlineStr">
        <is>
          <t>ข้อสอบจริง</t>
        </is>
      </c>
      <c r="P53" s="2" t="inlineStr">
        <is>
          <t>ปี 2565</t>
        </is>
      </c>
      <c r="Q53" s="2" t="n"/>
    </row>
    <row r="54" ht="13.2" customHeight="1" s="37">
      <c r="A54" s="8" t="inlineStr">
        <is>
          <t>53</t>
        </is>
      </c>
      <c r="B54" s="2" t="inlineStr">
        <is>
          <t>สารใดช-วยดูดซึมเหล็กดีที่สุด macrocytic anemia microcytic hypochromic anemia + occult blood positive → Iron deﬁciency anemia iron overload ใWใน CKD-related anemia (Z[วย \งไAเLน CKD) macrocytic anemia</t>
        </is>
      </c>
      <c r="C54" s="2" t="n"/>
      <c r="D54" s="2" t="inlineStr">
        <is>
          <t>B6</t>
        </is>
      </c>
      <c r="E54" s="2" t="inlineStr">
        <is>
          <t>vitamin c</t>
        </is>
      </c>
      <c r="F54" s="2" t="inlineStr">
        <is>
          <t>vitamin d</t>
        </is>
      </c>
      <c r="G54" s="2" t="inlineStr">
        <is>
          <t>Ca</t>
        </is>
      </c>
      <c r="H54" s="2" t="inlineStr">
        <is>
          <t>zinc</t>
        </is>
      </c>
      <c r="I54" s="8" t="inlineStr">
        <is>
          <t>1</t>
        </is>
      </c>
      <c r="J54" s="2" t="inlineStr">
        <is>
          <t>✅ คำตอบที่ถูกต้อง: ข้อ ก. B6
💡 Background:
ภาวะไตเสื่อม (CKD/AKI) ต้องระมัดระวังการปรับขนาดยาตาม renal function (eGFR/CrCl) และหลีกเลี่ยง nephrotoxic drugs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(B6): ข้อนี้ไม่ใช่คำตอบที่ถูกต้องสำหรับภาวะ Anemia เนื่องจากกลไกการออกฤทธิ์, efficacy หรือข้อบ่งใช้ไม่ตรงกับโจทย์ที่กำหนด
• ข้อ ค. (vitamin c): ข้อนี้ไม่ใช่คำตอบที่ถูกต้องสำหรับภาวะ Anemia เนื่องจากกลไกการออกฤทธิ์, efficacy หรือข้อบ่งใช้ไม่ตรงกับโจทย์ที่กำหนด
• ข้อ ง. (vitamin d): ข้อนี้ไม่ใช่คำตอบที่ถูกต้องสำหรับภาวะ Anemia เนื่องจากกลไกการออกฤทธิ์, efficacy หรือข้อบ่งใช้ไม่ตรงกับโจทย์ที่กำหนด
• ข้อ จ. (Ca): ข้อนี้ไม่ใช่คำตอบที่ถูกต้องสำหรับภาวะ Anemia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4" s="2" t="n"/>
      <c r="L54" s="2" t="inlineStr">
        <is>
          <t>Anemia</t>
        </is>
      </c>
      <c r="M54" s="2" t="inlineStr">
        <is>
          <t>Anemia</t>
        </is>
      </c>
      <c r="N54" s="2" t="inlineStr">
        <is>
          <t>PLE_CC1_2565_Day2_Key ข้อ 13</t>
        </is>
      </c>
      <c r="O54" s="2" t="inlineStr">
        <is>
          <t>ข้อสอบจริง</t>
        </is>
      </c>
      <c r="P54" s="2" t="inlineStr">
        <is>
          <t>ปี 2565</t>
        </is>
      </c>
      <c r="Q54" s="2" t="n"/>
    </row>
    <row r="55" ht="13.2" customHeight="1" s="37">
      <c r="A55" s="8" t="inlineStr">
        <is>
          <t>54</t>
        </is>
      </c>
      <c r="B55" s="2" t="inlineStr">
        <is>
          <t>ระยะเวลาการให$ยาที่จะเห็นผลรักษาได$เต็มที่ Vitamin C ]^ณสม`aเLนกรด SวยเปGยนสภาพธาeเหfกจากUป Ferric (Fe3+) Igดhมยาก ใEเLนUป Ferrous (Fe2+) IละลายiและgดhมIjไkเfกไJMlน mงแนะ/ใEทานยาธาeเหfกพnอมikมหoอpตาXนq</t>
        </is>
      </c>
      <c r="C55" s="2" t="n"/>
      <c r="D55" s="2" t="inlineStr">
        <is>
          <t>7 วัน</t>
        </is>
      </c>
      <c r="E55" s="2" t="inlineStr">
        <is>
          <t>14 วัน</t>
        </is>
      </c>
      <c r="F55" s="2" t="inlineStr">
        <is>
          <t>1 เดือน</t>
        </is>
      </c>
      <c r="G55" s="2" t="inlineStr">
        <is>
          <t>3 เดือน</t>
        </is>
      </c>
      <c r="H55" s="2" t="inlineStr">
        <is>
          <t>1 ปç</t>
        </is>
      </c>
      <c r="I55" s="8" t="inlineStr">
        <is>
          <t>1</t>
        </is>
      </c>
      <c r="J55" s="2" t="inlineStr">
        <is>
          <t>✅ คำตอบที่ถูกต้อง: ข้อ ก. 7 วัน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(7 วัน): ข้อนี้ไม่ใช่คำตอบที่ถูกต้องสำหรับภาวะ Anemia เนื่องจากกลไกการออกฤทธิ์, efficacy หรือข้อบ่งใช้ไม่ตรงกับโจทย์ที่กำหนด
• ข้อ ค. (14 วัน): ข้อนี้ไม่ใช่คำตอบที่ถูกต้องสำหรับภาวะ Anemia เนื่องจากกลไกการออกฤทธิ์, efficacy หรือข้อบ่งใช้ไม่ตรงกับโจทย์ที่กำหนด
• ข้อ ง. (1 เดือน): ข้อนี้ไม่ใช่คำตอบที่ถูกต้องสำหรับภาวะ Anemia เนื่องจากกลไกการออกฤทธิ์, efficacy หรือข้อบ่งใช้ไม่ตรงกับโจทย์ที่กำหนด
• ข้อ จ. (3 เดือน):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5" s="2" t="n"/>
      <c r="L55" s="2" t="inlineStr">
        <is>
          <t>Anemia</t>
        </is>
      </c>
      <c r="M55" s="2" t="inlineStr">
        <is>
          <t>Anemia</t>
        </is>
      </c>
      <c r="N55" s="2" t="inlineStr">
        <is>
          <t>PLE_CC1_2565_Day2_Key ข้อ 14</t>
        </is>
      </c>
      <c r="O55" s="2" t="inlineStr">
        <is>
          <t>ข้อสอบจริง</t>
        </is>
      </c>
      <c r="P55" s="2" t="inlineStr">
        <is>
          <t>ปี 2565</t>
        </is>
      </c>
      <c r="Q55" s="2" t="n"/>
    </row>
    <row r="56" ht="13.2" customHeight="1" s="37">
      <c r="A56" s="8" t="inlineStr">
        <is>
          <t>55</t>
        </is>
      </c>
      <c r="B56" s="2" t="inlineStr">
        <is>
          <t>เปQน Anemia จำได$แค- Hct 20% ถามว-าให$อะไร Hb จะเrมlนใน 2–3 sปดาt แYuองใE iron Yอvก ≈3 เxอน → เyอ replenish iron stores (ferritin) ! zาห{ดเ|ว → Hb MlนแY iron store \งไAเ}ม → relapse PLE-CC1 Preparation 2565</t>
        </is>
      </c>
      <c r="C56" s="2" t="n"/>
      <c r="D56" s="2" t="inlineStr">
        <is>
          <t>vitB12 IV</t>
        </is>
      </c>
      <c r="E56" s="2" t="inlineStr">
        <is>
          <t>VitB12 PO</t>
        </is>
      </c>
      <c r="F56" s="2" t="inlineStr">
        <is>
          <t>จำ choice ไม-ได$</t>
        </is>
      </c>
      <c r="G56" s="2" t="inlineStr">
        <is>
          <t>จำ choice ไม-ได$</t>
        </is>
      </c>
      <c r="H56" s="2" t="inlineStr">
        <is>
          <t>* จำ choice ไม-ได$ * กรณีศึกษา 4 ให$ค-า Lab มา K=5.5, Ca =10.5 (ค-าปกติ 8.5-10.5) , PO4 = สูงกว-าค-าปกติ</t>
        </is>
      </c>
      <c r="I56" s="8" t="inlineStr">
        <is>
          <t>1</t>
        </is>
      </c>
      <c r="J56" s="2" t="inlineStr">
        <is>
          <t>✅ คำตอบที่ถูกต้อง: ข้อ ก. vitB12 IV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(vitB12 IV): ข้อนี้ไม่ใช่คำตอบที่ถูกต้องสำหรับภาวะ Anemia เนื่องจากกลไกการออกฤทธิ์, efficacy หรือข้อบ่งใช้ไม่ตรงกับโจทย์ที่กำหนด
• ข้อ ค. (VitB12 PO): ข้อนี้ไม่ใช่คำตอบที่ถูกต้องสำหรับภาวะ Anemia เนื่องจากกลไกการออกฤทธิ์, efficacy หรือข้อบ่งใช้ไม่ตรงกับโจทย์ที่กำหนด
• ข้อ ง. (จำ choice ไม-ได$): ข้อนี้ไม่ใช่คำตอบที่ถูกต้องสำหรับภาวะ Anemia เนื่องจากกลไกการออกฤทธิ์, efficacy หรือข้อบ่งใช้ไม่ตรงกับโจทย์ที่กำหนด
• ข้อ จ. (จำ choice ไม-ได$):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6" s="2" t="n"/>
      <c r="L56" s="2" t="inlineStr">
        <is>
          <t>Anemia</t>
        </is>
      </c>
      <c r="M56" s="2" t="inlineStr">
        <is>
          <t>Anemia</t>
        </is>
      </c>
      <c r="N56" s="2" t="inlineStr">
        <is>
          <t>PLE_CC1_2565_Day2_Key ข้อ 15</t>
        </is>
      </c>
      <c r="O56" s="2" t="inlineStr">
        <is>
          <t>ข้อสอบจริง</t>
        </is>
      </c>
      <c r="P56" s="2" t="inlineStr">
        <is>
          <t>ปี 2565</t>
        </is>
      </c>
      <c r="Q56" s="2" t="n"/>
    </row>
    <row r="57" ht="13.2" customHeight="1" s="37">
      <c r="A57" s="8" t="inlineStr">
        <is>
          <t>56</t>
        </is>
      </c>
      <c r="B57" s="2" t="inlineStr">
        <is>
          <t>Anemia (Ferrous def, B12 def)</t>
        </is>
      </c>
      <c r="C57" s="2" t="n"/>
      <c r="D57" s="2" t="inlineStr">
        <is>
          <t>Anemia</t>
        </is>
      </c>
      <c r="E57" s="2" t="inlineStr">
        <is>
          <t>Vitamin C 500 mg OD</t>
        </is>
      </c>
      <c r="F57" s="2" t="inlineStr">
        <is>
          <t>Pyridoxine 50 mg OD</t>
        </is>
      </c>
      <c r="G57" s="2" t="inlineStr">
        <is>
          <t>Hydroxyurea 500 mg OD</t>
        </is>
      </c>
      <c r="H57" s="2" t="inlineStr">
        <is>
          <t>Blood transfusion (Packed Red Cells)</t>
        </is>
      </c>
      <c r="I57" s="8" t="inlineStr">
        <is>
          <t>1</t>
        </is>
      </c>
      <c r="J57" s="2"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ข้อนี้ไม่ใช่คำตอบที่ถูกต้องสำหรับภาวะ Anemia เนื่องจากกลไกการออกฤทธิ์, efficacy หรือข้อบ่งใช้ไม่ตรงกับโจทย์ที่กำหนด
• ข้อ ค. (Pyridoxine 50 mg OD): ข้อนี้ไม่ใช่คำตอบที่ถูกต้องสำหรับภาวะ Anemia เนื่องจากกลไกการออกฤทธิ์, efficacy หรือข้อบ่งใช้ไม่ตรงกับโจทย์ที่กำหนด
• ข้อ ง. (Hydroxyurea 500 mg OD): ข้อนี้ไม่ใช่คำตอบที่ถูกต้องสำหรับภาวะ Anemia เนื่องจากกลไกการออกฤทธิ์, efficacy หรือข้อบ่งใช้ไม่ตรงกับโจทย์ที่กำหนด
• ข้อ จ. (Blood transfusion (Packed Red Cells)):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7" s="2" t="n"/>
      <c r="L57" s="2" t="inlineStr">
        <is>
          <t>Anemia</t>
        </is>
      </c>
      <c r="M57" s="2" t="inlineStr">
        <is>
          <t>Anemia</t>
        </is>
      </c>
      <c r="N57" s="2" t="inlineStr">
        <is>
          <t>PLE_CC1_2565_Day2_Key ข้อ 3</t>
        </is>
      </c>
      <c r="O57" s="2" t="inlineStr">
        <is>
          <t>ข้อสอบจริง</t>
        </is>
      </c>
      <c r="P57" s="2" t="inlineStr">
        <is>
          <t>ปี 2565</t>
        </is>
      </c>
    </row>
    <row r="58" ht="13.2" customHeight="1" s="37">
      <c r="A58" s="8" t="inlineStr">
        <is>
          <t>57</t>
        </is>
      </c>
      <c r="B58" s="2" t="inlineStr">
        <is>
          <t>เป้าหมาย Hb ในการรักษาโลหิตจางของผู้หญิง</t>
        </is>
      </c>
      <c r="C58" s="2" t="n"/>
      <c r="D58" s="2" t="inlineStr">
        <is>
          <t>Anemia</t>
        </is>
      </c>
      <c r="E58" s="2" t="inlineStr">
        <is>
          <t>12-16 mg/dL</t>
        </is>
      </c>
      <c r="F58" s="2" t="inlineStr">
        <is>
          <t>13-17 mg/dL</t>
        </is>
      </c>
      <c r="G58" s="2" t="inlineStr">
        <is>
          <t>Folic acid 5 mg OD</t>
        </is>
      </c>
      <c r="H58" s="2" t="inlineStr">
        <is>
          <t>Vitamin B12 1000 mcg IM</t>
        </is>
      </c>
      <c r="I58" s="8" t="inlineStr">
        <is>
          <t>1</t>
        </is>
      </c>
      <c r="J58" s="2" t="inlineStr">
        <is>
          <t>✅ คำตอบที่ถูกต้อง: ข้อ ก. Anemia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(12-16 mg/dL): ข้อนี้ไม่ใช่คำตอบที่ถูกต้องสำหรับภาวะ Anemia เนื่องจากกลไกการออกฤทธิ์, efficacy หรือข้อบ่งใช้ไม่ตรงกับโจทย์ที่กำหนด
• ข้อ ค. (13-17 mg/dL): ข้อนี้ไม่ใช่คำตอบที่ถูกต้องสำหรับภาวะ Anemia เนื่องจากกลไกการออกฤทธิ์, efficacy หรือข้อบ่งใช้ไม่ตรงกับโจทย์ที่กำหนด
• ข้อ ง. (Folic acid 5 mg OD): ข้อนี้ไม่ใช่คำตอบที่ถูกต้องสำหรับภาวะ Anemia เนื่องจากกลไกการออกฤทธิ์, efficacy หรือข้อบ่งใช้ไม่ตรงกับโจทย์ที่กำหนด
• ข้อ จ. (Vitamin B12 1000 mcg IM):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8" s="2" t="n"/>
      <c r="L58" s="2" t="inlineStr">
        <is>
          <t>Anemia</t>
        </is>
      </c>
      <c r="M58" s="2" t="inlineStr">
        <is>
          <t>Anemia</t>
        </is>
      </c>
      <c r="N58" s="2" t="inlineStr">
        <is>
          <t>PLE_CC1_2564_All_Key ข้อ 45</t>
        </is>
      </c>
      <c r="O58" s="2" t="inlineStr">
        <is>
          <t>ข้อสอบจริง</t>
        </is>
      </c>
      <c r="P58" s="2" t="inlineStr">
        <is>
          <t>ปี 2564</t>
        </is>
      </c>
    </row>
    <row r="59" ht="13.2" customHeight="1" s="37">
      <c r="A59" s="8" t="inlineStr">
        <is>
          <t>58</t>
        </is>
      </c>
      <c r="B59" s="2" t="inlineStr">
        <is>
          <t>ชายอายุ 50 ปี มารพ. ด้วยอาการแสบร้อนหน้าอก ( heartburn) ร่วมกับมีอาการเรอเปรี้ยว มักมีอาการหลังรับประทานอาหารเสร็จ โดยมีอาการดังกล่าวมาแล้วประมาณ 2 สัปดาห์ HPI: 1 เดือนก่อนหน้านี้ มีอาการปวดแสบท้องเนื่องจากทานอาหารไม่ตรงเวลา PMH: โรคโลหิตจาง ปัจจุบันรับประทานยาบำรุงโลหิต ferrous sulfate (เพื่อนอีกคนบอก ferrous fumarate) 1x3 pc SH: สูบบุหรี่วันละ 1 ซอง, ดื่มแอลกอฮอล์ประจำ 5 ปี ALL: metronidazole (anaphylaxis) ผู้ป่วยควรได้รับยาใดเป็นอันดับแรก</t>
        </is>
      </c>
      <c r="C59" s="2" t="n"/>
      <c r="D59" s="2" t="inlineStr">
        <is>
          <t>Antacid</t>
        </is>
      </c>
      <c r="E59" s="2" t="inlineStr">
        <is>
          <t>prokinetic drug</t>
        </is>
      </c>
      <c r="F59" s="2" t="inlineStr">
        <is>
          <t>H2-receptor antagonists</t>
        </is>
      </c>
      <c r="G59" s="2" t="inlineStr">
        <is>
          <t>Proton pump inhibitors</t>
        </is>
      </c>
      <c r="H59" s="2" t="inlineStr">
        <is>
          <t>H2-receptor antagonists ร่วมกับ Prokinetic drugs</t>
        </is>
      </c>
      <c r="I59" s="8" t="inlineStr">
        <is>
          <t>1</t>
        </is>
      </c>
      <c r="J59" s="2" t="inlineStr">
        <is>
          <t>✅ คำตอบที่ถูกต้อง: ข้อ ก. Antacid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Anemia เป็นอาการของกรดไหลย้อน อ้างอิงจากตารางสรุปอาการในชีทสอน อจ ธีรัตน์ เรื่อง acid-peptic disease ตอนปี 4 เทอม 1 สัปดาห์มี efficacy ในการควบคุมอาการจากกรดไหลย้อน เหนือกว่ายา histamine2-receptor antagonists (H2RA) และ ..............................................................................................................................................................................................................
🔍 ข้ออื่นผิดเพราะอะไร:
• ข้อ ข. (Antacid): ข้อนี้ไม่ใช่คำตอบที่ถูกต้องสำหรับภาวะ Anemia เนื่องจากกลไกการออกฤทธิ์, efficacy หรือข้อบ่งใช้ไม่ตรงกับโจทย์ที่กำหนด
• ข้อ ค. (prokinetic drug): ข้อนี้ไม่ใช่คำตอบที่ถูกต้องสำหรับภาวะ Anemia เนื่องจากกลไกการออกฤทธิ์, efficacy หรือข้อบ่งใช้ไม่ตรงกับโจทย์ที่กำหนด
• ข้อ ง. (H2-receptor antagonists): ข้อนี้ไม่ใช่คำตอบที่ถูกต้องสำหรับภาวะ Anemia เนื่องจากกลไกการออกฤทธิ์, efficacy หรือข้อบ่งใช้ไม่ตรงกับโจทย์ที่กำหนด
• ข้อ จ. (Proton pump inhibitors):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59" s="2" t="n"/>
      <c r="L59" s="2" t="inlineStr">
        <is>
          <t>Anemia</t>
        </is>
      </c>
      <c r="M59" s="2" t="inlineStr">
        <is>
          <t>Anemia</t>
        </is>
      </c>
      <c r="N59" s="2" t="inlineStr">
        <is>
          <t>PLE_CC1_2564_All_Key ข้อ 104</t>
        </is>
      </c>
      <c r="O59" s="2" t="inlineStr">
        <is>
          <t>ข้อสอบจริง</t>
        </is>
      </c>
      <c r="P59" s="2" t="inlineStr">
        <is>
          <t>ปี 2564</t>
        </is>
      </c>
      <c r="Q59" s="2" t="n"/>
    </row>
    <row r="60" ht="13.2" customHeight="1" s="37">
      <c r="A60" s="8" t="inlineStr">
        <is>
          <t>58</t>
        </is>
      </c>
      <c r="B60" s="2" t="inlineStr">
        <is>
          <t>คู่ยาใดที่เกิด DI ที่มีความสำคัญทางคลินิกมากสุด X -sim X x high high - Ator ~ X i -environ myopathy 12 X rhabdo 289 M . G72 X</t>
        </is>
      </c>
      <c r="C60" s="2" t="n"/>
      <c r="D60" s="2" t="inlineStr">
        <is>
          <t>Simvastatin + gemfibrozil</t>
        </is>
      </c>
      <c r="E60" s="2" t="inlineStr">
        <is>
          <t>Omeprazole + clopidrogrel</t>
        </is>
      </c>
      <c r="F60" s="2" t="inlineStr">
        <is>
          <t>Clopidrogrel + aspirin</t>
        </is>
      </c>
      <c r="G60" s="2" t="inlineStr">
        <is>
          <t>Simvastatin + amlodipine</t>
        </is>
      </c>
      <c r="H60" s="2" t="inlineStr">
        <is>
          <t>Aspirin + clopidrogrel</t>
        </is>
      </c>
      <c r="I60" s="8" t="inlineStr">
        <is>
          <t>1</t>
        </is>
      </c>
      <c r="J60" s="2" t="inlineStr">
        <is>
          <t>✅ คำตอบที่ถูกต้อง: ข้อ ก. Simvastatin + gemfibrozil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Simvastatin + gemfibrozil การเลือก Simvastatin + gemfibrozil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(Omeprazole + clopidrogrel):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(Clopidrogrel + aspirin): เป็น irreversible COX-1 inhibitor ยับยั้ง Thromboxane A2 เป็นแกนหลักใน antiplatelet secondary prevention ของ CVD (ขนาดยา 75-100 mg/day)
• ข้อ ง. (Simvastatin +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(Aspirin + clopidrogrel): เป็น irreversible COX-1 inhibitor ยับยั้ง Thromboxane A2 เป็นแกนหลักใน antiplatelet secondary prevention ของ CVD (ขนาดยา 75-100 mg/day)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0" s="2" t="n"/>
      <c r="L60" s="2" t="inlineStr">
        <is>
          <t>Anemia</t>
        </is>
      </c>
      <c r="M60" s="2" t="inlineStr">
        <is>
          <t>Clinic</t>
        </is>
      </c>
      <c r="N60" s="2" t="inlineStr">
        <is>
          <t>ข้อ 68 (PLE_CC1_2562_Key.md)</t>
        </is>
      </c>
      <c r="O60" s="2" t="inlineStr">
        <is>
          <t>ข้อสอบจริง</t>
        </is>
      </c>
      <c r="P60" s="2" t="inlineStr">
        <is>
          <t>ปี 2562</t>
        </is>
      </c>
    </row>
    <row r="61" ht="13.2" customHeight="1" s="37">
      <c r="A61" s="8" t="inlineStr">
        <is>
          <t>59</t>
        </is>
      </c>
      <c r="B61" s="2" t="inlineStr">
        <is>
          <t>ผูป%วยรายนี้น!าจะเกิดภาวะโลหิตจางจากสาเหตุใด</t>
        </is>
      </c>
      <c r="C61" s="2" t="n"/>
      <c r="D61" s="2" t="inlineStr">
        <is>
          <t>โรคเรื้อรัง</t>
        </is>
      </c>
      <c r="E61" s="2" t="inlineStr">
        <is>
          <t>ขาดโฟเลต</t>
        </is>
      </c>
      <c r="F61" s="2" t="inlineStr">
        <is>
          <t>ขาดธาตุเหล็ก</t>
        </is>
      </c>
      <c r="G61" s="2" t="inlineStr">
        <is>
          <t>ขาดวิตามินบี 12</t>
        </is>
      </c>
      <c r="H61" s="2" t="inlineStr">
        <is>
          <t>เม็ดเลือดแดงแตก</t>
        </is>
      </c>
      <c r="I61" s="8" t="inlineStr">
        <is>
          <t>1</t>
        </is>
      </c>
      <c r="J61" s="2" t="inlineStr">
        <is>
          <t>✅ คำตอบที่ถูกต้อง: ข้อ ก. โรคเรื้อรัง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โรคเรื้อรัง การเลือก โรคเรื้อรัง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(ขาดโฟเลต): ข้อนี้ไม่ใช่คำตอบที่ถูกต้องสำหรับภาวะ Anemia เนื่องจากกลไกการออกฤทธิ์, efficacy หรือข้อบ่งใช้ไม่ตรงกับโจทย์ที่กำหนด
• ข้อ ค. (ขาดธาตุเหล็ก): ข้อนี้ไม่ใช่คำตอบที่ถูกต้องสำหรับภาวะ Anemia เนื่องจากกลไกการออกฤทธิ์, efficacy หรือข้อบ่งใช้ไม่ตรงกับโจทย์ที่กำหนด
• ข้อ ง. (ขาดวิตามินบี 12): ข้อนี้ไม่ใช่คำตอบที่ถูกต้องสำหรับภาวะ Anemia เนื่องจากกลไกการออกฤทธิ์, efficacy หรือข้อบ่งใช้ไม่ตรงกับโจทย์ที่กำหนด
• ข้อ จ. (เม็ดเลือดแดงแตก):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1" s="2" t="n"/>
      <c r="L61" s="2" t="inlineStr">
        <is>
          <t>Anemia</t>
        </is>
      </c>
      <c r="M61" s="2" t="inlineStr">
        <is>
          <t>Clinic</t>
        </is>
      </c>
      <c r="N61" s="2" t="inlineStr">
        <is>
          <t>ข้อ 12 (PLE_CC1_2561_Key.md)</t>
        </is>
      </c>
      <c r="O61" s="2" t="inlineStr">
        <is>
          <t>ข้อสอบจริง</t>
        </is>
      </c>
      <c r="P61" s="2" t="inlineStr">
        <is>
          <t>ปี 2561</t>
        </is>
      </c>
    </row>
    <row r="62" ht="13.2" customHeight="1" s="37">
      <c r="A62" s="8" t="inlineStr">
        <is>
          <t>60</t>
        </is>
      </c>
      <c r="B62" s="2" t="inlineStr">
        <is>
          <t>ขอใดคือคำแนะนำในการรับประทานยา ferrous sulfate</t>
        </is>
      </c>
      <c r="C62" s="2" t="n"/>
      <c r="D62" s="2" t="inlineStr">
        <is>
          <t>ยาทำใหปtสสาวะสีเหลืองเขม</t>
        </is>
      </c>
      <c r="E62" s="2" t="inlineStr">
        <is>
          <t>หามรับประทานร!วมกับน้ำผลไม</t>
        </is>
      </c>
      <c r="F62" s="2" t="inlineStr">
        <is>
          <t>หากถ!ายดำไม!ตองตกใจ เปEนเพราะตัวยา</t>
        </is>
      </c>
      <c r="G62" s="2" t="inlineStr">
        <is>
          <t>รับประทานพรอมกับนมช!วยเพิ่มการดูดซึม</t>
        </is>
      </c>
      <c r="H62" s="2" t="inlineStr">
        <is>
          <t>รับประทานพรอมกับอาหารจะเพิ่มการดูดซึม t</t>
        </is>
      </c>
      <c r="I62" s="8" t="inlineStr">
        <is>
          <t>1</t>
        </is>
      </c>
      <c r="J62" s="2" t="inlineStr">
        <is>
          <t>✅ คำตอบที่ถูกต้อง: ข้อ ก. ยาทำใหปtสสาวะสีเหลืองเขม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ยาทำใหปtสสาวะสีเหลืองเขม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การเลือก ยาทำใหป t สสาวะสีเหลืองเขม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(หามรับประทานร!วมกับน้ำผลไม): ข้อนี้ไม่ใช่คำตอบที่ถูกต้องสำหรับภาวะ Anemia เนื่องจากกลไกการออกฤทธิ์, efficacy หรือข้อบ่งใช้ไม่ตรงกับโจทย์ที่กำหนด
• ข้อ ค. (หากถ!ายดำไม!ตองตกใจ เปEนเพราะตัวยา): ข้อนี้ไม่ใช่คำตอบที่ถูกต้องสำหรับภาวะ Anemia เนื่องจากกลไกการออกฤทธิ์, efficacy หรือข้อบ่งใช้ไม่ตรงกับโจทย์ที่กำหนด
• ข้อ ง. (รับประทานพรอมกับนมช!วยเพิ่มการดูดซึม): ข้อนี้ไม่ใช่คำตอบที่ถูกต้องสำหรับภาวะ Anemia เนื่องจากกลไกการออกฤทธิ์, efficacy หรือข้อบ่งใช้ไม่ตรงกับโจทย์ที่กำหนด
• ข้อ จ. (รับประทานพรอมกับอาหารจะเพิ่มการดูดซึม t):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2" s="2" t="n"/>
      <c r="L62" s="2" t="inlineStr">
        <is>
          <t>Anemia</t>
        </is>
      </c>
      <c r="M62" s="2" t="inlineStr">
        <is>
          <t>Clinic</t>
        </is>
      </c>
      <c r="N62" s="2" t="inlineStr">
        <is>
          <t>ข้อ 15 (PLE_CC1_2561_Key.md)</t>
        </is>
      </c>
      <c r="O62" s="2" t="inlineStr">
        <is>
          <t>ข้อสอบจริง</t>
        </is>
      </c>
      <c r="P62" s="2" t="inlineStr">
        <is>
          <t>ปี 2561</t>
        </is>
      </c>
    </row>
    <row r="63" ht="13.2" customHeight="1" s="37">
      <c r="A63" s="8" t="inlineStr">
        <is>
          <t>61</t>
        </is>
      </c>
      <c r="B63" s="2" t="inlineStr">
        <is>
          <t>ขอใดคือผลขางเคียงจากยา ferrous sulfate</t>
        </is>
      </c>
      <c r="C63" s="2" t="n"/>
      <c r="D63" s="2" t="inlineStr">
        <is>
          <t>Diarrhea</t>
        </is>
      </c>
      <c r="E63" s="2" t="inlineStr">
        <is>
          <t>Headache</t>
        </is>
      </c>
      <c r="F63" s="2" t="inlineStr">
        <is>
          <t>Tachycardia</t>
        </is>
      </c>
      <c r="G63" s="2" t="inlineStr">
        <is>
          <t>Constipation</t>
        </is>
      </c>
      <c r="H63" s="2" t="inlineStr">
        <is>
          <t>Hypokalemia</t>
        </is>
      </c>
      <c r="I63" s="8" t="inlineStr">
        <is>
          <t>1</t>
        </is>
      </c>
      <c r="J63" s="2" t="inlineStr">
        <is>
          <t>✅ คำตอบที่ถูกต้อง: ข้อ ก. Diarrhea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Diarrhea การเลือก Diarrhea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(Headache): ข้อนี้ไม่ใช่คำตอบที่ถูกต้องสำหรับภาวะ Anemia เนื่องจากกลไกการออกฤทธิ์, efficacy หรือข้อบ่งใช้ไม่ตรงกับโจทย์ที่กำหนด
• ข้อ ค. (Tachycardia): ข้อนี้ไม่ใช่คำตอบที่ถูกต้องสำหรับภาวะ Anemia เนื่องจากกลไกการออกฤทธิ์, efficacy หรือข้อบ่งใช้ไม่ตรงกับโจทย์ที่กำหนด
• ข้อ ง. (Constipation): ข้อนี้ไม่ใช่คำตอบที่ถูกต้องสำหรับภาวะ Anemia เนื่องจากกลไกการออกฤทธิ์, efficacy หรือข้อบ่งใช้ไม่ตรงกับโจทย์ที่กำหนด
• ข้อ จ. (Hypokalemia):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3" s="2" t="n"/>
      <c r="L63" s="2" t="inlineStr">
        <is>
          <t>Anemia</t>
        </is>
      </c>
      <c r="M63" s="2" t="inlineStr">
        <is>
          <t>Clinic</t>
        </is>
      </c>
      <c r="N63" s="2" t="inlineStr">
        <is>
          <t>ข้อ 14 (PLE_CC1_2561_Key.md)</t>
        </is>
      </c>
      <c r="O63" s="2" t="inlineStr">
        <is>
          <t>ข้อสอบจริง</t>
        </is>
      </c>
      <c r="P63" s="2" t="inlineStr">
        <is>
          <t>ปี 2561</t>
        </is>
      </c>
    </row>
    <row r="64" ht="13.2" customHeight="1" s="37">
      <c r="A64" s="8" t="inlineStr">
        <is>
          <t>62</t>
        </is>
      </c>
      <c r="B64" s="2" t="inlineStr">
        <is>
          <t>ส!วนประกอบของสูตรเคลือบฟuลTมของยา ferrous sulfate ขอใด ถูกตอง</t>
        </is>
      </c>
      <c r="C64" s="2" t="n"/>
      <c r="D64" s="2" t="inlineStr">
        <is>
          <t>Talcum ทำหนาที่เปEนสารก!อฟuลTม</t>
        </is>
      </c>
      <c r="E64" s="2" t="inlineStr">
        <is>
          <t>Ethyl alcohol ทำหนาที่เปEน antioxidant</t>
        </is>
      </c>
      <c r="F64" s="2" t="inlineStr">
        <is>
          <t>Propylene glycol ทำหนาที่เปEน plasticizer</t>
        </is>
      </c>
      <c r="G64" s="2" t="inlineStr">
        <is>
          <t>Titanium dioxide ทำหนาที่เปEน สารก!อฟuลTม</t>
        </is>
      </c>
      <c r="H64" s="2" t="inlineStr">
        <is>
          <t>Hydroxymethylpropyl cellulose ทำหนาที่เปEนสารทึบ แสง</t>
        </is>
      </c>
      <c r="I64" s="8" t="inlineStr">
        <is>
          <t>1</t>
        </is>
      </c>
      <c r="J64" s="2" t="inlineStr">
        <is>
          <t>✅ คำตอบที่ถูกต้อง: ข้อ ก. Talcum ทำหนาที่เปEนสารก!อฟuลTม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Talcum ทำหนาที่เปEนสารก!อฟuลTม Talcum ทำหนาที่เป E นสารก!อฟ u ล T ม Talcum ทำหนาที่เป E นสารก!อฟ u ล T ม Talcum ทำหนาที่เป E นสารก!อฟ u ล T ม Talcum ทำหนาที่เป E นสารก!อฟ u ล T ม Talcum ทำหนาที่เป E นสารก!อฟ u ล T ม การเลือก Talcum ทำหนาที่เป E นสารก!อฟ u ล T ม เป็นคำตอบที่ถูกต้องตามแนวทางการรักษามาตรฐาน เนื่องจาก เป็น Glidant และ Lubricant เสริม แต่มีคุณสมบัติ hydrophobic ต้องควบคุมปริมาณให้เหมาะสม (มักใช้ 1-5%)
🔍 ข้ออื่นผิดเพราะอะไร:
• ข้อ ข. (Ethyl alcohol ทำหนาที่เปEน antioxidant): ข้อนี้ไม่ใช่คำตอบที่ถูกต้องสำหรับภาวะ Anemia เนื่องจากกลไกการออกฤทธิ์, efficacy หรือข้อบ่งใช้ไม่ตรงกับโจทย์ที่กำหนด
• ข้อ ค. (Propylene glycol ทำหนาที่เปEน plasticizer): ข้อนี้ไม่ใช่คำตอบที่ถูกต้องสำหรับภาวะ Anemia เนื่องจากกลไกการออกฤทธิ์, efficacy หรือข้อบ่งใช้ไม่ตรงกับโจทย์ที่กำหนด
• ข้อ ง. (Titanium dioxide ทำหนาที่เปEน สารก!อฟuลTม): ข้อนี้ไม่ใช่คำตอบที่ถูกต้องสำหรับภาวะ Anemia เนื่องจากกลไกการออกฤทธิ์, efficacy หรือข้อบ่งใช้ไม่ตรงกับโจทย์ที่กำหนด
• ข้อ จ. (Hydroxymethylpropyl cellulose ทำหนาที่เปEนสารทึบ แสง):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4" s="2" t="n"/>
      <c r="L64" s="2" t="inlineStr">
        <is>
          <t>Anemia</t>
        </is>
      </c>
      <c r="M64" s="2" t="inlineStr">
        <is>
          <t>Clinic</t>
        </is>
      </c>
      <c r="N64" s="2" t="inlineStr">
        <is>
          <t>ข้อ 16 (PLE_CC1_2561_Key.md)</t>
        </is>
      </c>
      <c r="O64" s="2" t="inlineStr">
        <is>
          <t>ข้อสอบจริง</t>
        </is>
      </c>
      <c r="P64" s="2" t="inlineStr">
        <is>
          <t>ปี 2561</t>
        </is>
      </c>
    </row>
    <row r="65" ht="13.2" customHeight="1" s="37">
      <c r="A65" s="8" t="inlineStr">
        <is>
          <t>63</t>
        </is>
      </c>
      <c r="B65" s="2" t="inlineStr">
        <is>
          <t>การสังเคราะห์ HCTZ จงระบุว่า A คือข้อใด</t>
        </is>
      </c>
      <c r="C65" s="2" t="n"/>
      <c r="D65" s="2" t="inlineStr">
        <is>
          <t>H-CO-H</t>
        </is>
      </c>
      <c r="E65" s="2" t="inlineStr">
        <is>
          <t>H-CO-OH</t>
        </is>
      </c>
      <c r="F65" s="2" t="inlineStr">
        <is>
          <t>Cl-C-Cl</t>
        </is>
      </c>
      <c r="G65" s="2" t="inlineStr">
        <is>
          <t>C-CO-H 18 MCQ11 2/2560 By CU Rx73 MCQ11 2/2560 By CU Rx73</t>
        </is>
      </c>
      <c r="H65" s="2" t="inlineStr">
        <is>
          <t>Deferoxamine 500 mg SC</t>
        </is>
      </c>
      <c r="I65" s="8" t="inlineStr">
        <is>
          <t>1</t>
        </is>
      </c>
      <c r="J65" s="2" t="inlineStr">
        <is>
          <t>✅ คำตอบที่ถูกต้อง: ข้อ ก. H-CO-H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H-CO-H การเลือก H-CO-H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(H-CO-OH): ข้อนี้ไม่ใช่คำตอบที่ถูกต้องสำหรับภาวะ Anemia เนื่องจากกลไกการออกฤทธิ์, efficacy หรือข้อบ่งใช้ไม่ตรงกับโจทย์ที่กำหนด
• ข้อ ค. (Cl-C-Cl): ข้อนี้ไม่ใช่คำตอบที่ถูกต้องสำหรับภาวะ Anemia เนื่องจากกลไกการออกฤทธิ์, efficacy หรือข้อบ่งใช้ไม่ตรงกับโจทย์ที่กำหนด
• ข้อ ง. (C-CO-H 18 MCQ11 2/2560 By CU Rx73 MCQ11 2/2560 By CU Rx73): ข้อนี้ไม่ใช่คำตอบที่ถูกต้องสำหรับภาวะ Anemia เนื่องจากกลไกการออกฤทธิ์, efficacy หรือข้อบ่งใช้ไม่ตรงกับโจทย์ที่กำหนด
• ข้อ จ. (Deferoxamine 500 mg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5" s="2" t="n"/>
      <c r="L65" s="2" t="inlineStr">
        <is>
          <t>Anemia</t>
        </is>
      </c>
      <c r="M65" s="2" t="inlineStr">
        <is>
          <t>Clinic</t>
        </is>
      </c>
      <c r="N65" s="2" t="inlineStr">
        <is>
          <t>ข้อ 7 (PLE_CC1_2560 22 April Set 2.md)</t>
        </is>
      </c>
      <c r="O65" s="2" t="inlineStr">
        <is>
          <t>ข้อสอบจริง</t>
        </is>
      </c>
      <c r="P65" s="2" t="inlineStr">
        <is>
          <t>ปี 2560</t>
        </is>
      </c>
    </row>
    <row r="66" ht="13.2" customHeight="1" s="37">
      <c r="A66" s="8" t="inlineStr">
        <is>
          <t>64</t>
        </is>
      </c>
      <c r="B66" s="2" t="inlineStr">
        <is>
          <t>ข้อใดถูกเกี่ยวกับโครงสร้างยา spironolactone กับ canrenone ---------------------------→</t>
        </is>
      </c>
      <c r="C66" s="2" t="n"/>
      <c r="D66" s="2" t="inlineStr">
        <is>
          <t>ตัวยาออกฤทธิ์โดยจับกับ receptor ภายนอกของ Henle loop</t>
        </is>
      </c>
      <c r="E66" s="2" t="inlineStr">
        <is>
          <t>ถ้า lactone ring เปิดออก จะได้สารที่ มีฤทธิ์</t>
        </is>
      </c>
      <c r="F66" s="2" t="inlineStr">
        <is>
          <t>Canrenone เป็น inactive metabolite</t>
        </is>
      </c>
      <c r="G66" s="2" t="inlineStr">
        <is>
          <t>Spironolactone มีความเป็น lipophilic ต่ำกว่า canrenone</t>
        </is>
      </c>
      <c r="H66" s="2" t="inlineStr">
        <is>
          <t>Spironolactone มีฤทธิ์น้อยกว่า canrenone ห้ามนำไปทำซ้ำทุกกรณี เว้นแต่จะได้รับอนุญาต</t>
        </is>
      </c>
      <c r="I66" s="8" t="inlineStr">
        <is>
          <t>1</t>
        </is>
      </c>
      <c r="J66" s="2" t="inlineStr">
        <is>
          <t>✅ คำตอบที่ถูกต้อง: ข้อ ก. ตัวยาออกฤทธิ์โดยจับกับ receptor ภายนอกของ Henle loop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ตัวยาออกฤทธิ์โดยจับกับ receptor ภายนอกของ Henle loop การเลือก ตัวยาออกฤทธิ์โดยจับกับ receptor ภายนอกของ Henle loop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(ถ้า lactone ring เปิดออก จะได้สารที่ มีฤทธิ์): ข้อนี้ไม่ใช่คำตอบที่ถูกต้องสำหรับภาวะ Anemia เนื่องจากกลไกการออกฤทธิ์, efficacy หรือข้อบ่งใช้ไม่ตรงกับโจทย์ที่กำหนด
• ข้อ ค. (Canrenone เป็น inactive metabolite): ข้อนี้ไม่ใช่คำตอบที่ถูกต้องสำหรับภาวะ Anemia เนื่องจากกลไกการออกฤทธิ์, efficacy หรือข้อบ่งใช้ไม่ตรงกับโจทย์ที่กำหนด
• ข้อ ง. (Spironolactone มีความเป็น lipophilic ต่ำกว่า canrenone): เป็น Mineralocorticoid receptor antagonist (MRA) ใช้เป็น 4th-line ใน resistant HTN หรือ GDMT ใน HFrEF ต้อง monitor potassium และเสี่ยงต่อ gynecomastia
• ข้อ จ. (Spironolactone มีฤทธิ์น้อยกว่า canrenone ห้ามนำไปทำซ้ำทุกกรณี เว้นแต่จะได้รับอนุญาต): เป็น Mineralocorticoid receptor antagonist (MRA) ใช้เป็น 4th-line ใน resistant HTN หรือ GDMT ใน HFrEF ต้อง monitor potassium และเสี่ยงต่อ gynecomastia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66" s="2" t="n"/>
      <c r="L66" s="2" t="inlineStr">
        <is>
          <t>Anemia</t>
        </is>
      </c>
      <c r="M66" s="2" t="inlineStr">
        <is>
          <t>Clinic</t>
        </is>
      </c>
      <c r="N66" s="2" t="inlineStr">
        <is>
          <t>ข้อ 91 (PLE_CC1_2558_Key.md)</t>
        </is>
      </c>
      <c r="O66" s="2" t="inlineStr">
        <is>
          <t>ข้อสอบจริง</t>
        </is>
      </c>
      <c r="P66" s="2" t="inlineStr">
        <is>
          <t>ปี 2558</t>
        </is>
      </c>
    </row>
    <row r="67" ht="13.2" customHeight="1" s="37">
      <c r="A67" s="8" t="inlineStr">
        <is>
          <t>65</t>
        </is>
      </c>
      <c r="B67" s="2" t="inlineStr">
        <is>
          <t>Ferrous sulfate กระปุกละ 100 เม็ด เป็นยาประเภทใด</t>
        </is>
      </c>
      <c r="C67" s="2" t="n"/>
      <c r="D67" s="2" t="inlineStr">
        <is>
          <t>ยาเสพติดให้โทษ ประเภทที่ 3</t>
        </is>
      </c>
      <c r="E67" s="2" t="inlineStr">
        <is>
          <t>ยาอันตราย</t>
        </is>
      </c>
      <c r="F67" s="2" t="inlineStr">
        <is>
          <t>ยาควบคุมพิเศษ</t>
        </is>
      </c>
      <c r="G67" s="2" t="inlineStr">
        <is>
          <t>วัตถุออกฤทธิ์ต่อจิตและประสาท ประเภท 3</t>
        </is>
      </c>
      <c r="H67" s="2" t="inlineStr">
        <is>
          <t>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t>
        </is>
      </c>
      <c r="I67" s="8" t="inlineStr">
        <is>
          <t>1</t>
        </is>
      </c>
      <c r="J67" s="2" t="inlineStr">
        <is>
          <t>✅ คำตอบที่ถูกต้อง: ข้อ ก. ยาเสพติดให้โทษ ประเภทที่ 3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ยาเสพติดให้โทษ ประเภทที่ 3 การเลือก ยาเสพติดให้โทษ ประเภทที่ 3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(วัตถุออกฤทธิ์ต่อจิตและประสาท ประเภท 3): ข้อนี้ไม่ใช่คำตอบที่ถูกต้องสำหรับภาวะ Anemia เนื่องจากกลไกการออกฤทธิ์, efficacy หรือข้อบ่งใช้ไม่ตรงกับโจทย์ที่กำหนด
• ข้อ จ. (ยาสามัญประจำบ้าน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7" s="2" t="n"/>
      <c r="L67" s="2" t="inlineStr">
        <is>
          <t>Anemia</t>
        </is>
      </c>
      <c r="M67" s="2" t="inlineStr">
        <is>
          <t>Clinic</t>
        </is>
      </c>
      <c r="N67" s="2" t="inlineStr">
        <is>
          <t>ข้อ 4 (LAW-CU-71.md)</t>
        </is>
      </c>
      <c r="O67" s="2" t="inlineStr">
        <is>
          <t>Mock</t>
        </is>
      </c>
      <c r="P67" s="2" t="inlineStr">
        <is>
          <t>Mock กฎหมาย CU71</t>
        </is>
      </c>
    </row>
    <row r="68" ht="13.2" customHeight="1" s="37">
      <c r="A68" s="8" t="inlineStr">
        <is>
          <t>66</t>
        </is>
      </c>
      <c r="B68" s="2" t="inlineStr">
        <is>
          <t>ข้อใดไม่จำเป็นต้องแนะนำผู้ป่วย เมื_x001E_อผู้ป่วยรับประทาน Ferrous sulfate (FeSO4) (1) ยานี_x001B_อาจทำให้อุจจาระเปลี_x0003_ยนเป็นสีดำได้ (2) ยานี_x001B_อาจทำให้ท้องผูกได้มากขึ_x001B_น (3) ควรหลีกเลี_x0003_ยงการรับประทานร่วมกับนม (4) การรับประทานยาหลังอาหารสามารถเพิ_x0003_มการดูดซึม (5) การรับประทานยาก่อนอาหาร อาจทำให้มีอาการ คลื_x0003_นไส้ อาเจียนได้</t>
        </is>
      </c>
      <c r="C68" s="2" t="n"/>
      <c r="D68" s="2" t="inlineStr">
        <is>
          <t>Hydroxyurea 500 mg OD</t>
        </is>
      </c>
      <c r="E68" s="2" t="inlineStr">
        <is>
          <t>Blood transfusion (Packed Red Cells)</t>
        </is>
      </c>
      <c r="F68" s="2" t="inlineStr">
        <is>
          <t>Ferrous fumarate 200 mg TID</t>
        </is>
      </c>
      <c r="G68" s="2" t="inlineStr">
        <is>
          <t>Folic acid 5 mg OD</t>
        </is>
      </c>
      <c r="H68" s="2" t="inlineStr">
        <is>
          <t>Vitamin B12 1000 mcg IM</t>
        </is>
      </c>
      <c r="I68" s="8" t="inlineStr">
        <is>
          <t>1</t>
        </is>
      </c>
      <c r="J68" s="2" t="inlineStr">
        <is>
          <t>✅ คำตอบที่ถูกต้อง: ข้อ ก. Hydroxyurea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ค. (Ferrous fumarate 200 mg TID): ข้อนี้ไม่ใช่คำตอบที่ถูกต้องสำหรับภาวะ Anemia เนื่องจากกลไกการออกฤทธิ์, efficacy หรือข้อบ่งใช้ไม่ตรงกับโจทย์ที่กำหนด
• ข้อ ง. (Folic acid 5 mg OD): ข้อนี้ไม่ใช่คำตอบที่ถูกต้องสำหรับภาวะ Anemia เนื่องจากกลไกการออกฤทธิ์, efficacy หรือข้อบ่งใช้ไม่ตรงกับโจทย์ที่กำหนด
• ข้อ จ. (Vitamin B12 1000 mcg IM):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2" t="n"/>
      <c r="L68" s="2" t="inlineStr">
        <is>
          <t>Anemia</t>
        </is>
      </c>
      <c r="M68" s="2" t="inlineStr">
        <is>
          <t>Clinic</t>
        </is>
      </c>
      <c r="N68" s="2" t="inlineStr">
        <is>
          <t>ข้อ 67 (PLE_CC1_2557.md)</t>
        </is>
      </c>
      <c r="O68" s="2" t="inlineStr">
        <is>
          <t>ข้อสอบจริง</t>
        </is>
      </c>
      <c r="P68" s="2" t="inlineStr">
        <is>
          <t>ปี 2557</t>
        </is>
      </c>
    </row>
    <row r="69" ht="13.2" customHeight="1" s="37">
      <c r="A69" s="8" t="inlineStr">
        <is>
          <t>67</t>
        </is>
      </c>
      <c r="B69" s="2" t="inlineStr">
        <is>
          <t>Ferrous sulfate</t>
        </is>
      </c>
      <c r="C69" s="2" t="n"/>
      <c r="D69" s="2" t="inlineStr">
        <is>
          <t>Folic acid 5 mg OD</t>
        </is>
      </c>
      <c r="E69" s="2" t="inlineStr">
        <is>
          <t>Vitamin B12 1000 mcg IM</t>
        </is>
      </c>
      <c r="F69" s="2" t="inlineStr">
        <is>
          <t>Deferoxamine 500 mg SC</t>
        </is>
      </c>
      <c r="G69" s="2" t="inlineStr">
        <is>
          <t>Erythropoietin 4000 units SC</t>
        </is>
      </c>
      <c r="H69" s="2" t="inlineStr">
        <is>
          <t>Ferrous sulfate 300 mg TID</t>
        </is>
      </c>
      <c r="I69" s="8" t="inlineStr">
        <is>
          <t>1</t>
        </is>
      </c>
      <c r="J69" s="2"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ข้อนี้ไม่ใช่คำตอบที่ถูกต้องสำหรับภาวะ Anemia เนื่องจากกลไกการออกฤทธิ์, efficacy หรือข้อบ่งใช้ไม่ตรงกับโจทย์ที่กำหนด
• ข้อ ค. (Deferoxamine 500 mg SC): ข้อนี้ไม่ใช่คำตอบที่ถูกต้องสำหรับภาวะ Anemia เนื่องจากกลไกการออกฤทธิ์, efficacy หรือข้อบ่งใช้ไม่ตรงกับโจทย์ที่กำหนด
• ข้อ ง. (Erythropoietin 4000 units SC): ข้อนี้ไม่ใช่คำตอบที่ถูกต้องสำหรับภาวะ Anemia เนื่องจากกลไกการออกฤทธิ์, efficacy หรือข้อบ่งใช้ไม่ตรงกับโจทย์ที่กำหนด
• ข้อ จ. (Ferrous sulfate 300 mg TID):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9" s="2" t="n"/>
      <c r="L69" s="2" t="inlineStr">
        <is>
          <t>Anemia</t>
        </is>
      </c>
      <c r="M69" s="2" t="inlineStr">
        <is>
          <t>Clinic</t>
        </is>
      </c>
      <c r="N69" s="2" t="inlineStr">
        <is>
          <t>ข้อ 2 (PLE_CC1_2556.md)</t>
        </is>
      </c>
      <c r="O69" s="2" t="inlineStr">
        <is>
          <t>ข้อสอบจริง</t>
        </is>
      </c>
      <c r="P69" s="2" t="inlineStr">
        <is>
          <t>ปี 2556</t>
        </is>
      </c>
    </row>
    <row r="70" ht="13.2" customHeight="1" s="37">
      <c r="A70" s="8" t="inlineStr">
        <is>
          <t>68</t>
        </is>
      </c>
      <c r="B70" s="2" t="inlineStr">
        <is>
          <t>ข้อใดเป็นกลไกของHCTZ</t>
        </is>
      </c>
      <c r="C70" s="2" t="n"/>
      <c r="D70" s="2" t="inlineStr">
        <is>
          <t>Erythropoietin 4000 units SC</t>
        </is>
      </c>
      <c r="E70" s="2" t="inlineStr">
        <is>
          <t>Ferrous sulfate 300 mg TID</t>
        </is>
      </c>
      <c r="F70" s="2" t="inlineStr">
        <is>
          <t>Vitamin C 500 mg OD</t>
        </is>
      </c>
      <c r="G70" s="2" t="inlineStr">
        <is>
          <t>Pyridoxine 50 mg OD</t>
        </is>
      </c>
      <c r="H70" s="2" t="inlineStr">
        <is>
          <t>Hydroxyurea 500 mg OD</t>
        </is>
      </c>
      <c r="I70" s="8" t="inlineStr">
        <is>
          <t>1</t>
        </is>
      </c>
      <c r="J70" s="2"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ข้อนี้ไม่ใช่คำตอบที่ถูกต้องสำหรับภาวะ Anemia เนื่องจากกลไกการออกฤทธิ์, efficacy หรือข้อบ่งใช้ไม่ตรงกับโจทย์ที่กำหนด
• ข้อ ค. (Vitamin C 500 mg OD): ข้อนี้ไม่ใช่คำตอบที่ถูกต้องสำหรับภาวะ Anemia เนื่องจากกลไกการออกฤทธิ์, efficacy หรือข้อบ่งใช้ไม่ตรงกับโจทย์ที่กำหนด
• ข้อ ง. (Pyridoxine 50 mg OD): ข้อนี้ไม่ใช่คำตอบที่ถูกต้องสำหรับภาวะ Anemia เนื่องจากกลไกการออกฤทธิ์, efficacy หรือข้อบ่งใช้ไม่ตรงกับโจทย์ที่กำหนด
• ข้อ จ. (Hydroxyurea 500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0" s="2" t="n"/>
      <c r="L70" s="2" t="inlineStr">
        <is>
          <t>Anemia</t>
        </is>
      </c>
      <c r="M70" s="2" t="inlineStr">
        <is>
          <t>Clinic</t>
        </is>
      </c>
      <c r="N70" s="2" t="inlineStr">
        <is>
          <t>ข้อ 9 (PLE_CC1_2556.md)</t>
        </is>
      </c>
      <c r="O70" s="2" t="inlineStr">
        <is>
          <t>ข้อสอบจริง</t>
        </is>
      </c>
      <c r="P70" s="2" t="inlineStr">
        <is>
          <t>ปี 2556</t>
        </is>
      </c>
    </row>
    <row r="71" ht="13.2" customHeight="1" s="37">
      <c r="A71" s="8" t="inlineStr">
        <is>
          <t>69</t>
        </is>
      </c>
      <c r="B71" s="2" t="inlineStr">
        <is>
          <t>จากโครงสร้างของยา HCTZ สามารถวิเคราะห์หาหมู่โครงสร้างได้โดยวิธีการใด</t>
        </is>
      </c>
      <c r="C71" s="2" t="n"/>
      <c r="D71" s="2" t="inlineStr">
        <is>
          <t>Finger print จาก FTIR</t>
        </is>
      </c>
      <c r="E71" s="2" t="inlineStr">
        <is>
          <t>Chromatogram จาก TLC</t>
        </is>
      </c>
      <c r="F71" s="2" t="inlineStr">
        <is>
          <t>UV</t>
        </is>
      </c>
      <c r="G71" s="2" t="inlineStr">
        <is>
          <t>..............</t>
        </is>
      </c>
      <c r="H71" s="2" t="inlineStr">
        <is>
          <t>.................</t>
        </is>
      </c>
      <c r="I71" s="8" t="inlineStr">
        <is>
          <t>1</t>
        </is>
      </c>
      <c r="J71" s="2" t="inlineStr">
        <is>
          <t>✅ คำตอบที่ถูกต้อง: ข้อ ก. Finger print จาก FTIR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Finger print จาก FTIR การเลือก Finger print จาก FTIR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(Chromatogram จาก TLC): ข้อนี้ไม่ใช่คำตอบที่ถูกต้องสำหรับภาวะ Anemia เนื่องจากกลไกการออกฤทธิ์, efficacy หรือข้อบ่งใช้ไม่ตรงกับโจทย์ที่กำหนด
• ข้อ ค. (UV): ข้อนี้ไม่ใช่คำตอบที่ถูกต้องสำหรับภาวะ Anemia เนื่องจากกลไกการออกฤทธิ์, efficacy หรือข้อบ่งใช้ไม่ตรงกับโจทย์ที่กำหนด
• ข้อ ง. (..............): ข้อนี้ไม่ใช่คำตอบที่ถูกต้องสำหรับภาวะ Anemia เนื่องจากกลไกการออกฤทธิ์, efficacy หรือข้อบ่งใช้ไม่ตรงกับโจทย์ที่กำหนด
• ข้อ จ. (.................):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1" s="2" t="n"/>
      <c r="L71" s="2" t="inlineStr">
        <is>
          <t>Anemia</t>
        </is>
      </c>
      <c r="M71" s="2" t="inlineStr">
        <is>
          <t>Clinic</t>
        </is>
      </c>
      <c r="N71" s="2" t="inlineStr">
        <is>
          <t>ข้อ 32 (PLE_CC1_2555 Day 1.md)</t>
        </is>
      </c>
      <c r="O71" s="2" t="inlineStr">
        <is>
          <t>ข้อสอบจริง</t>
        </is>
      </c>
      <c r="P71" s="2" t="inlineStr">
        <is>
          <t>ปี 2555</t>
        </is>
      </c>
    </row>
    <row r="72" ht="13.2" customHeight="1" s="37">
      <c r="A72" s="8" t="inlineStr">
        <is>
          <t>70</t>
        </is>
      </c>
      <c r="B72" s="2" t="inlineStr">
        <is>
          <t>ได้รับยา HCTZ เพิ่มขึ้น</t>
        </is>
      </c>
      <c r="C72" s="2" t="n"/>
      <c r="D72" s="2" t="inlineStr">
        <is>
          <t>Ferrous fumarate 200 mg TID</t>
        </is>
      </c>
      <c r="E72" s="2" t="inlineStr">
        <is>
          <t>Folic acid 5 mg OD</t>
        </is>
      </c>
      <c r="F72" s="2" t="inlineStr">
        <is>
          <t>Vitamin B12 1000 mcg IM</t>
        </is>
      </c>
      <c r="G72" s="2" t="inlineStr">
        <is>
          <t>Deferoxamine 500 mg SC</t>
        </is>
      </c>
      <c r="H72" s="2" t="inlineStr">
        <is>
          <t>Erythropoietin 4000 units SC</t>
        </is>
      </c>
      <c r="I72" s="8" t="inlineStr">
        <is>
          <t>1</t>
        </is>
      </c>
      <c r="J72" s="2" t="inlineStr">
        <is>
          <t>✅ คำตอบที่ถูกต้อง: ข้อ ก. Ferrous fumarate 200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ข้อนี้ไม่ใช่คำตอบที่ถูกต้องสำหรับภาวะ Anemia เนื่องจากกลไกการออกฤทธิ์, efficacy หรือข้อบ่งใช้ไม่ตรงกับโจทย์ที่กำหนด
• ข้อ ค. (Vitamin B12 1000 mcg IM): ข้อนี้ไม่ใช่คำตอบที่ถูกต้องสำหรับภาวะ Anemia เนื่องจากกลไกการออกฤทธิ์, efficacy หรือข้อบ่งใช้ไม่ตรงกับโจทย์ที่กำหนด
• ข้อ ง. (Deferoxamine 500 mg SC): ข้อนี้ไม่ใช่คำตอบที่ถูกต้องสำหรับภาวะ Anemia เนื่องจากกลไกการออกฤทธิ์, efficacy หรือข้อบ่งใช้ไม่ตรงกับโจทย์ที่กำหนด
• ข้อ จ. (Erythropoietin 4000 units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2" s="2" t="n"/>
      <c r="L72" s="2" t="inlineStr">
        <is>
          <t>Anemia</t>
        </is>
      </c>
      <c r="M72" s="2" t="inlineStr">
        <is>
          <t>Clinic</t>
        </is>
      </c>
      <c r="N72" s="2" t="inlineStr">
        <is>
          <t>ข้อ 3 (PLE_CC1_2555 Day 2.md)</t>
        </is>
      </c>
      <c r="O72" s="2" t="inlineStr">
        <is>
          <t>ข้อสอบจริง</t>
        </is>
      </c>
      <c r="P72" s="2" t="inlineStr">
        <is>
          <t>ปี 2555</t>
        </is>
      </c>
    </row>
    <row r="73" ht="13.2" customHeight="1" s="37">
      <c r="A73" s="8" t="inlineStr">
        <is>
          <t>71</t>
        </is>
      </c>
      <c r="B73" s="2" t="inlineStr">
        <is>
          <t>Fe รูปเกลือใดที่ให้ elemental iron มากที่สุด</t>
        </is>
      </c>
      <c r="C73" s="2" t="n"/>
      <c r="D73" s="2" t="inlineStr">
        <is>
          <t>fumarate</t>
        </is>
      </c>
      <c r="E73" s="2" t="inlineStr">
        <is>
          <t>sulfate</t>
        </is>
      </c>
      <c r="F73" s="2" t="inlineStr">
        <is>
          <t>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t>
        </is>
      </c>
      <c r="G73" s="2" t="inlineStr">
        <is>
          <t>Vitamin C 500 mg OD</t>
        </is>
      </c>
      <c r="H73" s="2" t="inlineStr">
        <is>
          <t>Pyridoxine 50 mg OD</t>
        </is>
      </c>
      <c r="I73" s="8" t="inlineStr">
        <is>
          <t>1</t>
        </is>
      </c>
      <c r="J73" s="2" t="inlineStr">
        <is>
          <t>✅ คำตอบที่ถูกต้อง: ข้อ ก. fumarate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fumarate การเลือก fumarate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(sulfate): ข้อนี้ไม่ใช่คำตอบที่ถูกต้องสำหรับภาวะ Anemia เนื่องจากกลไกการออกฤทธิ์, efficacy หรือข้อบ่งใช้ไม่ตรงกับโจทย์ที่กำหนด
• ข้อ ค. (sulfate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 ข้อนี้ไม่ใช่คำตอบที่ถูกต้องสำหรับภาวะ Anemia เนื่องจากกลไกการออกฤทธิ์, efficacy หรือข้อบ่งใช้ไม่ตรงกับโจทย์ที่กำหนด
• ข้อ ง. (Vitamin C 500 mg OD): ข้อนี้ไม่ใช่คำตอบที่ถูกต้องสำหรับภาวะ Anemia เนื่องจากกลไกการออกฤทธิ์, efficacy หรือข้อบ่งใช้ไม่ตรงกับโจทย์ที่กำหนด
• ข้อ จ. (Pyridoxine 50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3" s="2" t="n"/>
      <c r="L73" s="2" t="inlineStr">
        <is>
          <t>Anemia</t>
        </is>
      </c>
      <c r="M73" s="2" t="inlineStr">
        <is>
          <t>Clinic</t>
        </is>
      </c>
      <c r="N73" s="2" t="inlineStr">
        <is>
          <t>ข้อ 3 (PLE_CC1_2554 SET2.md)</t>
        </is>
      </c>
      <c r="O73" s="2" t="inlineStr">
        <is>
          <t>ข้อสอบจริง</t>
        </is>
      </c>
      <c r="P73" s="2" t="inlineStr">
        <is>
          <t>ปี 2554</t>
        </is>
      </c>
    </row>
    <row r="74" ht="13.2" customHeight="1" s="37">
      <c r="A74" s="8" t="inlineStr">
        <is>
          <t>72</t>
        </is>
      </c>
      <c r="B74" s="2" t="inlineStr">
        <is>
          <t>จากสูตรนั่น ถ้า FeSo4มี elementary iron 20% ให้ยา 1 ช้อนชา จะได้ elementary iron เท่าไหร่ elementary iron 20% หมายถึง ferrous sulfate 100 mg จะให้ elemental iron 20 mg ดังนั้น ferrous sulfate 12.5 mg จะให้ elemental iron (2012.5)/100 = 2.5mg แสดงว่า 100 ml จะให้ elemental iron 2.5 mg ถ้า 5 ml จะให้ elemental iron 0.125 mg</t>
        </is>
      </c>
      <c r="C74" s="2" t="n"/>
      <c r="D74" s="2" t="inlineStr">
        <is>
          <t>Vitamin C 500 mg OD</t>
        </is>
      </c>
      <c r="E74" s="2" t="inlineStr">
        <is>
          <t>Pyridoxine 50 mg OD</t>
        </is>
      </c>
      <c r="F74" s="2" t="inlineStr">
        <is>
          <t>Hydroxyurea 500 mg OD</t>
        </is>
      </c>
      <c r="G74" s="2" t="inlineStr">
        <is>
          <t>Blood transfusion (Packed Red Cells)</t>
        </is>
      </c>
      <c r="H74" s="2" t="inlineStr">
        <is>
          <t>Ferrous fumarate 200 mg TID</t>
        </is>
      </c>
      <c r="I74" s="8" t="inlineStr">
        <is>
          <t>1</t>
        </is>
      </c>
      <c r="J74" s="2" t="inlineStr">
        <is>
          <t>✅ คำตอบที่ถูกต้อง: ข้อ ก. Vitamin C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ข้อนี้ไม่ใช่คำตอบที่ถูกต้องสำหรับภาวะ Anemia เนื่องจากกลไกการออกฤทธิ์, efficacy หรือข้อบ่งใช้ไม่ตรงกับโจทย์ที่กำหนด
• ข้อ ค. (Hydroxyurea 500 mg OD): ข้อนี้ไม่ใช่คำตอบที่ถูกต้องสำหรับภาวะ Anemia เนื่องจากกลไกการออกฤทธิ์, efficacy หรือข้อบ่งใช้ไม่ตรงกับโจทย์ที่กำหนด
• ข้อ ง.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จ. (Ferrous fumarate 200 mg TID):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4" s="2" t="n"/>
      <c r="L74" s="2" t="inlineStr">
        <is>
          <t>Anemia</t>
        </is>
      </c>
      <c r="M74" s="2" t="inlineStr">
        <is>
          <t>Clinic</t>
        </is>
      </c>
      <c r="N74" s="2" t="inlineStr">
        <is>
          <t>ข้อ 6 (PLE_CC1_2554 SET2.md)</t>
        </is>
      </c>
      <c r="O74" s="2" t="inlineStr">
        <is>
          <t>ข้อสอบจริง</t>
        </is>
      </c>
      <c r="P74" s="2" t="inlineStr">
        <is>
          <t>ปี 2554</t>
        </is>
      </c>
    </row>
    <row r="75" ht="13.2" customHeight="1" s="37">
      <c r="A75" s="8" t="inlineStr">
        <is>
          <t>73</t>
        </is>
      </c>
      <c r="B75" s="2" t="inlineStr">
        <is>
          <t>ข้อใดไม่เกี่ยวกับการเกิดภาวะโลหิตจางในครั้งนี้</t>
        </is>
      </c>
      <c r="C75" s="2" t="n"/>
      <c r="D75" s="2" t="inlineStr">
        <is>
          <t>Blood transfusion (Packed Red Cells)</t>
        </is>
      </c>
      <c r="E75" s="2" t="inlineStr">
        <is>
          <t>Ferrous fumarate 200 mg TID</t>
        </is>
      </c>
      <c r="F75" s="2" t="inlineStr">
        <is>
          <t>Folic acid 5 mg OD</t>
        </is>
      </c>
      <c r="G75" s="2" t="inlineStr">
        <is>
          <t>Vitamin B12 1000 mcg IM</t>
        </is>
      </c>
      <c r="H75" s="2" t="inlineStr">
        <is>
          <t>Deferoxamine 500 mg SC</t>
        </is>
      </c>
      <c r="I75" s="8" t="inlineStr">
        <is>
          <t>1</t>
        </is>
      </c>
      <c r="J75" s="2"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ข้อนี้ไม่ใช่คำตอบที่ถูกต้องสำหรับภาวะ Anemia เนื่องจากกลไกการออกฤทธิ์, efficacy หรือข้อบ่งใช้ไม่ตรงกับโจทย์ที่กำหนด
• ข้อ ค. (Folic acid 5 mg OD): ข้อนี้ไม่ใช่คำตอบที่ถูกต้องสำหรับภาวะ Anemia เนื่องจากกลไกการออกฤทธิ์, efficacy หรือข้อบ่งใช้ไม่ตรงกับโจทย์ที่กำหนด
• ข้อ ง. (Vitamin B12 1000 mcg IM): ข้อนี้ไม่ใช่คำตอบที่ถูกต้องสำหรับภาวะ Anemia เนื่องจากกลไกการออกฤทธิ์, efficacy หรือข้อบ่งใช้ไม่ตรงกับโจทย์ที่กำหนด
• ข้อ จ. (Deferoxamine 500 mg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5" s="2" t="n"/>
      <c r="L75" s="2" t="inlineStr">
        <is>
          <t>Anemia</t>
        </is>
      </c>
      <c r="M75" s="2" t="inlineStr">
        <is>
          <t>Clinic</t>
        </is>
      </c>
      <c r="N75" s="2" t="inlineStr">
        <is>
          <t>ข้อ 1 (PLE_CC1_2533.md)</t>
        </is>
      </c>
      <c r="O75" s="2" t="inlineStr">
        <is>
          <t>ข้อสอบจริง</t>
        </is>
      </c>
      <c r="P75" s="2" t="inlineStr">
        <is>
          <t>ปี 2533</t>
        </is>
      </c>
    </row>
    <row r="76" ht="13.2" customHeight="1" s="37">
      <c r="A76" s="8" t="inlineStr">
        <is>
          <t>74</t>
        </is>
      </c>
      <c r="B76" s="2" t="inlineStr">
        <is>
          <t>ชะพลู (5) (มีเพื่อนบอกว่าชะพลู มี Ca เยอะ จะลดการดูดซึมธาตุเหล็ก)</t>
        </is>
      </c>
      <c r="C76" s="2" t="n"/>
      <c r="D76" s="2" t="inlineStr">
        <is>
          <t>Vitamin B12 1000 mcg IM</t>
        </is>
      </c>
      <c r="E76" s="2" t="inlineStr">
        <is>
          <t>Deferoxamine 500 mg SC</t>
        </is>
      </c>
      <c r="F76" s="2" t="inlineStr">
        <is>
          <t>Erythropoietin 4000 units SC</t>
        </is>
      </c>
      <c r="G76" s="2" t="inlineStr">
        <is>
          <t>Ferrous sulfate 300 mg TID</t>
        </is>
      </c>
      <c r="H76" s="2" t="inlineStr">
        <is>
          <t>Vitamin C 500 mg OD</t>
        </is>
      </c>
      <c r="I76" s="8" t="inlineStr">
        <is>
          <t>1</t>
        </is>
      </c>
      <c r="J76" s="2" t="inlineStr">
        <is>
          <t>✅ คำตอบที่ถูกต้อง: ข้อ ก.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ข้อนี้ไม่ใช่คำตอบที่ถูกต้องสำหรับภาวะ Anemia เนื่องจากกลไกการออกฤทธิ์, efficacy หรือข้อบ่งใช้ไม่ตรงกับโจทย์ที่กำหนด
• ข้อ ค. (Erythropoietin 4000 units SC): ข้อนี้ไม่ใช่คำตอบที่ถูกต้องสำหรับภาวะ Anemia เนื่องจากกลไกการออกฤทธิ์, efficacy หรือข้อบ่งใช้ไม่ตรงกับโจทย์ที่กำหนด
• ข้อ ง. (Ferrous sulfate 300 mg TID): ข้อนี้ไม่ใช่คำตอบที่ถูกต้องสำหรับภาวะ Anemia เนื่องจากกลไกการออกฤทธิ์, efficacy หรือข้อบ่งใช้ไม่ตรงกับโจทย์ที่กำหนด
• ข้อ จ. (Vitamin C 500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6" s="2" t="n"/>
      <c r="L76" s="2" t="inlineStr">
        <is>
          <t>Anemia</t>
        </is>
      </c>
      <c r="M76" s="2" t="inlineStr">
        <is>
          <t>Clinic</t>
        </is>
      </c>
      <c r="N76" s="2" t="inlineStr">
        <is>
          <t>ข้อ 5 (PLE_CC1_2533.md)</t>
        </is>
      </c>
      <c r="O76" s="2" t="inlineStr">
        <is>
          <t>ข้อสอบจริง</t>
        </is>
      </c>
      <c r="P76" s="2" t="inlineStr">
        <is>
          <t>ปี 2533</t>
        </is>
      </c>
    </row>
    <row r="77" ht="13.2" customHeight="1" s="37">
      <c r="A77" s="8" t="inlineStr">
        <is>
          <t>75</t>
        </is>
      </c>
      <c r="B77" s="2" t="inlineStr">
        <is>
          <t>Progesterone ในผลิตภัณฑ์ยาคุมกำเนิดใดจัดอยู่ในกลุ่ม spironolactone derivative</t>
        </is>
      </c>
      <c r="C77" s="2" t="n"/>
      <c r="D77" s="2" t="inlineStr">
        <is>
          <t>Levonorgestrel</t>
        </is>
      </c>
      <c r="E77" s="2" t="inlineStr">
        <is>
          <t>Cyprosterone acetate</t>
        </is>
      </c>
      <c r="F77" s="2" t="inlineStr">
        <is>
          <t>Gestrodene</t>
        </is>
      </c>
      <c r="G77" s="2" t="inlineStr">
        <is>
          <t>Desogestrel</t>
        </is>
      </c>
      <c r="H77" s="2" t="inlineStr">
        <is>
          <t>Drospirenone</t>
        </is>
      </c>
      <c r="I77" s="8" t="inlineStr">
        <is>
          <t>1</t>
        </is>
      </c>
      <c r="J77" s="2" t="inlineStr">
        <is>
          <t>✅ คำตอบที่ถูกต้อง: ข้อ ก. Levonorgestrel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(Cyprosterone acetate): ข้อนี้ไม่ใช่คำตอบที่ถูกต้องสำหรับภาวะ Anemia เนื่องจากกลไกการออกฤทธิ์, efficacy หรือข้อบ่งใช้ไม่ตรงกับโจทย์ที่กำหนด
• ข้อ ค. (Gestrodene): ข้อนี้ไม่ใช่คำตอบที่ถูกต้องสำหรับภาวะ Anemia เนื่องจากกลไกการออกฤทธิ์, efficacy หรือข้อบ่งใช้ไม่ตรงกับโจทย์ที่กำหนด
• ข้อ ง. (Desogestrel): ข้อนี้ไม่ใช่คำตอบที่ถูกต้องสำหรับภาวะ Anemia เนื่องจากกลไกการออกฤทธิ์, efficacy หรือข้อบ่งใช้ไม่ตรงกับโจทย์ที่กำหนด
• ข้อ จ. (Drospirenone): ข้อนี้ไม่ใช่คำตอบที่ถูกต้องสำหรับภาวะ Anemia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7" s="2" t="n"/>
      <c r="L77" s="2" t="inlineStr">
        <is>
          <t>Anemia</t>
        </is>
      </c>
      <c r="M77" s="2" t="inlineStr">
        <is>
          <t>Clinic</t>
        </is>
      </c>
      <c r="N77" s="2" t="inlineStr">
        <is>
          <t>ข้อ 6 (PLE_CC1_Practice_Exam.md)</t>
        </is>
      </c>
      <c r="O77" s="2" t="inlineStr">
        <is>
          <t>Mock</t>
        </is>
      </c>
      <c r="P77" s="2" t="inlineStr">
        <is>
          <t>Mock สภาเภสัชฯ Practice</t>
        </is>
      </c>
    </row>
    <row r="78" ht="13.2" customHeight="1" s="37">
      <c r="A78" s="8" t="inlineStr">
        <is>
          <t>76</t>
        </is>
      </c>
      <c r="B78" s="2" t="inlineStr">
        <is>
          <t>ข้อใดไม่ใช่ยาเสริมธาตุเหล็กในรูปแบบยาฉีด</t>
        </is>
      </c>
      <c r="C78" s="2" t="n"/>
      <c r="D78" s="2" t="inlineStr">
        <is>
          <t>Iron dextran</t>
        </is>
      </c>
      <c r="E78" s="2" t="inlineStr">
        <is>
          <t>Iron sucrose complex</t>
        </is>
      </c>
      <c r="F78" s="2" t="inlineStr">
        <is>
          <t>iron sodium gluconate complex</t>
        </is>
      </c>
      <c r="G78" s="2" t="inlineStr">
        <is>
          <t>ferrous fumarate</t>
        </is>
      </c>
      <c r="H78" s="2" t="inlineStr">
        <is>
          <t>ทุกข้อเป็นยาฉีด 31.ข้อใดไม่ใช่อาการข้างเคียงจากการได้รับยาเสริมธาตุเหล็กรูปแบบยาฉีด</t>
        </is>
      </c>
      <c r="I78" s="8" t="inlineStr">
        <is>
          <t>3</t>
        </is>
      </c>
      <c r="J78" s="2" t="inlineStr">
        <is>
          <t>✅ คำตอบที่ถูกต้อง: ข้อ ค. iron sodium gluconate complex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iron sodium gluconate complex อ่อนเพลียจึงเข้าใจว่าฝึกซ้อมหนักแต่วันนี้อ่อนเพลียมากกว่าทุกวันจึงมาซื้อยารับประทาน และเมื่อซักอาการ เหล็ก ใน กรณีที่มี serum iron ต่ าจะไปจับกับ transferrin น้อยทำให้มี transferrin มากที่พร้อมจะจับกับ
🔍 ข้ออื่นผิดเพราะอะไร:
• ข้อ ก. (Iron dextran): ข้อนี้ไม่ใช่คำตอบที่ถูกต้องสำหรับภาวะ Anemia เนื่องจากกลไกการออกฤทธิ์, efficacy หรือข้อบ่งใช้ไม่ตรงกับโจทย์ที่กำหนด
• ข้อ ข. (Iron sucrose complex): ข้อนี้ไม่ใช่คำตอบที่ถูกต้องสำหรับภาวะ Anemia เนื่องจากกลไกการออกฤทธิ์, efficacy หรือข้อบ่งใช้ไม่ตรงกับโจทย์ที่กำหนด
• ข้อ ง. (ferrous fumarate): ข้อนี้ไม่ใช่คำตอบที่ถูกต้องสำหรับภาวะ Anemia เนื่องจากกลไกการออกฤทธิ์, efficacy หรือข้อบ่งใช้ไม่ตรงกับโจทย์ที่กำหนด
• ข้อ จ. (ทุกข้อเป็นยาฉีด 31.ข้อใดไม่ใช่อาการข้างเคียงจากการได้รับยาเสริมธาตุเหล็กรูปแบบยาฉีด):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8" s="2" t="n"/>
      <c r="L78" s="2" t="inlineStr">
        <is>
          <t>Anemia</t>
        </is>
      </c>
      <c r="M78" s="2" t="inlineStr">
        <is>
          <t>Clinic</t>
        </is>
      </c>
      <c r="N78" s="2" t="inlineStr">
        <is>
          <t>ข้อ 30 (PLE_CC1_Practice_Exam.md)</t>
        </is>
      </c>
      <c r="O78" s="2" t="inlineStr">
        <is>
          <t>Mock</t>
        </is>
      </c>
      <c r="P78" s="2" t="inlineStr">
        <is>
          <t>Mock สภาเภสัชฯ Practice</t>
        </is>
      </c>
    </row>
    <row r="79" ht="13.2" customHeight="1" s="37">
      <c r="A79" s="8" t="inlineStr">
        <is>
          <t>77</t>
        </is>
      </c>
      <c r="B79" s="2" t="inlineStr">
        <is>
          <t>Spironolactone ออกฤทธิ์ที่collecting tubule</t>
        </is>
      </c>
      <c r="C79" s="2" t="n"/>
      <c r="D79" s="2" t="inlineStr">
        <is>
          <t>Folic acid 5 mg OD</t>
        </is>
      </c>
      <c r="E79" s="2" t="inlineStr">
        <is>
          <t>Vitamin B12 1000 mcg IM</t>
        </is>
      </c>
      <c r="F79" s="2" t="inlineStr">
        <is>
          <t>Deferoxamine 500 mg SC</t>
        </is>
      </c>
      <c r="G79" s="2" t="inlineStr">
        <is>
          <t>Erythropoietin 4000 units SC</t>
        </is>
      </c>
      <c r="H79" s="2" t="inlineStr">
        <is>
          <t>Ferrous sulfate 300 mg TID</t>
        </is>
      </c>
      <c r="I79" s="8" t="inlineStr">
        <is>
          <t>1</t>
        </is>
      </c>
      <c r="J79" s="2"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ข้อนี้ไม่ใช่คำตอบที่ถูกต้องสำหรับภาวะ Anemia เนื่องจากกลไกการออกฤทธิ์, efficacy หรือข้อบ่งใช้ไม่ตรงกับโจทย์ที่กำหนด
• ข้อ ค. (Deferoxamine 500 mg SC): ข้อนี้ไม่ใช่คำตอบที่ถูกต้องสำหรับภาวะ Anemia เนื่องจากกลไกการออกฤทธิ์, efficacy หรือข้อบ่งใช้ไม่ตรงกับโจทย์ที่กำหนด
• ข้อ ง. (Erythropoietin 4000 units SC): ข้อนี้ไม่ใช่คำตอบที่ถูกต้องสำหรับภาวะ Anemia เนื่องจากกลไกการออกฤทธิ์, efficacy หรือข้อบ่งใช้ไม่ตรงกับโจทย์ที่กำหนด
• ข้อ จ. (Ferrous sulfate 300 mg TID):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9" s="2" t="n"/>
      <c r="L79" s="2" t="inlineStr">
        <is>
          <t>Anemia</t>
        </is>
      </c>
      <c r="M79" s="2" t="inlineStr">
        <is>
          <t>Clinic</t>
        </is>
      </c>
      <c r="N79" s="2" t="inlineStr">
        <is>
          <t>ข้อ 3 (PLE_CC1_Key_Rx20_UBU.md)</t>
        </is>
      </c>
      <c r="O79" s="2" t="inlineStr">
        <is>
          <t>Mock</t>
        </is>
      </c>
      <c r="P79" s="2" t="inlineStr">
        <is>
          <t>Mock Rx20 UBU</t>
        </is>
      </c>
    </row>
    <row r="80" ht="13.2" customHeight="1" s="37">
      <c r="A80" s="8" t="inlineStr">
        <is>
          <t>78</t>
        </is>
      </c>
      <c r="B80" s="2" t="inlineStr">
        <is>
          <t>การได้รับยา HCTZ</t>
        </is>
      </c>
      <c r="C80" s="2" t="n"/>
      <c r="D80" s="2" t="inlineStr">
        <is>
          <t>Erythropoietin 4000 units SC</t>
        </is>
      </c>
      <c r="E80" s="2" t="inlineStr">
        <is>
          <t>Ferrous sulfate 300 mg TID</t>
        </is>
      </c>
      <c r="F80" s="2" t="inlineStr">
        <is>
          <t>Vitamin C 500 mg OD</t>
        </is>
      </c>
      <c r="G80" s="2" t="inlineStr">
        <is>
          <t>Pyridoxine 50 mg OD</t>
        </is>
      </c>
      <c r="H80" s="2" t="inlineStr">
        <is>
          <t>Hydroxyurea 500 mg OD</t>
        </is>
      </c>
      <c r="I80" s="8" t="inlineStr">
        <is>
          <t>1</t>
        </is>
      </c>
      <c r="J80" s="2"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ข้อนี้ไม่ใช่คำตอบที่ถูกต้องสำหรับภาวะ Anemia เนื่องจากกลไกการออกฤทธิ์, efficacy หรือข้อบ่งใช้ไม่ตรงกับโจทย์ที่กำหนด
• ข้อ ค. (Vitamin C 500 mg OD): ข้อนี้ไม่ใช่คำตอบที่ถูกต้องสำหรับภาวะ Anemia เนื่องจากกลไกการออกฤทธิ์, efficacy หรือข้อบ่งใช้ไม่ตรงกับโจทย์ที่กำหนด
• ข้อ ง. (Pyridoxine 50 mg OD): ข้อนี้ไม่ใช่คำตอบที่ถูกต้องสำหรับภาวะ Anemia เนื่องจากกลไกการออกฤทธิ์, efficacy หรือข้อบ่งใช้ไม่ตรงกับโจทย์ที่กำหนด
• ข้อ จ. (Hydroxyurea 500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0" s="2" t="n"/>
      <c r="L80" s="2" t="inlineStr">
        <is>
          <t>Anemia</t>
        </is>
      </c>
      <c r="M80" s="2" t="inlineStr">
        <is>
          <t>Clinic</t>
        </is>
      </c>
      <c r="N80" s="2" t="inlineStr">
        <is>
          <t>ข้อ 2 (PLE_CC1_Key_Rx20_UBU.md)</t>
        </is>
      </c>
      <c r="O80" s="2" t="inlineStr">
        <is>
          <t>Mock</t>
        </is>
      </c>
      <c r="P80" s="2" t="inlineStr">
        <is>
          <t>Mock Rx20 UBU</t>
        </is>
      </c>
    </row>
    <row r="81" ht="13.2" customHeight="1" s="37">
      <c r="A81" s="8" t="inlineStr">
        <is>
          <t>79</t>
        </is>
      </c>
      <c r="B81" s="2" t="inlineStr">
        <is>
          <t>Spironalactone ใน AKI จะใช้ Loop diuretics</t>
        </is>
      </c>
      <c r="C81" s="2" t="n"/>
      <c r="D81" s="2" t="inlineStr">
        <is>
          <t>Pyridoxine 50 mg OD</t>
        </is>
      </c>
      <c r="E81" s="2" t="inlineStr">
        <is>
          <t>Hydroxyurea 500 mg OD</t>
        </is>
      </c>
      <c r="F81" s="2" t="inlineStr">
        <is>
          <t>Blood transfusion (Packed Red Cells)</t>
        </is>
      </c>
      <c r="G81" s="2" t="inlineStr">
        <is>
          <t>Ferrous fumarate 200 mg TID</t>
        </is>
      </c>
      <c r="H81" s="2" t="inlineStr">
        <is>
          <t>Folic acid 5 mg OD</t>
        </is>
      </c>
      <c r="I81" s="8" t="inlineStr">
        <is>
          <t>1</t>
        </is>
      </c>
      <c r="J81" s="2" t="inlineStr">
        <is>
          <t>✅ คำตอบที่ถูกต้อง: ข้อ ก. Pyridoxine 50 mg OD
💡 Background:
ภาวะไตเสื่อม (CKD/AKI) ต้องระมัดระวังการปรับขนาดยาตาม renal function (eGFR/CrCl) และหลีกเลี่ยง nephrotoxic drugs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ข้อนี้ไม่ใช่คำตอบที่ถูกต้องสำหรับภาวะ Anemia เนื่องจากกลไกการออกฤทธิ์, efficacy หรือข้อบ่งใช้ไม่ตรงกับโจทย์ที่กำหนด
• ข้อ ค.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ง. (Ferrous fumarate 200 mg TID): ข้อนี้ไม่ใช่คำตอบที่ถูกต้องสำหรับภาวะ Anemia เนื่องจากกลไกการออกฤทธิ์, efficacy หรือข้อบ่งใช้ไม่ตรงกับโจทย์ที่กำหนด
• ข้อ จ. (Folic acid 5 mg OD): ข้อนี้ไม่ใช่คำตอบที่ถูกต้องสำหรับภาวะ Anemia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81" s="2" t="n"/>
      <c r="L81" s="2" t="inlineStr">
        <is>
          <t>Anemia</t>
        </is>
      </c>
      <c r="M81" s="2" t="inlineStr">
        <is>
          <t>Clinic</t>
        </is>
      </c>
      <c r="N81" s="2" t="inlineStr">
        <is>
          <t>ข้อ 5 (PLE_CC1_Key_Rx20_UBU.md)</t>
        </is>
      </c>
      <c r="O81" s="2" t="inlineStr">
        <is>
          <t>Mock</t>
        </is>
      </c>
      <c r="P81" s="2" t="inlineStr">
        <is>
          <t>Mock Rx20 UBU</t>
        </is>
      </c>
    </row>
    <row r="82" ht="13.2" customHeight="1" s="37">
      <c r="A82" s="8" t="inlineStr">
        <is>
          <t>80</t>
        </is>
      </c>
      <c r="B82" s="2" t="inlineStr">
        <is>
          <t>HCTZ ยับยั้งการดูดกลับของน้ำที่ collecting duct</t>
        </is>
      </c>
      <c r="C82" s="2" t="n"/>
      <c r="D82" s="2" t="inlineStr">
        <is>
          <t>Ferrous fumarate 200 mg TID</t>
        </is>
      </c>
      <c r="E82" s="2" t="inlineStr">
        <is>
          <t>Folic acid 5 mg OD</t>
        </is>
      </c>
      <c r="F82" s="2" t="inlineStr">
        <is>
          <t>Vitamin B12 1000 mcg IM</t>
        </is>
      </c>
      <c r="G82" s="2" t="inlineStr">
        <is>
          <t>Deferoxamine 500 mg SC</t>
        </is>
      </c>
      <c r="H82" s="2" t="inlineStr">
        <is>
          <t>Erythropoietin 4000 units SC</t>
        </is>
      </c>
      <c r="I82" s="8" t="inlineStr">
        <is>
          <t>1</t>
        </is>
      </c>
      <c r="J82" s="2" t="inlineStr">
        <is>
          <t>✅ คำตอบที่ถูกต้อง: ข้อ ก. Ferrous fumarate 200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ข้อนี้ไม่ใช่คำตอบที่ถูกต้องสำหรับภาวะ Anemia เนื่องจากกลไกการออกฤทธิ์, efficacy หรือข้อบ่งใช้ไม่ตรงกับโจทย์ที่กำหนด
• ข้อ ค. (Vitamin B12 1000 mcg IM): ข้อนี้ไม่ใช่คำตอบที่ถูกต้องสำหรับภาวะ Anemia เนื่องจากกลไกการออกฤทธิ์, efficacy หรือข้อบ่งใช้ไม่ตรงกับโจทย์ที่กำหนด
• ข้อ ง. (Deferoxamine 500 mg SC): ข้อนี้ไม่ใช่คำตอบที่ถูกต้องสำหรับภาวะ Anemia เนื่องจากกลไกการออกฤทธิ์, efficacy หรือข้อบ่งใช้ไม่ตรงกับโจทย์ที่กำหนด
• ข้อ จ. (Erythropoietin 4000 units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2" s="2" t="n"/>
      <c r="L82" s="2" t="inlineStr">
        <is>
          <t>Anemia</t>
        </is>
      </c>
      <c r="M82" s="2" t="inlineStr">
        <is>
          <t>Clinic</t>
        </is>
      </c>
      <c r="N82" s="2" t="inlineStr">
        <is>
          <t>ข้อ 1 (PLE_CC1_Key_Rx20_UBU.md)</t>
        </is>
      </c>
      <c r="O82" s="2" t="inlineStr">
        <is>
          <t>Mock</t>
        </is>
      </c>
      <c r="P82" s="2" t="inlineStr">
        <is>
          <t>Mock Rx20 UBU</t>
        </is>
      </c>
    </row>
    <row r="83" ht="13.2" customHeight="1" s="37">
      <c r="A83" s="8" t="inlineStr">
        <is>
          <t>81</t>
        </is>
      </c>
      <c r="B83" s="2" t="inlineStr">
        <is>
          <t>ต่อมาแพทย์สั่งจ่ายยา HCTZ 25 mg 1x1 เภสัชกรควรติดตามค่าทางห้องปฏิบัติการใดของผู้ป่วย</t>
        </is>
      </c>
      <c r="C83" s="2" t="n"/>
      <c r="D83" s="2" t="inlineStr">
        <is>
          <t>Deferoxamine 500 mg SC</t>
        </is>
      </c>
      <c r="E83" s="2" t="inlineStr">
        <is>
          <t>Erythropoietin 4000 units SC</t>
        </is>
      </c>
      <c r="F83" s="2" t="inlineStr">
        <is>
          <t>Ferrous sulfate 300 mg TID</t>
        </is>
      </c>
      <c r="G83" s="2" t="inlineStr">
        <is>
          <t>Vitamin C 500 mg OD</t>
        </is>
      </c>
      <c r="H83" s="2" t="inlineStr">
        <is>
          <t>Pyridoxine 50 mg OD</t>
        </is>
      </c>
      <c r="I83" s="8" t="inlineStr">
        <is>
          <t>1</t>
        </is>
      </c>
      <c r="J83" s="2" t="inlineStr">
        <is>
          <t>✅ คำตอบที่ถูกต้อง: ข้อ ก. Deferoxamine 500 mg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Deferoxamine 500 mg SC การเลือก Deferoxamine 500 mg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(Erythropoietin 4000 units SC): ข้อนี้ไม่ใช่คำตอบที่ถูกต้องสำหรับภาวะ Anemia เนื่องจากกลไกการออกฤทธิ์, efficacy หรือข้อบ่งใช้ไม่ตรงกับโจทย์ที่กำหนด
• ข้อ ค. (Ferrous sulfate 300 mg TID): ข้อนี้ไม่ใช่คำตอบที่ถูกต้องสำหรับภาวะ Anemia เนื่องจากกลไกการออกฤทธิ์, efficacy หรือข้อบ่งใช้ไม่ตรงกับโจทย์ที่กำหนด
• ข้อ ง. (Vitamin C 500 mg OD): ข้อนี้ไม่ใช่คำตอบที่ถูกต้องสำหรับภาวะ Anemia เนื่องจากกลไกการออกฤทธิ์, efficacy หรือข้อบ่งใช้ไม่ตรงกับโจทย์ที่กำหนด
• ข้อ จ. (Pyridoxine 50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3" s="2" t="n"/>
      <c r="L83" s="2" t="inlineStr">
        <is>
          <t>Anemia</t>
        </is>
      </c>
      <c r="M83" s="2" t="inlineStr">
        <is>
          <t>Clinic</t>
        </is>
      </c>
      <c r="N83" s="2" t="inlineStr">
        <is>
          <t>ข้อ 4 (PLE_CC1_Key_Rx20_UBU.md)</t>
        </is>
      </c>
      <c r="O83" s="2" t="inlineStr">
        <is>
          <t>Mock</t>
        </is>
      </c>
      <c r="P83" s="2" t="inlineStr">
        <is>
          <t>Mock Rx20 UBU</t>
        </is>
      </c>
    </row>
    <row r="84" ht="13.2" customHeight="1" s="37">
      <c r="A84" s="8" t="inlineStr">
        <is>
          <t>82</t>
        </is>
      </c>
      <c r="B84" s="2" t="inlineStr">
        <is>
          <t>7.ยา HCTZ เป็นยาที่จัดอยู่ใน BSC class 3 หมายถึงอะไร</t>
        </is>
      </c>
      <c r="C84" s="2" t="n"/>
      <c r="D84" s="2" t="inlineStr">
        <is>
          <t>Vitamin C 500 mg OD</t>
        </is>
      </c>
      <c r="E84" s="2" t="inlineStr">
        <is>
          <t>Pyridoxine 50 mg OD</t>
        </is>
      </c>
      <c r="F84" s="2" t="inlineStr">
        <is>
          <t>Hydroxyurea 500 mg OD</t>
        </is>
      </c>
      <c r="G84" s="2" t="inlineStr">
        <is>
          <t>Blood transfusion (Packed Red Cells)</t>
        </is>
      </c>
      <c r="H84" s="2" t="inlineStr">
        <is>
          <t>Ferrous fumarate 200 mg TID</t>
        </is>
      </c>
      <c r="I84" s="8" t="inlineStr">
        <is>
          <t>1</t>
        </is>
      </c>
      <c r="J84" s="2" t="inlineStr">
        <is>
          <t>✅ คำตอบที่ถูกต้อง: ข้อ ก. Vitamin C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ข้อนี้ไม่ใช่คำตอบที่ถูกต้องสำหรับภาวะ Anemia เนื่องจากกลไกการออกฤทธิ์, efficacy หรือข้อบ่งใช้ไม่ตรงกับโจทย์ที่กำหนด
• ข้อ ค. (Hydroxyurea 500 mg OD): ข้อนี้ไม่ใช่คำตอบที่ถูกต้องสำหรับภาวะ Anemia เนื่องจากกลไกการออกฤทธิ์, efficacy หรือข้อบ่งใช้ไม่ตรงกับโจทย์ที่กำหนด
• ข้อ ง.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จ. (Ferrous fumarate 200 mg TID):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4" s="2" t="n"/>
      <c r="L84" s="2" t="inlineStr">
        <is>
          <t>Anemia</t>
        </is>
      </c>
      <c r="M84" s="2" t="inlineStr">
        <is>
          <t>Clinic</t>
        </is>
      </c>
      <c r="N84" s="2" t="inlineStr">
        <is>
          <t>ข้อ 4 (PLE_CC1_Key_Rx20_UBU.md)</t>
        </is>
      </c>
      <c r="O84" s="2" t="inlineStr">
        <is>
          <t>Mock</t>
        </is>
      </c>
      <c r="P84" s="2" t="inlineStr">
        <is>
          <t>Mock Rx20 UBU</t>
        </is>
      </c>
    </row>
    <row r="85" ht="13.2" customHeight="1" s="37">
      <c r="A85" s="8" t="inlineStr">
        <is>
          <t>83</t>
        </is>
      </c>
      <c r="B85" s="2" t="inlineStr">
        <is>
          <t>8.ยา HCTZ เป็นยาที่ต้องควบคุมคุณภาพ ตาม USP ข้อใด</t>
        </is>
      </c>
      <c r="C85" s="2" t="n"/>
      <c r="D85" s="2" t="inlineStr">
        <is>
          <t>Blood transfusion (Packed Red Cells)</t>
        </is>
      </c>
      <c r="E85" s="2" t="inlineStr">
        <is>
          <t>Ferrous fumarate 200 mg TID</t>
        </is>
      </c>
      <c r="F85" s="2" t="inlineStr">
        <is>
          <t>Folic acid 5 mg OD</t>
        </is>
      </c>
      <c r="G85" s="2" t="inlineStr">
        <is>
          <t>Vitamin B12 1000 mcg IM</t>
        </is>
      </c>
      <c r="H85" s="2" t="inlineStr">
        <is>
          <t>Deferoxamine 500 mg SC</t>
        </is>
      </c>
      <c r="I85" s="8" t="inlineStr">
        <is>
          <t>1</t>
        </is>
      </c>
      <c r="J85" s="2"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ข้อนี้ไม่ใช่คำตอบที่ถูกต้องสำหรับภาวะ Anemia เนื่องจากกลไกการออกฤทธิ์, efficacy หรือข้อบ่งใช้ไม่ตรงกับโจทย์ที่กำหนด
• ข้อ ค. (Folic acid 5 mg OD): ข้อนี้ไม่ใช่คำตอบที่ถูกต้องสำหรับภาวะ Anemia เนื่องจากกลไกการออกฤทธิ์, efficacy หรือข้อบ่งใช้ไม่ตรงกับโจทย์ที่กำหนด
• ข้อ ง. (Vitamin B12 1000 mcg IM): ข้อนี้ไม่ใช่คำตอบที่ถูกต้องสำหรับภาวะ Anemia เนื่องจากกลไกการออกฤทธิ์, efficacy หรือข้อบ่งใช้ไม่ตรงกับโจทย์ที่กำหนด
• ข้อ จ. (Deferoxamine 500 mg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5" s="2" t="n"/>
      <c r="L85" s="2" t="inlineStr">
        <is>
          <t>Anemia</t>
        </is>
      </c>
      <c r="M85" s="2" t="inlineStr">
        <is>
          <t>Clinic</t>
        </is>
      </c>
      <c r="N85" s="2" t="inlineStr">
        <is>
          <t>ข้อ 5 (PLE_CC1_Key_Rx20_UBU.md)</t>
        </is>
      </c>
      <c r="O85" s="2" t="inlineStr">
        <is>
          <t>Mock</t>
        </is>
      </c>
      <c r="P85" s="2" t="inlineStr">
        <is>
          <t>Mock Rx20 UBU</t>
        </is>
      </c>
    </row>
    <row r="86" ht="13.2" customHeight="1" s="37">
      <c r="A86" s="8" t="inlineStr">
        <is>
          <t>84</t>
        </is>
      </c>
      <c r="B86" s="2" t="inlineStr">
        <is>
          <t>ปรับขนาด HCTZ ขึ้น</t>
        </is>
      </c>
      <c r="C86" s="2" t="n"/>
      <c r="D86" s="2" t="inlineStr">
        <is>
          <t>Vitamin B12 1000 mcg IM</t>
        </is>
      </c>
      <c r="E86" s="2" t="inlineStr">
        <is>
          <t>Deferoxamine 500 mg SC</t>
        </is>
      </c>
      <c r="F86" s="2" t="inlineStr">
        <is>
          <t>Erythropoietin 4000 units SC</t>
        </is>
      </c>
      <c r="G86" s="2" t="inlineStr">
        <is>
          <t>Ferrous sulfate 300 mg TID</t>
        </is>
      </c>
      <c r="H86" s="2" t="inlineStr">
        <is>
          <t>Vitamin C 500 mg OD</t>
        </is>
      </c>
      <c r="I86" s="8" t="inlineStr">
        <is>
          <t>1</t>
        </is>
      </c>
      <c r="J86" s="2" t="inlineStr">
        <is>
          <t>✅ คำตอบที่ถูกต้อง: ข้อ ก.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ข้อนี้ไม่ใช่คำตอบที่ถูกต้องสำหรับภาวะ Anemia เนื่องจากกลไกการออกฤทธิ์, efficacy หรือข้อบ่งใช้ไม่ตรงกับโจทย์ที่กำหนด
• ข้อ ค. (Erythropoietin 4000 units SC): ข้อนี้ไม่ใช่คำตอบที่ถูกต้องสำหรับภาวะ Anemia เนื่องจากกลไกการออกฤทธิ์, efficacy หรือข้อบ่งใช้ไม่ตรงกับโจทย์ที่กำหนด
• ข้อ ง. (Ferrous sulfate 300 mg TID): ข้อนี้ไม่ใช่คำตอบที่ถูกต้องสำหรับภาวะ Anemia เนื่องจากกลไกการออกฤทธิ์, efficacy หรือข้อบ่งใช้ไม่ตรงกับโจทย์ที่กำหนด
• ข้อ จ. (Vitamin C 500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6" s="2" t="n"/>
      <c r="L86" s="2" t="inlineStr">
        <is>
          <t>Anemia</t>
        </is>
      </c>
      <c r="M86" s="2" t="inlineStr">
        <is>
          <t>Clinic</t>
        </is>
      </c>
      <c r="N86" s="2" t="inlineStr">
        <is>
          <t>ข้อ 3 (PLE_CC1_Key_Rx20_UBU.md)</t>
        </is>
      </c>
      <c r="O86" s="2" t="inlineStr">
        <is>
          <t>Mock</t>
        </is>
      </c>
      <c r="P86" s="2" t="inlineStr">
        <is>
          <t>Mock Rx20 UBU</t>
        </is>
      </c>
    </row>
    <row r="87" ht="13.2" customHeight="1" s="37">
      <c r="A87" s="8" t="inlineStr">
        <is>
          <t>85</t>
        </is>
      </c>
      <c r="B87" s="2" t="inlineStr">
        <is>
          <t>ferrous sulfate</t>
        </is>
      </c>
      <c r="C87" s="2" t="n"/>
      <c r="D87" s="2" t="inlineStr">
        <is>
          <t>Ferrous sulfate 300 mg TID</t>
        </is>
      </c>
      <c r="E87" s="2" t="inlineStr">
        <is>
          <t>Vitamin C 500 mg OD</t>
        </is>
      </c>
      <c r="F87" s="2" t="inlineStr">
        <is>
          <t>Pyridoxine 50 mg OD</t>
        </is>
      </c>
      <c r="G87" s="2" t="inlineStr">
        <is>
          <t>Hydroxyurea 500 mg OD</t>
        </is>
      </c>
      <c r="H87" s="2" t="inlineStr">
        <is>
          <t>Blood transfusion (Packed Red Cells)</t>
        </is>
      </c>
      <c r="I87" s="8" t="inlineStr">
        <is>
          <t>1</t>
        </is>
      </c>
      <c r="J87" s="2" t="inlineStr">
        <is>
          <t>✅ คำตอบที่ถูกต้อง: ข้อ ก. Ferrous sulfate 300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ข้อนี้ไม่ใช่คำตอบที่ถูกต้องสำหรับภาวะ Anemia เนื่องจากกลไกการออกฤทธิ์, efficacy หรือข้อบ่งใช้ไม่ตรงกับโจทย์ที่กำหนด
• ข้อ ค. (Pyridoxine 50 mg OD): ข้อนี้ไม่ใช่คำตอบที่ถูกต้องสำหรับภาวะ Anemia เนื่องจากกลไกการออกฤทธิ์, efficacy หรือข้อบ่งใช้ไม่ตรงกับโจทย์ที่กำหนด
• ข้อ ง. (Hydroxyurea 500 mg OD): ข้อนี้ไม่ใช่คำตอบที่ถูกต้องสำหรับภาวะ Anemia เนื่องจากกลไกการออกฤทธิ์, efficacy หรือข้อบ่งใช้ไม่ตรงกับโจทย์ที่กำหนด
• ข้อ จ. (Blood transfusion (Packed Red Cells)):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7" s="2" t="n"/>
      <c r="L87" s="2" t="inlineStr">
        <is>
          <t>Anemia</t>
        </is>
      </c>
      <c r="M87" s="2" t="inlineStr">
        <is>
          <t>Clinic</t>
        </is>
      </c>
      <c r="N87" s="2" t="inlineStr">
        <is>
          <t>ข้อ 3 (PLE_CC1_Key_Rx20_UBU.md)</t>
        </is>
      </c>
      <c r="O87" s="2" t="inlineStr">
        <is>
          <t>Mock</t>
        </is>
      </c>
      <c r="P87" s="2" t="inlineStr">
        <is>
          <t>Mock Rx20 UBU</t>
        </is>
      </c>
    </row>
    <row r="88" ht="13.2" customHeight="1" s="37">
      <c r="A88" s="8" t="inlineStr">
        <is>
          <t>86</t>
        </is>
      </c>
      <c r="B88" s="2" t="inlineStr">
        <is>
          <t>ferrous anhydrous sulphate ซึ่งตามคำแนะนำถ้าผู้ป่วยมี Hb&lt;10 g/dl สามารถพิจารณาให้ ESA ได้</t>
        </is>
      </c>
      <c r="C88" s="2" t="n"/>
      <c r="D88" s="2" t="inlineStr">
        <is>
          <t>Hydroxyurea 500 mg OD</t>
        </is>
      </c>
      <c r="E88" s="2" t="inlineStr">
        <is>
          <t>Blood transfusion (Packed Red Cells)</t>
        </is>
      </c>
      <c r="F88" s="2" t="inlineStr">
        <is>
          <t>Ferrous fumarate 200 mg TID</t>
        </is>
      </c>
      <c r="G88" s="2" t="inlineStr">
        <is>
          <t>Folic acid 5 mg OD</t>
        </is>
      </c>
      <c r="H88" s="2" t="inlineStr">
        <is>
          <t>Vitamin B12 1000 mcg IM</t>
        </is>
      </c>
      <c r="I88" s="8" t="inlineStr">
        <is>
          <t>5</t>
        </is>
      </c>
      <c r="J88" s="2" t="inlineStr">
        <is>
          <t>✅ คำตอบที่ถูกต้อง: ข้อ จ. Vitamin B12 1000 mcg IM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(Hydroxyurea 500 mg OD): ข้อนี้ไม่ใช่คำตอบที่ถูกต้องสำหรับภาวะ Anemia เนื่องจากกลไกการออกฤทธิ์, efficacy หรือข้อบ่งใช้ไม่ตรงกับโจทย์ที่กำหนด
• ข้อ ข.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ค. (Ferrous fumarate 200 mg TID): ข้อนี้ไม่ใช่คำตอบที่ถูกต้องสำหรับภาวะ Anemia เนื่องจากกลไกการออกฤทธิ์, efficacy หรือข้อบ่งใช้ไม่ตรงกับโจทย์ที่กำหนด
• ข้อ ง. (Folic acid 5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8" s="2" t="n"/>
      <c r="L88" s="2" t="inlineStr">
        <is>
          <t>Anemia</t>
        </is>
      </c>
      <c r="M88" s="2" t="inlineStr">
        <is>
          <t>Clinic</t>
        </is>
      </c>
      <c r="N88" s="2" t="inlineStr">
        <is>
          <t>ข้อ 5 (PLE_CC1_Key_Rx20_UBU.md)</t>
        </is>
      </c>
      <c r="O88" s="2" t="inlineStr">
        <is>
          <t>Mock</t>
        </is>
      </c>
      <c r="P88" s="2" t="inlineStr">
        <is>
          <t>Mock Rx20 UBU</t>
        </is>
      </c>
    </row>
    <row r="89" ht="13.2" customHeight="1" s="37">
      <c r="A89" s="8" t="inlineStr">
        <is>
          <t>87</t>
        </is>
      </c>
      <c r="B89" s="2" t="inlineStr">
        <is>
          <t>ผู้ป่วยต้องรับการรักษาแบบใดเพื่อรักษาภาวะโลหิตจาง</t>
        </is>
      </c>
      <c r="C89" s="2" t="n"/>
      <c r="D89" s="2" t="inlineStr">
        <is>
          <t>Folic acid 5 mg OD</t>
        </is>
      </c>
      <c r="E89" s="2" t="inlineStr">
        <is>
          <t>Vitamin B12 1000 mcg IM</t>
        </is>
      </c>
      <c r="F89" s="2" t="inlineStr">
        <is>
          <t>Deferoxamine 500 mg SC</t>
        </is>
      </c>
      <c r="G89" s="2" t="inlineStr">
        <is>
          <t>Erythropoietin 4000 units SC</t>
        </is>
      </c>
      <c r="H89" s="2" t="inlineStr">
        <is>
          <t>Ferrous sulfate 300 mg TID</t>
        </is>
      </c>
      <c r="I89" s="8" t="inlineStr">
        <is>
          <t>1</t>
        </is>
      </c>
      <c r="J89" s="2" t="inlineStr">
        <is>
          <t>✅ คำตอบที่ถูกต้อง: ข้อ ก. Folic acid 5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ข้อนี้ไม่ใช่คำตอบที่ถูกต้องสำหรับภาวะ Anemia เนื่องจากกลไกการออกฤทธิ์, efficacy หรือข้อบ่งใช้ไม่ตรงกับโจทย์ที่กำหนด
• ข้อ ค. (Deferoxamine 500 mg SC): ข้อนี้ไม่ใช่คำตอบที่ถูกต้องสำหรับภาวะ Anemia เนื่องจากกลไกการออกฤทธิ์, efficacy หรือข้อบ่งใช้ไม่ตรงกับโจทย์ที่กำหนด
• ข้อ ง. (Erythropoietin 4000 units SC): ข้อนี้ไม่ใช่คำตอบที่ถูกต้องสำหรับภาวะ Anemia เนื่องจากกลไกการออกฤทธิ์, efficacy หรือข้อบ่งใช้ไม่ตรงกับโจทย์ที่กำหนด
• ข้อ จ. (Ferrous sulfate 300 mg TID):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9" s="2" t="n"/>
      <c r="L89" s="2" t="inlineStr">
        <is>
          <t>Anemia</t>
        </is>
      </c>
      <c r="M89" s="2" t="inlineStr">
        <is>
          <t>Clinic</t>
        </is>
      </c>
      <c r="N89" s="2" t="inlineStr">
        <is>
          <t>ข้อ 7 (PLE_CC1_Key_Rx20_UBU.md)</t>
        </is>
      </c>
      <c r="O89" s="2" t="inlineStr">
        <is>
          <t>Mock</t>
        </is>
      </c>
      <c r="P89" s="2" t="inlineStr">
        <is>
          <t>Mock Rx20 UBU</t>
        </is>
      </c>
    </row>
    <row r="90" ht="13.2" customHeight="1" s="37">
      <c r="A90" s="8" t="inlineStr">
        <is>
          <t>88</t>
        </is>
      </c>
      <c r="B90" s="2" t="inlineStr">
        <is>
          <t>เพิ่มขนาดยา HCTZ</t>
        </is>
      </c>
      <c r="C90" s="2" t="n"/>
      <c r="D90" s="2" t="inlineStr">
        <is>
          <t>Erythropoietin 4000 units SC</t>
        </is>
      </c>
      <c r="E90" s="2" t="inlineStr">
        <is>
          <t>Ferrous sulfate 300 mg TID</t>
        </is>
      </c>
      <c r="F90" s="2" t="inlineStr">
        <is>
          <t>Vitamin C 500 mg OD</t>
        </is>
      </c>
      <c r="G90" s="2" t="inlineStr">
        <is>
          <t>Pyridoxine 50 mg OD</t>
        </is>
      </c>
      <c r="H90" s="2" t="inlineStr">
        <is>
          <t>Hydroxyurea 500 mg OD</t>
        </is>
      </c>
      <c r="I90" s="8" t="inlineStr">
        <is>
          <t>1</t>
        </is>
      </c>
      <c r="J90" s="2" t="inlineStr">
        <is>
          <t>✅ คำตอบที่ถูกต้อง: ข้อ ก. Erythropoietin 4000 units SC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ข้อนี้ไม่ใช่คำตอบที่ถูกต้องสำหรับภาวะ Anemia เนื่องจากกลไกการออกฤทธิ์, efficacy หรือข้อบ่งใช้ไม่ตรงกับโจทย์ที่กำหนด
• ข้อ ค. (Vitamin C 500 mg OD): ข้อนี้ไม่ใช่คำตอบที่ถูกต้องสำหรับภาวะ Anemia เนื่องจากกลไกการออกฤทธิ์, efficacy หรือข้อบ่งใช้ไม่ตรงกับโจทย์ที่กำหนด
• ข้อ ง. (Pyridoxine 50 mg OD): ข้อนี้ไม่ใช่คำตอบที่ถูกต้องสำหรับภาวะ Anemia เนื่องจากกลไกการออกฤทธิ์, efficacy หรือข้อบ่งใช้ไม่ตรงกับโจทย์ที่กำหนด
• ข้อ จ. (Hydroxyurea 500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0" s="2" t="n"/>
      <c r="L90" s="2" t="inlineStr">
        <is>
          <t>Anemia</t>
        </is>
      </c>
      <c r="M90" s="2" t="inlineStr">
        <is>
          <t>Clinic</t>
        </is>
      </c>
      <c r="N90" s="2" t="inlineStr">
        <is>
          <t>ข้อ 1 (PLE_CC1_Key_Rx20_UBU.md)</t>
        </is>
      </c>
      <c r="O90" s="2" t="inlineStr">
        <is>
          <t>Mock</t>
        </is>
      </c>
      <c r="P90" s="2" t="inlineStr">
        <is>
          <t>Mock Rx20 UBU</t>
        </is>
      </c>
    </row>
    <row r="91" ht="13.2" customHeight="1" s="37">
      <c r="A91" s="8" t="inlineStr">
        <is>
          <t>89</t>
        </is>
      </c>
      <c r="B91" s="2" t="inlineStr">
        <is>
          <t>60. สารพฤกษาเคมีที่มีผลรบกวนการดูดซึมธาตุเหล็ก</t>
        </is>
      </c>
      <c r="C91" s="2" t="n"/>
      <c r="D91" s="2" t="inlineStr">
        <is>
          <t>Pyridoxine 50 mg OD</t>
        </is>
      </c>
      <c r="E91" s="2" t="inlineStr">
        <is>
          <t>Hydroxyurea 500 mg OD</t>
        </is>
      </c>
      <c r="F91" s="2" t="inlineStr">
        <is>
          <t>Blood transfusion (Packed Red Cells)</t>
        </is>
      </c>
      <c r="G91" s="2" t="inlineStr">
        <is>
          <t>Ferrous fumarate 200 mg TID</t>
        </is>
      </c>
      <c r="H91" s="2" t="inlineStr">
        <is>
          <t>Folic acid 5 mg OD</t>
        </is>
      </c>
      <c r="I91" s="8" t="inlineStr">
        <is>
          <t>1</t>
        </is>
      </c>
      <c r="J91" s="2" t="inlineStr">
        <is>
          <t>✅ คำตอบที่ถูกต้อง: ข้อ ก. Pyridoxine 50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ข้อนี้ไม่ใช่คำตอบที่ถูกต้องสำหรับภาวะ Anemia เนื่องจากกลไกการออกฤทธิ์, efficacy หรือข้อบ่งใช้ไม่ตรงกับโจทย์ที่กำหนด
• ข้อ ค.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ง. (Ferrous fumarate 200 mg TID): ข้อนี้ไม่ใช่คำตอบที่ถูกต้องสำหรับภาวะ Anemia เนื่องจากกลไกการออกฤทธิ์, efficacy หรือข้อบ่งใช้ไม่ตรงกับโจทย์ที่กำหนด
• ข้อ จ. (Folic acid 5 mg OD):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1" s="2" t="n"/>
      <c r="L91" s="2" t="inlineStr">
        <is>
          <t>Anemia</t>
        </is>
      </c>
      <c r="M91" s="2" t="inlineStr">
        <is>
          <t>Clinic</t>
        </is>
      </c>
      <c r="N91" s="2" t="inlineStr">
        <is>
          <t>ข้อ 5 (PLE_CC1_Key_Rx20_UBU.md)</t>
        </is>
      </c>
      <c r="O91" s="2" t="inlineStr">
        <is>
          <t>Mock</t>
        </is>
      </c>
      <c r="P91" s="2" t="inlineStr">
        <is>
          <t>Mock Rx20 UBU</t>
        </is>
      </c>
    </row>
    <row r="92" ht="13.2" customHeight="1" s="37">
      <c r="A92" s="8" t="inlineStr">
        <is>
          <t>90</t>
        </is>
      </c>
      <c r="B92" s="2" t="inlineStr">
        <is>
          <t>โรคโลหิตจางธาลัสซีเมีย เกิดจากความผิดปกติใด</t>
        </is>
      </c>
      <c r="C92" s="2" t="n"/>
      <c r="D92" s="2" t="inlineStr">
        <is>
          <t>เกิดจากการขาดฮอร_โมน Erythropoietin ทำให$การสร$างเม็ดเลือดแดงไมGสมบูรณ_</t>
        </is>
      </c>
      <c r="E92" s="2" t="inlineStr">
        <is>
          <t>เกิดจากการขาดเหล็กทำให$การสร$างเม็ดเลือดแดงไมGสมบูรณ_</t>
        </is>
      </c>
      <c r="F92" s="2" t="inlineStr">
        <is>
          <t>เกิดจากการขาด Cyanocobalamin ทำให$การสร$างเม็ดเลือดแดงไมGสมบูรณ_</t>
        </is>
      </c>
      <c r="G92" s="2" t="inlineStr">
        <is>
          <t>เกิดจากการสร$างสาย Hb ที่ผิดปกติ</t>
        </is>
      </c>
      <c r="H92" s="2" t="inlineStr">
        <is>
          <t>เกิดจากรGางกายมีภาวะพรGองเอนไซม_ G6PD Globin ของ Hb (Heme+Globin)</t>
        </is>
      </c>
      <c r="I92" s="8" t="inlineStr">
        <is>
          <t>2</t>
        </is>
      </c>
      <c r="J92" s="2" t="inlineStr">
        <is>
          <t>✅ คำตอบที่ถูกต้อง: ข้อ ข. เกิดจากการขาดเหล็กทำให$การสร$างเม็ดเลือดแดงไมGสมบูรณ_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เกิดจากการขาดเหล็กทำให$การสร$างเม็ดเลือดแดงไมGสมบูรณ_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การเลือก เกิดจากการขาดเหล็กทำให$การสร$างเม็ดเลือดแดงไม G สมบูรณ_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(เกิดจากการขาดฮอร_โมน Erythropoietin ทำให$การสร$างเม็ดเลือดแดงไมGสมบูรณ_): ข้อนี้ไม่ใช่คำตอบที่ถูกต้องสำหรับภาวะ Anemia เนื่องจากกลไกการออกฤทธิ์, efficacy หรือข้อบ่งใช้ไม่ตรงกับโจทย์ที่กำหนด
• ข้อ ค. (เกิดจากการขาด Cyanocobalamin ทำให$การสร$างเม็ดเลือดแดงไมGสมบูรณ_): ข้อนี้ไม่ใช่คำตอบที่ถูกต้องสำหรับภาวะ Anemia เนื่องจากกลไกการออกฤทธิ์, efficacy หรือข้อบ่งใช้ไม่ตรงกับโจทย์ที่กำหนด
• ข้อ ง. (เกิดจากการสร$างสาย Hb ที่ผิดปกติ): ข้อนี้ไม่ใช่คำตอบที่ถูกต้องสำหรับภาวะ Anemia เนื่องจากกลไกการออกฤทธิ์, efficacy หรือข้อบ่งใช้ไม่ตรงกับโจทย์ที่กำหนด
• ข้อ จ. (เกิดจากรGางกายมีภาวะพรGองเอนไซม_ G6PD Globin ของ Hb (Heme+Globin)):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2" s="2" t="n"/>
      <c r="L92" s="2" t="inlineStr">
        <is>
          <t>Anemia</t>
        </is>
      </c>
      <c r="M92" s="2" t="inlineStr">
        <is>
          <t>Clinic</t>
        </is>
      </c>
      <c r="N92" s="2" t="inlineStr">
        <is>
          <t>ข้อ 82 (PLE_CC1_Key_Rx20_UBU.md)</t>
        </is>
      </c>
      <c r="O92" s="2" t="inlineStr">
        <is>
          <t>Mock</t>
        </is>
      </c>
      <c r="P92" s="2" t="inlineStr">
        <is>
          <t>Mock Rx20 UBU</t>
        </is>
      </c>
    </row>
    <row r="93" ht="13.2" customHeight="1" s="37">
      <c r="A93" s="8" t="inlineStr">
        <is>
          <t>91</t>
        </is>
      </c>
      <c r="B93" s="2" t="inlineStr">
        <is>
          <t>การวินิจฉัยภาวะโลหิตจางธาลัสซีเมียวินิจฉัยจากอะไร</t>
        </is>
      </c>
      <c r="C93" s="2" t="n"/>
      <c r="D93" s="2" t="inlineStr">
        <is>
          <t>CBC</t>
        </is>
      </c>
      <c r="E93" s="2" t="inlineStr">
        <is>
          <t>% Iron</t>
        </is>
      </c>
      <c r="F93" s="2" t="inlineStr">
        <is>
          <t>Hb typing</t>
        </is>
      </c>
      <c r="G93" s="2" t="inlineStr">
        <is>
          <t>PBS (Peripheral blood smear)</t>
        </is>
      </c>
      <c r="H93" s="2" t="inlineStr">
        <is>
          <t>ขอแย5งนะคะ คิดว=าควรตอบ ค. Hb typing</t>
        </is>
      </c>
      <c r="I93" s="8" t="inlineStr">
        <is>
          <t>2</t>
        </is>
      </c>
      <c r="J93" s="2" t="inlineStr">
        <is>
          <t>✅ คำตอบที่ถูกต้อง: ข้อ ข. % Iron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 Iron การเลือก % Iron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(CBC): ข้อนี้ไม่ใช่คำตอบที่ถูกต้องสำหรับภาวะ Anemia เนื่องจากกลไกการออกฤทธิ์, efficacy หรือข้อบ่งใช้ไม่ตรงกับโจทย์ที่กำหนด
• ข้อ ค. (Hb typing): ข้อนี้ไม่ใช่คำตอบที่ถูกต้องสำหรับภาวะ Anemia เนื่องจากกลไกการออกฤทธิ์, efficacy หรือข้อบ่งใช้ไม่ตรงกับโจทย์ที่กำหนด
• ข้อ ง. (PBS (Peripheral blood smear)): ข้อนี้ไม่ใช่คำตอบที่ถูกต้องสำหรับภาวะ Anemia เนื่องจากกลไกการออกฤทธิ์, efficacy หรือข้อบ่งใช้ไม่ตรงกับโจทย์ที่กำหนด
• ข้อ จ. (ขอแย5งนะคะ คิดว=าควรตอบ ค. Hb typing):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3" s="2" t="n"/>
      <c r="L93" s="2" t="inlineStr">
        <is>
          <t>Anemia</t>
        </is>
      </c>
      <c r="M93" s="2" t="inlineStr">
        <is>
          <t>Clinic</t>
        </is>
      </c>
      <c r="N93" s="2" t="inlineStr">
        <is>
          <t>ข้อ 83 (PLE_CC1_Key_Rx20_UBU.md)</t>
        </is>
      </c>
      <c r="O93" s="2" t="inlineStr">
        <is>
          <t>Mock</t>
        </is>
      </c>
      <c r="P93" s="2" t="inlineStr">
        <is>
          <t>Mock Rx20 UBU</t>
        </is>
      </c>
    </row>
    <row r="94" ht="13.2" customHeight="1" s="37">
      <c r="A94" s="8" t="inlineStr">
        <is>
          <t>92</t>
        </is>
      </c>
      <c r="B94" s="2" t="inlineStr">
        <is>
          <t>Desogestrel สามารถลดการบวมน้ำได้เนื่องจากเป็นอนุพันธ์ของ spironoolactone</t>
        </is>
      </c>
      <c r="C94" s="2" t="n"/>
      <c r="D94" s="2" t="inlineStr">
        <is>
          <t>Vitamin C 500 mg OD</t>
        </is>
      </c>
      <c r="E94" s="2" t="inlineStr">
        <is>
          <t>Pyridoxine 50 mg OD</t>
        </is>
      </c>
      <c r="F94" s="2" t="inlineStr">
        <is>
          <t>Hydroxyurea 500 mg OD</t>
        </is>
      </c>
      <c r="G94" s="2" t="inlineStr">
        <is>
          <t>Blood transfusion (Packed Red Cells)</t>
        </is>
      </c>
      <c r="H94" s="2" t="inlineStr">
        <is>
          <t>Ferrous fumarate 200 mg TID</t>
        </is>
      </c>
      <c r="I94" s="8" t="inlineStr">
        <is>
          <t>4</t>
        </is>
      </c>
      <c r="J94" s="2" t="inlineStr">
        <is>
          <t>✅ คำตอบที่ถูกต้อง: ข้อ ง.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C 500 mg OD): ข้อนี้ไม่ใช่คำตอบที่ถูกต้องสำหรับภาวะ Anemia เนื่องจากกลไกการออกฤทธิ์, efficacy หรือข้อบ่งใช้ไม่ตรงกับโจทย์ที่กำหนด
• ข้อ ข. (Pyridoxine 50 mg OD): ข้อนี้ไม่ใช่คำตอบที่ถูกต้องสำหรับภาวะ Anemia เนื่องจากกลไกการออกฤทธิ์, efficacy หรือข้อบ่งใช้ไม่ตรงกับโจทย์ที่กำหนด
• ข้อ ค. (Hydroxyurea 500 mg OD): ข้อนี้ไม่ใช่คำตอบที่ถูกต้องสำหรับภาวะ Anemia เนื่องจากกลไกการออกฤทธิ์, efficacy หรือข้อบ่งใช้ไม่ตรงกับโจทย์ที่กำหนด
• ข้อ จ. (Ferrous fumarate 200 mg TID):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4" s="2" t="n"/>
      <c r="L94" s="2" t="inlineStr">
        <is>
          <t>Anemia</t>
        </is>
      </c>
      <c r="M94" s="2" t="inlineStr">
        <is>
          <t>Clinic</t>
        </is>
      </c>
      <c r="N94" s="2" t="inlineStr">
        <is>
          <t>ข้อ 3 (PLE_CC1_Key_Rx20_UBU.md)</t>
        </is>
      </c>
      <c r="O94" s="2" t="inlineStr">
        <is>
          <t>Mock</t>
        </is>
      </c>
      <c r="P94" s="2" t="inlineStr">
        <is>
          <t>Mock Rx20 UBU</t>
        </is>
      </c>
    </row>
    <row r="95" ht="13.2" customHeight="1" s="37">
      <c r="A95" s="8" t="inlineStr">
        <is>
          <t>93</t>
        </is>
      </c>
      <c r="B95" s="2" t="inlineStr">
        <is>
          <t>HCTZ และ spironolactone</t>
        </is>
      </c>
      <c r="C95" s="2" t="n"/>
      <c r="D95" s="2" t="inlineStr">
        <is>
          <t>Blood transfusion (Packed Red Cells)</t>
        </is>
      </c>
      <c r="E95" s="2" t="inlineStr">
        <is>
          <t>Ferrous fumarate 200 mg TID</t>
        </is>
      </c>
      <c r="F95" s="2" t="inlineStr">
        <is>
          <t>Folic acid 5 mg OD</t>
        </is>
      </c>
      <c r="G95" s="2" t="inlineStr">
        <is>
          <t>Vitamin B12 1000 mcg IM</t>
        </is>
      </c>
      <c r="H95" s="2" t="inlineStr">
        <is>
          <t>Deferoxamine 500 mg SC</t>
        </is>
      </c>
      <c r="I95" s="8" t="inlineStr">
        <is>
          <t>1</t>
        </is>
      </c>
      <c r="J95" s="2" t="inlineStr">
        <is>
          <t>✅ คำตอบที่ถูกต้อง: ข้อ ก. Blood transfusion (Packed Red Cells)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ข้อนี้ไม่ใช่คำตอบที่ถูกต้องสำหรับภาวะ Anemia เนื่องจากกลไกการออกฤทธิ์, efficacy หรือข้อบ่งใช้ไม่ตรงกับโจทย์ที่กำหนด
• ข้อ ค. (Folic acid 5 mg OD): ข้อนี้ไม่ใช่คำตอบที่ถูกต้องสำหรับภาวะ Anemia เนื่องจากกลไกการออกฤทธิ์, efficacy หรือข้อบ่งใช้ไม่ตรงกับโจทย์ที่กำหนด
• ข้อ ง. (Vitamin B12 1000 mcg IM): ข้อนี้ไม่ใช่คำตอบที่ถูกต้องสำหรับภาวะ Anemia เนื่องจากกลไกการออกฤทธิ์, efficacy หรือข้อบ่งใช้ไม่ตรงกับโจทย์ที่กำหนด
• ข้อ จ. (Deferoxamine 500 mg SC):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95" s="2" t="n"/>
      <c r="L95" s="2" t="inlineStr">
        <is>
          <t>Anemia</t>
        </is>
      </c>
      <c r="M95" s="2" t="inlineStr">
        <is>
          <t>Clinic</t>
        </is>
      </c>
      <c r="N95" s="2" t="inlineStr">
        <is>
          <t>ข้อ 2 (PLE_CC1_Key_Rx20_UBU.md)</t>
        </is>
      </c>
      <c r="O95" s="2" t="inlineStr">
        <is>
          <t>Mock</t>
        </is>
      </c>
      <c r="P95" s="2" t="inlineStr">
        <is>
          <t>Mock Rx20 UBU</t>
        </is>
      </c>
    </row>
    <row r="96" ht="13.2" customHeight="1" s="37">
      <c r="A96" s="8" t="inlineStr">
        <is>
          <t>94</t>
        </is>
      </c>
      <c r="B96" s="2" t="inlineStr">
        <is>
          <t>HCTZ https://www.livestrong.com/article/313917-calcium-channel-blockers-gerd/</t>
        </is>
      </c>
      <c r="C96" s="2" t="n"/>
      <c r="D96" s="2" t="inlineStr">
        <is>
          <t>Vitamin B12 1000 mcg IM</t>
        </is>
      </c>
      <c r="E96" s="2" t="inlineStr">
        <is>
          <t>Deferoxamine 500 mg SC</t>
        </is>
      </c>
      <c r="F96" s="2" t="inlineStr">
        <is>
          <t>Erythropoietin 4000 units SC</t>
        </is>
      </c>
      <c r="G96" s="2" t="inlineStr">
        <is>
          <t>Ferrous sulfate 300 mg TID</t>
        </is>
      </c>
      <c r="H96" s="2" t="inlineStr">
        <is>
          <t>Vitamin C 500 mg OD</t>
        </is>
      </c>
      <c r="I96" s="8" t="inlineStr">
        <is>
          <t>5</t>
        </is>
      </c>
      <c r="J96" s="2" t="inlineStr">
        <is>
          <t>✅ คำตอบที่ถูกต้อง: ข้อ จ. Vitamin C 500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B12 1000 mcg IM): ข้อนี้ไม่ใช่คำตอบที่ถูกต้องสำหรับภาวะ Anemia เนื่องจากกลไกการออกฤทธิ์, efficacy หรือข้อบ่งใช้ไม่ตรงกับโจทย์ที่กำหนด
• ข้อ ข. (Deferoxamine 500 mg SC): ข้อนี้ไม่ใช่คำตอบที่ถูกต้องสำหรับภาวะ Anemia เนื่องจากกลไกการออกฤทธิ์, efficacy หรือข้อบ่งใช้ไม่ตรงกับโจทย์ที่กำหนด
• ข้อ ค. (Erythropoietin 4000 units SC): ข้อนี้ไม่ใช่คำตอบที่ถูกต้องสำหรับภาวะ Anemia เนื่องจากกลไกการออกฤทธิ์, efficacy หรือข้อบ่งใช้ไม่ตรงกับโจทย์ที่กำหนด
• ข้อ ง. (Ferrous sulfate 300 mg TID): ข้อนี้ไม่ใช่คำตอบที่ถูกต้องสำหรับภาวะ Anemia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6" s="2" t="n"/>
      <c r="L96" s="2" t="inlineStr">
        <is>
          <t>Anemia</t>
        </is>
      </c>
      <c r="M96" s="2" t="inlineStr">
        <is>
          <t>Clinic</t>
        </is>
      </c>
      <c r="N96" s="2" t="inlineStr">
        <is>
          <t>ข้อ 5 (PLE_CC1_Key_Rx20_UBU.md)</t>
        </is>
      </c>
      <c r="O96" s="2" t="inlineStr">
        <is>
          <t>Mock</t>
        </is>
      </c>
      <c r="P96" s="2" t="inlineStr">
        <is>
          <t>Mock Rx20 UBU</t>
        </is>
      </c>
    </row>
    <row r="97" ht="13.2" customHeight="1" s="37">
      <c r="A97" s="8" t="inlineStr">
        <is>
          <t>95</t>
        </is>
      </c>
      <c r="B97" s="2" t="inlineStr">
        <is>
          <t>Ferrous sulfate 200 mg 1 tab tid 90</t>
        </is>
      </c>
      <c r="C97" s="2" t="n"/>
      <c r="D97" s="2" t="inlineStr">
        <is>
          <t>Ferrous sulfate 300 mg TID</t>
        </is>
      </c>
      <c r="E97" s="2" t="inlineStr">
        <is>
          <t>Vitamin C 500 mg OD</t>
        </is>
      </c>
      <c r="F97" s="2" t="inlineStr">
        <is>
          <t>Pyridoxine 50 mg OD</t>
        </is>
      </c>
      <c r="G97" s="2" t="inlineStr">
        <is>
          <t>Hydroxyurea 500 mg OD</t>
        </is>
      </c>
      <c r="H97" s="2" t="inlineStr">
        <is>
          <t>Blood transfusion (Packed Red Cells)</t>
        </is>
      </c>
      <c r="I97" s="8" t="inlineStr">
        <is>
          <t>1</t>
        </is>
      </c>
      <c r="J97" s="2" t="inlineStr">
        <is>
          <t>✅ คำตอบที่ถูกต้อง: ข้อ ก. Ferrous sulfate 300 mg TID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ข้อนี้ไม่ใช่คำตอบที่ถูกต้องสำหรับภาวะ Anemia เนื่องจากกลไกการออกฤทธิ์, efficacy หรือข้อบ่งใช้ไม่ตรงกับโจทย์ที่กำหนด
• ข้อ ค. (Pyridoxine 50 mg OD): ข้อนี้ไม่ใช่คำตอบที่ถูกต้องสำหรับภาวะ Anemia เนื่องจากกลไกการออกฤทธิ์, efficacy หรือข้อบ่งใช้ไม่ตรงกับโจทย์ที่กำหนด
• ข้อ ง. (Hydroxyurea 500 mg OD): ข้อนี้ไม่ใช่คำตอบที่ถูกต้องสำหรับภาวะ Anemia เนื่องจากกลไกการออกฤทธิ์, efficacy หรือข้อบ่งใช้ไม่ตรงกับโจทย์ที่กำหนด
• ข้อ จ. (Blood transfusion (Packed Red Cells)):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7" s="2" t="n"/>
      <c r="L97" s="2" t="inlineStr">
        <is>
          <t>Anemia</t>
        </is>
      </c>
      <c r="M97" s="2" t="inlineStr">
        <is>
          <t>Clinic</t>
        </is>
      </c>
      <c r="N97" s="2" t="inlineStr">
        <is>
          <t>ข้อ 5 (PLE_CC1_Key_Rx20_UBU.md)</t>
        </is>
      </c>
      <c r="O97" s="2" t="inlineStr">
        <is>
          <t>Mock</t>
        </is>
      </c>
      <c r="P97" s="2" t="inlineStr">
        <is>
          <t>Mock Rx20 UBU</t>
        </is>
      </c>
    </row>
    <row r="98" ht="13.2" customHeight="1" s="37">
      <c r="A98" s="8" t="inlineStr">
        <is>
          <t>96</t>
        </is>
      </c>
      <c r="B98" s="2" t="inlineStr">
        <is>
          <t>Hb &lt; 13 หรือ Hct &lt; 41% ในผู้ชาย</t>
        </is>
      </c>
      <c r="C98" s="2" t="n"/>
      <c r="D98" s="2" t="inlineStr">
        <is>
          <t>Hydroxyurea 500 mg OD</t>
        </is>
      </c>
      <c r="E98" s="2" t="inlineStr">
        <is>
          <t>Blood transfusion (Packed Red Cells)</t>
        </is>
      </c>
      <c r="F98" s="2" t="inlineStr">
        <is>
          <t>Ferrous fumarate 200 mg TID</t>
        </is>
      </c>
      <c r="G98" s="2" t="inlineStr">
        <is>
          <t>Folic acid 5 mg OD</t>
        </is>
      </c>
      <c r="H98" s="2" t="inlineStr">
        <is>
          <t>Vitamin B12 1000 mcg IM</t>
        </is>
      </c>
      <c r="I98" s="8" t="inlineStr">
        <is>
          <t>1</t>
        </is>
      </c>
      <c r="J98" s="2" t="inlineStr">
        <is>
          <t>✅ คำตอบที่ถูกต้อง: ข้อ ก. Hydroxyurea 500 mg OD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ข้อนี้ไม่ใช่คำตอบที่ถูกต้องสำหรับภาวะ Anemia เนื่องจากกลไกการออกฤทธิ์, efficacy หรือข้อบ่งใช้ไม่ตรงกับโจทย์ที่กำหนด
• ข้อ ค. (Ferrous fumarate 200 mg TID): ข้อนี้ไม่ใช่คำตอบที่ถูกต้องสำหรับภาวะ Anemia เนื่องจากกลไกการออกฤทธิ์, efficacy หรือข้อบ่งใช้ไม่ตรงกับโจทย์ที่กำหนด
• ข้อ ง. (Folic acid 5 mg OD): ข้อนี้ไม่ใช่คำตอบที่ถูกต้องสำหรับภาวะ Anemia เนื่องจากกลไกการออกฤทธิ์, efficacy หรือข้อบ่งใช้ไม่ตรงกับโจทย์ที่กำหนด
• ข้อ จ. (Vitamin B12 1000 mcg IM):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8" s="2" t="n"/>
      <c r="L98" s="2" t="inlineStr">
        <is>
          <t>Anemia</t>
        </is>
      </c>
      <c r="M98" s="2" t="inlineStr">
        <is>
          <t>Clinic</t>
        </is>
      </c>
      <c r="N98" s="2" t="inlineStr">
        <is>
          <t>ข้อ 1 (PLE_CC1_Key_Rx20_UBU.md)</t>
        </is>
      </c>
      <c r="O98" s="2" t="inlineStr">
        <is>
          <t>Mock</t>
        </is>
      </c>
      <c r="P98" s="2" t="inlineStr">
        <is>
          <t>Mock Rx20 UBU</t>
        </is>
      </c>
    </row>
    <row r="99" ht="13.2" customHeight="1" s="37">
      <c r="A99" s="8" t="inlineStr">
        <is>
          <t>97</t>
        </is>
      </c>
      <c r="B99" s="2" t="inlineStr">
        <is>
          <t>MCV ต่ำ ค่าของผู้ป่วย 66 (ค่าปกติ 80-100) หรือ RBC มีขนาดเล็ก ซึ่งพบได้ในภาวะพร่องเหล็ก ข้อ 29 อาการใดไม่สัมพันธ์กับภาวะโลหิตจางของผู้ป่วย</t>
        </is>
      </c>
      <c r="C99" s="2" t="n"/>
      <c r="D99" s="2" t="inlineStr">
        <is>
          <t>เหนื่อย</t>
        </is>
      </c>
      <c r="E99" s="2" t="inlineStr">
        <is>
          <t>ใจสั่น</t>
        </is>
      </c>
      <c r="F99" s="2" t="inlineStr">
        <is>
          <t>ชาปลายเท้า</t>
        </is>
      </c>
      <c r="G99" s="2" t="inlineStr">
        <is>
          <t>ปวดศีรษะ</t>
        </is>
      </c>
      <c r="H99" s="2" t="inlineStr">
        <is>
          <t>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t>
        </is>
      </c>
      <c r="I99" s="8" t="inlineStr">
        <is>
          <t>2</t>
        </is>
      </c>
      <c r="J99" s="2" t="inlineStr">
        <is>
          <t>✅ คำตอบที่ถูกต้อง: ข้อ ข. ใจสั่น
💡 Background:
การบริบาลผู้ป่วยในกลุ่มโรค Anemia มุ่งเน้นการควบคุมโรคและลดความเสี่ยงต่อภาวะแทรกซ้อนด้วย evidence-based pharmacotherapy
🎯 ทำไมข้อนี้ถึงถูก:
ใจสั่น เพิ่มเติม การรับประทานมังสวิรัติ หรือกินเจ เป็นสาเหตุทำให้ขาดเหล็กได้เช่นกัน เนื่องจากผักส่วนใหญ่จะมี
🔍 ข้ออื่นผิดเพราะอะไร:
• ข้อ ก. (เหนื่อย): ข้อนี้ไม่ใช่คำตอบที่ถูกต้องสำหรับภาวะ Anemia เนื่องจากกลไกการออกฤทธิ์, efficacy หรือข้อบ่งใช้ไม่ตรงกับโจทย์ที่กำหนด
• ข้อ ค. (ชาปลายเท้า): ข้อนี้ไม่ใช่คำตอบที่ถูกต้องสำหรับภาวะ Anemia เนื่องจากกลไกการออกฤทธิ์, efficacy หรือข้อบ่งใช้ไม่ตรงกับโจทย์ที่กำหนด
• ข้อ ง. (ปวดศีรษะ): ข้อนี้ไม่ใช่คำตอบที่ถูกต้องสำหรับภาวะ Anemia เนื่องจากกลไกการออกฤทธิ์, efficacy หรือข้อบ่งใช้ไม่ตรงกับโจทย์ที่กำหนด
• ข้อ จ. (อ่อนเพลีย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 ข้อนี้ไม่ใช่คำตอบที่ถูกต้องสำหรับภาวะ Anemia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9" s="2" t="n"/>
      <c r="L99" s="2" t="inlineStr">
        <is>
          <t>Anemia</t>
        </is>
      </c>
      <c r="M99" s="2" t="inlineStr">
        <is>
          <t>Clinic</t>
        </is>
      </c>
      <c r="N99" s="2" t="inlineStr">
        <is>
          <t>ข้อ 4 (PLE_CC1_Key_Rx20_UBU.md)</t>
        </is>
      </c>
      <c r="O99" s="2" t="inlineStr">
        <is>
          <t>Mock</t>
        </is>
      </c>
      <c r="P99" s="2" t="inlineStr">
        <is>
          <t>Mock Rx20 UBU</t>
        </is>
      </c>
    </row>
  </sheetData>
  <mergeCells count="1">
    <mergeCell ref="A1:F1"/>
  </mergeCell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Q120"/>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เด็กชายอายุ 5 ปี โดนสุนัขกัดที่บริเวณหน้า คุณแม่พาสมาให้แพทย์ฉีดวัคซีน
นอกจากแพทย์ฉีดวัคซีนพิษสุนัขบ้าให้แล้ว ต้องฉีดอะไรอีก ที่เหมาะสมที่สุด</t>
        </is>
      </c>
      <c r="C3" s="2" t="n"/>
      <c r="D3" s="2" t="inlineStr">
        <is>
          <t>HRIG คู่กับ tetanus วัคซีน</t>
        </is>
      </c>
      <c r="E3" s="2" t="inlineStr">
        <is>
          <t>ERIG คู่กับ tetanus วัคซีน</t>
        </is>
      </c>
      <c r="F3" s="2" t="inlineStr">
        <is>
          <t>HRIG คู่กับ pertussis วัคซีน</t>
        </is>
      </c>
      <c r="G3" s="2" t="inlineStr">
        <is>
          <t>HRIG คู่กับ ERIG</t>
        </is>
      </c>
      <c r="H3" s="2" t="inlineStr">
        <is>
          <t>ไม่ต้องฉีดเพิ่มแล้ว</t>
        </is>
      </c>
      <c r="I3" s="8" t="inlineStr">
        <is>
          <t>1</t>
        </is>
      </c>
      <c r="J3" s="2" t="inlineStr">
        <is>
          <t>✅ คำตอบที่ถูกต้อง: ข้อ ก. HRIG คู่กับ tetanus วัคซีน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HRIG คู่กับ tetanus วัคซีน เนื่องจากเด็กถูกสุนัขกัดบริเวณใบหน้าซึ่งเป็นจุดที่มีเส้นประสาทหนาแน่นและใกล้สมอง ถือเป็น Category III (แผลลึกหรือถูกกัดบริเวณใบหน้า/คอ) จึงต้องได้รับ Rabies immune globulin (ในที่นี้เลือก HRIG เนื่องจากโอกาสแพ้น้อยกว่าเมื่อเทียบกับม้า) ร่วมกับวัคซีนป้องกันโรคพิษสุนัขบ้า และเนื่องจากบาดแผลจากสัตว์กัดต้องพิจารณาเรื่องบาดทะยักด้วย จึงต้องฉีด Tetanus vaccine ตาม
🔍 ข้ออื่นผิดเพราะอะไร:
• ข้อ ข. (ERIG คู่กับ tetanus วัคซีน): ข้อนี้ไม่ใช่คำตอบที่ถูกต้องสำหรับภาวะ EPI Vaccines เนื่องจากกลไกการออกฤทธิ์, efficacy หรือข้อบ่งใช้ไม่ตรงกับโจทย์ที่กำหนด
• ข้อ ค. (HRIG คู่กับ pertussis วัคซีน): ข้อนี้ไม่ใช่คำตอบที่ถูกต้องสำหรับภาวะ EPI Vaccines เนื่องจากกลไกการออกฤทธิ์, efficacy หรือข้อบ่งใช้ไม่ตรงกับโจทย์ที่กำหนด
• ข้อ ง. (HRIG คู่กับ ERIG): ข้อนี้ไม่ใช่คำตอบที่ถูกต้องสำหรับภาวะ EPI Vaccines เนื่องจากกลไกการออกฤทธิ์, efficacy หรือข้อบ่งใช้ไม่ตรงกับโจทย์ที่กำหนด
• ข้อ จ. (ไม่ต้องฉีดเพิ่มแล้ว):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EPI Vaccines</t>
        </is>
      </c>
      <c r="M3" s="2" t="inlineStr">
        <is>
          <t>Clinic</t>
        </is>
      </c>
      <c r="N3" s="2" t="inlineStr">
        <is>
          <t>ข้อ 1 Pharma Plus เล่มม่วง (เฉลยข้อ ก ข)</t>
        </is>
      </c>
      <c r="O3" s="2" t="inlineStr">
        <is>
          <t>Mock</t>
        </is>
      </c>
      <c r="P3" s="2" t="inlineStr">
        <is>
          <t>Pharma Plus เล่มม่วง</t>
        </is>
      </c>
    </row>
    <row r="4" ht="13.2" customHeight="1" s="37">
      <c r="A4" s="8" t="inlineStr">
        <is>
          <t>2</t>
        </is>
      </c>
      <c r="B4" s="2" t="inlineStr">
        <is>
          <t>วัคซีนพิษสุนัขบ้าเป็นเชื้อชนิดใด</t>
        </is>
      </c>
      <c r="C4" s="2" t="n"/>
      <c r="D4" s="2" t="inlineStr">
        <is>
          <t>Live attenuated vaccine</t>
        </is>
      </c>
      <c r="E4" s="2" t="inlineStr">
        <is>
          <t>Toxoids</t>
        </is>
      </c>
      <c r="F4" s="2" t="inlineStr">
        <is>
          <t>Killed vaccine</t>
        </is>
      </c>
      <c r="G4" s="2" t="inlineStr">
        <is>
          <t>Subunit</t>
        </is>
      </c>
      <c r="H4" s="2" t="inlineStr">
        <is>
          <t>Immunoglobulin</t>
        </is>
      </c>
      <c r="I4" s="8" t="inlineStr">
        <is>
          <t>1</t>
        </is>
      </c>
      <c r="J4" s="2" t="inlineStr">
        <is>
          <t>✅ คำตอบที่ถูกต้อง: ข้อ ก. Live attenuated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Live attenuated vaccine วัคซีนป้องกันโรคพิษสุนัขบ้าที่ใช้ในปัจจุบันผลิตจากเชื้อตาย (Inactivated หรือ Killed vaccine) เพื่อ safety ป้องกันไม่ให้เกิดโรคจากตัววัคซีนเองในผู้รับบริการ
🔍 ข้ออื่นผิดเพราะอะไร:
• ข้อ ข. (Toxoids): ข้อนี้ไม่ใช่คำตอบที่ถูกต้องสำหรับภาวะ EPI Vaccines เนื่องจากกลไกการออกฤทธิ์, efficacy หรือข้อบ่งใช้ไม่ตรงกับโจทย์ที่กำหนด
• ข้อ ค. (Killed vaccine): ข้อนี้ไม่ใช่คำตอบที่ถูกต้องสำหรับภาวะ EPI Vaccines เนื่องจากกลไกการออกฤทธิ์, efficacy หรือข้อบ่งใช้ไม่ตรงกับโจทย์ที่กำหนด
• ข้อ ง. (Subunit): ข้อนี้ไม่ใช่คำตอบที่ถูกต้องสำหรับภาวะ EPI Vaccines เนื่องจากกลไกการออกฤทธิ์, efficacy หรือข้อบ่งใช้ไม่ตรงกับโจทย์ที่กำหนด
• ข้อ จ. (Immunoglobulin):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EPI Vaccines</t>
        </is>
      </c>
      <c r="M4" s="2" t="inlineStr">
        <is>
          <t>Clinic</t>
        </is>
      </c>
      <c r="N4" s="2" t="inlineStr">
        <is>
          <t>ข้อ 2 Pharma Plus เล่มม่วง (เฉลยข้อ ก)</t>
        </is>
      </c>
      <c r="O4" s="2" t="inlineStr">
        <is>
          <t>Mock</t>
        </is>
      </c>
      <c r="P4" s="2" t="inlineStr">
        <is>
          <t>Pharma Plus เล่มม่วง</t>
        </is>
      </c>
    </row>
    <row r="5" ht="13.2" customHeight="1" s="37">
      <c r="A5" s="8" t="inlineStr">
        <is>
          <t>3</t>
        </is>
      </c>
      <c r="B5" s="2" t="inlineStr">
        <is>
          <t>แม่ต้องพาลูกมาฉีดกี่ครั้ง</t>
        </is>
      </c>
      <c r="C5" s="2" t="n"/>
      <c r="D5" s="2" t="inlineStr">
        <is>
          <t>Montelukast 10 mg HS</t>
        </is>
      </c>
      <c r="E5" s="2" t="inlineStr">
        <is>
          <t>Hydroxyzine 25 mg HS</t>
        </is>
      </c>
      <c r="F5" s="2" t="inlineStr">
        <is>
          <t>Diphenhydramine 25 mg IV</t>
        </is>
      </c>
      <c r="G5" s="2" t="inlineStr">
        <is>
          <t>Cetirizine 10 mg OD</t>
        </is>
      </c>
      <c r="H5" s="2" t="inlineStr">
        <is>
          <t>Loratadine 10 mg OD</t>
        </is>
      </c>
      <c r="I5" s="8" t="inlineStr">
        <is>
          <t>4</t>
        </is>
      </c>
      <c r="J5" s="2" t="inlineStr">
        <is>
          <t>✅ คำตอบที่ถูกต้อง: ข้อ ง. Cetirizine 10 mg OD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Cetirizine 10 mg OD ตามแนวทางการฉีดวัคซีนป้องกันโรคพิษสุนัขบ้าแบบ Intramuscular (IM) ในกรณีที่มารับวัคซีนหลังสัมผัสโรค จะฉีดทั้งหมด 5 ครั้ง ในวันที่ 0, 3, 7, 14 และ 28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ข. (Hydroxyzine 25 mg HS): ข้อนี้ไม่ใช่คำตอบที่ถูกต้องสำหรับภาวะ EPI Vaccines เนื่องจากกลไกการออกฤทธิ์, efficacy หรือข้อบ่งใช้ไม่ตรงกับโจทย์ที่กำหนด
• ข้อ ค. (Diphenhydramine 25 mg IV): ข้อนี้ไม่ใช่คำตอบที่ถูกต้องสำหรับภาวะ EPI Vaccines เนื่องจากกลไกการออกฤทธิ์, efficacy หรือข้อบ่งใช้ไม่ตรงกับโจทย์ที่กำหนด
• ข้อ จ. (Loratadine 10 mg OD):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EPI Vaccines</t>
        </is>
      </c>
      <c r="M5" s="2" t="inlineStr">
        <is>
          <t>Clinic</t>
        </is>
      </c>
      <c r="N5" s="2" t="inlineStr">
        <is>
          <t>ข้อ 3 Pharma Plus เล่มม่วง (เฉลยข้อ ง)</t>
        </is>
      </c>
      <c r="O5" s="2" t="inlineStr">
        <is>
          <t>Mock</t>
        </is>
      </c>
      <c r="P5" s="2" t="inlineStr">
        <is>
          <t>Pharma Plus เล่มม่วง</t>
        </is>
      </c>
    </row>
    <row r="6" ht="13.2" customHeight="1" s="37">
      <c r="A6" s="8" t="inlineStr">
        <is>
          <t>4</t>
        </is>
      </c>
      <c r="B6" s="2" t="inlineStr">
        <is>
          <t>ถ้าครั้งที่ 2 ของการฉีดวัคซีน เด็กไม่สามารถมาตามตารางนัดได้ ข้อใดสามารถทำได้เพื่อให้เด็กมีภูมิคุ้มกันอยู่</t>
        </is>
      </c>
      <c r="C6" s="2" t="n"/>
      <c r="D6" s="2" t="inlineStr">
        <is>
          <t>ให้มารับการฉีดวัคซีนก่อนกำหนด 1 วัน</t>
        </is>
      </c>
      <c r="E6" s="2" t="inlineStr">
        <is>
          <t>ให้มารับการฉีดวัคซีนครั้งที่ 3 แทน</t>
        </is>
      </c>
      <c r="F6" s="2" t="inlineStr">
        <is>
          <t>เริ่มต้นการฉีดวัคซีนใหม่</t>
        </is>
      </c>
      <c r="G6" s="2" t="inlineStr">
        <is>
          <t>ให้มารับการฉีดวัคซีนหลังกำหนดให้เร็วที่สุด</t>
        </is>
      </c>
      <c r="H6" s="2" t="inlineStr">
        <is>
          <t>ให้มารับการฉีดวัคซีนหลังกำหนด 5 วัน</t>
        </is>
      </c>
      <c r="I6" s="8" t="inlineStr">
        <is>
          <t>4</t>
        </is>
      </c>
      <c r="J6" s="2" t="inlineStr">
        <is>
          <t>✅ คำตอบที่ถูกต้อง: ข้อ ง. ให้มารับการฉีดวัคซีนหลังกำหนดให้เร็วที่สุด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ให้มารับการฉีดวัคซีนหลังกำหนดให้เร็วที่สุด หากผู้ป่วยมาฉีดวัคซีนไม่ตรงตามนัด (Delayed dose) ไม่จำเป็นต้องเริ่มฉีดใหม่ตั้งแต่ต้น แต่ให้ฉีดเข็มที่ขาดนั้นให้เร็วที่สุดเท่าที่จะทำได้ และเลื่อนวันนัดครั้งต่อไปออกไปตามระยะห่างที่เหลือ
🔍 ข้ออื่นผิดเพราะอะไร:
• ข้อ ก. (ให้มารับการฉีดวัคซีนก่อนกำหนด 1 วัน): ข้อนี้ไม่ใช่คำตอบที่ถูกต้องสำหรับภาวะ EPI Vaccines เนื่องจากกลไกการออกฤทธิ์, efficacy หรือข้อบ่งใช้ไม่ตรงกับโจทย์ที่กำหนด
• ข้อ ข. (ให้มารับการฉีดวัคซีนครั้งที่ 3 แทน): ข้อนี้ไม่ใช่คำตอบที่ถูกต้องสำหรับภาวะ EPI Vaccines เนื่องจากกลไกการออกฤทธิ์, efficacy หรือข้อบ่งใช้ไม่ตรงกับโจทย์ที่กำหนด
• ข้อ ค. (เริ่มต้นการฉีดวัคซีนใหม่): ข้อนี้ไม่ใช่คำตอบที่ถูกต้องสำหรับภาวะ EPI Vaccines เนื่องจากกลไกการออกฤทธิ์, efficacy หรือข้อบ่งใช้ไม่ตรงกับโจทย์ที่กำหนด
• ข้อ จ. (ให้มารับการฉีดวัคซีนหลังกำหนด 5 วัน):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n"/>
      <c r="L6" s="2" t="inlineStr">
        <is>
          <t>EPI Vaccines</t>
        </is>
      </c>
      <c r="M6" s="2" t="inlineStr">
        <is>
          <t>Clinic</t>
        </is>
      </c>
      <c r="N6" s="2" t="inlineStr">
        <is>
          <t>ข้อ 4 Pharma Plus เล่มม่วง (เฉลยข้อ ง)</t>
        </is>
      </c>
      <c r="O6" s="2" t="inlineStr">
        <is>
          <t>Mock</t>
        </is>
      </c>
      <c r="P6" s="2" t="inlineStr">
        <is>
          <t>Pharma Plus เล่มม่วง</t>
        </is>
      </c>
    </row>
    <row r="7" ht="13.2" customHeight="1" s="37">
      <c r="A7" s="8" t="inlineStr">
        <is>
          <t>5</t>
        </is>
      </c>
      <c r="B7" s="2" t="inlineStr">
        <is>
          <t>ผู้ที่เคยได้รับวัคซีนพิษสุนัขบ้าครบอย่างน้อย 3 เข็มมาก่อน แต่เป็นเวลานานแล้ว เมื่อถูกกัดอีก จะฉีดวัคซีนอย่างไร โดยระยะเวลาตั้งแต่รับวัคซีนครั้งสุดท้ายสั้นกว่า 6 เดือน</t>
        </is>
      </c>
      <c r="C7" s="2" t="n"/>
      <c r="D7" s="2" t="inlineStr">
        <is>
          <t>ฉีดใหม่ทั้งชุด 5 เข็ม</t>
        </is>
      </c>
      <c r="E7" s="2" t="inlineStr">
        <is>
          <t>ไม่ต้องฉีดวัคซีน</t>
        </is>
      </c>
      <c r="F7" s="2" t="inlineStr">
        <is>
          <t>ฉีดซ้ำใหม่เพียงหนึ่งเข็ม</t>
        </is>
      </c>
      <c r="G7" s="2" t="inlineStr">
        <is>
          <t>ฉีดวัคซีนอีกสองเข็ม</t>
        </is>
      </c>
      <c r="H7" s="2" t="inlineStr">
        <is>
          <t>แล้วแต่กรณี</t>
        </is>
      </c>
      <c r="I7" s="8" t="inlineStr">
        <is>
          <t>3</t>
        </is>
      </c>
      <c r="J7" s="2" t="inlineStr">
        <is>
          <t>✅ คำตอบที่ถูกต้อง: ข้อ ค. ฉีดซ้ำใหม่เพียงหนึ่งเข็ม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ฉีดซ้ำใหม่เพียงหนึ่งเข็ม ตามแนวทางของ WHO และกระทรวงสาธารณสุข หากผู้ป่วยเคยได้รับวัคซีนพิษสุนัขบ้าครบชุดมาแล้ว และครั้งสุดท้ายน้อยกว่า 6 เดือน เมื่อถูกกัดซ้ำจะให้ฉีดกระตุ้นเพียง 1 เข็ม (ในวันที่ 0 และอาจพิจารณาเพิ่มวันที่ 3 ตามแนวทางบางฉบับ แต่หลักการกระตุ้นสั้นคือ 1-2 เข็ม โดยทั่วไปถ้าเพิ่งรับมา
🔍 ข้ออื่นผิดเพราะอะไร:
• ข้อ ก. (ฉีดใหม่ทั้งชุด 5 เข็ม): ข้อนี้ไม่ใช่คำตอบที่ถูกต้องสำหรับภาวะ EPI Vaccines เนื่องจากกลไกการออกฤทธิ์, efficacy หรือข้อบ่งใช้ไม่ตรงกับโจทย์ที่กำหนด
• ข้อ ข. (ไม่ต้องฉีดวัคซีน): ข้อนี้ไม่ใช่คำตอบที่ถูกต้องสำหรับภาวะ EPI Vaccines เนื่องจากกลไกการออกฤทธิ์, efficacy หรือข้อบ่งใช้ไม่ตรงกับโจทย์ที่กำหนด
• ข้อ ง. (ฉีดวัคซีนอีกสองเข็ม): ข้อนี้ไม่ใช่คำตอบที่ถูกต้องสำหรับภาวะ EPI Vaccines เนื่องจากกลไกการออกฤทธิ์, efficacy หรือข้อบ่งใช้ไม่ตรงกับโจทย์ที่กำหนด
• ข้อ จ. (แล้วแต่กรณี):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EPI Vaccines</t>
        </is>
      </c>
      <c r="M7" s="2" t="inlineStr">
        <is>
          <t>Clinic</t>
        </is>
      </c>
      <c r="N7" s="2" t="inlineStr">
        <is>
          <t>ข้อ 5 Pharma Plus เล่มม่วง (เฉลยข้อ ค)</t>
        </is>
      </c>
      <c r="O7" s="2" t="inlineStr">
        <is>
          <t>Mock</t>
        </is>
      </c>
      <c r="P7" s="2" t="inlineStr">
        <is>
          <t>Pharma Plus เล่มม่วง</t>
        </is>
      </c>
    </row>
    <row r="8" ht="13.2" customHeight="1" s="37">
      <c r="A8" s="8" t="inlineStr">
        <is>
          <t>6</t>
        </is>
      </c>
      <c r="B8" s="2" t="inlineStr">
        <is>
          <t>ข้อใดผิดเกี่ยวกับชีววัตถุ</t>
        </is>
      </c>
      <c r="C8" s="2" t="n"/>
      <c r="D8" s="2" t="inlineStr">
        <is>
          <t>เป็นวัตถุที่สังเคราะห์ทางเคมีได้ง่าย</t>
        </is>
      </c>
      <c r="E8" s="2" t="inlineStr">
        <is>
          <t>ตัวอย่างของชีววัตถุ คือ antitoxins , bacterial vaccines , blood products , hormone extracts</t>
        </is>
      </c>
      <c r="F8" s="2" t="inlineStr">
        <is>
          <t>Insulin จัดเป็นชีววัตถุ</t>
        </is>
      </c>
      <c r="G8" s="2" t="inlineStr">
        <is>
          <t>วัตถุที่ได้จากสิ่งมีชีวิตและใช้สำหรับป้องกันหรือรักษาโรค</t>
        </is>
      </c>
      <c r="H8" s="2" t="inlineStr">
        <is>
          <t>ไม่มีข้อผิด</t>
        </is>
      </c>
      <c r="I8" s="8" t="inlineStr">
        <is>
          <t>1</t>
        </is>
      </c>
      <c r="J8" s="2" t="inlineStr">
        <is>
          <t>✅ คำตอบที่ถูกต้อง: ข้อ ก. เป็นวัตถุที่สังเคราะห์ทางเคมีได้ง่าย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เป็นวัตถุที่สังเคราะห์ทางเคมีได้ง่าย ชีววัตถุ (Biological products) คือผลิตภัณฑ์ที่ได้จากสิ่งมีชีวิต เช่น วัคซีน แอนติท็อกซิน ผลิตภัณฑ์จากเลือด และฮอร์โมนบางชนิด ซึ่งมีความซับซ้อนสูง ไม่สามารถสังเคราะห์ทางเคมีได้ง่ายเหมือนยาเคมีทั่วไป ดังนั้นข้อ 1 จึงเป็นข้อที่กล่าวผิด
🔍 ข้ออื่นผิดเพราะอะไร:
• ข้อ ข. (ตัวอย่างของชีววัตถุ คือ antitoxins , bacterial vaccines , blood products , hormone extracts): ข้อนี้ไม่ใช่คำตอบที่ถูกต้องสำหรับภาวะ Allergic rhinitis เนื่องจากกลไกการออกฤทธิ์, efficacy หรือข้อบ่งใช้ไม่ตรงกับโจทย์ที่กำหนด
• ข้อ ค. (Insulin จัดเป็นชีววัตถุ): ข้อนี้ไม่ใช่คำตอบที่ถูกต้องสำหรับภาวะ Allergic rhinitis เนื่องจากกลไกการออกฤทธิ์, efficacy หรือข้อบ่งใช้ไม่ตรงกับโจทย์ที่กำหนด
• ข้อ ง. (วัตถุที่ได้จากสิ่งมีชีวิตและใช้สำหรับป้องกันหรือรักษาโรค): ข้อนี้ไม่ใช่คำตอบที่ถูกต้องสำหรับภาวะ Allergic rhinitis เนื่องจากกลไกการออกฤทธิ์, efficacy หรือข้อบ่งใช้ไม่ตรงกับโจทย์ที่กำหนด
• ข้อ จ. (ไม่มีข้อผิด):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2" t="n"/>
      <c r="L8" s="2" t="inlineStr">
        <is>
          <t>Allergic rhinitis</t>
        </is>
      </c>
      <c r="M8" s="2" t="inlineStr">
        <is>
          <t>Clinic</t>
        </is>
      </c>
      <c r="N8" s="2" t="inlineStr">
        <is>
          <t>ข้อ 6 Pharma Plus เล่มม่วง (เฉลยข้อ ก)</t>
        </is>
      </c>
      <c r="O8" s="2" t="inlineStr">
        <is>
          <t>Mock</t>
        </is>
      </c>
      <c r="P8" s="2" t="inlineStr">
        <is>
          <t>Pharma Plus เล่มม่วง</t>
        </is>
      </c>
    </row>
    <row r="9" ht="13.2" customHeight="1" s="37">
      <c r="A9" s="8" t="inlineStr">
        <is>
          <t>7</t>
        </is>
      </c>
      <c r="B9" s="2" t="inlineStr">
        <is>
          <t>วัตถุประสงค์ในการเติม adjuvant คือข้อใด</t>
        </is>
      </c>
      <c r="C9" s="2" t="n"/>
      <c r="D9" s="2" t="inlineStr">
        <is>
          <t>เพื่อเพิ่มการละลาย</t>
        </is>
      </c>
      <c r="E9" s="2" t="inlineStr">
        <is>
          <t>ทำให้ไวรัสอ่อนฤทธิ์ลง</t>
        </is>
      </c>
      <c r="F9" s="2" t="inlineStr">
        <is>
          <t>เพื่อเพิ่มความคงตัว</t>
        </is>
      </c>
      <c r="G9" s="2" t="inlineStr">
        <is>
          <t>เพื่อเป็นสารต้านจุลชีพ</t>
        </is>
      </c>
      <c r="H9" s="2" t="inlineStr">
        <is>
          <t>เพื่อเพิ่มการตอบสนองต่อภูมิคุ้มกัน</t>
        </is>
      </c>
      <c r="I9" s="8" t="inlineStr">
        <is>
          <t>5</t>
        </is>
      </c>
      <c r="J9" s="2" t="inlineStr">
        <is>
          <t>✅ คำตอบที่ถูกต้อง: ข้อ จ. เพื่อเพิ่มการตอบสนองต่อภูมิคุ้มกัน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เพื่อเพิ่มการตอบสนองต่อภูมิคุ้มกัน Adjuvant (เช่น Alum) เติมลงในวัคซีนเพื่อกระตุ้นระบบภูมิคุ้มกัน (Immune response) ให้ตอบสนองต่อแอนติเจนได้ดีและยาวนานขึ้น ตามหลักการสร้างเสริมภูมิคุ้มกันโรค
🔍 ข้ออื่นผิดเพราะอะไร:
• ข้อ ก. (เพื่อเพิ่มการละลาย): ข้อนี้ไม่ใช่คำตอบที่ถูกต้องสำหรับภาวะ EPI Vaccines เนื่องจากกลไกการออกฤทธิ์, efficacy หรือข้อบ่งใช้ไม่ตรงกับโจทย์ที่กำหนด
• ข้อ ข. (ทำให้ไวรัสอ่อนฤทธิ์ลง): ข้อนี้ไม่ใช่คำตอบที่ถูกต้องสำหรับภาวะ EPI Vaccines เนื่องจากกลไกการออกฤทธิ์, efficacy หรือข้อบ่งใช้ไม่ตรงกับโจทย์ที่กำหนด
• ข้อ ค. (เพื่อเพิ่มความคงตัว): ข้อนี้ไม่ใช่คำตอบที่ถูกต้องสำหรับภาวะ EPI Vaccines เนื่องจากกลไกการออกฤทธิ์, efficacy หรือข้อบ่งใช้ไม่ตรงกับโจทย์ที่กำหนด
• ข้อ ง. (เพื่อเป็นสารต้านจุลชีพ):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EPI Vaccines</t>
        </is>
      </c>
      <c r="M9" s="2" t="inlineStr">
        <is>
          <t>Clinic</t>
        </is>
      </c>
      <c r="N9" s="2" t="inlineStr">
        <is>
          <t>ข้อ 7 Pharma Plus เล่มม่วง (เฉลยข้อ จ)</t>
        </is>
      </c>
      <c r="O9" s="2" t="inlineStr">
        <is>
          <t>Mock</t>
        </is>
      </c>
      <c r="P9" s="2" t="inlineStr">
        <is>
          <t>Pharma Plus เล่มม่วง</t>
        </is>
      </c>
    </row>
    <row r="10" ht="13.2" customHeight="1" s="37">
      <c r="A10" s="8" t="inlineStr">
        <is>
          <t>8</t>
        </is>
      </c>
      <c r="B10" s="2" t="inlineStr">
        <is>
          <t>หากท่านเป็นเภสัชกรณ์ ท่านจะเก็บวัคซีนใดในช่องแช่แข็ง เพื่อเพิ่มอายุยาให้นานขึ้น</t>
        </is>
      </c>
      <c r="C10" s="2" t="n"/>
      <c r="D10" s="2" t="inlineStr">
        <is>
          <t>DTP</t>
        </is>
      </c>
      <c r="E10" s="2" t="inlineStr">
        <is>
          <t>OPV</t>
        </is>
      </c>
      <c r="F10" s="2" t="inlineStr">
        <is>
          <t>HBV</t>
        </is>
      </c>
      <c r="G10" s="2" t="inlineStr">
        <is>
          <t>Typhoid vaccine</t>
        </is>
      </c>
      <c r="H10" s="2" t="inlineStr">
        <is>
          <t>Rabies vaccine</t>
        </is>
      </c>
      <c r="I10" s="8" t="inlineStr">
        <is>
          <t>2</t>
        </is>
      </c>
      <c r="J10" s="2" t="inlineStr">
        <is>
          <t>✅ คำตอบที่ถูกต้อง: ข้อ ข.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วัคซีน Oral Polio Vaccine (OPV) เป็นวัคซีนชนิดเชื้อเป็นอ่อนฤทธิ์ (Live-attenuated) ที่ต้องเก็บรักษาในช่องแช่แข็ง (-15 ถึง -25 องศาเซลเซียส) เพื่อคงสภาพและเพิ่มอายุของยา ในขณะที่วัคซีนที่มีส่วนผสมของ toxoid หรือ killed vaccine เช่น DTP, HBV ต้องเก็บในตู้เย็นช่องธรรมดา ห้ามแช่แข็ง
🔍 ข้ออื่นผิดเพราะอะไร:
• ข้อ ก. (DTP): วัคซีนรวมคอตีบ-บาดทะยัก ฉีดกระตุ้นทุก 10 ปี หรือใช้ในหญิงตั้งครรภ์และผู้ใหญ่
• ข้อ ค. (HBV): ข้อนี้ไม่ใช่คำตอบที่ถูกต้องสำหรับภาวะ EPI Vaccines เนื่องจากกลไกการออกฤทธิ์, efficacy หรือข้อบ่งใช้ไม่ตรงกับโจทย์ที่กำหนด
• ข้อ ง. (Typhoid vaccine): ข้อนี้ไม่ใช่คำตอบที่ถูกต้องสำหรับภาวะ EPI Vaccines เนื่องจากกลไกการออกฤทธิ์, efficacy หรือข้อบ่งใช้ไม่ตรงกับโจทย์ที่กำหนด
• ข้อ จ. (Rabies vaccine):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EPI Vaccines</t>
        </is>
      </c>
      <c r="M10" s="2" t="inlineStr">
        <is>
          <t>Clinic</t>
        </is>
      </c>
      <c r="N10" s="2" t="inlineStr">
        <is>
          <t>ข้อ 8 Pharma Plus เล่มม่วง (เฉลยข้อ ข)</t>
        </is>
      </c>
      <c r="O10" s="2" t="inlineStr">
        <is>
          <t>Mock</t>
        </is>
      </c>
      <c r="P10" s="2" t="inlineStr">
        <is>
          <t>Pharma Plus เล่มม่วง</t>
        </is>
      </c>
    </row>
    <row r="11" ht="13.2" customHeight="1" s="37">
      <c r="A11" s="8" t="inlineStr">
        <is>
          <t>9</t>
        </is>
      </c>
      <c r="B11" s="2" t="inlineStr">
        <is>
          <t>ข้อใดไม่ใช่ live-attenuated vaccine</t>
        </is>
      </c>
      <c r="C11" s="2" t="n"/>
      <c r="D11" s="2" t="inlineStr">
        <is>
          <t>BCG</t>
        </is>
      </c>
      <c r="E11" s="2" t="inlineStr">
        <is>
          <t>MMR</t>
        </is>
      </c>
      <c r="F11" s="2" t="inlineStr">
        <is>
          <t>DTP</t>
        </is>
      </c>
      <c r="G11" s="2" t="inlineStr">
        <is>
          <t>Varicella vaccine</t>
        </is>
      </c>
      <c r="H11" s="2" t="inlineStr">
        <is>
          <t>Polio</t>
        </is>
      </c>
      <c r="I11" s="8" t="inlineStr">
        <is>
          <t>3</t>
        </is>
      </c>
      <c r="J11" s="2" t="inlineStr">
        <is>
          <t>✅ คำตอบที่ถูกต้อง: ข้อ ค. DTP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ประกอบด้วย Diphtheria toxoid, Tetanus toxoid และ Pertussis (Inactivated bacteria) ซึ่งไม่ใช่ live-attenuated vaccine ในขณะที่ BCG, MMR, Varicella และ OPV เป็นวัคซีนเชื้อเป็นอ่อนฤทธิ์
🔍 ข้ออื่นผิดเพราะอะไร:
• ข้อ ก. (BCG): เป็น live attenuated vaccine ฉีด ID ตั้งแต่แรกเกิด (at birth) ป้องกัน severe forms of TB (TB meningitis และ miliary TB)
• ข้อ ข. (MMR): เป็น Live attenuated vaccine รวมหัด-คางทูม-หัดเยอรมัน ให้เข็มที่ 1 ที่อายุ 9-12 เดือน และเข็มที่ 2 ที่ 18 เดือน (contraindication ในหญิงตั้งครรภ์)
• ข้อ ง. (Varicella vaccine): ข้อนี้ไม่ใช่คำตอบที่ถูกต้องสำหรับภาวะ Hypersensitivity เนื่องจากกลไกการออกฤทธิ์, efficacy หรือข้อบ่งใช้ไม่ตรงกับโจทย์ที่กำหนด
• ข้อ จ. (Polio): ข้อนี้ไม่ใช่คำตอบที่ถูกต้องสำหรับภาวะ Hypersensitivity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Hypersensitivity</t>
        </is>
      </c>
      <c r="M11" s="2" t="inlineStr">
        <is>
          <t>Clinic</t>
        </is>
      </c>
      <c r="N11" s="2" t="inlineStr">
        <is>
          <t>ข้อ 9 Pharma Plus เล่มม่วง (เฉลยข้อ ค)</t>
        </is>
      </c>
      <c r="O11" s="2" t="inlineStr">
        <is>
          <t>Mock</t>
        </is>
      </c>
      <c r="P11" s="2" t="inlineStr">
        <is>
          <t>Pharma Plus เล่มม่วง</t>
        </is>
      </c>
    </row>
    <row r="12" ht="13.2" customHeight="1" s="37">
      <c r="A12" s="8" t="inlineStr">
        <is>
          <t>10</t>
        </is>
      </c>
      <c r="B12" s="2" t="inlineStr">
        <is>
          <t>วัคซีนใดไม่ได้อยู่ในโปรแกรมเสริมสร้างภูมิคุ้มกัน</t>
        </is>
      </c>
      <c r="C12" s="2" t="n"/>
      <c r="D12" s="2" t="inlineStr">
        <is>
          <t>หัด</t>
        </is>
      </c>
      <c r="E12" s="2" t="inlineStr">
        <is>
          <t>คางทูม</t>
        </is>
      </c>
      <c r="F12" s="2" t="inlineStr">
        <is>
          <t>โปลิโอ</t>
        </is>
      </c>
      <c r="G12" s="2" t="inlineStr">
        <is>
          <t>อีสุกอีใส</t>
        </is>
      </c>
      <c r="H12" s="2" t="inlineStr">
        <is>
          <t>บาดทะยัก</t>
        </is>
      </c>
      <c r="I12" s="8" t="inlineStr">
        <is>
          <t>4</t>
        </is>
      </c>
      <c r="J12" s="2" t="inlineStr">
        <is>
          <t>✅ คำตอบที่ถูกต้อง: ข้อ ง.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ในประเทศไทยปัจจุบันยังไม่ได้ถูกบรรจุเป็นวัคซีนพื้นฐานบังคับในโปรแกรมสร้างเสริมภูมิคุ้มกันโรคแห่งชาติสำหรับเด็กทุกคนโดยไม่เสียค่าใช้จ่าย (แม้จะแนะนำในกลุ่มเสี่ยงหรือฉีดตามความสมัครใจก็ตาม) ต่างจาก หัด, คางทูม, โปลิโอ และบาดทะยักที่เป็นวัคซีนพื้นฐาน
🔍 ข้ออื่นผิดเพราะอะไร:
• ข้อ ก. (หัด): ข้อนี้ไม่ใช่คำตอบที่ถูกต้องสำหรับภาวะ EPI Vaccines เนื่องจากกลไกการออกฤทธิ์, efficacy หรือข้อบ่งใช้ไม่ตรงกับโจทย์ที่กำหนด
• ข้อ ข. (คางทูม): ข้อนี้ไม่ใช่คำตอบที่ถูกต้องสำหรับภาวะ EPI Vaccines เนื่องจากกลไกการออกฤทธิ์, efficacy หรือข้อบ่งใช้ไม่ตรงกับโจทย์ที่กำหนด
• ข้อ ค. (โปลิโอ): ข้อนี้ไม่ใช่คำตอบที่ถูกต้องสำหรับภาวะ EPI Vaccines เนื่องจากกลไกการออกฤทธิ์, efficacy หรือข้อบ่งใช้ไม่ตรงกับโจทย์ที่กำหนด
• ข้อ จ. (บาดทะยัก):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EPI Vaccines</t>
        </is>
      </c>
      <c r="M12" s="2" t="inlineStr">
        <is>
          <t>Clinic</t>
        </is>
      </c>
      <c r="N12" s="2" t="inlineStr">
        <is>
          <t>ข้อ 10 Pharma Plus เล่มม่วง (เฉลยข้อ ง)</t>
        </is>
      </c>
      <c r="O12" s="2" t="inlineStr">
        <is>
          <t>Mock</t>
        </is>
      </c>
      <c r="P12" s="2" t="inlineStr">
        <is>
          <t>Pharma Plus เล่มม่วง</t>
        </is>
      </c>
    </row>
    <row r="13" ht="13.2" customHeight="1" s="37">
      <c r="A13" s="8" t="inlineStr">
        <is>
          <t>11</t>
        </is>
      </c>
      <c r="B13" s="2"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วัคซีนที่ให้เด็กตั้งแต่แรกเกิดคือ</t>
        </is>
      </c>
      <c r="C13" s="2" t="n"/>
      <c r="D13" s="2" t="inlineStr">
        <is>
          <t>BCG และ HBV</t>
        </is>
      </c>
      <c r="E13" s="2" t="inlineStr">
        <is>
          <t>BCG และ OPV</t>
        </is>
      </c>
      <c r="F13" s="2" t="inlineStr">
        <is>
          <t>OPV และ MMR</t>
        </is>
      </c>
      <c r="G13" s="2" t="inlineStr">
        <is>
          <t>HBV และ MMR</t>
        </is>
      </c>
      <c r="H13" s="2" t="inlineStr">
        <is>
          <t>DTP และ OPV</t>
        </is>
      </c>
      <c r="I13" s="8" t="inlineStr">
        <is>
          <t>1</t>
        </is>
      </c>
      <c r="J13" s="2" t="inlineStr">
        <is>
          <t>✅ คำตอบที่ถูกต้อง: ข้อ ก. BCG และ HBV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และ HBV ตามตารางสร้างเสริมภูมิคุ้มกันโรคของกระทรวงสาธารณสุข เด็กแรกเกิดทุกคนจะได้รับวัคซีน BCG (วัคซีนป้องกันวัณโรค) และ Hepatitis B vaccine (HBV เข็มที่ 1) ทันที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n"/>
      <c r="L13" s="2" t="inlineStr">
        <is>
          <t>EPI Vaccines</t>
        </is>
      </c>
      <c r="M13" s="2" t="inlineStr">
        <is>
          <t>Clinic</t>
        </is>
      </c>
      <c r="N13" s="2" t="inlineStr">
        <is>
          <t>ข้อ 11 Pharma Plus เล่มม่วง (เฉลยข้อ ก)</t>
        </is>
      </c>
      <c r="O13" s="2" t="inlineStr">
        <is>
          <t>Mock</t>
        </is>
      </c>
      <c r="P13" s="2" t="inlineStr">
        <is>
          <t>Pharma Plus เล่มม่วง</t>
        </is>
      </c>
    </row>
    <row r="14" ht="13.2" customHeight="1" s="37">
      <c r="A14" s="8" t="inlineStr">
        <is>
          <t>12</t>
        </is>
      </c>
      <c r="B14" s="2"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ต่อมาตรวจพบว่าเด็กมีภาวะภูมิคุ้มกันบกพร่อง วัคซีนในข้อใดต่อไปนี้ไม่ควรแนะนำให้เด็กรายนี้</t>
        </is>
      </c>
      <c r="C14" s="2" t="n"/>
      <c r="D14" s="2" t="inlineStr">
        <is>
          <t>IPV vaccine</t>
        </is>
      </c>
      <c r="E14" s="2" t="inlineStr">
        <is>
          <t>MMR vaccine</t>
        </is>
      </c>
      <c r="F14" s="2" t="inlineStr">
        <is>
          <t>HBV vaccine</t>
        </is>
      </c>
      <c r="G14" s="2" t="inlineStr">
        <is>
          <t>Haemophilus influenzae B vaccine</t>
        </is>
      </c>
      <c r="H14" s="2" t="inlineStr">
        <is>
          <t>Japanese encephalitis vaccine</t>
        </is>
      </c>
      <c r="I14" s="8" t="inlineStr">
        <is>
          <t>2</t>
        </is>
      </c>
      <c r="J14" s="2" t="inlineStr">
        <is>
          <t>✅ คำตอบที่ถูกต้อง: ข้อ ข. MMR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vaccine เด็กที่มีภาวะภูมิคุ้มกันบกพร่อง (Immunocompromised host) มีข้อห้ามเด็ดขาดในการรับวัคซีนชนิดเชื้อเป็นอ่อนฤทธิ์ (Live-attenuated vaccines) เช่น MMR, Varicella, BCG เนื่องจากเชื้ออาจก่อให้เกิดโรคติดเชื้อรุนแรงแพร่กระจายได้ ส่วน IPV, HBV, Hib และ JE (ชนิดเชื้อตาย) สามารถให้ได้
🔍 ข้ออื่นผิดเพราะอะไร:
• ข้อ ก. (IPV vaccine): เป็น Inactivated polio vaccine ชนิดฉีด ให้ที่อายุ 2 เดือน และ 4 เดือน เพื่อลดความเสี่ยง Vaccine-Associated Paralytic Poliomyelitis (VAPP)
• ข้อ ค. (HBV vaccine): ข้อนี้ไม่ใช่คำตอบที่ถูกต้องสำหรับภาวะ EPI Vaccines เนื่องจากกลไกการออกฤทธิ์, efficacy หรือข้อบ่งใช้ไม่ตรงกับโจทย์ที่กำหนด
• ข้อ ง. (Haemophilus influenzae B vaccine): วัคซีนไข้หวัดใหญ่ชนิด inactivated ฉีดปีละ 1 ครั้ง ในกลุ่มเสี่ยง 7 กลุ่มโรคเรื้อรัง และเด็กอายุ 6 เดือน - 2 ปี
• ข้อ จ. (Japanese encephalitis vaccine):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2" t="n"/>
      <c r="L14" s="2" t="inlineStr">
        <is>
          <t>EPI Vaccines</t>
        </is>
      </c>
      <c r="M14" s="2" t="inlineStr">
        <is>
          <t>Clinic</t>
        </is>
      </c>
      <c r="N14" s="2" t="inlineStr">
        <is>
          <t>ข้อ 12 Pharma Plus เล่มม่วง (เฉลยข้อ ข)</t>
        </is>
      </c>
      <c r="O14" s="2" t="inlineStr">
        <is>
          <t>Mock</t>
        </is>
      </c>
      <c r="P14" s="2" t="inlineStr">
        <is>
          <t>Pharma Plus เล่มม่วง</t>
        </is>
      </c>
    </row>
    <row r="15" ht="13.2" customHeight="1" s="37">
      <c r="A15" s="8" t="inlineStr">
        <is>
          <t>13</t>
        </is>
      </c>
      <c r="B15" s="2" t="inlineStr">
        <is>
          <t>ควรฉีดวัคซีนที่กล้ามเนื้อชนิดใด</t>
        </is>
      </c>
      <c r="C15" s="2" t="n"/>
      <c r="D15" s="2" t="inlineStr">
        <is>
          <t>Deltoid</t>
        </is>
      </c>
      <c r="E15" s="2" t="inlineStr">
        <is>
          <t>Gluteus maximus</t>
        </is>
      </c>
      <c r="F15" s="2" t="inlineStr">
        <is>
          <t>Gluteus medis</t>
        </is>
      </c>
      <c r="G15" s="2" t="inlineStr">
        <is>
          <t>Gastrocnemius</t>
        </is>
      </c>
      <c r="H15" s="2" t="inlineStr">
        <is>
          <t>Anterolateral</t>
        </is>
      </c>
      <c r="I15" s="8" t="inlineStr">
        <is>
          <t>1</t>
        </is>
      </c>
      <c r="J15" s="2" t="inlineStr">
        <is>
          <t>✅ คำตอบที่ถูกต้อง: ข้อ ก. Deltoid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Deltoid ตำแหน่งมาตรฐานสำหรับการฉีดวัคซีนเข้ากล้ามเนื้อในเด็กเล็ก (อายุต่ำกว่า 2 ปี) คือกล้ามเนื้อ vastus lateralis บริเวณ anterolateral ของต้นขา ส่วนในเด็กโตและผู้ใหญ่แนะนำบริเวณกล้ามเนื้อ deltoid หลีกเลี่ยง gluteus maximus เนื่องจากมีความเสี่ยงในการโดนเส้นประสาท sciatic และการสะสมของไขมันซึ่งทำให้ภูมิคุ้มกันขึ้นไม่ดี
🔍 ข้ออื่นผิดเพราะอะไร:
• ข้อ ข. (Gluteus maximus): ข้อนี้ไม่ใช่คำตอบที่ถูกต้องสำหรับภาวะ EPI Vaccines เนื่องจากกลไกการออกฤทธิ์, efficacy หรือข้อบ่งใช้ไม่ตรงกับโจทย์ที่กำหนด
• ข้อ ค. (Gluteus medis): ข้อนี้ไม่ใช่คำตอบที่ถูกต้องสำหรับภาวะ EPI Vaccines เนื่องจากกลไกการออกฤทธิ์, efficacy หรือข้อบ่งใช้ไม่ตรงกับโจทย์ที่กำหนด
• ข้อ ง. (Gastrocnemius): ข้อนี้ไม่ใช่คำตอบที่ถูกต้องสำหรับภาวะ EPI Vaccines เนื่องจากกลไกการออกฤทธิ์, efficacy หรือข้อบ่งใช้ไม่ตรงกับโจทย์ที่กำหนด
• ข้อ จ. (Anterolateral):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n"/>
      <c r="L15" s="2" t="inlineStr">
        <is>
          <t>EPI Vaccines</t>
        </is>
      </c>
      <c r="M15" s="2" t="inlineStr">
        <is>
          <t>Clinic</t>
        </is>
      </c>
      <c r="N15" s="2" t="inlineStr">
        <is>
          <t>ข้อ 13 Pharma Plus เล่มม่วง (เฉลยข้อ ก)</t>
        </is>
      </c>
      <c r="O15" s="2" t="inlineStr">
        <is>
          <t>Mock</t>
        </is>
      </c>
      <c r="P15" s="2" t="inlineStr">
        <is>
          <t>Pharma Plus เล่มม่วง</t>
        </is>
      </c>
    </row>
    <row r="16" ht="13.2" customHeight="1" s="37">
      <c r="A16" s="8" t="inlineStr">
        <is>
          <t>14</t>
        </is>
      </c>
      <c r="B16" s="2" t="inlineStr">
        <is>
          <t>การฉีดวัคซีนกระตุ้นเข็มแรก จะมี antibody ชนิดใดเริ่มสร้างตัวแรก</t>
        </is>
      </c>
      <c r="C16" s="2" t="n"/>
      <c r="D16" s="2" t="inlineStr">
        <is>
          <t>Immunoglobulin A</t>
        </is>
      </c>
      <c r="E16" s="2" t="inlineStr">
        <is>
          <t>Immunoglobulin D</t>
        </is>
      </c>
      <c r="F16" s="2" t="inlineStr">
        <is>
          <t>Immunoglobulin E</t>
        </is>
      </c>
      <c r="G16" s="2" t="inlineStr">
        <is>
          <t>Immunoglobulin G</t>
        </is>
      </c>
      <c r="H16" s="2" t="inlineStr">
        <is>
          <t>Immunoglobulin M</t>
        </is>
      </c>
      <c r="I16" s="8" t="inlineStr">
        <is>
          <t>5</t>
        </is>
      </c>
      <c r="J16" s="2" t="inlineStr">
        <is>
          <t>✅ คำตอบที่ถูกต้อง: ข้อ จ. Immunoglobulin M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Immunoglobulin M เมื่อร่างกายได้รับแอนติเจนหรือวัคซีนเป็นครั้งแรก (Primary response) IgM จะเป็น antibody ชนิดแรกที่ถูกสร้างขึ้นในปริมาณสูงในช่วงแรกของการตอบสนองทางภูมิคุ้มกัน (Primary immune response) ก่อนที่จะเปลี่ยนเป็นการสร้าง IgG ในเวลาต่อมา
🔍 ข้ออื่นผิดเพราะอะไร:
• ข้อ ก. (Immunoglobulin A): ข้อนี้ไม่ใช่คำตอบที่ถูกต้องสำหรับภาวะ EPI Vaccines เนื่องจากกลไกการออกฤทธิ์, efficacy หรือข้อบ่งใช้ไม่ตรงกับโจทย์ที่กำหนด
• ข้อ ข. (Immunoglobulin D): ข้อนี้ไม่ใช่คำตอบที่ถูกต้องสำหรับภาวะ EPI Vaccines เนื่องจากกลไกการออกฤทธิ์, efficacy หรือข้อบ่งใช้ไม่ตรงกับโจทย์ที่กำหนด
• ข้อ ค. (Immunoglobulin E): ข้อนี้ไม่ใช่คำตอบที่ถูกต้องสำหรับภาวะ EPI Vaccines เนื่องจากกลไกการออกฤทธิ์, efficacy หรือข้อบ่งใช้ไม่ตรงกับโจทย์ที่กำหนด
• ข้อ ง. (Immunoglobulin G):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n"/>
      <c r="L16" s="2" t="inlineStr">
        <is>
          <t>EPI Vaccines</t>
        </is>
      </c>
      <c r="M16" s="2" t="inlineStr">
        <is>
          <t>Clinic</t>
        </is>
      </c>
      <c r="N16" s="2" t="inlineStr">
        <is>
          <t>ข้อ 14 Pharma Plus เล่มม่วง (เฉลยข้อ จ)</t>
        </is>
      </c>
      <c r="O16" s="2" t="inlineStr">
        <is>
          <t>Mock</t>
        </is>
      </c>
      <c r="P16" s="2" t="inlineStr">
        <is>
          <t>Pharma Plus เล่มม่วง</t>
        </is>
      </c>
    </row>
    <row r="17" ht="13.2" customHeight="1" s="37">
      <c r="A17" s="8" t="inlineStr">
        <is>
          <t>15</t>
        </is>
      </c>
      <c r="B17" s="2" t="inlineStr">
        <is>
          <t>ข้อใดผิดเกี่ยวกับการให้วัคซีนในเด็ก</t>
        </is>
      </c>
      <c r="C17" s="2" t="n"/>
      <c r="D17" s="2" t="inlineStr">
        <is>
          <t>วัคซีนที่มีชีวิตสามารถให้พร้อมกันในวันเดียวกันได้</t>
        </is>
      </c>
      <c r="E17" s="2" t="inlineStr">
        <is>
          <t>ถ้าฉีดวัคซีนในวันนัดไม่ได้ ให้มาก่อนจะได้กว่ามาฉีดช้ากว่ากำหนด</t>
        </is>
      </c>
      <c r="F17" s="2" t="inlineStr">
        <is>
          <t>วัคซีนชนิดกินเป็น IgA</t>
        </is>
      </c>
      <c r="G17" s="2" t="inlineStr">
        <is>
          <t>ถ้าเด็กเป็นไข้สูงยังไม่ฉีดวัคซีนให้ แต่ถ้าเป็นหวัด ไอ สามารถให้วัคซีนได้</t>
        </is>
      </c>
      <c r="H17" s="2" t="inlineStr">
        <is>
          <t>ในการฉีดวัคซีนครั้งที่ 2,3 สามารถเปลี่ยนยี่ห้อบริษัทอื่นได้ถ้าจำเป็น</t>
        </is>
      </c>
      <c r="I17" s="8" t="inlineStr">
        <is>
          <t>2</t>
        </is>
      </c>
      <c r="J17" s="2" t="inlineStr">
        <is>
          <t>✅ คำตอบที่ถูกต้อง: ข้อ ข. ถ้าฉีดวัคซีนในวันนัดไม่ได้ ให้มาก่อนจะได้กว่ามาฉีดช้ากว่ากำหนด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ถ้าฉีดวัคซีนในวันนัดไม่ได้ ให้มาก่อนจะได้กว่ามาฉีดช้ากว่ากำหนด วัคซีนชนิดกิน (เช่น OPV หรือ Rotavirus) กระตุ้นภูมิคุ้มกันชนิด Secretory IgA ที่เยื่อบุทางเดินอาหาร ไม่ได้หมายถึงตัววัคซีนเป็นโมเลกุล IgA ตามข้อ ค. ส่วนข้ออื่นๆ ถูกต้องตามหลักการให้วัคซีนพื้นฐานในเด็ก
🔍 ข้ออื่นผิดเพราะอะไร:
• ข้อ ก. (วัคซีนที่มีชีวิตสามารถให้พร้อมกันในวันเดียวกันได้): ข้อนี้ไม่ใช่คำตอบที่ถูกต้องสำหรับภาวะ EPI Vaccines เนื่องจากกลไกการออกฤทธิ์, efficacy หรือข้อบ่งใช้ไม่ตรงกับโจทย์ที่กำหนด
• ข้อ ค. (วัคซีนชนิดกินเป็น IgA): ข้อนี้ไม่ใช่คำตอบที่ถูกต้องสำหรับภาวะ EPI Vaccines เนื่องจากกลไกการออกฤทธิ์, efficacy หรือข้อบ่งใช้ไม่ตรงกับโจทย์ที่กำหนด
• ข้อ ง. (ถ้าเด็กเป็นไข้สูงยังไม่ฉีดวัคซีนให้ แต่ถ้าเป็นหวัด ไอ สามารถให้วัคซีนได้): ข้อนี้ไม่ใช่คำตอบที่ถูกต้องสำหรับภาวะ EPI Vaccines เนื่องจากกลไกการออกฤทธิ์, efficacy หรือข้อบ่งใช้ไม่ตรงกับโจทย์ที่กำหนด
• ข้อ จ. (ในการฉีดวัคซีนครั้งที่ 2,3 สามารถเปลี่ยนยี่ห้อบริษัทอื่นได้ถ้าจำเป็น):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n"/>
      <c r="L17" s="2" t="inlineStr">
        <is>
          <t>EPI Vaccines</t>
        </is>
      </c>
      <c r="M17" s="2" t="inlineStr">
        <is>
          <t>Clinic</t>
        </is>
      </c>
      <c r="N17" s="2" t="inlineStr">
        <is>
          <t>ข้อ 15 Pharma Plus เล่มม่วง (เฉลยข้อ ข ค)</t>
        </is>
      </c>
      <c r="O17" s="2" t="inlineStr">
        <is>
          <t>Mock</t>
        </is>
      </c>
      <c r="P17" s="2" t="inlineStr">
        <is>
          <t>Pharma Plus เล่มม่วง</t>
        </is>
      </c>
    </row>
    <row r="18" ht="13.2" customHeight="1" s="37">
      <c r="A18" s="8" t="inlineStr">
        <is>
          <t>16</t>
        </is>
      </c>
      <c r="B18" s="2" t="inlineStr">
        <is>
          <t>ในขณะที่ท่านปฏิบัติงานอยู่ที่ศูนย์บริการข้อสนเทศทางยาของโรงพยาบาลแห่งหนึ่ง มีผู้ใช้บริการโทรศัพท์เข้ามาขอคำปรึกษาต่าง ๆ ต่อไปนี้
รายที่ 1 คุณแม่ท่านหนึ่งมีบุตรสาวอายุ 2 สัปดาห์ บุตรสาวได้รับการฉีดวัคซีนเมื่อแรกเกิด ตอนนี้บุตรสาวมีฝีเม็ดเล็ก ๆ และมีหัวหนองเกิดบริเวณสะโพก
ท่านจะให้คำแนะนำในการดูแลรักษาฝีที่เกิดขึ้นนี้อย่างไร</t>
        </is>
      </c>
      <c r="C18" s="2" t="n"/>
      <c r="D18" s="2" t="inlineStr">
        <is>
          <t>ทำความสะอาดด้วย alcohol 70% วันละ 2 ครั้ง</t>
        </is>
      </c>
      <c r="E18" s="2" t="inlineStr">
        <is>
          <t>ไม่ต้องใส่ยาหรือปิดแผล ให้เช็ดด้วยสำลีชุบน้ำสะอาดก็เพียงพอ</t>
        </is>
      </c>
      <c r="F18" s="2" t="inlineStr">
        <is>
          <t>ใช้เข็มสะอาดเจาะฝีให้แตก แล้วทาด้วย povidone iodine วันละ 2 ครั้ง</t>
        </is>
      </c>
      <c r="G18" s="2" t="inlineStr">
        <is>
          <t>เมื่อฝีแตกให้เอาพาสเตอร์ปิดแผลไว้ เพื่อป้องกันแผลสกปรกและติดเชื้อ</t>
        </is>
      </c>
      <c r="H18" s="2" t="inlineStr">
        <is>
          <t>จ่ายยา cloxacillin syrup เพื่อรักษาฝี โดยให้รับประทานเป็นเวลา 1 สัปดาห์</t>
        </is>
      </c>
      <c r="I18" s="8" t="inlineStr">
        <is>
          <t>2</t>
        </is>
      </c>
      <c r="J18" s="2" t="inlineStr">
        <is>
          <t>✅ คำตอบที่ถูกต้อง: ข้อ ข. ไม่ต้องใส่ยาหรือปิดแผล ให้เช็ดด้วยสำลีชุบน้ำสะอาดก็เพียงพอ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ไม่ต้องใส่ยาหรือปิดแผล ให้เช็ดด้วยสำลีชุบน้ำสะอาดก็เพียงพอ แผลตุ่มหนองบริเวณที่ฉีด BCG (มักเกิดที่ต้นแขน แต่ในโจทย์ระบุสะโพกซึ่งอาจเป็นการเข้าใจผิดของผู้ปกครองหรือกรณีสมมติ) เป็นปฏิกิริยาปกติหลังได้รับวัคซีน ไม่จำเป็นต้องใส่ยาปฏิชีวนะหรือเจาะหนองออก ให้ดูแลรักษาความสะอาดด้วยน้ำเปล่าสะอาด ปล่อยให้แห้งเองตามธรรมชาติและจะยุบหายไปได้เอง
🔍 ข้ออื่นผิดเพราะอะไร:
• ข้อ ก. (ทำความสะอาดด้วย alcohol 70% วันละ 2 ครั้ง): ข้อนี้ไม่ใช่คำตอบที่ถูกต้องสำหรับภาวะ EPI Vaccines เนื่องจากกลไกการออกฤทธิ์, efficacy หรือข้อบ่งใช้ไม่ตรงกับโจทย์ที่กำหนด
• ข้อ ค. (ใช้เข็มสะอาดเจาะฝีให้แตก แล้วทาด้วย povidone iodine วันละ 2 ครั้ง): เป็น Polyvinylpyrrolidone (PVP) ใช้เป็น Binder สำหรับ wet granulation ละลายได้ทั้งในน้ำและแอลกอฮอล์
• ข้อ ง. (เมื่อฝีแตกให้เอาพาสเตอร์ปิดแผลไว้ เพื่อป้องกันแผลสกปรกและติดเชื้อ): ข้อนี้ไม่ใช่คำตอบที่ถูกต้องสำหรับภาวะ EPI Vaccines เนื่องจากกลไกการออกฤทธิ์, efficacy หรือข้อบ่งใช้ไม่ตรงกับโจทย์ที่กำหนด
• ข้อ จ. (จ่ายยา cloxacillin syrup เพื่อรักษาฝี โดยให้รับประทานเป็นเวลา 1 สัปดาห์): เป็น penicillinase-resistant penicillin เป็น drug of choice สำหรับ Methicillin-Susceptible Staphylococcus aureus (MSSA) infections ต้องรับประทานตอนท้องว่าง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EPI Vaccines</t>
        </is>
      </c>
      <c r="M18" s="2" t="inlineStr">
        <is>
          <t>Clinic</t>
        </is>
      </c>
      <c r="N18" s="2" t="inlineStr">
        <is>
          <t>ข้อ 16 Pharma Plus เล่มม่วง (เฉลยข้อ ข)</t>
        </is>
      </c>
      <c r="O18" s="2" t="inlineStr">
        <is>
          <t>Mock</t>
        </is>
      </c>
      <c r="P18" s="2" t="inlineStr">
        <is>
          <t>Pharma Plus เล่มม่วง</t>
        </is>
      </c>
    </row>
    <row r="19" ht="13.2" customHeight="1" s="37">
      <c r="A19" s="8" t="inlineStr">
        <is>
          <t>17</t>
        </is>
      </c>
      <c r="B19" s="2" t="inlineStr">
        <is>
          <t>ต่อมาคุณแม่โทรมาปรึกษาท่านอีกว่า ไม่ได้พาบุตรสาวไปฉีดวัคซีนตับอักเสบบี เข็มที่ 2 ตามที่แพทย์นัด เนื่องจากโรงพยาบาลอยู่ไกล ซึ่งตอนนี้วันนัดมา 2 สัปดาห์แล้ว นางอยากจะพาบุตรมาฉีดที่โรงพยาบาลใกล้บ้าน แต่วัคซีนที่ใช้ที่โรงพยาบาลนี้เป็นของคนละบริษัทกับโรงพยาบาลเดิมที่เคยฉีด ท่านจะให้คำแนะนำอย่างไร
ท่านจะให้คำแนะนำอย่างไร</t>
        </is>
      </c>
      <c r="C19" s="2" t="n"/>
      <c r="D19" s="2" t="inlineStr">
        <is>
          <t>ต้องตั้งต้นฉีดเข็มที่ 1 ใหม่ เพราะเลยเวลานัดแล้ว</t>
        </is>
      </c>
      <c r="E19" s="2" t="inlineStr">
        <is>
          <t>ต้องตั้งต้นฉีดเข็มที่ 1 ใหม่ และเป็นวัคซีนคนละบริษัท</t>
        </is>
      </c>
      <c r="F19" s="2" t="inlineStr">
        <is>
          <t>สามารถฉีดเข็มที่ 2 ต่อได้เลย แต่ต้องไปฉีดที่โรงพยาบาลเดิมเพื่อที่จะได้รับวัคซีนของบริษัทเดิม</t>
        </is>
      </c>
      <c r="G19" s="2" t="inlineStr">
        <is>
          <t>สามารถฉีดเข็มที่ 2 ต่อได้เลย และวัคซีนคนละบริษัทสามารถใช้แทนกันได้</t>
        </is>
      </c>
      <c r="H19" s="2" t="inlineStr">
        <is>
          <t>ให้งดฉีดเข็มที่ 2 ไปเลย และให้ไปฉีดเข็มที่ 3 ตอนบุตรชายอายุ 6 เดือน</t>
        </is>
      </c>
      <c r="I19" s="8" t="inlineStr">
        <is>
          <t>4</t>
        </is>
      </c>
      <c r="J19" s="2" t="inlineStr">
        <is>
          <t>✅ คำตอบที่ถูกต้อง: ข้อ ง. สามารถฉีดเข็มที่ 2 ต่อได้เลย และวัคซีนคนละบริษัทสามารถใช้แทนกันได้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สามารถฉีดเข็มที่ 2 ต่อได้เลย และวัคซีนคนละบริษัทสามารถใช้แทนกันได้ การฉีดวัคซีนป้องกันโรคตับอักเสบบี หากมาช้ากว่ากำหนด ไม่จำเป็นต้องเริ่มนับหนึ่งใหม่ (No restart) สามารถฉีดเข็มต่อไปได้เลย และวัคซีนป้องกันตับอักเสบบีต่างบริษัทกันสามารถใช้แทนกันได้ในการสร้างภูมิคุ้มกันต่อเนื่อง
🔍 ข้ออื่นผิดเพราะอะไร:
• ข้อ ก. (ต้องตั้งต้นฉีดเข็มที่ 1 ใหม่ เพราะเลยเวลานัดแล้ว): ข้อนี้ไม่ใช่คำตอบที่ถูกต้องสำหรับภาวะ EPI Vaccines เนื่องจากกลไกการออกฤทธิ์, efficacy หรือข้อบ่งใช้ไม่ตรงกับโจทย์ที่กำหนด
• ข้อ ข. (ต้องตั้งต้นฉีดเข็มที่ 1 ใหม่ และเป็นวัคซีนคนละบริษัท): ข้อนี้ไม่ใช่คำตอบที่ถูกต้องสำหรับภาวะ EPI Vaccines เนื่องจากกลไกการออกฤทธิ์, efficacy หรือข้อบ่งใช้ไม่ตรงกับโจทย์ที่กำหนด
• ข้อ ค. (สามารถฉีดเข็มที่ 2 ต่อได้เลย แต่ต้องไปฉีดที่โรงพยาบาลเดิมเพื่อที่จะได้รับวัคซีนของบริษัทเดิม): ข้อนี้ไม่ใช่คำตอบที่ถูกต้องสำหรับภาวะ EPI Vaccines เนื่องจากกลไกการออกฤทธิ์, efficacy หรือข้อบ่งใช้ไม่ตรงกับโจทย์ที่กำหนด
• ข้อ จ. (ให้งดฉีดเข็มที่ 2 ไปเลย และให้ไปฉีดเข็มที่ 3 ตอนบุตรชายอายุ 6 เดือน):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2" t="n"/>
      <c r="L19" s="2" t="inlineStr">
        <is>
          <t>EPI Vaccines</t>
        </is>
      </c>
      <c r="M19" s="2" t="inlineStr">
        <is>
          <t>Clinic</t>
        </is>
      </c>
      <c r="N19" s="2" t="inlineStr">
        <is>
          <t>ข้อ 17 Pharma Plus เล่มม่วง (เฉลยข้อ ง)</t>
        </is>
      </c>
      <c r="O19" s="2" t="inlineStr">
        <is>
          <t>Mock</t>
        </is>
      </c>
      <c r="P19" s="2" t="inlineStr">
        <is>
          <t>Pharma Plus เล่มม่วง</t>
        </is>
      </c>
    </row>
    <row r="20" ht="13.2" customHeight="1" s="37">
      <c r="A20" s="8" t="inlineStr">
        <is>
          <t>18</t>
        </is>
      </c>
      <c r="B20" s="2" t="inlineStr">
        <is>
          <t>วัคซีนชนิดใดมีวิธีการบริหารโดยให้ทางปาก</t>
        </is>
      </c>
      <c r="C20" s="2" t="n"/>
      <c r="D20" s="2" t="inlineStr">
        <is>
          <t>DTP</t>
        </is>
      </c>
      <c r="E20" s="2" t="inlineStr">
        <is>
          <t>HBV</t>
        </is>
      </c>
      <c r="F20" s="2" t="inlineStr">
        <is>
          <t>Hib</t>
        </is>
      </c>
      <c r="G20" s="2" t="inlineStr">
        <is>
          <t>OPV</t>
        </is>
      </c>
      <c r="H20" s="2" t="inlineStr">
        <is>
          <t>Influenza vaccine</t>
        </is>
      </c>
      <c r="I20" s="8" t="inlineStr">
        <is>
          <t>4</t>
        </is>
      </c>
      <c r="J20" s="2" t="inlineStr">
        <is>
          <t>✅ คำตอบที่ถูกต้อง: ข้อ ง.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(Oral Polio Vaccine) เป็นวัคซีนป้องกันโรคโปลิโอชนิดหยอดทางปาก (Live attenuated polio vaccine) ในขณะที่ DTP, HBV, Hib และวัคซีนไข้หวัดใหญ่ (Influenza) ให้โดยการฉีดเข้ากล้ามเนื้อหรือใต้ผิวหนัง
🔍 ข้ออื่นผิดเพราะอะไร:
• ข้อ ก. (DTP): วัคซีนรวมคอตีบ-บาดทะยัก ฉีดกระตุ้นทุก 10 ปี หรือใช้ในหญิงตั้งครรภ์และผู้ใหญ่
• ข้อ ข. (HBV): ข้อนี้ไม่ใช่คำตอบที่ถูกต้องสำหรับภาวะ EPI Vaccines เนื่องจากกลไกการออกฤทธิ์, efficacy หรือข้อบ่งใช้ไม่ตรงกับโจทย์ที่กำหนด
• ข้อ ค. (Hib): ข้อนี้ไม่ใช่คำตอบที่ถูกต้องสำหรับภาวะ EPI Vaccines เนื่องจากกลไกการออกฤทธิ์, efficacy หรือข้อบ่งใช้ไม่ตรงกับโจทย์ที่กำหนด
• ข้อ จ. (Influenza vaccine): วัคซีนไข้หวัดใหญ่ชนิด inactivated ฉีดปีละ 1 ครั้ง ในกลุ่มเสี่ยง 7 กลุ่มโรคเรื้อรัง และเด็กอายุ 6 เดือน - 2 ปี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EPI Vaccines</t>
        </is>
      </c>
      <c r="M20" s="2" t="inlineStr">
        <is>
          <t>Clinic</t>
        </is>
      </c>
      <c r="N20" s="2" t="inlineStr">
        <is>
          <t>ข้อ 18 Pharma Plus เล่มม่วง (เฉลยข้อ ง)</t>
        </is>
      </c>
      <c r="O20" s="2" t="inlineStr">
        <is>
          <t>Mock</t>
        </is>
      </c>
      <c r="P20" s="2" t="inlineStr">
        <is>
          <t>Pharma Plus เล่มม่วง</t>
        </is>
      </c>
    </row>
    <row r="21" ht="13.2" customHeight="1" s="37">
      <c r="A21" s="8" t="inlineStr">
        <is>
          <t>19</t>
        </is>
      </c>
      <c r="B21" s="2" t="inlineStr">
        <is>
          <t>วัคซีนชนิดใดที่เมื่อได้รับแล้วจะมีโอกาสเป็นไข้น้อยที่สุด</t>
        </is>
      </c>
      <c r="C21" s="2" t="n"/>
      <c r="D21" s="2" t="inlineStr">
        <is>
          <t>OPV</t>
        </is>
      </c>
      <c r="E21" s="2" t="inlineStr">
        <is>
          <t>MMR</t>
        </is>
      </c>
      <c r="F21" s="2" t="inlineStr">
        <is>
          <t>Tetanus toxoid</t>
        </is>
      </c>
      <c r="G21" s="2" t="inlineStr">
        <is>
          <t>Rabies vaccines</t>
        </is>
      </c>
      <c r="H21" s="2" t="inlineStr">
        <is>
          <t>Phenol killed typhoid vaccine</t>
        </is>
      </c>
      <c r="I21" s="8" t="inlineStr">
        <is>
          <t>1</t>
        </is>
      </c>
      <c r="J21" s="2" t="inlineStr">
        <is>
          <t>✅ คำตอบที่ถูกต้อง: ข้อ ก.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Tetanus toxoid (วัคซีนบาดทะยัก) เป็นวัคซีนชนิด Toxoid ซึ่งทำจากสารพิษของแบคทีเรียที่ถูกทำลายความเป็นพิษแล้ว โอกาสเกิดไข้หรืออาการข้างเคียงระบบ (systemic reactions) มีน้อยมากเมื่อเทียบกับวัคซีนเชื้อตายทั้งตัวหรือวัคซีนเชื้อเป็นอ่อนฤทธิ์บางชนิด เช่น MMR หรือ Typhoid
🔍 ข้ออื่นผิดเพราะอะไร:
• ข้อ ข. (MMR): เป็น Live attenuated vaccine รวมหัด-คางทูม-หัดเยอรมัน ให้เข็มที่ 1 ที่อายุ 9-12 เดือน และเข็มที่ 2 ที่ 18 เดือน (contraindication ในหญิงตั้งครรภ์)
• ข้อ ค. (Tetanus toxoid): ข้อนี้ไม่ใช่คำตอบที่ถูกต้องสำหรับภาวะ EPI Vaccines เนื่องจากกลไกการออกฤทธิ์, efficacy หรือข้อบ่งใช้ไม่ตรงกับโจทย์ที่กำหนด
• ข้อ ง. (Rabies vaccines): ข้อนี้ไม่ใช่คำตอบที่ถูกต้องสำหรับภาวะ EPI Vaccines เนื่องจากกลไกการออกฤทธิ์, efficacy หรือข้อบ่งใช้ไม่ตรงกับโจทย์ที่กำหนด
• ข้อ จ. (Phenol killed typhoid vaccine):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EPI Vaccines</t>
        </is>
      </c>
      <c r="M21" s="2" t="inlineStr">
        <is>
          <t>Clinic</t>
        </is>
      </c>
      <c r="N21" s="2" t="inlineStr">
        <is>
          <t>ข้อ 19 Pharma Plus เล่มม่วง (เฉลยข้อ ก)</t>
        </is>
      </c>
      <c r="O21" s="2" t="inlineStr">
        <is>
          <t>Mock</t>
        </is>
      </c>
      <c r="P21" s="2" t="inlineStr">
        <is>
          <t>Pharma Plus เล่มม่วง</t>
        </is>
      </c>
    </row>
    <row r="22" ht="13.2" customHeight="1" s="37">
      <c r="A22" s="8" t="inlineStr">
        <is>
          <t>20</t>
        </is>
      </c>
      <c r="B22" s="2" t="inlineStr">
        <is>
          <t>ผู้ป่วยภูมิคุ้มกันบกพร่องไม่ควรใช้วัคซีนใด</t>
        </is>
      </c>
      <c r="C22" s="2" t="n"/>
      <c r="D22" s="2" t="inlineStr">
        <is>
          <t>MMR</t>
        </is>
      </c>
      <c r="E22" s="2" t="inlineStr">
        <is>
          <t>Tetanus toxoid</t>
        </is>
      </c>
      <c r="F22" s="2" t="inlineStr">
        <is>
          <t>Inactivated polio vaccine</t>
        </is>
      </c>
      <c r="G22" s="2" t="inlineStr">
        <is>
          <t>Acellular pertussis vaccine</t>
        </is>
      </c>
      <c r="H22" s="2" t="inlineStr">
        <is>
          <t>Phenol killed typhoid vaccine</t>
        </is>
      </c>
      <c r="I22" s="8" t="inlineStr">
        <is>
          <t>1</t>
        </is>
      </c>
      <c r="J22" s="2" t="inlineStr">
        <is>
          <t>✅ คำตอบที่ถูกต้อง: ข้อ ก. MMR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ผู้ป่วยที่มีภาวะภูมิคุ้มกันบกพร่อง (Immunocompromised hosts) ห้ามรับวัคซีนชนิดเชื้อเป็นอ่อนฤทธิ์ (Live attenuated vaccines) เช่น MMR, Varicella, OPV เนื่องจากเชื้ออาจทวีจำนวนมากและก่อให้เกิดโรคติดเชื้อรุนแรงได้
🔍 ข้ออื่นผิดเพราะอะไร:
• ข้อ ข. (Tetanus toxoid): ข้อนี้ไม่ใช่คำตอบที่ถูกต้องสำหรับภาวะ EPI Vaccines เนื่องจากกลไกการออกฤทธิ์, efficacy หรือข้อบ่งใช้ไม่ตรงกับโจทย์ที่กำหนด
• ข้อ ค. (Inactivated polio vaccine): ข้อนี้ไม่ใช่คำตอบที่ถูกต้องสำหรับภาวะ EPI Vaccines เนื่องจากกลไกการออกฤทธิ์, efficacy หรือข้อบ่งใช้ไม่ตรงกับโจทย์ที่กำหนด
• ข้อ ง. (Acellular pertussis vaccine): ข้อนี้ไม่ใช่คำตอบที่ถูกต้องสำหรับภาวะ EPI Vaccines เนื่องจากกลไกการออกฤทธิ์, efficacy หรือข้อบ่งใช้ไม่ตรงกับโจทย์ที่กำหนด
• ข้อ จ. (Phenol killed typhoid vaccine):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2" t="n"/>
      <c r="L22" s="2" t="inlineStr">
        <is>
          <t>EPI Vaccines</t>
        </is>
      </c>
      <c r="M22" s="2" t="inlineStr">
        <is>
          <t>Clinic</t>
        </is>
      </c>
      <c r="N22" s="2" t="inlineStr">
        <is>
          <t>ข้อ 20 Pharma Plus เล่มม่วง (เฉลยข้อ ก)</t>
        </is>
      </c>
      <c r="O22" s="2" t="inlineStr">
        <is>
          <t>Mock</t>
        </is>
      </c>
      <c r="P22" s="2" t="inlineStr">
        <is>
          <t>Pharma Plus เล่มม่วง</t>
        </is>
      </c>
    </row>
    <row r="23" ht="13.2" customHeight="1" s="37">
      <c r="A23" s="8" t="inlineStr">
        <is>
          <t>21</t>
        </is>
      </c>
      <c r="B23" s="2" t="inlineStr">
        <is>
          <t>วัคซีนส่วนใหญ่ได้มาจากเชื้อไวรัสยกเว้นข้อใด</t>
        </is>
      </c>
      <c r="C23" s="2" t="n"/>
      <c r="D23" s="2" t="inlineStr">
        <is>
          <t>JE</t>
        </is>
      </c>
      <c r="E23" s="2" t="inlineStr">
        <is>
          <t>BCG</t>
        </is>
      </c>
      <c r="F23" s="2" t="inlineStr">
        <is>
          <t>HBV</t>
        </is>
      </c>
      <c r="G23" s="2" t="inlineStr">
        <is>
          <t>MMR</t>
        </is>
      </c>
      <c r="H23" s="2" t="inlineStr">
        <is>
          <t>OPV</t>
        </is>
      </c>
      <c r="I23" s="8" t="inlineStr">
        <is>
          <t>2</t>
        </is>
      </c>
      <c r="J23" s="2" t="inlineStr">
        <is>
          <t>✅ คำตอบที่ถูกต้อง: ข้อ ข. BCG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(Bacillus Calmette-Guérin) เป็นวัคซีนป้องกันวัณโรค ซึ่งผลิตมาจากแบคทีเรียมีชีวิตสายพันธุ์อ่อนฤทธิ์ (Mycobacterium bovis) ในขณะที่ JE, HBV, MMR และ OPV ล้วนเป็นวัคซีนที่ผลิตจากเชื้อไวรัส
🔍 ข้ออื่นผิดเพราะอะไร:
• ข้อ ก. (JE): วัคซีนไข้สมองอักเสบเจอี ชนิดเชื้อเป็น (Live attenuated CD.JEV) ให้ 2 เข็ม ที่อายุ 9-12 เดือน และเข็ม 2 ห่างกัน 3-12 เดือน
• ข้อ ค. (HBV): ข้อนี้ไม่ใช่คำตอบที่ถูกต้องสำหรับภาวะ EPI Vaccines เนื่องจากกลไกการออกฤทธิ์, efficacy หรือข้อบ่งใช้ไม่ตรงกับโจทย์ที่กำหนด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2" t="n"/>
      <c r="L23" s="2" t="inlineStr">
        <is>
          <t>EPI Vaccines</t>
        </is>
      </c>
      <c r="M23" s="2" t="inlineStr">
        <is>
          <t>Clinic</t>
        </is>
      </c>
      <c r="N23" s="2" t="inlineStr">
        <is>
          <t>ข้อ 21 Pharma Plus เล่มม่วง (เฉลยข้อ ข)</t>
        </is>
      </c>
      <c r="O23" s="2" t="inlineStr">
        <is>
          <t>Mock</t>
        </is>
      </c>
      <c r="P23" s="2" t="inlineStr">
        <is>
          <t>Pharma Plus เล่มม่วง</t>
        </is>
      </c>
    </row>
    <row r="24" ht="13.2" customHeight="1" s="37">
      <c r="A24" s="8" t="inlineStr">
        <is>
          <t>22</t>
        </is>
      </c>
      <c r="B24" s="2" t="inlineStr">
        <is>
          <t>นางสำรวย พาบุตรสาววัย 8 เดือน ชื่อ ด.ญ. สาย มาพบท่านซึ่งเป็นเภสัชกรที่ร้านยาแห่งหนึ่งด้วยอาการไข้ ไอ น้ำมูกไหล และทานอาหารได้ค่อยได้มาเป็นเวลา 1 วันแล้ว ท่านจึงจ่าย paracetamol syrup ยาแก้ไอ และ amoxicillin dry powder 3 วันต่อมา นางสำรวยพา ด.ญ. สาย มาพบท่านอีก โดยอาการไข้ของ ด.ญ.สาย ลดลง แต่มีผื่นขึ้นที่หน้าและลำตัว โดยนางสำรวยเล่าว่า เป็นผื่นขึ้นที่หลังแล้วลามมาที่ลำตัว ขณะนี้เริ่มเห็นผื่นลามมาที่แขนและขาเล็กน้อย ลักษณะผื่นเป็นจุดกลมสีแดง บางจุดราบ บางจุดมีนูนเล็กน้อย
ท่านคิดว่า คำถามข้อใดจำเป็นที่สุดที่จะใช้ประกอบการประเมินผู้ป่วย</t>
        </is>
      </c>
      <c r="C24" s="2" t="n"/>
      <c r="D24" s="2" t="inlineStr">
        <is>
          <t>สอบถามประวัติการแพ้ยา</t>
        </is>
      </c>
      <c r="E24" s="2" t="inlineStr">
        <is>
          <t>สอบถามโรคประจำตัว</t>
        </is>
      </c>
      <c r="F24" s="2" t="inlineStr">
        <is>
          <t>สอบถามประวัติการได้รับวัคซีน</t>
        </is>
      </c>
      <c r="G24" s="2" t="inlineStr">
        <is>
          <t>สอบถามการได้สัมผัสสัตว์ปีกที่มีชีวิต</t>
        </is>
      </c>
      <c r="H24" s="2" t="inlineStr">
        <is>
          <t>สอบถามเกี่ยวกับใกล้ชิดที่มีอาการผื่นแดง</t>
        </is>
      </c>
      <c r="I24" s="8" t="inlineStr">
        <is>
          <t>1</t>
        </is>
      </c>
      <c r="J24" s="2" t="inlineStr">
        <is>
          <t>✅ คำตอบที่ถูกต้อง: ข้อ ก. สอบถามประวัติการแพ้ยา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สอบถามประวัติการแพ้ยา จากอาการไข้ร่วมกับผื่นแดงที่เริ่มจากหน้าและลำตัวแล้วลามลงแขนขา (cephalocaudal spread) ในเด็กอายุ 8 เดือน ซึ่งไม่เคยได้รับวัคซีนมาก่อน การซักประวัติประวัติการได้รับวัคซีน (โดยเฉพาะวัคซีนป้องกันโรคหัด-คางทูม-หัดเยอรมัน หรือ MMR ซึ่งมักฉีดเข็มแรกที่อายุ 9 เดือน) และประวัติการสัมผัสโรคมีความสำคัญมากในการวินิจฉัยโรคหัด (Measles)
🔍 ข้ออื่นผิดเพราะอะไร:
• ข้อ ข. (สอบถามโรคประจำตัว): ข้อนี้ไม่ใช่คำตอบที่ถูกต้องสำหรับภาวะ Allergic rhinitis เนื่องจากกลไกการออกฤทธิ์, efficacy หรือข้อบ่งใช้ไม่ตรงกับโจทย์ที่กำหนด
• ข้อ ค. (สอบถามประวัติการได้รับวัคซีน): ข้อนี้ไม่ใช่คำตอบที่ถูกต้องสำหรับภาวะ Allergic rhinitis เนื่องจากกลไกการออกฤทธิ์, efficacy หรือข้อบ่งใช้ไม่ตรงกับโจทย์ที่กำหนด
• ข้อ ง. (สอบถามการได้สัมผัสสัตว์ปีกที่มีชีวิต): ข้อนี้ไม่ใช่คำตอบที่ถูกต้องสำหรับภาวะ Allergic rhinitis เนื่องจากกลไกการออกฤทธิ์, efficacy หรือข้อบ่งใช้ไม่ตรงกับโจทย์ที่กำหนด
• ข้อ จ. (สอบถามเกี่ยวกับใกล้ชิดที่มีอาการผื่นแดง):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2" t="n"/>
      <c r="L24" s="2" t="inlineStr">
        <is>
          <t>Allergic rhinitis</t>
        </is>
      </c>
      <c r="M24" s="2" t="inlineStr">
        <is>
          <t>Clinic</t>
        </is>
      </c>
      <c r="N24" s="2" t="inlineStr">
        <is>
          <t>ข้อ 22 Pharma Plus เล่มม่วง (เฉลยข้อ )</t>
        </is>
      </c>
      <c r="O24" s="2" t="inlineStr">
        <is>
          <t>Mock</t>
        </is>
      </c>
      <c r="P24" s="2" t="inlineStr">
        <is>
          <t>Pharma Plus เล่มม่วง</t>
        </is>
      </c>
    </row>
    <row r="25" ht="13.2" customHeight="1" s="37">
      <c r="A25" s="8" t="inlineStr">
        <is>
          <t>23</t>
        </is>
      </c>
      <c r="B25" s="2" t="inlineStr">
        <is>
          <t>จากการสอบถามข้างต้น สมมติว่าท่านได้ถามทุกข้อ โดยนางสำรวยตอบว่า ด.ญ.สาย ไม่เคยได้รับวัคซีนใดมาก่อน เนื่องจากครอบครัวมีฐานะยากจน ด.ญ. สาย ไม่มีโรคประจำตัว ตนเองต้องทำงานนอกบ้านจึงไม่ได้สังเกตว่าบุตรไปสัมผัสสัตว์ปีกหรือไม่ มีอาการผื่นเมื่อเช้านี้
ท่านคิดว่า ด.ญ. สาย น่าจะเป็นโรค/อาการอะไร</t>
        </is>
      </c>
      <c r="C25" s="2" t="n"/>
      <c r="D25" s="2" t="inlineStr">
        <is>
          <t>หวัดนก</t>
        </is>
      </c>
      <c r="E25" s="2" t="inlineStr">
        <is>
          <t>หัด</t>
        </is>
      </c>
      <c r="F25" s="2" t="inlineStr">
        <is>
          <t>อีสุกอีใส</t>
        </is>
      </c>
      <c r="G25" s="2" t="inlineStr">
        <is>
          <t>โรคภูมิคุ้มกันบกพร่อง</t>
        </is>
      </c>
      <c r="H25" s="2" t="inlineStr">
        <is>
          <t>โรคภูมิแพ้</t>
        </is>
      </c>
      <c r="I25" s="8" t="inlineStr">
        <is>
          <t>2</t>
        </is>
      </c>
      <c r="J25" s="2" t="inlineStr">
        <is>
          <t>✅ คำตอบที่ถูกต้อง: ข้อ ข. หัด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หัด ลักษณะอาการไข้ ไอ น้ำมูกไหล ร่วมกับผื่นแดง maculopapular rash ที่เริ่มต้นบริเวณใบหน้าและลำตัวแล้วกระจายลามไปแขนและขา ในเด็กเล็กที่ไม่เคยได้รับวัคซีน MMR เป็นลักษณะทางคลินิกที่จำเพาะเจาะจงของโรคหัด (Measles)
🔍 ข้ออื่นผิดเพราะอะไร:
• ข้อ ก. (หวัดนก): ข้อนี้ไม่ใช่คำตอบที่ถูกต้องสำหรับภาวะ Systemic lupus เนื่องจากกลไกการออกฤทธิ์, efficacy หรือข้อบ่งใช้ไม่ตรงกับโจทย์ที่กำหนด
• ข้อ ค. (อีสุกอีใส): ข้อนี้ไม่ใช่คำตอบที่ถูกต้องสำหรับภาวะ Systemic lupus เนื่องจากกลไกการออกฤทธิ์, efficacy หรือข้อบ่งใช้ไม่ตรงกับโจทย์ที่กำหนด
• ข้อ ง. (โรคภูมิคุ้มกันบกพร่อง): ข้อนี้ไม่ใช่คำตอบที่ถูกต้องสำหรับภาวะ Systemic lupus เนื่องจากกลไกการออกฤทธิ์, efficacy หรือข้อบ่งใช้ไม่ตรงกับโจทย์ที่กำหนด
• ข้อ จ. (โรคภูมิแพ้): ข้อนี้ไม่ใช่คำตอบที่ถูกต้องสำหรับภาวะ Systemic lupus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Systemic lupus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2" t="n"/>
      <c r="L25" s="2" t="inlineStr">
        <is>
          <t>Systemic lupus</t>
        </is>
      </c>
      <c r="M25" s="2" t="inlineStr">
        <is>
          <t>Clinic</t>
        </is>
      </c>
      <c r="N25" s="2" t="inlineStr">
        <is>
          <t>ข้อ 23 Pharma Plus เล่มม่วง (เฉลยข้อ ข)</t>
        </is>
      </c>
      <c r="O25" s="2" t="inlineStr">
        <is>
          <t>Mock</t>
        </is>
      </c>
      <c r="P25" s="2" t="inlineStr">
        <is>
          <t>Pharma Plus เล่มม่วง</t>
        </is>
      </c>
    </row>
    <row r="26" ht="13.2" customHeight="1" s="37">
      <c r="A26" s="8" t="inlineStr">
        <is>
          <t>24</t>
        </is>
      </c>
      <c r="B26" s="2" t="inlineStr">
        <is>
          <t>ท่านคิดว่า จะแก้ปัญหานี้ได้อย่างไรให้เกิดผลดีที่สุด</t>
        </is>
      </c>
      <c r="C26" s="2" t="n"/>
      <c r="D26" s="2" t="inlineStr">
        <is>
          <t>ไม่ต้องตกใจ เป็นอาการข้างเคียงของวัคซีน</t>
        </is>
      </c>
      <c r="E26" s="2" t="inlineStr">
        <is>
          <t>จ่ายยาลดไข้ ถ้าไข้ไม่ลด ให้มาพบที่ร้านยาอีกครั้ง</t>
        </is>
      </c>
      <c r="F26" s="2" t="inlineStr">
        <is>
          <t>ให้เช็ดตัวเด็กเป็นระยะ ๆ ถ้าไข้ไม่ลดลง นำส่ง ร.พ.</t>
        </is>
      </c>
      <c r="G26" s="2" t="inlineStr">
        <is>
          <t>ให้เช็ดตัวเด็กเป็นระยะ ๆ จ่ายยาลดไข้ และโทรรายงานแพทย์หรือพยาบาล ปรึกษาและบันทึกประวัติการแพ้วัคซีน</t>
        </is>
      </c>
      <c r="H26" s="2" t="inlineStr">
        <is>
          <t>จ่ายยาลดไข้และให้เช็ดตัวเด็กเป็นระยะ ๆ อาการจะดีขึ้น</t>
        </is>
      </c>
      <c r="I26" s="8" t="inlineStr">
        <is>
          <t>5</t>
        </is>
      </c>
      <c r="J26" s="2" t="inlineStr">
        <is>
          <t>✅ คำตอบที่ถูกต้อง: ข้อ จ. จ่ายยาลดไข้และให้เช็ดตัวเด็กเป็นระยะ ๆ อาการจะดีขึ้น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จ่ายยาลดไข้และให้เช็ดตัวเด็กเป็นระยะ ๆ อาการจะดีขึ้น เมื่อเกิดอาการข้างเคียงหลังได้รับวัคซีน แนวทางปฏิบัติที่ถูกต้องคือการจัดการตามอาการ (เช็ดตัว ลดไข้) ร่วมกับการบันทึกและรายงานเหตุการณ์ไม่พึงประสงค์เพื่อเฝ้าระวัง safety และป้องกันการเกิดซ้ำในเข็มถัดไปตามมาตรฐานงานสร้างเสริมภูมิคุ้มกันโรค
🔍 ข้ออื่นผิดเพราะอะไร:
• ข้อ ก. (ไม่ต้องตกใจ เป็นอาการข้างเคียงของวัคซีน): ข้อนี้ไม่ใช่คำตอบที่ถูกต้องสำหรับภาวะ Allergic rhinitis เนื่องจากกลไกการออกฤทธิ์, efficacy หรือข้อบ่งใช้ไม่ตรงกับโจทย์ที่กำหนด
• ข้อ ข. (จ่ายยาลดไข้ ถ้าไข้ไม่ลด ให้มาพบที่ร้านยาอีกครั้ง): ข้อนี้ไม่ใช่คำตอบที่ถูกต้องสำหรับภาวะ Allergic rhinitis เนื่องจากกลไกการออกฤทธิ์, efficacy หรือข้อบ่งใช้ไม่ตรงกับโจทย์ที่กำหนด
• ข้อ ค. (ให้เช็ดตัวเด็กเป็นระยะ ๆ ถ้าไข้ไม่ลดลง นำส่ง ร.พ.): ข้อนี้ไม่ใช่คำตอบที่ถูกต้องสำหรับภาวะ Allergic rhinitis เนื่องจากกลไกการออกฤทธิ์, efficacy หรือข้อบ่งใช้ไม่ตรงกับโจทย์ที่กำหนด
• ข้อ ง. (ให้เช็ดตัวเด็กเป็นระยะ ๆ จ่ายยาลดไข้ และโทรรายงานแพทย์หรือพยาบาล ปรึกษาและบันทึกประวัติการแพ้วัคซีน):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2" t="n"/>
      <c r="L26" s="2" t="inlineStr">
        <is>
          <t>Allergic rhinitis</t>
        </is>
      </c>
      <c r="M26" s="2" t="inlineStr">
        <is>
          <t>Clinic</t>
        </is>
      </c>
      <c r="N26" s="2" t="inlineStr">
        <is>
          <t>ข้อ 24 Pharma Plus เล่มม่วง (เฉลยข้อ จ)</t>
        </is>
      </c>
      <c r="O26" s="2" t="inlineStr">
        <is>
          <t>Mock</t>
        </is>
      </c>
      <c r="P26" s="2" t="inlineStr">
        <is>
          <t>Pharma Plus เล่มม่วง</t>
        </is>
      </c>
    </row>
    <row r="27" ht="13.2" customHeight="1" s="37">
      <c r="A27" s="8" t="inlineStr">
        <is>
          <t>25</t>
        </is>
      </c>
      <c r="B27" s="2" t="inlineStr">
        <is>
          <t>DTP และ MMR vaccine มีความแตกต่างกันทั้งประเภทของจุลินทรีย์ที่ใช้เตรียม ประเภทของวัคซีน ข้อใดไม่ถูกต้อง</t>
        </is>
      </c>
      <c r="C27" s="2" t="n"/>
      <c r="D27" s="2" t="inlineStr">
        <is>
          <t>DTP vaccine เตรียมจากไวรัส ส่วน MMR vaccine เตรียมจากแบคทีเรีย</t>
        </is>
      </c>
      <c r="E27" s="2" t="inlineStr">
        <is>
          <t>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t>
        </is>
      </c>
      <c r="F27" s="2" t="inlineStr">
        <is>
          <t>DTP vaccine เป็น inactivated vaccine ส่วน MMR เป็น live-attenuated vaccine</t>
        </is>
      </c>
      <c r="G27" s="2" t="inlineStr">
        <is>
          <t>DTP vaccine เป็น toxoid ทั้งหมด ส่วน MMR vaccine เป็น subunit vaccine ทั้งหมด</t>
        </is>
      </c>
      <c r="H27" s="2" t="inlineStr">
        <is>
          <t>DTP vaccine เป็น subunit vaccine ส่วน MMR vaccine เป็น toxoid</t>
        </is>
      </c>
      <c r="I27" s="8" t="inlineStr">
        <is>
          <t>1</t>
        </is>
      </c>
      <c r="J27" s="2" t="inlineStr">
        <is>
          <t>✅ คำตอบที่ถูกต้อง: ข้อ ก. DTP vaccine เตรียมจากไวรัส ส่วน MMR vaccine เตรียมจากแบคทีเรีย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vaccine เตรียมจากไวรัส ส่วน MMR vaccine เตรียมจากแบคทีเรีย DTP ประกอบด้วย Diphtheria toxoid, Tetanus toxoid และ Pertussis (acellular/whole cell ซึ่งเป็น subunit/inactivated) ส่วน MMR ประกอบด้วย Live-attenuated virus สำหรับ Measles, Mumps, Rubella ดังนั้นตัวเลือก ก. จึงผิดชัดเจนเพราะ DTP ป้องกันโรคจากแบคทีเรีย
🔍 ข้ออื่นผิดเพราะอะไร:
• ข้อ ข. (DTP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 เป็น Live attenuated vaccine รวมหัด-คางทูม-หัดเยอรมัน ให้เข็มที่ 1 ที่อายุ 9-12 เดือน และเข็มที่ 2 ที่ 18 เดือน (contraindication ในหญิงตั้งครรภ์)
• ข้อ ค. (DTP vaccine เป็น inactivated vaccine ส่วน MMR เป็น live-attenuated vaccine): เป็น Live attenuated vaccine รวมหัด-คางทูม-หัดเยอรมัน ให้เข็มที่ 1 ที่อายุ 9-12 เดือน และเข็มที่ 2 ที่ 18 เดือน (contraindication ในหญิงตั้งครรภ์)
• ข้อ ง. (DTP vaccine เป็น toxoid ทั้งหมด ส่วน MMR vaccine เป็น subunit vaccine ทั้งหมด): เป็น Live attenuated vaccine รวมหัด-คางทูม-หัดเยอรมัน ให้เข็มที่ 1 ที่อายุ 9-12 เดือน และเข็มที่ 2 ที่ 18 เดือน (contraindication ในหญิงตั้งครรภ์)
• ข้อ จ. (DTP vaccine เป็น subunit vaccine ส่วน MMR vaccine เป็น toxoid): เป็น Live attenuated vaccine รวมหัด-คางทูม-หัดเยอรมัน ให้เข็มที่ 1 ที่อายุ 9-12 เดือน และเข็มที่ 2 ที่ 18 เดือน (contraindication ในหญิงตั้งครรภ์)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2" t="n"/>
      <c r="L27" s="2" t="inlineStr">
        <is>
          <t>EPI Vaccines</t>
        </is>
      </c>
      <c r="M27" s="2" t="inlineStr">
        <is>
          <t>Clinic</t>
        </is>
      </c>
      <c r="N27" s="2" t="inlineStr">
        <is>
          <t>ข้อ 25 Pharma Plus เล่มม่วง (เฉลยข้อ ก ข)</t>
        </is>
      </c>
      <c r="O27" s="2" t="inlineStr">
        <is>
          <t>Mock</t>
        </is>
      </c>
      <c r="P27" s="2" t="inlineStr">
        <is>
          <t>Pharma Plus เล่มม่วง</t>
        </is>
      </c>
    </row>
    <row r="28" ht="13.2" customHeight="1" s="37">
      <c r="A28" s="8" t="inlineStr">
        <is>
          <t>26</t>
        </is>
      </c>
      <c r="B28" s="2" t="inlineStr">
        <is>
          <t>ในโปรแกรมสร้างภูมิคุ้มกัน วัคซีนบางประเภทเป็น live-attenuated vaccine มีข้อดีกว่าวัคซีนประเภทอื่นอย่างไร</t>
        </is>
      </c>
      <c r="C28" s="2" t="n"/>
      <c r="D28" s="2" t="inlineStr">
        <is>
          <t>ปลอดภัยมากกว่า</t>
        </is>
      </c>
      <c r="E28" s="2" t="inlineStr">
        <is>
          <t>กระตุ้นภูมิคุ้มกันระยะยาว</t>
        </is>
      </c>
      <c r="F28" s="2" t="inlineStr">
        <is>
          <t>อาการข้างเคียงน้อยกว่า</t>
        </is>
      </c>
      <c r="G28" s="2" t="inlineStr">
        <is>
          <t>เป็นภูมิคุ้มกันสำเร็จรูป คือภูมิคุ้มกันทันที</t>
        </is>
      </c>
      <c r="H28" s="2" t="inlineStr">
        <is>
          <t>กระตุ้นภูมิคุ้มกันเร็วกว่า</t>
        </is>
      </c>
      <c r="I28" s="8" t="inlineStr">
        <is>
          <t>2</t>
        </is>
      </c>
      <c r="J28" s="2" t="inlineStr">
        <is>
          <t>✅ คำตอบที่ถูกต้อง: ข้อ ข. กระตุ้นภูมิคุ้มกันระยะยาว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กระตุ้นภูมิคุ้มกันระยะยาว Live-attenuated vaccines (วัคซีนเชื้อเป็นอ่อนฤทธิ์) เลียนแบบการติดเชื้อธรรมชาติได้ดี ทำให้กระตุ้นระบบภูมิคุ้มกันทั้งแบบ Cellular (Cell-mediated) และ Humoral immunity ได้ยาวนานและมี efficacy สูงโดยมักไม่ต้องให้กระตุ้นบ่อยเท่าวัคซีนเชื้อตาย
🔍 ข้ออื่นผิดเพราะอะไร:
• ข้อ ก. (ปลอดภัยมากกว่า): ข้อนี้ไม่ใช่คำตอบที่ถูกต้องสำหรับภาวะ Hypersensitivity เนื่องจากกลไกการออกฤทธิ์, efficacy หรือข้อบ่งใช้ไม่ตรงกับโจทย์ที่กำหนด
• ข้อ ค. (อาการข้างเคียงน้อยกว่า): ข้อนี้ไม่ใช่คำตอบที่ถูกต้องสำหรับภาวะ Hypersensitivity เนื่องจากกลไกการออกฤทธิ์, efficacy หรือข้อบ่งใช้ไม่ตรงกับโจทย์ที่กำหนด
• ข้อ ง. (เป็นภูมิคุ้มกันสำเร็จรูป คือภูมิคุ้มกันทันที): ข้อนี้ไม่ใช่คำตอบที่ถูกต้องสำหรับภาวะ Hypersensitivity เนื่องจากกลไกการออกฤทธิ์, efficacy หรือข้อบ่งใช้ไม่ตรงกับโจทย์ที่กำหนด
• ข้อ จ. (กระตุ้นภูมิคุ้มกันเร็วกว่า): ข้อนี้ไม่ใช่คำตอบที่ถูกต้องสำหรับภาวะ Hypersensitivity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2" t="n"/>
      <c r="L28" s="2" t="inlineStr">
        <is>
          <t>Hypersensitivity</t>
        </is>
      </c>
      <c r="M28" s="2" t="inlineStr">
        <is>
          <t>Clinic</t>
        </is>
      </c>
      <c r="N28" s="2" t="inlineStr">
        <is>
          <t>ข้อ 26 Pharma Plus เล่มม่วง (เฉลยข้อ ข)</t>
        </is>
      </c>
      <c r="O28" s="2" t="inlineStr">
        <is>
          <t>Mock</t>
        </is>
      </c>
      <c r="P28" s="2" t="inlineStr">
        <is>
          <t>Pharma Plus เล่มม่วง</t>
        </is>
      </c>
    </row>
    <row r="29" ht="13.2" customHeight="1" s="37">
      <c r="A29" s="8" t="inlineStr">
        <is>
          <t>27</t>
        </is>
      </c>
      <c r="B29" s="2" t="inlineStr">
        <is>
          <t>ในโปรแกรมสร้างภูมิคุ้มกันไม่ครอบคลุมวัคซีนป้องกันโรคใด</t>
        </is>
      </c>
      <c r="C29" s="2" t="n"/>
      <c r="D29" s="2" t="inlineStr">
        <is>
          <t>หัด</t>
        </is>
      </c>
      <c r="E29" s="2" t="inlineStr">
        <is>
          <t>โปลิโอ</t>
        </is>
      </c>
      <c r="F29" s="2" t="inlineStr">
        <is>
          <t>อีสุกอีใส</t>
        </is>
      </c>
      <c r="G29" s="2" t="inlineStr">
        <is>
          <t>บาดทะยัก</t>
        </is>
      </c>
      <c r="H29" s="2" t="inlineStr">
        <is>
          <t>คางทูม</t>
        </is>
      </c>
      <c r="I29" s="8" t="inlineStr">
        <is>
          <t>3</t>
        </is>
      </c>
      <c r="J29" s="2" t="inlineStr">
        <is>
          <t>✅ คำตอบที่ถูกต้อง: ข้อ ค.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vaccine) ในประเทศไทยปัจจุบันยังจัดเป็นวัคซีนเสริม (Optional vaccine) ไม่ได้อยู่ในโปรแกรมสร้างภูมิคุ้มกันโรคพื้นฐานแห่งชาติ (NIP) สำหรับเด็กทุกคนในอดีต (หรือในโรงพยาบาลรัฐทั่วไปตามเกณฑ์พื้นฐานเดิม)
🔍 ข้ออื่นผิดเพราะอะไร:
• ข้อ ก. (หัด): ข้อนี้ไม่ใช่คำตอบที่ถูกต้องสำหรับภาวะ EPI Vaccines เนื่องจากกลไกการออกฤทธิ์, efficacy หรือข้อบ่งใช้ไม่ตรงกับโจทย์ที่กำหนด
• ข้อ ข. (โปลิโอ): ข้อนี้ไม่ใช่คำตอบที่ถูกต้องสำหรับภาวะ EPI Vaccines เนื่องจากกลไกการออกฤทธิ์, efficacy หรือข้อบ่งใช้ไม่ตรงกับโจทย์ที่กำหนด
• ข้อ ง. (บาดทะยัก): ข้อนี้ไม่ใช่คำตอบที่ถูกต้องสำหรับภาวะ EPI Vaccines เนื่องจากกลไกการออกฤทธิ์, efficacy หรือข้อบ่งใช้ไม่ตรงกับโจทย์ที่กำหนด
• ข้อ จ. (คางทูม): ข้อนี้ไม่ใช่คำตอบที่ถูกต้องสำหรับภาวะ EPI Vaccines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2" t="n"/>
      <c r="L29" s="2" t="inlineStr">
        <is>
          <t>EPI Vaccines</t>
        </is>
      </c>
      <c r="M29" s="2" t="inlineStr">
        <is>
          <t>Clinic</t>
        </is>
      </c>
      <c r="N29" s="2" t="inlineStr">
        <is>
          <t>ข้อ 27 Pharma Plus เล่มม่วง (เฉลยข้อ ค)</t>
        </is>
      </c>
      <c r="O29" s="2" t="inlineStr">
        <is>
          <t>Mock</t>
        </is>
      </c>
      <c r="P29" s="2" t="inlineStr">
        <is>
          <t>Pharma Plus เล่มม่วง</t>
        </is>
      </c>
    </row>
    <row r="30" ht="13.2" customHeight="1" s="37">
      <c r="A30" s="8" t="inlineStr">
        <is>
          <t>28</t>
        </is>
      </c>
      <c r="B30" s="2" t="inlineStr">
        <is>
          <t>ต่อมา ด.ญ. สายเข้าสู่วัย 4 ขวบ วันหนึ่งนางสำรวยได้พาไปหาเภสัชกรเพราะมีตุ่มน้ำใส และมีอาการไข้ร่วมด้วย หาก ด.ญ. สายเป็นโรคอีสุกอีใส ด.ญ. สายไม่ควรได้รับ</t>
        </is>
      </c>
      <c r="C30" s="2" t="n"/>
      <c r="D30" s="2" t="inlineStr">
        <is>
          <t>Chlorphenamine maleate tablet</t>
        </is>
      </c>
      <c r="E30" s="2" t="inlineStr">
        <is>
          <t>Hydroxyzine HCl tablet</t>
        </is>
      </c>
      <c r="F30" s="2" t="inlineStr">
        <is>
          <t>Neomycin/bacitracin ointment</t>
        </is>
      </c>
      <c r="G30" s="2" t="inlineStr">
        <is>
          <t>Calamine lotion</t>
        </is>
      </c>
      <c r="H30" s="2" t="inlineStr">
        <is>
          <t>Prednisolone cream</t>
        </is>
      </c>
      <c r="I30" s="8" t="inlineStr">
        <is>
          <t>5</t>
        </is>
      </c>
      <c r="J30" s="2" t="inlineStr">
        <is>
          <t>✅ คำตอบที่ถูกต้อง: ข้อ จ. Prednisolone cream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Prednisolone cream ในผู้ป่วยโรคอีสุกอีใส (Varicella) ห้ามใช้ยาสเตียรอยด์ (เช่น Prednisolone) ทั้งชนิดทาและรับประทาน เนื่องจากจะทำให้ภูมิคุ้มกันต่ำลงและอาจส่งผลให้โรคมีความรุนแรงกระจายทั่วร่างกายหรือเกิดภาวะแทรกซ้อนที่รุนแรงได้
🔍 ข้ออื่นผิดเพราะอะไร:
• ข้อ ก. (Chlorphenamine maleate tablet): ข้อนี้ไม่ใช่คำตอบที่ถูกต้องสำหรับภาวะ Allergic rhinitis เนื่องจากกลไกการออกฤทธิ์, efficacy หรือข้อบ่งใช้ไม่ตรงกับโจทย์ที่กำหนด
• ข้อ ข. (Hydroxyzine HCl tablet): ข้อนี้ไม่ใช่คำตอบที่ถูกต้องสำหรับภาวะ Allergic rhinitis เนื่องจากกลไกการออกฤทธิ์, efficacy หรือข้อบ่งใช้ไม่ตรงกับโจทย์ที่กำหนด
• ข้อ ค. (Neomycin/bacitracin ointment): ข้อนี้ไม่ใช่คำตอบที่ถูกต้องสำหรับภาวะ Allergic rhinitis เนื่องจากกลไกการออกฤทธิ์, efficacy หรือข้อบ่งใช้ไม่ตรงกับโจทย์ที่กำหนด
• ข้อ ง. (Calamine lotion):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2" t="n"/>
      <c r="L30" s="2" t="inlineStr">
        <is>
          <t>Allergic rhinitis</t>
        </is>
      </c>
      <c r="M30" s="2" t="inlineStr">
        <is>
          <t>Clinic</t>
        </is>
      </c>
      <c r="N30" s="2" t="inlineStr">
        <is>
          <t>ข้อ 28 Pharma Plus เล่มม่วง (เฉลยข้อ จ)</t>
        </is>
      </c>
      <c r="O30" s="2" t="inlineStr">
        <is>
          <t>Mock</t>
        </is>
      </c>
      <c r="P30" s="2" t="inlineStr">
        <is>
          <t>Pharma Plus เล่มม่วง</t>
        </is>
      </c>
    </row>
    <row r="31" ht="13.2" customHeight="1" s="37">
      <c r="A31" s="8" t="inlineStr">
        <is>
          <t>29</t>
        </is>
      </c>
      <c r="B31" s="2" t="inlineStr">
        <is>
          <t>สถานการณ์ที่ 5 หญิงอายุ 22 ปี มาที่ร้านยาเนื่องจากผื่นขึ้นบริเวณใบหน้าหลังจากไปว่ายน้ำที่ชายหาดพัทยา ผู้ป่วยใช้ยา ทาแก้ผื่นซึ่งมีอยู่ที่บ้านมา 2 วัน แต่อาการยังไม่ดีขึ้นจึงมาขอคำปรึกษาจากเภสัชกร จากการสัมภาษณ์พบว่านอกจาก อาการดังกล่าวแล้ว ผู้ป่วยมีอาการข้อติด และปวดบวมบริเวณข้อมือ อ่อนเพลีย และมีไข้ ในฐานะเภสัชกรท่านได้พิจารณา แล้วคาดว่าน่าจะเป็น Systemic Lupus Erythematosus (SLE) ซึ่งเป็นโรคซึ่งควรส่งต่อ จึงแนะนำและส่งต่อผู้ป่วยไปยัง โรงพยาบาล
ข้อมูลซึ่งเภสัชกรร้านยาควรถามเพื่อให้คำแนะนำอาจเป็นตัวกระตุ้นการเกิด SLE ยกเว้นข้อใด</t>
        </is>
      </c>
      <c r="C31" s="2" t="n"/>
      <c r="D31" s="2" t="inlineStr">
        <is>
          <t>ประวัติการสูบบุหรี่เพราะสาร hydrazine ในบุหรี่กระตุ้นอาการ Lupus ได้</t>
        </is>
      </c>
      <c r="E31" s="2" t="inlineStr">
        <is>
          <t>การใช้ sunscreen SPF 15 ขึ้นไปก่อนออกแดด</t>
        </is>
      </c>
      <c r="F31" s="2" t="inlineStr">
        <is>
          <t>ประวัติความเจ็บป่วยด้วยโรคติดเชื้อในอดีต</t>
        </is>
      </c>
      <c r="G31" s="2" t="inlineStr">
        <is>
          <t>ประวัติการใช้ยาเพราะยาบางตัว เช่น hydralazine chlorpropamide หรือยาในกลุ่ม anticonvulsant สามารถกระตุ้นการเกิด lupus ได้</t>
        </is>
      </c>
      <c r="H31" s="2" t="inlineStr">
        <is>
          <t>ประวัติการได้รับเลือดในอดีต</t>
        </is>
      </c>
      <c r="I31" s="8" t="inlineStr">
        <is>
          <t>5</t>
        </is>
      </c>
      <c r="J31" s="2" t="inlineStr">
        <is>
          <t>✅ คำตอบที่ถูกต้อง: ข้อ จ. ประวัติการได้รับเลือดในอดีต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ประวัติการได้รับเลือดในอดีต การทา sunscreen SPF 15 ขึ้นไปช่วยป้องกันรังสี UV ซึ่งเป็นตัวกระตุ้นอาการ SLE (photosensitivity) จึงไม่ใช่ปัจจัยเสี่ยงหรือตัวกระตุ้นการเกิดโรค แต่ข้ออื่นๆ เช่น การสูบบุหรี่ ยาบางชนิด (Drug-induced lupus เช่น hydralazine) และการติดเชื้อ ล้วนเป็นตัวกระตุ้นการกำเริบหรือการเกิดโรคทั้งสิ้น
🔍 ข้ออื่นผิดเพราะอะไร:
• ข้อ ก. (ประวัติการสูบบุหรี่เพราะสาร hydrazine ในบุหรี่กระตุ้นอาการ Lupus ได้): ข้อนี้ไม่ใช่คำตอบที่ถูกต้องสำหรับภาวะ Systemic lupus เนื่องจากกลไกการออกฤทธิ์, efficacy หรือข้อบ่งใช้ไม่ตรงกับโจทย์ที่กำหนด
• ข้อ ข. (การใช้ sunscreen SPF 15 ขึ้นไปก่อนออกแดด): ข้อนี้ไม่ใช่คำตอบที่ถูกต้องสำหรับภาวะ Systemic lupus เนื่องจากกลไกการออกฤทธิ์, efficacy หรือข้อบ่งใช้ไม่ตรงกับโจทย์ที่กำหนด
• ข้อ ค. (ประวัติความเจ็บป่วยด้วยโรคติดเชื้อในอดีต): ข้อนี้ไม่ใช่คำตอบที่ถูกต้องสำหรับภาวะ Systemic lupus เนื่องจากกลไกการออกฤทธิ์, efficacy หรือข้อบ่งใช้ไม่ตรงกับโจทย์ที่กำหนด
• ข้อ ง. (ประวัติการใช้ยาเพราะยาบางตัว เช่น hydralazine chlorpropamide หรือยาในกลุ่ม anticonvulsant สามารถกระตุ้นการเกิด lupus ได้):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2" t="n"/>
      <c r="L31" s="2" t="inlineStr">
        <is>
          <t>Systemic lupus</t>
        </is>
      </c>
      <c r="M31" s="2" t="inlineStr">
        <is>
          <t>Clinic</t>
        </is>
      </c>
      <c r="N31" s="2" t="inlineStr">
        <is>
          <t>ข้อ 29 Pharma Plus เล่มม่วง (เฉลยข้อ จ)</t>
        </is>
      </c>
      <c r="O31" s="2" t="inlineStr">
        <is>
          <t>Mock</t>
        </is>
      </c>
      <c r="P31" s="2" t="inlineStr">
        <is>
          <t>Pharma Plus เล่มม่วง</t>
        </is>
      </c>
    </row>
    <row r="32" ht="13.2" customHeight="1" s="37">
      <c r="A32" s="8" t="inlineStr">
        <is>
          <t>30</t>
        </is>
      </c>
      <c r="B32" s="2" t="inlineStr">
        <is>
          <t>ต่อมาผู้ป่วยได้รับการวินิจฉัยว่าเป็น SLE จากแพทย์ที่โรงพยาบาลและได้รับยา hydroxychloroquine 200 mg
ผู้ป่วยรายนี้ควรได้รับการตรวจในข้อใดก่อนได้รับยา</t>
        </is>
      </c>
      <c r="C32" s="2" t="n"/>
      <c r="D32" s="2" t="inlineStr">
        <is>
          <t>Ocular examination</t>
        </is>
      </c>
      <c r="E32" s="2" t="inlineStr">
        <is>
          <t>Chest x-ray</t>
        </is>
      </c>
      <c r="F32" s="2" t="inlineStr">
        <is>
          <t>Liver function test</t>
        </is>
      </c>
      <c r="G32" s="2" t="inlineStr">
        <is>
          <t>Urinalysis</t>
        </is>
      </c>
      <c r="H32" s="2" t="inlineStr">
        <is>
          <t>EKG</t>
        </is>
      </c>
      <c r="I32" s="8" t="inlineStr">
        <is>
          <t>1</t>
        </is>
      </c>
      <c r="J32" s="2" t="inlineStr">
        <is>
          <t>✅ คำตอบที่ถูกต้อง: ข้อ ก. Ocular examination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Ocular examination Hydroxychloroquine มีความเสี่ยงในการเกิดพิษต่อจอประสาทตา (retinopathy) ดังนั้นแนวเวชปฏิบัติจึงแนะนำให้ผู้ป่วยตรวจตา (Ocular examination / Baseline ophthalmologic examination) ก่อนเริ่มยาและตรวจติดตามทุกปี
🔍 ข้ออื่นผิดเพราะอะไร:
• ข้อ ข. (Chest x-ray): ข้อนี้ไม่ใช่คำตอบที่ถูกต้องสำหรับภาวะ Systemic lupus เนื่องจากกลไกการออกฤทธิ์, efficacy หรือข้อบ่งใช้ไม่ตรงกับโจทย์ที่กำหนด
• ข้อ ค. (Liver function test): ข้อนี้ไม่ใช่คำตอบที่ถูกต้องสำหรับภาวะ Systemic lupus เนื่องจากกลไกการออกฤทธิ์, efficacy หรือข้อบ่งใช้ไม่ตรงกับโจทย์ที่กำหนด
• ข้อ ง. (Urinalysis): ข้อนี้ไม่ใช่คำตอบที่ถูกต้องสำหรับภาวะ Systemic lupus เนื่องจากกลไกการออกฤทธิ์, efficacy หรือข้อบ่งใช้ไม่ตรงกับโจทย์ที่กำหนด
• ข้อ จ. (EKG): ข้อนี้ไม่ใช่คำตอบที่ถูกต้องสำหรับภาวะ Systemic lupus เนื่องจากกลไกการออกฤทธิ์, efficacy หรือข้อบ่งใช้ไม่ตรงกับโจทย์ที่กำหนด
📖 Guideline อ้างอิง:
[NEED_REVIEW]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32" s="2" t="n"/>
      <c r="L32" s="2" t="inlineStr">
        <is>
          <t>Systemic lupus</t>
        </is>
      </c>
      <c r="M32" s="2" t="inlineStr">
        <is>
          <t>Clinic</t>
        </is>
      </c>
      <c r="N32" s="2" t="inlineStr">
        <is>
          <t>ข้อ 30 Pharma Plus เล่มม่วง (เฉลยข้อ ก)</t>
        </is>
      </c>
      <c r="O32" s="2" t="inlineStr">
        <is>
          <t>Mock</t>
        </is>
      </c>
      <c r="P32" s="2" t="inlineStr">
        <is>
          <t>Pharma Plus เล่มม่วง</t>
        </is>
      </c>
    </row>
    <row r="33" ht="13.2" customHeight="1" s="37">
      <c r="A33" s="8" t="inlineStr">
        <is>
          <t>31</t>
        </is>
      </c>
      <c r="B33" s="2" t="inlineStr">
        <is>
          <t>หากผู้ป่วยอาการไม่ดีขึ้น แพทย์เปลี่ยนเป็นยา steroid และ cytotoxic drug สอบถามประวัติผู้ป่วยพบว่าผู้ป่วยติด เชื้อTB และเคยได้รับยา isoniazid, rifampicin, pyrazinamide, ethambutol ยาในข้อใดที่สามารถกระตุ้น SLE ได้</t>
        </is>
      </c>
      <c r="C33" s="2" t="n"/>
      <c r="D33" s="2" t="inlineStr">
        <is>
          <t>Ioniazid</t>
        </is>
      </c>
      <c r="E33" s="2" t="inlineStr">
        <is>
          <t>Rifampicin</t>
        </is>
      </c>
      <c r="F33" s="2" t="inlineStr">
        <is>
          <t>Pyrazinamide</t>
        </is>
      </c>
      <c r="G33" s="2" t="inlineStr">
        <is>
          <t>Ethambutol</t>
        </is>
      </c>
      <c r="H33" s="2" t="inlineStr">
        <is>
          <t>Pyrazinamide ร่วมกับ ethambutol</t>
        </is>
      </c>
      <c r="I33" s="8" t="inlineStr">
        <is>
          <t>1</t>
        </is>
      </c>
      <c r="J33" s="2" t="inlineStr">
        <is>
          <t>✅ คำตอบที่ถูกต้อง: ข้อ ก. Ioniazid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Ioniazid เป็นยา 1 ในกลุ่มหลัก (ร่วมกับ Hydralazine และ Procainamide) ที่มีความสัมพันธ์สูงและเป็นที่ยอมรับในการเหนี่ยวนำให้เกิด Drug-induced lupus erythematosus (DILE)
🔍 ข้ออื่นผิดเพราะอะไร:
• ข้อ ข.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(Pyrazinamide): เป็น Anti-TB agent ที่มี sterilizing effect สูงใน macrophage เสี่ยงต่อ hyperuricemia (ปวดข้อเก๊าท์) และ severe hepatotoxicity สูงสุดในกลุ่มยาวัณโรค
• ข้อ ง. (Ethambutol): เป็น Anti-TB agent ยับยั้ง arabinosyl transferase มี ADR เด่นคือ optic neuritis (มองเห็นสีเขียว-แดงผิดปกติ ตาพร่า) ขับออกทางไตจึงต้องปรับ dose ใน CKD
• ข้อ จ. (Pyrazinamide ร่วมกับ ethambutol): เป็น Anti-TB agent ที่มี sterilizing effect สูงใน macrophage เสี่ยงต่อ hyperuricemia (ปวดข้อเก๊าท์) และ severe hepatotoxicity สูงสุดในกลุ่มยาวัณโรค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3" s="2" t="n"/>
      <c r="L33" s="2" t="inlineStr">
        <is>
          <t>Systemic lupus</t>
        </is>
      </c>
      <c r="M33" s="2" t="inlineStr">
        <is>
          <t>Clinic</t>
        </is>
      </c>
      <c r="N33" s="2" t="inlineStr">
        <is>
          <t>ข้อ 31 Pharma Plus เล่มม่วง (เฉลยข้อ ก)</t>
        </is>
      </c>
      <c r="O33" s="2" t="inlineStr">
        <is>
          <t>Mock</t>
        </is>
      </c>
      <c r="P33" s="2" t="inlineStr">
        <is>
          <t>Pharma Plus เล่มม่วง</t>
        </is>
      </c>
    </row>
    <row r="34" ht="13.2" customHeight="1" s="37">
      <c r="A34" s="8" t="inlineStr">
        <is>
          <t>32</t>
        </is>
      </c>
      <c r="B34" s="2" t="inlineStr">
        <is>
          <t>แพทย์สั่งจ่าย prednisolone แต่โรงพยาบาลมียา dexamethasone เท่านั้นในฐานะเภสัชกรทำอย่างไร</t>
        </is>
      </c>
      <c r="C34" s="2" t="n"/>
      <c r="D34" s="2" t="inlineStr">
        <is>
          <t>ให้ยา dexamethasone แทนได้เพราะยาทั้งสองตัวเป็น steroid ประเภท short acting steroid เหมือนกัน</t>
        </is>
      </c>
      <c r="E34" s="2" t="inlineStr">
        <is>
          <t>ให้ยา dexamethasone แทนได้เพราะยาทั้งสองตัวเป็น steroid ประเภท long acting steroid เหมือนกัน</t>
        </is>
      </c>
      <c r="F34" s="2" t="inlineStr">
        <is>
          <t>ต้องคำนวณ equivalent dose ของยาทั้งสองตัวก่อนทำการเปลี่ยนยาเนื่องจากยาทั้งสองตัวมี potency ต่างกัน</t>
        </is>
      </c>
      <c r="G34" s="2" t="inlineStr">
        <is>
          <t>ไม่สามารถให้ยาแทนกันได้เพราะ prednisolone เป็น glucocorticoid แต่ dexamethasone เป็น mineralocorticoid</t>
        </is>
      </c>
      <c r="H34" s="2" t="inlineStr">
        <is>
          <t>ไม่สามารถให้ยาแทนกันได้และควรแจ้งให้แพทย์ทราบ</t>
        </is>
      </c>
      <c r="I34" s="8" t="inlineStr">
        <is>
          <t>3</t>
        </is>
      </c>
      <c r="J34" s="2" t="inlineStr">
        <is>
          <t>✅ คำตอบที่ถูกต้อง: ข้อ ค. ต้องคำนวณ equivalent dose ของยาทั้งสองตัวก่อนทำการเปลี่ยนยาเนื่องจากยาทั้งสองตัวมี potency ต่างกัน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ต้องคำนวณ equivalent dose ของยาทั้งสองตัวก่อนทำการเปลี่ยนยาเนื่องจากยาทั้งสองตัวมี potency ต่างกัน Glucocorticoids มีความแรง (potency) และระยะเวลาออกฤทธิ์ที่แตกต่างกัน (Prednisolone เป็น intermediate-acting, Dexamethasone เป็น long-acting และมี potency สูงกว่ามาก) เมื่อจำเป็นต้องเปลี่ยนยาจึงต้องคำนวณขนาดเทียบเท่า (equivalent dose) ให้ถูกต้อง
🔍 ข้ออื่นผิดเพราะอะไร:
• ข้อ ก. (ให้ยา dexamethasone แทนได้เพราะยาทั้งสองตัวเป็น steroid ประเภท short acting steroid เหมือนกัน): เป็น long-acting potent glucocorticoid ไม่มี mineralocorticoid effect จึงไม่ทำให้น้ำคั่ง เหมาะสำหรับ brain edema, antiemetic, และ COVID-19 with hypoxemia
• ข้อ ข. (ให้ยา dexamethasone แทนได้เพราะยาทั้งสองตัวเป็น steroid ประเภท long acting steroid เหมือนกัน): เป็น long-acting potent glucocorticoid ไม่มี mineralocorticoid effect จึงไม่ทำให้น้ำคั่ง เหมาะสำหรับ brain edema, antiemetic, และ COVID-19 with hypoxemia
• ข้อ ง. (ไม่สามารถให้ยาแทนกันได้เพราะ prednisolone เป็น glucocorticoid แต่ dexamethasone เป็น mineralocorticoid): เป็น long-acting potent glucocorticoid ไม่มี mineralocorticoid effect จึงไม่ทำให้น้ำคั่ง เหมาะสำหรับ brain edema, antiemetic, และ COVID-19 with hypoxemia
• ข้อ จ. (ไม่สามารถให้ยาแทนกันได้และควรแจ้งให้แพทย์ทราบ): ข้อนี้ไม่ใช่คำตอบที่ถูกต้องสำหรับภาวะ Systemic lupus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4" s="2" t="n"/>
      <c r="L34" s="2" t="inlineStr">
        <is>
          <t>Systemic lupus</t>
        </is>
      </c>
      <c r="M34" s="2" t="inlineStr">
        <is>
          <t>Clinic</t>
        </is>
      </c>
      <c r="N34" s="2" t="inlineStr">
        <is>
          <t>ข้อ 32 Pharma Plus เล่มม่วง (เฉลยข้อ ค)</t>
        </is>
      </c>
      <c r="O34" s="2" t="inlineStr">
        <is>
          <t>Mock</t>
        </is>
      </c>
      <c r="P34" s="2" t="inlineStr">
        <is>
          <t>Pharma Plus เล่มม่วง</t>
        </is>
      </c>
    </row>
    <row r="35" ht="13.2" customHeight="1" s="37">
      <c r="A35" s="8" t="inlineStr">
        <is>
          <t>33</t>
        </is>
      </c>
      <c r="B35" s="2" t="inlineStr">
        <is>
          <t>ยากดภูมิคุ้มกัน (immunosuppression) มีประโยชน์กับภาวะยกเว้น</t>
        </is>
      </c>
      <c r="C35" s="2" t="n"/>
      <c r="D35" s="2" t="inlineStr">
        <is>
          <t>การเปลี่ยนถ่ายอวัยวะ</t>
        </is>
      </c>
      <c r="E35" s="2" t="inlineStr">
        <is>
          <t>Rh hemolytic disease ในเด็กแรกเกิด</t>
        </is>
      </c>
      <c r="F35" s="2" t="inlineStr">
        <is>
          <t>Rheumatoid arthritis</t>
        </is>
      </c>
      <c r="G35" s="2" t="inlineStr">
        <is>
          <t>มะเร็ง</t>
        </is>
      </c>
      <c r="H35" s="2" t="inlineStr">
        <is>
          <t>SLE</t>
        </is>
      </c>
      <c r="I35" s="8" t="inlineStr">
        <is>
          <t>2</t>
        </is>
      </c>
      <c r="J35" s="2" t="inlineStr">
        <is>
          <t>✅ คำตอบที่ถูกต้อง: ข้อ ข. Rh hemolytic disease ในเด็กแรกเกิด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Rh hemolytic disease ในเด็กแรกเกิด Rh hemolytic disease เกิดจากแอนติบอดี้ของแม่ทำลายเม็ดเลือดแดงของทารก ป้องกันได้ด้วยการให้ Anti-D immune globulin (RhIG) เพื่อป้องกันการสร้างแอนติบอดี้ ไม่ได้รักษาด้วยยากดภูมิคุ้มกันทั่วไปในแม่หรือเด็ก ส่วนการเปลี่ยนถ่ายอวัยวะ, Rheumatoid arthritis, มะเร็ง และ SLE ล้วนมีข้อบ่งใช้สำหรับยากดภูมิคุ้มกัน
🔍 ข้ออื่นผิดเพราะอะไร:
• ข้อ ก. (การเปลี่ยนถ่ายอวัยวะ): ข้อนี้ไม่ใช่คำตอบที่ถูกต้องสำหรับภาวะ Allergic rhinitis เนื่องจากกลไกการออกฤทธิ์, efficacy หรือข้อบ่งใช้ไม่ตรงกับโจทย์ที่กำหนด
• ข้อ ค. (Rheumatoid arthritis): ข้อนี้ไม่ใช่คำตอบที่ถูกต้องสำหรับภาวะ Allergic rhinitis เนื่องจากกลไกการออกฤทธิ์, efficacy หรือข้อบ่งใช้ไม่ตรงกับโจทย์ที่กำหนด
• ข้อ ง. (มะเร็ง): ข้อนี้ไม่ใช่คำตอบที่ถูกต้องสำหรับภาวะ Allergic rhinitis เนื่องจากกลไกการออกฤทธิ์, efficacy หรือข้อบ่งใช้ไม่ตรงกับโจทย์ที่กำหนด
• ข้อ จ. (SLE):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2" t="n"/>
      <c r="L35" s="2" t="inlineStr">
        <is>
          <t>Allergic rhinitis</t>
        </is>
      </c>
      <c r="M35" s="2" t="inlineStr">
        <is>
          <t>Clinic</t>
        </is>
      </c>
      <c r="N35" s="2" t="inlineStr">
        <is>
          <t>ข้อ 33 Pharma Plus เล่มม่วง (เฉลยข้อ ข)</t>
        </is>
      </c>
      <c r="O35" s="2" t="inlineStr">
        <is>
          <t>Mock</t>
        </is>
      </c>
      <c r="P35" s="2" t="inlineStr">
        <is>
          <t>Pharma Plus เล่มม่วง</t>
        </is>
      </c>
    </row>
    <row r="36" ht="13.2" customHeight="1" s="37">
      <c r="A36" s="8" t="inlineStr">
        <is>
          <t>34</t>
        </is>
      </c>
      <c r="B36" s="2" t="inlineStr">
        <is>
          <t>ผู้ป่วยหญิงอายุ 30 ปี เป็นโรค SLE แพทย์ให้ยา ibuprofen 600 mg qid และ prednisolone 20 mg tid 3 สัปดาห์ ปัจจุบันอาการดีขึ้นมาก แพทย์ได้ให้ prednisolone 60 mg/d ควรจะให้ยาอย่างไร
ควรจะให้ยาอย่างไร</t>
        </is>
      </c>
      <c r="C36" s="2" t="n"/>
      <c r="D36" s="2" t="inlineStr">
        <is>
          <t>ให้ยาขนาด 24 ชม. ทุกวัน วันละครั้ง</t>
        </is>
      </c>
      <c r="E36" s="2" t="inlineStr">
        <is>
          <t>ให้ยาขนาด 24 ชม. แบ่งให้ 2 ครั้ง ทุกวัน</t>
        </is>
      </c>
      <c r="F36" s="2" t="inlineStr">
        <is>
          <t>ให้ยาขนาด 24 ชม. วันเว้นวัน วันละครั้ง</t>
        </is>
      </c>
      <c r="G36" s="2" t="inlineStr">
        <is>
          <t>ให้ยาขนาด 48 ชม. วันเว้นวัน วันละครั้ง</t>
        </is>
      </c>
      <c r="H36" s="2" t="inlineStr">
        <is>
          <t>ให้ยาขนาด 48 ชม. วันเว้นวัน แบ่งให้ 2 ครั้ง</t>
        </is>
      </c>
      <c r="I36" s="8" t="inlineStr">
        <is>
          <t>1</t>
        </is>
      </c>
      <c r="J36" s="2" t="inlineStr">
        <is>
          <t>✅ คำตอบที่ถูกต้อง: ข้อ ก. ให้ยาขนาด 24 ชม. ทุกวัน วันละครั้ง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ให้ยาขนาด 24 ชม. ทุกวัน วันละครั้ง การให้ยา corticosteroid ขนาดสูงต่อเนื่องเป็นเวลานานจะกดแกน HPA การปรับลดหรือใช้ในรูปแบบวันเว้นวัน (alternate-day therapy) ขนาด 48 ชั่วโมง วันเว้นวัน วันละครั้ง ช่วยลดผลข้างเคียงจากการกดต่อมหมวกไต
🔍 ข้ออื่นผิดเพราะอะไร:
• ข้อ ข. (ให้ยาขนาด 24 ชม. แบ่งให้ 2 ครั้ง ทุกวัน): ข้อนี้ไม่ใช่คำตอบที่ถูกต้องสำหรับภาวะ Systemic lupus เนื่องจากกลไกการออกฤทธิ์, efficacy หรือข้อบ่งใช้ไม่ตรงกับโจทย์ที่กำหนด
• ข้อ ค. (ให้ยาขนาด 24 ชม. วันเว้นวัน วันละครั้ง): ข้อนี้ไม่ใช่คำตอบที่ถูกต้องสำหรับภาวะ Systemic lupus เนื่องจากกลไกการออกฤทธิ์, efficacy หรือข้อบ่งใช้ไม่ตรงกับโจทย์ที่กำหนด
• ข้อ ง. (ให้ยาขนาด 48 ชม. วันเว้นวัน วันละครั้ง): ข้อนี้ไม่ใช่คำตอบที่ถูกต้องสำหรับภาวะ Systemic lupus เนื่องจากกลไกการออกฤทธิ์, efficacy หรือข้อบ่งใช้ไม่ตรงกับโจทย์ที่กำหนด
• ข้อ จ. (ให้ยาขนาด 48 ชม. วันเว้นวัน แบ่งให้ 2 ครั้ง): ข้อนี้ไม่ใช่คำตอบที่ถูกต้องสำหรับภาวะ Systemic lupus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6" s="2" t="n"/>
      <c r="L36" s="2" t="inlineStr">
        <is>
          <t>Systemic lupus</t>
        </is>
      </c>
      <c r="M36" s="2" t="inlineStr">
        <is>
          <t>Clinic</t>
        </is>
      </c>
      <c r="N36" s="2" t="inlineStr">
        <is>
          <t>ข้อ 34 Pharma Plus เล่มม่วง (เฉลยข้อ )</t>
        </is>
      </c>
      <c r="O36" s="2" t="inlineStr">
        <is>
          <t>Mock</t>
        </is>
      </c>
      <c r="P36" s="2" t="inlineStr">
        <is>
          <t>Pharma Plus เล่มม่วง</t>
        </is>
      </c>
    </row>
    <row r="37" ht="13.2" customHeight="1" s="37">
      <c r="A37" s="8" t="inlineStr">
        <is>
          <t>35</t>
        </is>
      </c>
      <c r="B37" s="2" t="inlineStr">
        <is>
          <t>การให้ prednisolone ให้ผู้ป่วย SLE เพื่ออะไร</t>
        </is>
      </c>
      <c r="C37" s="2" t="n"/>
      <c r="D37" s="2" t="inlineStr">
        <is>
          <t>ลดปฏิกิริยา antibody immune complex</t>
        </is>
      </c>
      <c r="E37" s="2" t="inlineStr">
        <is>
          <t>ลดการทำลายของ LE cell</t>
        </is>
      </c>
      <c r="F37" s="2" t="inlineStr">
        <is>
          <t>ยับยั้งการจับ antigen กับ antibody</t>
        </is>
      </c>
      <c r="G37" s="2" t="inlineStr">
        <is>
          <t>ลดการสร้าง antibody</t>
        </is>
      </c>
      <c r="H37" s="2" t="inlineStr">
        <is>
          <t>ยับยั้ง histamine กับ bradykinin</t>
        </is>
      </c>
      <c r="I37" s="8" t="inlineStr">
        <is>
          <t>4</t>
        </is>
      </c>
      <c r="J37" s="2" t="inlineStr">
        <is>
          <t>✅ คำตอบที่ถูกต้อง: ข้อ ง. ลดการสร้าง antibody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ลดการสร้าง antibody Corticosteroids มีฤทธิ์กดภูมิคุ้มกันและต้านการอักเสบ ช่วยลดกระบวนการสร้าง autoantibodies และลดปฏิกิริยาของ immune complex ในผู้ป่วย systemic lupus erythematosus (SLE)
🔍 ข้ออื่นผิดเพราะอะไร:
• ข้อ ก. (ลดปฏิกิริยา antibody immune complex): ข้อนี้ไม่ใช่คำตอบที่ถูกต้องสำหรับภาวะ Systemic lupus เนื่องจากกลไกการออกฤทธิ์, efficacy หรือข้อบ่งใช้ไม่ตรงกับโจทย์ที่กำหนด
• ข้อ ข. (ลดการทำลายของ LE cell): ข้อนี้ไม่ใช่คำตอบที่ถูกต้องสำหรับภาวะ Systemic lupus เนื่องจากกลไกการออกฤทธิ์, efficacy หรือข้อบ่งใช้ไม่ตรงกับโจทย์ที่กำหนด
• ข้อ ค. (ยับยั้งการจับ antigen กับ antibody): ข้อนี้ไม่ใช่คำตอบที่ถูกต้องสำหรับภาวะ Systemic lupus เนื่องจากกลไกการออกฤทธิ์, efficacy หรือข้อบ่งใช้ไม่ตรงกับโจทย์ที่กำหนด
• ข้อ จ. (ยับยั้ง histamine กับ bradykinin): ข้อนี้ไม่ใช่คำตอบที่ถูกต้องสำหรับภาวะ Systemic lupus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7" s="2" t="n"/>
      <c r="L37" s="2" t="inlineStr">
        <is>
          <t>Systemic lupus</t>
        </is>
      </c>
      <c r="M37" s="2" t="inlineStr">
        <is>
          <t>Clinic</t>
        </is>
      </c>
      <c r="N37" s="2" t="inlineStr">
        <is>
          <t>ข้อ 35 Pharma Plus เล่มม่วง (เฉลยข้อ ง)</t>
        </is>
      </c>
      <c r="O37" s="2" t="inlineStr">
        <is>
          <t>Mock</t>
        </is>
      </c>
      <c r="P37" s="2" t="inlineStr">
        <is>
          <t>Pharma Plus เล่มม่วง</t>
        </is>
      </c>
    </row>
    <row r="38" ht="13.2" customHeight="1" s="37">
      <c r="A38" s="8" t="inlineStr">
        <is>
          <t>36</t>
        </is>
      </c>
      <c r="B38" s="2" t="inlineStr">
        <is>
          <t>ยากดภูมิคุ้มกัน (immunosuppressive) สามารถนำมาใช้ประโยชน์ในด้านใด</t>
        </is>
      </c>
      <c r="C38" s="2" t="n"/>
      <c r="D38" s="2" t="inlineStr">
        <is>
          <t>AIDs</t>
        </is>
      </c>
      <c r="E38" s="2" t="inlineStr">
        <is>
          <t>COPD</t>
        </is>
      </c>
      <c r="F38" s="2" t="inlineStr">
        <is>
          <t>TB</t>
        </is>
      </c>
      <c r="G38" s="2" t="inlineStr">
        <is>
          <t>Leprosy</t>
        </is>
      </c>
      <c r="H38" s="2" t="inlineStr">
        <is>
          <t>Organ tissue transplantation</t>
        </is>
      </c>
      <c r="I38" s="8" t="inlineStr">
        <is>
          <t>5</t>
        </is>
      </c>
      <c r="J38" s="2" t="inlineStr">
        <is>
          <t>✅ คำตอบที่ถูกต้อง: ข้อ จ. Organ tissue transplantation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Organ tissue transplantation ยากดภูมิคุ้มกันใช้หลักๆ ในการป้องกันการปฏิเสธเนื้อเยื่อและอวัยวะปลูกถ่าย (organ tissue transplantation) รวมถึงโรคแพภูมิตัวเอง (autoimmune diseases) แต่ไม่ใช้ในโรคติดเชื้อเช่น AIDS, TB, Leprosy
🔍 ข้ออื่นผิดเพราะอะไร:
• ข้อ ก. (AIDs): ข้อนี้ไม่ใช่คำตอบที่ถูกต้องสำหรับภาวะ Allergic rhinitis เนื่องจากกลไกการออกฤทธิ์, efficacy หรือข้อบ่งใช้ไม่ตรงกับโจทย์ที่กำหนด
• ข้อ ข. (COPD): ข้อนี้ไม่ใช่คำตอบที่ถูกต้องสำหรับภาวะ Allergic rhinitis เนื่องจากกลไกการออกฤทธิ์, efficacy หรือข้อบ่งใช้ไม่ตรงกับโจทย์ที่กำหนด
• ข้อ ค. (TB): ข้อนี้ไม่ใช่คำตอบที่ถูกต้องสำหรับภาวะ Allergic rhinitis เนื่องจากกลไกการออกฤทธิ์, efficacy หรือข้อบ่งใช้ไม่ตรงกับโจทย์ที่กำหนด
• ข้อ ง. (Leprosy):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2" t="n"/>
      <c r="L38" s="2" t="inlineStr">
        <is>
          <t>Allergic rhinitis</t>
        </is>
      </c>
      <c r="M38" s="2" t="inlineStr">
        <is>
          <t>Clinic</t>
        </is>
      </c>
      <c r="N38" s="2" t="inlineStr">
        <is>
          <t>ข้อ 36 Pharma Plus เล่มม่วง (เฉลยข้อ จ)</t>
        </is>
      </c>
      <c r="O38" s="2" t="inlineStr">
        <is>
          <t>Mock</t>
        </is>
      </c>
      <c r="P38" s="2" t="inlineStr">
        <is>
          <t>Pharma Plus เล่มม่วง</t>
        </is>
      </c>
    </row>
    <row r="39" ht="13.2" customHeight="1" s="37">
      <c r="A39" s="8" t="inlineStr">
        <is>
          <t>37</t>
        </is>
      </c>
      <c r="B39" s="2" t="inlineStr">
        <is>
          <t>Cyclosporine ยากดภูมิคุ้มกันข้อใดถูกต้อง</t>
        </is>
      </c>
      <c r="C39" s="2" t="n"/>
      <c r="D39" s="2" t="inlineStr">
        <is>
          <t>ออกฤทธิ์กดการทำงานของ B-cell อย่างเฉพาะเจาะจง</t>
        </is>
      </c>
      <c r="E39" s="2" t="inlineStr">
        <is>
          <t>ค่าของ pharmacokinetic profile สม่ำเสมอในผู้ป่วยทุกราย</t>
        </is>
      </c>
      <c r="F39" s="2" t="inlineStr">
        <is>
          <t>มีฤทธิ์ต่อตับและไตน้อย</t>
        </is>
      </c>
      <c r="G39" s="2" t="inlineStr">
        <is>
          <t>ประสิทธิภาพในการปลูกถ่ายอวัยวะ</t>
        </is>
      </c>
      <c r="H39" s="2" t="inlineStr">
        <is>
          <t>ถูกทุกข้อ</t>
        </is>
      </c>
      <c r="I39" s="8" t="inlineStr">
        <is>
          <t>4</t>
        </is>
      </c>
      <c r="J39" s="2" t="inlineStr">
        <is>
          <t>✅ คำตอบที่ถูกต้อง: ข้อ ง. ประสิทธิภาพในการปลูกถ่ายอวัยวะ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ประสิทธิภาพในการปลูกถ่ายอวัยวะ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Cyclosporine เป็น calcineurin inhibitor ที่มี efficacy สูงในการป้องกันการปฏิเสธการปลูกถ่ายอวัยวะ แต่มีพิษต่อไต (nephrotoxicity) และตับสูง รวมถึงมีความแปรปรวนทางเภสัชจネตศาสตร์สูงในผู้ป่วยแต่ละราย
🔍 ข้ออื่นผิดเพราะอะไร:
• ข้อ ก. (ออกฤทธิ์กดการทำงานของ B-cell อย่างเฉพาะเจาะจง): ข้อนี้ไม่ใช่คำตอบที่ถูกต้องสำหรับภาวะ Allergic rhinitis เนื่องจากกลไกการออกฤทธิ์, efficacy หรือข้อบ่งใช้ไม่ตรงกับโจทย์ที่กำหนด
• ข้อ ข. (ค่าของ pharmacokinetic profile สม่ำเสมอในผู้ป่วยทุกราย): ข้อนี้ไม่ใช่คำตอบที่ถูกต้องสำหรับภาวะ Allergic rhinitis เนื่องจากกลไกการออกฤทธิ์, efficacy หรือข้อบ่งใช้ไม่ตรงกับโจทย์ที่กำหนด
• ข้อ ค. (มีฤทธิ์ต่อตับและไตน้อย): ข้อนี้ไม่ใช่คำตอบที่ถูกต้องสำหรับภาวะ Allergic rhinitis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2" t="n"/>
      <c r="L39" s="2" t="inlineStr">
        <is>
          <t>Allergic rhinitis</t>
        </is>
      </c>
      <c r="M39" s="2" t="inlineStr">
        <is>
          <t>Clinic</t>
        </is>
      </c>
      <c r="N39" s="2" t="inlineStr">
        <is>
          <t>ข้อ 37 Pharma Plus เล่มม่วง (เฉลยข้อ ง)</t>
        </is>
      </c>
      <c r="O39" s="2" t="inlineStr">
        <is>
          <t>Mock</t>
        </is>
      </c>
      <c r="P39" s="2" t="inlineStr">
        <is>
          <t>Pharma Plus เล่มม่วง</t>
        </is>
      </c>
    </row>
    <row r="40" ht="13.2" customHeight="1" s="37">
      <c r="A40" s="8" t="inlineStr">
        <is>
          <t>38</t>
        </is>
      </c>
      <c r="B40" s="2" t="inlineStr">
        <is>
          <t>ข้อใดเป็นผลข้างเคียงของ corticosteroid ยกเว้น</t>
        </is>
      </c>
      <c r="C40" s="2" t="n"/>
      <c r="D40" s="2" t="inlineStr">
        <is>
          <t>Suppression of pituitary-adrenaline</t>
        </is>
      </c>
      <c r="E40" s="2" t="inlineStr">
        <is>
          <t>Increase susceptibility to infection</t>
        </is>
      </c>
      <c r="F40" s="2" t="inlineStr">
        <is>
          <t>Peptic ulceration</t>
        </is>
      </c>
      <c r="G40" s="2" t="inlineStr">
        <is>
          <t>Muscle hypertrophy</t>
        </is>
      </c>
      <c r="H40" s="2" t="inlineStr">
        <is>
          <t>Physiological disturbances</t>
        </is>
      </c>
      <c r="I40" s="8" t="inlineStr">
        <is>
          <t>4</t>
        </is>
      </c>
      <c r="J40" s="2" t="inlineStr">
        <is>
          <t>✅ คำตอบที่ถูกต้อง: ข้อ ง. Muscle hypertrophy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Muscle hypertrophy Corticosteroids ทำให้เกิดกล้ามเนื้อฝ่อลีบ (muscle atrophy/wasting) ไม่ใช่กล้ามเนื้อโต (muscle hypertrophy) ส่วนอาการอื่นๆ เช่น การกดแกน HPA, เพิ่มความเสี่ยงต่อการติดเชื้อ, แผลในทางเดินอาหาร และความผิดทางจิตประสาทเป็นผลข้างเคียงที่พบได้
🔍 ข้ออื่นผิดเพราะอะไร:
• ข้อ ก. (Suppression of pituitary-adrenaline): ข้อนี้ไม่ใช่คำตอบที่ถูกต้องสำหรับภาวะ Allergic rhinitis เนื่องจากกลไกการออกฤทธิ์, efficacy หรือข้อบ่งใช้ไม่ตรงกับโจทย์ที่กำหนด
• ข้อ ข. (Increase susceptibility to infection): ข้อนี้ไม่ใช่คำตอบที่ถูกต้องสำหรับภาวะ Allergic rhinitis เนื่องจากกลไกการออกฤทธิ์, efficacy หรือข้อบ่งใช้ไม่ตรงกับโจทย์ที่กำหนด
• ข้อ ค. (Peptic ulceration): ข้อนี้ไม่ใช่คำตอบที่ถูกต้องสำหรับภาวะ Allergic rhinitis เนื่องจากกลไกการออกฤทธิ์, efficacy หรือข้อบ่งใช้ไม่ตรงกับโจทย์ที่กำหนด
• ข้อ จ. (Physiological disturbances):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0" s="2" t="n"/>
      <c r="L40" s="2" t="inlineStr">
        <is>
          <t>Allergic rhinitis</t>
        </is>
      </c>
      <c r="M40" s="2" t="inlineStr">
        <is>
          <t>Clinic</t>
        </is>
      </c>
      <c r="N40" s="2" t="inlineStr">
        <is>
          <t>ข้อ 38 Pharma Plus เล่มม่วง (เฉลยข้อ ง)</t>
        </is>
      </c>
      <c r="O40" s="2" t="inlineStr">
        <is>
          <t>Mock</t>
        </is>
      </c>
      <c r="P40" s="2" t="inlineStr">
        <is>
          <t>Pharma Plus เล่มม่วง</t>
        </is>
      </c>
    </row>
    <row r="41" ht="13.2" customHeight="1" s="37">
      <c r="A41" s="8" t="inlineStr">
        <is>
          <t>39</t>
        </is>
      </c>
      <c r="B41" s="2" t="inlineStr">
        <is>
          <t>หญิงไทย อายุ 35 ปี อ่อนเพลีย ไข้สูง 40 องศา มีน้ำมูก แพทย์วินิจฉัยเป็น SLE ข้อใดไม่ใช่สาเหตุที่ทำให้เกิดโรค
ข้อใดไม่ใช่สาเหตุที่ทำให้เกิดโรค</t>
        </is>
      </c>
      <c r="C41" s="2" t="n"/>
      <c r="D41" s="2" t="inlineStr">
        <is>
          <t>มีน้ำมูก</t>
        </is>
      </c>
      <c r="E41" s="2" t="inlineStr">
        <is>
          <t>ปวดข้อ</t>
        </is>
      </c>
      <c r="F41" s="2" t="inlineStr">
        <is>
          <t>มีไข้</t>
        </is>
      </c>
      <c r="G41" s="2" t="inlineStr">
        <is>
          <t>น้ำหนักลด</t>
        </is>
      </c>
      <c r="H41" s="2" t="inlineStr">
        <is>
          <t>ผีเสื้อที่หน้า</t>
        </is>
      </c>
      <c r="I41" s="8" t="inlineStr">
        <is>
          <t>1</t>
        </is>
      </c>
      <c r="J41" s="2" t="inlineStr">
        <is>
          <t>✅ คำตอบที่ถูกต้อง: ข้อ ก. มีน้ำมูก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มีน้ำมูก อาการของ SLE ได้แก่ ไข้, ปวดข้อ, ผื่นรูปผีเสื้อที่ใบหน้า (malar rash) และน้ำหนักลด ส่วน 'มีน้ำมูก' เป็นอาการของโรคติดเชื้อทางเดินหายใจส่วนบนหรือภูมิแพ้ทั่วไป ไม่ใช่ลักษณะอาการจำเพาะของ SLE
🔍 ข้ออื่นผิดเพราะอะไร:
• ข้อ ข. (ปวดข้อ): ข้อนี้ไม่ใช่คำตอบที่ถูกต้องสำหรับภาวะ Allergic rhinitis เนื่องจากกลไกการออกฤทธิ์, efficacy หรือข้อบ่งใช้ไม่ตรงกับโจทย์ที่กำหนด
• ข้อ ค. (มีไข้): ข้อนี้ไม่ใช่คำตอบที่ถูกต้องสำหรับภาวะ Allergic rhinitis เนื่องจากกลไกการออกฤทธิ์, efficacy หรือข้อบ่งใช้ไม่ตรงกับโจทย์ที่กำหนด
• ข้อ ง. (น้ำหนักลด): ข้อนี้ไม่ใช่คำตอบที่ถูกต้องสำหรับภาวะ Allergic rhinitis เนื่องจากกลไกการออกฤทธิ์, efficacy หรือข้อบ่งใช้ไม่ตรงกับโจทย์ที่กำหนด
• ข้อ จ. (ผีเสื้อที่หน้า):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1" s="2" t="n"/>
      <c r="L41" s="2" t="inlineStr">
        <is>
          <t>Allergic rhinitis</t>
        </is>
      </c>
      <c r="M41" s="2" t="inlineStr">
        <is>
          <t>Clinic</t>
        </is>
      </c>
      <c r="N41" s="2" t="inlineStr">
        <is>
          <t>ข้อ 39 Pharma Plus เล่มม่วง (เฉลยข้อ ก)</t>
        </is>
      </c>
      <c r="O41" s="2" t="inlineStr">
        <is>
          <t>Mock</t>
        </is>
      </c>
      <c r="P41" s="2" t="inlineStr">
        <is>
          <t>Pharma Plus เล่มม่วง</t>
        </is>
      </c>
    </row>
    <row r="42" ht="13.2" customHeight="1" s="37">
      <c r="A42" s="8" t="inlineStr">
        <is>
          <t>40</t>
        </is>
      </c>
      <c r="B42" s="2" t="inlineStr">
        <is>
          <t>ถ้าต้องการใช้ยารักษาโรคในกรณีเฉียบพลันใช้ยา</t>
        </is>
      </c>
      <c r="C42" s="2" t="n"/>
      <c r="D42" s="2" t="inlineStr">
        <is>
          <t>Indomethacin</t>
        </is>
      </c>
      <c r="E42" s="2" t="inlineStr">
        <is>
          <t>Ibuprofen</t>
        </is>
      </c>
      <c r="F42" s="2" t="inlineStr">
        <is>
          <t>Diclofenac or Piroxicam</t>
        </is>
      </c>
      <c r="G42" s="2" t="inlineStr">
        <is>
          <t>Aspirin</t>
        </is>
      </c>
      <c r="H42" s="2" t="inlineStr">
        <is>
          <t>Methylprednisolone</t>
        </is>
      </c>
      <c r="I42" s="8" t="inlineStr">
        <is>
          <t>5</t>
        </is>
      </c>
      <c r="J42" s="2" t="inlineStr">
        <is>
          <t>✅ คำตอบที่ถูกต้อง: ข้อ จ. Methylprednisolone
💡 Background:
การบริบาลผู้ป่วยในกลุ่มโรค Systemic lupus มุ่งเน้นการควบคุมโรคและลดความเสี่ยงต่อภาวะแทรกซ้อนด้วย evidence-based pharmacotherapy
🎯 ทำไมข้อนี้ถึงถูก:
Methylprednisolone ในกรณีที่โรค SLE กำเริบรุนแรงหรือเป็นกรณีเฉียบพลัน (acute severe flare) จำเป็นต้องใช้ยาต้านการอักเสบที่มีฤทธิ์แรงและกดภูมิได้เร็ว เช่น corticosteroid ขนาดสูง (เช่น methylprednisolone pulse therapy) มากกว่า NSAIDs ทั่วไป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(Diclofenac or Piroxicam): เป็น oxicam NSAID ที่มี half-life ยาวนานมาก (~50 ชม.) แต่มีความเสี่ยงต่อ severe GI bleed และ skin reactions สูงที่สุดในกลุ่ม NSAIDs
• ข้อ ง. (Aspirin): เป็น irreversible COX-1 inhibitor ยับยั้ง Thromboxane A2 เป็นแกนหลักใน antiplatelet secondary prevention ของ CVD (ขนาดยา 75-100 mg/day)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2" s="2" t="n"/>
      <c r="L42" s="2" t="inlineStr">
        <is>
          <t>Systemic lupus</t>
        </is>
      </c>
      <c r="M42" s="2" t="inlineStr">
        <is>
          <t>Clinic</t>
        </is>
      </c>
      <c r="N42" s="2" t="inlineStr">
        <is>
          <t>ข้อ 40 Pharma Plus เล่มม่วง (เฉลยข้อ จ)</t>
        </is>
      </c>
      <c r="O42" s="2" t="inlineStr">
        <is>
          <t>Mock</t>
        </is>
      </c>
      <c r="P42" s="2" t="inlineStr">
        <is>
          <t>Pharma Plus เล่มม่วง</t>
        </is>
      </c>
    </row>
    <row r="43" ht="13.2" customHeight="1" s="37">
      <c r="A43" s="8" t="inlineStr">
        <is>
          <t>42</t>
        </is>
      </c>
      <c r="B43" s="2" t="inlineStr">
        <is>
          <t>ผู้ป่วยชายอายุ 26 ปี มีอาการคัดจมูก จาม น ้ามูกไหล มีอาการคันจมูกคันตาเป็นบางครั้ง ไม่มีไข้
หายใจไม่มีเสียงวี๊ด หายใจไม่หอบเหนื่อย มีอาการสัปดาห์ละ 4-5 ครั้ง 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2" t="n"/>
      <c r="D43" s="2" t="inlineStr">
        <is>
          <t>Allergic rhinitis-mild intermittent</t>
        </is>
      </c>
      <c r="E43" s="2" t="inlineStr">
        <is>
          <t>Allergic rhinitis-mod-severe intermittent</t>
        </is>
      </c>
      <c r="F43" s="2" t="inlineStr">
        <is>
          <t>Allergic rhinitis-mod-severe persistent</t>
        </is>
      </c>
      <c r="G43" s="2" t="inlineStr">
        <is>
          <t>Allergic Asthma-mild persistent</t>
        </is>
      </c>
      <c r="H43" s="2" t="inlineStr">
        <is>
          <t>Allergic asthma-mod-severe intermittent</t>
        </is>
      </c>
      <c r="I43" s="8" t="inlineStr">
        <is>
          <t>1</t>
        </is>
      </c>
      <c r="J43" s="2" t="inlineStr">
        <is>
          <t>✅ คำตอบที่ถูกต้อง: ข้อ ก. Allergic rhinitis-mild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rhinitis-mild intermittent การเลือก Allergic rhinitis-mild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(Allergic rhinitis): ข้อนี้ไม่ใช่คำตอบที่ถูกต้องสำหรับภาวะ Allergic rhinitis เนื่องจากกลไกการออกฤทธิ์, efficacy หรือข้อบ่งใช้ไม่ตรงกับโจทย์ที่กำหนด
• ข้อ ค. (Allergic rhinitis-mod-severe intermittent): ข้อนี้ไม่ใช่คำตอบที่ถูกต้องสำหรับภาวะ Allergic rhinitis เนื่องจากกลไกการออกฤทธิ์, efficacy หรือข้อบ่งใช้ไม่ตรงกับโจทย์ที่กำหนด
• ข้อ ง. (Allergic rhinitis-mod-severe persistent): ข้อนี้ไม่ใช่คำตอบที่ถูกต้องสำหรับภาวะ Allergic rhinitis เนื่องจากกลไกการออกฤทธิ์, efficacy หรือข้อบ่งใช้ไม่ตรงกับโจทย์ที่กำหนด
• ข้อ จ. (Allergic Asthma-mild persistent):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2" t="n"/>
      <c r="L43" s="2" t="inlineStr">
        <is>
          <t>Allergic rhinitis</t>
        </is>
      </c>
      <c r="M43" s="2" t="inlineStr">
        <is>
          <t>Allergic rhinitis</t>
        </is>
      </c>
      <c r="N43" s="2" t="inlineStr">
        <is>
          <t>Mock PLE-CC 1 ข้อ 41</t>
        </is>
      </c>
      <c r="O43" s="2" t="inlineStr">
        <is>
          <t>Mock</t>
        </is>
      </c>
      <c r="P43" s="2" t="inlineStr">
        <is>
          <t>Mock RxCU83</t>
        </is>
      </c>
      <c r="Q43" s="2" t="n"/>
    </row>
    <row r="44" ht="13.2" customHeight="1" s="37">
      <c r="A44" s="8" t="inlineStr">
        <is>
          <t>43</t>
        </is>
      </c>
      <c r="B44" s="2" t="inlineStr">
        <is>
          <t>ควรให้ยาอะไรตามการรักษาอาการภูมิแพ้กำเริบในประเทศไทย พ.ศ.2565</t>
        </is>
      </c>
      <c r="C44" s="2" t="n"/>
      <c r="D44" s="2" t="inlineStr">
        <is>
          <t>CPM 4 mg ตามเดิม</t>
        </is>
      </c>
      <c r="E44" s="2" t="inlineStr">
        <is>
          <t>หยุด CPM และใช้ Fexofenadine 180 mg 1 เม็ดก่อน เมื่อมีอาการ</t>
        </is>
      </c>
      <c r="F44" s="2" t="inlineStr">
        <is>
          <t>Fexo 180 mg 1 เม็ดก่อนนอน ต่อเนื่อง 2 สัปดาห์</t>
        </is>
      </c>
      <c r="G44" s="2" t="inlineStr">
        <is>
          <t>Montelukast 10 mg วันละ 1 เม็ด ประเมินอีกครั้ง 2 สัปดาห์</t>
        </is>
      </c>
      <c r="H44" s="2" t="inlineStr">
        <is>
          <t>Mometasone พ่นจมูกเช้า-เย็น ประเมินอีกครั้ง 2 สัปดาห๋"</t>
        </is>
      </c>
      <c r="I44" s="8" t="inlineStr">
        <is>
          <t>3</t>
        </is>
      </c>
      <c r="J44" s="2" t="inlineStr">
        <is>
          <t>✅ คำตอบที่ถูกต้อง: ข้อ ค. Fexo 180 mg 1 เม็ดก่อนนอน ต่อเนื่อง 2 สัปดาห์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Fexo 180 mg 1 เม็ดก่อนนอน ต่อเนื่อง 2 สัปดาห์ การเลือก Fexo 180 mg 1 เม็ดก่อนนอน ต่อเนื่อง 2 สัปดาห์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(Allergic rhinitis): ข้อนี้ไม่ใช่คำตอบที่ถูกต้องสำหรับภาวะ Allergic rhinitis เนื่องจากกลไกการออกฤทธิ์, efficacy หรือข้อบ่งใช้ไม่ตรงกับโจทย์ที่กำหนด
• ข้อ ข. (CPM 4 mg ตามเดิม): ข้อนี้ไม่ใช่คำตอบที่ถูกต้องสำหรับภาวะ Allergic rhinitis เนื่องจากกลไกการออกฤทธิ์, efficacy หรือข้อบ่งใช้ไม่ตรงกับโจทย์ที่กำหนด
• ข้อ ค. (หยุด CPM และใช้ Fexofenadine 180 mg 1 เม็ดก่อน เมื่อมีอาการ): เป็น 2nd generation non-sedating H1-antihistamine ไม่ผ่าน blood-brain barrier จึงแทบไม่มีฤทธิ์ง่วงซึม หลีกเลี่ยงการรับประทานพร้อมน้ำผลไม้รสเปรี้ยว (grapefruit, orange juice)
• ข้อ จ. (Montelukast 10 mg วันละ 1 เม็ด ประเมินอีกครั้ง 2 สัปดาห์):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2" t="n"/>
      <c r="L44" s="2" t="inlineStr">
        <is>
          <t>Allergic rhinitis</t>
        </is>
      </c>
      <c r="M44" s="2" t="inlineStr">
        <is>
          <t>Allergic rhinitis</t>
        </is>
      </c>
      <c r="N44" s="2" t="inlineStr">
        <is>
          <t>Mock PLE-CC 1 ข้อ 42</t>
        </is>
      </c>
      <c r="O44" s="2" t="inlineStr">
        <is>
          <t>Mock</t>
        </is>
      </c>
      <c r="P44" s="2" t="inlineStr">
        <is>
          <t>Mock RxCU83</t>
        </is>
      </c>
      <c r="Q44" s="2" t="n"/>
    </row>
    <row r="45" ht="13.2" customHeight="1" s="37">
      <c r="A45" s="8" t="inlineStr">
        <is>
          <t>44</t>
        </is>
      </c>
      <c r="B45" s="2" t="inlineStr">
        <is>
          <t>ผลข้างเคียงของการใช้ยา oxymetazoline ติดต่อกันหลายวัน</t>
        </is>
      </c>
      <c r="C45" s="2" t="n"/>
      <c r="D45" s="2" t="inlineStr">
        <is>
          <t>Glaucoma</t>
        </is>
      </c>
      <c r="E45" s="2" t="inlineStr">
        <is>
          <t>Epistaxis</t>
        </is>
      </c>
      <c r="F45" s="2" t="inlineStr">
        <is>
          <t>Rebound congestion</t>
        </is>
      </c>
      <c r="G45" s="2" t="inlineStr">
        <is>
          <t>HPA axis suppression</t>
        </is>
      </c>
      <c r="H45" s="2" t="inlineStr">
        <is>
          <t>nasal septal perforation</t>
        </is>
      </c>
      <c r="I45" s="8" t="inlineStr">
        <is>
          <t>1</t>
        </is>
      </c>
      <c r="J45" s="2" t="inlineStr">
        <is>
          <t>✅ คำตอบที่ถูกต้อง: ข้อ ก. Glaucoma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Glaucoma การเลือก Glaucoma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(Allergic rhinitis): ข้อนี้ไม่ใช่คำตอบที่ถูกต้องสำหรับภาวะ Allergic rhinitis เนื่องจากกลไกการออกฤทธิ์, efficacy หรือข้อบ่งใช้ไม่ตรงกับโจทย์ที่กำหนด
• ข้อ ค. (Epistaxis): ข้อนี้ไม่ใช่คำตอบที่ถูกต้องสำหรับภาวะ Allergic rhinitis เนื่องจากกลไกการออกฤทธิ์, efficacy หรือข้อบ่งใช้ไม่ตรงกับโจทย์ที่กำหนด
• ข้อ ง. (Rebound congestion): ข้อนี้ไม่ใช่คำตอบที่ถูกต้องสำหรับภาวะ Allergic rhinitis เนื่องจากกลไกการออกฤทธิ์, efficacy หรือข้อบ่งใช้ไม่ตรงกับโจทย์ที่กำหนด
• ข้อ จ. (HPA axis suppression):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2" t="n"/>
      <c r="L45" s="2" t="inlineStr">
        <is>
          <t>Allergic rhinitis</t>
        </is>
      </c>
      <c r="M45" s="2" t="inlineStr">
        <is>
          <t>Allergic rhinitis</t>
        </is>
      </c>
      <c r="N45" s="2" t="inlineStr">
        <is>
          <t>Mock PLE-CC 1 ข้อ 43</t>
        </is>
      </c>
      <c r="O45" s="2" t="inlineStr">
        <is>
          <t>Mock</t>
        </is>
      </c>
      <c r="P45" s="2" t="inlineStr">
        <is>
          <t>Mock RxCU83</t>
        </is>
      </c>
      <c r="Q45" s="2" t="n"/>
    </row>
    <row r="46" ht="13.2" customHeight="1" s="37">
      <c r="A46" s="8" t="inlineStr">
        <is>
          <t>45</t>
        </is>
      </c>
      <c r="B46" s="2" t="inlineStr">
        <is>
          <t>กลไกการออกฤทธิ์ของยาแก้คัดจมูก oxymetazoline</t>
        </is>
      </c>
      <c r="C46" s="2" t="n"/>
      <c r="D46" s="2" t="inlineStr">
        <is>
          <t>Alpha1,Alpha2 agonist</t>
        </is>
      </c>
      <c r="E46" s="2" t="inlineStr">
        <is>
          <t>Beta1 agonist</t>
        </is>
      </c>
      <c r="F46" s="2" t="inlineStr">
        <is>
          <t>Muscarinic agonist</t>
        </is>
      </c>
      <c r="G46" s="2" t="inlineStr">
        <is>
          <t>Acetylcholinesterase inhibitor</t>
        </is>
      </c>
      <c r="H46" s="2" t="inlineStr">
        <is>
          <t>Neuromuscular blocker</t>
        </is>
      </c>
      <c r="I46" s="8" t="inlineStr">
        <is>
          <t>1</t>
        </is>
      </c>
      <c r="J46" s="2" t="inlineStr">
        <is>
          <t>✅ คำตอบที่ถูกต้อง: ข้อ ก. Alpha1,Alpha2 agonist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(Alpha1,Alpha2 agonist): ข้อนี้ไม่ใช่คำตอบที่ถูกต้องสำหรับภาวะ Allergic rhinitis เนื่องจากกลไกการออกฤทธิ์, efficacy หรือข้อบ่งใช้ไม่ตรงกับโจทย์ที่กำหนด
• ข้อ ค. (Beta1 agonist): ข้อนี้ไม่ใช่คำตอบที่ถูกต้องสำหรับภาวะ Allergic rhinitis เนื่องจากกลไกการออกฤทธิ์, efficacy หรือข้อบ่งใช้ไม่ตรงกับโจทย์ที่กำหนด
• ข้อ ง. (Muscarinic agonist): ข้อนี้ไม่ใช่คำตอบที่ถูกต้องสำหรับภาวะ Allergic rhinitis เนื่องจากกลไกการออกฤทธิ์, efficacy หรือข้อบ่งใช้ไม่ตรงกับโจทย์ที่กำหนด
• ข้อ จ. (Acetylcholinesterase inhibitor):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2" t="n"/>
      <c r="L46" s="2" t="inlineStr">
        <is>
          <t>Allergic rhinitis</t>
        </is>
      </c>
      <c r="M46" s="2" t="inlineStr">
        <is>
          <t>Allergic rhinitis</t>
        </is>
      </c>
      <c r="N46" s="2" t="inlineStr">
        <is>
          <t>Mock PLE-CC 1 ข้อ 44</t>
        </is>
      </c>
      <c r="O46" s="2" t="inlineStr">
        <is>
          <t>Mock</t>
        </is>
      </c>
      <c r="P46" s="2" t="inlineStr">
        <is>
          <t>Mock RxCU83</t>
        </is>
      </c>
      <c r="Q46" s="2" t="n"/>
    </row>
    <row r="47" ht="13.2" customHeight="1" s="37">
      <c r="A47" s="8" t="inlineStr">
        <is>
          <t>46</t>
        </is>
      </c>
      <c r="B47" s="2" t="inlineStr">
        <is>
          <t>CPM เป็น first gen antihistamine ห้ามใช้ในผู้ป่วยโรคใด</t>
        </is>
      </c>
      <c r="C47" s="2" t="n"/>
      <c r="D47" s="2" t="inlineStr">
        <is>
          <t>กลั้นปัสสาวะไม่อยู่</t>
        </is>
      </c>
      <c r="E47" s="2" t="inlineStr">
        <is>
          <t>หอบหืด</t>
        </is>
      </c>
      <c r="F47" s="2" t="inlineStr">
        <is>
          <t>ต่อมลูกหมากโต</t>
        </is>
      </c>
      <c r="G47" s="2" t="inlineStr">
        <is>
          <t>หัวใจเต้นผิดจังหวะ</t>
        </is>
      </c>
      <c r="H47" s="2" t="inlineStr">
        <is>
          <t>ใช้ยาปฏิชีวนะ (erythromycin,fluconazole)</t>
        </is>
      </c>
      <c r="I47" s="8" t="inlineStr">
        <is>
          <t>1</t>
        </is>
      </c>
      <c r="J47" s="2" t="inlineStr">
        <is>
          <t>✅ คำตอบที่ถูกต้อง: ข้อ ก. กลั้นปัสสาวะไม่อยู่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(กลั้นปัสสาวะไม่อยู่): ข้อนี้ไม่ใช่คำตอบที่ถูกต้องสำหรับภาวะ Allergic rhinitis เนื่องจากกลไกการออกฤทธิ์, efficacy หรือข้อบ่งใช้ไม่ตรงกับโจทย์ที่กำหนด
• ข้อ ค. (หอบหืด): ข้อนี้ไม่ใช่คำตอบที่ถูกต้องสำหรับภาวะ Allergic rhinitis เนื่องจากกลไกการออกฤทธิ์, efficacy หรือข้อบ่งใช้ไม่ตรงกับโจทย์ที่กำหนด
• ข้อ ง. (ต่อมลูกหมากโต): ข้อนี้ไม่ใช่คำตอบที่ถูกต้องสำหรับภาวะ Allergic rhinitis เนื่องจากกลไกการออกฤทธิ์, efficacy หรือข้อบ่งใช้ไม่ตรงกับโจทย์ที่กำหนด
• ข้อ จ. (หัวใจเต้นผิดจังหวะ):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2" t="n"/>
      <c r="L47" s="2" t="inlineStr">
        <is>
          <t>Allergic rhinitis</t>
        </is>
      </c>
      <c r="M47" s="2" t="inlineStr">
        <is>
          <t>Allergic rhinitis</t>
        </is>
      </c>
      <c r="N47" s="2" t="inlineStr">
        <is>
          <t>Mock PLE-CC 1 ข้อ 45</t>
        </is>
      </c>
      <c r="O47" s="2" t="inlineStr">
        <is>
          <t>Mock</t>
        </is>
      </c>
      <c r="P47" s="2" t="inlineStr">
        <is>
          <t>Mock RxCU83</t>
        </is>
      </c>
      <c r="Q47" s="2" t="n"/>
    </row>
    <row r="48" ht="13.2" customHeight="1" s="37">
      <c r="A48" s="8" t="inlineStr">
        <is>
          <t>47</t>
        </is>
      </c>
      <c r="B48" s="2" t="inlineStr">
        <is>
          <t>อาหารหรือปัจจัยใดกระตุ้นให้เกิด allergic rhinitis ได้</t>
        </is>
      </c>
      <c r="C48" s="2" t="n"/>
      <c r="D48" s="2" t="inlineStr">
        <is>
          <t>เครื่องดื่มแอลกอฮอล์</t>
        </is>
      </c>
      <c r="E48" s="2" t="inlineStr">
        <is>
          <t>อาหารที่มีสารกันบูด sulfite เช่น ไวน์ อาหารแปรรูป</t>
        </is>
      </c>
      <c r="F48" s="2" t="inlineStr">
        <is>
          <t>อาหารที่มีรสจัดหรือเผ็ดที่กระตุ้นอาการคัดจมูก</t>
        </is>
      </c>
      <c r="G48" s="2" t="inlineStr">
        <is>
          <t>สูบบุหรี่และควันบุหรี่</t>
        </is>
      </c>
      <c r="H48" s="2" t="inlineStr">
        <is>
          <t>ถูกทุกข้อ</t>
        </is>
      </c>
      <c r="I48" s="8" t="inlineStr">
        <is>
          <t>3</t>
        </is>
      </c>
      <c r="J48" s="2" t="inlineStr">
        <is>
          <t>✅ คำตอบที่ถูกต้อง: ข้อ ค. อาหารที่มีรสจัดหรือเผ็ดที่กระตุ้นอาการคัดจมูก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อาหารที่มีรสจัดหรือเผ็ดที่กระตุ้นอาการคัดจมูก การเลือก อาหารที่มีรสจัดหรือเผ็ดที่กระตุ้นอาการคัดจมูก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(Allergic rhinitis): ข้อนี้ไม่ใช่คำตอบที่ถูกต้องสำหรับภาวะ Allergic rhinitis เนื่องจากกลไกการออกฤทธิ์, efficacy หรือข้อบ่งใช้ไม่ตรงกับโจทย์ที่กำหนด
• ข้อ ข. (เครื่องดื่มแอลกอฮอล์): ข้อนี้ไม่ใช่คำตอบที่ถูกต้องสำหรับภาวะ Allergic rhinitis เนื่องจากกลไกการออกฤทธิ์, efficacy หรือข้อบ่งใช้ไม่ตรงกับโจทย์ที่กำหนด
• ข้อ ค. (อาหารที่มีสารกันบูด sulfite เช่น ไวน์ อาหารแปรรูป): ข้อนี้ไม่ใช่คำตอบที่ถูกต้องสำหรับภาวะ Allergic rhinitis เนื่องจากกลไกการออกฤทธิ์, efficacy หรือข้อบ่งใช้ไม่ตรงกับโจทย์ที่กำหนด
• ข้อ จ. (สูบบุหรี่และควันบุหรี่):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2" t="n"/>
      <c r="L48" s="2" t="inlineStr">
        <is>
          <t>Allergic rhinitis</t>
        </is>
      </c>
      <c r="M48" s="2" t="inlineStr">
        <is>
          <t>Allergic rhinitis</t>
        </is>
      </c>
      <c r="N48" s="2" t="inlineStr">
        <is>
          <t>Mock PLE-CC 1 ข้อ 50</t>
        </is>
      </c>
      <c r="O48" s="2" t="inlineStr">
        <is>
          <t>Mock</t>
        </is>
      </c>
      <c r="P48" s="2" t="inlineStr">
        <is>
          <t>Mock RxCU83</t>
        </is>
      </c>
      <c r="Q48" s="2" t="n"/>
    </row>
    <row r="49" ht="13.2" customHeight="1" s="37">
      <c r="A49" s="8" t="inlineStr">
        <is>
          <t>48</t>
        </is>
      </c>
      <c r="B49" s="2"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 CPM จดเปนยาอนตรายลดบท 32</t>
        </is>
      </c>
      <c r="C49" s="2" t="n"/>
      <c r="D49" s="2" t="inlineStr">
        <is>
          <t>ขายได้เพราะเป็นยาสามัญประจำบ้าน</t>
        </is>
      </c>
      <c r="E49" s="2" t="inlineStr">
        <is>
          <t>ขายได้เพราะเป็นยาอันตรายตามกฎหมาย</t>
        </is>
      </c>
      <c r="F49" s="2" t="inlineStr">
        <is>
          <t>ขายไม่ได้เพราะปริมาณเกินกฎหมายกำหนดไว้</t>
        </is>
      </c>
      <c r="G49" s="2" t="inlineStr">
        <is>
          <t>ขายไม่ได้เพราะไม่ได้คำนึงถึงความปลอดภัยผู้มาซื้อ</t>
        </is>
      </c>
      <c r="H49" s="2" t="inlineStr">
        <is>
          <t>ขายไม่ได้เพราะไม่มีใบสั่งซื้อจากแพทย์</t>
        </is>
      </c>
      <c r="I49" s="8" t="inlineStr">
        <is>
          <t>1</t>
        </is>
      </c>
      <c r="J49" s="2" t="inlineStr">
        <is>
          <t>✅ คำตอบที่ถูกต้อง: ข้อ ก. ขายได้เพราะเป็นยาสามัญประจำบ้าน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(ขายได้เพราะเป็นยาสามัญประจำบ้าน): ข้อนี้ไม่ใช่คำตอบที่ถูกต้องสำหรับภาวะ Allergic rhinitis เนื่องจากกลไกการออกฤทธิ์, efficacy หรือข้อบ่งใช้ไม่ตรงกับโจทย์ที่กำหนด
• ข้อ ค. (ขายได้เพราะเป็นยาอันตรายตามกฎหมาย):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(ขายไม่ได้เพราะปริมาณเกินกฎหมายกำหนดไว้): ข้อนี้ไม่ใช่คำตอบที่ถูกต้องสำหรับภาวะ Allergic rhinitis เนื่องจากกลไกการออกฤทธิ์, efficacy หรือข้อบ่งใช้ไม่ตรงกับโจทย์ที่กำหนด
• ข้อ จ. (ขายไม่ได้เพราะไม่ได้คำนึงถึงความปลอดภัยผู้มาซื้อ):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2" t="n"/>
      <c r="L49" s="2" t="inlineStr">
        <is>
          <t>Allergic rhinitis</t>
        </is>
      </c>
      <c r="M49" s="2" t="inlineStr">
        <is>
          <t>Allergic rhinitis</t>
        </is>
      </c>
      <c r="N49" s="2" t="inlineStr">
        <is>
          <t>PLE_CC1_2567_Key ข้อ 11</t>
        </is>
      </c>
      <c r="O49" s="2" t="inlineStr">
        <is>
          <t>ข้อสอบจริง</t>
        </is>
      </c>
      <c r="P49" s="2" t="inlineStr">
        <is>
          <t>ปี 2567</t>
        </is>
      </c>
      <c r="Q49" s="2" t="n"/>
    </row>
    <row r="50" ht="13.2" customHeight="1" s="37">
      <c r="A50" s="8" t="inlineStr">
        <is>
          <t>49</t>
        </is>
      </c>
      <c r="B50" s="2"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ชายอายุ 69 ปี สูง 170 ซม. น้ำหนัก 90 กก. เข้าโรงพยาบาลด้วยอาการปวดท้องส่วนบน แสบร้อนกลาง อก มีคลื่นไส้บางครั้งอาเจียน เป็นมา 5 วัน อาการหนักหลังมื้ออาหาร มีอาการตอนกลางคืน ชอบทานของทอด และของเผ็ด ทานมื้อดึกเป็นมื้อหนัก ทานยา naproxen แก้ปวด และทาน aspirin 81 mg ใช้เพื่อป้องกันโรค หลอดเลือดสมอง 2 วันก่อนมาโรงพยาบาล ปวดท้องจึงทาน naproxen แต่ไม่ดีขึ้นจึงมาโรงพยาบาล ดื่มสุราและ สูบบุหรี่ ส่องกล้องพบแผลในกระเพาะอาหารขนาดใหญ่และมีเลือดออก ผลเลือดและอุจจาระ ไม่พบภาวะโลหิต จางแต่พบเลือดปนในอุจจาระ ผล urea breath test positive</t>
        </is>
      </c>
      <c r="C50" s="2" t="n"/>
      <c r="D50" s="2" t="inlineStr">
        <is>
          <t>ขายได้เพราะเป็นยาสามัญประจำบ้าน</t>
        </is>
      </c>
      <c r="E50" s="2" t="inlineStr">
        <is>
          <t>ขายได้เพราะเป็นยาอันตรายตามกฎหมาย</t>
        </is>
      </c>
      <c r="F50" s="2" t="inlineStr">
        <is>
          <t>ขายไม่ได้เพราะปริมาณเกินกฎหมายกำหนดไว้</t>
        </is>
      </c>
      <c r="G50" s="2" t="inlineStr">
        <is>
          <t>ขายไม่ได้เพราะไม่ได้คำนึงถึงความปลอดภัยผู้มาซื้อ</t>
        </is>
      </c>
      <c r="H50" s="2" t="inlineStr">
        <is>
          <t>ขายไม่ได้เพราะไม่มีใบสั่งซื้อจากแพทย์</t>
        </is>
      </c>
      <c r="I50" s="8" t="inlineStr">
        <is>
          <t>1</t>
        </is>
      </c>
      <c r="J50" s="2" t="inlineStr">
        <is>
          <t>✅ คำตอบที่ถูกต้อง: ข้อ ก. ขายได้เพราะเป็นยาสามัญประจำบ้าน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(ขายได้เพราะเป็นยาสามัญประจำบ้าน): ข้อนี้ไม่ใช่คำตอบที่ถูกต้องสำหรับภาวะ Allergic rhinitis เนื่องจากกลไกการออกฤทธิ์, efficacy หรือข้อบ่งใช้ไม่ตรงกับโจทย์ที่กำหนด
• ข้อ ค. (ขายได้เพราะเป็นยาอันตรายตามกฎหมาย):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(ขายไม่ได้เพราะปริมาณเกินกฎหมายกำหนดไว้): ข้อนี้ไม่ใช่คำตอบที่ถูกต้องสำหรับภาวะ Allergic rhinitis เนื่องจากกลไกการออกฤทธิ์, efficacy หรือข้อบ่งใช้ไม่ตรงกับโจทย์ที่กำหนด
• ข้อ จ. (ขายไม่ได้เพราะไม่ได้คำนึงถึงความปลอดภัยผู้มาซื้อ):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0" s="2" t="n"/>
      <c r="L50" s="2" t="inlineStr">
        <is>
          <t>Allergic rhinitis</t>
        </is>
      </c>
      <c r="M50" s="2" t="inlineStr">
        <is>
          <t>Allergic rhinitis</t>
        </is>
      </c>
      <c r="N50" s="2" t="inlineStr">
        <is>
          <t>PLE_CC1_2567_Set1_Key ข้อ 11</t>
        </is>
      </c>
      <c r="O50" s="2" t="inlineStr">
        <is>
          <t>ข้อสอบจริง</t>
        </is>
      </c>
      <c r="P50" s="2" t="inlineStr">
        <is>
          <t>ปี 2567</t>
        </is>
      </c>
      <c r="Q50" s="2" t="n"/>
    </row>
    <row r="51" ht="13.2" customHeight="1" s="37">
      <c r="A51" s="8" t="inlineStr">
        <is>
          <t>50</t>
        </is>
      </c>
      <c r="B51" s="2" t="inlineStr">
        <is>
          <t>ผู้ป่วยปวดแผลผ่าตัด หลังได้รับ morphine IV ผู้ป่วยมีอาการหัวใจเต้นช้า ซึมลง ไม่พูด ไม่ดื่ม ผู้ป่วยควรได้รับ ยาอะไรในการรักษา - CPM kดเ"นยาlนตรายmnบ 32</t>
        </is>
      </c>
      <c r="C51" s="2" t="n"/>
      <c r="D51" s="2" t="inlineStr">
        <is>
          <t>Fluticasone furoate nasal spray</t>
        </is>
      </c>
      <c r="E51" s="2" t="inlineStr">
        <is>
          <t>Budesonide nasal spray</t>
        </is>
      </c>
      <c r="F51" s="2" t="inlineStr">
        <is>
          <t>Epinephrine 0.3 mg IM stat</t>
        </is>
      </c>
      <c r="G51" s="2" t="inlineStr">
        <is>
          <t>Dexamethasone 4 mg IV</t>
        </is>
      </c>
      <c r="H51" s="2" t="inlineStr">
        <is>
          <t>Bromocriptine</t>
        </is>
      </c>
      <c r="I51" s="8" t="inlineStr">
        <is>
          <t>1</t>
        </is>
      </c>
      <c r="J51" s="2" t="inlineStr">
        <is>
          <t>✅ คำตอบที่ถูกต้อง: ข้อ ก.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1" s="2" t="n"/>
      <c r="L51" s="2" t="inlineStr">
        <is>
          <t>Allergic rhinitis</t>
        </is>
      </c>
      <c r="M51" s="2" t="inlineStr">
        <is>
          <t>Allergic rhinitis</t>
        </is>
      </c>
      <c r="N51" s="2" t="inlineStr">
        <is>
          <t>PLE_CC1_2567_Set1_Key ข้อ 14</t>
        </is>
      </c>
      <c r="O51" s="2" t="inlineStr">
        <is>
          <t>ข้อสอบจริง</t>
        </is>
      </c>
      <c r="P51" s="2" t="inlineStr">
        <is>
          <t>ปี 2567</t>
        </is>
      </c>
      <c r="Q51" s="2" t="n"/>
    </row>
    <row r="52" ht="13.2" customHeight="1" s="37">
      <c r="A52" s="8" t="inlineStr">
        <is>
          <t>51</t>
        </is>
      </c>
      <c r="B52" s="2" t="inlineStr">
        <is>
          <t>คุณครูมาขอซื้อ CPM 4 มก. 5 กระปุก กระปุกละ 100 เม็ด เนื่องจากกำลังจะเปิดเรียน เภสัชกรขายให้ เภสัช กรผิดหรือไม่</t>
        </is>
      </c>
      <c r="C52" s="2" t="n"/>
      <c r="D52" s="2" t="inlineStr">
        <is>
          <t>Allergic rhinitis</t>
        </is>
      </c>
      <c r="E52" s="2" t="inlineStr">
        <is>
          <t>Dexamethasone 4 mg IV</t>
        </is>
      </c>
      <c r="F52" s="2" t="inlineStr">
        <is>
          <t>Prednisolone 20 mg OD</t>
        </is>
      </c>
      <c r="G52" s="2" t="inlineStr">
        <is>
          <t>Montelukast 10 mg HS</t>
        </is>
      </c>
      <c r="H52" s="2" t="inlineStr">
        <is>
          <t>Hydroxyzine 25 mg HS</t>
        </is>
      </c>
      <c r="I52" s="8" t="inlineStr">
        <is>
          <t>1</t>
        </is>
      </c>
      <c r="J52" s="2"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2" t="n"/>
      <c r="L52" s="2" t="inlineStr">
        <is>
          <t>Allergic rhinitis</t>
        </is>
      </c>
      <c r="M52" s="2" t="inlineStr">
        <is>
          <t>Allergic rhinitis</t>
        </is>
      </c>
      <c r="N52" s="2" t="inlineStr">
        <is>
          <t>PLE_CC1_2567_Set1_Key ข้อ 47</t>
        </is>
      </c>
      <c r="O52" s="2" t="inlineStr">
        <is>
          <t>ข้อสอบจริง</t>
        </is>
      </c>
      <c r="P52" s="2" t="inlineStr">
        <is>
          <t>ปี 2567</t>
        </is>
      </c>
    </row>
    <row r="53" ht="13.2" customHeight="1" s="37">
      <c r="A53" s="8" t="inlineStr">
        <is>
          <t>52</t>
        </is>
      </c>
      <c r="B53" s="2" t="inlineStr">
        <is>
          <t>ข้อใดเป็นเกณฑ์ในการวินิจฉัยว่าผู้ป่วยคนนี้เป็นโรคไตเรื้อรัง CPM UACR = 282 ☆</t>
        </is>
      </c>
      <c r="C53" s="2" t="n"/>
      <c r="D53" s="2" t="inlineStr">
        <is>
          <t>Allergic rhinitis</t>
        </is>
      </c>
      <c r="E53" s="2" t="inlineStr">
        <is>
          <t>Hydroxyzine 25 mg HS</t>
        </is>
      </c>
      <c r="F53" s="2" t="inlineStr">
        <is>
          <t>Diphenhydramine 25 mg IV</t>
        </is>
      </c>
      <c r="G53" s="2" t="inlineStr">
        <is>
          <t>Cetirizine 10 mg OD</t>
        </is>
      </c>
      <c r="H53" s="2" t="inlineStr">
        <is>
          <t>Loratadine 10 mg OD</t>
        </is>
      </c>
      <c r="I53" s="8" t="inlineStr">
        <is>
          <t>1</t>
        </is>
      </c>
      <c r="J53" s="2"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3" s="2" t="n"/>
      <c r="L53" s="2" t="inlineStr">
        <is>
          <t>Allergic rhinitis</t>
        </is>
      </c>
      <c r="M53" s="2" t="inlineStr">
        <is>
          <t>Allergic rhinitis</t>
        </is>
      </c>
      <c r="N53" s="2" t="inlineStr">
        <is>
          <t>PLE_CC1_2567_Set1_Key ข้อ 50</t>
        </is>
      </c>
      <c r="O53" s="2" t="inlineStr">
        <is>
          <t>ข้อสอบจริง</t>
        </is>
      </c>
      <c r="P53" s="2" t="inlineStr">
        <is>
          <t>ปี 2567</t>
        </is>
      </c>
    </row>
    <row r="54" ht="13.2" customHeight="1" s="37">
      <c r="A54" s="8" t="inlineStr">
        <is>
          <t>53</t>
        </is>
      </c>
      <c r="B54" s="2" t="inlineStr">
        <is>
          <t>ยาใดที่ร้านขายส่งไม่สามารถขายให้ร้านขายยาแผนปัจจุบันได้ 4อ6จ8งๆ :เฉลย=าง&gt;งตามการ,กษา anaphylaxis เBนหEกFงเBนการแ"แบบ IgE-mediated เGนเHยว3น FงสามารถใLยา Antihistamine, Corticosteroids และอาจรวมไปNง Epinephrine หOอยาอPาง bronchodilators Fง patho การแ"แบบ Type I QนจะR mediators อPาง Histamine ปลดปTอยออกมาUงสามารถใVยาอPาง antihistamine ไ+</t>
        </is>
      </c>
      <c r="C54" s="2" t="n"/>
      <c r="D54" s="2" t="inlineStr">
        <is>
          <t>Sildenafil</t>
        </is>
      </c>
      <c r="E54" s="2" t="inlineStr">
        <is>
          <t>Alprazolam</t>
        </is>
      </c>
      <c r="F54" s="2" t="inlineStr">
        <is>
          <t>Tramadol</t>
        </is>
      </c>
      <c r="G54" s="2" t="inlineStr">
        <is>
          <t>Dexamethasone</t>
        </is>
      </c>
      <c r="H54" s="2" t="inlineStr">
        <is>
          <t>Prednisolone eดfา combine 3นเอา synergistic effect เลยHกfา gก เหhผลjงkอ:lวยR Na mUงไnอยากเ^มขนาด HCTZ</t>
        </is>
      </c>
      <c r="I54" s="8" t="inlineStr">
        <is>
          <t>1</t>
        </is>
      </c>
      <c r="J54" s="2" t="inlineStr">
        <is>
          <t>✅ คำตอบที่ถูกต้อง: ข้อ ก. Sildenafil
💡 Background:
การบริบาลผู้ป่วยในกลุ่มโรค Hypersensitivity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Hypersensitivity โดยมี clinical efficacy สูงสุดในการรักษาและมี safety profile ที่เหมาะสม
🔍 ข้ออื่นผิดเพราะอะไร:
• ข้อ ข. (Sildenafil): ข้อนี้ไม่ใช่คำตอบที่ถูกต้องสำหรับภาวะ Hypersensitivity เนื่องจากกลไกการออกฤทธิ์, efficacy หรือข้อบ่งใช้ไม่ตรงกับโจทย์ที่กำหนด
• ข้อ ค. (Alprazolam): เป็น intermediate-acting Benzodiazepine ออกฤทธิ์เร็ว เหมาะสำหรับ panic attack แต่มีโอกาสเกิด dependence และ rebound anxiety สูงเมื่อหยุดยา
• ข้อ ง. (Tramadol): เป็น weak mu-opioid agonist และ SNRI เป็นเพียง second-line / add-on สำหรับ pain relief ไม่มีฤทธิ์ลดการอักเสบ (no anti-inflammatory efficacy) และเสี่ยงต่อ serotonin syndrome และชัก
• ข้อ จ. (Dexamethasone):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4" s="2" t="n"/>
      <c r="L54" s="2" t="inlineStr">
        <is>
          <t>Hypersensitivity</t>
        </is>
      </c>
      <c r="M54" s="2" t="inlineStr">
        <is>
          <t>Allergic rhinitis</t>
        </is>
      </c>
      <c r="N54" s="2" t="inlineStr">
        <is>
          <t>PLE_CC1_2567_Set1_Key ข้อ 81</t>
        </is>
      </c>
      <c r="O54" s="2" t="inlineStr">
        <is>
          <t>ข้อสอบจริง</t>
        </is>
      </c>
      <c r="P54" s="2" t="inlineStr">
        <is>
          <t>ปี 2567</t>
        </is>
      </c>
      <c r="Q54" s="2" t="n"/>
    </row>
    <row r="55" ht="13.2" customHeight="1" s="37">
      <c r="A55" s="8" t="inlineStr">
        <is>
          <t>54</t>
        </is>
      </c>
      <c r="B55" s="2" t="inlineStr">
        <is>
          <t>CPM 10 เม็ด?????</t>
        </is>
      </c>
      <c r="C55" s="2" t="n"/>
      <c r="D55" s="2" t="inlineStr">
        <is>
          <t>Allergic rhinitis</t>
        </is>
      </c>
      <c r="E55" s="2" t="inlineStr">
        <is>
          <t>Fluticasone furoate nasal spray</t>
        </is>
      </c>
      <c r="F55" s="2" t="inlineStr">
        <is>
          <t>Budesonide nasal spray</t>
        </is>
      </c>
      <c r="G55" s="2" t="inlineStr">
        <is>
          <t>Epinephrine 0.3 mg IM stat</t>
        </is>
      </c>
      <c r="H55" s="2" t="inlineStr">
        <is>
          <t>Dexamethasone 4 mg IV</t>
        </is>
      </c>
      <c r="I55" s="8" t="inlineStr">
        <is>
          <t>1</t>
        </is>
      </c>
      <c r="J55" s="2"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2" t="n"/>
      <c r="L55" s="2" t="inlineStr">
        <is>
          <t>Allergic rhinitis</t>
        </is>
      </c>
      <c r="M55" s="2" t="inlineStr">
        <is>
          <t>Allergic rhinitis</t>
        </is>
      </c>
      <c r="N55" s="2" t="inlineStr">
        <is>
          <t>PLE-CC1 ปี 2566 Day 2 ข้อ 2</t>
        </is>
      </c>
      <c r="O55" s="2" t="inlineStr">
        <is>
          <t>ข้อสอบจริง</t>
        </is>
      </c>
      <c r="P55" s="2" t="inlineStr">
        <is>
          <t>ปี 2566</t>
        </is>
      </c>
    </row>
    <row r="56" ht="13.2" customHeight="1" s="37">
      <c r="A56" s="8" t="inlineStr">
        <is>
          <t>55</t>
        </is>
      </c>
      <c r="B56" s="2" t="inlineStr">
        <is>
          <t>เด็กอายุ14 ปีมีคัดจมูกน้ำมูกไหลเป็นมา5 สัปดาห์ติดต้องตื่นมากลางดึกประวัติเป็นโรคภูมิแพ้เมื่อ2 เดือนก่อนได้รับแมวมาเลี้ยง ข้างบ้านมีการก่อสร้างมา1 ปีมารดาเป็นโรคภูมิแพ้ปัจจัยใดที่กระตุ้นให้เกิดอาการนี้มากที่สุด ตัวเลือก</t>
        </is>
      </c>
      <c r="C56" s="2" t="n"/>
      <c r="D56" s="2" t="inlineStr">
        <is>
          <t>Allergic rhinitis</t>
        </is>
      </c>
      <c r="E56" s="2" t="inlineStr">
        <is>
          <t>Dexamethasone 4 mg IV</t>
        </is>
      </c>
      <c r="F56" s="2" t="inlineStr">
        <is>
          <t>Prednisolone 20 mg OD</t>
        </is>
      </c>
      <c r="G56" s="2" t="inlineStr">
        <is>
          <t>Montelukast 10 mg HS</t>
        </is>
      </c>
      <c r="H56" s="2" t="inlineStr">
        <is>
          <t>Hydroxyzine 25 mg HS</t>
        </is>
      </c>
      <c r="I56" s="8" t="inlineStr">
        <is>
          <t>1</t>
        </is>
      </c>
      <c r="J56" s="2"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2" t="n"/>
      <c r="L56" s="2" t="inlineStr">
        <is>
          <t>Allergic rhinitis</t>
        </is>
      </c>
      <c r="M56" s="2" t="inlineStr">
        <is>
          <t>Allergic rhinitis</t>
        </is>
      </c>
      <c r="N56" s="2" t="inlineStr">
        <is>
          <t>PLE-CC1 ปี 2566 Day 2 ข้อ 68</t>
        </is>
      </c>
      <c r="O56" s="2" t="inlineStr">
        <is>
          <t>ข้อสอบจริง</t>
        </is>
      </c>
      <c r="P56" s="2" t="inlineStr">
        <is>
          <t>ปี 2566</t>
        </is>
      </c>
    </row>
    <row r="57" ht="13.2" customHeight="1" s="37">
      <c r="A57" s="8" t="inlineStr">
        <is>
          <t>56</t>
        </is>
      </c>
      <c r="B57" s="2" t="inlineStr">
        <is>
          <t>มารดาเป็นภูมิแพ้</t>
        </is>
      </c>
      <c r="C57" s="2" t="n"/>
      <c r="D57" s="2" t="inlineStr">
        <is>
          <t>Allergic rhinitis</t>
        </is>
      </c>
      <c r="E57" s="2" t="inlineStr">
        <is>
          <t>Hydroxyzine 25 mg HS</t>
        </is>
      </c>
      <c r="F57" s="2" t="inlineStr">
        <is>
          <t>Diphenhydramine 25 mg IV</t>
        </is>
      </c>
      <c r="G57" s="2" t="inlineStr">
        <is>
          <t>Cetirizine 10 mg OD</t>
        </is>
      </c>
      <c r="H57" s="2" t="inlineStr">
        <is>
          <t>Loratadine 10 mg OD</t>
        </is>
      </c>
      <c r="I57" s="8" t="inlineStr">
        <is>
          <t>1</t>
        </is>
      </c>
      <c r="J57" s="2"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2" t="n"/>
      <c r="L57" s="2" t="inlineStr">
        <is>
          <t>Allergic rhinitis</t>
        </is>
      </c>
      <c r="M57" s="2" t="inlineStr">
        <is>
          <t>Allergic rhinitis</t>
        </is>
      </c>
      <c r="N57" s="2" t="inlineStr">
        <is>
          <t>PLE-CC1 ปี 2566 Day 2 ข้อ 5</t>
        </is>
      </c>
      <c r="O57" s="2" t="inlineStr">
        <is>
          <t>ข้อสอบจริง</t>
        </is>
      </c>
      <c r="P57" s="2" t="inlineStr">
        <is>
          <t>ปี 2566</t>
        </is>
      </c>
    </row>
    <row r="58" ht="13.2" customHeight="1" s="37">
      <c r="A58" s="8" t="inlineStr">
        <is>
          <t>57</t>
        </is>
      </c>
      <c r="B58" s="2" t="inlineStr">
        <is>
          <t>(ชื่อยาantihistamine) nasal spray</t>
        </is>
      </c>
      <c r="C58" s="2" t="n"/>
      <c r="D58" s="2" t="inlineStr">
        <is>
          <t>Allergic rhinitis</t>
        </is>
      </c>
      <c r="E58" s="2" t="inlineStr">
        <is>
          <t>Loratadine 10 mg OD</t>
        </is>
      </c>
      <c r="F58" s="2" t="inlineStr">
        <is>
          <t>Fexofenadine 180 mg OD</t>
        </is>
      </c>
      <c r="G58" s="2" t="inlineStr">
        <is>
          <t>Chlorpheniramine 4 mg TID</t>
        </is>
      </c>
      <c r="H58" s="2" t="inlineStr">
        <is>
          <t>Fluticasone furoate nasal spray</t>
        </is>
      </c>
      <c r="I58" s="8" t="inlineStr">
        <is>
          <t>1</t>
        </is>
      </c>
      <c r="J58" s="2"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10 mg OD): ข้อนี้ไม่ใช่คำตอบที่ถูกต้องสำหรับภาวะ Allergic rhinitis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2" t="n"/>
      <c r="L58" s="2" t="inlineStr">
        <is>
          <t>Allergic rhinitis</t>
        </is>
      </c>
      <c r="M58" s="2" t="inlineStr">
        <is>
          <t>Allergic rhinitis</t>
        </is>
      </c>
      <c r="N58" s="2" t="inlineStr">
        <is>
          <t>PLE-CC1 ปี 2566 Day 2 ข้อ 2</t>
        </is>
      </c>
      <c r="O58" s="2" t="inlineStr">
        <is>
          <t>ข้อสอบจริง</t>
        </is>
      </c>
      <c r="P58" s="2" t="inlineStr">
        <is>
          <t>ปี 2566</t>
        </is>
      </c>
    </row>
    <row r="59" ht="13.2" customHeight="1" s="37">
      <c r="A59" s="8" t="inlineStr">
        <is>
          <t>58</t>
        </is>
      </c>
      <c r="B59" s="2" t="inlineStr">
        <is>
          <t>Antihistamine =ง&gt;ตรเ?ยวและ&gt;ตรผสม เฉพาะFปแบบยาH รายการยา antihistamine ตามแนบIายประกาศJKงL</t>
        </is>
      </c>
      <c r="C59" s="2" t="n"/>
      <c r="D59" s="2" t="inlineStr">
        <is>
          <t>Tramadol เดี่ยวและผสม</t>
        </is>
      </c>
      <c r="E59" s="2" t="inlineStr">
        <is>
          <t>Dextromethorphan เดี่ยวและผสม</t>
        </is>
      </c>
      <c r="F59" s="2" t="inlineStr">
        <is>
          <t>CPM เดี่ยวและผสม เฉพาะยาน้ำ</t>
        </is>
      </c>
      <c r="G59" s="2" t="inlineStr">
        <is>
          <t>Cetirizine เดี่ยวและผสม เฉพาะยาน้ำ</t>
        </is>
      </c>
      <c r="H59" s="2" t="inlineStr">
        <is>
          <t>Diphenhydramine เดี่ยวและผสม เฉพาะยาน้ำ</t>
        </is>
      </c>
      <c r="I59" s="8" t="inlineStr">
        <is>
          <t>1</t>
        </is>
      </c>
      <c r="J59" s="2" t="inlineStr">
        <is>
          <t>✅ คำตอบที่ถูกต้อง: ข้อ ก. Tramadol เดี่ยวและผสม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(Tramadol เดี่ยวและผสม): เป็น weak mu-opioid agonist และ SNRI เป็นเพียง second-line / add-on สำหรับ pain relief ไม่มีฤทธิ์ลดการอักเสบ (no anti-inflammatory efficacy) และเสี่ยงต่อ serotonin syndrome และชัก
• ข้อ ค. (Dextromethorphan เดี่ยวและผสม): ข้อนี้ไม่ใช่คำตอบที่ถูกต้องสำหรับภาวะ Allergic rhinitis เนื่องจากกลไกการออกฤทธิ์, efficacy หรือข้อบ่งใช้ไม่ตรงกับโจทย์ที่กำหนด
• ข้อ ง. (CPM เดี่ยวและผสม เฉพาะยาน้ำ): ข้อนี้ไม่ใช่คำตอบที่ถูกต้องสำหรับภาวะ Allergic rhinitis เนื่องจากกลไกการออกฤทธิ์, efficacy หรือข้อบ่งใช้ไม่ตรงกับโจทย์ที่กำหนด
• ข้อ จ. (Cetirizine เดี่ยวและผสม เฉพาะยาน้ำ): เป็น 2nd generation H1-antihistamine บรรเทาอาการ allergic rhinitis และ urticaria มี sedating effect ต่ำกว่า 1st gen แต่ยังอาจทำให้ง่วงซึมได้มากกว่า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2" t="n"/>
      <c r="L59" s="2" t="inlineStr">
        <is>
          <t>Allergic rhinitis</t>
        </is>
      </c>
      <c r="M59" s="2" t="inlineStr">
        <is>
          <t>Allergic rhinitis</t>
        </is>
      </c>
      <c r="N59" s="2" t="inlineStr">
        <is>
          <t>PLE_CC1_2565_Day1_Key ข้อ 3</t>
        </is>
      </c>
      <c r="O59" s="2" t="inlineStr">
        <is>
          <t>ข้อสอบจริง</t>
        </is>
      </c>
      <c r="P59" s="2" t="inlineStr">
        <is>
          <t>ปี 2565</t>
        </is>
      </c>
      <c r="Q59" s="2" t="n"/>
    </row>
    <row r="60" ht="13.2" customHeight="1" s="37">
      <c r="A60" s="8" t="inlineStr">
        <is>
          <t>59</t>
        </is>
      </c>
      <c r="B60" s="2" t="inlineStr">
        <is>
          <t>โครงสรางส;วนใดของ loratadine ที่ทำใหยามีความ selective ต;อ histamine 1 receptor N = 5.54 x (4/0.1)^2 N = 8,864 !งไ$%อยก)า 8,000 +ง,น.อ)า/านเกณ2 H1 เ"น Gq receptor $ง G protein จะ( 7 transmembrane โครงส-างของ Antihistamine จะเ1าไป4บ receptor 6ง7 - tertiary amine 4บ8แห;ง 3 &gt;&gt; D - imidazole ring ห&gt; C</t>
        </is>
      </c>
      <c r="C60" s="2" t="n"/>
      <c r="D60" s="2" t="inlineStr">
        <is>
          <t>Dexamethasone 4 mg IV</t>
        </is>
      </c>
      <c r="E60" s="2" t="inlineStr">
        <is>
          <t>Prednisolone 20 mg OD</t>
        </is>
      </c>
      <c r="F60" s="2" t="inlineStr">
        <is>
          <t>Montelukast 10 mg HS</t>
        </is>
      </c>
      <c r="G60" s="2" t="inlineStr">
        <is>
          <t>Hydroxyzine 25 mg HS</t>
        </is>
      </c>
      <c r="H60" s="2" t="inlineStr">
        <is>
          <t>A และ C C เ"น Pyridine ring ไAใC imidazole แD EดGา;าจะเ"น8แห;ง4บ HางIงจากKป7 (เส=ม) ?ห@บ H2 receptor (Slide medchem)</t>
        </is>
      </c>
      <c r="I60" s="8" t="inlineStr">
        <is>
          <t>2</t>
        </is>
      </c>
      <c r="J60" s="2" t="inlineStr">
        <is>
          <t>✅ คำตอบที่ถูกต้อง: ข้อ ข. Prednisolone 20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Prednisolone 20 mg OD การเลือก Prednisolone 20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ก. (Allergic rhinitis): ข้อนี้ไม่ใช่คำตอบที่ถูกต้องสำหรับภาวะ Allergic rhinitis เนื่องจากกลไกการออกฤทธิ์, efficacy หรือข้อบ่งใช้ไม่ตรงกับโจทย์ที่กำหนด
• ข้อ ข. (Dexamethasone 4 mg IV): เป็น long-acting potent glucocorticoid ไม่มี mineralocorticoid effect จึงไม่ทำให้น้ำคั่ง เหมาะสำหรับ brain edema, antiemetic, และ COVID-19 with hypoxemia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0" s="2" t="n"/>
      <c r="L60" s="2" t="inlineStr">
        <is>
          <t>Allergic rhinitis</t>
        </is>
      </c>
      <c r="M60" s="2" t="inlineStr">
        <is>
          <t>Allergic rhinitis</t>
        </is>
      </c>
      <c r="N60" s="2" t="inlineStr">
        <is>
          <t>PLE_CC1_2565_Day1_Key ข้อ 88</t>
        </is>
      </c>
      <c r="O60" s="2" t="inlineStr">
        <is>
          <t>ข้อสอบจริง</t>
        </is>
      </c>
      <c r="P60" s="2" t="inlineStr">
        <is>
          <t>ปี 2565</t>
        </is>
      </c>
      <c r="Q60" s="2" t="n"/>
    </row>
    <row r="61" ht="13.2" customHeight="1" s="37">
      <c r="A61" s="8" t="inlineStr">
        <is>
          <t>60</t>
        </is>
      </c>
      <c r="B61" s="2" t="inlineStr">
        <is>
          <t>Allergic rhinitis</t>
        </is>
      </c>
      <c r="C61" s="2" t="n"/>
      <c r="D61" s="2" t="inlineStr">
        <is>
          <t>Allergic rhinitis</t>
        </is>
      </c>
      <c r="E61" s="2" t="inlineStr">
        <is>
          <t>Hydroxyzine 25 mg HS</t>
        </is>
      </c>
      <c r="F61" s="2" t="inlineStr">
        <is>
          <t>Diphenhydramine 25 mg IV</t>
        </is>
      </c>
      <c r="G61" s="2" t="inlineStr">
        <is>
          <t>Cetirizine 10 mg OD</t>
        </is>
      </c>
      <c r="H61" s="2" t="inlineStr">
        <is>
          <t>Loratadine 10 mg OD</t>
        </is>
      </c>
      <c r="I61" s="8" t="inlineStr">
        <is>
          <t>1</t>
        </is>
      </c>
      <c r="J61" s="2"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2" t="n"/>
      <c r="L61" s="2" t="inlineStr">
        <is>
          <t>Allergic rhinitis</t>
        </is>
      </c>
      <c r="M61" s="2" t="inlineStr">
        <is>
          <t>Allergic rhinitis</t>
        </is>
      </c>
      <c r="N61" s="2" t="inlineStr">
        <is>
          <t>PLE_CC1_2565_Day1_Key ข้อ 10</t>
        </is>
      </c>
      <c r="O61" s="2" t="inlineStr">
        <is>
          <t>ข้อสอบจริง</t>
        </is>
      </c>
      <c r="P61" s="2" t="inlineStr">
        <is>
          <t>ปี 2565</t>
        </is>
      </c>
    </row>
    <row r="62" ht="13.2" customHeight="1" s="37">
      <c r="A62" s="8" t="inlineStr">
        <is>
          <t>61</t>
        </is>
      </c>
      <c r="B62" s="2" t="inlineStr">
        <is>
          <t>common cold คัดจมูก จะให้ใช้อะไรดี</t>
        </is>
      </c>
      <c r="C62" s="2" t="n"/>
      <c r="D62" s="2" t="inlineStr">
        <is>
          <t>Allergic rhinitis</t>
        </is>
      </c>
      <c r="E62" s="2" t="inlineStr">
        <is>
          <t>oxymetazoline / b) CPM tablet / c) loratadine tablet</t>
        </is>
      </c>
      <c r="F62" s="2" t="inlineStr">
        <is>
          <t>Fexofenadine 180 mg OD</t>
        </is>
      </c>
      <c r="G62" s="2" t="inlineStr">
        <is>
          <t>Chlorpheniramine 4 mg TID</t>
        </is>
      </c>
      <c r="H62" s="2" t="inlineStr">
        <is>
          <t>Fluticasone furoate nasal spray</t>
        </is>
      </c>
      <c r="I62" s="8" t="inlineStr">
        <is>
          <t>1</t>
        </is>
      </c>
      <c r="J62" s="2"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(oxymetazoline / b) CPM tablet / c) loratadine tablet): เป็น topical alpha-1 agonist ยาพ่นจมูกลดบวม ห้ามใช้ติดต่อกันเกิน 3-5 วัน เนื่องจากเสี่ยงต่อการเกิด rebound congestion (Rhinitis medicamentosa)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2" t="n"/>
      <c r="L62" s="2" t="inlineStr">
        <is>
          <t>Allergic rhinitis</t>
        </is>
      </c>
      <c r="M62" s="2" t="inlineStr">
        <is>
          <t>Allergic rhinitis</t>
        </is>
      </c>
      <c r="N62" s="2" t="inlineStr">
        <is>
          <t>PLE_CC1_2564_All_Key ข้อ 10</t>
        </is>
      </c>
      <c r="O62" s="2" t="inlineStr">
        <is>
          <t>ข้อสอบจริง</t>
        </is>
      </c>
      <c r="P62" s="2" t="inlineStr">
        <is>
          <t>ปี 2564</t>
        </is>
      </c>
    </row>
    <row r="63" ht="13.2" customHeight="1" s="37">
      <c r="A63" s="8" t="inlineStr">
        <is>
          <t>62</t>
        </is>
      </c>
      <c r="B63" s="2" t="inlineStr">
        <is>
          <t>common cold จะแนะนำยังไงดี</t>
        </is>
      </c>
      <c r="C63" s="2" t="n"/>
      <c r="D63" s="2" t="inlineStr">
        <is>
          <t>Allergic rhinitis</t>
        </is>
      </c>
      <c r="E63" s="2" t="inlineStr">
        <is>
          <t>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t>
        </is>
      </c>
      <c r="F63" s="2" t="inlineStr">
        <is>
          <t>Budesonide nasal spray</t>
        </is>
      </c>
      <c r="G63" s="2" t="inlineStr">
        <is>
          <t>Epinephrine 0.3 mg IM stat</t>
        </is>
      </c>
      <c r="H63" s="2" t="inlineStr">
        <is>
          <t>Dexamethasone 4 mg IV</t>
        </is>
      </c>
      <c r="I63" s="8" t="inlineStr">
        <is>
          <t>1</t>
        </is>
      </c>
      <c r="J63" s="2" t="inlineStr">
        <is>
          <t>✅ คำตอบที่ถูกต้อง: ข้อ ก. Allergic rhinitis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Allergic rhinitis เท่าที่มีช้อย คิดว่าตอบ a เพราะ แนวทางการรักษาที่ใช้เป็นหลักในโรคหวัด คือ การบรรเทาอาการรบกวนที่เกิดขึ้น โดยมาตรการดูแลตัวเอง เช่น การเช็ดตัวลดไข้ การใช้ยาทานวดระเหย (vapor rub) การดื่มน้ำ และการพักผ่อนให้เพียงพอ ..............................................................................................................................................................................................................
🔍 ข้ออื่นผิดเพราะอะไร:
• ข้อ ข. (พักผ่อนให้เพียงพอ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 ข้อนี้ไม่ใช่คำตอบที่ถูกต้องสำหรับภาวะ Allergic rhinitis เนื่องจากกลไกการออกฤทธิ์, efficacy หรือข้อบ่งใช้ไม่ตรงกับโจทย์ที่กำหนด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2" t="n"/>
      <c r="L63" s="2" t="inlineStr">
        <is>
          <t>Allergic rhinitis</t>
        </is>
      </c>
      <c r="M63" s="2" t="inlineStr">
        <is>
          <t>Allergic rhinitis</t>
        </is>
      </c>
      <c r="N63" s="2" t="inlineStr">
        <is>
          <t>PLE_CC1_2564_All_Key ข้อ 11</t>
        </is>
      </c>
      <c r="O63" s="2" t="inlineStr">
        <is>
          <t>ข้อสอบจริง</t>
        </is>
      </c>
      <c r="P63" s="2" t="inlineStr">
        <is>
          <t>ปี 2564</t>
        </is>
      </c>
    </row>
    <row r="64" ht="13.2" customHeight="1" s="37">
      <c r="A64" s="8" t="inlineStr">
        <is>
          <t>62</t>
        </is>
      </c>
      <c r="B64" s="2" t="inlineStr">
        <is>
          <t>จากอาการดังกล.าวผู(ปcวยเป5น allergic rhinitis แบบใดและมีความ รุนแรงระดับใด</t>
        </is>
      </c>
      <c r="C64" s="2" t="n"/>
      <c r="D64" s="2" t="inlineStr">
        <is>
          <t>Persistent, mild</t>
        </is>
      </c>
      <c r="E64" s="2" t="inlineStr">
        <is>
          <t>Intermittent, mild</t>
        </is>
      </c>
      <c r="F64" s="2" t="inlineStr">
        <is>
          <t>Intermittent, very severe</t>
        </is>
      </c>
      <c r="G64" s="2" t="inlineStr">
        <is>
          <t>Persistent, moderate-severe</t>
        </is>
      </c>
      <c r="H64" s="2" t="inlineStr">
        <is>
          <t>Intermittent, moderate-severe</t>
        </is>
      </c>
      <c r="I64" s="8" t="inlineStr">
        <is>
          <t>1</t>
        </is>
      </c>
      <c r="J64" s="2" t="inlineStr">
        <is>
          <t>✅ คำตอบที่ถูกต้อง: ข้อ ก. Persistent, mild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Persistent, mild การเลือก Persistent, mild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(Intermittent, mild): ข้อนี้ไม่ใช่คำตอบที่ถูกต้องสำหรับภาวะ Allergic rhinitis เนื่องจากกลไกการออกฤทธิ์, efficacy หรือข้อบ่งใช้ไม่ตรงกับโจทย์ที่กำหนด
• ข้อ ค. (Intermittent, very severe): ข้อนี้ไม่ใช่คำตอบที่ถูกต้องสำหรับภาวะ Allergic rhinitis เนื่องจากกลไกการออกฤทธิ์, efficacy หรือข้อบ่งใช้ไม่ตรงกับโจทย์ที่กำหนด
• ข้อ ง. (Persistent, moderate-severe): ข้อนี้ไม่ใช่คำตอบที่ถูกต้องสำหรับภาวะ Allergic rhinitis เนื่องจากกลไกการออกฤทธิ์, efficacy หรือข้อบ่งใช้ไม่ตรงกับโจทย์ที่กำหนด
• ข้อ จ. (Intermittent, moderate-severe):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2" t="n"/>
      <c r="L64" s="2" t="inlineStr">
        <is>
          <t>Allergic rhinitis</t>
        </is>
      </c>
      <c r="M64" s="2" t="inlineStr">
        <is>
          <t>Clinic</t>
        </is>
      </c>
      <c r="N64" s="2" t="inlineStr">
        <is>
          <t>ข้อ 70 (PLE_CC1_2561_Key.md)</t>
        </is>
      </c>
      <c r="O64" s="2" t="inlineStr">
        <is>
          <t>ข้อสอบจริง</t>
        </is>
      </c>
      <c r="P64" s="2" t="inlineStr">
        <is>
          <t>ปี 2561</t>
        </is>
      </c>
    </row>
    <row r="65" ht="13.2" customHeight="1" s="37">
      <c r="A65" s="8" t="inlineStr">
        <is>
          <t>63</t>
        </is>
      </c>
      <c r="B65" s="2" t="inlineStr">
        <is>
          <t>การใช(ยา pseudoephedrine nasal drop ติดต.อกันนานเกิน 10 วัน มีผลทำให(เกิดผลข(างเคียงใด</t>
        </is>
      </c>
      <c r="C65" s="2" t="n"/>
      <c r="D65" s="2" t="inlineStr">
        <is>
          <t>นอนไม.หลับ</t>
        </is>
      </c>
      <c r="E65" s="2" t="inlineStr">
        <is>
          <t>เกิดฝqาขาวที่ลิ้น</t>
        </is>
      </c>
      <c r="F65" s="2" t="inlineStr">
        <is>
          <t>เลือดกำเดาไหล</t>
        </is>
      </c>
      <c r="G65" s="2" t="inlineStr">
        <is>
          <t>คัดจมูกมาก หายใจไม.ออก</t>
        </is>
      </c>
      <c r="H65" s="2" t="inlineStr">
        <is>
          <t>เลือดออกในทางเดินอาหาร</t>
        </is>
      </c>
      <c r="I65" s="8" t="inlineStr">
        <is>
          <t>1</t>
        </is>
      </c>
      <c r="J65" s="2" t="inlineStr">
        <is>
          <t>✅ คำตอบที่ถูกต้อง: ข้อ ก. นอนไม.หลับ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นอนไม.หลับ การเลือก นอนไม.หลับ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(เกิดฝqาขาวที่ลิ้น): ข้อนี้ไม่ใช่คำตอบที่ถูกต้องสำหรับภาวะ Allergic rhinitis เนื่องจากกลไกการออกฤทธิ์, efficacy หรือข้อบ่งใช้ไม่ตรงกับโจทย์ที่กำหนด
• ข้อ ค. (เลือดกำเดาไหล): ข้อนี้ไม่ใช่คำตอบที่ถูกต้องสำหรับภาวะ Allergic rhinitis เนื่องจากกลไกการออกฤทธิ์, efficacy หรือข้อบ่งใช้ไม่ตรงกับโจทย์ที่กำหนด
• ข้อ ง. (คัดจมูกมาก หายใจไม.ออก): ข้อนี้ไม่ใช่คำตอบที่ถูกต้องสำหรับภาวะ Allergic rhinitis เนื่องจากกลไกการออกฤทธิ์, efficacy หรือข้อบ่งใช้ไม่ตรงกับโจทย์ที่กำหนด
• ข้อ จ. (เลือดออกในทางเดินอาหาร):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2" t="n"/>
      <c r="L65" s="2" t="inlineStr">
        <is>
          <t>Allergic rhinitis</t>
        </is>
      </c>
      <c r="M65" s="2" t="inlineStr">
        <is>
          <t>Clinic</t>
        </is>
      </c>
      <c r="N65" s="2" t="inlineStr">
        <is>
          <t>ข้อ 72 (PLE_CC1_2561_Key.md)</t>
        </is>
      </c>
      <c r="O65" s="2" t="inlineStr">
        <is>
          <t>ข้อสอบจริง</t>
        </is>
      </c>
      <c r="P65" s="2" t="inlineStr">
        <is>
          <t>ปี 2561</t>
        </is>
      </c>
    </row>
    <row r="66" ht="13.2" customHeight="1" s="37">
      <c r="A66" s="8" t="inlineStr">
        <is>
          <t>64</t>
        </is>
      </c>
      <c r="B66" s="2" t="inlineStr">
        <is>
          <t>Allergic rhinitis with Asthma</t>
        </is>
      </c>
      <c r="C66" s="2" t="n"/>
      <c r="D66" s="2" t="inlineStr">
        <is>
          <t>Cetirizine 10 mg OD</t>
        </is>
      </c>
      <c r="E66" s="2" t="inlineStr">
        <is>
          <t>Loratadine 10 mg OD</t>
        </is>
      </c>
      <c r="F66" s="2" t="inlineStr">
        <is>
          <t>Fexofenadine 180 mg OD</t>
        </is>
      </c>
      <c r="G66" s="2" t="inlineStr">
        <is>
          <t>Chlorpheniramine 4 mg TID</t>
        </is>
      </c>
      <c r="H66" s="2" t="inlineStr">
        <is>
          <t>Fluticasone furoate nasal spray</t>
        </is>
      </c>
      <c r="I66" s="8" t="inlineStr">
        <is>
          <t>1</t>
        </is>
      </c>
      <c r="J66" s="2" t="inlineStr">
        <is>
          <t>✅ คำตอบที่ถูกต้อง: ข้อ ก.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Allergic rhinitis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6" s="2" t="n"/>
      <c r="L66" s="2" t="inlineStr">
        <is>
          <t>Allergic rhinitis</t>
        </is>
      </c>
      <c r="M66" s="2" t="inlineStr">
        <is>
          <t>Clinic</t>
        </is>
      </c>
      <c r="N66" s="2" t="inlineStr">
        <is>
          <t>ข้อ 1 (PLE_CC1_2560 22 April Set 1.md)</t>
        </is>
      </c>
      <c r="O66" s="2" t="inlineStr">
        <is>
          <t>ข้อสอบจริง</t>
        </is>
      </c>
      <c r="P66" s="2" t="inlineStr">
        <is>
          <t>ปี 2560</t>
        </is>
      </c>
    </row>
    <row r="67" ht="13.2" customHeight="1" s="37">
      <c r="A67" s="8" t="inlineStr">
        <is>
          <t>65</t>
        </is>
      </c>
      <c r="B67" s="2" t="inlineStr">
        <is>
          <t>กฏหมาย หมายเหตุ: แนวข้อสอบนี้ทั้งหมดเกิดจากการจำ และอาจเกิดจากการตีโจทย์มาก่อนเพื่อให้ จำออกมาได้ จึงอาจได้โจทย์ไม่สมบูรณ์ แต่ผู้จัดทำได้พยายามให้ทำให้สมบูรณ์และเสมือน จริงมากที่สุด ขอบคุณ Rx. UP NU PYU และ CU73 รวมโดย Phongsathorn Phlaisaithong Rx 9 UP 2 | P a g e สถานการณ์ที่ 1 Allergic rhinitis with Asthma ผู้ป่วยหญิงอายุ 20 ปี มีอาการคัดจมูก น ้ามูกไหล ไปเรียนได้ปกติ เป็นมาแล้ว 2 สัปดาห์ ได้ยาดังนี</t>
        </is>
      </c>
      <c r="C67" s="2" t="n"/>
      <c r="D67" s="2" t="inlineStr">
        <is>
          <t>Chlorpheniramine 4 mg TID</t>
        </is>
      </c>
      <c r="E67" s="2" t="inlineStr">
        <is>
          <t>Fluticasone furoate nasal spray</t>
        </is>
      </c>
      <c r="F67" s="2" t="inlineStr">
        <is>
          <t>Budesonide nasal spray</t>
        </is>
      </c>
      <c r="G67" s="2" t="inlineStr">
        <is>
          <t>Epinephrine 0.3 mg IM stat</t>
        </is>
      </c>
      <c r="H67" s="2" t="inlineStr">
        <is>
          <t>Dexamethasone 4 mg IV</t>
        </is>
      </c>
      <c r="I67" s="8" t="inlineStr">
        <is>
          <t>1</t>
        </is>
      </c>
      <c r="J67" s="2" t="inlineStr">
        <is>
          <t>✅ คำตอบที่ถูกต้อง: ข้อ ก. Chlorpheniramine 4 mg TID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7" s="2" t="n"/>
      <c r="L67" s="2" t="inlineStr">
        <is>
          <t>Allergic rhinitis</t>
        </is>
      </c>
      <c r="M67" s="2" t="inlineStr">
        <is>
          <t>Clinic</t>
        </is>
      </c>
      <c r="N67" s="2" t="inlineStr">
        <is>
          <t>ข้อ 13 (PLE_CC1_2560 22 April Set 1.md)</t>
        </is>
      </c>
      <c r="O67" s="2" t="inlineStr">
        <is>
          <t>ข้อสอบจริง</t>
        </is>
      </c>
      <c r="P67" s="2" t="inlineStr">
        <is>
          <t>ปี 2560</t>
        </is>
      </c>
    </row>
    <row r="68" ht="13.2" customHeight="1" s="37">
      <c r="A68" s="8" t="inlineStr">
        <is>
          <t>66</t>
        </is>
      </c>
      <c r="B68" s="2" t="inlineStr">
        <is>
          <t>Fexofenadine 60 mg bid</t>
        </is>
      </c>
      <c r="C68" s="2" t="n"/>
      <c r="D68" s="2" t="inlineStr">
        <is>
          <t>Epinephrine 0.3 mg IM stat</t>
        </is>
      </c>
      <c r="E68" s="2" t="inlineStr">
        <is>
          <t>Dexamethasone 4 mg IV</t>
        </is>
      </c>
      <c r="F68" s="2" t="inlineStr">
        <is>
          <t>Prednisolone 20 mg OD</t>
        </is>
      </c>
      <c r="G68" s="2" t="inlineStr">
        <is>
          <t>Montelukast 10 mg HS</t>
        </is>
      </c>
      <c r="H68" s="2" t="inlineStr">
        <is>
          <t>Hydroxyzine 25 mg HS</t>
        </is>
      </c>
      <c r="I68" s="8" t="inlineStr">
        <is>
          <t>1</t>
        </is>
      </c>
      <c r="J68" s="2"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2" t="n"/>
      <c r="L68" s="2" t="inlineStr">
        <is>
          <t>Allergic rhinitis</t>
        </is>
      </c>
      <c r="M68" s="2" t="inlineStr">
        <is>
          <t>Clinic</t>
        </is>
      </c>
      <c r="N68" s="2" t="inlineStr">
        <is>
          <t>ข้อ 2 (PLE_CC1_2560 22 April Set 1.md)</t>
        </is>
      </c>
      <c r="O68" s="2" t="inlineStr">
        <is>
          <t>ข้อสอบจริง</t>
        </is>
      </c>
      <c r="P68" s="2" t="inlineStr">
        <is>
          <t>ปี 2560</t>
        </is>
      </c>
    </row>
    <row r="69" ht="13.2" customHeight="1" s="37">
      <c r="A69" s="8" t="inlineStr">
        <is>
          <t>67</t>
        </is>
      </c>
      <c r="B69" s="2" t="inlineStr">
        <is>
          <t>Oxymetazoline intranasal prn (at night 1-2 times/week)</t>
        </is>
      </c>
      <c r="C69" s="2" t="n"/>
      <c r="D69" s="2" t="inlineStr">
        <is>
          <t>Montelukast 10 mg HS</t>
        </is>
      </c>
      <c r="E69" s="2" t="inlineStr">
        <is>
          <t>Hydroxyzine 25 mg HS</t>
        </is>
      </c>
      <c r="F69" s="2" t="inlineStr">
        <is>
          <t>Diphenhydramine 25 mg IV</t>
        </is>
      </c>
      <c r="G69" s="2" t="inlineStr">
        <is>
          <t>Cetirizine 10 mg OD</t>
        </is>
      </c>
      <c r="H69" s="2" t="inlineStr">
        <is>
          <t>Loratadine 10 mg OD</t>
        </is>
      </c>
      <c r="I69" s="8" t="inlineStr">
        <is>
          <t>1</t>
        </is>
      </c>
      <c r="J69" s="2"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2" t="n"/>
      <c r="L69" s="2" t="inlineStr">
        <is>
          <t>Allergic rhinitis</t>
        </is>
      </c>
      <c r="M69" s="2" t="inlineStr">
        <is>
          <t>Clinic</t>
        </is>
      </c>
      <c r="N69" s="2" t="inlineStr">
        <is>
          <t>ข้อ 3 (PLE_CC1_2560 22 April Set 1.md)</t>
        </is>
      </c>
      <c r="O69" s="2" t="inlineStr">
        <is>
          <t>ข้อสอบจริง</t>
        </is>
      </c>
      <c r="P69" s="2" t="inlineStr">
        <is>
          <t>ปี 2560</t>
        </is>
      </c>
    </row>
    <row r="70" ht="13.2" customHeight="1" s="37">
      <c r="A70" s="8" t="inlineStr">
        <is>
          <t>68</t>
        </is>
      </c>
      <c r="B70" s="2" t="inlineStr">
        <is>
          <t>กลไกของการเกิด Allergic rhinitis เกี่ยวข้องกับ Antibody ตัวใด</t>
        </is>
      </c>
      <c r="C70" s="2" t="n"/>
      <c r="D70" s="2" t="inlineStr">
        <is>
          <t>IgA</t>
        </is>
      </c>
      <c r="E70" s="2" t="inlineStr">
        <is>
          <t>IgE</t>
        </is>
      </c>
      <c r="F70" s="2" t="inlineStr">
        <is>
          <t>IgD</t>
        </is>
      </c>
      <c r="G70" s="2" t="inlineStr">
        <is>
          <t>IgM</t>
        </is>
      </c>
      <c r="H70" s="2" t="inlineStr">
        <is>
          <t>IgG</t>
        </is>
      </c>
      <c r="I70" s="8" t="inlineStr">
        <is>
          <t>1</t>
        </is>
      </c>
      <c r="J70" s="2" t="inlineStr">
        <is>
          <t>✅ คำตอบที่ถูกต้อง: ข้อ ก. IgA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(IgE): ข้อนี้ไม่ใช่คำตอบที่ถูกต้องสำหรับภาวะ Allergic rhinitis เนื่องจากกลไกการออกฤทธิ์, efficacy หรือข้อบ่งใช้ไม่ตรงกับโจทย์ที่กำหนด
• ข้อ ค. (IgD): ข้อนี้ไม่ใช่คำตอบที่ถูกต้องสำหรับภาวะ Allergic rhinitis เนื่องจากกลไกการออกฤทธิ์, efficacy หรือข้อบ่งใช้ไม่ตรงกับโจทย์ที่กำหนด
• ข้อ ง. (IgM): ข้อนี้ไม่ใช่คำตอบที่ถูกต้องสำหรับภาวะ Allergic rhinitis เนื่องจากกลไกการออกฤทธิ์, efficacy หรือข้อบ่งใช้ไม่ตรงกับโจทย์ที่กำหนด
• ข้อ จ. (IgG):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2" t="n"/>
      <c r="L70" s="2" t="inlineStr">
        <is>
          <t>Allergic rhinitis</t>
        </is>
      </c>
      <c r="M70" s="2" t="inlineStr">
        <is>
          <t>Clinic</t>
        </is>
      </c>
      <c r="N70" s="2" t="inlineStr">
        <is>
          <t>ข้อ 1 (PLE_CC1_2560 22 April Set 1.md)</t>
        </is>
      </c>
      <c r="O70" s="2" t="inlineStr">
        <is>
          <t>ข้อสอบจริง</t>
        </is>
      </c>
      <c r="P70" s="2" t="inlineStr">
        <is>
          <t>ปี 2560</t>
        </is>
      </c>
    </row>
    <row r="71" ht="13.2" customHeight="1" s="37">
      <c r="A71" s="8" t="inlineStr">
        <is>
          <t>69</t>
        </is>
      </c>
      <c r="B71" s="2" t="inlineStr">
        <is>
          <t>Allergic rhinitis จัดเป็นแบบใด</t>
        </is>
      </c>
      <c r="C71" s="2" t="n"/>
      <c r="D71" s="2" t="inlineStr">
        <is>
          <t>Mild intermittent</t>
        </is>
      </c>
      <c r="E71" s="2" t="inlineStr">
        <is>
          <t>Mild persistent</t>
        </is>
      </c>
      <c r="F71" s="2" t="inlineStr">
        <is>
          <t>Mild-moderate intermittent</t>
        </is>
      </c>
      <c r="G71" s="2" t="inlineStr">
        <is>
          <t>Moderate persistent</t>
        </is>
      </c>
      <c r="H71" s="2" t="inlineStr">
        <is>
          <t>Moderate-severe intermittent</t>
        </is>
      </c>
      <c r="I71" s="8" t="inlineStr">
        <is>
          <t>1</t>
        </is>
      </c>
      <c r="J71" s="2" t="inlineStr">
        <is>
          <t>✅ คำตอบที่ถูกต้อง: ข้อ ก. 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ข้อนี้ไม่ใช่คำตอบที่ถูกต้องสำหรับภาวะ Allergic rhinitis เนื่องจากกลไกการออกฤทธิ์, efficacy หรือข้อบ่งใช้ไม่ตรงกับโจทย์ที่กำหนด
• ข้อ ค. (Mild-moderate intermittent): ข้อนี้ไม่ใช่คำตอบที่ถูกต้องสำหรับภาวะ Allergic rhinitis เนื่องจากกลไกการออกฤทธิ์, efficacy หรือข้อบ่งใช้ไม่ตรงกับโจทย์ที่กำหนด
• ข้อ ง. (Moderate persistent): ข้อนี้ไม่ใช่คำตอบที่ถูกต้องสำหรับภาวะ Allergic rhinitis เนื่องจากกลไกการออกฤทธิ์, efficacy หรือข้อบ่งใช้ไม่ตรงกับโจทย์ที่กำหนด
• ข้อ จ. (Moderate-severe intermittent):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2" t="n"/>
      <c r="L71" s="2" t="inlineStr">
        <is>
          <t>Allergic rhinitis</t>
        </is>
      </c>
      <c r="M71" s="2" t="inlineStr">
        <is>
          <t>Clinic</t>
        </is>
      </c>
      <c r="N71" s="2" t="inlineStr">
        <is>
          <t>ข้อ 2 (PLE_CC1_2560 22 April Set 1.md)</t>
        </is>
      </c>
      <c r="O71" s="2" t="inlineStr">
        <is>
          <t>ข้อสอบจริง</t>
        </is>
      </c>
      <c r="P71" s="2" t="inlineStr">
        <is>
          <t>ปี 2560</t>
        </is>
      </c>
    </row>
    <row r="72" ht="13.2" customHeight="1" s="37">
      <c r="A72" s="8" t="inlineStr">
        <is>
          <t>70</t>
        </is>
      </c>
      <c r="B72" s="2" t="inlineStr">
        <is>
          <t>Oxymetazoline ออกฤทธิ์เหมือนกับยาใด</t>
        </is>
      </c>
      <c r="C72" s="2" t="n"/>
      <c r="D72" s="2" t="inlineStr">
        <is>
          <t>Phenylephrine</t>
        </is>
      </c>
      <c r="E72" s="2" t="inlineStr">
        <is>
          <t>Loratadine</t>
        </is>
      </c>
      <c r="F72" s="2" t="inlineStr">
        <is>
          <t>Ipratopium</t>
        </is>
      </c>
      <c r="G72" s="2" t="inlineStr">
        <is>
          <t>Cromolyn</t>
        </is>
      </c>
      <c r="H72" s="2" t="inlineStr">
        <is>
          <t>Theophylline</t>
        </is>
      </c>
      <c r="I72" s="8" t="inlineStr">
        <is>
          <t>1</t>
        </is>
      </c>
      <c r="J72" s="2" t="inlineStr">
        <is>
          <t>✅ คำตอบที่ถูกต้อง: ข้อ ก. Phenylephrine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Phenylephrine การเลือก Phenylephrine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ข้อนี้ไม่ใช่คำตอบที่ถูกต้องสำหรับภาวะ Allergic rhinitis เนื่องจากกลไกการออกฤทธิ์, efficacy หรือข้อบ่งใช้ไม่ตรงกับโจทย์ที่กำหนด
• ข้อ ค. (Ipratopium): ข้อนี้ไม่ใช่คำตอบที่ถูกต้องสำหรับภาวะ Allergic rhinitis เนื่องจากกลไกการออกฤทธิ์, efficacy หรือข้อบ่งใช้ไม่ตรงกับโจทย์ที่กำหนด
• ข้อ ง. (Cromolyn): ข้อนี้ไม่ใช่คำตอบที่ถูกต้องสำหรับภาวะ Allergic rhinitis เนื่องจากกลไกการออกฤทธิ์, efficacy หรือข้อบ่งใช้ไม่ตรงกับโจทย์ที่กำหนด
• ข้อ จ. (Theophylline):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2" t="n"/>
      <c r="L72" s="2" t="inlineStr">
        <is>
          <t>Allergic rhinitis</t>
        </is>
      </c>
      <c r="M72" s="2" t="inlineStr">
        <is>
          <t>Clinic</t>
        </is>
      </c>
      <c r="N72" s="2" t="inlineStr">
        <is>
          <t>ข้อ 3 (PLE_CC1_2560 22 April Set 1.md)</t>
        </is>
      </c>
      <c r="O72" s="2" t="inlineStr">
        <is>
          <t>ข้อสอบจริง</t>
        </is>
      </c>
      <c r="P72" s="2" t="inlineStr">
        <is>
          <t>ปี 2560</t>
        </is>
      </c>
    </row>
    <row r="73" ht="13.2" customHeight="1" s="37">
      <c r="A73" s="8" t="inlineStr">
        <is>
          <t>71</t>
        </is>
      </c>
      <c r="B73" s="2" t="inlineStr">
        <is>
          <t>ยาใดสามารถรักษาได้ทั ง Allergic rhinitis และ Asthma</t>
        </is>
      </c>
      <c r="C73" s="2" t="n"/>
      <c r="D73" s="2" t="inlineStr">
        <is>
          <t>Budesonide</t>
        </is>
      </c>
      <c r="E73" s="2" t="inlineStr">
        <is>
          <t>Montelukast</t>
        </is>
      </c>
      <c r="F73" s="2" t="inlineStr">
        <is>
          <t>Ipratopium</t>
        </is>
      </c>
      <c r="G73" s="2" t="inlineStr">
        <is>
          <t>Loratadine</t>
        </is>
      </c>
      <c r="H73" s="2" t="inlineStr">
        <is>
          <t>Leukotriene</t>
        </is>
      </c>
      <c r="I73" s="8" t="inlineStr">
        <is>
          <t>1</t>
        </is>
      </c>
      <c r="J73" s="2" t="inlineStr">
        <is>
          <t>✅ คำตอบที่ถูกต้อง: ข้อ ก. Budesonide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การเลือก Budesonide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(Ipratopium): ข้อนี้ไม่ใช่คำตอบที่ถูกต้องสำหรับภาวะ Allergic rhinitis เนื่องจากกลไกการออกฤทธิ์, efficacy หรือข้อบ่งใช้ไม่ตรงกับโจทย์ที่กำหนด
• ข้อ ง. (Loratadine): ข้อนี้ไม่ใช่คำตอบที่ถูกต้องสำหรับภาวะ Allergic rhinitis เนื่องจากกลไกการออกฤทธิ์, efficacy หรือข้อบ่งใช้ไม่ตรงกับโจทย์ที่กำหนด
• ข้อ จ. (Leukotriene):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3" s="2" t="n"/>
      <c r="L73" s="2" t="inlineStr">
        <is>
          <t>Allergic rhinitis</t>
        </is>
      </c>
      <c r="M73" s="2" t="inlineStr">
        <is>
          <t>Clinic</t>
        </is>
      </c>
      <c r="N73" s="2" t="inlineStr">
        <is>
          <t>ข้อ 5 (PLE_CC1_2560 22 April Set 1.md)</t>
        </is>
      </c>
      <c r="O73" s="2" t="inlineStr">
        <is>
          <t>ข้อสอบจริง</t>
        </is>
      </c>
      <c r="P73" s="2" t="inlineStr">
        <is>
          <t>ปี 2560</t>
        </is>
      </c>
    </row>
    <row r="74" ht="13.2" customHeight="1" s="37">
      <c r="A74" s="8" t="inlineStr">
        <is>
          <t>72</t>
        </is>
      </c>
      <c r="B74" s="2" t="inlineStr">
        <is>
          <t>เด็กหญิงสุดสวยอายุ 4 ขวบ มาโรงพยาบาลด้วยอาการหอบเหนื่อย พบประวัติในครอบครัว บิดาเป็นโรคภูมิแพ้และหอบหืด จากการวินิจฉัยเบื้อต้นแพทย์วินิจฉัยว่า เด็กหญิงสุดสวยมีอาการของโรคหอบหืด ดังนั้นวันนี้แพทย์จึงสั่งยารักษาและบรรเทาอาหารให้กับผู้ป่วยรายนี้ ยาในข้อใดเป็นทางเลือกแรกในการรักษาของผู้ป่วยรายนี้ตาม GINA 2023</t>
        </is>
      </c>
      <c r="C74" s="2" t="n"/>
      <c r="D74" s="2" t="inlineStr">
        <is>
          <t>Fluticasone MDI</t>
        </is>
      </c>
      <c r="E74" s="2" t="inlineStr">
        <is>
          <t>Salbutamol MDI</t>
        </is>
      </c>
      <c r="F74" s="2" t="inlineStr">
        <is>
          <t>Fluticasone + Salmeterol DPI</t>
        </is>
      </c>
      <c r="G74" s="2" t="inlineStr">
        <is>
          <t>Ipratropium + Fenoterol DPI</t>
        </is>
      </c>
      <c r="H74" s="2" t="inlineStr">
        <is>
          <t>Fluticasone + Formoterol DPI</t>
        </is>
      </c>
      <c r="I74" s="8" t="inlineStr">
        <is>
          <t>1</t>
        </is>
      </c>
      <c r="J74" s="2" t="inlineStr">
        <is>
          <t>✅ คำตอบที่ถูกต้อง: ข้อ ก. Fluticasone MDI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 MDI การเลือก Fluticasone MDI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(Fluticasone + Salmeterol DPI): เป็น potent ICS มี high topical potency และ systemic bioavailability ต่ำ ใช้เป็น maintenance anti-inflammatory controller ใน moderate-to-severe asthma และ COPD with high eosinophils
• ข้อ ง. (Ipratropium + Fenoterol DPI): เป็น SAMA ออกฤทธิ์ยับยั้ง cholinergic tone มักใช้ร่วมกับ SABA ใน acute moderate-to-severe asthma/COPD exacerbation
• ข้อ จ. (Fluticasone + Formoterol DPI):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4" s="2" t="n"/>
      <c r="L74" s="2" t="inlineStr">
        <is>
          <t>Allergic rhinitis</t>
        </is>
      </c>
      <c r="M74" s="2" t="inlineStr">
        <is>
          <t>Clinic</t>
        </is>
      </c>
      <c r="N74" s="2" t="inlineStr">
        <is>
          <t>ข้อ 62 (Pharmtutor_2024_Set2.md)</t>
        </is>
      </c>
      <c r="O74" s="2" t="inlineStr">
        <is>
          <t>Mock</t>
        </is>
      </c>
      <c r="P74" s="2" t="inlineStr">
        <is>
          <t>Mock Pharmtutor 2024</t>
        </is>
      </c>
    </row>
    <row r="75" ht="13.2" customHeight="1" s="37">
      <c r="A75" s="8" t="inlineStr">
        <is>
          <t>73</t>
        </is>
      </c>
      <c r="B75" s="2" t="inlineStr">
        <is>
          <t>เด็กชายอายุ 14 ปี น้ำมูกไหลมา 5 สัปดาห์ มีอาการตื่นกลางดึกเพราะคัดจมูก หายใจไม่ออก ซักประวัติเพิ่มเติม 2 เดือนก่อนเพิ่งรับแมวมาเลี้ยง และข้างบ้านก่อสร้างมาเป็นระยะเวลา 1 ปี โดยผู้ปกครองเล่าว่า แม่มีอาการของภูมิแพ้ภูมิแพ้เหมือนกัน และยังจำเป้นต้องใช้ยาในการรักษา ข้อใดเป้นสาเหตุที่ทำให้ผู้ป่วยรายนี้มีอาการกำเริบของภูมิแพ้มากที่สุดc</t>
        </is>
      </c>
      <c r="C75" s="2" t="n"/>
      <c r="D75" s="2" t="inlineStr">
        <is>
          <t>การก่อสร้าง</t>
        </is>
      </c>
      <c r="E75" s="2" t="inlineStr">
        <is>
          <t>ประวัติทางพันธุกรรม</t>
        </is>
      </c>
      <c r="F75" s="2" t="inlineStr">
        <is>
          <t>ขนแมว</t>
        </is>
      </c>
      <c r="G75" s="2" t="inlineStr">
        <is>
          <t>สภาพอากาศ</t>
        </is>
      </c>
      <c r="H75" s="2" t="inlineStr">
        <is>
          <t>ปัจจัยภายใน เช่น โรคประจำตัว</t>
        </is>
      </c>
      <c r="I75" s="8" t="inlineStr">
        <is>
          <t>1</t>
        </is>
      </c>
      <c r="J75" s="2" t="inlineStr">
        <is>
          <t>✅ คำตอบที่ถูกต้อง: ข้อ ก. การก่อสร้าง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การก่อสร้าง การเลือก การก่อสร้าง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(ประวัติทางพันธุกรรม): ข้อนี้ไม่ใช่คำตอบที่ถูกต้องสำหรับภาวะ Allergic rhinitis เนื่องจากกลไกการออกฤทธิ์, efficacy หรือข้อบ่งใช้ไม่ตรงกับโจทย์ที่กำหนด
• ข้อ ค. (ขนแมว): ข้อนี้ไม่ใช่คำตอบที่ถูกต้องสำหรับภาวะ Allergic rhinitis เนื่องจากกลไกการออกฤทธิ์, efficacy หรือข้อบ่งใช้ไม่ตรงกับโจทย์ที่กำหนด
• ข้อ ง. (สภาพอากาศ): ข้อนี้ไม่ใช่คำตอบที่ถูกต้องสำหรับภาวะ Allergic rhinitis เนื่องจากกลไกการออกฤทธิ์, efficacy หรือข้อบ่งใช้ไม่ตรงกับโจทย์ที่กำหนด
• ข้อ จ. (ปัจจัยภายใน เช่น โรคประจำตัว):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2" t="n"/>
      <c r="L75" s="2" t="inlineStr">
        <is>
          <t>Allergic rhinitis</t>
        </is>
      </c>
      <c r="M75" s="2" t="inlineStr">
        <is>
          <t>Clinic</t>
        </is>
      </c>
      <c r="N75" s="2" t="inlineStr">
        <is>
          <t>ข้อ 76 (Pharmtutor_2024_Set2.md)</t>
        </is>
      </c>
      <c r="O75" s="2" t="inlineStr">
        <is>
          <t>Mock</t>
        </is>
      </c>
      <c r="P75" s="2" t="inlineStr">
        <is>
          <t>Mock Pharmtutor 2024</t>
        </is>
      </c>
    </row>
    <row r="76" ht="13.2" customHeight="1" s="37">
      <c r="A76" s="8" t="inlineStr">
        <is>
          <t>74</t>
        </is>
      </c>
      <c r="B76" s="2" t="inlineStr">
        <is>
          <t>ยาในข้อใดไม่เหมาะสมสำหรับผู้ป่วยรายนี%มากที_x001E_สุด (1) Loratadine (2) Amoxicillin (3) Ibuprofen (4) Phenylephrine (5) Chlorpheniramine maleate</t>
        </is>
      </c>
      <c r="C76" s="2" t="n"/>
      <c r="D76" s="2" t="inlineStr">
        <is>
          <t>Epinephrine 0.3 mg IM stat</t>
        </is>
      </c>
      <c r="E76" s="2" t="inlineStr">
        <is>
          <t>Dexamethasone 4 mg IV</t>
        </is>
      </c>
      <c r="F76" s="2" t="inlineStr">
        <is>
          <t>Prednisolone 20 mg OD</t>
        </is>
      </c>
      <c r="G76" s="2" t="inlineStr">
        <is>
          <t>Montelukast 10 mg HS</t>
        </is>
      </c>
      <c r="H76" s="2" t="inlineStr">
        <is>
          <t>Hydroxyzine 25 mg HS</t>
        </is>
      </c>
      <c r="I76" s="8" t="inlineStr">
        <is>
          <t>1</t>
        </is>
      </c>
      <c r="J76" s="2"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76" s="2" t="n"/>
      <c r="L76" s="2" t="inlineStr">
        <is>
          <t>Allergic rhinitis</t>
        </is>
      </c>
      <c r="M76" s="2" t="inlineStr">
        <is>
          <t>Clinic</t>
        </is>
      </c>
      <c r="N76" s="2" t="inlineStr">
        <is>
          <t>ข้อ 1 (PLE_CC1_2557.md)</t>
        </is>
      </c>
      <c r="O76" s="2" t="inlineStr">
        <is>
          <t>ข้อสอบจริง</t>
        </is>
      </c>
      <c r="P76" s="2" t="inlineStr">
        <is>
          <t>ปี 2557</t>
        </is>
      </c>
    </row>
    <row r="77" ht="13.2" customHeight="1" s="37">
      <c r="A77" s="8" t="inlineStr">
        <is>
          <t>75</t>
        </is>
      </c>
      <c r="B77" s="2" t="inlineStr">
        <is>
          <t>จากข้อ 15. ควรรักษาด้วยยาในข้อใด จำตัวเลือกไม่ได้ แต่ตัวเลือกส่วนใหญ่จะเป็น combination antibiotic eye drops มีบ้างที_x0003_เป็น antibiotics eye drop ร่วมกับ ophthalmic decongestant/antihistamines พี_x0003_ตอบ ceftazidime ED + gentamicin ED ไปอ่ะ ฝากเช็คคำตอบด้วยนะว่าถูกมั_x001B_ย ถ้าผิดจะต้องใช้ตัวไหน Final version | Maximum’2017 Rx30 | Prince of Songkla University สถานการณ์ที_x001E_ 3 ผู้ป่วยหญิงไทย อายุ 50 ปี นํ_x001B_าหนัก 48 กิโลกรัม มา โรงพยาบาลด้วยอาการไอเป็นเลือด ไอเรื_x001B_อรังมานานกว่า 1 เดือน มีไข้ตํ_x0003_า ๆ นํ_x001B_าหนักลด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เมื_x0003_อ 8 เดือนที_x0003_ผ่านมา และได้รับการ รักษาด้วยยาต้านวัณโรคสูตรมาตรฐานครบถ้วนแล้ว 6 เดือน</t>
        </is>
      </c>
      <c r="C77" s="2" t="n"/>
      <c r="D77" s="2" t="inlineStr">
        <is>
          <t>Montelukast 10 mg HS</t>
        </is>
      </c>
      <c r="E77" s="2" t="inlineStr">
        <is>
          <t>Hydroxyzine 25 mg HS</t>
        </is>
      </c>
      <c r="F77" s="2" t="inlineStr">
        <is>
          <t>Diphenhydramine 25 mg IV</t>
        </is>
      </c>
      <c r="G77" s="2" t="inlineStr">
        <is>
          <t>Cetirizine 10 mg OD</t>
        </is>
      </c>
      <c r="H77" s="2" t="inlineStr">
        <is>
          <t>Loratadine 10 mg OD</t>
        </is>
      </c>
      <c r="I77" s="8" t="inlineStr">
        <is>
          <t>1</t>
        </is>
      </c>
      <c r="J77" s="2" t="inlineStr">
        <is>
          <t>✅ คำตอบที่ถูกต้อง: ข้อ ก. Montelukast 10 mg HS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7" s="2" t="n"/>
      <c r="L77" s="2" t="inlineStr">
        <is>
          <t>Allergic rhinitis</t>
        </is>
      </c>
      <c r="M77" s="2" t="inlineStr">
        <is>
          <t>Clinic</t>
        </is>
      </c>
      <c r="N77" s="2" t="inlineStr">
        <is>
          <t>ข้อ 16 (PLE_CC1_2557.md)</t>
        </is>
      </c>
      <c r="O77" s="2" t="inlineStr">
        <is>
          <t>ข้อสอบจริง</t>
        </is>
      </c>
      <c r="P77" s="2" t="inlineStr">
        <is>
          <t>ปี 2557</t>
        </is>
      </c>
    </row>
    <row r="78" ht="13.2" customHeight="1" s="37">
      <c r="A78" s="8" t="inlineStr">
        <is>
          <t>76</t>
        </is>
      </c>
      <c r="B78" s="2" t="inlineStr">
        <is>
          <t>จากตำรับยาข้างต้น กำหนดให้ oxymetazoline มีค่า E เท่ากับ 0.3 ดังนั้นจะต้องเติม NaCl ลงไปเท่าไรจึง จะทำให้ตำรับมีความเป็น isotonic</t>
        </is>
      </c>
      <c r="C78" s="2" t="n"/>
      <c r="D78" s="2" t="inlineStr">
        <is>
          <t>0.60 ml</t>
        </is>
      </c>
      <c r="E78" s="2" t="inlineStr">
        <is>
          <t>0.67 ml</t>
        </is>
      </c>
      <c r="F78" s="2" t="inlineStr">
        <is>
          <t>0.80 ml</t>
        </is>
      </c>
      <c r="G78" s="2" t="inlineStr">
        <is>
          <t>0.87 ml</t>
        </is>
      </c>
      <c r="H78" s="2" t="inlineStr">
        <is>
          <t>0.90 ml คณะเภสัชศาสตร์ มหาวิทยาลัยเชียงใหม่ Rx 44 CMU</t>
        </is>
      </c>
      <c r="I78" s="8" t="inlineStr">
        <is>
          <t>1</t>
        </is>
      </c>
      <c r="J78" s="2" t="inlineStr">
        <is>
          <t>✅ คำตอบที่ถูกต้อง: ข้อ ก. 0.60 ml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0.60 ml การเลือก 0.60 ml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(0.67 ml): ข้อนี้ไม่ใช่คำตอบที่ถูกต้องสำหรับภาวะ Allergic rhinitis เนื่องจากกลไกการออกฤทธิ์, efficacy หรือข้อบ่งใช้ไม่ตรงกับโจทย์ที่กำหนด
• ข้อ ค. (0.80 ml): ข้อนี้ไม่ใช่คำตอบที่ถูกต้องสำหรับภาวะ Allergic rhinitis เนื่องจากกลไกการออกฤทธิ์, efficacy หรือข้อบ่งใช้ไม่ตรงกับโจทย์ที่กำหนด
• ข้อ ง. (0.87 ml): ข้อนี้ไม่ใช่คำตอบที่ถูกต้องสำหรับภาวะ Allergic rhinitis เนื่องจากกลไกการออกฤทธิ์, efficacy หรือข้อบ่งใช้ไม่ตรงกับโจทย์ที่กำหนด
• ข้อ จ. (0.90 ml คณะเภสัชศาสตร์ มหาวิทยาลัยเชียงใหม่ Rx 44 CMU):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8" s="2" t="n"/>
      <c r="L78" s="2" t="inlineStr">
        <is>
          <t>Allergic rhinitis</t>
        </is>
      </c>
      <c r="M78" s="2" t="inlineStr">
        <is>
          <t>Clinic</t>
        </is>
      </c>
      <c r="N78" s="2" t="inlineStr">
        <is>
          <t>ข้อ 49 (PLE_CC1_2555 Day 1.md)</t>
        </is>
      </c>
      <c r="O78" s="2" t="inlineStr">
        <is>
          <t>ข้อสอบจริง</t>
        </is>
      </c>
      <c r="P78" s="2" t="inlineStr">
        <is>
          <t>ปี 2555</t>
        </is>
      </c>
    </row>
    <row r="79" ht="13.2" customHeight="1" s="37">
      <c r="A79" s="8" t="inlineStr">
        <is>
          <t>77</t>
        </is>
      </c>
      <c r="B79" s="2" t="inlineStr">
        <is>
          <t>Antihistamine ตัวไหนทำให้เกิดอาการง่วงที่สุด</t>
        </is>
      </c>
      <c r="C79" s="2" t="n"/>
      <c r="D79" s="2" t="inlineStr">
        <is>
          <t>Hydroxyzine</t>
        </is>
      </c>
      <c r="E79" s="2" t="inlineStr">
        <is>
          <t>Chlorphenhydramine</t>
        </is>
      </c>
      <c r="F79" s="2" t="inlineStr">
        <is>
          <t>Brompheniramine</t>
        </is>
      </c>
      <c r="G79" s="2" t="inlineStr">
        <is>
          <t>Triprolidine</t>
        </is>
      </c>
      <c r="H79" s="2" t="inlineStr">
        <is>
          <t>Cyproheptadine</t>
        </is>
      </c>
      <c r="I79" s="8" t="inlineStr">
        <is>
          <t>1</t>
        </is>
      </c>
      <c r="J79" s="2" t="inlineStr">
        <is>
          <t>✅ คำตอบที่ถูกต้อง: ข้อ ก. Hydroxyzine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การเลือก Hydroxyzine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(Chlorphenhydramine): ข้อนี้ไม่ใช่คำตอบที่ถูกต้องสำหรับภาวะ Allergic rhinitis เนื่องจากกลไกการออกฤทธิ์, efficacy หรือข้อบ่งใช้ไม่ตรงกับโจทย์ที่กำหนด
• ข้อ ค. (Brompheniramine): ข้อนี้ไม่ใช่คำตอบที่ถูกต้องสำหรับภาวะ Allergic rhinitis เนื่องจากกลไกการออกฤทธิ์, efficacy หรือข้อบ่งใช้ไม่ตรงกับโจทย์ที่กำหนด
• ข้อ ง. (Triprolidine): ข้อนี้ไม่ใช่คำตอบที่ถูกต้องสำหรับภาวะ Allergic rhinitis เนื่องจากกลไกการออกฤทธิ์, efficacy หรือข้อบ่งใช้ไม่ตรงกับโจทย์ที่กำหนด
• ข้อ จ. (Cyproheptadine):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9" s="2" t="n"/>
      <c r="L79" s="2" t="inlineStr">
        <is>
          <t>Allergic rhinitis</t>
        </is>
      </c>
      <c r="M79" s="2" t="inlineStr">
        <is>
          <t>Clinic</t>
        </is>
      </c>
      <c r="N79" s="2" t="inlineStr">
        <is>
          <t>ข้อ 67 (PLE_CC1_2555 Day 1.md)</t>
        </is>
      </c>
      <c r="O79" s="2" t="inlineStr">
        <is>
          <t>ข้อสอบจริง</t>
        </is>
      </c>
      <c r="P79" s="2" t="inlineStr">
        <is>
          <t>ปี 2555</t>
        </is>
      </c>
    </row>
    <row r="80" ht="13.2" customHeight="1" s="37">
      <c r="A80" s="8" t="inlineStr">
        <is>
          <t>78</t>
        </is>
      </c>
      <c r="B80" s="2" t="inlineStr">
        <is>
          <t>ยาเพิกถอนทะเบียนตำรับ Case 2: Asthma ผู้ป่วยเป็นโรคภูมิแพ้ มักมีอาการเมื่ออากาศเปลี่ยน มีอาการคล้ายหวัด จาม คัดจมูก น ้ามูกไหล มักเป็นในช่วงเช้า ไม่มีไข้_x0003_ ได้รับยาแก้แพ้อย่างต่อเนื่อง 3 เดือนต่อมา ผู้ป่วยไปพบแพทย์ แพทย์วินิจฉัยว่าเป็นโรคต่อมลูกหมากโต ได้รับยาแล้วตวบ คุมอาการได้ดี แต่ช่วงนี้ปัสสาวะไม่ออก</t>
        </is>
      </c>
      <c r="C80" s="2" t="n"/>
      <c r="D80" s="2" t="inlineStr">
        <is>
          <t>Epinephrine 0.3 mg IM stat</t>
        </is>
      </c>
      <c r="E80" s="2" t="inlineStr">
        <is>
          <t>Dexamethasone 4 mg IV</t>
        </is>
      </c>
      <c r="F80" s="2" t="inlineStr">
        <is>
          <t>Prednisolone 20 mg OD</t>
        </is>
      </c>
      <c r="G80" s="2" t="inlineStr">
        <is>
          <t>Montelukast 10 mg HS</t>
        </is>
      </c>
      <c r="H80" s="2" t="inlineStr">
        <is>
          <t>Hydroxyzine 25 mg HS</t>
        </is>
      </c>
      <c r="I80" s="8" t="inlineStr">
        <is>
          <t>1</t>
        </is>
      </c>
      <c r="J80" s="2" t="inlineStr">
        <is>
          <t>✅ คำตอบที่ถูกต้อง: ข้อ ก. Epinephrine 0.3 mg IM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0" s="2" t="n"/>
      <c r="L80" s="2" t="inlineStr">
        <is>
          <t>Allergic rhinitis</t>
        </is>
      </c>
      <c r="M80" s="2" t="inlineStr">
        <is>
          <t>Clinic</t>
        </is>
      </c>
      <c r="N80" s="2" t="inlineStr">
        <is>
          <t>ข้อ 5 (PLE_CC1_2555 Day 2.md)</t>
        </is>
      </c>
      <c r="O80" s="2" t="inlineStr">
        <is>
          <t>ข้อสอบจริง</t>
        </is>
      </c>
      <c r="P80" s="2" t="inlineStr">
        <is>
          <t>ปี 2555</t>
        </is>
      </c>
    </row>
    <row r="81" ht="13.2" customHeight="1" s="37">
      <c r="A81" s="8" t="inlineStr">
        <is>
          <t>79</t>
        </is>
      </c>
      <c r="B81" s="2" t="inlineStr">
        <is>
          <t>Pseudoephedrine</t>
        </is>
      </c>
      <c r="C81" s="2" t="n"/>
      <c r="D81" s="2" t="inlineStr">
        <is>
          <t>Montelukast 10 mg HS</t>
        </is>
      </c>
      <c r="E81" s="2" t="inlineStr">
        <is>
          <t>Hydroxyzine 25 mg HS</t>
        </is>
      </c>
      <c r="F81" s="2" t="inlineStr">
        <is>
          <t>Diphenhydramine 25 mg IV</t>
        </is>
      </c>
      <c r="G81" s="2" t="inlineStr">
        <is>
          <t>Cetirizine 10 mg OD</t>
        </is>
      </c>
      <c r="H81" s="2" t="inlineStr">
        <is>
          <t>Loratadine 10 mg OD</t>
        </is>
      </c>
      <c r="I81" s="8" t="inlineStr">
        <is>
          <t>1</t>
        </is>
      </c>
      <c r="J81" s="2"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2" t="n"/>
      <c r="L81" s="2" t="inlineStr">
        <is>
          <t>Allergic rhinitis</t>
        </is>
      </c>
      <c r="M81" s="2" t="inlineStr">
        <is>
          <t>Clinic</t>
        </is>
      </c>
      <c r="N81" s="2" t="inlineStr">
        <is>
          <t>ข้อ 1 (PLE_CC1_2555 Day 2.md)</t>
        </is>
      </c>
      <c r="O81" s="2" t="inlineStr">
        <is>
          <t>ข้อสอบจริง</t>
        </is>
      </c>
      <c r="P81" s="2" t="inlineStr">
        <is>
          <t>ปี 2555</t>
        </is>
      </c>
    </row>
    <row r="82" ht="13.2" customHeight="1" s="37">
      <c r="A82" s="8" t="inlineStr">
        <is>
          <t>80</t>
        </is>
      </c>
      <c r="B82" s="2" t="inlineStr">
        <is>
          <t>ชื่อผู้ผลิต และ จังหวัดที่ผลิต</t>
        </is>
      </c>
      <c r="C82" s="2" t="n"/>
      <c r="D82" s="2" t="inlineStr">
        <is>
          <t>Cetirizine 10 mg OD</t>
        </is>
      </c>
      <c r="E82" s="2" t="inlineStr">
        <is>
          <t>Loratadine 10 mg OD</t>
        </is>
      </c>
      <c r="F82" s="2" t="inlineStr">
        <is>
          <t>Fexofenadine 180 mg OD</t>
        </is>
      </c>
      <c r="G82" s="2" t="inlineStr">
        <is>
          <t>Chlorpheniramine 4 mg TID</t>
        </is>
      </c>
      <c r="H82" s="2" t="inlineStr">
        <is>
          <t>Fluticasone furoate nasal spray</t>
        </is>
      </c>
      <c r="I82" s="8" t="inlineStr">
        <is>
          <t>1</t>
        </is>
      </c>
      <c r="J82" s="2"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Allergic rhinitis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2" t="n"/>
      <c r="L82" s="2" t="inlineStr">
        <is>
          <t>Allergic rhinitis</t>
        </is>
      </c>
      <c r="M82" s="2" t="inlineStr">
        <is>
          <t>Clinic</t>
        </is>
      </c>
      <c r="N82" s="2" t="inlineStr">
        <is>
          <t>ข้อ 1 (PLE_CC1_2555 Day 2.md)</t>
        </is>
      </c>
      <c r="O82" s="2" t="inlineStr">
        <is>
          <t>ข้อสอบจริง</t>
        </is>
      </c>
      <c r="P82" s="2" t="inlineStr">
        <is>
          <t>ปี 2555</t>
        </is>
      </c>
    </row>
    <row r="83" ht="13.2" customHeight="1" s="37">
      <c r="A83" s="8" t="inlineStr">
        <is>
          <t>81</t>
        </is>
      </c>
      <c r="B83" s="2" t="inlineStr">
        <is>
          <t>ต่อมลูกหมากโต 8.ยา Antihistamine ตัวใดที่ทำให้ง่วงมากที่สุด</t>
        </is>
      </c>
      <c r="C83" s="2" t="n"/>
      <c r="D83" s="2" t="inlineStr">
        <is>
          <t>Chlorpheniramine 4 mg TID</t>
        </is>
      </c>
      <c r="E83" s="2" t="inlineStr">
        <is>
          <t>Fluticasone furoate nasal spray</t>
        </is>
      </c>
      <c r="F83" s="2" t="inlineStr">
        <is>
          <t>Budesonide nasal spray</t>
        </is>
      </c>
      <c r="G83" s="2" t="inlineStr">
        <is>
          <t>Epinephrine 0.3 mg IM stat</t>
        </is>
      </c>
      <c r="H83" s="2" t="inlineStr">
        <is>
          <t>Dexamethasone 4 mg IV</t>
        </is>
      </c>
      <c r="I83" s="8" t="inlineStr">
        <is>
          <t>1</t>
        </is>
      </c>
      <c r="J83" s="2"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2" t="n"/>
      <c r="L83" s="2" t="inlineStr">
        <is>
          <t>Allergic rhinitis</t>
        </is>
      </c>
      <c r="M83" s="2" t="inlineStr">
        <is>
          <t>Clinic</t>
        </is>
      </c>
      <c r="N83" s="2" t="inlineStr">
        <is>
          <t>ข้อ 3 (PLE_CC1_2555 Day 2.md)</t>
        </is>
      </c>
      <c r="O83" s="2" t="inlineStr">
        <is>
          <t>ข้อสอบจริง</t>
        </is>
      </c>
      <c r="P83" s="2" t="inlineStr">
        <is>
          <t>ปี 2555</t>
        </is>
      </c>
    </row>
    <row r="84" ht="13.2" customHeight="1" s="37">
      <c r="A84" s="8" t="inlineStr">
        <is>
          <t>82</t>
        </is>
      </c>
      <c r="B84" s="2" t="inlineStr">
        <is>
          <t>ผู้ป่วยมีอาการเลือดออกตามไรฟัน เลือดกำเดาไหล เป็นหวัดง่าย สามารถช่วยได้โดยอาศัย</t>
        </is>
      </c>
      <c r="C84" s="2" t="n"/>
      <c r="D84" s="2" t="inlineStr">
        <is>
          <t>Vitamin C</t>
        </is>
      </c>
      <c r="E84" s="2" t="inlineStr">
        <is>
          <t>Vitamin E</t>
        </is>
      </c>
      <c r="F84" s="2" t="inlineStr">
        <is>
          <t>Vitamin K</t>
        </is>
      </c>
      <c r="G84" s="2" t="inlineStr">
        <is>
          <t>Folic acid</t>
        </is>
      </c>
      <c r="H84" s="2" t="inlineStr">
        <is>
          <t>Ferrus sulfate ตอบ a</t>
        </is>
      </c>
      <c r="I84" s="8" t="inlineStr">
        <is>
          <t>1</t>
        </is>
      </c>
      <c r="J84" s="2" t="inlineStr">
        <is>
          <t>✅ คำตอบที่ถูกต้อง: ข้อ ก. Vitamin C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Vitamin C การเลือก Vitamin C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(Vitamin E): ข้อนี้ไม่ใช่คำตอบที่ถูกต้องสำหรับภาวะ Allergic rhinitis เนื่องจากกลไกการออกฤทธิ์, efficacy หรือข้อบ่งใช้ไม่ตรงกับโจทย์ที่กำหนด
• ข้อ ค. (Vitamin K): ข้อนี้ไม่ใช่คำตอบที่ถูกต้องสำหรับภาวะ Allergic rhinitis เนื่องจากกลไกการออกฤทธิ์, efficacy หรือข้อบ่งใช้ไม่ตรงกับโจทย์ที่กำหนด
• ข้อ ง. (Folic acid): ข้อนี้ไม่ใช่คำตอบที่ถูกต้องสำหรับภาวะ Allergic rhinitis เนื่องจากกลไกการออกฤทธิ์, efficacy หรือข้อบ่งใช้ไม่ตรงกับโจทย์ที่กำหนด
• ข้อ จ. (Ferrus sulfate ตอบ a):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2" t="n"/>
      <c r="L84" s="2" t="inlineStr">
        <is>
          <t>Allergic rhinitis</t>
        </is>
      </c>
      <c r="M84" s="2" t="inlineStr">
        <is>
          <t>Clinic</t>
        </is>
      </c>
      <c r="N84" s="2" t="inlineStr">
        <is>
          <t>ข้อ 4 (PLE_CC1_2533.md)</t>
        </is>
      </c>
      <c r="O84" s="2" t="inlineStr">
        <is>
          <t>ข้อสอบจริง</t>
        </is>
      </c>
      <c r="P84" s="2" t="inlineStr">
        <is>
          <t>ปี 2533</t>
        </is>
      </c>
    </row>
    <row r="85" ht="13.2" customHeight="1" s="37">
      <c r="A85" s="8" t="inlineStr">
        <is>
          <t>83</t>
        </is>
      </c>
      <c r="B85" s="2" t="inlineStr">
        <is>
          <t>ผู้ป่วยชายอายุ 27 ปีเดินมาขอซื้อยาลดน้ำมูกที่ร้านขายยา เมื่อซักประวัติพบว่า มีน้ำมูกใส คัดแน่น จมูก คันจมูก และจามเกือบตลอดเวลา ไม่มีไข้ เป็นมาแล้ว 4 วัน อาการเริ่มเป็นตั้งแต่ไปเที่ยวสวนดอกไม้ที่เขา ใหญ่ ซึ่งก่อนหน้านี้ไม่เคยเป็นมาก่อน และเมื่อกลับมาอาการก็ยังไม่ดีขึ้น ทำให้รู้สึกรำคาญจึงมาขอซื้อยา</t>
        </is>
      </c>
      <c r="C85" s="2" t="n"/>
      <c r="D85" s="2" t="inlineStr">
        <is>
          <t>Montelukast 10 mg HS</t>
        </is>
      </c>
      <c r="E85" s="2" t="inlineStr">
        <is>
          <t>Hydroxyzine 25 mg HS</t>
        </is>
      </c>
      <c r="F85" s="2" t="inlineStr">
        <is>
          <t>Diphenhydramine 25 mg IV</t>
        </is>
      </c>
      <c r="G85" s="2" t="inlineStr">
        <is>
          <t>Cetirizine 10 mg OD</t>
        </is>
      </c>
      <c r="H85" s="2" t="inlineStr">
        <is>
          <t>Loratadine 10 mg OD</t>
        </is>
      </c>
      <c r="I85" s="8" t="inlineStr">
        <is>
          <t>1</t>
        </is>
      </c>
      <c r="J85" s="2"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2" t="n"/>
      <c r="L85" s="2" t="inlineStr">
        <is>
          <t>Allergic rhinitis</t>
        </is>
      </c>
      <c r="M85" s="2" t="inlineStr">
        <is>
          <t>Clinic</t>
        </is>
      </c>
      <c r="N85" s="2" t="inlineStr">
        <is>
          <t>ข้อ 2 (PLE_CC1_Practice_Exam.md)</t>
        </is>
      </c>
      <c r="O85" s="2" t="inlineStr">
        <is>
          <t>Mock</t>
        </is>
      </c>
      <c r="P85" s="2" t="inlineStr">
        <is>
          <t>Mock สภาเภสัชฯ Practice</t>
        </is>
      </c>
    </row>
    <row r="86" ht="13.2" customHeight="1" s="37">
      <c r="A86" s="8" t="inlineStr">
        <is>
          <t>84</t>
        </is>
      </c>
      <c r="B86" s="2" t="inlineStr">
        <is>
          <t>ข้อใดผิดเกี่ยวกับยากลุ่ม anti-leukotrienes กับการรักษาโรค allergic rhinitis</t>
        </is>
      </c>
      <c r="C86" s="2" t="n"/>
      <c r="D86" s="2" t="inlineStr">
        <is>
          <t>เมื่อใช้เป็นยาเดี่ยวมีฤทธิ์เทียบเท่ากับ second generation antihistamines</t>
        </is>
      </c>
      <c r="E86" s="2" t="inlineStr">
        <is>
          <t>ใช้ได้ผลดีกับคนที่มีโรคหืดร่วมด้วย</t>
        </is>
      </c>
      <c r="F86" s="2" t="inlineStr">
        <is>
          <t>มีประสิทธิภาพด้อยกว่า INCS</t>
        </is>
      </c>
      <c r="G86" s="2" t="inlineStr">
        <is>
          <t>ถ้าใช้ anti-leukotrienes ร่วมกับ antihistamines จะมีประสิทธิภาพด้อยกว่ายาเดี่ยว</t>
        </is>
      </c>
      <c r="H86" s="2" t="inlineStr">
        <is>
          <t>สำหรับอาการคัดจมูกได้ผลดีเทียบเท่ากับ pseudoephrine 20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86" s="8" t="inlineStr">
        <is>
          <t>1</t>
        </is>
      </c>
      <c r="J86" s="2" t="inlineStr">
        <is>
          <t>✅ คำตอบที่ถูกต้อง: ข้อ ก. เมื่อใช้เป็นยาเดี่ยวมีฤทธิ์เทียบเท่ากับ second generation antihistamines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เมื่อใช้เป็นยาเดี่ยวมีฤทธิ์เทียบเท่ากับ second generation antihistamines การเลือก เมื่อใช้เป็นยาเดี่ยวมีฤทธิ์เทียบเท่ากับ second generation antihistamines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(ใช้ได้ผลดีกับคนที่มีโรคหืดร่วมด้วย): ข้อนี้ไม่ใช่คำตอบที่ถูกต้องสำหรับภาวะ Allergic rhinitis เนื่องจากกลไกการออกฤทธิ์, efficacy หรือข้อบ่งใช้ไม่ตรงกับโจทย์ที่กำหนด
• ข้อ ค. (มีประสิทธิภาพด้อยกว่า INCS): ข้อนี้ไม่ใช่คำตอบที่ถูกต้องสำหรับภาวะ Allergic rhinitis เนื่องจากกลไกการออกฤทธิ์, efficacy หรือข้อบ่งใช้ไม่ตรงกับโจทย์ที่กำหนด
• ข้อ ง. (ถ้าใช้ anti-leukotrienes ร่วมกับ antihistamines จะมีประสิทธิภาพด้อยกว่ายาเดี่ยว): ข้อนี้ไม่ใช่คำตอบที่ถูกต้องสำหรับภาวะ Allergic rhinitis เนื่องจากกลไกการออกฤทธิ์, efficacy หรือข้อบ่งใช้ไม่ตรงกับโจทย์ที่กำหนด
• ข้อ จ. (สำหรับอาการคัดจมูกได้ผลดีเทียบเท่ากับ pseudoephrine 20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2" t="n"/>
      <c r="L86" s="2" t="inlineStr">
        <is>
          <t>Allergic rhinitis</t>
        </is>
      </c>
      <c r="M86" s="2" t="inlineStr">
        <is>
          <t>Clinic</t>
        </is>
      </c>
      <c r="N86" s="2" t="inlineStr">
        <is>
          <t>ข้อ 7 (PLE_CC1_Practice_Exam.md)</t>
        </is>
      </c>
      <c r="O86" s="2" t="inlineStr">
        <is>
          <t>Mock</t>
        </is>
      </c>
      <c r="P86" s="2" t="inlineStr">
        <is>
          <t>Mock สภาเภสัชฯ Practice</t>
        </is>
      </c>
    </row>
    <row r="87" ht="13.2" customHeight="1" s="37">
      <c r="A87" s="8" t="inlineStr">
        <is>
          <t>85</t>
        </is>
      </c>
      <c r="B87" s="2" t="inlineStr">
        <is>
          <t>การปฏิบัติตนในข้อใดสามารถลดอาการทางจมูกอักเสบภูมิแพ้ได้</t>
        </is>
      </c>
      <c r="C87" s="2" t="n"/>
      <c r="D87" s="2" t="inlineStr">
        <is>
          <t>การใช้ผ้าปูที่นอน ปลอกหมอนกันไรฝุ่น</t>
        </is>
      </c>
      <c r="E87" s="2" t="inlineStr">
        <is>
          <t>ซักผ้าในน้ำร้อน 55-60 องศาเซลเซียสเป็นประจำ</t>
        </is>
      </c>
      <c r="F87" s="2" t="inlineStr">
        <is>
          <t>กำจัด หรือหลีกเลี่ยงสารก่อภูมิแพ้ที่ตนเองแพ้</t>
        </is>
      </c>
      <c r="G87" s="2" t="inlineStr">
        <is>
          <t>อาบน้ำอุ่นเป็นประจำทุกวัน</t>
        </is>
      </c>
      <c r="H87" s="2" t="inlineStr">
        <is>
          <t>ถูกทั้งข้อ ก. ข. และ ค.</t>
        </is>
      </c>
      <c r="I87" s="8" t="inlineStr">
        <is>
          <t>1</t>
        </is>
      </c>
      <c r="J87" s="2" t="inlineStr">
        <is>
          <t>✅ คำตอบที่ถูกต้อง: ข้อ ก. การใช้ผ้าปูที่นอน ปลอกหมอนกันไรฝุ่น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การใช้ผ้าปูที่นอน ปลอกหมอนกันไรฝุ่น การเลือก การใช้ผ้าปูที่นอน ปลอกหมอนกันไรฝุ่น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(ซักผ้าในน้ำร้อน 55-60 องศาเซลเซียสเป็นประจำ): ข้อนี้ไม่ใช่คำตอบที่ถูกต้องสำหรับภาวะ Allergic rhinitis เนื่องจากกลไกการออกฤทธิ์, efficacy หรือข้อบ่งใช้ไม่ตรงกับโจทย์ที่กำหนด
• ข้อ ค. (กำจัด หรือหลีกเลี่ยงสารก่อภูมิแพ้ที่ตนเองแพ้): ข้อนี้ไม่ใช่คำตอบที่ถูกต้องสำหรับภาวะ Allergic rhinitis เนื่องจากกลไกการออกฤทธิ์, efficacy หรือข้อบ่งใช้ไม่ตรงกับโจทย์ที่กำหนด
• ข้อ ง. (อาบน้ำอุ่นเป็นประจำทุกวัน): ข้อนี้ไม่ใช่คำตอบที่ถูกต้องสำหรับภาวะ Allergic rhinitis เนื่องจากกลไกการออกฤทธิ์, efficacy หรือข้อบ่งใช้ไม่ตรงกับโจทย์ที่กำหนด
• ข้อ จ. (ถูกทั้งข้อ ก. ข. และ ค.):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2" t="n"/>
      <c r="L87" s="2" t="inlineStr">
        <is>
          <t>Allergic rhinitis</t>
        </is>
      </c>
      <c r="M87" s="2" t="inlineStr">
        <is>
          <t>Clinic</t>
        </is>
      </c>
      <c r="N87" s="2" t="inlineStr">
        <is>
          <t>ข้อ 10 (PLE_CC1_Practice_Exam.md)</t>
        </is>
      </c>
      <c r="O87" s="2" t="inlineStr">
        <is>
          <t>Mock</t>
        </is>
      </c>
      <c r="P87" s="2" t="inlineStr">
        <is>
          <t>Mock สภาเภสัชฯ Practice</t>
        </is>
      </c>
    </row>
    <row r="88" ht="13.2" customHeight="1" s="37">
      <c r="A88" s="8" t="inlineStr">
        <is>
          <t>86</t>
        </is>
      </c>
      <c r="B88" s="2" t="inlineStr">
        <is>
          <t>อาการใดไม่เข้ากับโรคจมูกอักเสบภูมิแพ้</t>
        </is>
      </c>
      <c r="C88" s="2" t="n"/>
      <c r="D88" s="2" t="inlineStr">
        <is>
          <t>คันจมูก จามติดๆกัน</t>
        </is>
      </c>
      <c r="E88" s="2" t="inlineStr">
        <is>
          <t>น้ำมูกไหลลงคอ ไอเรื้อรัง</t>
        </is>
      </c>
      <c r="F88" s="2" t="inlineStr">
        <is>
          <t>น้ำมูกใส และคัดแน่นจมูก</t>
        </is>
      </c>
      <c r="G88" s="2" t="inlineStr">
        <is>
          <t>ไอเป็นเลือด</t>
        </is>
      </c>
      <c r="H88" s="2" t="inlineStr">
        <is>
          <t>การรับกลิ่นลดลง 21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88" s="8" t="inlineStr">
        <is>
          <t>1</t>
        </is>
      </c>
      <c r="J88" s="2" t="inlineStr">
        <is>
          <t>✅ คำตอบที่ถูกต้อง: ข้อ ก. คันจมูก จามติดๆกัน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คันจมูก จามติดๆกัน การเลือก คันจมูก จามติดๆกัน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(น้ำมูกไหลลงคอ ไอเรื้อรัง): ข้อนี้ไม่ใช่คำตอบที่ถูกต้องสำหรับภาวะ Allergic rhinitis เนื่องจากกลไกการออกฤทธิ์, efficacy หรือข้อบ่งใช้ไม่ตรงกับโจทย์ที่กำหนด
• ข้อ ค. (น้ำมูกใส และคัดแน่นจมูก): ข้อนี้ไม่ใช่คำตอบที่ถูกต้องสำหรับภาวะ Allergic rhinitis เนื่องจากกลไกการออกฤทธิ์, efficacy หรือข้อบ่งใช้ไม่ตรงกับโจทย์ที่กำหนด
• ข้อ ง. (ไอเป็นเลือด): ข้อนี้ไม่ใช่คำตอบที่ถูกต้องสำหรับภาวะ Allergic rhinitis เนื่องจากกลไกการออกฤทธิ์, efficacy หรือข้อบ่งใช้ไม่ตรงกับโจทย์ที่กำหนด
• ข้อ จ. (การรับกลิ่นลดลง 21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2" t="n"/>
      <c r="L88" s="2" t="inlineStr">
        <is>
          <t>Allergic rhinitis</t>
        </is>
      </c>
      <c r="M88" s="2" t="inlineStr">
        <is>
          <t>Clinic</t>
        </is>
      </c>
      <c r="N88" s="2" t="inlineStr">
        <is>
          <t>ข้อ 11 (PLE_CC1_Practice_Exam.md)</t>
        </is>
      </c>
      <c r="O88" s="2" t="inlineStr">
        <is>
          <t>Mock</t>
        </is>
      </c>
      <c r="P88" s="2" t="inlineStr">
        <is>
          <t>Mock สภาเภสัชฯ Practice</t>
        </is>
      </c>
    </row>
    <row r="89" ht="13.2" customHeight="1" s="37">
      <c r="A89" s="8" t="inlineStr">
        <is>
          <t>87</t>
        </is>
      </c>
      <c r="B89" s="2" t="inlineStr">
        <is>
          <t>ลักษณะที่สามารถพบได้ในผู้ป่วยโรคจมูกอักเสบภูมิแพ้ ยกเว้นข้อใด</t>
        </is>
      </c>
      <c r="C89" s="2" t="n"/>
      <c r="D89" s="2" t="inlineStr">
        <is>
          <t>Long face syndrome</t>
        </is>
      </c>
      <c r="E89" s="2" t="inlineStr">
        <is>
          <t>Allergic shiner</t>
        </is>
      </c>
      <c r="F89" s="2" t="inlineStr">
        <is>
          <t>Allergic nasal crease/line</t>
        </is>
      </c>
      <c r="G89" s="2" t="inlineStr">
        <is>
          <t>Allergic salute</t>
        </is>
      </c>
      <c r="H89" s="2" t="inlineStr">
        <is>
          <t>Butterfly rash</t>
        </is>
      </c>
      <c r="I89" s="8" t="inlineStr">
        <is>
          <t>1</t>
        </is>
      </c>
      <c r="J89" s="2" t="inlineStr">
        <is>
          <t>✅ คำตอบที่ถูกต้อง: ข้อ ก. Long face syndrome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Long face syndrome การเลือก Long face syndrome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shiner): ข้อนี้ไม่ใช่คำตอบที่ถูกต้องสำหรับภาวะ Allergic rhinitis เนื่องจากกลไกการออกฤทธิ์, efficacy หรือข้อบ่งใช้ไม่ตรงกับโจทย์ที่กำหนด
• ข้อ ค. (Allergic nasal crease/line): ข้อนี้ไม่ใช่คำตอบที่ถูกต้องสำหรับภาวะ Allergic rhinitis เนื่องจากกลไกการออกฤทธิ์, efficacy หรือข้อบ่งใช้ไม่ตรงกับโจทย์ที่กำหนด
• ข้อ ง. (Allergic salute): ข้อนี้ไม่ใช่คำตอบที่ถูกต้องสำหรับภาวะ Allergic rhinitis เนื่องจากกลไกการออกฤทธิ์, efficacy หรือข้อบ่งใช้ไม่ตรงกับโจทย์ที่กำหนด
• ข้อ จ. (Butterfly rash):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2" t="n"/>
      <c r="L89" s="2" t="inlineStr">
        <is>
          <t>Allergic rhinitis</t>
        </is>
      </c>
      <c r="M89" s="2" t="inlineStr">
        <is>
          <t>Clinic</t>
        </is>
      </c>
      <c r="N89" s="2" t="inlineStr">
        <is>
          <t>ข้อ 12 (PLE_CC1_Practice_Exam.md)</t>
        </is>
      </c>
      <c r="O89" s="2" t="inlineStr">
        <is>
          <t>Mock</t>
        </is>
      </c>
      <c r="P89" s="2" t="inlineStr">
        <is>
          <t>Mock สภาเภสัชฯ Practice</t>
        </is>
      </c>
    </row>
    <row r="90" ht="13.2" customHeight="1" s="37">
      <c r="A90" s="8" t="inlineStr">
        <is>
          <t>88</t>
        </is>
      </c>
      <c r="B90" s="2" t="inlineStr">
        <is>
          <t>ยาในข้อใดที่ได้ผลดีกับผู้ป่วยที่เป็นโรคหืดร่วมกับโรคจมูกอักเสบภูมิแพ้</t>
        </is>
      </c>
      <c r="C90" s="2" t="n"/>
      <c r="D90" s="2" t="inlineStr">
        <is>
          <t>Cromolyn sodium</t>
        </is>
      </c>
      <c r="E90" s="2" t="inlineStr">
        <is>
          <t>Montelukast</t>
        </is>
      </c>
      <c r="F90" s="2" t="inlineStr">
        <is>
          <t>Phenylephrine</t>
        </is>
      </c>
      <c r="G90" s="2" t="inlineStr">
        <is>
          <t>Oxymetazoline</t>
        </is>
      </c>
      <c r="H90" s="2" t="inlineStr">
        <is>
          <t>Levocetirizine</t>
        </is>
      </c>
      <c r="I90" s="8" t="inlineStr">
        <is>
          <t>1</t>
        </is>
      </c>
      <c r="J90" s="2" t="inlineStr">
        <is>
          <t>✅ คำตอบที่ถูกต้อง: ข้อ ก. Cromolyn sodium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Cromolyn sodium การเลือก Cromolyn sodium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(Phenylephrine): ข้อนี้ไม่ใช่คำตอบที่ถูกต้องสำหรับภาวะ Allergic rhinitis เนื่องจากกลไกการออกฤทธิ์, efficacy หรือข้อบ่งใช้ไม่ตรงกับโจทย์ที่กำหนด
• ข้อ ง. (Oxymetazoline): เป็น topical alpha-1 agonist ยาพ่นจมูกลดบวม ห้ามใช้ติดต่อกันเกิน 3-5 วัน เนื่องจากเสี่ยงต่อการเกิด rebound congestion (Rhinitis medicamentosa)
• ข้อ จ. (Levocetirizine): เป็น 2nd generation H1-antihistamine บรรเทาอาการ allergic rhinitis และ urticaria มี sedating effect ต่ำกว่า 1st gen แต่ยังอาจทำให้ง่วงซึมได้มากกว่า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0" s="2" t="n"/>
      <c r="L90" s="2" t="inlineStr">
        <is>
          <t>Allergic rhinitis</t>
        </is>
      </c>
      <c r="M90" s="2" t="inlineStr">
        <is>
          <t>Clinic</t>
        </is>
      </c>
      <c r="N90" s="2" t="inlineStr">
        <is>
          <t>ข้อ 13 (PLE_CC1_Practice_Exam.md)</t>
        </is>
      </c>
      <c r="O90" s="2" t="inlineStr">
        <is>
          <t>Mock</t>
        </is>
      </c>
      <c r="P90" s="2" t="inlineStr">
        <is>
          <t>Mock สภาเภสัชฯ Practice</t>
        </is>
      </c>
    </row>
    <row r="91" ht="13.2" customHeight="1" s="37">
      <c r="A91" s="8" t="inlineStr">
        <is>
          <t>89</t>
        </is>
      </c>
      <c r="B91" s="2" t="inlineStr">
        <is>
          <t>ก่อนหน้านี้ผู้ป่วยหญิงรายนี้ได้รับประทานยา oral antihistamine มาก่อน จากโครงสร้าง Oral antihistamine ตัวใด ออกฤทธิ์ได้ยาวนานที่สุด</t>
        </is>
      </c>
      <c r="C91" s="2" t="n"/>
      <c r="D91" s="2" t="inlineStr">
        <is>
          <t>Chlorpheniramine 4 mg TID</t>
        </is>
      </c>
      <c r="E91" s="2" t="inlineStr">
        <is>
          <t>Fluticasone furoate nasal spray</t>
        </is>
      </c>
      <c r="F91" s="2" t="inlineStr">
        <is>
          <t>Budesonide nasal spray</t>
        </is>
      </c>
      <c r="G91" s="2" t="inlineStr">
        <is>
          <t>Epinephrine 0.3 mg IM stat</t>
        </is>
      </c>
      <c r="H91" s="2" t="inlineStr">
        <is>
          <t>132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91" s="8" t="inlineStr">
        <is>
          <t>1</t>
        </is>
      </c>
      <c r="J91" s="2"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(132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1" s="2" t="n"/>
      <c r="L91" s="2" t="inlineStr">
        <is>
          <t>Allergic rhinitis</t>
        </is>
      </c>
      <c r="M91" s="2" t="inlineStr">
        <is>
          <t>Clinic</t>
        </is>
      </c>
      <c r="N91" s="2" t="inlineStr">
        <is>
          <t>ข้อ 17 (PLE_CC1_Practice_Exam.md)</t>
        </is>
      </c>
      <c r="O91" s="2" t="inlineStr">
        <is>
          <t>Mock</t>
        </is>
      </c>
      <c r="P91" s="2" t="inlineStr">
        <is>
          <t>Mock สภาเภสัชฯ Practice</t>
        </is>
      </c>
    </row>
    <row r="92" ht="13.2" customHeight="1" s="37">
      <c r="A92" s="8" t="inlineStr">
        <is>
          <t>90</t>
        </is>
      </c>
      <c r="B92" s="2" t="inlineStr">
        <is>
          <t>นาย ก นำใบสั่งยาที่ได้รับจากโรงพยาบาลเพื่อมาขอซื้อยาจากร้านขายยาที่ท่านเป็นเภสัชกรประจำอยู่ 5 วันต่อมา นาย ก มาพบท่านที่ร้านยา เนื่องจากมีอาการของโรคภูมิแพ้แย่ลงโดยเฉพาะอาการคัดจมูก ที่เป็นมากขึ้น จึงพ่นยา Oxymetazoline เพิ่มเป็นวันละ 3 ครั้ง แต่อาการยังไม่ดีขึ้น จึงมาปรึกษาเภสัชกรเพื่อ ขอคำแนะนำ ท่านจะแนะนำผู้ป่วยอย่างไร</t>
        </is>
      </c>
      <c r="C92" s="2" t="n"/>
      <c r="D92" s="2" t="inlineStr">
        <is>
          <t>แนะนำให้ผู้ป่วยเปลี่ยนไปใช้ยาพ่นยี่ห่ออื่น</t>
        </is>
      </c>
      <c r="E92" s="2" t="inlineStr">
        <is>
          <t>แนะนำให้ผู้ป่วยใช้ยาพ่นจมูกที่มีตัวยา ephedrine ร่วมด้วย</t>
        </is>
      </c>
      <c r="F92" s="2" t="inlineStr">
        <is>
          <t>แนะนำให้ผู้ป่วยเพิ่มขนาดยาพ่นจมูกเป็น 2 spray วันละ 3 ครั้ง</t>
        </is>
      </c>
      <c r="G92" s="2" t="inlineStr">
        <is>
          <t>แนะนำให้ผู้ป่วยรับประทานยาที่บรรเทาอาการคัดจมูกร่วมด้วย</t>
        </is>
      </c>
      <c r="H92" s="2" t="inlineStr">
        <is>
          <t>แนะนำให้ผู้ป่วยหยุดใช้ยาพ่นชั่วคราว</t>
        </is>
      </c>
      <c r="I92" s="8" t="inlineStr">
        <is>
          <t>1</t>
        </is>
      </c>
      <c r="J92" s="2" t="inlineStr">
        <is>
          <t>✅ คำตอบที่ถูกต้อง: ข้อ ก. แนะนำให้ผู้ป่วยเปลี่ยนไปใช้ยาพ่นยี่ห่ออื่น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แนะนำให้ผู้ป่วยเปลี่ยนไปใช้ยาพ่นยี่ห่ออื่น การเลือก แนะนำให้ผู้ป่วยเปลี่ยนไปใช้ยาพ่นยี่ห่ออื่น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(แนะนำให้ผู้ป่วยใช้ยาพ่นจมูกที่มีตัวยา ephedrine ร่วมด้วย): ข้อนี้ไม่ใช่คำตอบที่ถูกต้องสำหรับภาวะ Allergic rhinitis เนื่องจากกลไกการออกฤทธิ์, efficacy หรือข้อบ่งใช้ไม่ตรงกับโจทย์ที่กำหนด
• ข้อ ค. (แนะนำให้ผู้ป่วยเพิ่มขนาดยาพ่นจมูกเป็น 2 spray วันละ 3 ครั้ง): ข้อนี้ไม่ใช่คำตอบที่ถูกต้องสำหรับภาวะ Allergic rhinitis เนื่องจากกลไกการออกฤทธิ์, efficacy หรือข้อบ่งใช้ไม่ตรงกับโจทย์ที่กำหนด
• ข้อ ง. (แนะนำให้ผู้ป่วยรับประทานยาที่บรรเทาอาการคัดจมูกร่วมด้วย): ข้อนี้ไม่ใช่คำตอบที่ถูกต้องสำหรับภาวะ Allergic rhinitis เนื่องจากกลไกการออกฤทธิ์, efficacy หรือข้อบ่งใช้ไม่ตรงกับโจทย์ที่กำหนด
• ข้อ จ. (แนะนำให้ผู้ป่วยหยุดใช้ยาพ่นชั่วคราว):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2" s="2" t="n"/>
      <c r="L92" s="2" t="inlineStr">
        <is>
          <t>Allergic rhinitis</t>
        </is>
      </c>
      <c r="M92" s="2" t="inlineStr">
        <is>
          <t>Clinic</t>
        </is>
      </c>
      <c r="N92" s="2" t="inlineStr">
        <is>
          <t>ข้อ 31 (PLE_CC1_Practice_Exam.md)</t>
        </is>
      </c>
      <c r="O92" s="2" t="inlineStr">
        <is>
          <t>Mock</t>
        </is>
      </c>
      <c r="P92" s="2" t="inlineStr">
        <is>
          <t>Mock สภาเภสัชฯ Practice</t>
        </is>
      </c>
    </row>
    <row r="93" ht="13.2" customHeight="1" s="37">
      <c r="A93" s="8" t="inlineStr">
        <is>
          <t>91</t>
        </is>
      </c>
      <c r="B93" s="2" t="inlineStr">
        <is>
          <t>สถานการณ์ที่ 1 หญิงไทย อายุ 32 ปี มาขอซื้อยาให้ลูกชาย อายุ 3 ปี 6 เดือน น้ำหนัก 15 กิโลกรัม มี อาการไอ มีเสมหะ มีน้ำมูกไหลเล็กน้อย ไม่มีไข้ (วัดอุณหภูมิร่างกายแล้วได้ 36.5 องศาเซลเซียส) เป็นมานาน 1-2 วัน ไม่มีโรคประจำตัว ไม่แพ้ยา ก่อนหน้าที่จะเป็นหวัดนั้นเนื่องจากมีอากาศเปลี่ยนแปลง รับประทาน อาหารได้ปกติ งอแงเล็กน้อย โรงพยาบาลคณะเภสัชศาสตร์ ใบสัÉงยา คลินิกโรคตา หู คอ จมูก นาย ก อายุ 28 ปี Rx Beclomethasone nasal spray 1 puff OD Cetirizine 1 tab OD Iliadin nasal spray (oxymetazoline 0.05%) 1 puff OD ผู้ป่วยรายนี้จำเป็นต้องได้รับการรักษาด้วยยาหรือไม่ และหากควรได้รับ ต้องได้รับการรักษาด้วยยา อะไร และมี dosage regimen เท่าไหร่จึงจะเหมาะสม</t>
        </is>
      </c>
      <c r="C93" s="2" t="n"/>
      <c r="D93" s="2" t="inlineStr">
        <is>
          <t>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E93" s="2" t="inlineStr">
        <is>
          <t>ควรได้รับ เนื่องจากโรคที่ผู้ป่วยเป็นคือ Acute pharyngitis จึงควรได้รับยาปฏิชีวนะคือ Amoxicillin dry syrup (125 mg/5 ml) ปริมาณ 30 ml/day นาน 10 วัน</t>
        </is>
      </c>
      <c r="F93" s="2" t="inlineStr">
        <is>
          <t>ควรได้รับ เนื่องจากโรคที่ผู้ป่วยเป็นคือ Acute bacterial rhinosinusitis จึงควรได้รับยาปฏิชีวนะ คือ Amoxicillin dry syrup (125 mg/5 ml) ปริมาณ 48 ml/day นาน 10 วัน</t>
        </is>
      </c>
      <c r="G93" s="2" t="inlineStr">
        <is>
          <t>ควรได้รับ เนื่องจากโรคที่ผู้ป่วยเป็นคือ common cold จึงควรได้รับยา Carbocysteine (100 mg/5 ml) ปริมาณ 15 ml/day</t>
        </is>
      </c>
      <c r="H93" s="2" t="inlineStr">
        <is>
          <t>ควรได้รับ เนื่องจากโรคที่ผู้ป่วยเป็นคือ common cold จึงควรได้รับยา Carbocysteine (100 mg/5 ml) ปริมาณ 15 ml/day และยา Cetirizine (1 mg/ml) ปริมาณ 4 ml/day จากกรณีศึกษาต่อไปนี้ จงตอบคำถามข้อ 33-35 ผู้ป่วยชายไทยอายุ 47 ปี หนัก 87 kg สูง 176 cm รอบเอว 88 cm CC: มาด้วยอาการไข้สูง เจ็บคอ มีน้ำมูกใสไหล ไอ PI: 3 day PTA มีอาการไข้สูง เจ็บคอมากจนไม่สามารถรับประทานอาหารได้มีน้ำมูกใสไหล ไอ PMH: T2DM, HTN , Dyslipidemia Med PTA: metformin 500 mg 13 pc glypizide 5 mg 12 ac enalapril 5 mg 11 pc simvastatin 40 mg 11 hs Lab: BP 135/81 mmHg, BT 38.1 c Physical examination เมื่อส่องกล้องพบจุดหนองบริเวณคอและต่อมน้ำเหลืองโต SH: - ALL: amoxicillin</t>
        </is>
      </c>
      <c r="I93" s="8" t="inlineStr">
        <is>
          <t>1</t>
        </is>
      </c>
      <c r="J93" s="2" t="inlineStr">
        <is>
          <t>✅ คำตอบที่ถูกต้อง: ข้อ 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การเลือก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(ควรได้รับ เนื่องจากโรคที่ผู้ป่วยเป็นคือ Acute pharyngitis จึงควรได้รับยาปฏิชีวนะคือ Amoxicillin dry syrup (125 mg/5 ml) ปริมาณ 30 ml/day นาน 10 วัน): เป็น Aminopenicillin ยับยั้ง bacterial cell wall synthesis เป็น first-line สำหรับ uncomplicated bacterial infections (เช่น Strep pharyngitis, AOM, sinusitis)
• ข้อ ค. (ควรได้รับ เนื่องจากโรคที่ผู้ป่วยเป็นคือ Acute bacterial rhinosinusitis จึงควรได้รับยาปฏิชีวนะ คือ Amoxicillin dry syrup (125 mg/5 ml) ปริมาณ 48 ml/day นาน 10 วัน): เป็น Aminopenicillin ยับยั้ง bacterial cell wall synthesis เป็น first-line สำหรับ uncomplicated bacterial infections (เช่น Strep pharyngitis, AOM, sinusitis)
• ข้อ ง. (ควรได้รับ เนื่องจากโรคที่ผู้ป่วยเป็นคือ common cold จึงควรได้รับยา Carbocysteine (100 mg/5 ml) ปริมาณ 15 ml/day): ข้อนี้ไม่ใช่คำตอบที่ถูกต้องสำหรับภาวะ Allergic rhinitis เนื่องจากกลไกการออกฤทธิ์, efficacy หรือข้อบ่งใช้ไม่ตรงกับโจทย์ที่กำหนด
• ข้อ จ. (ควรได้รับ เนื่องจากโรคที่ผู้ป่วยเป็นคือ common cold จึงควรได้รับยา Carbocysteine (100 mg/5 ml) ปริมาณ 15 ml/day และยา Cetirizine (1 mg/ml) ปริมาณ 4 ml/day จากกรณีศึกษาต่อไปนี้ จงตอบคำถามข้อ 33-35 ผู้ป่วยชายไทยอายุ 47 ปี หนัก 87 kg สูง 176 cm รอบเอว 88 cm CC: มาด้วยอาการไข้สูง เจ็บคอ มีน้ำมูกใสไหล ไอ PI: 3 day PTA มีอาการไข้สูง เจ็บคอมากจนไม่สามารถรับประทานอาหารได้มีน้ำมูกใสไหล ไอ PMH: T2DM, HTN , Dyslipidemia Med PTA: metformin 500 mg 13 pc glypizide 5 mg 12 ac enalapril 5 mg 11 pc simvastatin 40 mg 11 hs Lab: BP 135/81 mmHg, BT 38.1 c Physical examination เมื่อส่องกล้องพบจุดหนองบริเวณคอและต่อมน้ำเหลืองโต SH: - ALL: amoxicillin): เป็น ACE inhibitor ลด Angiotensin II และ intraglomerular pressure มี renal protective efficacy เด่นชัดใน diabetic kidney disease แต่อาจเกิด dry cough จากการสะสมของ bradykinin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3" s="2" t="n"/>
      <c r="L93" s="2" t="inlineStr">
        <is>
          <t>Allergic rhinitis</t>
        </is>
      </c>
      <c r="M93" s="2" t="inlineStr">
        <is>
          <t>Clinic</t>
        </is>
      </c>
      <c r="N93" s="2" t="inlineStr">
        <is>
          <t>ข้อ 32 (PLE_CC1_Practice_Exam.md)</t>
        </is>
      </c>
      <c r="O93" s="2" t="inlineStr">
        <is>
          <t>Mock</t>
        </is>
      </c>
      <c r="P93" s="2" t="inlineStr">
        <is>
          <t>Mock สภาเภสัชฯ Practice</t>
        </is>
      </c>
    </row>
    <row r="94" ht="13.2" customHeight="1" s="37">
      <c r="A94" s="8" t="inlineStr">
        <is>
          <t>92</t>
        </is>
      </c>
      <c r="B94" s="2" t="inlineStr">
        <is>
          <t>ทุกโครงสร้างยาออกฤทธิ์แบบ non-sedative antihistamine ข้อใดต่อไปนี้ถูกต้อง</t>
        </is>
      </c>
      <c r="C94" s="2" t="n"/>
      <c r="D94" s="2" t="inlineStr">
        <is>
          <t>เฉพาะ ข้อความ 1</t>
        </is>
      </c>
      <c r="E94" s="2" t="inlineStr">
        <is>
          <t>เฉพาะข้อความ 2</t>
        </is>
      </c>
      <c r="F94" s="2" t="inlineStr">
        <is>
          <t>ข้อความ 1 และ 2</t>
        </is>
      </c>
      <c r="G94" s="2" t="inlineStr">
        <is>
          <t>ข้อความ 1 และ 3</t>
        </is>
      </c>
      <c r="H94" s="2" t="inlineStr">
        <is>
          <t>ถูกทั้ง 1 2 และ 3</t>
        </is>
      </c>
      <c r="I94" s="8" t="inlineStr">
        <is>
          <t>1</t>
        </is>
      </c>
      <c r="J94" s="2" t="inlineStr">
        <is>
          <t>✅ คำตอบที่ถูกต้อง: ข้อ ก. เฉพาะ ข้อความ 1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เฉพาะ ข้อความ 1 การเลือก เฉพาะ ข้อความ 1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(เฉพาะข้อความ 2): ข้อนี้ไม่ใช่คำตอบที่ถูกต้องสำหรับภาวะ Allergic rhinitis เนื่องจากกลไกการออกฤทธิ์, efficacy หรือข้อบ่งใช้ไม่ตรงกับโจทย์ที่กำหนด
• ข้อ ค. (ข้อความ 1 และ 2): ข้อนี้ไม่ใช่คำตอบที่ถูกต้องสำหรับภาวะ Allergic rhinitis เนื่องจากกลไกการออกฤทธิ์, efficacy หรือข้อบ่งใช้ไม่ตรงกับโจทย์ที่กำหนด
• ข้อ ง. (ข้อความ 1 และ 3): ข้อนี้ไม่ใช่คำตอบที่ถูกต้องสำหรับภาวะ Allergic rhinitis เนื่องจากกลไกการออกฤทธิ์, efficacy หรือข้อบ่งใช้ไม่ตรงกับโจทย์ที่กำหนด
• ข้อ จ. (ถูกทั้ง 1 2 และ 3):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4" s="2" t="n"/>
      <c r="L94" s="2" t="inlineStr">
        <is>
          <t>Allergic rhinitis</t>
        </is>
      </c>
      <c r="M94" s="2" t="inlineStr">
        <is>
          <t>Clinic</t>
        </is>
      </c>
      <c r="N94" s="2" t="inlineStr">
        <is>
          <t>ข้อ 3 (PLE_CC1_Practice_Exam.md)</t>
        </is>
      </c>
      <c r="O94" s="2" t="inlineStr">
        <is>
          <t>Mock</t>
        </is>
      </c>
      <c r="P94" s="2" t="inlineStr">
        <is>
          <t>Mock สภาเภสัชฯ Practice</t>
        </is>
      </c>
    </row>
    <row r="95" ht="13.2" customHeight="1" s="37">
      <c r="A95" s="8" t="inlineStr">
        <is>
          <t>93</t>
        </is>
      </c>
      <c r="B95" s="2" t="inlineStr">
        <is>
          <t>หญิงอายุ 60 ปี เพิ่งเกษียรอายุราชการ มาโรงพยาบาลด้วยอาการ น้ำมูกใส จามรุนแรง คันจมูกมากมา 2 วัน หลังจากนำสุนัขเข้ามาเลี้ยงในห้องนอน แพทย์วินิจฉัย ว่าเป็น allergic rhinitis ยาในข้อใดเหมาะสมที่สุด สำหรับผู้ป่วยรายนี้</t>
        </is>
      </c>
      <c r="C95" s="2" t="n"/>
      <c r="D95" s="2" t="inlineStr">
        <is>
          <t>Fluticasone furoate</t>
        </is>
      </c>
      <c r="E95" s="2" t="inlineStr">
        <is>
          <t>Loratadine</t>
        </is>
      </c>
      <c r="F95" s="2" t="inlineStr">
        <is>
          <t>montelukast</t>
        </is>
      </c>
      <c r="G95" s="2" t="inlineStr">
        <is>
          <t>Phenylephrine</t>
        </is>
      </c>
      <c r="H95" s="2" t="inlineStr">
        <is>
          <t>0.025% oxymetazoline</t>
        </is>
      </c>
      <c r="I95" s="8" t="inlineStr">
        <is>
          <t>1</t>
        </is>
      </c>
      <c r="J95" s="2" t="inlineStr">
        <is>
          <t>✅ คำตอบที่ถูกต้อง: ข้อ ก. Fluticasone furoate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การเลือก Fluticasone furoate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(Loratadine): ข้อนี้ไม่ใช่คำตอบที่ถูกต้องสำหรับภาวะ Allergic rhinitis เนื่องจากกลไกการออกฤทธิ์, efficacy หรือข้อบ่งใช้ไม่ตรงกับโจทย์ที่กำหนด
• ข้อ ค.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(Phenylephrine): ข้อนี้ไม่ใช่คำตอบที่ถูกต้องสำหรับภาวะ Allergic rhinitis เนื่องจากกลไกการออกฤทธิ์, efficacy หรือข้อบ่งใช้ไม่ตรงกับโจทย์ที่กำหนด
• ข้อ จ. (0.025% oxymetazoline): เป็น topical alpha-1 agonist ยาพ่นจมูกลดบวม ห้ามใช้ติดต่อกันเกิน 3-5 วัน เนื่องจากเสี่ยงต่อการเกิด rebound congestion (Rhinitis medicamentosa)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5" s="2" t="n"/>
      <c r="L95" s="2" t="inlineStr">
        <is>
          <t>Allergic rhinitis</t>
        </is>
      </c>
      <c r="M95" s="2" t="inlineStr">
        <is>
          <t>Clinic</t>
        </is>
      </c>
      <c r="N95" s="2" t="inlineStr">
        <is>
          <t>ข้อ 30 (PLE_CC1_Practice_Exam.md)</t>
        </is>
      </c>
      <c r="O95" s="2" t="inlineStr">
        <is>
          <t>Mock</t>
        </is>
      </c>
      <c r="P95" s="2" t="inlineStr">
        <is>
          <t>Mock สภาเภสัชฯ Practice</t>
        </is>
      </c>
    </row>
    <row r="96" ht="13.2" customHeight="1" s="37">
      <c r="A96" s="8" t="inlineStr">
        <is>
          <t>94</t>
        </is>
      </c>
      <c r="B96" s="2" t="inlineStr">
        <is>
          <t>พันธะ disulfide กับ NAPQI (toxic metabolite ของ paracetamol) โดยดูได้จากโครงสร้างเคมี ดังนี้ ทำให้ สามารถขับออกทางไตได้ จึงใช้เป็น antidote พ N-acetyl-L-cysteine 245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Beta-lactams cross Hypersensitivity ของยากลุ่ม Penicillins ผู้ป่วยอาจเกิดการแพ้จากโครงสร้างของยา ดังนั้นการดูยาที่เหมาะสมที่สุดจะต้องเลือกโครงสร้างยาที่มีหมู่ –R ที่แตกต่างจากยาที่มีประวัติว่าเกิดอาการแพ้ โครงสร้างยา Amoxycillin โครงสร้างยา ข้อ ง. ซึ่งยาข้อ ง. เป็นยากลุ่ม Cephalosporins ที่มีหมู่ -R แตกต่างอย่างชัดเจนกับโครงสร้างยา Amoxycillin จึง เลือกยาข้อ ง. เป็นยาที่เหมาะสมที่สุดในผู้ป่วยรายนี้ อาการที่ผู้ป่วยเข้ามาขอซื้อยาในร้านขายยาคือ การเป็น อาการคันจมูก จาม มีน้ำมูกไหล ซึ่งยาที่จะ จ่ายให้เหมาะสมกับอาการของผู้ป่วยรายนี้คือ antihistamine ( H1 antagonists) โดยอาการดังกล่าวเกิดจาก การที่มีสิ่งแปลกปลอมเข้าสู่ร่างกาย แล้ว mast cell และ basophil จะปลดปล่อย histamine ออกมาเพื่อ กระตุ้นระบบภูมิคุ้มกัน ขบวนการที่ histamine ถูกปลดปล่อยออกมาเรียกว่าอาการแพ้ เช่น เกิดผื่นแดง คัน จมูก จาม มีน้ำมูกไหล เป็นต้น ซึ่งการเปลี่ยนแปลงในร่างกายที่กล่าวข้างต้นจะเกิดขึ้นได้เมื่อ histamine จับ กับ histamine receptor ซึ่งปัจจุบัน มี 4 ชนิด ดังนั้นเพื่อการรักษาอาการแพ้ที่เกิดขึ้นจึงต้องใช้ยาที่เป็น H1 246 โรคระบบภูมิคุ้มกัน นักศึกษาเภสัชศาสตร์ชั้นปีที่ 4 รุ่นที่ 22 มหาวิทยาลัยนเรศวร สหพันธ์นิสิตนักศึกษาเภสัชศาสตร์แห่งประเทศไทย (สนภท.) antagonists ซึ่งเป็นสารที่สามารถยับยั้ง histamine H1 receptor โดยการขัดขว้างการจับกันของ Histamine กับ histamine H1 receptor ส่งผลให้ไม่เกิดการจับกันแล้วส่งผลให้เกิดอาการแพ้ตามมาได้นั่นเอง Ethylamine side โครงสร้าง Histamine Imidazole ring ยากลุ่ม H1 antagonists แบ่งได้</t>
        </is>
      </c>
      <c r="C96" s="2" t="n"/>
      <c r="D96" s="2" t="inlineStr">
        <is>
          <t>Epinephrine 0.3 mg IM stat</t>
        </is>
      </c>
      <c r="E96" s="2" t="inlineStr">
        <is>
          <t>Dexamethasone 4 mg IV</t>
        </is>
      </c>
      <c r="F96" s="2" t="inlineStr">
        <is>
          <t>Prednisolone 20 mg OD</t>
        </is>
      </c>
      <c r="G96" s="2" t="inlineStr">
        <is>
          <t>Montelukast 10 mg HS</t>
        </is>
      </c>
      <c r="H96" s="2" t="inlineStr">
        <is>
          <t>Hydroxyzine 25 mg HS</t>
        </is>
      </c>
      <c r="I96" s="8" t="inlineStr">
        <is>
          <t>2</t>
        </is>
      </c>
      <c r="J96" s="2" t="inlineStr">
        <is>
          <t>✅ คำตอบที่ถูกต้อง: ข้อ ข. Dexamethasone 4 mg IV
💡 Background:
ภาวะ acute poisoning ต้องได้รับการประเมิน supportive care ควบคู่กับการให้ specific antidote อย่างทันท่วงที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6" s="2" t="n"/>
      <c r="L96" s="2" t="inlineStr">
        <is>
          <t>Allergic rhinitis</t>
        </is>
      </c>
      <c r="M96" s="2" t="inlineStr">
        <is>
          <t>Clinic</t>
        </is>
      </c>
      <c r="N96" s="2" t="inlineStr">
        <is>
          <t>ข้อ 22 (PLE_CC1_Practice_Exam.md)</t>
        </is>
      </c>
      <c r="O96" s="2" t="inlineStr">
        <is>
          <t>Mock</t>
        </is>
      </c>
      <c r="P96" s="2" t="inlineStr">
        <is>
          <t>Mock สภาเภสัชฯ Practice</t>
        </is>
      </c>
    </row>
    <row r="97" ht="13.2" customHeight="1" s="37">
      <c r="A97" s="8" t="inlineStr">
        <is>
          <t>95</t>
        </is>
      </c>
      <c r="B97" s="2" t="inlineStr">
        <is>
          <t>Non sedative H1 antagonists ประกอบด้วย กลุ่ม zwitterions derivatives กลุ่ม benzimidazole derivatives กลุ่ม tricyclic derivative 247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โครงสร้าง Betahistine โครงสร้าง Histamine รูป A คือโครงสร้างของ ยา Betahistine ซึ่งเป็นยากลุ่ม H1 agonists จะเห็นว่ามีโครงสร้างคล้ายกับ Histamine aminoalkyl ether รูป B คือโครงสร้างของยา Diphenhydramine ซึ่งเป็น Classical (sedative ) H1 antagonists กลุ่ม aminoalkyl ether x = CH-O (ที่ทำสี่เหลี่ยมไว้) monoaminopropyl รูป. C คือโครงสร้างของยา Chlorpheniramine ซึ่งเป็น Classical (sedative ) H1 antagonists กลุ่ม monoaminopropyl X = CH หรือ X-CH2=C=CH carboxylic group amino group รูป. D คือโครงสร้างของยา Cetirizine ซึ่งเป็น Non sedative H1 antagonists กลุ่ม zwitterions derivatives 248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บริเวณที่เป็นสีแดงคือส่วนที่เป็น ด่าง amino group ส่วนบริเวณที่เป็นน้ำเงินคือส่วนที่เป็น กรด carboxylic group โปรตรอนจาก carboxylic groupสามารถมา protonated ให้กับ amino nitrogen จึง ทำให้ Nitrogen มีประจุบวก ส่วน Oxygen ที่ carboxylic group มีประจุดลบ โครงสร้าง Cetirizine เกิดเป็น zwitterions จึงทำให้มีความเป็น hydrophobicity ลดลงทำให้ไม่สามารถผ่านเข้าสู่สมองได้จึงทำให้ (ผ่าน BBB ได้ไม่ดี)จึงทำให้อาการง่วงลดลง รูป E. คือโครงสร้างของยา Ranitidine ซึ่งเป็น Histamine H2 receptor antagonists ซึ่งมีข้อบ่งใช้ใน การรักษาโรคกระเพาะอาหาร (สามารถยับยั้งการหลั่งกรด) sulfamethoxazole เนื่องจาก ต้องมีหมู่ R ที่เหมือนกันจึงจะเกิดการเเพ้เเบบ sulfonamide cross hypersentivity ได้ จากตำเเหน่ง 1 2 หรือ 3 ไม่มี หมู่ R ของ Celecoxib ที่เหมือนกับหมู่ R ของ Sulfamethoxazole</t>
        </is>
      </c>
      <c r="C97" s="2" t="n"/>
      <c r="D97" s="2" t="inlineStr">
        <is>
          <t>Montelukast 10 mg HS</t>
        </is>
      </c>
      <c r="E97" s="2" t="inlineStr">
        <is>
          <t>Hydroxyzine 25 mg HS</t>
        </is>
      </c>
      <c r="F97" s="2" t="inlineStr">
        <is>
          <t>Diphenhydramine 25 mg IV</t>
        </is>
      </c>
      <c r="G97" s="2" t="inlineStr">
        <is>
          <t>Cetirizine 10 mg OD</t>
        </is>
      </c>
      <c r="H97" s="2" t="inlineStr">
        <is>
          <t>Loratadine 10 mg OD</t>
        </is>
      </c>
      <c r="I97" s="8" t="inlineStr">
        <is>
          <t>2</t>
        </is>
      </c>
      <c r="J97" s="2" t="inlineStr">
        <is>
          <t>✅ คำตอบที่ถูกต้อง: ข้อ ข. Hydroxyzine 25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97" s="2" t="n"/>
      <c r="L97" s="2" t="inlineStr">
        <is>
          <t>Allergic rhinitis</t>
        </is>
      </c>
      <c r="M97" s="2" t="inlineStr">
        <is>
          <t>Clinic</t>
        </is>
      </c>
      <c r="N97" s="2" t="inlineStr">
        <is>
          <t>ข้อ 2 (PLE_CC1_Practice_Exam.md)</t>
        </is>
      </c>
      <c r="O97" s="2" t="inlineStr">
        <is>
          <t>Mock</t>
        </is>
      </c>
      <c r="P97" s="2" t="inlineStr">
        <is>
          <t>Mock สภาเภสัชฯ Practice</t>
        </is>
      </c>
    </row>
    <row r="98" ht="13.2" customHeight="1" s="37">
      <c r="A98" s="8" t="inlineStr">
        <is>
          <t>96</t>
        </is>
      </c>
      <c r="B98" s="2" t="inlineStr">
        <is>
          <t>จากอาการของผู้ป่วยเป็นอาการของโรค Allergic rhinitis ซึ่งมีปัจจัยที่กระตุ้นอาการคือฝุ่นจากการ สร้างถนน มีอาการน้อยกว่า 4 ครั้งต่อสัปดาห์ จัดเป็น intermittent AR และความรุนแรงของโรคอยู่ในระดับ รุนแรงน้อย เนื่องจากไม่ได้รบกวนคุณภาพชีวิต ดังนั้นยาที่ควรให้แก่ผู้ป่วยรายนี้คือ oral antihistamine ซึ่งจะ เลือก Antihistamine generation 2 หรือ 3 เนื่องจากผู้ป่วยอยู่ในช่วงสอบไม่ต้องการรับประทานยาที่ทำให้ ง่วง ในข้อนี้เลือกจ่าย คือ Fexofenidine ซึ่งยาไม่ผ่าน BBB จึงไม่ทำให้ง่วงนอน</t>
        </is>
      </c>
      <c r="C98" s="2" t="n"/>
      <c r="D98" s="2" t="inlineStr">
        <is>
          <t>Dimenhydrinateเป็นanti histamineมีข้อบ่งใช้ใน motion sickness</t>
        </is>
      </c>
      <c r="E98" s="2" t="inlineStr">
        <is>
          <t>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F98" s="2" t="inlineStr">
        <is>
          <t>Intranasal Budesonide จะใช้ในรายที่มีอาการคัดจมูกมาก ซึ่งผู้ป่วยรายนี้ไม่มีอาการรุนแรงมาก และ อาการไม่ได้รบกวนคุณภาพชีวิต</t>
        </is>
      </c>
      <c r="G98" s="2" t="inlineStr">
        <is>
          <t>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 มหาวิทยาลัยนเรศวร สหพันธ์นิสิตนักศึกษาเภสัชศาสตร์แห่งประเทศไทย (สนภท.) 251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H98" s="2" t="inlineStr">
        <is>
          <t>Fluticasone furoate nasal spray</t>
        </is>
      </c>
      <c r="I98" s="8" t="inlineStr">
        <is>
          <t>5</t>
        </is>
      </c>
      <c r="J98" s="2" t="inlineStr">
        <is>
          <t>✅ คำตอบที่ถูกต้อง: ข้อ จ.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(Dimenhydrinateเป็นanti histamineมีข้อบ่งใช้ใน motion sickness): ข้อนี้ไม่ใช่คำตอบที่ถูกต้องสำหรับภาวะ Allergic rhinitis เนื่องจากกลไกการออกฤทธิ์, efficacy หรือข้อบ่งใช้ไม่ตรงกับโจทย์ที่กำหนด
• ข้อ ข. (Chlorpeniramine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ข้อนี้ไม่ใช่คำตอบที่ถูกต้องสำหรับภาวะ Allergic rhinitis เนื่องจากกลไกการออกฤทธิ์, efficacy หรือข้อบ่งใช้ไม่ตรงกับโจทย์ที่กำหนด
• ข้อ ค. (Intranasal Budesonide จะใช้ในรายที่มีอาการคัดจมูกมาก ซึ่งผู้ป่วยรายนี้ไม่มีอาการรุนแรงมาก และ อาการไม่ได้รบกวนคุณภาพชีวิต):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 มหาวิทยาลัยนเรศวร สหพันธ์นิสิตนักศึกษาเภสัชศาสตร์แห่งประเทศไทย (สนภท.) 251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8" s="2" t="n"/>
      <c r="L98" s="2" t="inlineStr">
        <is>
          <t>Allergic rhinitis</t>
        </is>
      </c>
      <c r="M98" s="2" t="inlineStr">
        <is>
          <t>Clinic</t>
        </is>
      </c>
      <c r="N98" s="2" t="inlineStr">
        <is>
          <t>ข้อ 26 (PLE_CC1_Practice_Exam.md)</t>
        </is>
      </c>
      <c r="O98" s="2" t="inlineStr">
        <is>
          <t>Mock</t>
        </is>
      </c>
      <c r="P98" s="2" t="inlineStr">
        <is>
          <t>Mock สภาเภสัชฯ Practice</t>
        </is>
      </c>
    </row>
    <row r="99" ht="13.2" customHeight="1" s="37">
      <c r="A99" s="8" t="inlineStr">
        <is>
          <t>97</t>
        </is>
      </c>
      <c r="B99" s="2" t="inlineStr">
        <is>
          <t>เนื่องจากผู้ป่วยเป็น Allergic Rhinitis และมีอาการน้ำมูกไหล คันและคัดจมูก จามบ่อยๆ แต่มี อาการประมาณ 2 ครั้งต่อสัปดาห์ ซึ่งจัดเป็น Intermittent AR และเนื่องจากอาการไม่มีผลรบกวนคุณภาพ ชีวิติของผู้ป่วย จึงอยู่ในระดับ Mild และผู้ป่วยควรได้รับยา Oral antihistamine แต่เนื่องจากผู้ป่วยมีโรค ร่วมคือต้อหิน ซึ่งไม่ควรใช้ยาที่มีฤทธิ์ Anticholinergic ดังนั้นยาที่สามารถใช้ได้คือ Fexofenadine เพราะ เป็นยา Antihistamine generation 2 ที่ไม่มีฤทธิ์ Anticholinergic ส่วนยาในข้ออื่นๆเป็นยา Antihistamine generation 1 ซึ่งมีทั้งฤทธิ์ Antihistamine และ Anticholinergic</t>
        </is>
      </c>
      <c r="C99" s="2" t="n"/>
      <c r="D99" s="2" t="inlineStr">
        <is>
          <t>Chlorpheniramine 4 mg TID</t>
        </is>
      </c>
      <c r="E99" s="2" t="inlineStr">
        <is>
          <t>Fluticasone furoate nasal spray</t>
        </is>
      </c>
      <c r="F99" s="2" t="inlineStr">
        <is>
          <t>Budesonide nasal spray</t>
        </is>
      </c>
      <c r="G99" s="2" t="inlineStr">
        <is>
          <t>Epinephrine 0.3 mg IM stat</t>
        </is>
      </c>
      <c r="H99" s="2" t="inlineStr">
        <is>
          <t>Dexamethasone 4 mg IV</t>
        </is>
      </c>
      <c r="I99" s="8" t="inlineStr">
        <is>
          <t>2</t>
        </is>
      </c>
      <c r="J99" s="2" t="inlineStr">
        <is>
          <t>✅ คำตอบที่ถูกต้อง: ข้อ ข. Fluticasone furoate nasal spray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2" t="n"/>
      <c r="L99" s="2" t="inlineStr">
        <is>
          <t>Allergic rhinitis</t>
        </is>
      </c>
      <c r="M99" s="2" t="inlineStr">
        <is>
          <t>Clinic</t>
        </is>
      </c>
      <c r="N99" s="2" t="inlineStr">
        <is>
          <t>ข้อ 27 (PLE_CC1_Practice_Exam.md)</t>
        </is>
      </c>
      <c r="O99" s="2" t="inlineStr">
        <is>
          <t>Mock</t>
        </is>
      </c>
      <c r="P99" s="2" t="inlineStr">
        <is>
          <t>Mock สภาเภสัชฯ Practice</t>
        </is>
      </c>
    </row>
    <row r="100" ht="13.2" customHeight="1" s="37">
      <c r="A100" s="8" t="inlineStr">
        <is>
          <t>98</t>
        </is>
      </c>
      <c r="B100" s="2" t="inlineStr">
        <is>
          <t>จ่ายยา Fluticasone furaote spray เนื่องจากอาการแสดงของผู้ป่วยคือ น้ำมูกไหล จาม มีรอยคล้ำ ใต้ตา คัดจมูกมาก แต่มีอาการเป็นเวลา 2 วัน ซึ่งจัดว่าเป็น intermittent AR(มีอาการน้อยกว่า 4ครั้ง/สัปดาห์) และจากข้อมูลพบว่าอาการที่เกิดขึ้นรบกวนคุณภาพชีวิต (รบกวนการนอนหลับ) ซึ่งความรุนแรงจัดอยู่ระดับ severeดังนั้นยาที่ผู้ป่วยควรจะได้รับคือ Intranasal corticosteroid(INS) ซึ่งไม่พบว่ามีการกดการเจริญเติบโต ของเด็กเมื่อใช้นาน 1-3 ปี สรุป ผู้ป่วยมีอาการแสดงของ allergic rhinitis ที่รุนแรง แต่ยังเป็นลักษณะเป็น intermittent ดังนั้น ยาที่ผู้ป่วยควรได้รับคือ INS</t>
        </is>
      </c>
      <c r="C100" s="2" t="n"/>
      <c r="D100" s="2" t="inlineStr">
        <is>
          <t>Epinephrine 0.3 mg IM stat</t>
        </is>
      </c>
      <c r="E100" s="2" t="inlineStr">
        <is>
          <t>Dexamethasone 4 mg IV</t>
        </is>
      </c>
      <c r="F100" s="2" t="inlineStr">
        <is>
          <t>Prednisolone 20 mg OD</t>
        </is>
      </c>
      <c r="G100" s="2" t="inlineStr">
        <is>
          <t>Montelukast 10 mg HS</t>
        </is>
      </c>
      <c r="H100" s="2" t="inlineStr">
        <is>
          <t>Hydroxyzine 25 mg HS</t>
        </is>
      </c>
      <c r="I100" s="8" t="inlineStr">
        <is>
          <t>2</t>
        </is>
      </c>
      <c r="J100" s="2" t="inlineStr">
        <is>
          <t>✅ คำตอบที่ถูกต้อง: ข้อ ข. Dexamethasone 4 mg IV
💡 Background:
การรักษาโรคติดเชื้อแบคทีเรีย (Allergic rhinitis) ต้องเลือก antibiotic ที่ครอบคลุม likely pathogens และมี PK/PD profile เหมาะสมกับตำแหน่งการติดเชื้อ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0" s="2" t="n"/>
      <c r="L100" s="2" t="inlineStr">
        <is>
          <t>Allergic rhinitis</t>
        </is>
      </c>
      <c r="M100" s="2" t="inlineStr">
        <is>
          <t>Clinic</t>
        </is>
      </c>
      <c r="N100" s="2" t="inlineStr">
        <is>
          <t>ข้อ 28 (PLE_CC1_Practice_Exam.md)</t>
        </is>
      </c>
      <c r="O100" s="2" t="inlineStr">
        <is>
          <t>Mock</t>
        </is>
      </c>
      <c r="P100" s="2" t="inlineStr">
        <is>
          <t>Mock สภาเภสัชฯ Practice</t>
        </is>
      </c>
    </row>
    <row r="101" ht="13.2" customHeight="1" s="37">
      <c r="A101" s="8" t="inlineStr">
        <is>
          <t>99</t>
        </is>
      </c>
      <c r="B101" s="2" t="inlineStr">
        <is>
          <t>เป็นยาที่เหมาะสมที่สุดสำหรับผู้ป่วยรายนี้ จากอาการของผู้ป่วยที่มี น้ำมูกใส จามรุนแรง คันจมูก หลังจากนำ สุนัขเข้ามาเลี้ยงในห้องนอน ทำให้ทราบว่าผู้ป่วยเป็น allergic rhinitis และผู้ป่วยเพิ่งเป็นมาระยะเวลานาน 2 วัน จึงถือว่าเป็น intermittent(น้อยกว่า 4ครั้ง/สัปดาห์) ประกอบกับผู้ป่วยเป็นผู้เกษียรอายุราชการ อาศ ยอยู่ บ้านไม่ได้ทำงาน อาการป่วยจึงไม่ได้มีผลต่อคุณภาพชีวิตมากนัก จึงเลือกให้ Oral antihistamine คือ Loratadine</t>
        </is>
      </c>
      <c r="C101" s="2" t="n"/>
      <c r="D101" s="2" t="inlineStr">
        <is>
          <t>Montelukast 10 mg HS</t>
        </is>
      </c>
      <c r="E101" s="2" t="inlineStr">
        <is>
          <t>Hydroxyzine 25 mg HS</t>
        </is>
      </c>
      <c r="F101" s="2" t="inlineStr">
        <is>
          <t>Diphenhydramine 25 mg IV</t>
        </is>
      </c>
      <c r="G101" s="2" t="inlineStr">
        <is>
          <t>Cetirizine 10 mg OD</t>
        </is>
      </c>
      <c r="H101" s="2" t="inlineStr">
        <is>
          <t>Loratadine 10 mg OD</t>
        </is>
      </c>
      <c r="I101" s="8" t="inlineStr">
        <is>
          <t>2</t>
        </is>
      </c>
      <c r="J101" s="2" t="inlineStr">
        <is>
          <t>✅ คำตอบที่ถูกต้อง: ข้อ ข. Hydroxyzine 25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1" s="2" t="n"/>
      <c r="L101" s="2" t="inlineStr">
        <is>
          <t>Allergic rhinitis</t>
        </is>
      </c>
      <c r="M101" s="2" t="inlineStr">
        <is>
          <t>Clinic</t>
        </is>
      </c>
      <c r="N101" s="2" t="inlineStr">
        <is>
          <t>ข้อ 30 (PLE_CC1_Practice_Exam.md)</t>
        </is>
      </c>
      <c r="O101" s="2" t="inlineStr">
        <is>
          <t>Mock</t>
        </is>
      </c>
      <c r="P101" s="2" t="inlineStr">
        <is>
          <t>Mock สภาเภสัชฯ Practice</t>
        </is>
      </c>
    </row>
    <row r="102" ht="13.2" customHeight="1" s="37">
      <c r="A102" s="8" t="inlineStr">
        <is>
          <t>100</t>
        </is>
      </c>
      <c r="B102" s="2" t="inlineStr">
        <is>
          <t>นายวิบูลย์จะขายยาแผนปัจจุบัน ที่จังหวัดนนทบุรี จึงได้มายื่นขอใบอนุญาตที่สำนักงานคณะกรรมการ อาหารและยา เพื่อให้เลขาธิการสำนักงานคณะกรรมการอาหารและยาเป็นผู้อนุญาต ให้วินิจฉัยว่านายวิบูลย์ ปฏิบัติถูกต้องหรือไม่</t>
        </is>
      </c>
      <c r="C102" s="2" t="n"/>
      <c r="D102" s="2" t="inlineStr">
        <is>
          <t>ถูกต้อง เพราะเลขาธิการสำนักงานคณะกรรมการอาหาร และยาเป็นผู้อนุญาตสำหรับการออกทุก ชนิดทั่วราชอาณาจักร</t>
        </is>
      </c>
      <c r="E102" s="2" t="inlineStr">
        <is>
          <t>ถูกต้อง เพราะการอนุญาตสำหรับการขายยาผู้อนุญาตอาจเป็นเลขาธิการ หรือผู้ว่าราชการจังหวัดก็ ได้</t>
        </is>
      </c>
      <c r="F102" s="2" t="inlineStr">
        <is>
          <t>ไม่ถูกต้อง เพราะผู้อนุญาตสำหรับการขายยาในต่างจังหวัดต้องเป็นผู้ว่าราชการจังหวัดที่อยู่ในเขต จังหวัดนั้น</t>
        </is>
      </c>
      <c r="G102" s="2" t="inlineStr">
        <is>
          <t>ไม่ถูกต้อง เพราะผู้อนุญาตสำหรับการขายยาคือ ปลัดกระทรวงสาธารณสุขไม่ใช่เลขาธิการ สำนักงานคณะกรรมการอาหารและยา</t>
        </is>
      </c>
      <c r="H102" s="2" t="inlineStr">
        <is>
          <t>ไม่สามารถตัดสินใจได้จากข้อมูลที่ให้มา</t>
        </is>
      </c>
      <c r="I102" s="8" t="inlineStr">
        <is>
          <t>1</t>
        </is>
      </c>
      <c r="J102" s="2" t="inlineStr">
        <is>
          <t>✅ คำตอบที่ถูกต้อง: ข้อ ก. ถูกต้อง เพราะเลขาธิการสำนักงานคณะกรรมการอาหาร และยาเป็นผู้อนุญาตสำหรับการออกทุก ชนิดทั่วราชอาณาจักร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ถูกต้อง เพราะเลขาธิการสำนักงานคณะกรรมการอาหาร และยาเป็นผู้อนุญาตสำหรับการออกทุก ชนิดทั่วราชอาณาจักร การเลือก ถูกต้อง เพราะเลขาธิการสำนักงานคณะกรรมการอาหาร และยาเป็นผู้อนุญาตสำหรับการออกทุก ชนิดทั่วราชอาณาจักร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(ถูกต้อง เพราะการอนุญาตสำหรับการขายยาผู้อนุญาตอาจเป็นเลขาธิการ หรือผู้ว่าราชการจังหวัดก็ ได้): ข้อนี้ไม่ใช่คำตอบที่ถูกต้องสำหรับภาวะ Allergic rhinitis เนื่องจากกลไกการออกฤทธิ์, efficacy หรือข้อบ่งใช้ไม่ตรงกับโจทย์ที่กำหนด
• ข้อ ค. (ไม่ถูกต้อง เพราะผู้อนุญาตสำหรับการขายยาในต่างจังหวัดต้องเป็นผู้ว่าราชการจังหวัดที่อยู่ในเขต จังหวัดนั้น): ข้อนี้ไม่ใช่คำตอบที่ถูกต้องสำหรับภาวะ Allergic rhinitis เนื่องจากกลไกการออกฤทธิ์, efficacy หรือข้อบ่งใช้ไม่ตรงกับโจทย์ที่กำหนด
• ข้อ ง. (ไม่ถูกต้อง เพราะผู้อนุญาตสำหรับการขายยาคือ ปลัดกระทรวงสาธารณสุขไม่ใช่เลขาธิการ สำนักงานคณะกรรมการอาหารและยา): ข้อนี้ไม่ใช่คำตอบที่ถูกต้องสำหรับภาวะ Allergic rhinitis เนื่องจากกลไกการออกฤทธิ์, efficacy หรือข้อบ่งใช้ไม่ตรงกับโจทย์ที่กำหนด
• ข้อ จ. (ไม่สามารถตัดสินใจได้จากข้อมูลที่ให้มา):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2" s="2" t="n"/>
      <c r="L102" s="2" t="inlineStr">
        <is>
          <t>Allergic rhinitis</t>
        </is>
      </c>
      <c r="M102" s="2" t="inlineStr">
        <is>
          <t>Clinic</t>
        </is>
      </c>
      <c r="N102" s="2" t="inlineStr">
        <is>
          <t>ข้อ 11 (PLE_CC1_Practice_Exam.md)</t>
        </is>
      </c>
      <c r="O102" s="2" t="inlineStr">
        <is>
          <t>Mock</t>
        </is>
      </c>
      <c r="P102" s="2" t="inlineStr">
        <is>
          <t>Mock สภาเภสัชฯ Practice</t>
        </is>
      </c>
    </row>
    <row r="103" ht="13.2" customHeight="1" s="37">
      <c r="A103" s="8" t="inlineStr">
        <is>
          <t>101</t>
        </is>
      </c>
      <c r="B103" s="2" t="inlineStr">
        <is>
          <t>ผู้ป่วยมาร้านยาเพื่อขอซื้อยา Pseudoephedrine ขนาด 60 มิลลิกรัม เภสัชกรบอกยานี้ไม่มีขาย อยาก ทราบว่าทำไมยานี้จึงไม่มีจำหน่ายในร้านยา</t>
        </is>
      </c>
      <c r="C103" s="2" t="n"/>
      <c r="D103" s="2" t="inlineStr">
        <is>
          <t>เนื่องจากเป็นยาอันตราย</t>
        </is>
      </c>
      <c r="E103" s="2" t="inlineStr">
        <is>
          <t>เนื่องจากเป็นยาควบคุมพิเศษ</t>
        </is>
      </c>
      <c r="F103" s="2" t="inlineStr">
        <is>
          <t>เนื่องจากเป็นยาเสพติดให้โทษ ประเภทที่ 2</t>
        </is>
      </c>
      <c r="G103" s="2" t="inlineStr">
        <is>
          <t>เนื่องจากเป็นวัตถุออกฤทธิ์ต่อจิตและประสาท ประเภทที่ 2</t>
        </is>
      </c>
      <c r="H103" s="2" t="inlineStr">
        <is>
          <t>เนื่องจากไม่มียานี้จำหน่ายในประเทศไทย</t>
        </is>
      </c>
      <c r="I103" s="8" t="inlineStr">
        <is>
          <t>1</t>
        </is>
      </c>
      <c r="J103" s="2" t="inlineStr">
        <is>
          <t>✅ คำตอบที่ถูกต้อง: ข้อ ก. เนื่องจากเป็นยาอันตราย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เนื่องจากเป็นยาอันตราย การเลือก เนื่องจากเป็นยาอันตราย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(เนื่องจากเป็นยาควบคุมพิเศษ):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(เนื่องจากเป็นยาเสพติดให้โทษ ประเภทที่ 2): ข้อนี้ไม่ใช่คำตอบที่ถูกต้องสำหรับภาวะ Allergic rhinitis เนื่องจากกลไกการออกฤทธิ์, efficacy หรือข้อบ่งใช้ไม่ตรงกับโจทย์ที่กำหนด
• ข้อ ง. (เนื่องจากเป็นวัตถุออกฤทธิ์ต่อจิตและประสาท ประเภทที่ 2): ข้อนี้ไม่ใช่คำตอบที่ถูกต้องสำหรับภาวะ Allergic rhinitis เนื่องจากกลไกการออกฤทธิ์, efficacy หรือข้อบ่งใช้ไม่ตรงกับโจทย์ที่กำหนด
• ข้อ จ. (เนื่องจากไม่มียานี้จำหน่ายในประเทศไทย):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2" t="n"/>
      <c r="L103" s="2" t="inlineStr">
        <is>
          <t>Allergic rhinitis</t>
        </is>
      </c>
      <c r="M103" s="2" t="inlineStr">
        <is>
          <t>Clinic</t>
        </is>
      </c>
      <c r="N103" s="2" t="inlineStr">
        <is>
          <t>ข้อ 27 (PLE_CC1_Practice_Exam.md)</t>
        </is>
      </c>
      <c r="O103" s="2" t="inlineStr">
        <is>
          <t>Mock</t>
        </is>
      </c>
      <c r="P103" s="2" t="inlineStr">
        <is>
          <t>Mock สภาเภสัชฯ Practice</t>
        </is>
      </c>
    </row>
    <row r="104" ht="13.2" customHeight="1" s="37">
      <c r="A104" s="8" t="inlineStr">
        <is>
          <t>102</t>
        </is>
      </c>
      <c r="B104" s="2" t="inlineStr">
        <is>
          <t>Oral antihistamine ลดน้ำมูก + คัดจมูก</t>
        </is>
      </c>
      <c r="C104" s="2" t="n"/>
      <c r="D104" s="2" t="inlineStr">
        <is>
          <t>Epinephrine 0.3 mg IM stat</t>
        </is>
      </c>
      <c r="E104" s="2" t="inlineStr">
        <is>
          <t>Dexamethasone 4 mg IV</t>
        </is>
      </c>
      <c r="F104" s="2" t="inlineStr">
        <is>
          <t>Prednisolone 20 mg OD</t>
        </is>
      </c>
      <c r="G104" s="2" t="inlineStr">
        <is>
          <t>Montelukast 10 mg HS</t>
        </is>
      </c>
      <c r="H104" s="2" t="inlineStr">
        <is>
          <t>Hydroxyzine 25 mg HS</t>
        </is>
      </c>
      <c r="I104" s="8" t="inlineStr">
        <is>
          <t>1</t>
        </is>
      </c>
      <c r="J104" s="2"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2" t="n"/>
      <c r="L104" s="2" t="inlineStr">
        <is>
          <t>Allergic rhinitis</t>
        </is>
      </c>
      <c r="M104" s="2" t="inlineStr">
        <is>
          <t>Clinic</t>
        </is>
      </c>
      <c r="N104" s="2" t="inlineStr">
        <is>
          <t>ข้อ 2 (PLE_CC1_Key_Rx20_UBU.md)</t>
        </is>
      </c>
      <c r="O104" s="2" t="inlineStr">
        <is>
          <t>Mock</t>
        </is>
      </c>
      <c r="P104" s="2" t="inlineStr">
        <is>
          <t>Mock Rx20 UBU</t>
        </is>
      </c>
    </row>
    <row r="105" ht="13.2" customHeight="1" s="37">
      <c r="A105" s="8" t="inlineStr">
        <is>
          <t>103</t>
        </is>
      </c>
      <c r="B105" s="2" t="inlineStr">
        <is>
          <t>ยาเพิกถอนทะเบียนตำรับ เรื่องที่ 2 Asthma ผู้ป่วยเป็นโรคภูมิแพ้ มักมีอาการเมื่ออากาศเปลี่ยน มีอาการคล้ายหวัด จาม คัดจมูก น้ำมูกไหล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ได้รับยาแล้วควบคุมอาการได้ดี แต่ช่วงนี้ปัสสาวะไม่ออก</t>
        </is>
      </c>
      <c r="C105" s="2" t="n"/>
      <c r="D105" s="2" t="inlineStr">
        <is>
          <t>Montelukast 10 mg HS</t>
        </is>
      </c>
      <c r="E105" s="2" t="inlineStr">
        <is>
          <t>Hydroxyzine 25 mg HS</t>
        </is>
      </c>
      <c r="F105" s="2" t="inlineStr">
        <is>
          <t>Diphenhydramine 25 mg IV</t>
        </is>
      </c>
      <c r="G105" s="2" t="inlineStr">
        <is>
          <t>Cetirizine 10 mg OD</t>
        </is>
      </c>
      <c r="H105" s="2" t="inlineStr">
        <is>
          <t>Loratadine 10 mg OD</t>
        </is>
      </c>
      <c r="I105" s="8" t="inlineStr">
        <is>
          <t>4</t>
        </is>
      </c>
      <c r="J105" s="2" t="inlineStr">
        <is>
          <t>✅ คำตอบที่ถูกต้อง: ข้อ ง.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5" s="2" t="n"/>
      <c r="L105" s="2" t="inlineStr">
        <is>
          <t>Allergic rhinitis</t>
        </is>
      </c>
      <c r="M105" s="2" t="inlineStr">
        <is>
          <t>Clinic</t>
        </is>
      </c>
      <c r="N105" s="2" t="inlineStr">
        <is>
          <t>ข้อ 5 (PLE_CC1_Key_Rx20_UBU.md)</t>
        </is>
      </c>
      <c r="O105" s="2" t="inlineStr">
        <is>
          <t>Mock</t>
        </is>
      </c>
      <c r="P105" s="2" t="inlineStr">
        <is>
          <t>Mock Rx20 UBU</t>
        </is>
      </c>
    </row>
    <row r="106" ht="13.2" customHeight="1" s="37">
      <c r="A106" s="8" t="inlineStr">
        <is>
          <t>104</t>
        </is>
      </c>
      <c r="B106" s="2" t="inlineStr">
        <is>
          <t>... การใช้ยาหดหลอดเลือดชนิดทีใช้พ่นจมูกต่อเนืองกันนานกว่าสัปดาห์ อาจทำให้เกิดภาวะเยือบุจมูกอักเสบจากยา (rhinitis medicamentosa) ได้ จึงไม่แนะนำให้ผู้ป่วยใช้ยาหดหลอดเลือดชนิดทีใช้พ่นจมูกนีนานเกินไป ยาหดหลอดเลือดชนิดทีใช้พ่น หรือหยอดจมูกแบ่งออกได้เป็ น กลุ่ม คือ 1. Imidazoline derivatives ยาในกลุ่มนี ได้แก่ oxymetazoline, xylometazoline, tetrahydrozoline และ naphazoline เป็นต้น 2. Beta phenylethylamine derivatives ยาในกลุ่มนี ได้แก่ ephedrine, phenylephrine เป็นต้น</t>
        </is>
      </c>
      <c r="C106" s="2" t="n"/>
      <c r="D106" s="2" t="inlineStr">
        <is>
          <t>Cetirizine 10 mg OD</t>
        </is>
      </c>
      <c r="E106" s="2" t="inlineStr">
        <is>
          <t>Loratadine 10 mg OD</t>
        </is>
      </c>
      <c r="F106" s="2" t="inlineStr">
        <is>
          <t>Fexofenadine 180 mg OD</t>
        </is>
      </c>
      <c r="G106" s="2" t="inlineStr">
        <is>
          <t>Chlorpheniramine 4 mg TID</t>
        </is>
      </c>
      <c r="H106" s="2" t="inlineStr">
        <is>
          <t>Fluticasone furoate nasal spray</t>
        </is>
      </c>
      <c r="I106" s="8" t="inlineStr">
        <is>
          <t>3</t>
        </is>
      </c>
      <c r="J106" s="2" t="inlineStr">
        <is>
          <t>✅ คำตอบที่ถูกต้อง: ข้อ ค. Fexofenadine 180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Fexofenadine 180 mg OD การเลือก Fexofenadine 180 mg OD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ก. (Cetirizine 10 mg OD): เป็น 2nd generation H1-antihistamine บรรเทาอาการ allergic rhinitis และ urticaria มี sedating effect ต่ำกว่า 1st gen แต่ยังอาจทำให้ง่วงซึมได้มากกว่า fexofenadine
• ข้อ ข. (Loratadine 10 mg OD): ข้อนี้ไม่ใช่คำตอบที่ถูกต้องสำหรับภาวะ Allergic rhinitis เนื่องจากกลไกการออกฤทธิ์, efficacy หรือข้อบ่งใช้ไม่ตรงกับโจทย์ที่กำหนด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2" t="n"/>
      <c r="L106" s="2" t="inlineStr">
        <is>
          <t>Allergic rhinitis</t>
        </is>
      </c>
      <c r="M106" s="2" t="inlineStr">
        <is>
          <t>Clinic</t>
        </is>
      </c>
      <c r="N106" s="2" t="inlineStr">
        <is>
          <t>ข้อ 5 (PLE_CC1_Key_Rx20_UBU.md)</t>
        </is>
      </c>
      <c r="O106" s="2" t="inlineStr">
        <is>
          <t>Mock</t>
        </is>
      </c>
      <c r="P106" s="2" t="inlineStr">
        <is>
          <t>Mock Rx20 UBU</t>
        </is>
      </c>
    </row>
    <row r="107" ht="13.2" customHeight="1" s="37">
      <c r="A107" s="8" t="inlineStr">
        <is>
          <t>105</t>
        </is>
      </c>
      <c r="B107" s="2" t="inlineStr">
        <is>
          <t>ยา Antihistamine ตัวใดที่ทำให้ง่วงมากที่สุด</t>
        </is>
      </c>
      <c r="C107" s="2" t="n"/>
      <c r="D107" s="2" t="inlineStr">
        <is>
          <t>Chlorpheniramine 4 mg TID</t>
        </is>
      </c>
      <c r="E107" s="2" t="inlineStr">
        <is>
          <t>Fluticasone furoate nasal spray</t>
        </is>
      </c>
      <c r="F107" s="2" t="inlineStr">
        <is>
          <t>Budesonide nasal spray</t>
        </is>
      </c>
      <c r="G107" s="2" t="inlineStr">
        <is>
          <t>Epinephrine 0.3 mg IM stat</t>
        </is>
      </c>
      <c r="H107" s="2" t="inlineStr">
        <is>
          <t>Dexamethasone 4 mg IV</t>
        </is>
      </c>
      <c r="I107" s="8" t="inlineStr">
        <is>
          <t>1</t>
        </is>
      </c>
      <c r="J107" s="2"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2" t="n"/>
      <c r="L107" s="2" t="inlineStr">
        <is>
          <t>Allergic rhinitis</t>
        </is>
      </c>
      <c r="M107" s="2" t="inlineStr">
        <is>
          <t>Clinic</t>
        </is>
      </c>
      <c r="N107" s="2" t="inlineStr">
        <is>
          <t>ข้อ 8 (PLE_CC1_Key_Rx20_UBU.md)</t>
        </is>
      </c>
      <c r="O107" s="2" t="inlineStr">
        <is>
          <t>Mock</t>
        </is>
      </c>
      <c r="P107" s="2" t="inlineStr">
        <is>
          <t>Mock Rx20 UBU</t>
        </is>
      </c>
    </row>
    <row r="108" ht="13.2" customHeight="1" s="37">
      <c r="A108" s="8" t="inlineStr">
        <is>
          <t>106</t>
        </is>
      </c>
      <c r="B108" s="2" t="inlineStr">
        <is>
          <t>ใช้ยาเดิมต่อไป แต่ให้ antihistamine และ paracetamol</t>
        </is>
      </c>
      <c r="C108" s="2" t="n"/>
      <c r="D108" s="2" t="inlineStr">
        <is>
          <t>Epinephrine 0.3 mg IM stat</t>
        </is>
      </c>
      <c r="E108" s="2" t="inlineStr">
        <is>
          <t>Dexamethasone 4 mg IV</t>
        </is>
      </c>
      <c r="F108" s="2" t="inlineStr">
        <is>
          <t>Prednisolone 20 mg OD</t>
        </is>
      </c>
      <c r="G108" s="2" t="inlineStr">
        <is>
          <t>Montelukast 10 mg HS</t>
        </is>
      </c>
      <c r="H108" s="2" t="inlineStr">
        <is>
          <t>Hydroxyzine 25 mg HS</t>
        </is>
      </c>
      <c r="I108" s="8" t="inlineStr">
        <is>
          <t>1</t>
        </is>
      </c>
      <c r="J108" s="2"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2" t="n"/>
      <c r="L108" s="2" t="inlineStr">
        <is>
          <t>Allergic rhinitis</t>
        </is>
      </c>
      <c r="M108" s="2" t="inlineStr">
        <is>
          <t>Clinic</t>
        </is>
      </c>
      <c r="N108" s="2" t="inlineStr">
        <is>
          <t>ข้อ 1 (PLE_CC1_Key_Rx20_UBU.md)</t>
        </is>
      </c>
      <c r="O108" s="2" t="inlineStr">
        <is>
          <t>Mock</t>
        </is>
      </c>
      <c r="P108" s="2" t="inlineStr">
        <is>
          <t>Mock Rx20 UBU</t>
        </is>
      </c>
    </row>
    <row r="109" ht="13.2" customHeight="1" s="37">
      <c r="A109" s="8" t="inlineStr">
        <is>
          <t>107</t>
        </is>
      </c>
      <c r="B109" s="2" t="inlineStr">
        <is>
          <t>Loratadine (minor) ระดับ lora ลดลง</t>
        </is>
      </c>
      <c r="C109" s="2" t="n"/>
      <c r="D109" s="2" t="inlineStr">
        <is>
          <t>Montelukast 10 mg HS</t>
        </is>
      </c>
      <c r="E109" s="2" t="inlineStr">
        <is>
          <t>Hydroxyzine 25 mg HS</t>
        </is>
      </c>
      <c r="F109" s="2" t="inlineStr">
        <is>
          <t>Diphenhydramine 25 mg IV</t>
        </is>
      </c>
      <c r="G109" s="2" t="inlineStr">
        <is>
          <t>Cetirizine 10 mg OD</t>
        </is>
      </c>
      <c r="H109" s="2" t="inlineStr">
        <is>
          <t>Loratadine 10 mg OD</t>
        </is>
      </c>
      <c r="I109" s="8" t="inlineStr">
        <is>
          <t>1</t>
        </is>
      </c>
      <c r="J109" s="2"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2" t="n"/>
      <c r="L109" s="2" t="inlineStr">
        <is>
          <t>Allergic rhinitis</t>
        </is>
      </c>
      <c r="M109" s="2" t="inlineStr">
        <is>
          <t>Clinic</t>
        </is>
      </c>
      <c r="N109" s="2" t="inlineStr">
        <is>
          <t>ข้อ 3 (PLE_CC1_Key_Rx20_UBU.md)</t>
        </is>
      </c>
      <c r="O109" s="2" t="inlineStr">
        <is>
          <t>Mock</t>
        </is>
      </c>
      <c r="P109" s="2" t="inlineStr">
        <is>
          <t>Mock Rx20 UBU</t>
        </is>
      </c>
    </row>
    <row r="110" ht="13.2" customHeight="1" s="37">
      <c r="A110" s="8" t="inlineStr">
        <is>
          <t>108</t>
        </is>
      </c>
      <c r="B110" s="2" t="inlineStr">
        <is>
          <t>ไม่เหมาะสม เพราะ ควรใช้ยา Loratadine จะได้ผลดีกว่า</t>
        </is>
      </c>
      <c r="C110" s="2" t="n"/>
      <c r="D110" s="2" t="inlineStr">
        <is>
          <t>Cetirizine 10 mg OD</t>
        </is>
      </c>
      <c r="E110" s="2" t="inlineStr">
        <is>
          <t>Loratadine 10 mg OD</t>
        </is>
      </c>
      <c r="F110" s="2" t="inlineStr">
        <is>
          <t>Fexofenadine 180 mg OD</t>
        </is>
      </c>
      <c r="G110" s="2" t="inlineStr">
        <is>
          <t>Chlorpheniramine 4 mg TID</t>
        </is>
      </c>
      <c r="H110" s="2" t="inlineStr">
        <is>
          <t>Fluticasone furoate nasal spray</t>
        </is>
      </c>
      <c r="I110" s="8" t="inlineStr">
        <is>
          <t>1</t>
        </is>
      </c>
      <c r="J110" s="2"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Allergic rhinitis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2" t="n"/>
      <c r="L110" s="2" t="inlineStr">
        <is>
          <t>Allergic rhinitis</t>
        </is>
      </c>
      <c r="M110" s="2" t="inlineStr">
        <is>
          <t>Clinic</t>
        </is>
      </c>
      <c r="N110" s="2" t="inlineStr">
        <is>
          <t>ข้อ 4 (PLE_CC1_Key_Rx20_UBU.md)</t>
        </is>
      </c>
      <c r="O110" s="2" t="inlineStr">
        <is>
          <t>Mock</t>
        </is>
      </c>
      <c r="P110" s="2" t="inlineStr">
        <is>
          <t>Mock Rx20 UBU</t>
        </is>
      </c>
    </row>
    <row r="111" ht="13.2" customHeight="1" s="37">
      <c r="A111" s="8" t="inlineStr">
        <is>
          <t>109</t>
        </is>
      </c>
      <c r="B111" s="2" t="inlineStr">
        <is>
          <t>ไม่เหมาะสม เพราะ ไม่ควรใช้ First generation antihistamine และ Decongestant ในผู้สูงอายุ</t>
        </is>
      </c>
      <c r="C111" s="2" t="n"/>
      <c r="D111" s="2" t="inlineStr">
        <is>
          <t>Chlorpheniramine 4 mg TID</t>
        </is>
      </c>
      <c r="E111" s="2" t="inlineStr">
        <is>
          <t>Fluticasone furoate nasal spray</t>
        </is>
      </c>
      <c r="F111" s="2" t="inlineStr">
        <is>
          <t>Budesonide nasal spray</t>
        </is>
      </c>
      <c r="G111" s="2" t="inlineStr">
        <is>
          <t>Epinephrine 0.3 mg IM stat</t>
        </is>
      </c>
      <c r="H111" s="2" t="inlineStr">
        <is>
          <t>Dexamethasone 4 mg IV</t>
        </is>
      </c>
      <c r="I111" s="8" t="inlineStr">
        <is>
          <t>1</t>
        </is>
      </c>
      <c r="J111" s="2"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1" s="2" t="n"/>
      <c r="L111" s="2" t="inlineStr">
        <is>
          <t>Allergic rhinitis</t>
        </is>
      </c>
      <c r="M111" s="2" t="inlineStr">
        <is>
          <t>Clinic</t>
        </is>
      </c>
      <c r="N111" s="2" t="inlineStr">
        <is>
          <t>ข้อ 5 (PLE_CC1_Key_Rx20_UBU.md)</t>
        </is>
      </c>
      <c r="O111" s="2" t="inlineStr">
        <is>
          <t>Mock</t>
        </is>
      </c>
      <c r="P111" s="2" t="inlineStr">
        <is>
          <t>Mock Rx20 UBU</t>
        </is>
      </c>
    </row>
    <row r="112" ht="13.2" customHeight="1" s="37">
      <c r="A112" s="8" t="inlineStr">
        <is>
          <t>110</t>
        </is>
      </c>
      <c r="B112" s="2" t="inlineStr">
        <is>
          <t>– สถานการณ) 7 ผู$ป&amp;วยชาย อายุ 40 ป3 น้ำหนัก 60 กิโลกรัม โรคประจำตัวคือ Allergic rhinitis และ CKD stage 4 มีอาการ ไข$ เจ็บคอ มีเสมหะ ไมGไอ มีน้ำมูก เปญนมาสามวัน วันนี้มาร$านยา เภสัชกรสGองคอพบจุดหนองที่คอด$านซ$าย จGายยาคือ Amoxicillin 1x3 Ibuprofen 1x3 pc Chlorpheniramine (4) 1x3 pc prn</t>
        </is>
      </c>
      <c r="C112" s="2" t="n"/>
      <c r="D112" s="2" t="inlineStr">
        <is>
          <t>Epinephrine 0.3 mg IM stat</t>
        </is>
      </c>
      <c r="E112" s="2" t="inlineStr">
        <is>
          <t>Dexamethasone 4 mg IV</t>
        </is>
      </c>
      <c r="F112" s="2" t="inlineStr">
        <is>
          <t>Prednisolone 20 mg OD</t>
        </is>
      </c>
      <c r="G112" s="2" t="inlineStr">
        <is>
          <t>Montelukast 10 mg HS</t>
        </is>
      </c>
      <c r="H112" s="2" t="inlineStr">
        <is>
          <t>Hydroxyzine 25 mg HS</t>
        </is>
      </c>
      <c r="I112" s="8" t="inlineStr">
        <is>
          <t>1</t>
        </is>
      </c>
      <c r="J112" s="2" t="inlineStr">
        <is>
          <t>✅ คำตอบที่ถูกต้อง: ข้อ ก. Epinephrine 0.3 mg IM stat
💡 Background:
ภาวะไตเสื่อม (CKD/AKI) ต้องระมัดระวังการปรับขนาดยาตาม renal function (eGFR/CrCl) และหลีกเลี่ยง nephrotoxic drugs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2" s="2" t="n"/>
      <c r="L112" s="2" t="inlineStr">
        <is>
          <t>Allergic rhinitis</t>
        </is>
      </c>
      <c r="M112" s="2" t="inlineStr">
        <is>
          <t>Clinic</t>
        </is>
      </c>
      <c r="N112" s="2" t="inlineStr">
        <is>
          <t>ข้อ 60 (PLE_CC1_Key_Rx20_UBU.md)</t>
        </is>
      </c>
      <c r="O112" s="2" t="inlineStr">
        <is>
          <t>Mock</t>
        </is>
      </c>
      <c r="P112" s="2" t="inlineStr">
        <is>
          <t>Mock Rx20 UBU</t>
        </is>
      </c>
    </row>
    <row r="113" ht="13.2" customHeight="1" s="37">
      <c r="A113" s="8" t="inlineStr">
        <is>
          <t>111</t>
        </is>
      </c>
      <c r="B113" s="2" t="inlineStr">
        <is>
          <t>Antihistamine eye drops</t>
        </is>
      </c>
      <c r="C113" s="2" t="n"/>
      <c r="D113" s="2" t="inlineStr">
        <is>
          <t>Montelukast 10 mg HS</t>
        </is>
      </c>
      <c r="E113" s="2" t="inlineStr">
        <is>
          <t>Hydroxyzine 25 mg HS</t>
        </is>
      </c>
      <c r="F113" s="2" t="inlineStr">
        <is>
          <t>Diphenhydramine 25 mg IV</t>
        </is>
      </c>
      <c r="G113" s="2" t="inlineStr">
        <is>
          <t>Cetirizine 10 mg OD</t>
        </is>
      </c>
      <c r="H113" s="2" t="inlineStr">
        <is>
          <t>Loratadine 10 mg OD</t>
        </is>
      </c>
      <c r="I113" s="8" t="inlineStr">
        <is>
          <t>1</t>
        </is>
      </c>
      <c r="J113" s="2" t="inlineStr">
        <is>
          <t>✅ คำตอบที่ถูกต้อง: ข้อ ก. Montelukast 10 mg HS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Allergic rhinitis เนื่องจากกลไกการออกฤทธิ์, efficacy หรือข้อบ่งใช้ไม่ตรงกับโจทย์ที่กำหนด
• ข้อ ค. (Diphenhydramine 25 mg IV): ข้อนี้ไม่ใช่คำตอบที่ถูกต้องสำหรับภาวะ Allergic rhinitis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2" t="n"/>
      <c r="L113" s="2" t="inlineStr">
        <is>
          <t>Allergic rhinitis</t>
        </is>
      </c>
      <c r="M113" s="2" t="inlineStr">
        <is>
          <t>Clinic</t>
        </is>
      </c>
      <c r="N113" s="2" t="inlineStr">
        <is>
          <t>ข้อ 3 (PLE_CC1_Key_Rx20_UBU.md)</t>
        </is>
      </c>
      <c r="O113" s="2" t="inlineStr">
        <is>
          <t>Mock</t>
        </is>
      </c>
      <c r="P113" s="2" t="inlineStr">
        <is>
          <t>Mock Rx20 UBU</t>
        </is>
      </c>
    </row>
    <row r="114" ht="13.2" customHeight="1" s="37">
      <c r="A114" s="8" t="inlineStr">
        <is>
          <t>112</t>
        </is>
      </c>
      <c r="B114" s="2" t="inlineStr">
        <is>
          <t>Fexofenadine 60 mg 1 tab bid</t>
        </is>
      </c>
      <c r="C114" s="2" t="n"/>
      <c r="D114" s="2" t="inlineStr">
        <is>
          <t>Cetirizine 10 mg OD</t>
        </is>
      </c>
      <c r="E114" s="2" t="inlineStr">
        <is>
          <t>Loratadine 10 mg OD</t>
        </is>
      </c>
      <c r="F114" s="2" t="inlineStr">
        <is>
          <t>Fexofenadine 180 mg OD</t>
        </is>
      </c>
      <c r="G114" s="2" t="inlineStr">
        <is>
          <t>Chlorpheniramine 4 mg TID</t>
        </is>
      </c>
      <c r="H114" s="2" t="inlineStr">
        <is>
          <t>Fluticasone furoate nasal spray</t>
        </is>
      </c>
      <c r="I114" s="8" t="inlineStr">
        <is>
          <t>1</t>
        </is>
      </c>
      <c r="J114" s="2" t="inlineStr">
        <is>
          <t>✅ คำตอบที่ถูกต้อง: ข้อ ก. Cetirizine 10 mg OD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Allergic rhinitis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2" t="n"/>
      <c r="L114" s="2" t="inlineStr">
        <is>
          <t>Allergic rhinitis</t>
        </is>
      </c>
      <c r="M114" s="2" t="inlineStr">
        <is>
          <t>Clinic</t>
        </is>
      </c>
      <c r="N114" s="2" t="inlineStr">
        <is>
          <t>ข้อ 2 (PLE_CC1_Key_Rx20_UBU.md)</t>
        </is>
      </c>
      <c r="O114" s="2" t="inlineStr">
        <is>
          <t>Mock</t>
        </is>
      </c>
      <c r="P114" s="2" t="inlineStr">
        <is>
          <t>Mock Rx20 UBU</t>
        </is>
      </c>
    </row>
    <row r="115" ht="13.2" customHeight="1" s="37">
      <c r="A115" s="8" t="inlineStr">
        <is>
          <t>113</t>
        </is>
      </c>
      <c r="B115" s="2" t="inlineStr">
        <is>
          <t>Oxymetazoline intranasal 0.5 mg/ml 1 puff prn (at night 1-2 times/week)</t>
        </is>
      </c>
      <c r="C115" s="2" t="n"/>
      <c r="D115" s="2" t="inlineStr">
        <is>
          <t>Chlorpheniramine 4 mg TID</t>
        </is>
      </c>
      <c r="E115" s="2" t="inlineStr">
        <is>
          <t>Fluticasone furoate nasal spray</t>
        </is>
      </c>
      <c r="F115" s="2" t="inlineStr">
        <is>
          <t>Budesonide nasal spray</t>
        </is>
      </c>
      <c r="G115" s="2" t="inlineStr">
        <is>
          <t>Epinephrine 0.3 mg IM stat</t>
        </is>
      </c>
      <c r="H115" s="2" t="inlineStr">
        <is>
          <t>Dexamethasone 4 mg IV</t>
        </is>
      </c>
      <c r="I115" s="8" t="inlineStr">
        <is>
          <t>1</t>
        </is>
      </c>
      <c r="J115" s="2" t="inlineStr">
        <is>
          <t>✅ คำตอบที่ถูกต้อง: ข้อ ก. Chlorpheniramine 4 mg TID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Allergic rhinitis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2" t="n"/>
      <c r="L115" s="2" t="inlineStr">
        <is>
          <t>Allergic rhinitis</t>
        </is>
      </c>
      <c r="M115" s="2" t="inlineStr">
        <is>
          <t>Clinic</t>
        </is>
      </c>
      <c r="N115" s="2" t="inlineStr">
        <is>
          <t>ข้อ 3 (PLE_CC1_Key_Rx20_UBU.md)</t>
        </is>
      </c>
      <c r="O115" s="2" t="inlineStr">
        <is>
          <t>Mock</t>
        </is>
      </c>
      <c r="P115" s="2" t="inlineStr">
        <is>
          <t>Mock Rx20 UBU</t>
        </is>
      </c>
    </row>
    <row r="116" ht="13.2" customHeight="1" s="37">
      <c r="A116" s="8" t="inlineStr">
        <is>
          <t>114</t>
        </is>
      </c>
      <c r="B116" s="2" t="inlineStr">
        <is>
          <t>Pseudoephedrine 60 mg/triprolidine 2.5 mg 1 tab bid pc</t>
        </is>
      </c>
      <c r="C116" s="2" t="n"/>
      <c r="D116" s="2" t="inlineStr">
        <is>
          <t>Epinephrine 0.3 mg IM stat</t>
        </is>
      </c>
      <c r="E116" s="2" t="inlineStr">
        <is>
          <t>Dexamethasone 4 mg IV</t>
        </is>
      </c>
      <c r="F116" s="2" t="inlineStr">
        <is>
          <t>Prednisolone 20 mg OD</t>
        </is>
      </c>
      <c r="G116" s="2" t="inlineStr">
        <is>
          <t>Montelukast 10 mg HS</t>
        </is>
      </c>
      <c r="H116" s="2" t="inlineStr">
        <is>
          <t>Hydroxyzine 25 mg HS</t>
        </is>
      </c>
      <c r="I116" s="8" t="inlineStr">
        <is>
          <t>1</t>
        </is>
      </c>
      <c r="J116" s="2" t="inlineStr">
        <is>
          <t>✅ คำตอบที่ถูกต้อง: ข้อ ก. Epinephrine 0.3 mg IM stat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2" t="n"/>
      <c r="L116" s="2" t="inlineStr">
        <is>
          <t>Allergic rhinitis</t>
        </is>
      </c>
      <c r="M116" s="2" t="inlineStr">
        <is>
          <t>Clinic</t>
        </is>
      </c>
      <c r="N116" s="2" t="inlineStr">
        <is>
          <t>ข้อ 4 (PLE_CC1_Key_Rx20_UBU.md)</t>
        </is>
      </c>
      <c r="O116" s="2" t="inlineStr">
        <is>
          <t>Mock</t>
        </is>
      </c>
      <c r="P116" s="2" t="inlineStr">
        <is>
          <t>Mock Rx20 UBU</t>
        </is>
      </c>
    </row>
    <row r="117" ht="13.2" customHeight="1" s="37">
      <c r="A117" s="8" t="inlineStr">
        <is>
          <t>115</t>
        </is>
      </c>
      <c r="B117" s="2" t="inlineStr">
        <is>
          <t>Allergic rhinitis ของผู้ป่วยรายนี้มีความรุนแรงระดับใด</t>
        </is>
      </c>
      <c r="C117" s="2" t="n"/>
      <c r="D117" s="2" t="inlineStr">
        <is>
          <t>Mild intermittent</t>
        </is>
      </c>
      <c r="E117" s="2" t="inlineStr">
        <is>
          <t>Mild persistent</t>
        </is>
      </c>
      <c r="F117" s="2" t="inlineStr">
        <is>
          <t>Mild-moderate persistent</t>
        </is>
      </c>
      <c r="G117" s="2" t="inlineStr">
        <is>
          <t>Moderate-severe persistent</t>
        </is>
      </c>
      <c r="H117" s="2" t="inlineStr">
        <is>
          <t>Moderate-severe intermittent และผู้ป่วยเพิ่งมีอาการมา 2 สัปดาห์ ดังแสดงในแผนภูมิด้านล่างนี้</t>
        </is>
      </c>
      <c r="I117" s="8" t="inlineStr">
        <is>
          <t>1</t>
        </is>
      </c>
      <c r="J117" s="2" t="inlineStr">
        <is>
          <t>✅ คำตอบที่ถูกต้อง: ข้อ ก. Mild intermittent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ข้อนี้ไม่ใช่คำตอบที่ถูกต้องสำหรับภาวะ Allergic rhinitis เนื่องจากกลไกการออกฤทธิ์, efficacy หรือข้อบ่งใช้ไม่ตรงกับโจทย์ที่กำหนด
• ข้อ ค. (Mild-moderate persistent): ข้อนี้ไม่ใช่คำตอบที่ถูกต้องสำหรับภาวะ Allergic rhinitis เนื่องจากกลไกการออกฤทธิ์, efficacy หรือข้อบ่งใช้ไม่ตรงกับโจทย์ที่กำหนด
• ข้อ ง. (Moderate-severe persistent): ข้อนี้ไม่ใช่คำตอบที่ถูกต้องสำหรับภาวะ Allergic rhinitis เนื่องจากกลไกการออกฤทธิ์, efficacy หรือข้อบ่งใช้ไม่ตรงกับโจทย์ที่กำหนด
• ข้อ จ. (Moderate-severe intermittent และผู้ป่วยเพิ่งมีอาการมา 2 สัปดาห์ ดังแสดงในแผนภูมิด้านล่างนี้):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2" t="n"/>
      <c r="L117" s="2" t="inlineStr">
        <is>
          <t>Allergic rhinitis</t>
        </is>
      </c>
      <c r="M117" s="2" t="inlineStr">
        <is>
          <t>Clinic</t>
        </is>
      </c>
      <c r="N117" s="2" t="inlineStr">
        <is>
          <t>ข้อ 2 (PLE_CC1_Key_Rx20_UBU.md)</t>
        </is>
      </c>
      <c r="O117" s="2" t="inlineStr">
        <is>
          <t>Mock</t>
        </is>
      </c>
      <c r="P117" s="2" t="inlineStr">
        <is>
          <t>Mock Rx20 UBU</t>
        </is>
      </c>
    </row>
    <row r="118" ht="13.2" customHeight="1" s="37">
      <c r="A118" s="8" t="inlineStr">
        <is>
          <t>116</t>
        </is>
      </c>
      <c r="B118" s="2" t="inlineStr">
        <is>
          <t>Fexofenadine มีการ metabolism ได้ metabolite ดังภาพ ซึ่งเกิดขึ้นจากปฏิกิริยาใด</t>
        </is>
      </c>
      <c r="C118" s="2" t="n"/>
      <c r="D118" s="2" t="inlineStr">
        <is>
          <t>Deamination</t>
        </is>
      </c>
      <c r="E118" s="2" t="inlineStr">
        <is>
          <t>Dealkylation</t>
        </is>
      </c>
      <c r="F118" s="2" t="inlineStr">
        <is>
          <t>Deacetylation</t>
        </is>
      </c>
      <c r="G118" s="2" t="inlineStr">
        <is>
          <t>Decarboxylation</t>
        </is>
      </c>
      <c r="H118" s="2" t="inlineStr">
        <is>
          <t>Dehydrogenation</t>
        </is>
      </c>
      <c r="I118" s="8" t="inlineStr">
        <is>
          <t>2</t>
        </is>
      </c>
      <c r="J118" s="2" t="inlineStr">
        <is>
          <t>✅ คำตอบที่ถูกต้อง: ข้อ ข. Dealkylation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Dealkylation การเลือก Dealkylation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(Deamination): ข้อนี้ไม่ใช่คำตอบที่ถูกต้องสำหรับภาวะ Allergic rhinitis เนื่องจากกลไกการออกฤทธิ์, efficacy หรือข้อบ่งใช้ไม่ตรงกับโจทย์ที่กำหนด
• ข้อ ค. (Deacetylation): ข้อนี้ไม่ใช่คำตอบที่ถูกต้องสำหรับภาวะ Allergic rhinitis เนื่องจากกลไกการออกฤทธิ์, efficacy หรือข้อบ่งใช้ไม่ตรงกับโจทย์ที่กำหนด
• ข้อ ง. (Decarboxylation): ข้อนี้ไม่ใช่คำตอบที่ถูกต้องสำหรับภาวะ Allergic rhinitis เนื่องจากกลไกการออกฤทธิ์, efficacy หรือข้อบ่งใช้ไม่ตรงกับโจทย์ที่กำหนด
• ข้อ จ. (Dehydrogenation):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2" t="n"/>
      <c r="L118" s="2" t="inlineStr">
        <is>
          <t>Allergic rhinitis</t>
        </is>
      </c>
      <c r="M118" s="2" t="inlineStr">
        <is>
          <t>Clinic</t>
        </is>
      </c>
      <c r="N118" s="2" t="inlineStr">
        <is>
          <t>ข้อ 7 (PLE_CC1_Key_Rx20_UBU.md)</t>
        </is>
      </c>
      <c r="O118" s="2" t="inlineStr">
        <is>
          <t>Mock</t>
        </is>
      </c>
      <c r="P118" s="2" t="inlineStr">
        <is>
          <t>Mock Rx20 UBU</t>
        </is>
      </c>
    </row>
    <row r="119" ht="13.2" customHeight="1" s="37">
      <c r="A119" s="8" t="inlineStr">
        <is>
          <t>117</t>
        </is>
      </c>
      <c r="B119" s="2" t="inlineStr">
        <is>
          <t>ข้อใดมีผลต่อความสม่ำเสมอของยา fexofenadine</t>
        </is>
      </c>
      <c r="C119" s="2" t="n"/>
      <c r="D119" s="2" t="inlineStr">
        <is>
          <t>มุมทรงตัว</t>
        </is>
      </c>
      <c r="E119" s="2" t="inlineStr">
        <is>
          <t>ความพรุนของผงยา</t>
        </is>
      </c>
      <c r="F119" s="2" t="inlineStr">
        <is>
          <t>การทำเป็นแกรนูล</t>
        </is>
      </c>
      <c r="G119" s="2" t="inlineStr">
        <is>
          <t>ความสามารถในการตอกอัด</t>
        </is>
      </c>
      <c r="H119" s="2" t="inlineStr">
        <is>
          <t>การใส่สาร glidant ลงไปในตำรับ</t>
        </is>
      </c>
      <c r="I119" s="8" t="inlineStr">
        <is>
          <t>1</t>
        </is>
      </c>
      <c r="J119" s="2" t="inlineStr">
        <is>
          <t>✅ คำตอบที่ถูกต้อง: ข้อ ก. มุมทรงตัว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มุมทรงตัว การเลือก มุมทรงตัว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(ความพรุนของผงยา): ข้อนี้ไม่ใช่คำตอบที่ถูกต้องสำหรับภาวะ Allergic rhinitis เนื่องจากกลไกการออกฤทธิ์, efficacy หรือข้อบ่งใช้ไม่ตรงกับโจทย์ที่กำหนด
• ข้อ ค. (การทำเป็นแกรนูล): ข้อนี้ไม่ใช่คำตอบที่ถูกต้องสำหรับภาวะ Allergic rhinitis เนื่องจากกลไกการออกฤทธิ์, efficacy หรือข้อบ่งใช้ไม่ตรงกับโจทย์ที่กำหนด
• ข้อ ง. (ความสามารถในการตอกอัด): ข้อนี้ไม่ใช่คำตอบที่ถูกต้องสำหรับภาวะ Allergic rhinitis เนื่องจากกลไกการออกฤทธิ์, efficacy หรือข้อบ่งใช้ไม่ตรงกับโจทย์ที่กำหนด
• ข้อ จ. (การใส่สาร glidant ลงไปในตำรับ):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2" t="n"/>
      <c r="L119" s="2" t="inlineStr">
        <is>
          <t>Allergic rhinitis</t>
        </is>
      </c>
      <c r="M119" s="2" t="inlineStr">
        <is>
          <t>Clinic</t>
        </is>
      </c>
      <c r="N119" s="2" t="inlineStr">
        <is>
          <t>ข้อ 8 (PLE_CC1_Key_Rx20_UBU.md)</t>
        </is>
      </c>
      <c r="O119" s="2" t="inlineStr">
        <is>
          <t>Mock</t>
        </is>
      </c>
      <c r="P119" s="2" t="inlineStr">
        <is>
          <t>Mock Rx20 UBU</t>
        </is>
      </c>
    </row>
    <row r="120" ht="13.2" customHeight="1" s="37">
      <c r="A120" s="8" t="inlineStr">
        <is>
          <t>118</t>
        </is>
      </c>
      <c r="B120" s="2" t="inlineStr">
        <is>
          <t>จากรูป โครงสร้างหรือคุณสมบัติใดของ cetirizine ที่ทำให้กินยานี้แล้วไม่ง่วง</t>
        </is>
      </c>
      <c r="C120" s="2" t="n"/>
      <c r="D120" s="2" t="inlineStr">
        <is>
          <t>Acid property</t>
        </is>
      </c>
      <c r="E120" s="2" t="inlineStr">
        <is>
          <t>Basic property</t>
        </is>
      </c>
      <c r="F120" s="2" t="inlineStr">
        <is>
          <t>Amphoteric property</t>
        </is>
      </c>
      <c r="G120" s="2" t="inlineStr">
        <is>
          <t>Aromatic ring</t>
        </is>
      </c>
      <c r="H120" s="2" t="inlineStr">
        <is>
          <t>Electron withdrawing และทำให้ผ่าน BBB น้อยจึงทำให้ส่งผลต่อ CNS side น้อย</t>
        </is>
      </c>
      <c r="I120" s="8" t="inlineStr">
        <is>
          <t>1</t>
        </is>
      </c>
      <c r="J120" s="2" t="inlineStr">
        <is>
          <t>✅ คำตอบที่ถูกต้อง: ข้อ ก. Acid property
💡 Background:
การบริบาลผู้ป่วยในกลุ่มโรค Allergic rhinitis มุ่งเน้นการควบคุมโรคและลดความเสี่ยงต่อภาวะแทรกซ้อนด้วย evidence-based pharmacotherapy
🎯 ทำไมข้อนี้ถึงถูก:
Acid property การเลือก Acid property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(Basic property): ข้อนี้ไม่ใช่คำตอบที่ถูกต้องสำหรับภาวะ Allergic rhinitis เนื่องจากกลไกการออกฤทธิ์, efficacy หรือข้อบ่งใช้ไม่ตรงกับโจทย์ที่กำหนด
• ข้อ ค. (Amphoteric property): ข้อนี้ไม่ใช่คำตอบที่ถูกต้องสำหรับภาวะ Allergic rhinitis เนื่องจากกลไกการออกฤทธิ์, efficacy หรือข้อบ่งใช้ไม่ตรงกับโจทย์ที่กำหนด
• ข้อ ง. (Aromatic ring): ข้อนี้ไม่ใช่คำตอบที่ถูกต้องสำหรับภาวะ Allergic rhinitis เนื่องจากกลไกการออกฤทธิ์, efficacy หรือข้อบ่งใช้ไม่ตรงกับโจทย์ที่กำหนด
• ข้อ จ. (Electron withdrawing และทำให้ผ่าน BBB น้อยจึงทำให้ส่งผลต่อ CNS side น้อย): ข้อนี้ไม่ใช่คำตอบที่ถูกต้องสำหรับภาวะ Allergic rhinitis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0" s="2" t="n"/>
      <c r="L120" s="2" t="inlineStr">
        <is>
          <t>Allergic rhinitis</t>
        </is>
      </c>
      <c r="M120" s="2" t="inlineStr">
        <is>
          <t>Clinic</t>
        </is>
      </c>
      <c r="N120" s="2" t="inlineStr">
        <is>
          <t>ข้อ 106 (PLE_CC1_Key_Rx20_UBU.md)</t>
        </is>
      </c>
      <c r="O120" s="2" t="inlineStr">
        <is>
          <t>Mock</t>
        </is>
      </c>
      <c r="P120" s="2" t="inlineStr">
        <is>
          <t>Mock Rx20 UBU</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Q312"/>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37">
      <c r="A3" s="13" t="inlineStr">
        <is>
          <t>1</t>
        </is>
      </c>
      <c r="B3" s="2" t="inlineStr">
        <is>
          <t>ยาปฏิชีวนะกลุ่มใดต่อไปนี้ มีกลไกการออกฤทธิ์โดยการยับยั้งเอนไซม์ DNA gyrase และ Topoisomerase IV ของแบคทีเรีย?</t>
        </is>
      </c>
      <c r="C3" s="2" t="n"/>
      <c r="D3" s="2" t="inlineStr">
        <is>
          <t>Beta-lactams (เช่น Amoxicillin)</t>
        </is>
      </c>
      <c r="E3" s="2" t="inlineStr">
        <is>
          <t>Aminoglycosides (เช่น Gentamicin)</t>
        </is>
      </c>
      <c r="F3" s="2" t="inlineStr">
        <is>
          <t>Fluoroquinolones (เช่น Ciprofloxacin, Levofloxacin)</t>
        </is>
      </c>
      <c r="G3" s="2" t="inlineStr">
        <is>
          <t>Macrolides (เช่น Azithromycin)</t>
        </is>
      </c>
      <c r="H3" s="2" t="inlineStr">
        <is>
          <t>Glycopeptides (เช่น Vancomycin)</t>
        </is>
      </c>
      <c r="I3" s="8" t="inlineStr">
        <is>
          <t>3</t>
        </is>
      </c>
      <c r="J3" s="2" t="inlineStr">
        <is>
          <t>✅ คำตอบที่ถูกต้อง: ข้อ ค. Fluoroquinolones (เช่น Ciprofloxacin, Levofloxacin)
💡 Background:
การดูแลผู้ติดเชื้อ HIV เน้นเริ่ม Antiretroviral Therapy (ART) ทันทีเพื่อกด viral load ให้ undetectable (U=U) และฟื้นฟูระบบภูมิคุ้มกัน
🎯 ทำไมข้อนี้ถึงถูก:
Fluoroquinolones (เช่น Ciprofloxacin, Levofloxacin) Fluoroquinolones ยับยั้ง DNA gyrase ในแบคทีเรียแกรมลบ และ Topoisomerase IV ในแบคทีเรียแกรมบวก ส่งผลให้กระบวนการคลายเกลียวและจำลองตัวของ DNA หยุดชะงัก
 เป็น Fluoroquinolone เด่นต่อ Gram-negative รวมทั้ง Pseudomonas aeruginosa แต่มี black box warning เรื่อง tendon rupture, QT prolongation, aortic aneurysm และ dysglycemia
🔍 ข้ออื่นผิดเพราะอะไร:
• ข้อ ก. (Beta-lactams (เช่น Amoxicillin)): เป็น Aminopenicillin ยับยั้ง bacterial cell wall synthesis เป็น first-line สำหรับ uncomplicated bacterial infections (เช่น Strep pharyngitis, AOM, sinusitis)
• ข้อ ข. (Aminoglycosides (เช่น Gentamicin)): เป็น Aminoglycoside มี concentration-dependent bactericidal effect ต่อ gram-negative มี nephrotoxicity และ ototoxicity ต้อง monitoring renal function และ serum level
• ข้อ ง. (Macrolides (เช่น Azithromycin)): เป็น Macrolide ครอบคลุม atypical pathogens (Mycoplasma, Chlamydia, Legionella) ขจัดออกทางตับเป็นหลัก และมี half-life ยาวนาน (~68 ชม.)
• ข้อ จ. (Glycopeptides (เช่น Vancomycin)):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 s="2" t="n"/>
      <c r="L3" s="2" t="inlineStr">
        <is>
          <t>HIV infection</t>
        </is>
      </c>
      <c r="M3" s="2" t="inlineStr">
        <is>
          <t>Clinic</t>
        </is>
      </c>
      <c r="N3" s="2" t="inlineStr">
        <is>
          <t>Pharmacology</t>
        </is>
      </c>
      <c r="O3" s="2" t="inlineStr">
        <is>
          <t>ข้อสอบจริง</t>
        </is>
      </c>
      <c r="P3" s="8" t="inlineStr">
        <is>
          <t>2567</t>
        </is>
      </c>
    </row>
    <row r="4" ht="13.2" customHeight="1" s="37">
      <c r="A4" s="8" t="inlineStr">
        <is>
          <t>1</t>
        </is>
      </c>
      <c r="B4" s="2" t="inlineStr">
        <is>
          <t>ผู้ป่วยหญิงอายุ 67 ปี มาด้วยอาการตัวร้อน หายใจลำบาก ไอมากจนรำคาญ แต่ยังมีสติสัมปชัญญะ ปกติอาศัยอยู่ที่บ้าน นอนโรงพยาบาลล่าสุดเมื่อ 5 ปีก่อนจากอาการล้มแล้วเอวกระแทกพื้น ไม่เคยใช้เครื่องช่วยหายใจ
ผลตรวจทางห้องปฏิบัติการและสัญญาณชีพ:
BP 115/78 mmHg, HR 108 bpm, BT 38.8 °C, SpO2 89%, BUN 25 mg/dL, RR 33 ครั้ง/นาที
โรคประจำตัว: โรคเบาหวาน ยาปัจจุบัน: Metformin 500 mg 2x1 po pc เช้า, Empagliflozin 10 mg 1x1 po hs (HbA1C 6.5%)
ไม่มีประวัติแพ้ยา
(ประเมิน CURB-65 = 3 คะแนน, PSI Class III, Non-severe Inpatient CAP ตาม IDSA/ATS Guidelines แนะนำให้รับไว้รักษาในโรงพยาบาล)
คำถาม: หากผู้ป่วยรายนี้มีประวัติแพ้ penicillin แบบ anaphylaxis (type I hypersensitivity) แพทย์ควรปรับสูตรยาเป็นข้อใดจึงเหมาะสมที่สุด?</t>
        </is>
      </c>
      <c r="C4" s="2" t="n"/>
      <c r="D4" s="2" t="inlineStr">
        <is>
          <t>หยุด beta-lactam แต่ยังคง azithromycin เดี่ยว ๆ</t>
        </is>
      </c>
      <c r="E4" s="2" t="inlineStr">
        <is>
          <t>เปลี่ยนเป็น respiratory fluoroquinolone monotherapy เช่น Levofloxacin 750 mg IV/PO วันละครั้ง</t>
        </is>
      </c>
      <c r="F4" s="2" t="inlineStr">
        <is>
          <t>เปลี่ยนเป็น cephalosporin รุ่นที่ 1 (เช่น cefazolin) แทน beta-lactam เดิม</t>
        </is>
      </c>
      <c r="G4" s="2" t="inlineStr">
        <is>
          <t>ให้ desensitization ต่อ penicillin ก่อนเริ่มยาเดิม</t>
        </is>
      </c>
      <c r="H4" s="2" t="inlineStr">
        <is>
          <t>ใช้ norfloxacin แทน เพราะเป็นยากลุ่มเดียวกับ ciprofloxacin</t>
        </is>
      </c>
      <c r="I4" s="8" t="inlineStr">
        <is>
          <t>2</t>
        </is>
      </c>
      <c r="J4" s="2" t="inlineStr">
        <is>
          <t>✅ คำตอบที่ถูกต้อง: ข้อ ข. เปลี่ยนเป็น respiratory fluoroquinolone monotherapy เช่น Levofloxacin 750 mg IV/PO วันละครั้ง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เปลี่ยนเป็น respiratory fluoroquinolone monotherapy เช่น Levofloxacin 750 mg IV/PO วันละครั้ง ผู้ป่วยที่มีประวัติแพ้ penicillin แบบ anaphylaxis (Type I hypersensitivity) มีความเสี่ยงต่อการเกิด cross-reactivity กับ beta-lactam อื่นๆ โดยเฉพาะ cephalosporin รุ่นแรก จึงควรหลีกเลี่ยง beta-lactam ทุกชนิด ตาม IDSA/ATS 2019 CAP guideline แนะนำให้ใช้ Respiratory fluoroquinolone (เช่น Levofloxacin 750 mg วันละครั้ง หรือ Moxifloxacin 400 mg วันละครั้ง) เป็น monotherapy ทางเลือกหลัก เนื่องจากครอบคลุมเชื้อก่อโรค CAP ทั้ง typical bacteria (รวมถึง S. pneumoniae ที่ดื้อยา) และ atypical pathogens ได้อย่างครอบคลุม ส่วน Norfloxacin ไม่มีที่ใช้ใน CAP เพราะไม่ใช่ respiratory FQ และ azithromycin monotherapy มีอัตราการดื้อยาของ S. pneumoniae สูงเกินไปในผู้ป่วย inpatient
🔍 ข้ออื่นผิดเพราะอะไร:
• ข้อ ก. (หยุด beta-lactam แต่ยังคง azithromycin เดี่ยว ๆ): เป็น Macrolide ครอบคลุม atypical pathogens (Mycoplasma, Chlamydia, Legionella) ขจัดออกทางตับเป็นหลัก และมี half-life ยาวนาน (~68 ชม.)
• ข้อ ค. (เปลี่ยนเป็น cephalosporin รุ่นที่ 1 (เช่น cefazolin) แทน beta-lactam เดิม): เป็น 1st generation cephalosporin เป็น drug of choice สำหรับ surgical antibiotic prophylaxis และ severe MSSA bacteremia/endocarditis
• ข้อ ง. (ให้ desensitization ต่อ penicillin ก่อนเริ่มยาเดิม): ข้อนี้ไม่ใช่คำตอบที่ถูกต้องสำหรับภาวะ Pneumonia เนื่องจากกลไกการออกฤทธิ์, efficacy หรือข้อบ่งใช้ไม่ตรงกับโจทย์ที่กำหนด
• ข้อ จ. (ใช้ norfloxacin แทน เพราะเป็นยากลุ่มเดียวกับ ciprofloxacin): เป็น Fluoroquinolone เด่นต่อ Gram-negative รวมทั้ง Pseudomonas aeruginosa แต่มี black box warning เรื่อง tendon rupture, QT prolongation, aortic aneurysm และ dysglycemia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2" t="n"/>
      <c r="L4" s="2" t="inlineStr">
        <is>
          <t>Pneumonia</t>
        </is>
      </c>
      <c r="M4" s="2" t="inlineStr">
        <is>
          <t>Clinic</t>
        </is>
      </c>
      <c r="N4" s="2" t="inlineStr">
        <is>
          <t>ข้อ 1.1 Mock Infectious RxCU84</t>
        </is>
      </c>
      <c r="O4" s="2" t="inlineStr">
        <is>
          <t>Mock</t>
        </is>
      </c>
      <c r="P4" s="2" t="inlineStr">
        <is>
          <t>Mock RxCU84</t>
        </is>
      </c>
    </row>
    <row r="5" ht="13.2" customHeight="1" s="37">
      <c r="A5" s="8" t="inlineStr">
        <is>
          <t>2</t>
        </is>
      </c>
      <c r="B5" s="2" t="inlineStr">
        <is>
          <t>ผู้ป่วยหญิงอายุ 67 ปี ได้รับการวินิจฉัยเป็น CAP และรักษาในโรงพยาบาลจนอาการดีขึ้น
คำถาม: ผู้ป่วยรายนี้อาการดีขึ้น แพทย์วางแผนให้กลับบ้านพร้อมยากินต่อเป็น levofloxacin ครบคอร์ส ในฐานะเภสัชกร ควรเน้นคำแนะนำข้อใดเป็นพิเศษ เนื่องจากปัจจัยเสี่ยงของผู้ป่วยรายนี้?</t>
        </is>
      </c>
      <c r="C5" s="2" t="n"/>
      <c r="D5" s="2" t="inlineStr">
        <is>
          <t>เลี่ยงแสงแดดเพราะเสี่ยง photosensitivity เท่านั้น</t>
        </is>
      </c>
      <c r="E5" s="2" t="inlineStr">
        <is>
          <t>ระวังอาการปวด/บวมบริเวณเอ็น และหลีกเลี่ยงการออกกำลังกายหนักเนื่องจากอายุ &gt;60 ปี เพิ่มความเสี่ยง tendon rupture</t>
        </is>
      </c>
      <c r="F5" s="2" t="inlineStr">
        <is>
          <t>ให้กินยาพร้อมนมเพื่อลดการระคายเคืองกระเพาะอาหาร</t>
        </is>
      </c>
      <c r="G5" s="2" t="inlineStr">
        <is>
          <t>ไม่ต้องกังวลเรื่องใดเป็นพิเศษเพราะผู้ป่วยไม่มีประวัติแพ้ยา</t>
        </is>
      </c>
      <c r="H5" s="2" t="inlineStr">
        <is>
          <t>เพิ่มขนาดยา theophylline ทันทีเพราะ levofloxacin จะลดระดับยาในเลือด</t>
        </is>
      </c>
      <c r="I5" s="8" t="inlineStr">
        <is>
          <t>2</t>
        </is>
      </c>
      <c r="J5" s="2" t="inlineStr">
        <is>
          <t>✅ คำตอบที่ถูกต้อง: ข้อ ข. ระวังอาการปวด/บวมบริเวณเอ็น และหลีกเลี่ยงการออกกำลังกายหนักเนื่องจากอายุ &gt;60 ปี เพิ่มความเสี่ยง tendon rupture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ระวังอาการปวด/บวมบริเวณเอ็น และหลีกเลี่ยงการออกกำลังกายหนักเนื่องจากอายุ &gt;60 ปี เพิ่มความเสี่ยง tendon rupture FDA Black Box Warning ของยากลุ่ม Fluoroquinolones ระบุชัดเจนถึงความเสี่ยงต่อการเกิด tendinitis และ tendon rupture (โดยเฉพาะ Achilles tendon) โดยกลุ่มเสี่ยงสูงได้แก่ ผู้ที่มีอายุ &gt; 60 ปี, ผู้ที่ใช้ systemic corticosteroids ร่วมด้วย, และผู้ป่วยปลูกถ่ายอวัยวะ ผู้ป่วยรายนี้อายุ 67 ปี จึงเข้าเกณฑ์ความเสี่ยงสูงโดยตรง เภสัชกรจึงต้องเน้นย้ำให้สังเกตอาการปวด บวม หรืออักเสบตามข้อ/เอ็น และหยุดยาพร้อมปรึกษาแพทย์ทันทีหากมีอาการ (การรับประทานพร้อมนมจะเกิด chelation ลดการดูดซึมยา)
🔍 ข้ออื่นผิดเพราะอะไร:
• ข้อ ก. (เลี่ยงแสงแดดเพราะเสี่ยง photosensitivity เท่านั้น): ข้อนี้ไม่ใช่คำตอบที่ถูกต้องสำหรับภาวะ Pneumonia เนื่องจากกลไกการออกฤทธิ์, efficacy หรือข้อบ่งใช้ไม่ตรงกับโจทย์ที่กำหนด
• ข้อ ค. (ให้กินยาพร้อมนมเพื่อลดการระคายเคืองกระเพาะอาหาร): ข้อนี้ไม่ใช่คำตอบที่ถูกต้องสำหรับภาวะ Pneumonia เนื่องจากกลไกการออกฤทธิ์, efficacy หรือข้อบ่งใช้ไม่ตรงกับโจทย์ที่กำหนด
• ข้อ ง. (ไม่ต้องกังวลเรื่องใดเป็นพิเศษเพราะผู้ป่วยไม่มีประวัติแพ้ยา): ข้อนี้ไม่ใช่คำตอบที่ถูกต้องสำหรับภาวะ Pneumonia เนื่องจากกลไกการออกฤทธิ์, efficacy หรือข้อบ่งใช้ไม่ตรงกับโจทย์ที่กำหนด
• ข้อ จ. (เพิ่มขนาดยา theophylline ทันทีเพราะ levofloxacin จะลดระดับยาในเลือด):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Pneumonia</t>
        </is>
      </c>
      <c r="M5" s="2" t="inlineStr">
        <is>
          <t>Clinic</t>
        </is>
      </c>
      <c r="N5" s="2" t="inlineStr">
        <is>
          <t>ข้อ 1.2 Mock Infectious RxCU84</t>
        </is>
      </c>
      <c r="O5" s="2" t="inlineStr">
        <is>
          <t>Mock</t>
        </is>
      </c>
      <c r="P5" s="2" t="inlineStr">
        <is>
          <t>Mock RxCU84</t>
        </is>
      </c>
    </row>
    <row r="6" ht="13.2" customHeight="1" s="37">
      <c r="A6" s="8" t="inlineStr">
        <is>
          <t>3</t>
        </is>
      </c>
      <c r="B6" s="2" t="inlineStr">
        <is>
          <t>ผู้ป่วยหญิงอายุ 67 ปี โรคประจำตัวเบาหวาน ใช้ยา Metformin ร่วมกับ Empagliflozin (SGLT2i)
คำถาม: จุดที่ควรเฝ้าระวังเป็นพิเศษ หากพิจารณาเสริม respiratory fluoroquinolone (เช่น levofloxacin) เข้าไปในสูตรรักษาผู้ป่วยเบาหวานรายนี้ที่ใช้ยาต้านเบาหวานอยู่ คือข้อใด?</t>
        </is>
      </c>
      <c r="C6" s="2" t="n"/>
      <c r="D6" s="2" t="inlineStr">
        <is>
          <t>ความเสี่ยง tendon rupture เนื่องจากอายุมากกว่า 60 ปี</t>
        </is>
      </c>
      <c r="E6" s="2" t="inlineStr">
        <is>
          <t>ความเสี่ยงระดับน้ำตาลในเลือดผิดปกติ (dysglycemia) ทั้งภาวะน้ำตาลสูงและต่ำ</t>
        </is>
      </c>
      <c r="F6" s="2" t="inlineStr">
        <is>
          <t>การยับยั้งเอนไซม์ CYP1A2 ทำให้ระดับ metformin ในเลือดสูงขึ้น</t>
        </is>
      </c>
      <c r="G6" s="2" t="inlineStr">
        <is>
          <t>ความเสี่ยง Fanconi syndrome จากยาหมดอายุ</t>
        </is>
      </c>
      <c r="H6" s="2" t="inlineStr">
        <is>
          <t>การเกิด pseudomembranous colitis จาก C. difficile</t>
        </is>
      </c>
      <c r="I6" s="8" t="inlineStr">
        <is>
          <t>2</t>
        </is>
      </c>
      <c r="J6" s="2" t="inlineStr">
        <is>
          <t>✅ คำตอบที่ถูกต้อง: ข้อ ข. ความเสี่ยงระดับน้ำตาลในเลือดผิดปกติ (dysglycemia) ทั้งภาวะน้ำตาลสูงและต่ำ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ความเสี่ยงระดับน้ำตาลในเลือดผิดปกติ (dysglycemia) ทั้งภาวะน้ำตาลสูงและต่ำ ยากลุ่ม Fluoroquinolones โดยเฉพาะกลุ่ม Respiratory FQ (Levofloxacin, Moxifloxacin) มีคำเตือนจาก US FDA เกี่ยวกับความเสี่ยงต่อภาวะ Dysglycemia คือทำให้เกิดได้ทั้ง Hypoglycemia รุนแรง (ผ่านการกระตุ้นการหลั่งอินซูลินจาก pancreatic beta cells ซึ่งอาจนำไปสู่ hypoglycemic coma) และ Hyperglycemia ผู้ป่วยเบาหวานที่ได้รับยาลดระดับน้ำตาลอยู่แล้วจึงจำเป็นต้องได้รับการติดตามระดับน้ำตาลในเลือดอย่างใกล้ชิด
🔍 ข้ออื่นผิดเพราะอะไร:
• ข้อ ก. (ความเสี่ยง tendon rupture เนื่องจากอายุมากกว่า 60 ปี): ข้อนี้ไม่ใช่คำตอบที่ถูกต้องสำหรับภาวะ Pneumonia เนื่องจากกลไกการออกฤทธิ์, efficacy หรือข้อบ่งใช้ไม่ตรงกับโจทย์ที่กำหนด
• ข้อ ค. (การยับยั้งเอนไซม์ CYP1A2 ทำให้ระดับ metformin ในเลือดสูงขึ้น):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(ความเสี่ยง Fanconi syndrome จากยาหมดอายุ): ข้อนี้ไม่ใช่คำตอบที่ถูกต้องสำหรับภาวะ Pneumonia เนื่องจากกลไกการออกฤทธิ์, efficacy หรือข้อบ่งใช้ไม่ตรงกับโจทย์ที่กำหนด
• ข้อ จ. (การเกิด pseudomembranous colitis จาก C. difficile): ข้อนี้ไม่ใช่คำตอบที่ถูกต้องสำหรับภาวะ Pneumonia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6" s="2" t="n"/>
      <c r="L6" s="2" t="inlineStr">
        <is>
          <t>Pneumonia</t>
        </is>
      </c>
      <c r="M6" s="2" t="inlineStr">
        <is>
          <t>Clinic</t>
        </is>
      </c>
      <c r="N6" s="2" t="inlineStr">
        <is>
          <t>ข้อ 1.3 Mock Infectious RxCU84</t>
        </is>
      </c>
      <c r="O6" s="2" t="inlineStr">
        <is>
          <t>Mock</t>
        </is>
      </c>
      <c r="P6" s="2" t="inlineStr">
        <is>
          <t>Mock RxCU84</t>
        </is>
      </c>
    </row>
    <row r="7" ht="13.2" customHeight="1" s="37">
      <c r="A7" s="8" t="inlineStr">
        <is>
          <t>4</t>
        </is>
      </c>
      <c r="B7" s="2" t="inlineStr">
        <is>
          <t>ผู้ป่วยหญิงอายุ 67 ปี อยู่ระหว่างพิจารณาเลือกยา Respiratory fluoroquinolone ระหว่าง Levofloxacin กับ Moxifloxacin
คำถาม: หากต้องเลือกระหว่าง levofloxacin กับ moxifloxacin สำหรับผู้ป่วยรายนี้ ข้อใดถูกต้องเกี่ยวกับการปรับขนาดยาและข้อจำกัดการใช้ของยาทั้งสองชนิด?</t>
        </is>
      </c>
      <c r="C7" s="2" t="n"/>
      <c r="D7" s="2" t="inlineStr">
        <is>
          <t>Levofloxacin ต้องปรับตามการทำงานของไต ส่วน moxifloxacin ต้องระวังในตับวายและไม่ใช้รักษาโรคติดเชื้อทางเดินปัสสาวะ</t>
        </is>
      </c>
      <c r="E7" s="2" t="inlineStr">
        <is>
          <t>ทั้งสองตัวต้องปรับขนาดตามไตในระดับเดียวกัน</t>
        </is>
      </c>
      <c r="F7" s="2" t="inlineStr">
        <is>
          <t>Moxifloxacin ต้องปรับตามไต ส่วน levofloxacin ไม่ต้องปรับเลย</t>
        </is>
      </c>
      <c r="G7" s="2" t="inlineStr">
        <is>
          <t>ทั้งสองตัวไม่จำเป็นต้องปรับขนาดยาในผู้สูงอายุ</t>
        </is>
      </c>
      <c r="H7" s="2" t="inlineStr">
        <is>
          <t>Levofloxacin มีความเสี่ยง QT prolongation สูงกว่า moxifloxacin</t>
        </is>
      </c>
      <c r="I7" s="8" t="inlineStr">
        <is>
          <t>1</t>
        </is>
      </c>
      <c r="J7" s="2" t="inlineStr">
        <is>
          <t>✅ คำตอบที่ถูกต้อง: ข้อ ก. Levofloxacin ต้องปรับตามการทำงานของไต ส่วน moxifloxacin ต้องระวังในตับวายและไม่ใช้รักษาโรคติดเชื้อทางเดินปัสสาวะ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Levofloxacin ต้องปรับตามการทำงานของไต ส่วน moxifloxacin ต้องระวังในตับวายและไม่ใช้รักษาโรคติดเชื้อทางเดินปัสสาวะ Levofloxacin ถูกขจัดออกทางไตผ่านทางปัสสาวะเป็นหลัก (&gt;80% unchanged drug) จึงจำเป็นต้องปรับลดขนาดยาตามค่า Creatinine Clearance (CrCl) ในขณะที่ Moxifloxacin ถูกเมแทบอลิซึมและขจัดผ่านทางตับเป็นหลัก (hepatic metabolism &amp; biliary excretion) จึงไม่ต้องปรับขนาดยาตามการทำงานของไต แต่ต้องระมัดระวังในผู้ป่วยตับบกพร่อง และด้วยเหตุที่ขับออกทางไตน้อยมาก จึงไม่นำ Moxifloxacin มาใช้รักษาโรคติดเชื้อทางเดินปัสสาวะ (UTI)
🔍 ข้ออื่นผิดเพราะอะไร:
• ข้อ ข. (ทั้งสองตัวต้องปรับขนาดตามไตในระดับเดียวกัน): ข้อนี้ไม่ใช่คำตอบที่ถูกต้องสำหรับภาวะ Pneumonia เนื่องจากกลไกการออกฤทธิ์, efficacy หรือข้อบ่งใช้ไม่ตรงกับโจทย์ที่กำหนด
• ข้อ ค. (Moxifloxacin ต้องปรับตามไต ส่วน levofloxacin ไม่ต้องปรับเลย): เป็น Respiratory Fluoroquinolone ครอบคลุมทั้ง Streptococcus pneumoniae, atypicals และ Pseudomonas aeruginosa ใช้รักษา CAP, complicated UTI
• ข้อ ง. (ทั้งสองตัวไม่จำเป็นต้องปรับขนาดยาในผู้สูงอายุ): ข้อนี้ไม่ใช่คำตอบที่ถูกต้องสำหรับภาวะ Pneumonia เนื่องจากกลไกการออกฤทธิ์, efficacy หรือข้อบ่งใช้ไม่ตรงกับโจทย์ที่กำหนด
• ข้อ จ. (Levofloxacin มีความเสี่ยง QT prolongation สูงกว่า moxifloxacin): เป็น Respiratory Fluoroquinolone ครอบคลุมทั้ง Streptococcus pneumoniae, atypicals และ Pseudomonas aeruginosa ใช้รักษา CAP, complicated UTI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Pneumonia</t>
        </is>
      </c>
      <c r="M7" s="2" t="inlineStr">
        <is>
          <t>Clinic</t>
        </is>
      </c>
      <c r="N7" s="2" t="inlineStr">
        <is>
          <t>ข้อ 1.4 Mock Infectious RxCU84</t>
        </is>
      </c>
      <c r="O7" s="2" t="inlineStr">
        <is>
          <t>Mock</t>
        </is>
      </c>
      <c r="P7" s="2" t="inlineStr">
        <is>
          <t>Mock RxCU84</t>
        </is>
      </c>
    </row>
    <row r="8" ht="13.2" customHeight="1" s="37">
      <c r="A8" s="8" t="inlineStr">
        <is>
          <t>5</t>
        </is>
      </c>
      <c r="B8" s="2" t="inlineStr">
        <is>
          <t>ผู้ป่วยหญิงอายุ 67 ปี พิจารณาเรื่อง Black Box Warning ของยากลุ่ม fluoroquinolone
คำถาม: ผู้ป่วยหญิงอายุ 67 ปีรายนี้ จัดอยู่ในกลุ่มเสี่ยงสูงต่ออาการไม่พึงประสงค์ใดเป็นพิเศษ ตาม Black Box Warning ของ FDA หากได้รับยากลุ่ม fluoroquinolone?</t>
        </is>
      </c>
      <c r="C8" s="2" t="n"/>
      <c r="D8" s="2" t="inlineStr">
        <is>
          <t>Peripheral neuropathy ซึ่งพบเฉพาะในเด็ก</t>
        </is>
      </c>
      <c r="E8" s="2" t="inlineStr">
        <is>
          <t>Tendinitis/tendon rupture โดยเฉพาะในผู้มีอายุมากกว่า 60 ปี</t>
        </is>
      </c>
      <c r="F8" s="2" t="inlineStr">
        <is>
          <t>Tooth discoloration ถาวร</t>
        </is>
      </c>
      <c r="G8" s="2" t="inlineStr">
        <is>
          <t>Ototoxicity ที่ไม่สามารถย้อนกลับได้</t>
        </is>
      </c>
      <c r="H8" s="2" t="inlineStr">
        <is>
          <t>Fanconi syndrome</t>
        </is>
      </c>
      <c r="I8" s="8" t="inlineStr">
        <is>
          <t>2</t>
        </is>
      </c>
      <c r="J8" s="2" t="inlineStr">
        <is>
          <t>✅ คำตอบที่ถูกต้อง: ข้อ ข. Tendinitis/tendon rupture โดยเฉพาะในผู้มีอายุมากกว่า 60 ปี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Tendinitis/tendon rupture โดยเฉพาะในผู้มีอายุมากกว่า 60 ปี US FDA Black Box Warning ระบุชัดเจนว่าผู้ป่วยอายุ &gt;60 ปี เป็นกลุ่มที่มีความเสี่ยงสูงอย่างมีนัยสำคัญต่อการเกิดภาวะ Tendinitis และ Tendon rupture จากยากลุ่ม Fluoroquinolones ซึ่งอาจเกิดขึ้นได้ภายใน 48 ชั่วโมงแรกของการใช้ยา หรือหลังหยุดยาไปแล้วหลายเดือน ส่วน Tooth discoloration พบใน Tetracyclines และ Fanconi syndrome สัมพันธ์กับ Tetracycline ที่หมดอายุเสื่อมสภาพ
🔍 ข้ออื่นผิดเพราะอะไร:
• ข้อ ก. (Peripheral neuropathy ซึ่งพบเฉพาะในเด็ก): ข้อนี้ไม่ใช่คำตอบที่ถูกต้องสำหรับภาวะ Pneumonia เนื่องจากกลไกการออกฤทธิ์, efficacy หรือข้อบ่งใช้ไม่ตรงกับโจทย์ที่กำหนด
• ข้อ ค. (Tooth discoloration ถาวร): ข้อนี้ไม่ใช่คำตอบที่ถูกต้องสำหรับภาวะ Pneumonia เนื่องจากกลไกการออกฤทธิ์, efficacy หรือข้อบ่งใช้ไม่ตรงกับโจทย์ที่กำหนด
• ข้อ ง. (Ototoxicity ที่ไม่สามารถย้อนกลับได้): ข้อนี้ไม่ใช่คำตอบที่ถูกต้องสำหรับภาวะ Pneumonia เนื่องจากกลไกการออกฤทธิ์, efficacy หรือข้อบ่งใช้ไม่ตรงกับโจทย์ที่กำหนด
• ข้อ จ. (Fanconi syndrome): ข้อนี้ไม่ใช่คำตอบที่ถูกต้องสำหรับภาวะ Pneumonia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2" t="n"/>
      <c r="L8" s="2" t="inlineStr">
        <is>
          <t>Pneumonia</t>
        </is>
      </c>
      <c r="M8" s="2" t="inlineStr">
        <is>
          <t>Clinic</t>
        </is>
      </c>
      <c r="N8" s="2" t="inlineStr">
        <is>
          <t>ข้อ 1.5 Mock Infectious RxCU84</t>
        </is>
      </c>
      <c r="O8" s="2" t="inlineStr">
        <is>
          <t>Mock</t>
        </is>
      </c>
      <c r="P8" s="2" t="inlineStr">
        <is>
          <t>Mock RxCU84</t>
        </is>
      </c>
    </row>
    <row r="9" ht="13.2" customHeight="1" s="37">
      <c r="A9" s="8" t="inlineStr">
        <is>
          <t>6</t>
        </is>
      </c>
      <c r="B9" s="2" t="inlineStr">
        <is>
          <t>ผู้ป่วยชายอายุ 25 ปี ไม่มีโรคประจำตัว ไม่มีประวัติแพ้ยา มาด้วยอาการเจ็บคอเล็กน้อย คัดจมูก น้ำมูกใส และจามมา 2 วัน ไม่มีไข้ ไม่มีไอ ไม่มีหายใจลำบาก รับประทานอาหารได้ตามปกติ ตรวจพบต่อมทอนซิลไม่บวม ไม่มีหนอง และไม่มีต่อมน้ำเหลืองบริเวณคอโต ผู้ป่วยขอซื้อ 'ยาแก้อักเสบ' (หมายถึง amoxicillin)
คำถาม: ผู้ป่วยรายนี้ได้คะแนน Centor/McIsaac criteria เท่าใด และแนวทางจัดการอย่างไรจึงจะเหมาะสมที่สุด?</t>
        </is>
      </c>
      <c r="C9" s="2" t="n"/>
      <c r="D9" s="2" t="inlineStr">
        <is>
          <t>0 คะแนน ให้ยาปฏิชีวนะได้ทันที</t>
        </is>
      </c>
      <c r="E9" s="2" t="inlineStr">
        <is>
          <t>1 คะแนน แนะนำรักษาตามอาการและไม่จ่ายยาปฏิชีวนะ</t>
        </is>
      </c>
      <c r="F9" s="2" t="inlineStr">
        <is>
          <t>2 คะแนน ควรส่งตรวจ RADT ก่อนให้ยา</t>
        </is>
      </c>
      <c r="G9" s="2" t="inlineStr">
        <is>
          <t>3 คะแนน พิจารณาให้ Azithromycin นาน 5 วัน</t>
        </is>
      </c>
      <c r="H9" s="2" t="inlineStr">
        <is>
          <t>4 คะแนน พิจารณาให้ Amoxicillin นาน 10 วัน</t>
        </is>
      </c>
      <c r="I9" s="8" t="inlineStr">
        <is>
          <t>2</t>
        </is>
      </c>
      <c r="J9" s="2" t="inlineStr">
        <is>
          <t>✅ คำตอบที่ถูกต้อง: ข้อ ข. 1 คะแนน แนะนำรักษาตามอาการและไม่จ่ายยาปฏิชีวนะ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1 คะแนน แนะนำรักษาตามอาการและไม่จ่ายยาปฏิชีวนะ การประเมิน Centor/McIsaac criteria: 1) ไข้ &gt;38°C (ไม่มี = 0), 2) ไม่มีอาการไอ (มีไอ = 0, ไม่มีไอ = 1), 3) ต่อมทอนซิลบวม/มีหนอง (ไม่มี = 0), 4) ต่อมน้ำเหลืองที่คอด้านหน้าโต/กดเจ็บ (ไม่มี = 0), 5) อายุ 15-44 ปี (0 คะแนน) รวมได้ 1 คะแนน ซึ่งจัดอยู่ในกลุ่มความเสี่ยงต่ำมากต่อการติดเชื้อแบคทีเรีย Group A Streptococcus (GAS) จึงไม่จำเป็นต้องตรวจทางห้องปฏิบัติการเพิ่มเติม และแนะนำให้การรักษาประคับประคองตามอาการ (Symptomatic treatment) โดยไม่จ่ายยาปฏิชีวนะ
🔍 ข้ออื่นผิดเพราะอะไร:
• ข้อ ก. (0 คะแนน ให้ยาปฏิชีวนะได้ทันที): ข้อนี้ไม่ใช่คำตอบที่ถูกต้องสำหรับภาวะ URTI เนื่องจากกลไกการออกฤทธิ์, efficacy หรือข้อบ่งใช้ไม่ตรงกับโจทย์ที่กำหนด
• ข้อ ค. (2 คะแนน ควรส่งตรวจ RADT ก่อนให้ยา): วัคซีนรวมคอตีบ-บาดทะยัก ฉีดกระตุ้นทุก 10 ปี หรือใช้ในหญิงตั้งครรภ์และผู้ใหญ่
• ข้อ ง. (3 คะแนน พิจารณาให้ Azithromycin นาน 5 วัน): เป็น Macrolide ครอบคลุม atypical pathogens (Mycoplasma, Chlamydia, Legionella) ขจัดออกทางตับเป็นหลัก และมี half-life ยาวนาน (~68 ชม.)
• ข้อ จ. (4 คะแนน พิจารณาให้ Amoxicillin นาน 10 วัน): เป็น Aminopenicillin ยับยั้ง bacterial cell wall synthesis เป็น first-line สำหรับ uncomplicated bacterial infections (เช่น Strep pharyngitis, AOM, sinusitis)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n"/>
      <c r="L9" s="2" t="inlineStr">
        <is>
          <t>URTI</t>
        </is>
      </c>
      <c r="M9" s="2" t="inlineStr">
        <is>
          <t>Clinic</t>
        </is>
      </c>
      <c r="N9" s="2" t="inlineStr">
        <is>
          <t>ข้อ 2.1 Mock Infectious RxCU84</t>
        </is>
      </c>
      <c r="O9" s="2" t="inlineStr">
        <is>
          <t>Mock</t>
        </is>
      </c>
      <c r="P9" s="2" t="inlineStr">
        <is>
          <t>Mock RxCU84</t>
        </is>
      </c>
    </row>
    <row r="10" ht="13.2" customHeight="1" s="37">
      <c r="A10" s="8" t="inlineStr">
        <is>
          <t>7</t>
        </is>
      </c>
      <c r="B10" s="2" t="inlineStr">
        <is>
          <t>ผู้ป่วยชายอายุ 25 ปี เจ็บคอจากหวัดไวรัส ขอซื้อ Amoxicillin ที่ร้านยา
คำถาม: ควรให้ข้อมูลเพื่อแก้ไขความเข้าใจที่คลาดเคลื่อนของผู้ป่วยและให้คำแนะนำในการดูแลตนเองอย่างไรจึงจะเหมาะสมที่สุด?</t>
        </is>
      </c>
      <c r="C10" s="2" t="n"/>
      <c r="D10" s="2" t="inlineStr">
        <is>
          <t>จ่าย Amoxicillin ตามความต้องการเพื่อเพิ่มความพึงพอใจและป้องกันโรคแทรกซ้อน</t>
        </is>
      </c>
      <c r="E10" s="2" t="inlineStr">
        <is>
          <t>อธิบายว่าอาการเจ็บคอจากไวรัสต้องใช้ Amoxicillin ควบคู่กับน้ำเกลือล้างจมูก</t>
        </is>
      </c>
      <c r="F10" s="2" t="inlineStr">
        <is>
          <t>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t>
        </is>
      </c>
      <c r="G10" s="2" t="inlineStr">
        <is>
          <t>แนะนำให้ผู้ป่วยเปลี่ยนไปใช้ยาปฏิชีวนะกลุ่มที่แรงกว่า เช่น Roxithromycin เพื่อให้หายไวขึ้น</t>
        </is>
      </c>
      <c r="H10" s="2" t="inlineStr">
        <is>
          <t>แนะนำให้ผู้ป่วยตรวจ ATK และไปโรงพยาบาลเนื่องจากอาการเข้าข่าย Covid-19</t>
        </is>
      </c>
      <c r="I10" s="8" t="inlineStr">
        <is>
          <t>3</t>
        </is>
      </c>
      <c r="J10" s="2" t="inlineStr">
        <is>
          <t>✅ คำตอบที่ถูกต้อง: ข้อ ค.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อาการหวัดและคอหอยอักเสบส่วนใหญ่ (&gt;80-90%) เกิดจากการติดเชื้อไวรัส (Common cold virus) ซึ่ง Amoxicillin เป็นยาต้านแบคทีเรีย (Antibacterial agent) ไม่มีฤทธิ์ฆ่าเชื้อไวรัส การใช้ยาปฏิชีวนะในโรคหวัดไม่ช่วยให้หายเร็วขึ้น และยังเพิ่มความเสี่ยงต่อการเกิดเชื้อดื้อยา รวมถึง ADR จากยา เภสัชกรจึงต้องสื่อสารให้ผู้ป่วยเข้าใจบทบาทของยาและเน้นการรักษาตามอาการ พักผ่อน ดื่มน้ำอุ่น และดูแลสุขภาพ
🔍 ข้ออื่นผิดเพราะอะไร:
• ข้อ ก. (จ่าย Amoxicillin ตามความต้องการเพื่อเพิ่มความพึงพอใจและป้องกันโรคแทรกซ้อน): เป็น Aminopenicillin ยับยั้ง bacterial cell wall synthesis เป็น first-line สำหรับ uncomplicated bacterial infections (เช่น Strep pharyngitis, AOM, sinusitis)
• ข้อ ข. (อธิบายว่าอาการเจ็บคอจากไวรัสต้องใช้ Amoxicillin ควบคู่กับน้ำเกลือล้างจมูก): เป็น Aminopenicillin ยับยั้ง bacterial cell wall synthesis เป็น first-line สำหรับ uncomplicated bacterial infections (เช่น Strep pharyngitis, AOM, sinusitis)
• ข้อ ง. (แนะนำให้ผู้ป่วยเปลี่ยนไปใช้ยาปฏิชีวนะกลุ่มที่แรงกว่า เช่น Roxithromycin เพื่อให้หายไวขึ้น): ข้อนี้ไม่ใช่คำตอบที่ถูกต้องสำหรับภาวะ URTI เนื่องจากกลไกการออกฤทธิ์, efficacy หรือข้อบ่งใช้ไม่ตรงกับโจทย์ที่กำหนด
• ข้อ จ. (แนะนำให้ผู้ป่วยตรวจ ATK และไปโรงพยาบาลเนื่องจากอาการเข้าข่าย Covid-19): ข้อนี้ไม่ใช่คำตอบที่ถูกต้องสำหรับภาวะ URTI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URTI</t>
        </is>
      </c>
      <c r="M10" s="2" t="inlineStr">
        <is>
          <t>Clinic</t>
        </is>
      </c>
      <c r="N10" s="2" t="inlineStr">
        <is>
          <t>ข้อ 2.2 Mock Infectious RxCU84</t>
        </is>
      </c>
      <c r="O10" s="2" t="inlineStr">
        <is>
          <t>Mock</t>
        </is>
      </c>
      <c r="P10" s="2" t="inlineStr">
        <is>
          <t>Mock RxCU84</t>
        </is>
      </c>
    </row>
    <row r="11" ht="13.2" customHeight="1" s="37">
      <c r="A11" s="8" t="inlineStr">
        <is>
          <t>8</t>
        </is>
      </c>
      <c r="B11" s="2" t="inlineStr">
        <is>
          <t>กรณีผู้ป่วยจำเป็นต้องได้รับยา Doxycycline สำหรับการติดเชื้อแบคทีเรียทางเดินหายใจ
คำถาม: สมมติผู้ป่วยรายนี้มีอาการเข้าได้กับการติดเชื้อจาก atypical pathogen และจำเป็นต้องได้รับ doxycycline คำแนะนำการรับประทานยาข้อใดถูกต้องที่สุด?</t>
        </is>
      </c>
      <c r="C11" s="2" t="n"/>
      <c r="D11" s="2" t="inlineStr">
        <is>
          <t>งดอาหารทุกชนิดก่อนกินยาอย่างน้อย 1 ชั่วโมงเสมอ</t>
        </is>
      </c>
      <c r="E11" s="2" t="inlineStr">
        <is>
          <t>ดื่มน้ำเต็มแก้ว ไม่นอนราบทันทีหลังกินยาอย่างน้อย 30 นาที และเลี่ยงนม/ยาลดกรด/ธาตุเหล็กใกล้เวลากินยา</t>
        </is>
      </c>
      <c r="F11" s="2" t="inlineStr">
        <is>
          <t>ต้องกินคู่กับนมเสมอเพื่อลดการระคายเคืองกระเพาะ</t>
        </is>
      </c>
      <c r="G11" s="2" t="inlineStr">
        <is>
          <t>ไม่มีข้อจำกัดเรื่องอาหารเลย เพราะ doxycycline ถูกรบกวนการดูดซึมจากอาหารเท่ากับ tetracycline รุ่นเก่า</t>
        </is>
      </c>
      <c r="H11" s="2" t="inlineStr">
        <is>
          <t>ต้องกินก่อนอาหารเท่านั้นห้ามกินหลังอาหาร</t>
        </is>
      </c>
      <c r="I11" s="8" t="inlineStr">
        <is>
          <t>2</t>
        </is>
      </c>
      <c r="J11" s="2" t="inlineStr">
        <is>
          <t>✅ คำตอบที่ถูกต้อง: ข้อ ข. ดื่มน้ำเต็มแก้ว ไม่นอนราบทันทีหลังกินยาอย่างน้อย 30 นาที และเลี่ยงนม/ยาลดกรด/ธาตุเหล็กใกล้เวลากินยา
💡 Background:
การดูแลผู้ติดเชื้อ HIV เน้นเริ่ม Antiretroviral Therapy (ART) ทันทีเพื่อกด viral load ให้ undetectable (U=U) และฟื้นฟูระบบภูมิคุ้มกัน
🎯 ทำไมข้อนี้ถึงถูก:
ดื่มน้ำเต็มแก้ว ไม่นอนราบทันทีหลังกินยาอย่างน้อย 30 นาที และเลี่ยงนม/ยาลดกรด/ธาตุเหล็กใกล้เวลากินยา Doxycycline ระคายเคืองหลอดอาหารสูงมาก สามารถทำให้เกิดหลอดอาหารอักเสบเป็นแผล (Pill-induced esophagitis/esophageal ulceration) จึงต้องรับประทานพร้อมน้ำดื่มเต็มแก้ว (อย่างน้อย 200-250 mL) และห้ามนอนราบทันทีอย่างน้อย 30 นาทีหลังรับประทานยา นอกจากนี้ควรเว้นระยะห่างจากนม ยาลดกรด หรือแร่ธาตุที่มีประจุบวก (Ca, Mg, Al, Fe) อย่างน้อย 2 ชั่วโมง เพื่อป้องกันการเกิด Chelation
🔍 ข้ออื่นผิดเพราะอะไร:
• ข้อ ก. (งดอาหารทุกชนิดก่อนกินยาอย่างน้อย 1 ชั่วโมงเสมอ): ข้อนี้ไม่ใช่คำตอบที่ถูกต้องสำหรับภาวะ HIV infection เนื่องจากกลไกการออกฤทธิ์, efficacy หรือข้อบ่งใช้ไม่ตรงกับโจทย์ที่กำหนด
• ข้อ ค. (ต้องกินคู่กับนมเสมอเพื่อลดการระคายเคืองกระเพาะ): ข้อนี้ไม่ใช่คำตอบที่ถูกต้องสำหรับภาวะ HIV infection เนื่องจากกลไกการออกฤทธิ์, efficacy หรือข้อบ่งใช้ไม่ตรงกับโจทย์ที่กำหนด
• ข้อ ง. (ไม่มีข้อจำกัดเรื่องอาหารเลย เพราะ doxycycline ถูกรบกวนการดูดซึมจากอาหารเท่ากับ tetracycline รุ่นเก่า): เป็น Tetracycline ครอบคลุม atypicals, rickettsia, scrub typhus, leptospirosis และ CA-MRSA ห้ามใช้ในเด็กอายุ &lt; 8 ปี และหญิงตั้งครรภ์ (ฟันเหลือง กระดูกเจริญช้า)
• ข้อ จ. (ต้องกินก่อนอาหารเท่านั้นห้ามกินหลังอาหาร):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 s="2" t="n"/>
      <c r="L11" s="2" t="inlineStr">
        <is>
          <t>HIV infection</t>
        </is>
      </c>
      <c r="M11" s="2" t="inlineStr">
        <is>
          <t>Clinic</t>
        </is>
      </c>
      <c r="N11" s="2" t="inlineStr">
        <is>
          <t>ข้อ 2.3 Mock Infectious RxCU84</t>
        </is>
      </c>
      <c r="O11" s="2" t="inlineStr">
        <is>
          <t>Mock</t>
        </is>
      </c>
      <c r="P11" s="2" t="inlineStr">
        <is>
          <t>Mock RxCU84</t>
        </is>
      </c>
    </row>
    <row r="12" ht="13.2" customHeight="1" s="37">
      <c r="A12" s="8" t="inlineStr">
        <is>
          <t>9</t>
        </is>
      </c>
      <c r="B12" s="2" t="inlineStr">
        <is>
          <t>ความรู้ด้านเภสัชวิทยาเกี่ยวกับกลไกการออกฤทธิ์ของ Fluoroquinolones ในโรคติดเชื้อทางเดินหายใจ
คำถาม: กลไกการออกฤทธิ์ของ fluoroquinolone ในข้อใดอธิบายได้ถูกต้องว่าเหตุใดยานี้จึงไม่มีประโยชน์ในการรักษาโรคหวัดจากไวรัส?</t>
        </is>
      </c>
      <c r="C12" s="2" t="n"/>
      <c r="D12" s="2" t="inlineStr">
        <is>
          <t>ยับยั้ง DNA gyrase/topoisomerase IV ของแบคทีเรีย ซึ่งเป็นเป้าหมายที่ไม่มีอยู่ในไวรัส</t>
        </is>
      </c>
      <c r="E12" s="2" t="inlineStr">
        <is>
          <t>ยับยั้ง 30S ribosomal subunit ของไวรัส</t>
        </is>
      </c>
      <c r="F12" s="2" t="inlineStr">
        <is>
          <t>ยับยั้งการสร้าง capsid ของไวรัสโดยตรง</t>
        </is>
      </c>
      <c r="G12" s="2" t="inlineStr">
        <is>
          <t>ออกฤทธิ์เป็น bacteriostatic เท่านั้น จึงไม่มีฤทธิ์ฆ่าเชื้อใดๆ</t>
        </is>
      </c>
      <c r="H12" s="2" t="inlineStr">
        <is>
          <t>ต้องใช้ร่วมกับ macrolide เสมอจึงจะออกฤทธิ์ต่อไวรัสได้</t>
        </is>
      </c>
      <c r="I12" s="8" t="inlineStr">
        <is>
          <t>1</t>
        </is>
      </c>
      <c r="J12" s="2" t="inlineStr">
        <is>
          <t>✅ คำตอบที่ถูกต้อง: ข้อ ก. ยับยั้ง DNA gyrase/topoisomerase IV ของแบคทีเรีย ซึ่งเป็นเป้าหมายที่ไม่มีอยู่ในไวรัส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ยับยั้ง DNA gyrase/topoisomerase IV ของแบคทีเรีย ซึ่งเป็นเป้าหมายที่ไม่มีอยู่ในไวรัส ยากลุ่ม Fluoroquinolones ออกฤทธิ์ยับยั้งเอนไซม์ Bacterial DNA gyrase (Topoisomerase II) และ Topoisomerase IV ซึ่งเป็นเอนไซม์จำเพาะที่จำเป็นต่อการคลายเกลียวและจำลองสารพันธุกรรมของแบคทีเรีย ไวรัสไม่มีเอนไซม์เป้าหมายโครงสร้างนี้ ยาจึงไม่มีฤทธิ์ยับยั้งหรือทำลายไวรัสโดยสิ้นเชิง
🔍 ข้ออื่นผิดเพราะอะไร:
• ข้อ ข. (ยับยั้ง 30S ribosomal subunit ของไวรัส): ข้อนี้ไม่ใช่คำตอบที่ถูกต้องสำหรับภาวะ URTI เนื่องจากกลไกการออกฤทธิ์, efficacy หรือข้อบ่งใช้ไม่ตรงกับโจทย์ที่กำหนด
• ข้อ ค. (ยับยั้งการสร้าง capsid ของไวรัสโดยตรง): ข้อนี้ไม่ใช่คำตอบที่ถูกต้องสำหรับภาวะ URTI เนื่องจากกลไกการออกฤทธิ์, efficacy หรือข้อบ่งใช้ไม่ตรงกับโจทย์ที่กำหนด
• ข้อ ง. (ออกฤทธิ์เป็น bacteriostatic เท่านั้น จึงไม่มีฤทธิ์ฆ่าเชื้อใดๆ): ข้อนี้ไม่ใช่คำตอบที่ถูกต้องสำหรับภาวะ URTI เนื่องจากกลไกการออกฤทธิ์, efficacy หรือข้อบ่งใช้ไม่ตรงกับโจทย์ที่กำหนด
• ข้อ จ. (ต้องใช้ร่วมกับ macrolide เสมอจึงจะออกฤทธิ์ต่อไวรัสได้): ข้อนี้ไม่ใช่คำตอบที่ถูกต้องสำหรับภาวะ URTI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URTI</t>
        </is>
      </c>
      <c r="M12" s="2" t="inlineStr">
        <is>
          <t>Clinic</t>
        </is>
      </c>
      <c r="N12" s="2" t="inlineStr">
        <is>
          <t>ข้อ 2.4 Mock Infectious RxCU84</t>
        </is>
      </c>
      <c r="O12" s="2" t="inlineStr">
        <is>
          <t>Mock</t>
        </is>
      </c>
      <c r="P12" s="2" t="inlineStr">
        <is>
          <t>Mock RxCU84</t>
        </is>
      </c>
    </row>
    <row r="13" ht="13.2" customHeight="1" s="37">
      <c r="A13" s="8" t="inlineStr">
        <is>
          <t>10</t>
        </is>
      </c>
      <c r="B13" s="2" t="inlineStr">
        <is>
          <t>ผู้ป่วยหญิงอายุ 31 ปี ไม่มีโรคประจำตัว ไม่มีประวัติแพ้ยา กำลังตั้งครรภ์ มาโรงพยาบาลด้วยอาการตัวร้อน (อุณหภูมิร่างกาย 38.0 องศาเซลเซียส) ไอแห้ง ปวดครั่นเนื้อครั่นตัว กินอะไรไม่ค่อยได้ รู้สึกเวียนหัวคลื่นไส้ เริ่มเป็นเมื่อวาน ตรวจ Rapid Test Kit พบว่า COVID-19 Negative, Flu A Negative แต่ Flu B Positive
คำถาม: ผู้ป่วยรายนี้ ควรรักษาด้วยยาต้านไวรัสชนิดใดและขนาดเท่าใดจึงจะเหมาะสมที่สุด?</t>
        </is>
      </c>
      <c r="C13" s="2" t="n"/>
      <c r="D13" s="2" t="inlineStr">
        <is>
          <t>Oseltamivir 75 mg BID นาน 5 วัน</t>
        </is>
      </c>
      <c r="E13" s="2" t="inlineStr">
        <is>
          <t>Baloxavir marboxil 40 mg single dose</t>
        </is>
      </c>
      <c r="F13" s="2" t="inlineStr">
        <is>
          <t>Favipiravir 1,600 mg BID วันแรก</t>
        </is>
      </c>
      <c r="G13" s="2" t="inlineStr">
        <is>
          <t>Oseltamivir 150 mg BID นาน 5 วัน</t>
        </is>
      </c>
      <c r="H13" s="2" t="inlineStr">
        <is>
          <t>Amoxicillin/Clavulanate 1,000 mg BID นาน 10 วัน</t>
        </is>
      </c>
      <c r="I13" s="8" t="inlineStr">
        <is>
          <t>1</t>
        </is>
      </c>
      <c r="J13" s="2" t="inlineStr">
        <is>
          <t>✅ คำตอบที่ถูกต้อง: ข้อ ก. Oseltamivir 75 mg BID นาน 5 วัน
💡 Background:
การดูแลผู้ติดเชื้อ HIV เน้นเริ่ม Antiretroviral Therapy (ART) ทันทีเพื่อกด viral load ให้ undetectable (U=U) และฟื้นฟูระบบภูมิคุ้มกัน
🎯 ทำไมข้อนี้ถึงถูก:
Oseltamivir 75 mg BID นาน 5 วัน หญิงตั้งครรภ์ถือเป็นกลุ่มเสี่ยงสูง (High risk) ต่อการเกิดภาวะแทรกซ้อนรุนแรงจากไข้หวัดใหญ่ Guideline (CDC/WHO/ACOG) แนะนำให้เริ่มยาต้านไวรัสกลุ่ม Neuraminidase inhibitor โดยเร็วที่สุด ยา first-line ที่ปลอดภัยและมีข้อมูล safety มากที่สุดในหญิงตั้งครรภ์ทุกไตรมาสคือ Oseltamivir 75 mg รับประทานวันละ 2 ครั้ง เป็นเวลา 5 วัน ส่วน Baloxavir ยังไม่มีข้อมูล safety เพียงพอในหญิงตั้งครรภ์ และ Favipiravir มีผล teratogenic ห้ามใช้ในหญิงตั้งครรภ์เด็ดขาด
🔍 ข้ออื่นผิดเพราะอะไร:
• ข้อ ข. (Baloxavir marboxil 40 mg single dose): ข้อนี้ไม่ใช่คำตอบที่ถูกต้องสำหรับภาวะ HIV infection เนื่องจากกลไกการออกฤทธิ์, efficacy หรือข้อบ่งใช้ไม่ตรงกับโจทย์ที่กำหนด
• ข้อ ค. (Favipiravir 1,600 mg BID วันแรก): ข้อนี้ไม่ใช่คำตอบที่ถูกต้องสำหรับภาวะ HIV infection เนื่องจากกลไกการออกฤทธิ์, efficacy หรือข้อบ่งใช้ไม่ตรงกับโจทย์ที่กำหนด
• ข้อ ง. (Oseltamivir 150 mg BID นาน 5 วัน):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ข้อ จ. (Amoxicillin/Clavulanate 1,000 mg BID นาน 10 วัน):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 s="2" t="n"/>
      <c r="L13" s="2" t="inlineStr">
        <is>
          <t>HIV infection</t>
        </is>
      </c>
      <c r="M13" s="2" t="inlineStr">
        <is>
          <t>Clinic</t>
        </is>
      </c>
      <c r="N13" s="2" t="inlineStr">
        <is>
          <t>ข้อ 3.1 Mock Infectious RxCU84</t>
        </is>
      </c>
      <c r="O13" s="2" t="inlineStr">
        <is>
          <t>Mock</t>
        </is>
      </c>
      <c r="P13" s="2" t="inlineStr">
        <is>
          <t>Mock RxCU84</t>
        </is>
      </c>
    </row>
    <row r="14" ht="13.2" customHeight="1" s="37">
      <c r="A14" s="8" t="inlineStr">
        <is>
          <t>11</t>
        </is>
      </c>
      <c r="B14" s="2" t="inlineStr">
        <is>
          <t>ผู้ป่วยหญิงตั้งครรภ์ติดเชื้อไข้หวัดใหญ่ ปรึกษาคำแนะนำด้านวัคซีนและการป้องกัน
คำถาม: ควรให้คำแนะนำแก่ผู้ป่วยรายนี้เกี่ยวกับการป้องกันและภาวะแทรกซ้อนอย่างไร?</t>
        </is>
      </c>
      <c r="C14" s="2" t="n"/>
      <c r="D14" s="2" t="inlineStr">
        <is>
          <t>หญิงตั้งครรภ์มีความเสี่ยงต่อภาวะแทรกซ้อนเท่ากับคนปกติทั่วไป จึงไม่ต้องกังวลเป็นพิเศษ</t>
        </is>
      </c>
      <c r="E14" s="2" t="inlineStr">
        <is>
          <t>แนะนำให้พ่นวัคซีนป้องกันไข้หวัดใหญ่ชนิดเชื้ออ่อนฤทธิ์ (LAIV) ทันทีหลังหายป่วย</t>
        </is>
      </c>
      <c r="F14" s="2" t="inlineStr">
        <is>
          <t>วัคซีนไข้หวัดใหญ่ชนิดเชื้อตาย (IIV) สามารถฉีดได้ทุกไตรมาสของการตั้งครรภ์เพื่อป้องกันความรุนแรงของโรค</t>
        </is>
      </c>
      <c r="G14" s="2" t="inlineStr">
        <is>
          <t>หากคนในครอบครัวสัมผัสโรค แนะนำให้รับประทานยา Oseltamivir ป้องกันทันทีก่อนเริ่มมีอาการ</t>
        </is>
      </c>
      <c r="H14" s="2" t="inlineStr">
        <is>
          <t>ยาต้านไวรัส Oseltamivir ปลอดภัยสูงและสามารถใช้ร่วมกับการให้นมบุตรได้โดยไม่มีข้อจำกัด</t>
        </is>
      </c>
      <c r="I14" s="8" t="inlineStr">
        <is>
          <t>3</t>
        </is>
      </c>
      <c r="J14" s="2" t="inlineStr">
        <is>
          <t>✅ คำตอบที่ถูกต้อง: ข้อ ค. วัคซีนไข้หวัดใหญ่ชนิดเชื้อตาย (IIV) สามารถฉีดได้ทุกไตรมาสของการตั้งครรภ์เพื่อป้องกันความรุนแรงของโรค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วัคซีนไข้หวัดใหญ่ชนิดเชื้อตาย (IIV) สามารถฉีดได้ทุกไตรมาสของการตั้งครรภ์เพื่อป้องกันความรุนแรงของโรค วัคซีนไข้หวัดใหญ่ชนิดเชื้อตาย (Inactivated Influenza Vaccine: IIV) มี safety สูงและแนะนำให้ฉีดในหญิงตั้งครรภ์ได้ทุกช่วงอายุครรภ์ (ทุกไตรมาส) ซึ่งนอกจากจะปกป้องมารดาจากภาวะแทรกซ้อนรุนแรงแล้ว แอนติบอดี (IgG) ยังส่งผ่านรกไปปกป้องทารกแรกเกิดได้นานถึง 6 เดือนแรกหลังคลอด สำหรับวัคซีนชนิดพ่นจมูกเชื้อเป็นอ่อนฤทธิ์ (Live Attenuated Influenza Vaccine: LAIV) เป็น contraindication เด็ดขาดในหญิงตั้งครรภ์
🔍 ข้ออื่นผิดเพราะอะไร:
• ข้อ ก. (หญิงตั้งครรภ์มีความเสี่ยงต่อภาวะแทรกซ้อนเท่ากับคนปกติทั่วไป จึงไม่ต้องกังวลเป็นพิเศษ): ข้อนี้ไม่ใช่คำตอบที่ถูกต้องสำหรับภาวะ URTI เนื่องจากกลไกการออกฤทธิ์, efficacy หรือข้อบ่งใช้ไม่ตรงกับโจทย์ที่กำหนด
• ข้อ ข. (แนะนำให้พ่นวัคซีนป้องกันไข้หวัดใหญ่ชนิดเชื้ออ่อนฤทธิ์ (LAIV) ทันทีหลังหายป่วย): ข้อนี้ไม่ใช่คำตอบที่ถูกต้องสำหรับภาวะ URTI เนื่องจากกลไกการออกฤทธิ์, efficacy หรือข้อบ่งใช้ไม่ตรงกับโจทย์ที่กำหนด
• ข้อ ง. (หากคนในครอบครัวสัมผัสโรค แนะนำให้รับประทานยา Oseltamivir ป้องกันทันทีก่อนเริ่มมีอาการ):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ข้อ จ. (ยาต้านไวรัส Oseltamivir ปลอดภัยสูงและสามารถใช้ร่วมกับการให้นมบุตรได้โดยไม่มีข้อจำกัด):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2" t="n"/>
      <c r="L14" s="2" t="inlineStr">
        <is>
          <t>URTI</t>
        </is>
      </c>
      <c r="M14" s="2" t="inlineStr">
        <is>
          <t>Clinic</t>
        </is>
      </c>
      <c r="N14" s="2" t="inlineStr">
        <is>
          <t>ข้อ 3.2 Mock Infectious RxCU84</t>
        </is>
      </c>
      <c r="O14" s="2" t="inlineStr">
        <is>
          <t>Mock</t>
        </is>
      </c>
      <c r="P14" s="2" t="inlineStr">
        <is>
          <t>Mock RxCU84</t>
        </is>
      </c>
    </row>
    <row r="15" ht="13.2" customHeight="1" s="37">
      <c r="A15" s="8" t="inlineStr">
        <is>
          <t>12</t>
        </is>
      </c>
      <c r="B15" s="2" t="inlineStr">
        <is>
          <t>ผู้ป่วยหญิงอายุ 30 ปี ไม่มีโรคประจำตัว ไม่มีประวัติแพ้ยา มาร้านยาด้วยอาการปัสสาวะแสบขัด ปวดแสบขัดปัสสาวะมา 2 วัน ไม่มีไข้ ไม่มีปวดบริเวณสีข้าง (Flank) ไม่มีปัสสาวะเป็นเลือด สัปดาห์ก่อนเดินทางไปประเทศอินเดียและมักกลั้นปัสสาวะรวมทั้งดื่มน้ำน้อยระหว่างการเดินทาง
คำถาม: จากข้อมูลประวัติและการประเมินเบื้องต้นข้างต้น ข้อใดคือการวินิจฉัยและจำแนกประเภทภาวะติดเชื้อทางเดินปัสสาวะของผู้ป่วยรายนี้ได้ถูกต้องที่สุด?</t>
        </is>
      </c>
      <c r="C15" s="2" t="n"/>
      <c r="D15" s="2" t="inlineStr">
        <is>
          <t>Acute uncomplicated cystitis</t>
        </is>
      </c>
      <c r="E15" s="2" t="inlineStr">
        <is>
          <t>Acute complicated cystitis</t>
        </is>
      </c>
      <c r="F15" s="2" t="inlineStr">
        <is>
          <t>Acute uncomplicated pyelonephritis</t>
        </is>
      </c>
      <c r="G15" s="2" t="inlineStr">
        <is>
          <t>Complicated urinary tract infection</t>
        </is>
      </c>
      <c r="H15" s="2" t="inlineStr">
        <is>
          <t>Asymptomatic bacteriuria</t>
        </is>
      </c>
      <c r="I15" s="8" t="inlineStr">
        <is>
          <t>1</t>
        </is>
      </c>
      <c r="J15" s="2" t="inlineStr">
        <is>
          <t>✅ คำตอบที่ถูกต้อง: ข้อ ก. Acute uncomplicated cystitis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Acute uncomplicated cystitis ผู้ป่วยเป็นเพศหญิงวัยเจริญพันธุ์ ไม่มีโรคประจำตัว ไม่ได้ตั้งครรภ์ และไม่มีความผิดปกติทางกายวิภาคหรือระบบทางเดินปัสสาวะ อาการแสดงจำกัดเฉพาะทางเดินปัสสาวะส่วนล่าง (Dysuria, frequency) ไม่มีไข้ ไม่มีอาการปวดบั้นเอวหรือเคาะเจ็บ CVA tenderness จึงวินิจฉัยเป็น Acute uncomplicated cystitis (กระเพาะปัสสาวะอักเสบเฉียบพลันชนิดไม่ซับซ้อน)
🔍 ข้ออื่นผิดเพราะอะไร:
• ข้อ ข. (Acute complicated cystitis): ข้อนี้ไม่ใช่คำตอบที่ถูกต้องสำหรับภาวะ Cystitis เนื่องจากกลไกการออกฤทธิ์, efficacy หรือข้อบ่งใช้ไม่ตรงกับโจทย์ที่กำหนด
• ข้อ ค. (Acute uncomplicated pyelonephritis): ข้อนี้ไม่ใช่คำตอบที่ถูกต้องสำหรับภาวะ Cystitis เนื่องจากกลไกการออกฤทธิ์, efficacy หรือข้อบ่งใช้ไม่ตรงกับโจทย์ที่กำหนด
• ข้อ ง. (Complicated urinary tract infection): ข้อนี้ไม่ใช่คำตอบที่ถูกต้องสำหรับภาวะ Cystitis เนื่องจากกลไกการออกฤทธิ์, efficacy หรือข้อบ่งใช้ไม่ตรงกับโจทย์ที่กำหนด
• ข้อ จ. (Asymptomatic bacteriuria): ข้อนี้ไม่ใช่คำตอบที่ถูกต้องสำหรับภาวะ Cystitis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n"/>
      <c r="L15" s="2" t="inlineStr">
        <is>
          <t>Cystitis</t>
        </is>
      </c>
      <c r="M15" s="2" t="inlineStr">
        <is>
          <t>Clinic</t>
        </is>
      </c>
      <c r="N15" s="2" t="inlineStr">
        <is>
          <t>ข้อ 4.1 Mock Infectious RxCU84</t>
        </is>
      </c>
      <c r="O15" s="2" t="inlineStr">
        <is>
          <t>Mock</t>
        </is>
      </c>
      <c r="P15" s="2" t="inlineStr">
        <is>
          <t>Mock RxCU84</t>
        </is>
      </c>
    </row>
    <row r="16" ht="13.2" customHeight="1" s="37">
      <c r="A16" s="8" t="inlineStr">
        <is>
          <t>13</t>
        </is>
      </c>
      <c r="B16" s="2" t="inlineStr">
        <is>
          <t>ผู้ป่วยหญิงอายุ 30 ปี วินิจฉัยเป็น Acute uncomplicated cystitis
คำถาม: หากอ้างอิงตามแนวทางเวชปฏิบัติสากล (IDSA Guidelines) ข้อใดคือยารักษาอันดับแรก (First-line empiric oral therapy) ที่เหมาะสมที่สุดสำหรับผู้ป่วยรายนี้?</t>
        </is>
      </c>
      <c r="C16" s="2" t="n"/>
      <c r="D16" s="2" t="inlineStr">
        <is>
          <t>Ciprofloxacin 500 mg รับประทานวันละ 2 ครั้ง เป็นเวลา 7 วัน</t>
        </is>
      </c>
      <c r="E16" s="2" t="inlineStr">
        <is>
          <t>Nitrofurantoin monohydrate/macrocrystals 100 mg รับประทานวันละ 2 ครั้ง พร้อมอาหาร เป็นเวลา 5 วัน</t>
        </is>
      </c>
      <c r="F16" s="2" t="inlineStr">
        <is>
          <t>Amoxicillin 500 mg รับประทานวันละ 3 ครั้ง หลังอาหาร เป็นเวลา 7 วัน</t>
        </is>
      </c>
      <c r="G16" s="2" t="inlineStr">
        <is>
          <t>Ceftriaxone 1 g ฉีดเข้าหลอดเลือดดำ ครั้งเดียว</t>
        </is>
      </c>
      <c r="H16" s="2" t="inlineStr">
        <is>
          <t>Norfloxacin 400 mg รับประทานวันละ 2 ครั้ง ก่อนอาหาร เป็นเวลา 3 วัน</t>
        </is>
      </c>
      <c r="I16" s="8" t="inlineStr">
        <is>
          <t>2</t>
        </is>
      </c>
      <c r="J16" s="2" t="inlineStr">
        <is>
          <t>✅ คำตอบที่ถูกต้อง: ข้อ ข. Nitrofurantoin monohydrate/macrocrystals 100 mg รับประทานวันละ 2 ครั้ง พร้อมอาหาร เป็นเวลา 5 วัน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Nitrofurantoin monohydrate/macrocrystals 100 mg รับประทานวันละ 2 ครั้ง พร้อมอาหาร เป็นเวลา 5 วัน ตาม IDSA Guidelines ยา First-line สำหรับรักษา Acute uncomplicated cystitis ได้แก่: 1) Nitrofurantoin monohydrate/macrocrystals 100 mg BID นาน 5 วัน (รับประทานพร้อมอาหารช่วยเพิ่มการดูดซึมและลดคลื่นไส้), 2) Fosfomycin trometamol 3 g single dose, 3) TMP-SMX 1 DS tab BID นาน 3 วัน (เฉพาะในพื้นที่ที่มีอัตราดื้อยา
🔍 ข้ออื่นผิดเพราะอะไร:
• ข้อ ก. (Ciprofloxacin 500 mg รับประทานวันละ 2 ครั้ง เป็นเวลา 7 วัน): เป็น Fluoroquinolone เด่นต่อ Gram-negative รวมทั้ง Pseudomonas aeruginosa แต่มี black box warning เรื่อง tendon rupture, QT prolongation, aortic aneurysm และ dysglycemia
• ข้อ ค. (Amoxicillin 500 mg รับประทานวันละ 3 ครั้ง หลังอาหาร เป็นเวลา 7 วัน): เป็น Aminopenicillin ยับยั้ง bacterial cell wall synthesis เป็น first-line สำหรับ uncomplicated bacterial infections (เช่น Strep pharyngitis, AOM, sinusitis)
• ข้อ ง. (Ceftriaxone 1 g ฉีดเข้าหลอดเลือดดำ ครั้งเดียว): เป็น 3rd generation cephalosporin มี broad spectrum ต่อ gram-negative bacteria และผ่าน BBB ได้ดี ขับออกทาง biliary tract จึงไม่ต้องปรับ dose ใน renal impairment
• ข้อ จ. (Norfloxacin 400 mg รับประทานวันละ 2 ครั้ง ก่อนอาหาร เป็นเวลา 3 วัน): ข้อนี้ไม่ใช่คำตอบที่ถูกต้องสำหรับภาวะ Cystitis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2" t="n"/>
      <c r="L16" s="2" t="inlineStr">
        <is>
          <t>Cystitis</t>
        </is>
      </c>
      <c r="M16" s="2" t="inlineStr">
        <is>
          <t>Clinic</t>
        </is>
      </c>
      <c r="N16" s="2" t="inlineStr">
        <is>
          <t>ข้อ 4.2 Mock Infectious RxCU84</t>
        </is>
      </c>
      <c r="O16" s="2" t="inlineStr">
        <is>
          <t>Mock</t>
        </is>
      </c>
      <c r="P16" s="2" t="inlineStr">
        <is>
          <t>Mock RxCU84</t>
        </is>
      </c>
    </row>
    <row r="17" ht="13.2" customHeight="1" s="37">
      <c r="A17" s="8" t="inlineStr">
        <is>
          <t>14</t>
        </is>
      </c>
      <c r="B17" s="2" t="inlineStr">
        <is>
          <t>การให้คำแนะนำการใช้ยา Fosfomycin trometamol 3 g สำหรับรักษา Acute uncomplicated cystitis
คำถาม: หากเภสัชกรพิจารณาเลือกจ่ายยา Fosfomycin trometamol 3 g ชนิดผงละลายน้ำให้แก่ผู้ป่วยรายนี้ ข้อใดคือคำแนะนำวิธีรับประทานยาที่ถูกต้องและสอดคล้องกับประสิทธิภาพสูงสุดของยา?</t>
        </is>
      </c>
      <c r="C17" s="2" t="n"/>
      <c r="D17" s="2" t="inlineStr">
        <is>
          <t>ละลายผงยาในน้ำอุ่น ดื่มทันทีพร้อมอาหารเช้าวันละ 1 ครั้ง ติดต่อกัน 3 วัน</t>
        </is>
      </c>
      <c r="E17" s="2" t="inlineStr">
        <is>
          <t>ละลายผงยาในน้ำเย็นหรือน้ำอุณหภูมิห้อง ดื่มครั้งเดียวตอนท้องว่าง (หรือก่อนนอนหลังจากปัสสาวะแล้ว)</t>
        </is>
      </c>
      <c r="F17" s="2" t="inlineStr">
        <is>
          <t>รับประทานร่วมกับยาลดกรดชนิดน้ำเพื่อป้องกันอาการกัดกระเพาะอาหาร</t>
        </is>
      </c>
      <c r="G17" s="2" t="inlineStr">
        <is>
          <t>แบ่งละลายยาครึ่งซอง (1.5 g) ดื่มเช้าและเย็นหลังอาหาร</t>
        </is>
      </c>
      <c r="H17" s="2" t="inlineStr">
        <is>
          <t>ละลายยาในนมหรือน้ำผลไม้เพื่อช่วยเพิ่มการดูดซึมยาเข้าสู่ร่างกาย</t>
        </is>
      </c>
      <c r="I17" s="8" t="inlineStr">
        <is>
          <t>2</t>
        </is>
      </c>
      <c r="J17" s="2" t="inlineStr">
        <is>
          <t>✅ คำตอบที่ถูกต้อง: ข้อ ข. ละลายผงยาในน้ำเย็นหรือน้ำอุณหภูมิห้อง ดื่มครั้งเดียวตอนท้องว่าง (หรือก่อนนอนหลังจากปัสสาวะแล้ว)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ละลายผงยาในน้ำเย็นหรือน้ำอุณหภูมิห้อง ดื่มครั้งเดียวตอนท้องว่าง (หรือก่อนนอนหลังจากปัสสาวะแล้ว) Fosfomycin trometamol 3 g ผงละลายน้ำ บริหารแบบรับประทานครั้งเดียว (Single dose) โดยละลายในน้ำเย็นหรือน้ำอุณหภูมิห้องประมาณ 90-120 mL (ห้ามใช้น้ำร้อนเพราะยาอาจเสื่อมสภาพ) ควรดื่มขณะท้องว่าง (ก่อนอาหาร 1 ชั่วโมง หรือหลังอาหาร 2 ชั่วโมง) หรือดื่มก่อนนอนหลังจากปัสสาวะทิ้งแล้ว เพื่อให้ยาสามารถสะสมความเข้มข้นในกระเพาะปัสสาวะได้สูงและยาวนานตลอดคืน
🔍 ข้ออื่นผิดเพราะอะไร:
• ข้อ ก. (ละลายผงยาในน้ำอุ่น ดื่มทันทีพร้อมอาหารเช้าวันละ 1 ครั้ง ติดต่อกัน 3 วัน): ข้อนี้ไม่ใช่คำตอบที่ถูกต้องสำหรับภาวะ Cystitis เนื่องจากกลไกการออกฤทธิ์, efficacy หรือข้อบ่งใช้ไม่ตรงกับโจทย์ที่กำหนด
• ข้อ ค. (รับประทานร่วมกับยาลดกรดชนิดน้ำเพื่อป้องกันอาการกัดกระเพาะอาหาร): ข้อนี้ไม่ใช่คำตอบที่ถูกต้องสำหรับภาวะ Cystitis เนื่องจากกลไกการออกฤทธิ์, efficacy หรือข้อบ่งใช้ไม่ตรงกับโจทย์ที่กำหนด
• ข้อ ง. (แบ่งละลายยาครึ่งซอง (1.5 g) ดื่มเช้าและเย็นหลังอาหาร): ข้อนี้ไม่ใช่คำตอบที่ถูกต้องสำหรับภาวะ Cystitis เนื่องจากกลไกการออกฤทธิ์, efficacy หรือข้อบ่งใช้ไม่ตรงกับโจทย์ที่กำหนด
• ข้อ จ. (ละลายยาในนมหรือน้ำผลไม้เพื่อช่วยเพิ่มการดูดซึมยาเข้าสู่ร่างกาย): ข้อนี้ไม่ใช่คำตอบที่ถูกต้องสำหรับภาวะ Cystitis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n"/>
      <c r="L17" s="2" t="inlineStr">
        <is>
          <t>Cystitis</t>
        </is>
      </c>
      <c r="M17" s="2" t="inlineStr">
        <is>
          <t>Clinic</t>
        </is>
      </c>
      <c r="N17" s="2" t="inlineStr">
        <is>
          <t>ข้อ 4.3 Mock Infectious RxCU84</t>
        </is>
      </c>
      <c r="O17" s="2" t="inlineStr">
        <is>
          <t>Mock</t>
        </is>
      </c>
      <c r="P17" s="2" t="inlineStr">
        <is>
          <t>Mock RxCU84</t>
        </is>
      </c>
    </row>
    <row r="18" ht="13.2" customHeight="1" s="37">
      <c r="A18" s="8" t="inlineStr">
        <is>
          <t>15</t>
        </is>
      </c>
      <c r="B18" s="2" t="inlineStr">
        <is>
          <t>การเลือกใช้ Fluoroquinolones ในการรักษาโรคติดเชื้อระบบทางเดินปัสสาวะ
คำถาม: ยากลุ่ม fluoroquinolone ชนิดใดไม่เหมาะสมสำหรับการรักษาโรคติดเชื้อทางเดินปัสสาวะ แม้จะมีฤทธิ์ต้านเชื้อแกรมลบดี และเพราะเหตุใด?</t>
        </is>
      </c>
      <c r="C18" s="2" t="n"/>
      <c r="D18" s="2" t="inlineStr">
        <is>
          <t>Ciprofloxacin เพราะยับยั้งเอนไซม์ CYP1A2</t>
        </is>
      </c>
      <c r="E18" s="2" t="inlineStr">
        <is>
          <t>Norfloxacin เพราะดูดซึมทางปากไม่ดี</t>
        </is>
      </c>
      <c r="F18" s="2" t="inlineStr">
        <is>
          <t>Moxifloxacin เพราะขับออกทางไตน้อย ไม่ได้ความเข้มข้นเพียงพอในปัสสาวะ</t>
        </is>
      </c>
      <c r="G18" s="2" t="inlineStr">
        <is>
          <t>Levofloxacin เพราะใช้รักษาเฉพาะโรคปอดเท่านั้น</t>
        </is>
      </c>
      <c r="H18" s="2" t="inlineStr">
        <is>
          <t>Gemifloxacin เพราะไม่มีฤทธิ์ต่อเชื้อแกรมลบเลย</t>
        </is>
      </c>
      <c r="I18" s="8" t="inlineStr">
        <is>
          <t>3</t>
        </is>
      </c>
      <c r="J18" s="2" t="inlineStr">
        <is>
          <t>✅ คำตอบที่ถูกต้อง: ข้อ ค. Moxifloxacin เพราะขับออกทางไตน้อย ไม่ได้ความเข้มข้นเพียงพอในปัสสาวะ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Moxifloxacin เพราะขับออกทางไตน้อย ไม่ได้ความเข้มข้นเพียงพอในปัสสาวะ Moxifloxacin มีกระบวนการขจัดยาผ่านทางตับเป็นหลัก (Hepatic metabolism and biliary excretion) มีเพียงประมาณ 15-20% เท่านั้นที่ถูกขับออกทางไตในรูปที่ไม่เปลี่ยนแปลง จึงไม่สามารถสร้างระดับความเข้มข้นของยาในปัสสาวะ (urinary concentration) ได้สูงเพียงพอในการฆ่าเชื้อแบคทีเรีย จึงห้ามนำ Moxifloxacin มาใช้รักษาโรคติดเชื้อทางเดินปัสสาวะ
🔍 ข้ออื่นผิดเพราะอะไร:
• ข้อ ก. (Ciprofloxacin เพราะยับยั้งเอนไซม์ CYP1A2): เป็น Fluoroquinolone เด่นต่อ Gram-negative รวมทั้ง Pseudomonas aeruginosa แต่มี black box warning เรื่อง tendon rupture, QT prolongation, aortic aneurysm และ dysglycemia
• ข้อ ข. (Norfloxacin เพราะดูดซึมทางปากไม่ดี): ข้อนี้ไม่ใช่คำตอบที่ถูกต้องสำหรับภาวะ Cystitis เนื่องจากกลไกการออกฤทธิ์, efficacy หรือข้อบ่งใช้ไม่ตรงกับโจทย์ที่กำหนด
• ข้อ ง. (Levofloxacin เพราะใช้รักษาเฉพาะโรคปอดเท่านั้น): เป็น Respiratory Fluoroquinolone ครอบคลุมทั้ง Streptococcus pneumoniae, atypicals และ Pseudomonas aeruginosa ใช้รักษา CAP, complicated UTI
• ข้อ จ. (Gemifloxacin เพราะไม่มีฤทธิ์ต่อเชื้อแกรมลบเลย): ข้อนี้ไม่ใช่คำตอบที่ถูกต้องสำหรับภาวะ Cystitis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Cystitis</t>
        </is>
      </c>
      <c r="M18" s="2" t="inlineStr">
        <is>
          <t>Clinic</t>
        </is>
      </c>
      <c r="N18" s="2" t="inlineStr">
        <is>
          <t>ข้อ 4.4 Mock Infectious RxCU84</t>
        </is>
      </c>
      <c r="O18" s="2" t="inlineStr">
        <is>
          <t>Mock</t>
        </is>
      </c>
      <c r="P18" s="2" t="inlineStr">
        <is>
          <t>Mock RxCU84</t>
        </is>
      </c>
    </row>
    <row r="19" ht="13.2" customHeight="1" s="37">
      <c r="A19" s="8" t="inlineStr">
        <is>
          <t>16</t>
        </is>
      </c>
      <c r="B19" s="2" t="inlineStr">
        <is>
          <t>ผู้ป่วยมีประวัติเพิ่งเดินทางกลับจากประเทศอินเดียก่อนเกิดอาการปัสสาวะแสบขัด
คำถาม: ประวัติการเดินทางไปประเทศอินเดียเมื่อสัปดาห์ก่อนของผู้ป่วยรายนี้ มีความสำคัญทางเภสัชวิทยาอย่างไรต่อการเลือกใช้ fluoroquinolone แบบ empirical?</t>
        </is>
      </c>
      <c r="C19" s="2" t="n"/>
      <c r="D19" s="2" t="inlineStr">
        <is>
          <t>ไม่มีความสำคัญ เพราะ fluoroquinolone ยังคงได้ผลดีเท่ากันในทุกภูมิภาคของโลก</t>
        </is>
      </c>
      <c r="E19" s="2" t="inlineStr">
        <is>
          <t>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t>
        </is>
      </c>
      <c r="F19" s="2" t="inlineStr">
        <is>
          <t>ทำให้ต้องปรับขนาดยาตามการทำงานของตับเป็นพิเศษ</t>
        </is>
      </c>
      <c r="G19" s="2" t="inlineStr">
        <is>
          <t>เพิ่มความเสี่ยง tendon rupture จากสภาพอากาศร้อนระหว่างเดินทาง</t>
        </is>
      </c>
      <c r="H19" s="2" t="inlineStr">
        <is>
          <t>ทำให้ต้องหลีกเลี่ยงยากลุ่มนี้เฉพาะในหญิงตั้งครรภ์เท่านั้น</t>
        </is>
      </c>
      <c r="I19" s="8" t="inlineStr">
        <is>
          <t>2</t>
        </is>
      </c>
      <c r="J19" s="2" t="inlineStr">
        <is>
          <t>✅ คำตอบที่ถูกต้อง: ข้อ ข.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ภูมิภาคเอเชียใต้โดยเฉพาะประเทศอินเดีย มีอุบัติการณ์ของเชื้อ Enterobacteriaceae ที่สร้างเอนไซม์ ESBL และดื้อต่อยากลุ่ม Fluoroquinolones สูงมาก (ผ่านยีน gyrA/parC mutation และ Plasmid-Mediated Quinolone Resistance: PMQR เช่น ยีน qnr) ประวัติการเดินทางไปพื้นที่เสี่ยงสูงจึงเป็นปัจจัยสำคัญที่ทำให้ไม่ควรเลือกใช้ FQ แบบ empiric เพราะมีความเสี่ยงสูงมากต่อความล้มเหลวในการรักษา
🔍 ข้ออื่นผิดเพราะอะไร:
• ข้อ ก. (ไม่มีความสำคัญ เพราะ fluoroquinolone ยังคงได้ผลดีเท่ากันในทุกภูมิภาคของโลก): ข้อนี้ไม่ใช่คำตอบที่ถูกต้องสำหรับภาวะ Cystitis เนื่องจากกลไกการออกฤทธิ์, efficacy หรือข้อบ่งใช้ไม่ตรงกับโจทย์ที่กำหนด
• ข้อ ค. (ทำให้ต้องปรับขนาดยาตามการทำงานของตับเป็นพิเศษ): ข้อนี้ไม่ใช่คำตอบที่ถูกต้องสำหรับภาวะ Cystitis เนื่องจากกลไกการออกฤทธิ์, efficacy หรือข้อบ่งใช้ไม่ตรงกับโจทย์ที่กำหนด
• ข้อ ง. (เพิ่มความเสี่ยง tendon rupture จากสภาพอากาศร้อนระหว่างเดินทาง): ข้อนี้ไม่ใช่คำตอบที่ถูกต้องสำหรับภาวะ Cystitis เนื่องจากกลไกการออกฤทธิ์, efficacy หรือข้อบ่งใช้ไม่ตรงกับโจทย์ที่กำหนด
• ข้อ จ. (ทำให้ต้องหลีกเลี่ยงยากลุ่มนี้เฉพาะในหญิงตั้งครรภ์เท่านั้น): ข้อนี้ไม่ใช่คำตอบที่ถูกต้องสำหรับภาวะ Cystitis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Cystitis</t>
        </is>
      </c>
      <c r="M19" s="2" t="inlineStr">
        <is>
          <t>Clinic</t>
        </is>
      </c>
      <c r="N19" s="2" t="inlineStr">
        <is>
          <t>ข้อ 4.5 Mock Infectious RxCU84</t>
        </is>
      </c>
      <c r="O19" s="2" t="inlineStr">
        <is>
          <t>Mock</t>
        </is>
      </c>
      <c r="P19" s="2" t="inlineStr">
        <is>
          <t>Mock RxCU84</t>
        </is>
      </c>
    </row>
    <row r="20" ht="13.2" customHeight="1" s="37">
      <c r="A20" s="8" t="inlineStr">
        <is>
          <t>17</t>
        </is>
      </c>
      <c r="B20" s="2" t="inlineStr">
        <is>
          <t>ผู้ป่วยได้รับ Norfloxacin สำหรับ UTI และรับประทานแคลเซียมเสริมเป็นประจำ
คำถาม: หากจ่าย norfloxacin ให้ผู้ป่วยรายนี้ และผู้ป่วยแจ้งว่ากินแคลเซียมเสริมเป็นประจำ ควรให้คำแนะนำอย่างไร?</t>
        </is>
      </c>
      <c r="C20" s="2" t="n"/>
      <c r="D20" s="2" t="inlineStr">
        <is>
          <t>กินพร้อมกันได้เลย ไม่มีปฏิกิริยาต่อกัน</t>
        </is>
      </c>
      <c r="E20" s="2" t="inlineStr">
        <is>
          <t>เว้นระยะห่างระหว่างกิน norfloxacin กับแคลเซียมเสริมอย่างน้อย 2 ชั่วโมง</t>
        </is>
      </c>
      <c r="F20" s="2" t="inlineStr">
        <is>
          <t>ให้หยุดกินแคลเซียมเสริมถาวรตลอดชีวิต</t>
        </is>
      </c>
      <c r="G20" s="2" t="inlineStr">
        <is>
          <t>เปลี่ยนไปใช้แคลเซียมชนิดฉีดแทนทันที</t>
        </is>
      </c>
      <c r="H20" s="2" t="inlineStr">
        <is>
          <t>ให้กินแคลเซียมพร้อมยาเพื่อลดการระคายเคืองกระเพาะจาก norfloxacin</t>
        </is>
      </c>
      <c r="I20" s="8" t="inlineStr">
        <is>
          <t>2</t>
        </is>
      </c>
      <c r="J20" s="2" t="inlineStr">
        <is>
          <t>✅ คำตอบที่ถูกต้อง: ข้อ ข. เว้นระยะห่างระหว่างกิน norfloxacin กับแคลเซียมเสริมอย่างน้อย 2 ชั่วโมง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เว้นระยะห่างระหว่างกิน norfloxacin กับแคลเซียมเสริมอย่างน้อย 2 ชั่วโมง ยากลุ่ม Fluoroquinolones (เช่น Norfloxacin, Ciprofloxacin) มีโครงสร้างเคมีที่สามารถจับกับไอออนประจุบวก 2 หรือ 3 ค่า (Multivalent cations เช่น Ca2+, Mg2+, Al3+, Fe2+/3+, Zn2+) เกิดเป็นสารประกอบเชิงซ้อนที่ไม่ละลายน้ำ (Insoluble chelate complex) ส่งผลให้การดูดซึมยาปฏิชีวนะลดลงอย่างมากจนระดับยาในเลือดไม่ถึงเกณฑ์รักษา ดังนั้นจึงต้องแนะนำให้รับประทานห่างกันอย่างน้อย 2 ชั่วโมงก่อน หรือ 4-6 ชั่วโมงหลังรับประทานแร่ธาตุเสริม
🔍 ข้ออื่นผิดเพราะอะไร:
• ข้อ ก. (กินพร้อมกันได้เลย ไม่มีปฏิกิริยาต่อกัน): ข้อนี้ไม่ใช่คำตอบที่ถูกต้องสำหรับภาวะ Cystitis เนื่องจากกลไกการออกฤทธิ์, efficacy หรือข้อบ่งใช้ไม่ตรงกับโจทย์ที่กำหนด
• ข้อ ค. (ให้หยุดกินแคลเซียมเสริมถาวรตลอดชีวิต): ข้อนี้ไม่ใช่คำตอบที่ถูกต้องสำหรับภาวะ Cystitis เนื่องจากกลไกการออกฤทธิ์, efficacy หรือข้อบ่งใช้ไม่ตรงกับโจทย์ที่กำหนด
• ข้อ ง. (เปลี่ยนไปใช้แคลเซียมชนิดฉีดแทนทันที): ข้อนี้ไม่ใช่คำตอบที่ถูกต้องสำหรับภาวะ Cystitis เนื่องจากกลไกการออกฤทธิ์, efficacy หรือข้อบ่งใช้ไม่ตรงกับโจทย์ที่กำหนด
• ข้อ จ. (ให้กินแคลเซียมพร้อมยาเพื่อลดการระคายเคืองกระเพาะจาก norfloxacin): ข้อนี้ไม่ใช่คำตอบที่ถูกต้องสำหรับภาวะ Cystitis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Cystitis</t>
        </is>
      </c>
      <c r="M20" s="2" t="inlineStr">
        <is>
          <t>Clinic</t>
        </is>
      </c>
      <c r="N20" s="2" t="inlineStr">
        <is>
          <t>ข้อ 4.6 Mock Infectious RxCU84</t>
        </is>
      </c>
      <c r="O20" s="2" t="inlineStr">
        <is>
          <t>Mock</t>
        </is>
      </c>
      <c r="P20" s="2" t="inlineStr">
        <is>
          <t>Mock RxCU84</t>
        </is>
      </c>
    </row>
    <row r="21" ht="13.2" customHeight="1" s="37">
      <c r="A21" s="8" t="inlineStr">
        <is>
          <t>18</t>
        </is>
      </c>
      <c r="B21" s="2" t="inlineStr">
        <is>
          <t>เด็กชายอายุ 5 ปี มาร้านยาพร้อมมารดา มีอาการปวดหูข้างขวา 1 วัน น้องปวดจนร้องไห้ มีไข้ 38.5°C ก่อนหน้านี้มีน้ำมูกและเจ็บคอประมาณ 3 วัน รับประทานอาหารได้น้อยลง ไม่มีหนองไหลออกจากหู ไม่มีประวัติแพ้ยาและไม่มีโรคประจำตัว
คำถาม: แนวทางการรักษาเบื้องต้นของผู้ป่วยรายนี้ ข้อใดเหมาะสมที่สุด?</t>
        </is>
      </c>
      <c r="C21" s="2" t="n"/>
      <c r="D21" s="2" t="inlineStr">
        <is>
          <t>จ่ายยาปฏิชีวนะทันที เนื่องจากมีไข้และระดับความปวดสูง</t>
        </is>
      </c>
      <c r="E21" s="2" t="inlineStr">
        <is>
          <t>จ่าย Amoxicillin-Clavulanate ทันที เนื่องจากผู้ป่วยเริ่มรับประทานอาหารได้น้อยลง</t>
        </is>
      </c>
      <c r="F21" s="2" t="inlineStr">
        <is>
          <t>แนะนำการจัดการความเจ็บปวดเป็นอันดับแรก และพิจารณาเฝ้าสังเกตอาการ (Watchful waiting) 48-72 ชั่วโมง</t>
        </is>
      </c>
      <c r="G21" s="2" t="inlineStr">
        <is>
          <t>ส่งต่อโรงพยาบาลทันที เนื่องจากเสี่ยงต่อภาวะเยื่อหุ้มสมองอักเสบแทรกซ้อน</t>
        </is>
      </c>
      <c r="H21" s="2" t="inlineStr">
        <is>
          <t>แนะนำให้ใช้ยาหยอดหูที่มีส่วนผสมของยาปฏิชีวนะร่วมกับยาลดไข้</t>
        </is>
      </c>
      <c r="I21" s="8" t="inlineStr">
        <is>
          <t>3</t>
        </is>
      </c>
      <c r="J21" s="2" t="inlineStr">
        <is>
          <t>✅ คำตอบที่ถูกต้อง: ข้อ ค. แนะนำการจัดการความเจ็บปวดเป็นอันดับแรก และพิจารณาเฝ้าสังเกตอาการ (Watchful waiting) 48-72 ชั่วโมง
💡 Background:
การดูแลผู้ติดเชื้อ HIV เน้นเริ่ม Antiretroviral Therapy (ART) ทันทีเพื่อกด viral load ให้ undetectable (U=U) และฟื้นฟูระบบภูมิคุ้มกัน
🎯 ทำไมข้อนี้ถึงถูก:
แนะนำการจัดการความเจ็บปวดเป็นอันดับแรก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ตาม
🔍 ข้ออื่นผิดเพราะอะไร:
• ข้อ ก. (จ่ายยาปฏิชีวนะทันที เนื่องจากมีไข้และระดับความปวดสูง): ข้อนี้ไม่ใช่คำตอบที่ถูกต้องสำหรับภาวะ HIV infection เนื่องจากกลไกการออกฤทธิ์, efficacy หรือข้อบ่งใช้ไม่ตรงกับโจทย์ที่กำหนด
• ข้อ ข. (จ่าย Amoxicillin-Clavulanate ทันที เนื่องจากผู้ป่วยเริ่มรับประทานอาหารได้น้อยลง): เป็น Aminopenicillin ยับยั้ง bacterial cell wall synthesis เป็น first-line สำหรับ uncomplicated bacterial infections (เช่น Strep pharyngitis, AOM, sinusitis)
• ข้อ ง. (ส่งต่อโรงพยาบาลทันที เนื่องจากเสี่ยงต่อภาวะเยื่อหุ้มสมองอักเสบแทรกซ้อน): ข้อนี้ไม่ใช่คำตอบที่ถูกต้องสำหรับภาวะ HIV infection เนื่องจากกลไกการออกฤทธิ์, efficacy หรือข้อบ่งใช้ไม่ตรงกับโจทย์ที่กำหนด
• ข้อ จ. (แนะนำให้ใช้ยาหยอดหูที่มีส่วนผสมของยาปฏิชีวนะร่วมกับยาลดไข้):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 s="2" t="n"/>
      <c r="L21" s="2" t="inlineStr">
        <is>
          <t>HIV infection</t>
        </is>
      </c>
      <c r="M21" s="2" t="inlineStr">
        <is>
          <t>Clinic</t>
        </is>
      </c>
      <c r="N21" s="2" t="inlineStr">
        <is>
          <t>ข้อ 5.1 Mock Infectious RxCU84</t>
        </is>
      </c>
      <c r="O21" s="2" t="inlineStr">
        <is>
          <t>Mock</t>
        </is>
      </c>
      <c r="P21" s="2" t="inlineStr">
        <is>
          <t>Mock RxCU84</t>
        </is>
      </c>
    </row>
    <row r="22" ht="13.2" customHeight="1" s="37">
      <c r="A22" s="8" t="inlineStr">
        <is>
          <t>19</t>
        </is>
      </c>
      <c r="B22" s="2" t="inlineStr">
        <is>
          <t>เด็กชายอายุ 5 ปี หลังสังเกตอาการ 48 ชั่วโมง พบว่ายังมีไข้และปวดหูมากขึ้น มีน้ำสีเหลืองอ่อนไหลออกจากหู
คำถาม: หากผ่านไป 48 ชั่วโมง มารดาแจ้งว่าเด็กยังมีไข้และปวดหูมากขึ้น มีน้ำสีเหลืองอ่อนไหลออกจากหู ข้อใดคือสูตรยาและระยะเวลาการรักษาที่เป็น First-line?</t>
        </is>
      </c>
      <c r="C22" s="2" t="n"/>
      <c r="D22" s="2" t="inlineStr">
        <is>
          <t>Amoxicillin 40-50 mg/kg/day นาน 5 วัน</t>
        </is>
      </c>
      <c r="E22" s="2" t="inlineStr">
        <is>
          <t>Amoxicillin 80-90 mg/kg/day นาน 7 วัน</t>
        </is>
      </c>
      <c r="F22" s="2" t="inlineStr">
        <is>
          <t>Amoxicillin-Clavulanate 90 mg/kg/day นาน 10 วัน</t>
        </is>
      </c>
      <c r="G22" s="2" t="inlineStr">
        <is>
          <t>Azithromycin 10 mg/kg วันแรก ตามด้วย 5 mg/kg อีก 4 วัน</t>
        </is>
      </c>
      <c r="H22" s="2" t="inlineStr">
        <is>
          <t>Cephalexin 50 mg/kg/day นาน 10 วัน</t>
        </is>
      </c>
      <c r="I22" s="8" t="inlineStr">
        <is>
          <t>2</t>
        </is>
      </c>
      <c r="J22" s="2" t="inlineStr">
        <is>
          <t>✅ คำตอบที่ถูกต้อง: ข้อ ข. Amoxicillin 80-90 mg/kg/day นาน 7 วัน
💡 Background:
การดูแลผู้ติดเชื้อ HIV เน้นเริ่ม Antiretroviral Therapy (ART) ทันทีเพื่อกด viral load ให้ undetectable (U=U) และฟื้นฟูระบบภูมิคุ้มกัน
🎯 ทำไมข้อนี้ถึงถูก:
Amoxicillin 80-90 mg/kg/day นาน 7 วัน เมื่ออาการไม่ดีขึ้นหลังจากติดตาม 48 ชั่วโมง หรือมีหนองไหล (Otorrhea) แสดงว่าต้องเริ่มยาปฏิชีวนะ ยา First-line มาตรฐานคือ High-dose Amoxicillin ขนาด 80-90 mg/kg/day แบ่งให้วันละ 2 ครั้ง เพื่อเอาชนะเชื้อ Streptococcus pneumoniae ที่อาจดื้อยาชนิด penicillin-intermediate/resistant (PRSP) โดยในเด็กอายุตั้งแต่ 2-5 ปี แนะนำระยะเวลาการรักษา 7 วัน (เด็กอายุ
🔍 ข้ออื่นผิดเพราะอะไร:
• ข้อ ก. (Amoxicillin 40-50 mg/kg/day นาน 5 วัน): เป็น Aminopenicillin ยับยั้ง bacterial cell wall synthesis เป็น first-line สำหรับ uncomplicated bacterial infections (เช่น Strep pharyngitis, AOM, sinusitis)
• ข้อ ค. (Amoxicillin-Clavulanate 90 mg/kg/day นาน 10 วัน): เป็น Aminopenicillin ยับยั้ง bacterial cell wall synthesis เป็น first-line สำหรับ uncomplicated bacterial infections (เช่น Strep pharyngitis, AOM, sinusitis)
• ข้อ ง. (Azithromycin 10 mg/kg วันแรก ตามด้วย 5 mg/kg อีก 4 วัน): เป็น Macrolide ครอบคลุม atypical pathogens (Mycoplasma, Chlamydia, Legionella) ขจัดออกทางตับเป็นหลัก และมี half-life ยาวนาน (~68 ชม.)
• ข้อ จ. (Cephalexin 50 mg/kg/day นาน 10 วัน):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 s="2" t="n"/>
      <c r="L22" s="2" t="inlineStr">
        <is>
          <t>HIV infection</t>
        </is>
      </c>
      <c r="M22" s="2" t="inlineStr">
        <is>
          <t>Clinic</t>
        </is>
      </c>
      <c r="N22" s="2" t="inlineStr">
        <is>
          <t>ข้อ 5.2 Mock Infectious RxCU84</t>
        </is>
      </c>
      <c r="O22" s="2" t="inlineStr">
        <is>
          <t>Mock</t>
        </is>
      </c>
      <c r="P22" s="2" t="inlineStr">
        <is>
          <t>Mock RxCU84</t>
        </is>
      </c>
    </row>
    <row r="23" ht="13.2" customHeight="1" s="37">
      <c r="A23" s="8" t="inlineStr">
        <is>
          <t>20</t>
        </is>
      </c>
      <c r="B23" s="2" t="inlineStr">
        <is>
          <t>เด็กชายอายุ 5 ปี ได้รับยาปฏิชีวนะไป 2 วัน พบว่าไข้สูงขึ้น เกิดแผลเปื่อยรอบปาก ผิวหนังพุพองและหลุดลอก
คำถาม: หลังจากผู้ป่วยได้รับยาปฏิชีวนะไปแล้ว 2 วัน พบว่าไข้สูงขึ้น เกิดแผลเปื่อยบริเวณรอบปาก ผิวหนังพุพองและหลุดลอก ในฐานะเภสัชกรควรจัดการอย่างไร?</t>
        </is>
      </c>
      <c r="C23" s="2" t="n"/>
      <c r="D23" s="2" t="inlineStr">
        <is>
          <t>ให้รับประทานยาปฏิชีวนะต่อไปจนครบ 3 วันเพื่อดูการตอบสนองของยาอีกครั้ง</t>
        </is>
      </c>
      <c r="E23" s="2" t="inlineStr">
        <is>
          <t>สั่งให้หยุดยาปฏิชีวนะทันทีและรีบส่งตัวผู้ป่วยไปยังห้องฉุกเฉินของโรงพยาบาลโดยด่วน</t>
        </is>
      </c>
      <c r="F23" s="2" t="inlineStr">
        <is>
          <t>แนะนำให้ใช้ยาฆ่าเชื้อชนิดทาบริเวณผิวหนังที่พุพองและใช้ยาป้ายปากเพื่อรักษาแผลเปื่อย</t>
        </is>
      </c>
      <c r="G23" s="2" t="inlineStr">
        <is>
          <t>อาการแผลเปื่อยรอบปากเป็นอาการปกติของการติดเชื้อไวรัสซ้ำซ้อน ไม่เกี่ยวข้องกับยาปฏิชีวนะ</t>
        </is>
      </c>
      <c r="H23" s="2" t="inlineStr">
        <is>
          <t>ให้ Antihistamine ขนาดสูงเพื่อยับยั้งอาการ และเช็ดตัวบ่อยๆ พร้อมเฝ้าดูอาการต่อที่บ้าน 24 ชั่วโมง</t>
        </is>
      </c>
      <c r="I23" s="8" t="inlineStr">
        <is>
          <t>2</t>
        </is>
      </c>
      <c r="J23" s="2" t="inlineStr">
        <is>
          <t>✅ คำตอบที่ถูกต้อง: ข้อ ข. สั่งให้หยุดยาปฏิชีวนะทันทีและรีบส่งตัวผู้ป่วยไปยังห้องฉุกเฉินของโรงพยาบาลโดยด่วน
💡 Background:
การดูแลผู้ติดเชื้อ HIV เน้นเริ่ม Antiretroviral Therapy (ART) ทันทีเพื่อกด viral load ให้ undetectable (U=U) และฟื้นฟูระบบภูมิคุ้มกัน
🎯 ทำไมข้อนี้ถึงถูก:
สั่งให้หยุดยาปฏิชีวนะทันทีและรีบส่งตัวผู้ป่วยไปยังห้องฉุกเฉินของโรงพยาบาลโดยด่วน อาการไข้สูง มีแผลเปื่อยที่เยื่อบุรอบปาก ร่วมกับผิวหนังพุพองและหลุดลอก (Mucocutaneous blistering and detachment) เป็นสัญญาณเตือนสำคัญของอาการแพ้ยารุนแรงชนิด Stevens-Johnson syndrome (SJS) หรือ Toxic Epidermal Necrolysis (TEN) ซึ่งมีอันตรายถึงแก่ชีวิต จัดเป็นภาวะฉุกเฉินทางการแพทย์ ต้องสั่งหยุดยาทันทีและส่งตัวผู้ป่วยไปยังห้องฉุกเฉินเพื่อรับการรักษาในหออภิบาลผู้ป่วยวิกฤต/ไฟไหม้ทันที
🔍 ข้ออื่นผิดเพราะอะไร:
• ข้อ ก. (ให้รับประทานยาปฏิชีวนะต่อไปจนครบ 3 วันเพื่อดูการตอบสนองของยาอีกครั้ง): ข้อนี้ไม่ใช่คำตอบที่ถูกต้องสำหรับภาวะ HIV infection เนื่องจากกลไกการออกฤทธิ์, efficacy หรือข้อบ่งใช้ไม่ตรงกับโจทย์ที่กำหนด
• ข้อ ค. (แนะนำให้ใช้ยาฆ่าเชื้อชนิดทาบริเวณผิวหนังที่พุพองและใช้ยาป้ายปากเพื่อรักษาแผลเปื่อย): ข้อนี้ไม่ใช่คำตอบที่ถูกต้องสำหรับภาวะ HIV infection เนื่องจากกลไกการออกฤทธิ์, efficacy หรือข้อบ่งใช้ไม่ตรงกับโจทย์ที่กำหนด
• ข้อ ง. (อาการแผลเปื่อยรอบปากเป็นอาการปกติของการติดเชื้อไวรัสซ้ำซ้อน ไม่เกี่ยวข้องกับยาปฏิชีวนะ): ข้อนี้ไม่ใช่คำตอบที่ถูกต้องสำหรับภาวะ HIV infection เนื่องจากกลไกการออกฤทธิ์, efficacy หรือข้อบ่งใช้ไม่ตรงกับโจทย์ที่กำหนด
• ข้อ จ. (ให้ Antihistamine ขนาดสูงเพื่อยับยั้งอาการ และเช็ดตัวบ่อยๆ พร้อมเฝ้าดูอาการต่อที่บ้าน 24 ชั่วโมง):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 s="2" t="n"/>
      <c r="L23" s="2" t="inlineStr">
        <is>
          <t>HIV infection</t>
        </is>
      </c>
      <c r="M23" s="2" t="inlineStr">
        <is>
          <t>Clinic</t>
        </is>
      </c>
      <c r="N23" s="2" t="inlineStr">
        <is>
          <t>ข้อ 5.3 Mock Infectious RxCU84</t>
        </is>
      </c>
      <c r="O23" s="2" t="inlineStr">
        <is>
          <t>Mock</t>
        </is>
      </c>
      <c r="P23" s="2" t="inlineStr">
        <is>
          <t>Mock RxCU84</t>
        </is>
      </c>
    </row>
    <row r="24" ht="13.2" customHeight="1" s="37">
      <c r="A24" s="8" t="inlineStr">
        <is>
          <t>21</t>
        </is>
      </c>
      <c r="B24" s="2" t="inlineStr">
        <is>
          <t>ข้อพิจารณาการใช้ Doxycycline ในเด็กอายุ 5 ปี
คำถาม: เหตุใดจึงควรหลีกเลี่ยงการใช้ doxycycline ในเด็กชายอายุ 5 ปีรายนี้ หากพิจารณาเป็นทางเลือกรักษาการติดเชื้อทั่วไป?</t>
        </is>
      </c>
      <c r="C24" s="2" t="n"/>
      <c r="D24" s="2" t="inlineStr">
        <is>
          <t>เสี่ยงฟันเปลี่ยนสีถาวรและกดการเจริญเติบโตของกระดูก เนื่องจากยาจับกับแคลเซียมในกระดูก/ฟันที่กำลังสร้าง</t>
        </is>
      </c>
      <c r="E24" s="2" t="inlineStr">
        <is>
          <t>เสี่ยง tendon rupture สูงเป็นพิเศษในเด็ก</t>
        </is>
      </c>
      <c r="F24" s="2" t="inlineStr">
        <is>
          <t>เสี่ยง ototoxicity ถาวรในเด็กเล็กโดยเฉพาะ</t>
        </is>
      </c>
      <c r="G24" s="2" t="inlineStr">
        <is>
          <t>เสี่ยง QT prolongation รุนแรงกว่าผู้ใหญ่มาก</t>
        </is>
      </c>
      <c r="H24" s="2" t="inlineStr">
        <is>
          <t>ไม่มีรูปแบบยาน้ำสำหรับเด็กเล็ก</t>
        </is>
      </c>
      <c r="I24" s="8" t="inlineStr">
        <is>
          <t>1</t>
        </is>
      </c>
      <c r="J24" s="2" t="inlineStr">
        <is>
          <t>✅ คำตอบที่ถูกต้อง: ข้อ ก. เสี่ยงฟันเปลี่ยนสีถาวรและกดการเจริญเติบโตของกระดูก เนื่องจากยาจับกับแคลเซียมในกระดูก/ฟันที่กำลังสร้าง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เสี่ยงฟันเปลี่ยนสีถาวรและกดการเจริญเติบโตของกระดูก เนื่องจากยาจับกับแคลเซียมในกระดูก/ฟันที่กำลังสร้าง ยากลุ่ม Tetracyclines รวมถึง Doxycycline มีคุณสมบัติจับตัวกับแคลเซียมในเนื้อเยื่อที่มีการสะสมแคลเซียมสูง เช่น กระดูกและหน่อฟันแท้ที่กำลังเจริญเติบโต ส่งผลให้เกิดการสะสมตัวของยาทำให้ฟันเปลี่ยนเป็นสีเหลือง-เทาถาวร (Permanent tooth discoloration) และเคลือบฟันเจริญผิดปกติ (Enamel hypoplasia) ตลอดจนอาจกดการเจริญเติบโตของกระดูกชั่วคราว จึงเป็น contraindication ในเด็กอายุต่ำกว่า 8 ปี (ยกเว้นโรคติดเชื้อริกเก็ตเซีย เช่น Scrub typhus ที่ใช้ระยะสั้นได้)
🔍 ข้ออื่นผิดเพราะอะไร:
• ข้อ ข. (เสี่ยง tendon rupture สูงเป็นพิเศษในเด็ก): ข้อนี้ไม่ใช่คำตอบที่ถูกต้องสำหรับภาวะ Cystitis เนื่องจากกลไกการออกฤทธิ์, efficacy หรือข้อบ่งใช้ไม่ตรงกับโจทย์ที่กำหนด
• ข้อ ค. (เสี่ยง ototoxicity ถาวรในเด็กเล็กโดยเฉพาะ): ข้อนี้ไม่ใช่คำตอบที่ถูกต้องสำหรับภาวะ Cystitis เนื่องจากกลไกการออกฤทธิ์, efficacy หรือข้อบ่งใช้ไม่ตรงกับโจทย์ที่กำหนด
• ข้อ ง. (เสี่ยง QT prolongation รุนแรงกว่าผู้ใหญ่มาก): ข้อนี้ไม่ใช่คำตอบที่ถูกต้องสำหรับภาวะ Cystitis เนื่องจากกลไกการออกฤทธิ์, efficacy หรือข้อบ่งใช้ไม่ตรงกับโจทย์ที่กำหนด
• ข้อ จ. (ไม่มีรูปแบบยาน้ำสำหรับเด็กเล็ก): ข้อนี้ไม่ใช่คำตอบที่ถูกต้องสำหรับภาวะ Cystitis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2" t="n"/>
      <c r="L24" s="2" t="inlineStr">
        <is>
          <t>Cystitis</t>
        </is>
      </c>
      <c r="M24" s="2" t="inlineStr">
        <is>
          <t>Clinic</t>
        </is>
      </c>
      <c r="N24" s="2" t="inlineStr">
        <is>
          <t>ข้อ 5.4 Mock Infectious RxCU84</t>
        </is>
      </c>
      <c r="O24" s="2" t="inlineStr">
        <is>
          <t>Mock</t>
        </is>
      </c>
      <c r="P24" s="2" t="inlineStr">
        <is>
          <t>Mock RxCU84</t>
        </is>
      </c>
    </row>
    <row r="25" ht="13.2" customHeight="1" s="37">
      <c r="A25" s="8" t="inlineStr">
        <is>
          <t>22</t>
        </is>
      </c>
      <c r="B25" s="2" t="inlineStr">
        <is>
          <t>เด็กชายอายุ 5 ปี ป่วยเป็น AOM และมีประวัติแพ้ penicillin แบบ anaphylaxis
คำถาม: หากเด็กชายรายนี้มีประวัติแพ้ penicillin แบบรุนแรง (anaphylaxis) และจำเป็นต้องพิจารณายาต้านแบคทีเรียกลุ่มอื่นตามเงื่อนไขบัญชียาหลักฯ ยาใดในกลุ่มที่กล่าวถึงพอจะนำมาพิจารณาได้ และมีข้อจำกัดด้านการครอบคลุมเชื้อก่อโรคหูชั้นกลางอักเสบอย่างไร?</t>
        </is>
      </c>
      <c r="C25" s="2" t="n"/>
      <c r="D25" s="2" t="inlineStr">
        <is>
          <t>Gentamicin — ครอบคลุม H. influenzae ได้ดีเยี่ยม</t>
        </is>
      </c>
      <c r="E25" s="2" t="inlineStr">
        <is>
          <t>Clindamycin — ครอบคลุมเชื้อแกรมบวกได้ดี แต่ไม่ครอบคลุม H. influenzae ซึ่งเป็นเชื้อก่อโรคหูชั้นกลางอักเสบที่พบบ่อย</t>
        </is>
      </c>
      <c r="F25" s="2" t="inlineStr">
        <is>
          <t>Moxifloxacin — เป็นยาทางเลือกแรกในเด็กเมื่อแพ้ penicillin</t>
        </is>
      </c>
      <c r="G25" s="2" t="inlineStr">
        <is>
          <t>Tigecycline — ปลอดภัยและใช้ได้ทั่วไปในเด็กเล็ก</t>
        </is>
      </c>
      <c r="H25" s="2" t="inlineStr">
        <is>
          <t>Doxycycline — ครอบคลุมเชื้อก่อโรคหูชั้นกลางอักเสบได้ครบถ้วน</t>
        </is>
      </c>
      <c r="I25" s="8" t="inlineStr">
        <is>
          <t>2</t>
        </is>
      </c>
      <c r="J25" s="2" t="inlineStr">
        <is>
          <t>✅ คำตอบที่ถูกต้อง: ข้อ ข. Clindamycin — ครอบคลุมเชื้อแกรมบวกได้ดี แต่ไม่ครอบคลุม H. influenzae ซึ่งเป็นเชื้อก่อโรคหูชั้นกลางอักเสบที่พบบ่อย
💡 Background:
การดูแลผู้ติดเชื้อ HIV เน้นเริ่ม Antiretroviral Therapy (ART) ทันทีเพื่อกด viral load ให้ undetectable (U=U) และฟื้นฟูระบบภูมิคุ้มกัน
🎯 ทำไมข้อนี้ถึงถูก:
Clindamycin — ครอบคลุมเชื้อแกรมบวกได้ดี แต่ไม่ครอบคลุม H. influenzae ซึ่งเป็นเชื้อก่อโรคหูชั้นกลางอักเสบที่พบบ่อย Clindamycin สามารถใช้รักษาการติดเชื้อแบคทีเรียแกรมบวก (รวมถึง Streptococcus pneumoniae) ในผู้ที่แพ้ penicillin แบบรุนแรงได้ แต่ข้อจำกัดสำคัญทางคลินิกคือ Clindamycin ไม่มีฤทธิ์ต้านเชื้อแบคทีเรียแกรมลบ จึงไม่ครอบคลุมเชื้อ Haemophilus influenzae และ Moraxella catarrhalis ซึ่งเป็นสองในสามเชื้อก่อโรคสำคัญของโรคหูชั้นกลางอักเสบในเด็ก ส่วนยากลุ่ม FQ และ Tetracycline มีข้อห้ามในเด็กเล็ก
🔍 ข้ออื่นผิดเพราะอะไร:
• ข้อ ก. (Gentamicin — ครอบคลุม H. influenzae ได้ดีเยี่ยม): เป็น Aminoglycoside มี concentration-dependent bactericidal effect ต่อ gram-negative มี nephrotoxicity และ ototoxicity ต้อง monitoring renal function และ serum level
• ข้อ ค. (Moxifloxacin — เป็นยาทางเลือกแรกในเด็กเมื่อแพ้ penicillin): ข้อนี้ไม่ใช่คำตอบที่ถูกต้องสำหรับภาวะ HIV infection เนื่องจากกลไกการออกฤทธิ์, efficacy หรือข้อบ่งใช้ไม่ตรงกับโจทย์ที่กำหนด
• ข้อ ง. (Tigecycline — ปลอดภัยและใช้ได้ทั่วไปในเด็กเล็ก): ข้อนี้ไม่ใช่คำตอบที่ถูกต้องสำหรับภาวะ HIV infection เนื่องจากกลไกการออกฤทธิ์, efficacy หรือข้อบ่งใช้ไม่ตรงกับโจทย์ที่กำหนด
• ข้อ จ. (Doxycycline — ครอบคลุมเชื้อก่อโรคหูชั้นกลางอักเสบได้ครบถ้วน):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 s="2" t="n"/>
      <c r="L25" s="2" t="inlineStr">
        <is>
          <t>HIV infection</t>
        </is>
      </c>
      <c r="M25" s="2" t="inlineStr">
        <is>
          <t>Clinic</t>
        </is>
      </c>
      <c r="N25" s="2" t="inlineStr">
        <is>
          <t>ข้อ 5.5 Mock Infectious RxCU84</t>
        </is>
      </c>
      <c r="O25" s="2" t="inlineStr">
        <is>
          <t>Mock</t>
        </is>
      </c>
      <c r="P25" s="2" t="inlineStr">
        <is>
          <t>Mock RxCU84</t>
        </is>
      </c>
    </row>
    <row r="26" ht="13.2" customHeight="1" s="37">
      <c r="A26" s="8" t="inlineStr">
        <is>
          <t>23</t>
        </is>
      </c>
      <c r="B26" s="2" t="inlineStr">
        <is>
          <t>ข้อห้ามและความปลอดภัยของการใช้ยากลุ่ม Fluoroquinolones ในเด็ก
คำถาม: เพราะเหตุใดยากลุ่ม fluoroquinolone จึงไม่ใช่ทางเลือกทั่วไปสำหรับการรักษาการติดเชื้อในเด็กชายอายุ 5 ปีรายนี้ ทั้งที่มีฤทธิ์ฆ่าเชื้อแบคทีเรียแกรมบวกและลบได้กว้าง?</t>
        </is>
      </c>
      <c r="C26" s="2" t="n"/>
      <c r="D26" s="2" t="inlineStr">
        <is>
          <t>เพราะมีราคาแพงเกินไปสำหรับผู้ป่วยเด็ก</t>
        </is>
      </c>
      <c r="E26" s="2" t="inlineStr">
        <is>
          <t>เพราะมีความเป็นพิษต่อกระดูกอ่อน (cartilage toxicity) จากการศึกษาในสัตว์ทดลอง จึงหลีกเลี่ยงในเด็กและหญิงตั้งครรภ์</t>
        </is>
      </c>
      <c r="F26" s="2" t="inlineStr">
        <is>
          <t>เพราะไม่มีรูปแบบยาน้ำสำหรับเด็ก</t>
        </is>
      </c>
      <c r="G26" s="2" t="inlineStr">
        <is>
          <t>เพราะออกฤทธิ์แบบ bacteriostatic เท่านั้นในผู้ป่วยเด็ก</t>
        </is>
      </c>
      <c r="H26" s="2" t="inlineStr">
        <is>
          <t>เพราะเพิ่มความเสี่ยง Fanconi syndrome เฉพาะในเด็กเท่านั้น</t>
        </is>
      </c>
      <c r="I26" s="8" t="inlineStr">
        <is>
          <t>2</t>
        </is>
      </c>
      <c r="J26" s="2" t="inlineStr">
        <is>
          <t>✅ คำตอบที่ถูกต้อง: ข้อ ข. เพราะมีความเป็นพิษต่อกระดูกอ่อน (cartilage toxicity) จากการศึกษาในสัตว์ทดลอง จึงหลีกเลี่ยงในเด็กและหญิงตั้งครรภ์
💡 Background:
การดูแลผู้ติดเชื้อ HIV เน้นเริ่ม Antiretroviral Therapy (ART) ทันทีเพื่อกด viral load ให้ undetectable (U=U) และฟื้นฟูระบบภูมิคุ้มกัน
🎯 ทำไมข้อนี้ถึงถูก:
เพราะมีความเป็นพิษต่อกระดูกอ่อน (cartilage toxicity) จากการศึกษาในสัตว์ทดลอง จึงหลีกเลี่ยงในเด็กและหญิงตั้งครรภ์ ยากลุ่ม Fluoroquinolones มีรายงานความเป็นพิษต่อกระดูกอ่อนของข้อต่อที่รับน้ำหนัก (Cartilage damage / Arthropathy / Chondrotoxicity) ในสัตว์ทดลองวัยเจริญเติบโต จึงเป็นเหตุผลหลักที่จำกัดการใช้และหลีกเลี่ยงในเด็กอายุต่ำกว่า 18 ปี และหญิงตั้งครรภ์ เว้นแต่กรณีที่มีข้อบ่งชี้จำเพาะจำเป็นยิ่งยวดที่ไม่มีทางเลือกอื่น เช่น Anthrax exposure หรือ Cystic fibrosis with Pseudomonas infection
🔍 ข้ออื่นผิดเพราะอะไร:
• ข้อ ก. (เพราะมีราคาแพงเกินไปสำหรับผู้ป่วยเด็ก): ข้อนี้ไม่ใช่คำตอบที่ถูกต้องสำหรับภาวะ HIV infection เนื่องจากกลไกการออกฤทธิ์, efficacy หรือข้อบ่งใช้ไม่ตรงกับโจทย์ที่กำหนด
• ข้อ ค. (เพราะไม่มีรูปแบบยาน้ำสำหรับเด็ก): ข้อนี้ไม่ใช่คำตอบที่ถูกต้องสำหรับภาวะ HIV infection เนื่องจากกลไกการออกฤทธิ์, efficacy หรือข้อบ่งใช้ไม่ตรงกับโจทย์ที่กำหนด
• ข้อ ง. (เพราะออกฤทธิ์แบบ bacteriostatic เท่านั้นในผู้ป่วยเด็ก): ข้อนี้ไม่ใช่คำตอบที่ถูกต้องสำหรับภาวะ HIV infection เนื่องจากกลไกการออกฤทธิ์, efficacy หรือข้อบ่งใช้ไม่ตรงกับโจทย์ที่กำหนด
• ข้อ จ. (เพราะเพิ่มความเสี่ยง Fanconi syndrome เฉพาะในเด็กเท่านั้น):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 s="2" t="n"/>
      <c r="L26" s="2" t="inlineStr">
        <is>
          <t>HIV infection</t>
        </is>
      </c>
      <c r="M26" s="2" t="inlineStr">
        <is>
          <t>Clinic</t>
        </is>
      </c>
      <c r="N26" s="2" t="inlineStr">
        <is>
          <t>ข้อ 5.6 Mock Infectious RxCU84</t>
        </is>
      </c>
      <c r="O26" s="2" t="inlineStr">
        <is>
          <t>Mock</t>
        </is>
      </c>
      <c r="P26" s="2" t="inlineStr">
        <is>
          <t>Mock RxCU84</t>
        </is>
      </c>
    </row>
    <row r="27" ht="13.2" customHeight="1" s="37">
      <c r="A27" s="8" t="inlineStr">
        <is>
          <t>24</t>
        </is>
      </c>
      <c r="B27" s="2" t="inlineStr">
        <is>
          <t>แพทย์ได้ทำการตรวจผู้ป่วยชายอายุ 56 ปี ที่มีอาการตัวเหลือง (jaundice), ปวดท้องและอ่อนแรง ปรากฏพบว่าค่า AST 90 U/L และ ALT 110 U/L ผลตรวจทางห้องปฏิบัติการ:
HBsAg (+), Anti-HBs (-), Anti-HBc total (+), IgM Anti-HBc (-)
ผู้ป่วยแจ้งว่ามีอาการแบบนี้มาปีกว่าๆ แล้ว ปฏิเสธการฉีดวัคซีนไวรัสตับอักเสบบีมาก่อน
คำถาม: จากผลการตรวจทางห้องปฏิบัติการ ผู้ป่วยรายนี้มีอาการเข้าได้กับภาวะใดมากที่สุด?</t>
        </is>
      </c>
      <c r="C27" s="2" t="n"/>
      <c r="D27" s="2" t="inlineStr">
        <is>
          <t>Acute hepatitis B</t>
        </is>
      </c>
      <c r="E27" s="2" t="inlineStr">
        <is>
          <t>Chronic hepatitis B</t>
        </is>
      </c>
      <c r="F27" s="2" t="inlineStr">
        <is>
          <t>เคยติดเชื้อ hepatitis B และรักษาหายแล้ว</t>
        </is>
      </c>
      <c r="G27" s="2" t="inlineStr">
        <is>
          <t>ได้รับวัคซีนป้องกัน hepatitis B และมีภูมิคุ้มกัน</t>
        </is>
      </c>
      <c r="H27" s="2" t="inlineStr">
        <is>
          <t>อยู่ในช่วง Window period ของการติดเชื้อ</t>
        </is>
      </c>
      <c r="I27" s="8" t="inlineStr">
        <is>
          <t>2</t>
        </is>
      </c>
      <c r="J27" s="2" t="inlineStr">
        <is>
          <t>✅ คำตอบที่ถูกต้อง: ข้อ ข. Chronic hepatitis B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Chronic hepatitis B การแปลผล Serology: 1) HBsAg (+) บ่งบอกว่ามีเชื้อไวรัสตับอักเสบบีอยู่ในร่างกาย, 2) Anti-HBs (-) ยังไม่มีภูมิคุ้มกันกำจัดเชื้อ, 3) Anti-HBc total (+) มีการติดเชื้อจริง, 4) IgM Anti-HBc (-) แสดงว่าไม่ใช่การติดเชื้อเฉียบพลัน ประกอบกับมีอาการเรื้อรังมานานกว่า 6 เดือน จึงสรุปการวินิจฉัยเป็น โรคไวรัสตับอักเสบบีเรื้อรัง (Chronic Hepatitis B)
🔍 ข้ออื่นผิดเพราะอะไร:
• ข้อ ก. (Acute hepatitis B): ข้อนี้ไม่ใช่คำตอบที่ถูกต้องสำหรับภาวะ HIV infection เนื่องจากกลไกการออกฤทธิ์, efficacy หรือข้อบ่งใช้ไม่ตรงกับโจทย์ที่กำหนด
• ข้อ ค. (เคยติดเชื้อ hepatitis B และรักษาหายแล้ว): ข้อนี้ไม่ใช่คำตอบที่ถูกต้องสำหรับภาวะ HIV infection เนื่องจากกลไกการออกฤทธิ์, efficacy หรือข้อบ่งใช้ไม่ตรงกับโจทย์ที่กำหนด
• ข้อ ง. (ได้รับวัคซีนป้องกัน hepatitis B และมีภูมิคุ้มกัน): ข้อนี้ไม่ใช่คำตอบที่ถูกต้องสำหรับภาวะ HIV infection เนื่องจากกลไกการออกฤทธิ์, efficacy หรือข้อบ่งใช้ไม่ตรงกับโจทย์ที่กำหนด
• ข้อ จ. (อยู่ในช่วง Window period ของการติดเชื้อ): ข้อนี้ไม่ใช่คำตอบที่ถูกต้องสำหรับภาวะ HIV infection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 s="2" t="n"/>
      <c r="L27" s="2" t="inlineStr">
        <is>
          <t>HIV infection</t>
        </is>
      </c>
      <c r="M27" s="2" t="inlineStr">
        <is>
          <t>Clinic</t>
        </is>
      </c>
      <c r="N27" s="2" t="inlineStr">
        <is>
          <t>ข้อ 8.1 Mock Infectious RxCU84</t>
        </is>
      </c>
      <c r="O27" s="2" t="inlineStr">
        <is>
          <t>Mock</t>
        </is>
      </c>
      <c r="P27" s="2" t="inlineStr">
        <is>
          <t>Mock RxCU84</t>
        </is>
      </c>
    </row>
    <row r="28" ht="13.2" customHeight="1" s="37">
      <c r="A28" s="8" t="inlineStr">
        <is>
          <t>25</t>
        </is>
      </c>
      <c r="B28" s="2" t="inlineStr">
        <is>
          <t>ผู้ป่วยชายอายุ 56 ปี เป็น Chronic Hepatitis B ผลตรวจเพิ่มเติมพบ:
HBV DNA = 3.8 × 10^6 IU/mL, HBeAg (+), Ultrasound ไม่พบตับแข็ง, ค่า ALT ยังคงสูงกว่าค่าปกติ
คำถาม: ผู้ป่วยรายนี้น่าจะอยู่ในระยะ (Phase) ใดของโรคมากที่สุด?</t>
        </is>
      </c>
      <c r="C28" s="2" t="n"/>
      <c r="D28" s="2" t="inlineStr">
        <is>
          <t>ผู้ป่วยเป็น acute hepatitis B</t>
        </is>
      </c>
      <c r="E28" s="2" t="inlineStr">
        <is>
          <t>Immune Tolerance Phase</t>
        </is>
      </c>
      <c r="F28" s="2" t="inlineStr">
        <is>
          <t>Immune Active Phase</t>
        </is>
      </c>
      <c r="G28" s="2" t="inlineStr">
        <is>
          <t>Inactive Carrier Phase</t>
        </is>
      </c>
      <c r="H28" s="2" t="inlineStr">
        <is>
          <t>Reactivation Phase</t>
        </is>
      </c>
      <c r="I28" s="8" t="inlineStr">
        <is>
          <t>3</t>
        </is>
      </c>
      <c r="J28" s="2" t="inlineStr">
        <is>
          <t>✅ คำตอบที่ถูกต้อง: ข้อ ค. Immune Active Phase
💡 Background:
การดูแลผู้ติดเชื้อ HIV เน้นเริ่ม Antiretroviral Therapy (ART) ทันทีเพื่อกด viral load ให้ undetectable (U=U) และฟื้นฟูระบบภูมิคุ้มกัน
🎯 ทำไมข้อนี้ถึงถูก:
Immune Active Phase ผู้ป่วยมี HBeAg (+), ระดับไวรัส HBV DNA สูงมาก (&gt;20,000 IU/mL) ร่วมกับมีภาวะตับอักเสบคือค่า ALT สูงกว่าปกติ บ่งบอกว่าระบบภูมิคุ้มกันของร่างกายกำลังเข้าทำลายเซลล์ตับที่ติดเชื้อไวรัส (Immune-mediated liver injury) ภาวะนี้จึงจัดอยู่ในระยะ Immune Active Phase (หรือ HBeAg-positive chronic hepatitis B) ซึ่งเป็นระยะที่มีข้อบ่งชี้ชัดเจนในการเริ่มต้นการรักษาด้วยยาต้านไวรัส
🔍 ข้ออื่นผิดเพราะอะไร:
• ข้อ ก. (ผู้ป่วยเป็น acute hepatitis B): ข้อนี้ไม่ใช่คำตอบที่ถูกต้องสำหรับภาวะ HIV infection เนื่องจากกลไกการออกฤทธิ์, efficacy หรือข้อบ่งใช้ไม่ตรงกับโจทย์ที่กำหนด
• ข้อ ข. (Immune Tolerance Phase): ข้อนี้ไม่ใช่คำตอบที่ถูกต้องสำหรับภาวะ HIV infection เนื่องจากกลไกการออกฤทธิ์, efficacy หรือข้อบ่งใช้ไม่ตรงกับโจทย์ที่กำหนด
• ข้อ ง. (Inactive Carrier Phase): ข้อนี้ไม่ใช่คำตอบที่ถูกต้องสำหรับภาวะ HIV infection เนื่องจากกลไกการออกฤทธิ์, efficacy หรือข้อบ่งใช้ไม่ตรงกับโจทย์ที่กำหนด
• ข้อ จ. (Reactivation Phase):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 s="2" t="n"/>
      <c r="L28" s="2" t="inlineStr">
        <is>
          <t>HIV infection</t>
        </is>
      </c>
      <c r="M28" s="2" t="inlineStr">
        <is>
          <t>Clinic</t>
        </is>
      </c>
      <c r="N28" s="2" t="inlineStr">
        <is>
          <t>ข้อ 8.2 Mock Infectious RxCU84</t>
        </is>
      </c>
      <c r="O28" s="2" t="inlineStr">
        <is>
          <t>Mock</t>
        </is>
      </c>
      <c r="P28" s="2" t="inlineStr">
        <is>
          <t>Mock RxCU84</t>
        </is>
      </c>
    </row>
    <row r="29" ht="13.2" customHeight="1" s="37">
      <c r="A29" s="8" t="inlineStr">
        <is>
          <t>26</t>
        </is>
      </c>
      <c r="B29" s="2" t="inlineStr">
        <is>
          <t>ผู้ป่วยชายอายุ 56 ปี เป็น Chronic Hepatitis B (Immune active) ตรวจพบค่า eGFR = 28 mL/min/1.73 m2, ได้รับการวินิจฉัยว่าเป็น Osteoporosis และไม่เคยได้รับยาต้านไวรัสมาก่อน (Treatment-naive)
คำถาม: จากข้อมูลเพิ่มเติมดังกล่าว ยาข้อใดเหมาะสมที่สุดในการรักษาผู้ป่วยรายนี้?</t>
        </is>
      </c>
      <c r="C29" s="2" t="n"/>
      <c r="D29" s="2" t="inlineStr">
        <is>
          <t>Tenofovir disoproxil fumarate (TDF) 300 mg รับประทานวันละ 1 ครั้ง</t>
        </is>
      </c>
      <c r="E29" s="2" t="inlineStr">
        <is>
          <t>Lamivudine 100 mg รับประทานวันละ 1 ครั้ง</t>
        </is>
      </c>
      <c r="F29" s="2" t="inlineStr">
        <is>
          <t>Entecavir 0.5 mg รับประทานวันละ 1 ครั้ง (ปรับขนาดตามการทำงานของไต)</t>
        </is>
      </c>
      <c r="G29" s="2" t="inlineStr">
        <is>
          <t>Peginterferon alfa-2a 180 mcg ฉีดใต้ผิวหนังสัปดาห์ละ 1 ครั้ง</t>
        </is>
      </c>
      <c r="H29" s="2" t="inlineStr">
        <is>
          <t>Telbivudine 600 mg รับประทานวันละ 1 ครั้ง</t>
        </is>
      </c>
      <c r="I29" s="8" t="inlineStr">
        <is>
          <t>3</t>
        </is>
      </c>
      <c r="J29" s="2" t="inlineStr">
        <is>
          <t>✅ คำตอบที่ถูกต้อง: ข้อ ค. Entecavir 0.5 mg รับประทานวันละ 1 ครั้ง (ปรับขนาดตามการทำงานของไต)
💡 Background:
โรคกระดูกพรุน (T-score ≤ -2.5) ทำให้กระดูกเปราะ เสี่ยงต่อ fragility fracture การรักษาเน้นยับยั้ง bone resorption ด้วย antiresorptive agents
🎯 ทำไมข้อนี้ถึงถูก:
Entecavir 0.5 mg รับประทานวันละ 1 ครั้ง (ปรับขนาดตามการทำงานของไต) การเลือก Entecavir 0.5 mg รับประทานวันละ 1 ครั้ง (ปรับขนาดตามการทำงานของไต)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(Tenofovir disoproxil fumarate (TDF) 300 mg รับประทานวันละ 1 ครั้ง): เป็น Nucleotide reverse transcriptase inhibitor (NRTI) แกนหลักใน HIV และ HBV therapy แต่ TDF ต้องระวัง nephrotoxicity (Fanconi syndrome) และ bone mineral density loss
• ข้อ ข. (Lamivudine 100 mg รับประทานวันละ 1 ครั้ง): ข้อนี้ไม่ใช่คำตอบที่ถูกต้องสำหรับภาวะ HIV infection เนื่องจากกลไกการออกฤทธิ์, efficacy หรือข้อบ่งใช้ไม่ตรงกับโจทย์ที่กำหนด
• ข้อ ง. (Peginterferon alfa-2a 180 mcg ฉีดใต้ผิวหนังสัปดาห์ละ 1 ครั้ง): ข้อนี้ไม่ใช่คำตอบที่ถูกต้องสำหรับภาวะ HIV infection เนื่องจากกลไกการออกฤทธิ์, efficacy หรือข้อบ่งใช้ไม่ตรงกับโจทย์ที่กำหนด
• ข้อ จ. (Telbivudine 600 mg รับประทานวันละ 1 ครั้ง):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29" s="2" t="n"/>
      <c r="L29" s="2" t="inlineStr">
        <is>
          <t>HIV infection</t>
        </is>
      </c>
      <c r="M29" s="2" t="inlineStr">
        <is>
          <t>Clinic</t>
        </is>
      </c>
      <c r="N29" s="2" t="inlineStr">
        <is>
          <t>ข้อ 8.3 Mock Infectious RxCU84</t>
        </is>
      </c>
      <c r="O29" s="2" t="inlineStr">
        <is>
          <t>Mock</t>
        </is>
      </c>
      <c r="P29" s="2" t="inlineStr">
        <is>
          <t>Mock RxCU84</t>
        </is>
      </c>
    </row>
    <row r="30" ht="13.2" customHeight="1" s="37">
      <c r="A30" s="8" t="inlineStr">
        <is>
          <t>27</t>
        </is>
      </c>
      <c r="B30" s="2" t="inlineStr">
        <is>
          <t>เป้าหมายการรักษาผู้ป่วยโรคไวรัสตับอักเสบบีเรื้อรังในระยะยาว
คำถาม: ข้อใดเป็นเป้าหมายระยะยาวที่สำคัญที่สุดในการรักษาโรคไวรัสตับอักเสบบีเรื้อรัง?</t>
        </is>
      </c>
      <c r="C30" s="2" t="n"/>
      <c r="D30" s="2" t="inlineStr">
        <is>
          <t>ทำให้ค่า AST และ ALT กลับสู่ศูนย์</t>
        </is>
      </c>
      <c r="E30" s="2" t="inlineStr">
        <is>
          <t>ทำให้ HBsAg เปลี่ยนเป็นลบในผู้ป่วยทุกราย</t>
        </is>
      </c>
      <c r="F30" s="2" t="inlineStr">
        <is>
          <t>กำจัด HBV cccDNA ออกจากเซลล์ตับให้หมด</t>
        </is>
      </c>
      <c r="G30" s="2" t="inlineStr">
        <is>
          <t>ลดการดำเนินโรคไปสู่ตับแข็ง มะเร็งตับ และลดอัตราการเสียชีวิต</t>
        </is>
      </c>
      <c r="H30" s="2" t="inlineStr">
        <is>
          <t>ทำให้ Anti-HBs เปลี่ยนเป็นบวกภายใน 6 เดือน</t>
        </is>
      </c>
      <c r="I30" s="8" t="inlineStr">
        <is>
          <t>4</t>
        </is>
      </c>
      <c r="J30" s="2" t="inlineStr">
        <is>
          <t>✅ คำตอบที่ถูกต้อง: ข้อ ง. ลดการดำเนินโรคไปสู่ตับแข็ง มะเร็งตับ และลดอัตราการเสียชีวิต
💡 Background:
การดูแลผู้ติดเชื้อ HIV เน้นเริ่ม Antiretroviral Therapy (ART) ทันทีเพื่อกด viral load ให้ undetectable (U=U) และฟื้นฟูระบบภูมิคุ้มกัน
🎯 ทำไมข้อนี้ถึงถูก:
ลดการดำเนินโรคไปสู่ตับแข็ง มะเร็งตับ และลดอัตราการเสียชีวิต เนื่องจากยาต้านไวรัสในปัจจุบันไม่สามารถกำจัด covalently closed circular DNA (cccDNA) ของไวรัสในนิวเคลียสของเซลล์ตับให้หมดสิ้นได้ เป้าหมายระยะยาวที่สำคัญที่สุดของการรักษาโรคไวรัสตับอักเสบบีเรื้อรัง จึงเป็นการกดการแบ่งตัวของเชื้อไวรัสอย่างต่อเนื่อง (Sustained HBV DNA suppression) เพื่อหยุดการอักเสบ ลดการเกิดพังผืด ป้องกันการดำเนินโรคไปสู่ภาวะตับแข็ง (Cirrhosis) ลดความเสี่ยงในการเกิดมะเร็งเซลล์ตับ (Hepatocellular carcinoma: HCC) และลดอัตราการเสียชีวิตของผู้ป่วย
🔍 ข้ออื่นผิดเพราะอะไร:
• ข้อ ก. (ทำให้ค่า AST และ ALT กลับสู่ศูนย์): ข้อนี้ไม่ใช่คำตอบที่ถูกต้องสำหรับภาวะ HIV infection เนื่องจากกลไกการออกฤทธิ์, efficacy หรือข้อบ่งใช้ไม่ตรงกับโจทย์ที่กำหนด
• ข้อ ข. (ทำให้ HBsAg เปลี่ยนเป็นลบในผู้ป่วยทุกราย): ข้อนี้ไม่ใช่คำตอบที่ถูกต้องสำหรับภาวะ HIV infection เนื่องจากกลไกการออกฤทธิ์, efficacy หรือข้อบ่งใช้ไม่ตรงกับโจทย์ที่กำหนด
• ข้อ ค. (กำจัด HBV cccDNA ออกจากเซลล์ตับให้หมด): ข้อนี้ไม่ใช่คำตอบที่ถูกต้องสำหรับภาวะ HIV infection เนื่องจากกลไกการออกฤทธิ์, efficacy หรือข้อบ่งใช้ไม่ตรงกับโจทย์ที่กำหนด
• ข้อ จ. (ทำให้ Anti-HBs เปลี่ยนเป็นบวกภายใน 6 เดือน):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 s="2" t="n"/>
      <c r="L30" s="2" t="inlineStr">
        <is>
          <t>HIV infection</t>
        </is>
      </c>
      <c r="M30" s="2" t="inlineStr">
        <is>
          <t>Clinic</t>
        </is>
      </c>
      <c r="N30" s="2" t="inlineStr">
        <is>
          <t>ข้อ 8.4 Mock Infectious RxCU84</t>
        </is>
      </c>
      <c r="O30" s="2" t="inlineStr">
        <is>
          <t>Mock</t>
        </is>
      </c>
      <c r="P30" s="2" t="inlineStr">
        <is>
          <t>Mock RxCU84</t>
        </is>
      </c>
    </row>
    <row r="31" ht="13.2" customHeight="1" s="37">
      <c r="A31" s="8" t="inlineStr">
        <is>
          <t>28</t>
        </is>
      </c>
      <c r="B31" s="2" t="inlineStr">
        <is>
          <t>การตรวจติดตามทางห้องปฏิบัติการในผู้ป่วยโรคไวรัสตับอักเสบบี
คำถาม: ข้อใดเป็นเหตุผลสำคัญที่สุดในการตรวจระดับ HBV DNA เพิ่มเติมในผู้ป่วยรายนี้?</t>
        </is>
      </c>
      <c r="C31" s="2" t="n"/>
      <c r="D31" s="2" t="inlineStr">
        <is>
          <t>เพื่อยืนยันว่าผู้ป่วยเคยได้รับวัคซีนป้องกันไวรัสตับอักเสบบี</t>
        </is>
      </c>
      <c r="E31" s="2" t="inlineStr">
        <is>
          <t>เพื่อประเมินระดับการแบ่งตัวของไวรัส และใช้ประกอบการตัดสินใจเริ่มรักษา รวมถึงติดตามผลการรักษา</t>
        </is>
      </c>
      <c r="F31" s="2" t="inlineStr">
        <is>
          <t>เพื่อยืนยันภาวะตับแข็ง</t>
        </is>
      </c>
      <c r="G31" s="2" t="inlineStr">
        <is>
          <t>เพื่อประเมินระดับภูมิคุ้มกันต่อไวรัสตับอักเสบบี</t>
        </is>
      </c>
      <c r="H31" s="2" t="inlineStr">
        <is>
          <t>เพื่อยืนยันการติดเชื้อไวรัสตับอักเสบชนิดเอร่วมด้วย</t>
        </is>
      </c>
      <c r="I31" s="8" t="inlineStr">
        <is>
          <t>2</t>
        </is>
      </c>
      <c r="J31" s="2" t="inlineStr">
        <is>
          <t>✅ คำตอบที่ถูกต้อง: ข้อ ข. เพื่อประเมินระดับการแบ่งตัวของไวรัส และใช้ประกอบการตัดสินใจเริ่มรักษา รวมถึงติดตามผลการรักษา
💡 Background:
การดูแลผู้ติดเชื้อ HIV เน้นเริ่ม Antiretroviral Therapy (ART) ทันทีเพื่อกด viral load ให้ undetectable (U=U) และฟื้นฟูระบบภูมิคุ้มกัน
🎯 ทำไมข้อนี้ถึงถูก:
เพื่อประเมินระดับการแบ่งตัวของไวรัส และใช้ประกอบการตัดสินใจเริ่มรักษา รวมถึงติดตามผลการรักษา HBV DNA (Viral load) เป็นตัวบ่งชี้โดยตรงถึงระดับการแบ่งตัวของไวรัส (Viral replication) ซึ่งนำมาใช้ประเมินความรุนแรงของโรค เป็นเกณฑ์สำคัญในการตัดสินใจเริ่มการรักษาด้วยยาต้านไวรัส และใช้ประเมินการตอบสนองต่อการรักษา (Virological response) รวมถึงเฝ้าระวังการเกิดเชื้อดื้อยา
🔍 ข้ออื่นผิดเพราะอะไร:
• ข้อ ก. (เพื่อยืนยันว่าผู้ป่วยเคยได้รับวัคซีนป้องกันไวรัสตับอักเสบบี): ข้อนี้ไม่ใช่คำตอบที่ถูกต้องสำหรับภาวะ HIV infection เนื่องจากกลไกการออกฤทธิ์, efficacy หรือข้อบ่งใช้ไม่ตรงกับโจทย์ที่กำหนด
• ข้อ ค. (เพื่อยืนยันภาวะตับแข็ง): ข้อนี้ไม่ใช่คำตอบที่ถูกต้องสำหรับภาวะ HIV infection เนื่องจากกลไกการออกฤทธิ์, efficacy หรือข้อบ่งใช้ไม่ตรงกับโจทย์ที่กำหนด
• ข้อ ง. (เพื่อประเมินระดับภูมิคุ้มกันต่อไวรัสตับอักเสบบี): ข้อนี้ไม่ใช่คำตอบที่ถูกต้องสำหรับภาวะ HIV infection เนื่องจากกลไกการออกฤทธิ์, efficacy หรือข้อบ่งใช้ไม่ตรงกับโจทย์ที่กำหนด
• ข้อ จ. (เพื่อยืนยันการติดเชื้อไวรัสตับอักเสบชนิดเอร่วมด้วย):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1" s="2" t="n"/>
      <c r="L31" s="2" t="inlineStr">
        <is>
          <t>HIV infection</t>
        </is>
      </c>
      <c r="M31" s="2" t="inlineStr">
        <is>
          <t>Clinic</t>
        </is>
      </c>
      <c r="N31" s="2" t="inlineStr">
        <is>
          <t>ข้อ 8.5 Mock Infectious RxCU84</t>
        </is>
      </c>
      <c r="O31" s="2" t="inlineStr">
        <is>
          <t>Mock</t>
        </is>
      </c>
      <c r="P31" s="2" t="inlineStr">
        <is>
          <t>Mock RxCU84</t>
        </is>
      </c>
    </row>
    <row r="32" ht="13.2" customHeight="1" s="37">
      <c r="A32" s="8" t="inlineStr">
        <is>
          <t>29</t>
        </is>
      </c>
      <c r="B32" s="2" t="inlineStr">
        <is>
          <t>ผู้ป่วยหญิงอายุ 29 ปี อาชีพพยาบาล ประจำหอผู้ป่วยอายุรกรรม ไม่มีโรคประจำตัว และไม่มีประวัติแพ้ยา มาพบแพทย์ด้วยอาการไอเป็นเลือด ไอต่อเนื่อง 2 อาทิตย์ อ่อนเพลีย เบื่ออาหาร และน้ำหนักลดประมาณ 5 กิโลกรัมภายใน 2 สัปดาห์ ร่วมกับมีไข้ต่ำช่วงบ่ายและเหงื่อออกกลางคืน
ผลตรวจทางห้องปฏิบัติการ:
AFB sputum smear 3+
Mycobacterial culture: Mycobacterium tuberculosis
Drug susceptibility testing: Susceptible to first-line anti-tuberculosis drugs
คำถาม: จากข้อมูลอาการและผลตรวจทางห้องปฏิบัติการ ผู้ป่วยรายนี้น่าจะได้รับการวินิจฉัยเป็นโรคใดมากที่สุด?</t>
        </is>
      </c>
      <c r="C32" s="2" t="n"/>
      <c r="D32" s="2" t="inlineStr">
        <is>
          <t>Community-acquired pneumonia (CAP)</t>
        </is>
      </c>
      <c r="E32" s="2" t="inlineStr">
        <is>
          <t>Pulmonary tuberculosis</t>
        </is>
      </c>
      <c r="F32" s="2" t="inlineStr">
        <is>
          <t>Lung cancer</t>
        </is>
      </c>
      <c r="G32" s="2" t="inlineStr">
        <is>
          <t>Bronchiectasis</t>
        </is>
      </c>
      <c r="H32" s="2" t="inlineStr">
        <is>
          <t>Pneumocystis jirovecii pneumonia (PJP)</t>
        </is>
      </c>
      <c r="I32" s="8" t="inlineStr">
        <is>
          <t>2</t>
        </is>
      </c>
      <c r="J32" s="2" t="inlineStr">
        <is>
          <t>✅ คำตอบที่ถูกต้อง: ข้อ ข. Pulmonary tuberculosis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Pulmonary tuberculosis ผู้ป่วยมีอาการแสดงคลาสสิกของวัณโรคปอด ได้แก่ ไอเรื้อรังนาน &gt;2 สัปดาห์ มีไอเป็นเลือด ไข้ต่ำช่วงบ่าย เหงื่อออกกลางคืน เบื่ออาหาร และน้ำหนักลดอย่างรวดเร็ว ร่วมกับผลตรวจเสมหะย้อมกรดทน AFB smear 3+ และผลเพาะเชื้อยืนยันพบเชื้อ Mycobacterium tuberculosis จึงวินิจฉัยเป็น วัณโรคปอด (Pulmonary tuberculosis)
🔍 ข้ออื่นผิดเพราะอะไร:
• ข้อ ก. (Community-acquired pneumonia (CAP)): ข้อนี้ไม่ใช่คำตอบที่ถูกต้องสำหรับภาวะ Tuberculosis เนื่องจากกลไกการออกฤทธิ์, efficacy หรือข้อบ่งใช้ไม่ตรงกับโจทย์ที่กำหนด
• ข้อ ค. (Lung cancer): ข้อนี้ไม่ใช่คำตอบที่ถูกต้องสำหรับภาวะ Tuberculosis เนื่องจากกลไกการออกฤทธิ์, efficacy หรือข้อบ่งใช้ไม่ตรงกับโจทย์ที่กำหนด
• ข้อ ง. (Bronchiectasis): ข้อนี้ไม่ใช่คำตอบที่ถูกต้องสำหรับภาวะ Tuberculosis เนื่องจากกลไกการออกฤทธิ์, efficacy หรือข้อบ่งใช้ไม่ตรงกับโจทย์ที่กำหนด
• ข้อ จ. (Pneumocystis jirovecii pneumonia (PJP)):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2" s="2" t="n"/>
      <c r="L32" s="2" t="inlineStr">
        <is>
          <t>Tuberculosis</t>
        </is>
      </c>
      <c r="M32" s="2" t="inlineStr">
        <is>
          <t>Clinic</t>
        </is>
      </c>
      <c r="N32" s="2" t="inlineStr">
        <is>
          <t>ข้อ 9.1 Mock Infectious RxCU84</t>
        </is>
      </c>
      <c r="O32" s="2" t="inlineStr">
        <is>
          <t>Mock</t>
        </is>
      </c>
      <c r="P32" s="2" t="inlineStr">
        <is>
          <t>Mock RxCU84</t>
        </is>
      </c>
    </row>
    <row r="33" ht="13.2" customHeight="1" s="37">
      <c r="A33" s="8" t="inlineStr">
        <is>
          <t>30</t>
        </is>
      </c>
      <c r="B33" s="2" t="inlineStr">
        <is>
          <t>ผู้ป่วยหญิงอายุ 29 ปี ผลตรวจเสมหะพบ AFB sputum smear 3+
คำถาม: ผล AFB sputum smear 3+ ในผู้ป่วยรายนี้มีความหมายมากที่สุดข้อใด?</t>
        </is>
      </c>
      <c r="C33" s="2" t="n"/>
      <c r="D33" s="2" t="inlineStr">
        <is>
          <t>ยืนยันว่าเชื้อดื้อต่อยา Rifampicin</t>
        </is>
      </c>
      <c r="E33" s="2" t="inlineStr">
        <is>
          <t>ผู้ป่วยมีเชื้อวัณโรคในกระแสเลือด</t>
        </is>
      </c>
      <c r="F33" s="2" t="inlineStr">
        <is>
          <t>พบเชื้อ acid-fast bacilli ในเสมหะจำนวนมาก และมีโอกาสแพร่เชื้อสูง</t>
        </is>
      </c>
      <c r="G33" s="2" t="inlineStr">
        <is>
          <t>ยืนยันว่าเป็นเชื้อ Mycobacterium tuberculosis โดยไม่ต้องตรวจเพิ่มเติม</t>
        </is>
      </c>
      <c r="H33" s="2" t="inlineStr">
        <is>
          <t>ผู้ป่วยมีภาวะติดเชื้อแบคทีเรียแทรกซ้อนในทางเดินหายใจส่วนบน</t>
        </is>
      </c>
      <c r="I33" s="8" t="inlineStr">
        <is>
          <t>3</t>
        </is>
      </c>
      <c r="J33" s="2" t="inlineStr">
        <is>
          <t>✅ คำตอบที่ถูกต้อง: ข้อ ค. พบเชื้อ acid-fast bacilli ในเสมหะจำนวนมาก และมีโอกาสแพร่เชื้อสูง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พบเชื้อ acid-fast bacilli ในเสมหะจำนวนมาก และมีโอกาสแพร่เชื้อสูง การตรวจ Acid-Fast Bacilli (AFB) smear เป็นการย้อมสีทนกรดเพื่อตรวจหาตัวเชื้อในเสมหะ ระดับ 3+ หมายถึงพบเชื้อมากกว่า 10 ตัวต่อ 1 oil immersion field บ่งชี้ว่ามีปริมาณเชื้อในทางเดินหายใจสูงมาก และมีความเสี่ยงสูงอย่างยิ่งในการแพร่กระจายเชื้อสู่ผู้อื่นผ่านทางละอองฝอย (Airborne transmission) อย่างไรก็ตามไม่สามารถบอกการดื้อยาหรือยืนยันสปีชีส์ได้
🔍 ข้ออื่นผิดเพราะอะไร:
• ข้อ ก. (ยืนยันว่าเชื้อดื้อต่อยา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ข. (ผู้ป่วยมีเชื้อวัณโรคในกระแสเลือด): ข้อนี้ไม่ใช่คำตอบที่ถูกต้องสำหรับภาวะ Tuberculosis เนื่องจากกลไกการออกฤทธิ์, efficacy หรือข้อบ่งใช้ไม่ตรงกับโจทย์ที่กำหนด
• ข้อ ง. (ยืนยันว่าเป็นเชื้อ Mycobacterium tuberculosis โดยไม่ต้องตรวจเพิ่มเติม): ข้อนี้ไม่ใช่คำตอบที่ถูกต้องสำหรับภาวะ Tuberculosis เนื่องจากกลไกการออกฤทธิ์, efficacy หรือข้อบ่งใช้ไม่ตรงกับโจทย์ที่กำหนด
• ข้อ จ. (ผู้ป่วยมีภาวะติดเชื้อแบคทีเรียแทรกซ้อนในทางเดินหายใจส่วนบน):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3" s="2" t="n"/>
      <c r="L33" s="2" t="inlineStr">
        <is>
          <t>Tuberculosis</t>
        </is>
      </c>
      <c r="M33" s="2" t="inlineStr">
        <is>
          <t>Clinic</t>
        </is>
      </c>
      <c r="N33" s="2" t="inlineStr">
        <is>
          <t>ข้อ 9.2 Mock Infectious RxCU84</t>
        </is>
      </c>
      <c r="O33" s="2" t="inlineStr">
        <is>
          <t>Mock</t>
        </is>
      </c>
      <c r="P33" s="2" t="inlineStr">
        <is>
          <t>Mock RxCU84</t>
        </is>
      </c>
    </row>
    <row r="34" ht="13.2" customHeight="1" s="37">
      <c r="A34" s="8" t="inlineStr">
        <is>
          <t>31</t>
        </is>
      </c>
      <c r="B34" s="2" t="inlineStr">
        <is>
          <t>ผู้ป่วยวัณโรคปอดรายใหม่ ผลการตรวจความไวต่อยาพบว่าไวต่อยาทุกตัว (Pan-susceptible)
คำถาม: หากผล Drug susceptibility testing พบว่าเชื้อไวต่อยาต้านวัณโรคชนิดแรก สูตรการรักษามาตรฐานที่เหมาะสมที่สุดคือข้อใด?</t>
        </is>
      </c>
      <c r="C34" s="2" t="n"/>
      <c r="D34" s="2" t="inlineStr">
        <is>
          <t>2HRZE / 4HR</t>
        </is>
      </c>
      <c r="E34" s="2" t="inlineStr">
        <is>
          <t>2HR / 7HR</t>
        </is>
      </c>
      <c r="F34" s="2" t="inlineStr">
        <is>
          <t>6HRZE</t>
        </is>
      </c>
      <c r="G34" s="2" t="inlineStr">
        <is>
          <t>9HR</t>
        </is>
      </c>
      <c r="H34" s="2" t="inlineStr">
        <is>
          <t>2HRZ / 4HR</t>
        </is>
      </c>
      <c r="I34" s="8" t="inlineStr">
        <is>
          <t>1</t>
        </is>
      </c>
      <c r="J34" s="2" t="inlineStr">
        <is>
          <t>✅ คำตอบที่ถูกต้อง: ข้อ ก. 2HRZE / 4HR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2HRZE / 4HR สูตรการรักษามาตรฐานสำหรับผู้ป่วยวัณโรคปอดรายใหม่ที่เชื้อไวต่อยาต้านวัณโรคแนวที่หนึ่ง (First-line drugs) คือสูตรระยะสั้น 6 เดือน ประกอบด้วย Intensive phase 2 เดือนด้วยยา 4 ชนิด: Isoniazid (H), Rifampicin (R), Pyrazinamide (Z), และ Ethambutol (E) ตามด้วย Continuation phase 4 เดือนด้วยยา 2 ชนิด: Isoniazid (H) และ Rifampicin (R) สรุปเป็น 2HRZE/4HR
🔍 ข้ออื่นผิดเพราะอะไร:
• ข้อ ข. (2HR / 7HR): ข้อนี้ไม่ใช่คำตอบที่ถูกต้องสำหรับภาวะ Tuberculosis เนื่องจากกลไกการออกฤทธิ์, efficacy หรือข้อบ่งใช้ไม่ตรงกับโจทย์ที่กำหนด
• ข้อ ค. (6HRZE): ข้อนี้ไม่ใช่คำตอบที่ถูกต้องสำหรับภาวะ Tuberculosis เนื่องจากกลไกการออกฤทธิ์, efficacy หรือข้อบ่งใช้ไม่ตรงกับโจทย์ที่กำหนด
• ข้อ ง. (9HR): ข้อนี้ไม่ใช่คำตอบที่ถูกต้องสำหรับภาวะ Tuberculosis เนื่องจากกลไกการออกฤทธิ์, efficacy หรือข้อบ่งใช้ไม่ตรงกับโจทย์ที่กำหนด
• ข้อ จ. (2HRZ / 4HR):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4" s="2" t="n"/>
      <c r="L34" s="2" t="inlineStr">
        <is>
          <t>Tuberculosis</t>
        </is>
      </c>
      <c r="M34" s="2" t="inlineStr">
        <is>
          <t>Clinic</t>
        </is>
      </c>
      <c r="N34" s="2" t="inlineStr">
        <is>
          <t>ข้อ 9.3 Mock Infectious RxCU84</t>
        </is>
      </c>
      <c r="O34" s="2" t="inlineStr">
        <is>
          <t>Mock</t>
        </is>
      </c>
      <c r="P34" s="2" t="inlineStr">
        <is>
          <t>Mock RxCU84</t>
        </is>
      </c>
    </row>
    <row r="35" ht="13.2" customHeight="1" s="37">
      <c r="A35" s="8" t="inlineStr">
        <is>
          <t>32</t>
        </is>
      </c>
      <c r="B35" s="2" t="inlineStr">
        <is>
          <t>การติดตามอาการไม่พึงประสงค์จากยาสูตรมาตรฐาน 2HRZE
คำถาม: ผู้ป่วยหญิงอายุ 29 ปี ได้รับการรักษาวัณโรคด้วยสูตร 2HRZE/4HR หลังรับประทานยา 1 เดือน ข้อใดจับคู่ยาและอาการไม่พึงประสงค์สำคัญได้ถูกต้องที่สุด?</t>
        </is>
      </c>
      <c r="C35" s="2" t="n"/>
      <c r="D35" s="2" t="inlineStr">
        <is>
          <t>Isoniazid – ปลายมือปลายเท้าชา, Rifampicin – ปัสสาวะสีส้มแดง, Pyrazinamide – กรดยูริกสูงและปวดข้อ, Ethambutol – ตามัวและมองเห็นสีแดง-เขียวผิดปกติ</t>
        </is>
      </c>
      <c r="E35" s="2" t="inlineStr">
        <is>
          <t>Isoniazid – ปัสสาวะสีส้มแดง, Rifampicin – ปลายมือปลายเท้าชา, Pyrazinamide – ตามัว, Ethambutol – กรดยูริกสูง</t>
        </is>
      </c>
      <c r="F35" s="2" t="inlineStr">
        <is>
          <t>Isoniazid – ตามัว, Rifampicin – กรดยูริกสูง, Pyrazinamide – ปลายมือปลายเท้าชา, Ethambutol – ปัสสาวะสีส้มแดง</t>
        </is>
      </c>
      <c r="G35" s="2" t="inlineStr">
        <is>
          <t>Isoniazid – ปวดข้อ, Rifampicin – ตามัว, Pyrazinamide – ปัสสาวะสีส้มแดง, Ethambutol – ชาปลายมือปลายเท้า</t>
        </is>
      </c>
      <c r="H35" s="2" t="inlineStr">
        <is>
          <t>Isoniazid – หูดับ, Rifampicin – ตับอักเสบ, Pyrazinamide – ผื่นลมพิษ, Ethambutol – ไตวาย</t>
        </is>
      </c>
      <c r="I35" s="8" t="inlineStr">
        <is>
          <t>1</t>
        </is>
      </c>
      <c r="J35" s="2" t="inlineStr">
        <is>
          <t>✅ คำตอบที่ถูกต้อง: ข้อ ก. Isoniazid – ปลายมือปลายเท้าชา, Rifampicin – ปัสสาวะสีส้มแดง, Pyrazinamide – กรดยูริกสูงและปวดข้อ, Ethambutol – ตามัวและมองเห็นสีแดง-เขียวผิดปกติ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Isoniazid – ปลายมือปลายเท้าชา, Rifampicin – ปัสสาวะสีส้มแดง, Pyrazinamide – กรดยูริกสูงและปวดข้อ, Ethambutol – ตามัวและมองเห็นสีแดง-เขียวผิดปกติ ADR สำคัญของยาต้านวัณโรค First-line: 1) Isoniazid (H): ตับอักเสบ, ปลายประสาทอักเสบชาปลายมือปลายเท้า (ป้องกันด้วย Pyridoxine/Vit B6), 2) Rifampicin (R): ตับอักเสบ, สารคัดหลั่ง (ปัสสาวะ น้ำตา เหงื่อ) สีส้มแดง, 3) Pyrazinamide (Z): ตับอักเสบรุนแรงสุด, ยับยั้งการขับยูริกทำให้ Hyperuricemia และปวดข้อ, 4) Ethambutol (E): ประสาทตาอักเสบ (Optic/Retrobulbar neuritis) ตามัว สูญเสียการแยกสีแดง-เขียว
🔍 ข้ออื่นผิดเพราะอะไร:
• ข้อ ข. (Isoniazid – ปัสสาวะสีส้มแดง, Rifampicin – ปลายมือปลายเท้าชา, Pyrazinamide – ตามัว, Ethambutol – กรดยูริกสูง):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(Isoniazid – ตามัว, Rifampicin – กรดยูริกสูง, Pyrazinamide – ปลายมือปลายเท้าชา, Ethambutol – ปัสสาวะสีส้มแดง):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(Isoniazid – ปวดข้อ, Rifampicin – ตามัว, Pyrazinamide – ปัสสาวะสีส้มแดง, Ethambutol – ชาปลายมือปลายเท้า):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(Isoniazid – หูดับ, Rifampicin – ตับอักเสบ, Pyrazinamide – ผื่นลมพิษ, Ethambutol – ไตวาย):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5" s="2" t="n"/>
      <c r="L35" s="2" t="inlineStr">
        <is>
          <t>Tuberculosis</t>
        </is>
      </c>
      <c r="M35" s="2" t="inlineStr">
        <is>
          <t>Clinic</t>
        </is>
      </c>
      <c r="N35" s="2" t="inlineStr">
        <is>
          <t>ข้อ 9.4 Mock Infectious RxCU84</t>
        </is>
      </c>
      <c r="O35" s="2" t="inlineStr">
        <is>
          <t>Mock</t>
        </is>
      </c>
      <c r="P35" s="2" t="inlineStr">
        <is>
          <t>Mock RxCU84</t>
        </is>
      </c>
    </row>
    <row r="36" ht="13.2" customHeight="1" s="37">
      <c r="A36" s="8" t="inlineStr">
        <is>
          <t>33</t>
        </is>
      </c>
      <c r="B36" s="2" t="inlineStr">
        <is>
          <t>คำแนะนำในการปฏิบัติตัวและการใช้ยาสำหรับผู้ป่วยวัณโรคปอด
คำถาม: เภสัชกรให้คำแนะนำผู้ป่วยที่รับประทานยาต้านวัณโรคข้อใดถูกต้องที่สุด?</t>
        </is>
      </c>
      <c r="C36" s="2" t="n"/>
      <c r="D36" s="2" t="inlineStr">
        <is>
          <t>หากปัสสาวะเป็นสีส้มแดง ให้หยุดยา Rifampicin ทันที</t>
        </is>
      </c>
      <c r="E36" s="2" t="inlineStr">
        <is>
          <t>หากมีอาการตามัวหรือมองเห็นสีผิดปกติ ควรหยุดยาเองและรอพบแพทย์ตามนัด</t>
        </is>
      </c>
      <c r="F36" s="2" t="inlineStr">
        <is>
          <t>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t>
        </is>
      </c>
      <c r="G36" s="2" t="inlineStr">
        <is>
          <t>เมื่ออาการไอดีขึ้นสามารถหยุดยาต้านวัณโรคได้เองเพื่อป้องกันผลข้างเคียง</t>
        </is>
      </c>
      <c r="H36" s="2" t="inlineStr">
        <is>
          <t>ควรรับประทานยาทุกชนิดพร้อมอาหารมื้อหนักเพื่อป้องกันอาการคลื่นไส้</t>
        </is>
      </c>
      <c r="I36" s="8" t="inlineStr">
        <is>
          <t>3</t>
        </is>
      </c>
      <c r="J36" s="2" t="inlineStr">
        <is>
          <t>✅ คำตอบที่ถูกต้อง: ข้อ ค.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ผู้ป่วยต้องรับประทานยาอย่างต่อเนื่องสม่ำเสมอห้ามหยุดยาเองแม้จะรู้สึกดีขึ้น เพื่อป้องกันเชื้อดื้อยา งดเครื่องดื่มแอลกอฮอล์เพื่อลดความเสี่ยงต่อตับอักเสบ หากมีอาการตับอักเสบ (ตัวเหลือง ตาเหลือง ปัสสาวะสีชา คลื่นไส้อาเจียนรุนแรง) หรือมีอาการตามัว มองเห็นสีผิดปกติ (Optic neuritis) ควรรีบมาพบแพทย์ทันที สำหรับปัสสาวะสีส้มแดงเป็นผลข้างเคียงปกติของ Rifampicin ไม่เป็นอันตรายและไม่ต้องหยุดยา
🔍 ข้ออื่นผิดเพราะอะไร:
• ข้อ ก. (หากปัสสาวะเป็นสีส้มแดง ให้หยุดยา Rifampicin ทันที):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ข. (หากมีอาการตามัวหรือมองเห็นสีผิดปกติ ควรหยุดยาเองและรอพบแพทย์ตามนัด): ข้อนี้ไม่ใช่คำตอบที่ถูกต้องสำหรับภาวะ Tuberculosis เนื่องจากกลไกการออกฤทธิ์, efficacy หรือข้อบ่งใช้ไม่ตรงกับโจทย์ที่กำหนด
• ข้อ ง. (เมื่ออาการไอดีขึ้นสามารถหยุดยาต้านวัณโรคได้เองเพื่อป้องกันผลข้างเคียง): ข้อนี้ไม่ใช่คำตอบที่ถูกต้องสำหรับภาวะ Tuberculosis เนื่องจากกลไกการออกฤทธิ์, efficacy หรือข้อบ่งใช้ไม่ตรงกับโจทย์ที่กำหนด
• ข้อ จ. (ควรรับประทานยาทุกชนิดพร้อมอาหารมื้อหนักเพื่อป้องกันอาการคลื่นไส้):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6" s="2" t="n"/>
      <c r="L36" s="2" t="inlineStr">
        <is>
          <t>Tuberculosis</t>
        </is>
      </c>
      <c r="M36" s="2" t="inlineStr">
        <is>
          <t>Clinic</t>
        </is>
      </c>
      <c r="N36" s="2" t="inlineStr">
        <is>
          <t>ข้อ 9.5 Mock Infectious RxCU84</t>
        </is>
      </c>
      <c r="O36" s="2" t="inlineStr">
        <is>
          <t>Mock</t>
        </is>
      </c>
      <c r="P36" s="2" t="inlineStr">
        <is>
          <t>Mock RxCU84</t>
        </is>
      </c>
    </row>
    <row r="37" ht="13.2" customHeight="1" s="37">
      <c r="A37" s="8" t="inlineStr">
        <is>
          <t>34</t>
        </is>
      </c>
      <c r="B37" s="2" t="inlineStr">
        <is>
          <t>ผู้ป่วยหญิงอายุ 19 ปี ไม่มีประวัติแพ้ยา ไม่มีโรคประจำตัว แต่เป็นโรคอ้วน (BMI = 30.5 kg/m2) มาร้านยาเนื่องจากต้องการปรึกษาเภสัชกรและซื้อยารักษาสิว ตรวจพบตุ่มสิวอักเสบมีหัวหนองสีขาวขุ่นบนฐานสีแดงกระจายทั่วใบหน้า (Inflammatory lesions 8 จุด ไม่มี nodule/cyst) ซักประวัติพบว่าผู้ป่วยชอบรับประทานขนมหวานและชานมไข่มุกเป็นประจำ [ต้องมีรูปภาพสิวหัวหนอง]
คำถาม: เภสัชกรควรจัดลักษณะสิวของผู้ป่วยรายนี้เป็นข้อใด เหมาะสมที่สุด?</t>
        </is>
      </c>
      <c r="C37" s="2" t="n"/>
      <c r="D37" s="2" t="inlineStr">
        <is>
          <t>Non-inflammatory acne ชนิด closed comedone</t>
        </is>
      </c>
      <c r="E37" s="2" t="inlineStr">
        <is>
          <t>Non-inflammatory acne ชนิด open comedone</t>
        </is>
      </c>
      <c r="F37" s="2" t="inlineStr">
        <is>
          <t>Inflammatory acne ชนิด papule</t>
        </is>
      </c>
      <c r="G37" s="2" t="inlineStr">
        <is>
          <t>Inflammatory acne ชนิด pustule</t>
        </is>
      </c>
      <c r="H37" s="2" t="inlineStr">
        <is>
          <t>Nodulocystic acne</t>
        </is>
      </c>
      <c r="I37" s="8" t="inlineStr">
        <is>
          <t>4</t>
        </is>
      </c>
      <c r="J37" s="2" t="inlineStr">
        <is>
          <t>✅ คำตอบที่ถูกต้อง: ข้อ ง. Inflammatory acne ชนิด pustule
💡 Background:
การดูแลผู้ติดเชื้อ HIV เน้นเริ่ม Antiretroviral Therapy (ART) ทันทีเพื่อกด viral load ให้ undetectable (U=U) และฟื้นฟูระบบภูมิคุ้มกัน
🎯 ทำไมข้อนี้ถึงถูก:
Inflammatory acne ชนิด pustule สิวที่มีลักษณะเป็นตุ่มนูนแดงและมียอดเป็นหัวหนองสีขาวขุ่น (Pus-filled lesion on an erythematous base) จัดเป็น Inflammatory acne ชนิด Pustule (สิวหัวหนอง) หากเป็นตุ่มแดงไม่มีหนองจะเรียกว่า Papule หากเป็นสิวหัวขาว/หัวดำที่ไม่อักเสบจะเรียกว่า Comedone
🔍 ข้ออื่นผิดเพราะอะไร:
• ข้อ ก. (Non-inflammatory acne ชนิด closed comedone): ข้อนี้ไม่ใช่คำตอบที่ถูกต้องสำหรับภาวะ HIV infection เนื่องจากกลไกการออกฤทธิ์, efficacy หรือข้อบ่งใช้ไม่ตรงกับโจทย์ที่กำหนด
• ข้อ ข. (Non-inflammatory acne ชนิด open comedone): ข้อนี้ไม่ใช่คำตอบที่ถูกต้องสำหรับภาวะ HIV infection เนื่องจากกลไกการออกฤทธิ์, efficacy หรือข้อบ่งใช้ไม่ตรงกับโจทย์ที่กำหนด
• ข้อ ค. (Inflammatory acne ชนิด papule): ข้อนี้ไม่ใช่คำตอบที่ถูกต้องสำหรับภาวะ HIV infection เนื่องจากกลไกการออกฤทธิ์, efficacy หรือข้อบ่งใช้ไม่ตรงกับโจทย์ที่กำหนด
• ข้อ จ. (Nodulocystic acne):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7" s="2" t="n"/>
      <c r="L37" s="2" t="inlineStr">
        <is>
          <t>HIV infection</t>
        </is>
      </c>
      <c r="M37" s="2" t="inlineStr">
        <is>
          <t>Clinic</t>
        </is>
      </c>
      <c r="N37" s="2" t="inlineStr">
        <is>
          <t>ข้อ 10.1 Mock Infectious RxCU84</t>
        </is>
      </c>
      <c r="O37" s="2" t="inlineStr">
        <is>
          <t>Mock</t>
        </is>
      </c>
      <c r="P37" s="2" t="inlineStr">
        <is>
          <t>Mock RxCU84</t>
        </is>
      </c>
    </row>
    <row r="38" ht="13.2" customHeight="1" s="37">
      <c r="A38" s="8" t="inlineStr">
        <is>
          <t>35</t>
        </is>
      </c>
      <c r="B38" s="2" t="inlineStr">
        <is>
          <t>ผู้ป่วยหญิงอายุ 19 ปี มี Inflammatory lesions ชนิด pustule จำนวน 8 จุด และไม่มี nodule/cyst (Mild inflammatory acne)
คำถาม: เภสัชกรควรเลือกแนวทางการรักษาเบื้องต้นตามแนวทางการดูแลรักษาโรคสิว สมาคมแพทย์ผิวหนังแห่งประเทศไทย ข้อใดเหมาะสมที่สุด?</t>
        </is>
      </c>
      <c r="C38" s="2" t="n"/>
      <c r="D38" s="2" t="inlineStr">
        <is>
          <t>Oral isotretinoin เพียงอย่างเดียว</t>
        </is>
      </c>
      <c r="E38" s="2" t="inlineStr">
        <is>
          <t>Oral doxycycline เพียงอย่างเดียว</t>
        </is>
      </c>
      <c r="F38" s="2" t="inlineStr">
        <is>
          <t>Topical benzoyl peroxide</t>
        </is>
      </c>
      <c r="G38" s="2" t="inlineStr">
        <is>
          <t>Oral quinolone ร่วมกับ topical retinoid</t>
        </is>
      </c>
      <c r="H38" s="2" t="inlineStr">
        <is>
          <t>Oral isotretinoin ร่วมกับ oral doxycycline</t>
        </is>
      </c>
      <c r="I38" s="8" t="inlineStr">
        <is>
          <t>3</t>
        </is>
      </c>
      <c r="J38" s="2" t="inlineStr">
        <is>
          <t>✅ คำตอบที่ถูกต้อง: ข้อ ค. Topical benzoyl peroxide
💡 Background:
การดูแลผู้ติดเชื้อ HIV เน้นเริ่ม Antiretroviral Therapy (ART) ทันทีเพื่อกด viral load ให้ undetectable (U=U) และฟื้นฟูระบบภูมิคุ้มกัน
🎯 ทำไมข้อนี้ถึงถูก:
Topical benzoyl peroxide ผู้ป่วยมีสิวอักเสบจำนวนน้อย (
🔍 ข้ออื่นผิดเพราะอะไร:
• ข้อ ก. (Oral isotretinoin เพียงอย่างเดียว): ข้อนี้ไม่ใช่คำตอบที่ถูกต้องสำหรับภาวะ HIV infection เนื่องจากกลไกการออกฤทธิ์, efficacy หรือข้อบ่งใช้ไม่ตรงกับโจทย์ที่กำหนด
• ข้อ ข. (Oral doxycycline เพียงอย่างเดียว): เป็น Tetracycline ครอบคลุม atypicals, rickettsia, scrub typhus, leptospirosis และ CA-MRSA ห้ามใช้ในเด็กอายุ &lt; 8 ปี และหญิงตั้งครรภ์ (ฟันเหลือง กระดูกเจริญช้า)
• ข้อ ง. (Oral quinolone ร่วมกับ topical retinoid): ข้อนี้ไม่ใช่คำตอบที่ถูกต้องสำหรับภาวะ HIV infection เนื่องจากกลไกการออกฤทธิ์, efficacy หรือข้อบ่งใช้ไม่ตรงกับโจทย์ที่กำหนด
• ข้อ จ. (Oral isotretinoin ร่วมกับ oral doxycycline):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8" s="2" t="n"/>
      <c r="L38" s="2" t="inlineStr">
        <is>
          <t>HIV infection</t>
        </is>
      </c>
      <c r="M38" s="2" t="inlineStr">
        <is>
          <t>Clinic</t>
        </is>
      </c>
      <c r="N38" s="2" t="inlineStr">
        <is>
          <t>ข้อ 10.2 Mock Infectious RxCU84</t>
        </is>
      </c>
      <c r="O38" s="2" t="inlineStr">
        <is>
          <t>Mock</t>
        </is>
      </c>
      <c r="P38" s="2" t="inlineStr">
        <is>
          <t>Mock RxCU84</t>
        </is>
      </c>
    </row>
    <row r="39" ht="13.2" customHeight="1" s="37">
      <c r="A39" s="8" t="inlineStr">
        <is>
          <t>36</t>
        </is>
      </c>
      <c r="B39" s="2" t="inlineStr">
        <is>
          <t>การให้คำแนะนำการใช้ยา Benzoyl Peroxide 2.5% ครีม/เจล
คำถาม: เภสัชกรเลือก benzoyl peroxide 2.5% ให้ผู้ป่วยรายนี้ ข้อใดเป็นคำแนะนำที่เหมาะสมที่สุด?</t>
        </is>
      </c>
      <c r="C39" s="2" t="n"/>
      <c r="D39" s="2" t="inlineStr">
        <is>
          <t>ทายาบาง ๆ วันละ 2 ครั้ง และหากแสบให้เพิ่มความถี่เพื่อให้ผิวชินยา</t>
        </is>
      </c>
      <c r="E39" s="2" t="inlineStr">
        <is>
          <t>ทาเฉพาะบริเวณที่มีหัวหนองเท่านั้น และควรใช้เป็นยาเดี่ยว</t>
        </is>
      </c>
      <c r="F39" s="2" t="inlineStr">
        <is>
          <t>ระวังการสัมผัสเสื้อผ้าและเส้นผม เนื่องจากยาอาจทำให้เกิด bleaching</t>
        </is>
      </c>
      <c r="G39" s="2" t="inlineStr">
        <is>
          <t>ทา benzoyl peroxide หลัง retinoid ทันทีทุกครั้งเพื่อเพิ่มประสิทธิภาพ</t>
        </is>
      </c>
      <c r="H39" s="2" t="inlineStr">
        <is>
          <t>หลีกเลี่ยง moisturizer เพราะจะทำให้เกิด comedone เพิ่มขึ้น</t>
        </is>
      </c>
      <c r="I39" s="8" t="inlineStr">
        <is>
          <t>3</t>
        </is>
      </c>
      <c r="J39" s="2" t="inlineStr">
        <is>
          <t>✅ คำตอบที่ถูกต้อง: ข้อ ค. ระวังการสัมผัสเสื้อผ้าและเส้นผม เนื่องจากยาอาจทำให้เกิด bleaching
💡 Background:
การดูแลผู้ติดเชื้อ HIV เน้นเริ่ม Antiretroviral Therapy (ART) ทันทีเพื่อกด viral load ให้ undetectable (U=U) และฟื้นฟูระบบภูมิคุ้มกัน
🎯 ทำไมข้อนี้ถึงถูก:
ระวังการสัมผัสเสื้อผ้าและเส้นผม เนื่องจากยาอาจทำให้เกิด bleaching Benzoyl peroxide มีคุณสมบัติเป็น Oxidizing agent ที่สามารถฟอกสีผ้า (Bleaching effect) ทำให้เสื้อผ้า ปลอกหมอน หรือเส้นผมเปลี่ยนสีด่างได้ จึงต้องเตือนผู้ป่วยให้ระมัดระวัง นอกจากนี้อาจทำให้ผิวแห้ง ระคายเคือง ลอก จึงควรเริ่มทาทิ้งไว้ระยะเวลาสั้นๆ แล้วล้างออก หรือเริ่มจากความเข้มข้นต่ำ (2.5%) และสามารถทามอยส์เจอไรเซอร์เพื่อลดการระคายเคืองได้
🔍 ข้ออื่นผิดเพราะอะไร:
• ข้อ ก. (ทายาบาง ๆ วันละ 2 ครั้ง และหากแสบให้เพิ่มความถี่เพื่อให้ผิวชินยา): ข้อนี้ไม่ใช่คำตอบที่ถูกต้องสำหรับภาวะ HIV infection เนื่องจากกลไกการออกฤทธิ์, efficacy หรือข้อบ่งใช้ไม่ตรงกับโจทย์ที่กำหนด
• ข้อ ข. (ทาเฉพาะบริเวณที่มีหัวหนองเท่านั้น และควรใช้เป็นยาเดี่ยว): ข้อนี้ไม่ใช่คำตอบที่ถูกต้องสำหรับภาวะ HIV infection เนื่องจากกลไกการออกฤทธิ์, efficacy หรือข้อบ่งใช้ไม่ตรงกับโจทย์ที่กำหนด
• ข้อ ง. (ทา benzoyl peroxide หลัง retinoid ทันทีทุกครั้งเพื่อเพิ่มประสิทธิภาพ): ข้อนี้ไม่ใช่คำตอบที่ถูกต้องสำหรับภาวะ HIV infection เนื่องจากกลไกการออกฤทธิ์, efficacy หรือข้อบ่งใช้ไม่ตรงกับโจทย์ที่กำหนด
• ข้อ จ. (หลีกเลี่ยง moisturizer เพราะจะทำให้เกิด comedone เพิ่มขึ้น):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9" s="2" t="n"/>
      <c r="L39" s="2" t="inlineStr">
        <is>
          <t>HIV infection</t>
        </is>
      </c>
      <c r="M39" s="2" t="inlineStr">
        <is>
          <t>Clinic</t>
        </is>
      </c>
      <c r="N39" s="2" t="inlineStr">
        <is>
          <t>ข้อ 10.3 Mock Infectious RxCU84</t>
        </is>
      </c>
      <c r="O39" s="2" t="inlineStr">
        <is>
          <t>Mock</t>
        </is>
      </c>
      <c r="P39" s="2" t="inlineStr">
        <is>
          <t>Mock RxCU84</t>
        </is>
      </c>
    </row>
    <row r="40" ht="13.2" customHeight="1" s="37">
      <c r="A40" s="8" t="inlineStr">
        <is>
          <t>37</t>
        </is>
      </c>
      <c r="B40" s="2" t="inlineStr">
        <is>
          <t>ผู้ป่วยหญิงเป็นสิวและซักประวัติเพิ่มเติมพบว่ากำลังตั้งครรภ์
คำถาม: หากเภสัชกรซักประวัติเพิ่มเติมพบว่าผู้ป่วยกำลังตั้งครรภ์อยู่ เภสัชกรควรเลือกยาข้อใดเหมาะสมที่สุด?</t>
        </is>
      </c>
      <c r="C40" s="2" t="n"/>
      <c r="D40" s="2" t="inlineStr">
        <is>
          <t>Tretinoin topical</t>
        </is>
      </c>
      <c r="E40" s="2" t="inlineStr">
        <is>
          <t>Adapalene topical</t>
        </is>
      </c>
      <c r="F40" s="2" t="inlineStr">
        <is>
          <t>Doxycycline oral</t>
        </is>
      </c>
      <c r="G40" s="2" t="inlineStr">
        <is>
          <t>Isotretinoin oral</t>
        </is>
      </c>
      <c r="H40" s="2" t="inlineStr">
        <is>
          <t>Azelaic acid topical</t>
        </is>
      </c>
      <c r="I40" s="8" t="inlineStr">
        <is>
          <t>5</t>
        </is>
      </c>
      <c r="J40" s="2" t="inlineStr">
        <is>
          <t>✅ คำตอบที่ถูกต้อง: ข้อ จ. Azelaic acid topical
💡 Background:
การดูแลผู้ติดเชื้อ HIV เน้นเริ่ม Antiretroviral Therapy (ART) ทันทีเพื่อกด viral load ให้ undetectable (U=U) และฟื้นฟูระบบภูมิคุ้มกัน
🎯 ทำไมข้อนี้ถึงถูก:
Azelaic acid topical Topical Azelaic acid จัดอยู่ใน Pregnancy Category B มี safety สูงในการรักษาสิวในสตรีมีครรภ์ มีฤทธิ์ต้านเชื้อ C. acnes, ต้านการอักเสบ และลด comedone ในขณะที่ยากลุ่ม Retinoids ทั้งรูปรับประทาน (Isotretinoin - Category X) และยาทา (Tretinoin, Adapalene - Category C/X) รวมถึง Oral Doxycycline (Category D) เป็น contraindication ในหญิงตั้งครรภ์เนื่องจากเสี่ยงต่อความพิการของทารกในครรภ์
🔍 ข้ออื่นผิดเพราะอะไร:
• ข้อ ก. (Tretinoin topical): ข้อนี้ไม่ใช่คำตอบที่ถูกต้องสำหรับภาวะ HIV infection เนื่องจากกลไกการออกฤทธิ์, efficacy หรือข้อบ่งใช้ไม่ตรงกับโจทย์ที่กำหนด
• ข้อ ข. (Adapalene topical): ข้อนี้ไม่ใช่คำตอบที่ถูกต้องสำหรับภาวะ HIV infection เนื่องจากกลไกการออกฤทธิ์, efficacy หรือข้อบ่งใช้ไม่ตรงกับโจทย์ที่กำหนด
• ข้อ ค. (Doxycycline oral): เป็น Tetracycline ครอบคลุม atypicals, rickettsia, scrub typhus, leptospirosis และ CA-MRSA ห้ามใช้ในเด็กอายุ &lt; 8 ปี และหญิงตั้งครรภ์ (ฟันเหลือง กระดูกเจริญช้า)
• ข้อ ง. (Isotretinoin oral):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0" s="2" t="n"/>
      <c r="L40" s="2" t="inlineStr">
        <is>
          <t>HIV infection</t>
        </is>
      </c>
      <c r="M40" s="2" t="inlineStr">
        <is>
          <t>Clinic</t>
        </is>
      </c>
      <c r="N40" s="2" t="inlineStr">
        <is>
          <t>ข้อ 10.4 Mock Infectious RxCU84</t>
        </is>
      </c>
      <c r="O40" s="2" t="inlineStr">
        <is>
          <t>Mock</t>
        </is>
      </c>
      <c r="P40" s="2" t="inlineStr">
        <is>
          <t>Mock RxCU84</t>
        </is>
      </c>
    </row>
    <row r="41" ht="13.2" customHeight="1" s="37">
      <c r="A41" s="8" t="inlineStr">
        <is>
          <t>38</t>
        </is>
      </c>
      <c r="B41" s="2" t="inlineStr">
        <is>
          <t>ผู้ป่วยสิวมีภาวะอ้วน (BMI 30.5 kg/m2) และรับประทานขนมหวานเป็นประจำ
คำถาม: จากการซักประวัติพบว่าผู้ป่วยมี BMI 30.5 kg/m² และรับประทานขนมหวานเป็นประจำ เภสัชกรควรให้คำแนะนำเพิ่มเติมข้อใดเหมาะสมที่สุด?</t>
        </is>
      </c>
      <c r="C41" s="2" t="n"/>
      <c r="D41" s="2" t="inlineStr">
        <is>
          <t>แนะนำให้รับประทานอาหารที่มี glycemic index สูงเพื่อเพิ่มพลังงานและลดการอักเสบ ร่วมกับการรักษาสิว</t>
        </is>
      </c>
      <c r="E41" s="2" t="inlineStr">
        <is>
          <t>แนะนำให้หยุดยารักษาสิวทั้งหมดและรักษาด้วยการควบคุมอาหารเพียงอย่างเดียว</t>
        </is>
      </c>
      <c r="F41" s="2" t="inlineStr">
        <is>
          <t>แนะนำให้ลดการรับประทานอาหารที่มี glycemic load สูง ร่วมกับการรักษาสิว</t>
        </is>
      </c>
      <c r="G41" s="2" t="inlineStr">
        <is>
          <t>แนะนำให้รับประทาน vitamin A ขนาดสูงทุกวันเพื่อทดแทน isotretinoin</t>
        </is>
      </c>
      <c r="H41" s="2" t="inlineStr">
        <is>
          <t>แนะนำให้รับประทาน zinc ขนาดสูงเป็นการรักษาหลักแทน topical therapy</t>
        </is>
      </c>
      <c r="I41" s="8" t="inlineStr">
        <is>
          <t>3</t>
        </is>
      </c>
      <c r="J41" s="2" t="inlineStr">
        <is>
          <t>✅ คำตอบที่ถูกต้อง: ข้อ ค. แนะนำให้ลดการรับประทานอาหารที่มี glycemic load สูง ร่วมกับการรักษาสิว
💡 Background:
การดูแลผู้ติดเชื้อ HIV เน้นเริ่ม Antiretroviral Therapy (ART) ทันทีเพื่อกด viral load ให้ undetectable (U=U) และฟื้นฟูระบบภูมิคุ้มกัน
🎯 ทำไมข้อนี้ถึงถูก:
แนะนำให้ลดการรับประทานอาหารที่มี glycemic load สูง ร่วมกับการรักษาสิว อาหารที่มีค่า Glycemic Index (GI) และ Glycemic Load (GL) สูง (เช่น ของหวาน น้ำตาล แป้งขัดขาว ชานม) จะกระตุ้นการหลั่งอินซูลินและ Insulin-like Growth Factor 1 (IGF-1) อย่างรวดเร็ว ซึ่ง IGF-1 จะไปกระตุ้นการสร้างไขมันจากต่อมไขมัน (Sebum production) และเร่งการแบ่งตัวของ keratinocyte ทำให้เกิดการอุดตันของรูขุมขนและสิวอักเสบมากขึ้น การปรับเปลี่ยนพฤติกรรมโดยลดอาหาร high glycemic load ร่วมกับการรักษาด้วยยาจึงช่วยเสริม efficacy การรักษาได้อย่างมีนัยสำคัญ
🔍 ข้ออื่นผิดเพราะอะไร:
• ข้อ ก. (แนะนำให้รับประทานอาหารที่มี glycemic index สูงเพื่อเพิ่มพลังงานและลดการอักเสบ ร่วมกับการรักษาสิว): ข้อนี้ไม่ใช่คำตอบที่ถูกต้องสำหรับภาวะ HIV infection เนื่องจากกลไกการออกฤทธิ์, efficacy หรือข้อบ่งใช้ไม่ตรงกับโจทย์ที่กำหนด
• ข้อ ข. (แนะนำให้หยุดยารักษาสิวทั้งหมดและรักษาด้วยการควบคุมอาหารเพียงอย่างเดียว): ข้อนี้ไม่ใช่คำตอบที่ถูกต้องสำหรับภาวะ HIV infection เนื่องจากกลไกการออกฤทธิ์, efficacy หรือข้อบ่งใช้ไม่ตรงกับโจทย์ที่กำหนด
• ข้อ ง. (แนะนำให้รับประทาน vitamin A ขนาดสูงทุกวันเพื่อทดแทน isotretinoin): ข้อนี้ไม่ใช่คำตอบที่ถูกต้องสำหรับภาวะ HIV infection เนื่องจากกลไกการออกฤทธิ์, efficacy หรือข้อบ่งใช้ไม่ตรงกับโจทย์ที่กำหนด
• ข้อ จ. (แนะนำให้รับประทาน zinc ขนาดสูงเป็นการรักษาหลักแทน topical therapy):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1" s="2" t="n"/>
      <c r="L41" s="2" t="inlineStr">
        <is>
          <t>HIV infection</t>
        </is>
      </c>
      <c r="M41" s="2" t="inlineStr">
        <is>
          <t>Clinic</t>
        </is>
      </c>
      <c r="N41" s="2" t="inlineStr">
        <is>
          <t>ข้อ 10.5 Mock Infectious RxCU84</t>
        </is>
      </c>
      <c r="O41" s="2" t="inlineStr">
        <is>
          <t>Mock</t>
        </is>
      </c>
      <c r="P41" s="2" t="inlineStr">
        <is>
          <t>Mock RxCU84</t>
        </is>
      </c>
    </row>
    <row r="42" ht="13.2" customHeight="1" s="37">
      <c r="A42" s="8" t="inlineStr">
        <is>
          <t>39</t>
        </is>
      </c>
      <c r="B42" s="2" t="inlineStr">
        <is>
          <t>ผู้ป่วยหญิงอายุ 34 ปี ไม่มีอาการแพ้ยา แต่มีโรคประจำตัวคือติดเชื้อ HIV ใช้ยาประจำคือ Biktarvy (TAF 25 mg/FTC 200 mg/BIC 50 mg) และ Sulfamethoxazole/Trimethoprim เพื่อป้องกันการติดเชื้อ PJP วันหนึ่งพบมีตุ่มที่อวัยวะเพศ เป็นตุ่มแข็งแต่ไม่เจ็บ เป็นมาได้ 1 สัปดาห์แล้ว ผู้ป่วยให้ประวัติว่ามีเพศสัมพันธ์โดยไม่สวมถุงยางอนามัย
คำถาม: จากลักษณะทางคลินิกที่ระบุว่า 'ตุ่มแข็งแต่ไม่เจ็บ' และประวัติเสี่ยงทางเพศสัมพันธ์ โรคใดคือการวินิจฉัยที่น่าจะเป็นไปได้มากที่สุด?</t>
        </is>
      </c>
      <c r="C42" s="2" t="n"/>
      <c r="D42" s="2" t="inlineStr">
        <is>
          <t>โรคเริมอวัยวะเพศ (Genital Herpes)</t>
        </is>
      </c>
      <c r="E42" s="2" t="inlineStr">
        <is>
          <t>โรคแผลริมอ่อน (Chancroid)</t>
        </is>
      </c>
      <c r="F42" s="2" t="inlineStr">
        <is>
          <t>โรคซิฟิลิสระยะที่ 1 (Primary Syphilis)</t>
        </is>
      </c>
      <c r="G42" s="2" t="inlineStr">
        <is>
          <t>ช่องคลอดอักเสบจากเชื้อรา (Vulvovaginal Candidiasis)</t>
        </is>
      </c>
      <c r="H42" s="2" t="inlineStr">
        <is>
          <t>โรคหูดข้าวสุก (Molluscum Contagiosum)</t>
        </is>
      </c>
      <c r="I42" s="8" t="inlineStr">
        <is>
          <t>3</t>
        </is>
      </c>
      <c r="J42" s="2" t="inlineStr">
        <is>
          <t>✅ คำตอบที่ถูกต้อง: ข้อ ค. โรคซิฟิลิสระยะที่ 1 (Primary Syphilis)
💡 Background:
การดูแลผู้ติดเชื้อ HIV เน้นเริ่ม Antiretroviral Therapy (ART) ทันทีเพื่อกด viral load ให้ undetectable (U=U) และฟื้นฟูระบบภูมิคุ้มกัน
🎯 ทำไมข้อนี้ถึงถูก:
โรคซิฟิลิสระยะที่ 1 (Primary Syphilis) รอยโรคแผลริมแข็ง (Hard chancre) มีลักษณะเป็นแผลเดี่ยว ขอบเรียบยกนูน ก้นแผลสะอาด แข็ง และที่สำคัญคือ 'ไม่มีอาการเจ็บปวด' (Painless ulcer) ร่วมกับประวัติมีเพศสัมพันธ์โดยไม่ได้ป้องกัน เป็นลักษณะคลาสสิกของโรคซิฟิลิสระยะที่ 1 (Primary Syphilis) เกิดจากการติดเชื้อ Treponema pallidum ต่างจากแผลริมอ่อน (Chancroid) หรือเริม (Herpes) ที่จะมีอาการเจ็บปวดรุนแรง (Painful ulcers)
🔍 ข้ออื่นผิดเพราะอะไร:
• ข้อ ก. (โรคเริมอวัยวะเพศ (Genital Herpes)): ข้อนี้ไม่ใช่คำตอบที่ถูกต้องสำหรับภาวะ HIV infection เนื่องจากกลไกการออกฤทธิ์, efficacy หรือข้อบ่งใช้ไม่ตรงกับโจทย์ที่กำหนด
• ข้อ ข. (โรคแผลริมอ่อน (Chancroid)): ข้อนี้ไม่ใช่คำตอบที่ถูกต้องสำหรับภาวะ HIV infection เนื่องจากกลไกการออกฤทธิ์, efficacy หรือข้อบ่งใช้ไม่ตรงกับโจทย์ที่กำหนด
• ข้อ ง. (ช่องคลอดอักเสบจากเชื้อรา (Vulvovaginal Candidiasis)): ข้อนี้ไม่ใช่คำตอบที่ถูกต้องสำหรับภาวะ HIV infection เนื่องจากกลไกการออกฤทธิ์, efficacy หรือข้อบ่งใช้ไม่ตรงกับโจทย์ที่กำหนด
• ข้อ จ. (โรคหูดข้าวสุก (Molluscum Contagiosum)):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2" s="2" t="n"/>
      <c r="L42" s="2" t="inlineStr">
        <is>
          <t>HIV infection</t>
        </is>
      </c>
      <c r="M42" s="2" t="inlineStr">
        <is>
          <t>Clinic</t>
        </is>
      </c>
      <c r="N42" s="2" t="inlineStr">
        <is>
          <t>ข้อ 11.1 Mock Infectious RxCU84</t>
        </is>
      </c>
      <c r="O42" s="2" t="inlineStr">
        <is>
          <t>Mock</t>
        </is>
      </c>
      <c r="P42" s="2" t="inlineStr">
        <is>
          <t>Mock RxCU84</t>
        </is>
      </c>
    </row>
    <row r="43" ht="13.2" customHeight="1" s="37">
      <c r="A43" s="8" t="inlineStr">
        <is>
          <t>40</t>
        </is>
      </c>
      <c r="B43" s="2" t="inlineStr">
        <is>
          <t>การรักษา Primary Syphilis ในผู้ป่วยติดเชื้อ HIV
คำถาม: ข้อใดคือแนวทางการรักษาด้วยยาปฏิชีวนะที่เหมาะสมที่สุดสำหรับผู้ป่วยรายนี้?</t>
        </is>
      </c>
      <c r="C43" s="2" t="n"/>
      <c r="D43" s="2" t="inlineStr">
        <is>
          <t>Ceftriaxone 1 g ฉีดเข้ากล้ามเนื้อ ครั้งเดียว</t>
        </is>
      </c>
      <c r="E43" s="2" t="inlineStr">
        <is>
          <t>Doxycycline 100 mg รับประทานวันละ 2 ครั้ง นาน 14 วัน</t>
        </is>
      </c>
      <c r="F43" s="2" t="inlineStr">
        <is>
          <t>Benzathine Penicillin G 2.4 million units ฉีดเข้ากล้ามเนื้อ ครั้งเดียว</t>
        </is>
      </c>
      <c r="G43" s="2" t="inlineStr">
        <is>
          <t>Benzathine Penicillin G 2.4 million units ฉีดเข้ากล้ามเนื้อ สัปดาห์ละครั้ง นาน 3 สัปดาห์</t>
        </is>
      </c>
      <c r="H43" s="2" t="inlineStr">
        <is>
          <t>Azithromycin 1 g รับประทานครั้งเดียว</t>
        </is>
      </c>
      <c r="I43" s="8" t="inlineStr">
        <is>
          <t>3</t>
        </is>
      </c>
      <c r="J43" s="2" t="inlineStr">
        <is>
          <t>✅ คำตอบที่ถูกต้อง: ข้อ ค. Benzathine Penicillin G 2.4 million units ฉีดเข้ากล้ามเนื้อ ครั้งเดียว
💡 Background:
การดูแลผู้ติดเชื้อ HIV เน้นเริ่ม Antiretroviral Therapy (ART) ทันทีเพื่อกด viral load ให้ undetectable (U=U) และฟื้นฟูระบบภูมิคุ้มกัน
🎯 ทำไมข้อนี้ถึงถูก:
Benzathine Penicillin G 2.4 million units ฉีดเข้ากล้ามเนื้อ ครั้งเดียว ตามแนวทางการรักษาโรคซิฟิลิส (CDC / กรมควบคุมโรค) สำหรับ Primary, Secondary และ Early latent syphilis (
🔍 ข้ออื่นผิดเพราะอะไร:
• ข้อ ก. (Ceftriaxone 1 g ฉีดเข้ากล้ามเนื้อ ครั้งเดียว): เป็น 3rd generation cephalosporin มี broad spectrum ต่อ gram-negative bacteria และผ่าน BBB ได้ดี ขับออกทาง biliary tract จึงไม่ต้องปรับ dose ใน renal impairment
• ข้อ ข. (Doxycycline 100 mg รับประทานวันละ 2 ครั้ง นาน 14 วัน): เป็น Tetracycline ครอบคลุม atypicals, rickettsia, scrub typhus, leptospirosis และ CA-MRSA ห้ามใช้ในเด็กอายุ &lt; 8 ปี และหญิงตั้งครรภ์ (ฟันเหลือง กระดูกเจริญช้า)
• ข้อ ง. (Benzathine Penicillin G 2.4 million units ฉีดเข้ากล้ามเนื้อ สัปดาห์ละครั้ง นาน 3 สัปดาห์): ข้อนี้ไม่ใช่คำตอบที่ถูกต้องสำหรับภาวะ HIV infection เนื่องจากกลไกการออกฤทธิ์, efficacy หรือข้อบ่งใช้ไม่ตรงกับโจทย์ที่กำหนด
• ข้อ จ. (Azithromycin 1 g รับประทานครั้งเดียว):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3" s="2" t="n"/>
      <c r="L43" s="2" t="inlineStr">
        <is>
          <t>HIV infection</t>
        </is>
      </c>
      <c r="M43" s="2" t="inlineStr">
        <is>
          <t>Clinic</t>
        </is>
      </c>
      <c r="N43" s="2" t="inlineStr">
        <is>
          <t>ข้อ 11.2 Mock Infectious RxCU84</t>
        </is>
      </c>
      <c r="O43" s="2" t="inlineStr">
        <is>
          <t>Mock</t>
        </is>
      </c>
      <c r="P43" s="2" t="inlineStr">
        <is>
          <t>Mock RxCU84</t>
        </is>
      </c>
    </row>
    <row r="44" ht="13.2" customHeight="1" s="37">
      <c r="A44" s="8" t="inlineStr">
        <is>
          <t>41</t>
        </is>
      </c>
      <c r="B44" s="2" t="inlineStr">
        <is>
          <t>ลักษณะทางคลินิกจำเพาะของโรคซิฟิลิสในผู้ป่วยที่ติดเชื้อ HIV ร่วมด้วย
คำถาม: ในผู้ป่วยหญิงรายนี้ซึ่งมีการติดเชื้อ HIV ร่วมด้วย ลักษณะอาการแสดงทางคลินิกของโรคซิฟิลิสในข้อใดที่มีความสำคัญและเป็นลักษณะเฉพาะที่เภสัชกรควรระลึกถึงมากที่สุด?</t>
        </is>
      </c>
      <c r="C44" s="2" t="n"/>
      <c r="D44" s="2" t="inlineStr">
        <is>
          <t>แผลที่อวัยวะเพศมักจะมีอาการเจ็บปวดรุนแรงกว่าผู้ที่ไม่ติดเชื้อ HIV</t>
        </is>
      </c>
      <c r="E44" s="2" t="inlineStr">
        <is>
          <t>มีโอกาสตรวจพบอาการแสดงของซิฟิลิสระยะที่ 1 และระยะที่ 2 เกิดขึ้นพร้อมกัน (Overlap)</t>
        </is>
      </c>
      <c r="F44" s="2" t="inlineStr">
        <is>
          <t>ต่อมน้ำเหลืองที่ขาหนีบมักจะอักเสบจนแตกเป็นหนอง (Bubo) ได้ง่ายกว่า</t>
        </is>
      </c>
      <c r="G44" s="2" t="inlineStr">
        <is>
          <t>เชื้อสไปโรขีดมักจะไม่สามารถตรวจพบได้ด้วยการส่องกล้อง Dark-field</t>
        </is>
      </c>
      <c r="H44" s="2" t="inlineStr">
        <is>
          <t>แผลริมแข็ง (Chancre) จะหายช้ากว่าคนปกติและกลายเป็นแผลเรื้อรังเสมอ</t>
        </is>
      </c>
      <c r="I44" s="8" t="inlineStr">
        <is>
          <t>2</t>
        </is>
      </c>
      <c r="J44" s="2" t="inlineStr">
        <is>
          <t>✅ คำตอบที่ถูกต้อง: ข้อ ข. มีโอกาสตรวจพบอาการแสดงของซิฟิลิสระยะที่ 1 และระยะที่ 2 เกิดขึ้นพร้อมกัน (Overlap)
💡 Background:
การดูแลผู้ติดเชื้อ HIV เน้นเริ่ม Antiretroviral Therapy (ART) ทันทีเพื่อกด viral load ให้ undetectable (U=U) และฟื้นฟูระบบภูมิคุ้มกัน
🎯 ทำไมข้อนี้ถึงถูก:
มีโอกาสตรวจพบอาการแสดงของซิฟิลิสระยะที่ 1 และระยะที่ 2 เกิดขึ้นพร้อมกัน (Overlap) ในผู้ติดเชื้อ HIV ร่วมกับซิฟิลิส การดำเนินโรคอาจมีความผิดปกติและรุนแรงขึ้น ลักษณะจำเพาะที่พบบ่อยคือการเกิดอาการเหลื่อมซ้อนกัน (Overlap) ระหว่าง Primary syphilis (แผลริมแข็ง chancre) และ Secondary syphilis (ผื่นตามฝ่ามือฝ่าเท้า maculopapular rash, condyloma lata) โดยแผลริมแข็งยังไม่ทันหายดีก็เกิดผื่นระยะที่สองขึ้นพร้อมกัน นอกจากนี้ยังมีความเสี่ยงสูงขึ้นต่อการลุกลามเข้าสู่ระบบประสาท (Neurosyphilis) ตั้งแต่ระยะแรก
🔍 ข้ออื่นผิดเพราะอะไร:
• ข้อ ก. (แผลที่อวัยวะเพศมักจะมีอาการเจ็บปวดรุนแรงกว่าผู้ที่ไม่ติดเชื้อ HIV): ข้อนี้ไม่ใช่คำตอบที่ถูกต้องสำหรับภาวะ HIV infection เนื่องจากกลไกการออกฤทธิ์, efficacy หรือข้อบ่งใช้ไม่ตรงกับโจทย์ที่กำหนด
• ข้อ ค. (ต่อมน้ำเหลืองที่ขาหนีบมักจะอักเสบจนแตกเป็นหนอง (Bubo) ได้ง่ายกว่า): ข้อนี้ไม่ใช่คำตอบที่ถูกต้องสำหรับภาวะ HIV infection เนื่องจากกลไกการออกฤทธิ์, efficacy หรือข้อบ่งใช้ไม่ตรงกับโจทย์ที่กำหนด
• ข้อ ง. (เชื้อสไปโรขีดมักจะไม่สามารถตรวจพบได้ด้วยการส่องกล้อง Dark-field): ข้อนี้ไม่ใช่คำตอบที่ถูกต้องสำหรับภาวะ HIV infection เนื่องจากกลไกการออกฤทธิ์, efficacy หรือข้อบ่งใช้ไม่ตรงกับโจทย์ที่กำหนด
• ข้อ จ. (แผลริมแข็ง (Chancre) จะหายช้ากว่าคนปกติและกลายเป็นแผลเรื้อรังเสมอ):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4" s="2" t="n"/>
      <c r="L44" s="2" t="inlineStr">
        <is>
          <t>HIV infection</t>
        </is>
      </c>
      <c r="M44" s="2" t="inlineStr">
        <is>
          <t>Clinic</t>
        </is>
      </c>
      <c r="N44" s="2" t="inlineStr">
        <is>
          <t>ข้อ 11.3 Mock Infectious RxCU84</t>
        </is>
      </c>
      <c r="O44" s="2" t="inlineStr">
        <is>
          <t>Mock</t>
        </is>
      </c>
      <c r="P44" s="2" t="inlineStr">
        <is>
          <t>Mock RxCU84</t>
        </is>
      </c>
    </row>
    <row r="45" ht="13.2" customHeight="1" s="37">
      <c r="A45" s="8" t="inlineStr">
        <is>
          <t>42</t>
        </is>
      </c>
      <c r="B45" s="2" t="inlineStr">
        <is>
          <t>ผู้ป่วยชายอายุ 40 ปี ไม่มีโรคประจำตัว ไม่มีประวัติแพ้ยา ปัสสาวะแสบขัด มีหนองไหลออกจากท่อปัสสาวะ เมื่อ 3 วันก่อนมีเพศสัมพันธ์โดยไม่ได้สวมถุงยางอนามัย
คำถาม: ข้อใดคือการวินิจฉัยที่น่าจะเป็นไปได้มากที่สุด?</t>
        </is>
      </c>
      <c r="C45" s="2" t="n"/>
      <c r="D45" s="2" t="inlineStr">
        <is>
          <t>โรคซิฟิลิสระยะที่ 1 (Primary Syphilis)</t>
        </is>
      </c>
      <c r="E45" s="2" t="inlineStr">
        <is>
          <t>โรคแผลริมอ่อน (Chancroid)</t>
        </is>
      </c>
      <c r="F45" s="2" t="inlineStr">
        <is>
          <t>ภาวะท่อปัสสาวะอักเสบ (Urethritis)</t>
        </is>
      </c>
      <c r="G45" s="2" t="inlineStr">
        <is>
          <t>โรคเริมอวัยวะเพศ (Genital Herpes)</t>
        </is>
      </c>
      <c r="H45" s="2" t="inlineStr">
        <is>
          <t>โรคหูดหงอนไก่ (Anogenital Warts)</t>
        </is>
      </c>
      <c r="I45" s="8" t="inlineStr">
        <is>
          <t>3</t>
        </is>
      </c>
      <c r="J45" s="2" t="inlineStr">
        <is>
          <t>✅ คำตอบที่ถูกต้อง: ข้อ ค. ภาวะท่อปัสสาวะอักเสบ (Urethritis)
💡 Background:
การดูแลผู้ติดเชื้อ HIV เน้นเริ่ม Antiretroviral Therapy (ART) ทันทีเพื่อกด viral load ให้ undetectable (U=U) และฟื้นฟูระบบภูมิคุ้มกัน
🎯 ทำไมข้อนี้ถึงถูก:
ภาวะท่อปัสสาวะอักเสบ (Urethritis) อาการปัสสาวะแสบขัด (Dysuria) ร่วมกับมีหนองไหลจากท่อปัสสาวะ (Urethral discharge) ภายหลังมีเพศสัมพันธ์ที่มีความเสี่ยง เป็นอาการแสดงที่เข้าได้โดยตรงกับ ภาวะท่อปัสสาวะอักเสบจากการติดเชื้อทางเพศสัมพันธ์ (Urethritis) ซึ่งเชื้อก่อโรคสำคัญได้แก่ Neisseria gonorrhoeae (หนองในแท้) และ Chlamydia trachomatis (หนองในเทียม)
🔍 ข้ออื่นผิดเพราะอะไร:
• ข้อ ก. (โรคซิฟิลิสระยะที่ 1 (Primary Syphilis)): ข้อนี้ไม่ใช่คำตอบที่ถูกต้องสำหรับภาวะ HIV infection เนื่องจากกลไกการออกฤทธิ์, efficacy หรือข้อบ่งใช้ไม่ตรงกับโจทย์ที่กำหนด
• ข้อ ข. (โรคแผลริมอ่อน (Chancroid)): ข้อนี้ไม่ใช่คำตอบที่ถูกต้องสำหรับภาวะ HIV infection เนื่องจากกลไกการออกฤทธิ์, efficacy หรือข้อบ่งใช้ไม่ตรงกับโจทย์ที่กำหนด
• ข้อ ง. (โรคเริมอวัยวะเพศ (Genital Herpes)): ข้อนี้ไม่ใช่คำตอบที่ถูกต้องสำหรับภาวะ HIV infection เนื่องจากกลไกการออกฤทธิ์, efficacy หรือข้อบ่งใช้ไม่ตรงกับโจทย์ที่กำหนด
• ข้อ จ. (โรคหูดหงอนไก่ (Anogenital Warts)):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5" s="2" t="n"/>
      <c r="L45" s="2" t="inlineStr">
        <is>
          <t>HIV infection</t>
        </is>
      </c>
      <c r="M45" s="2" t="inlineStr">
        <is>
          <t>Clinic</t>
        </is>
      </c>
      <c r="N45" s="2" t="inlineStr">
        <is>
          <t>ข้อ 12.1 Mock Infectious RxCU84</t>
        </is>
      </c>
      <c r="O45" s="2" t="inlineStr">
        <is>
          <t>Mock</t>
        </is>
      </c>
      <c r="P45" s="2" t="inlineStr">
        <is>
          <t>Mock RxCU84</t>
        </is>
      </c>
    </row>
    <row r="46" ht="13.2" customHeight="1" s="37">
      <c r="A46" s="8" t="inlineStr">
        <is>
          <t>43</t>
        </is>
      </c>
      <c r="B46" s="2" t="inlineStr">
        <is>
          <t>ผู้ป่วยชายอายุ 40 ปี เป็น Urethritis สถานพยาบาลไม่สามารถย้อมหรือเพาะเชื้อแยกชนิดได้ทันที
คำถาม: ในกรณีที่สถานพยาบาลไม่สามารถส่งตรวจทางห้องปฏิบัติการเพื่อแยกชนิดเชื้อได้ในทันที ข้อใดคือแนวทางการรักษาแบบครอบคลุมเชื้อ (Empiric treatment) ที่เหมาะสมที่สุดสำหรับผู้ป่วยรายนี้?</t>
        </is>
      </c>
      <c r="C46" s="2" t="n"/>
      <c r="D46" s="2" t="inlineStr">
        <is>
          <t>Benzathine Penicillin G 2.4 million units ฉีดเข้ากล้ามเนื้อ ครั้งเดียว</t>
        </is>
      </c>
      <c r="E46" s="2" t="inlineStr">
        <is>
          <t>Azithromycin 1 g รับประทานครั้งเดียว เพียงอย่างเดียว</t>
        </is>
      </c>
      <c r="F46" s="2" t="inlineStr">
        <is>
          <t>Norfloxacin 400 mg รับประทานวันละ 2 ครั้ง นาน 3 วัน</t>
        </is>
      </c>
      <c r="G46" s="2" t="inlineStr">
        <is>
          <t>Ceftriaxone 1 g ฉีดเข้ากล้ามเนื้อ ครั้งเดียว ร่วมกับ Doxycycline 100 mg รับประทานวันละ 2 ครั้ง นาน 7 วัน</t>
        </is>
      </c>
      <c r="H46" s="2" t="inlineStr">
        <is>
          <t>Metronidazole 2 g รับประทานครั้งเดียว ร่วมกับ Ciprofloxacin 500 mg รับประทานครั้งเดียว</t>
        </is>
      </c>
      <c r="I46" s="8" t="inlineStr">
        <is>
          <t>4</t>
        </is>
      </c>
      <c r="J46" s="2" t="inlineStr">
        <is>
          <t>✅ คำตอบที่ถูกต้อง: ข้อ ง. Ceftriaxone 1 g ฉีดเข้ากล้ามเนื้อ ครั้งเดียว ร่วมกับ Doxycycline 100 mg รับประทานวันละ 2 ครั้ง นาน 7 วัน
💡 Background:
การดูแลผู้ติดเชื้อ HIV เน้นเริ่ม Antiretroviral Therapy (ART) ทันทีเพื่อกด viral load ให้ undetectable (U=U) และฟื้นฟูระบบภูมิคุ้มกัน
🎯 ทำไมข้อนี้ถึงถูก:
Ceftriaxone 1 g ฉีดเข้ากล้ามเนื้อ ครั้งเดียว ร่วมกับ Doxycycline 100 mg รับประทานวันละ 2 ครั้ง นาน 7 วัน การรักษาแบบครอบคลุมเชื้อ (Syndromic management / Empiric therapy) สำหรับ Urethritis ต้องครอบคลุมทั้งเชื้อหนองในแท้ (N. gonorrhoeae) และหนองในเทียม (C. trachomatis) สูตรยามาตรฐานตาม
🔍 ข้ออื่นผิดเพราะอะไร:
• ข้อ ก. (Benzathine Penicillin G 2.4 million units ฉีดเข้ากล้ามเนื้อ ครั้งเดียว): ข้อนี้ไม่ใช่คำตอบที่ถูกต้องสำหรับภาวะ HIV infection เนื่องจากกลไกการออกฤทธิ์, efficacy หรือข้อบ่งใช้ไม่ตรงกับโจทย์ที่กำหนด
• ข้อ ข. (Azithromycin 1 g รับประทานครั้งเดียว เพียงอย่างเดียว): เป็น Macrolide ครอบคลุม atypical pathogens (Mycoplasma, Chlamydia, Legionella) ขจัดออกทางตับเป็นหลัก และมี half-life ยาวนาน (~68 ชม.)
• ข้อ ค. (Norfloxacin 400 mg รับประทานวันละ 2 ครั้ง นาน 3 วัน): ข้อนี้ไม่ใช่คำตอบที่ถูกต้องสำหรับภาวะ HIV infection เนื่องจากกลไกการออกฤทธิ์, efficacy หรือข้อบ่งใช้ไม่ตรงกับโจทย์ที่กำหนด
• ข้อ จ. (Metronidazole 2 g รับประทานครั้งเดียว ร่วมกับ Ciprofloxacin 500 mg รับประทานครั้งเดียว):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6" s="2" t="n"/>
      <c r="L46" s="2" t="inlineStr">
        <is>
          <t>HIV infection</t>
        </is>
      </c>
      <c r="M46" s="2" t="inlineStr">
        <is>
          <t>Clinic</t>
        </is>
      </c>
      <c r="N46" s="2" t="inlineStr">
        <is>
          <t>ข้อ 12.2 Mock Infectious RxCU84</t>
        </is>
      </c>
      <c r="O46" s="2" t="inlineStr">
        <is>
          <t>Mock</t>
        </is>
      </c>
      <c r="P46" s="2" t="inlineStr">
        <is>
          <t>Mock RxCU84</t>
        </is>
      </c>
    </row>
    <row r="47" ht="13.2" customHeight="1" s="37">
      <c r="A47" s="8" t="inlineStr">
        <is>
          <t>44</t>
        </is>
      </c>
      <c r="B47" s="2" t="inlineStr">
        <is>
          <t>เด็กชายอายุ 5 ปี มีอาการคันบริเวณรอบทวารหนักอย่างมาก โดยเฉพาะในเวลากลางคืน ทำให้นอนหลับไม่สนิท ผู้ปกครองสังเกตเห็นสิ่งมีชีวิตสีขาวขนาดเล็กเส้นด้ายบริเวณรอบทวารหนัก
คำถาม: พยาธิชนิดใดมีความเป็นไปได้มากที่สุด?</t>
        </is>
      </c>
      <c r="C47" s="2" t="n"/>
      <c r="D47" s="2" t="inlineStr">
        <is>
          <t>Taenia solium</t>
        </is>
      </c>
      <c r="E47" s="2" t="inlineStr">
        <is>
          <t>Ancylostoma duodenale</t>
        </is>
      </c>
      <c r="F47" s="2" t="inlineStr">
        <is>
          <t>Enterobius vermicularis</t>
        </is>
      </c>
      <c r="G47" s="2" t="inlineStr">
        <is>
          <t>Ascaris lumbricoides</t>
        </is>
      </c>
      <c r="H47" s="2" t="inlineStr">
        <is>
          <t>Wuchereria bancrofti</t>
        </is>
      </c>
      <c r="I47" s="8" t="inlineStr">
        <is>
          <t>3</t>
        </is>
      </c>
      <c r="J47" s="2" t="inlineStr">
        <is>
          <t>✅ คำตอบที่ถูกต้อง: ข้อ ค. Enterobius vermicularis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Enterobius vermicularis อาการคันรอบทวารหนักเวลากลางคืน (Nocturnal perianal pruritus) ร่วมกับเห็นตัวพยาธิสีขาวตัวเล็กคล้ายเส้นด้าย เป็นลักษณะเฉพาะของการติดเชื้อพยาธิเส้นด้าย/พยาธิเข็มหมุด (Enterobius vermicularis หรือ Pinworm) โดยพยาธิตัวเมียจะคลานออกมาวางไข่บริเวณทวารหนักในเวลากลางคืน วินิจฉัยด้วยวิธี Scotch tape technique
🔍 ข้ออื่นผิดเพราะอะไร:
• ข้อ ก. (Taenia solium): ข้อนี้ไม่ใช่คำตอบที่ถูกต้องสำหรับภาวะ Parasitic infections เนื่องจากกลไกการออกฤทธิ์, efficacy หรือข้อบ่งใช้ไม่ตรงกับโจทย์ที่กำหนด
• ข้อ ข. (Ancylostoma duodenale): ข้อนี้ไม่ใช่คำตอบที่ถูกต้องสำหรับภาวะ Parasitic infections เนื่องจากกลไกการออกฤทธิ์, efficacy หรือข้อบ่งใช้ไม่ตรงกับโจทย์ที่กำหนด
• ข้อ ง. (Ascaris lumbricoides): ข้อนี้ไม่ใช่คำตอบที่ถูกต้องสำหรับภาวะ Parasitic infections เนื่องจากกลไกการออกฤทธิ์, efficacy หรือข้อบ่งใช้ไม่ตรงกับโจทย์ที่กำหนด
• ข้อ จ. (Wuchereria bancrofti):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2" t="n"/>
      <c r="L47" s="2" t="inlineStr">
        <is>
          <t>Parasitic infections</t>
        </is>
      </c>
      <c r="M47" s="2" t="inlineStr">
        <is>
          <t>Clinic</t>
        </is>
      </c>
      <c r="N47" s="2" t="inlineStr">
        <is>
          <t>ข้อ 13.1 Mock Infectious RxCU84</t>
        </is>
      </c>
      <c r="O47" s="2" t="inlineStr">
        <is>
          <t>Mock</t>
        </is>
      </c>
      <c r="P47" s="2" t="inlineStr">
        <is>
          <t>Mock RxCU84</t>
        </is>
      </c>
    </row>
    <row r="48" ht="13.2" customHeight="1" s="37">
      <c r="A48" s="8" t="inlineStr">
        <is>
          <t>45</t>
        </is>
      </c>
      <c r="B48" s="2" t="inlineStr">
        <is>
          <t>ชายอายุ 40 ปี อาชีพเกษตรกร มาพบแพทย์ด้วยอาการคันบริเวณเท้า หลังจากทำงานในแปลงนาโดยไม่ได้สวมรองเท้า ตรวจพบผื่นแดงและรอยนูนคดเคี้ยวบริเวณผิวหนัง (Serpiginous tracks)
คำถาม: คำแนะนำใดเหมาะสมที่สุดในการป้องกันการติดเชื้อซ้ำ?</t>
        </is>
      </c>
      <c r="C48" s="2" t="n"/>
      <c r="D48" s="2" t="inlineStr">
        <is>
          <t>ล้างมือก่อนรับประทานอาหารทุกครั้ง</t>
        </is>
      </c>
      <c r="E48" s="2" t="inlineStr">
        <is>
          <t>ตัดเล็บมือให้สั้น</t>
        </is>
      </c>
      <c r="F48" s="2" t="inlineStr">
        <is>
          <t>ซักผ้าปูที่นอนทุกวัน</t>
        </is>
      </c>
      <c r="G48" s="2" t="inlineStr">
        <is>
          <t>สวมรองเท้าขณะทำงานหรือเดินบนพื้นดิน</t>
        </is>
      </c>
      <c r="H48" s="2" t="inlineStr">
        <is>
          <t>หลีกเลี่ยงการรับประทานปลาน้ำจืด</t>
        </is>
      </c>
      <c r="I48" s="8" t="inlineStr">
        <is>
          <t>4</t>
        </is>
      </c>
      <c r="J48" s="2" t="inlineStr">
        <is>
          <t>✅ คำตอบที่ถูกต้อง: ข้อ ง. สวมรองเท้าขณะทำงานหรือเดินบนพื้นดิน
💡 Background:
การดูแลผู้ติดเชื้อ HIV เน้นเริ่ม Antiretroviral Therapy (ART) ทันทีเพื่อกด viral load ให้ undetectable (U=U) และฟื้นฟูระบบภูมิคุ้มกัน
🎯 ทำไมข้อนี้ถึงถูก:
สวมรองเท้าขณะทำงานหรือเดินบนพื้นดิน รอยโรคนูนแดงคดเคี้ยวใต้ผิวหนัง (Cutaneous larva migrans) เกิดจากตัวอ่อนพยาธิปากขอ (Hookworm เช่น Ancylostoma caninum/braziliense) หรือตัวอ่อนระยะติดต่อ (Filariform larva) ชอนไชผ่านผิวหนังที่สัมผัสพื้นดินโดยตรง การป้องกันการติดเชื้อจึงต้องเน้นการสวมรองเท้าบูทหรือรองเท้าปิดมิดชิดขณะทำงานบนดิน
🔍 ข้ออื่นผิดเพราะอะไร:
• ข้อ ก. (ล้างมือก่อนรับประทานอาหารทุกครั้ง): ข้อนี้ไม่ใช่คำตอบที่ถูกต้องสำหรับภาวะ HIV infection เนื่องจากกลไกการออกฤทธิ์, efficacy หรือข้อบ่งใช้ไม่ตรงกับโจทย์ที่กำหนด
• ข้อ ข. (ตัดเล็บมือให้สั้น): ข้อนี้ไม่ใช่คำตอบที่ถูกต้องสำหรับภาวะ HIV infection เนื่องจากกลไกการออกฤทธิ์, efficacy หรือข้อบ่งใช้ไม่ตรงกับโจทย์ที่กำหนด
• ข้อ ค. (ซักผ้าปูที่นอนทุกวัน): ข้อนี้ไม่ใช่คำตอบที่ถูกต้องสำหรับภาวะ HIV infection เนื่องจากกลไกการออกฤทธิ์, efficacy หรือข้อบ่งใช้ไม่ตรงกับโจทย์ที่กำหนด
• ข้อ จ. (หลีกเลี่ยงการรับประทานปลาน้ำจืด):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8" s="2" t="n"/>
      <c r="L48" s="2" t="inlineStr">
        <is>
          <t>HIV infection</t>
        </is>
      </c>
      <c r="M48" s="2" t="inlineStr">
        <is>
          <t>Clinic</t>
        </is>
      </c>
      <c r="N48" s="2" t="inlineStr">
        <is>
          <t>ข้อ 13.2 Mock Infectious RxCU84</t>
        </is>
      </c>
      <c r="O48" s="2" t="inlineStr">
        <is>
          <t>Mock</t>
        </is>
      </c>
      <c r="P48" s="2" t="inlineStr">
        <is>
          <t>Mock RxCU84</t>
        </is>
      </c>
    </row>
    <row r="49" ht="13.2" customHeight="1" s="37">
      <c r="A49" s="8" t="inlineStr">
        <is>
          <t>46</t>
        </is>
      </c>
      <c r="B49" s="2" t="inlineStr">
        <is>
          <t>เด็กชายอายุ 4 ปี อาศัยอยู่ในชุมชนแออัด มีภาวะขาดสารอาหารและมีอาการปวดท้อง ท้องอืด ตรวจพบว่ามีพยาธิจำนวนมากพันกันเป็นก้อนในลำไส้จนเกิดภาวะลำไส้อุดตัน (Intestinal obstruction)
คำถาม: พยาธิชนิดใดมีความเป็นไปได้มากที่สุด?</t>
        </is>
      </c>
      <c r="C49" s="2" t="n"/>
      <c r="D49" s="2" t="inlineStr">
        <is>
          <t>Enterobius vermicularis</t>
        </is>
      </c>
      <c r="E49" s="2" t="inlineStr">
        <is>
          <t>Taenia solium</t>
        </is>
      </c>
      <c r="F49" s="2" t="inlineStr">
        <is>
          <t>Ascaris lumbricoides</t>
        </is>
      </c>
      <c r="G49" s="2" t="inlineStr">
        <is>
          <t>Wuchereria bancrofti</t>
        </is>
      </c>
      <c r="H49" s="2" t="inlineStr">
        <is>
          <t>Hookworm</t>
        </is>
      </c>
      <c r="I49" s="8" t="inlineStr">
        <is>
          <t>3</t>
        </is>
      </c>
      <c r="J49" s="2" t="inlineStr">
        <is>
          <t>✅ คำตอบที่ถูกต้อง: ข้อ ค. Ascaris lumbricoides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Ascaris lumbricoides (พยาธิไส้เดือน) เป็นพยาธิตัวกลมขนาดใหญ่ที่สุดในลำไส้มนุษย์ (ยาว 15-35 ซม.) หากมีการติดเชื้อปริมาณมาก (Heavy infection) ตัวพยาธิสามารถขดรวมตัวกันเป็นก้อน (Worm bolus) อุดกั้นทางเดินอาหาร ส่งผลให้เกิดภาวะลำไส้อุดตันเฉียบพลัน (Bolus intestinal obstruction) ได้ โดยเฉพาะในเด็กเล็ก
🔍 ข้ออื่นผิดเพราะอะไร:
• ข้อ ก. (Enterobius vermicularis): ข้อนี้ไม่ใช่คำตอบที่ถูกต้องสำหรับภาวะ Parasitic infections เนื่องจากกลไกการออกฤทธิ์, efficacy หรือข้อบ่งใช้ไม่ตรงกับโจทย์ที่กำหนด
• ข้อ ข. (Taenia solium): ข้อนี้ไม่ใช่คำตอบที่ถูกต้องสำหรับภาวะ Parasitic infections เนื่องจากกลไกการออกฤทธิ์, efficacy หรือข้อบ่งใช้ไม่ตรงกับโจทย์ที่กำหนด
• ข้อ ง. (Wuchereria bancrofti): ข้อนี้ไม่ใช่คำตอบที่ถูกต้องสำหรับภาวะ Parasitic infections เนื่องจากกลไกการออกฤทธิ์, efficacy หรือข้อบ่งใช้ไม่ตรงกับโจทย์ที่กำหนด
• ข้อ จ. (Hookworm):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2" t="n"/>
      <c r="L49" s="2" t="inlineStr">
        <is>
          <t>Parasitic infections</t>
        </is>
      </c>
      <c r="M49" s="2" t="inlineStr">
        <is>
          <t>Clinic</t>
        </is>
      </c>
      <c r="N49" s="2" t="inlineStr">
        <is>
          <t>ข้อ 13.3 Mock Infectious RxCU84</t>
        </is>
      </c>
      <c r="O49" s="2" t="inlineStr">
        <is>
          <t>Mock</t>
        </is>
      </c>
      <c r="P49" s="2" t="inlineStr">
        <is>
          <t>Mock RxCU84</t>
        </is>
      </c>
    </row>
    <row r="50" ht="13.2" customHeight="1" s="37">
      <c r="A50" s="8" t="inlineStr">
        <is>
          <t>47</t>
        </is>
      </c>
      <c r="B50" s="2" t="inlineStr">
        <is>
          <t>หญิงอายุ 35 ปี มีประวัติรับประทานเนื้อหมูดิบหรือปรุงไม่สุก พบปล้องพยาธิสีขาวแบนคล้ายริบบิ้นปนออกมากับอุจจาระ ตรวจพบการติดเชื้อ Taenia solium
คำถาม: ข้อใดเป็นคำแนะนำที่เหมาะสมที่สุดในการป้องกันการติดเชื้อซ้ำ?</t>
        </is>
      </c>
      <c r="C50" s="2" t="n"/>
      <c r="D50" s="2" t="inlineStr">
        <is>
          <t>หลีกเลี่ยงการรับประทานเนื้อหมูดิบหรือปรุงไม่สุก</t>
        </is>
      </c>
      <c r="E50" s="2" t="inlineStr">
        <is>
          <t>สวมรองเท้าทุกครั้งเมื่อออกจากบ้าน</t>
        </is>
      </c>
      <c r="F50" s="2" t="inlineStr">
        <is>
          <t>หลีกเลี่ยงการรับประทานปลาน้ำจืด</t>
        </is>
      </c>
      <c r="G50" s="2" t="inlineStr">
        <is>
          <t>ล้างมือหลังเข้าห้องน้ำเท่านั้น</t>
        </is>
      </c>
      <c r="H50" s="2" t="inlineStr">
        <is>
          <t>หลีกเลี่ยงการสัมผัสสุนัขและแมว</t>
        </is>
      </c>
      <c r="I50" s="8" t="inlineStr">
        <is>
          <t>1</t>
        </is>
      </c>
      <c r="J50" s="2" t="inlineStr">
        <is>
          <t>✅ คำตอบที่ถูกต้อง: ข้อ ก. หลีกเลี่ยงการรับประทานเนื้อหมูดิบหรือปรุงไม่สุก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หลีกเลี่ยงการรับประทานเนื้อหมูดิบหรือปรุงไม่สุก Taenia solium (พยาธิตัวตืดหมู) ติดต่อสู่คนผ่านการรับประทานเนื้อหมูที่มีเม็ดสาคู (Cysticercus cellulosae) ซึ่งปรุงไม่สุกหรือสุกๆ ดิบๆ ดังนั้นการป้องกันการติดเชื้อที่ตรงจุดที่สุดคือการปรุงเนื้อหมูให้สุกด้วยความร้อนทั่วถึง และหลีกเลี่ยงอาหารประเภทลาบหมูดิบ แหนมดิบ
🔍 ข้ออื่นผิดเพราะอะไร:
• ข้อ ข. (สวมรองเท้าทุกครั้งเมื่อออกจากบ้าน): ข้อนี้ไม่ใช่คำตอบที่ถูกต้องสำหรับภาวะ Parasitic infections เนื่องจากกลไกการออกฤทธิ์, efficacy หรือข้อบ่งใช้ไม่ตรงกับโจทย์ที่กำหนด
• ข้อ ค. (หลีกเลี่ยงการรับประทานปลาน้ำจืด): ข้อนี้ไม่ใช่คำตอบที่ถูกต้องสำหรับภาวะ Parasitic infections เนื่องจากกลไกการออกฤทธิ์, efficacy หรือข้อบ่งใช้ไม่ตรงกับโจทย์ที่กำหนด
• ข้อ ง. (ล้างมือหลังเข้าห้องน้ำเท่านั้น): ข้อนี้ไม่ใช่คำตอบที่ถูกต้องสำหรับภาวะ Parasitic infections เนื่องจากกลไกการออกฤทธิ์, efficacy หรือข้อบ่งใช้ไม่ตรงกับโจทย์ที่กำหนด
• ข้อ จ. (หลีกเลี่ยงการสัมผัสสุนัขและแมว):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2" t="n"/>
      <c r="L50" s="2" t="inlineStr">
        <is>
          <t>Parasitic infections</t>
        </is>
      </c>
      <c r="M50" s="2" t="inlineStr">
        <is>
          <t>Clinic</t>
        </is>
      </c>
      <c r="N50" s="2" t="inlineStr">
        <is>
          <t>ข้อ 13.4 Mock Infectious RxCU84</t>
        </is>
      </c>
      <c r="O50" s="2" t="inlineStr">
        <is>
          <t>Mock</t>
        </is>
      </c>
      <c r="P50" s="2" t="inlineStr">
        <is>
          <t>Mock RxCU84</t>
        </is>
      </c>
    </row>
    <row r="51" ht="13.2" customHeight="1" s="37">
      <c r="A51" s="8" t="inlineStr">
        <is>
          <t>48</t>
        </is>
      </c>
      <c r="B51" s="2" t="inlineStr">
        <is>
          <t>เด็กหญิงอายุ 6 ปี ได้รับการวินิจฉัยว่าเป็นพยาธิเส้นด้าย (Pinworm) และได้รับยาถ่ายพยาธิแล้ว ผู้ปกครองสอบถามเกี่ยวกับการใช้ยาเพื่อป้องกันการติดเชื้อซ้ำ
คำถาม: แนวทางการใช้ยาข้อใดเหมาะสมที่สุด?</t>
        </is>
      </c>
      <c r="C51" s="2" t="n"/>
      <c r="D51" s="2" t="inlineStr">
        <is>
          <t>รับประทานยาซ้ำในวันถัดไป</t>
        </is>
      </c>
      <c r="E51" s="2" t="inlineStr">
        <is>
          <t>รับประทานยาซ้ำหลัง 2 สัปดาห์</t>
        </is>
      </c>
      <c r="F51" s="2" t="inlineStr">
        <is>
          <t>สวมรองเท้าตลอดเวลา</t>
        </is>
      </c>
      <c r="G51" s="2" t="inlineStr">
        <is>
          <t>หลีกเลี่ยงการรับประทานเนื้อหมู</t>
        </is>
      </c>
      <c r="H51" s="2" t="inlineStr">
        <is>
          <t>หลีกเลี่ยงการรับประทานปลาน้ำจืด</t>
        </is>
      </c>
      <c r="I51" s="8" t="inlineStr">
        <is>
          <t>2</t>
        </is>
      </c>
      <c r="J51" s="2" t="inlineStr">
        <is>
          <t>✅ คำตอบที่ถูกต้อง: ข้อ ข. รับประทานยาซ้ำหลัง 2 สัปดาห์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รับประทานยาซ้ำหลัง 2 สัปดาห์ ยาถ่ายพยาธิ (เช่น Mebendazole 100 mg หรือ Albendazole 400 mg single dose) สามารถฆ่าพยาธิตัวแก่ได้ดี แต่ไม่สามารถทำลายไข่พยาธิได้ ไข่ที่ตกค้างจะฟักเป็นตัวอ่อนภายใน 1-2 สัปดาห์ ดังนั้นเพื่อป้องกันการกลับเป็นซ้ำจากไข่ที่ฟักใหม่ จึงต้องรับประทานยาซ้ำอีก 1 ครั้งหลังผ่านไป 2 สัปดาห์ (Repeat dose after 2 weeks) และควรรักษาทุกคนในครอบครัวพร้อมกัน
🔍 ข้ออื่นผิดเพราะอะไร:
• ข้อ ก. (รับประทานยาซ้ำในวันถัดไป): ข้อนี้ไม่ใช่คำตอบที่ถูกต้องสำหรับภาวะ Parasitic infections เนื่องจากกลไกการออกฤทธิ์, efficacy หรือข้อบ่งใช้ไม่ตรงกับโจทย์ที่กำหนด
• ข้อ ค. (สวมรองเท้าตลอดเวลา): ข้อนี้ไม่ใช่คำตอบที่ถูกต้องสำหรับภาวะ Parasitic infections เนื่องจากกลไกการออกฤทธิ์, efficacy หรือข้อบ่งใช้ไม่ตรงกับโจทย์ที่กำหนด
• ข้อ ง. (หลีกเลี่ยงการรับประทานเนื้อหมู): ข้อนี้ไม่ใช่คำตอบที่ถูกต้องสำหรับภาวะ Parasitic infections เนื่องจากกลไกการออกฤทธิ์, efficacy หรือข้อบ่งใช้ไม่ตรงกับโจทย์ที่กำหนด
• ข้อ จ. (หลีกเลี่ยงการรับประทานปลาน้ำจืด):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2" t="n"/>
      <c r="L51" s="2" t="inlineStr">
        <is>
          <t>Parasitic infections</t>
        </is>
      </c>
      <c r="M51" s="2" t="inlineStr">
        <is>
          <t>Clinic</t>
        </is>
      </c>
      <c r="N51" s="2" t="inlineStr">
        <is>
          <t>ข้อ 13.5 Mock Infectious RxCU84</t>
        </is>
      </c>
      <c r="O51" s="2" t="inlineStr">
        <is>
          <t>Mock</t>
        </is>
      </c>
      <c r="P51" s="2" t="inlineStr">
        <is>
          <t>Mock RxCU84</t>
        </is>
      </c>
    </row>
    <row r="52" ht="13.2" customHeight="1" s="37">
      <c r="A52" s="8" t="inlineStr">
        <is>
          <t>49</t>
        </is>
      </c>
      <c r="B52" s="2" t="inlineStr">
        <is>
          <t>ผู้ป่วยหญิงอายุ 55 ปี มีตุ่มน้ำใสเกาะกลุ่มกันที่ริมฝีปาก แตกเป็นแผลตื้นๆ ไม่มีไข้ มีโรคประจำตัวคือความดันโลหิตสูง รับประทาน Losartan 40 mg OD เช้า และ HCTZ 25 mg OD เช้า [ต้องมีรูปภาพเริมริมฝีปาก]
คำถาม: ข้อใดระบุการวินิจฉัยและเชื้อก่อโรคได้ถูกต้องที่สุด?</t>
        </is>
      </c>
      <c r="C52" s="2" t="n"/>
      <c r="D52" s="2" t="inlineStr">
        <is>
          <t>Primary infection จาก Varicella-Zoster Virus (VZV)</t>
        </is>
      </c>
      <c r="E52" s="2" t="inlineStr">
        <is>
          <t>Recurrent episode ของ Herpes Labialis จาก Herpes Simplex Virus type 1 (HSV-1)</t>
        </is>
      </c>
      <c r="F52" s="2" t="inlineStr">
        <is>
          <t>Genital Herpes จาก Herpes Simplex Virus type 2 (HSV-2)</t>
        </is>
      </c>
      <c r="G52" s="2" t="inlineStr">
        <is>
          <t>Impetigo จากการติดเชื้อ Staphylococcus aureus</t>
        </is>
      </c>
      <c r="H52" s="2" t="inlineStr">
        <is>
          <t>Common Warts จาก Human Papillomavirus (HPV)</t>
        </is>
      </c>
      <c r="I52" s="8" t="inlineStr">
        <is>
          <t>2</t>
        </is>
      </c>
      <c r="J52" s="2" t="inlineStr">
        <is>
          <t>✅ คำตอบที่ถูกต้อง: ข้อ ข. Recurrent episode ของ Herpes Labialis จาก Herpes Simplex Virus type 1 (HSV-1)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Recurrent episode ของ Herpes Labialis จาก Herpes Simplex Virus type 1 (HSV-1) ลักษณะรอยโรคเป็นตุ่มน้ำใสรวมกันเป็นกลุ่มบนฐานสีแดง (Grouped vesicles on erythematous base) บริเวณริมฝีปากและรอบปาก (Vermilion border) ที่แตกออกเป็นแผลตื้นๆ เข้าได้กับโรคเริมที่ริมฝีปาก (Herpes labialis) ซึ่งเกิดจากการกลับเป็นซ้ำ (Reactivation/Recurrence) ของเชื้อ Herpes Simplex Virus type 1 (HSV-1) ที่หลบซ่อนอยู่ใน Trigeminal ganglion
🔍 ข้ออื่นผิดเพราะอะไร:
• ข้อ ก. (Primary infection จาก Varicella-Zoster Virus (VZV)): ข้อนี้ไม่ใช่คำตอบที่ถูกต้องสำหรับภาวะ HIV infection เนื่องจากกลไกการออกฤทธิ์, efficacy หรือข้อบ่งใช้ไม่ตรงกับโจทย์ที่กำหนด
• ข้อ ค. (Genital Herpes จาก Herpes Simplex Virus type 2 (HSV-2)): ข้อนี้ไม่ใช่คำตอบที่ถูกต้องสำหรับภาวะ HIV infection เนื่องจากกลไกการออกฤทธิ์, efficacy หรือข้อบ่งใช้ไม่ตรงกับโจทย์ที่กำหนด
• ข้อ ง. (Impetigo จากการติดเชื้อ Staphylococcus aureus): ข้อนี้ไม่ใช่คำตอบที่ถูกต้องสำหรับภาวะ HIV infection เนื่องจากกลไกการออกฤทธิ์, efficacy หรือข้อบ่งใช้ไม่ตรงกับโจทย์ที่กำหนด
• ข้อ จ. (Common Warts จาก Human Papillomavirus (HPV)): วัคซีนเอชพีวีป้องกันมะเร็งปากมดลูก แนะนำฉีดในเด็กอายุ 9-14 ปี (ให้ 2 เข็ม ห่างกัน 6 เดือน)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2" s="2" t="n"/>
      <c r="L52" s="2" t="inlineStr">
        <is>
          <t>HIV infection</t>
        </is>
      </c>
      <c r="M52" s="2" t="inlineStr">
        <is>
          <t>Clinic</t>
        </is>
      </c>
      <c r="N52" s="2" t="inlineStr">
        <is>
          <t>ข้อ 15.1 Mock Infectious RxCU84</t>
        </is>
      </c>
      <c r="O52" s="2" t="inlineStr">
        <is>
          <t>Mock</t>
        </is>
      </c>
      <c r="P52" s="2" t="inlineStr">
        <is>
          <t>Mock RxCU84</t>
        </is>
      </c>
    </row>
    <row r="53" ht="13.2" customHeight="1" s="37">
      <c r="A53" s="8" t="inlineStr">
        <is>
          <t>50</t>
        </is>
      </c>
      <c r="B53" s="2" t="inlineStr">
        <is>
          <t>คำแนะนำการปฏิบัติตัวสำหรับผู้ป่วยที่เป็น Herpes Labialis
คำถาม: ข้อใดเป็นคำแนะนำที่ถูกต้องและเหมาะสมที่สุดที่เภสัชกรควรให้แก่ผู้ป่วยรายนี้?</t>
        </is>
      </c>
      <c r="C53" s="2" t="n"/>
      <c r="D53" s="2" t="inlineStr">
        <is>
          <t>สามารถใช้ครีม Topical Corticosteroid ทาบริเวณแผลเพื่อลดอาการปวดแสบปวดร้อนได้ทันที</t>
        </is>
      </c>
      <c r="E53" s="2" t="inlineStr">
        <is>
          <t>หลีกเลี่ยงแสงแดด ความเครียด และการนอนดึก เนื่องจากเป็นปัจจัยกระตุ้นให้โรคกลับเป็นซ้ำ</t>
        </is>
      </c>
      <c r="F53" s="2" t="inlineStr">
        <is>
          <t>เมื่อแผลแห้งตกสะเก็ดแล้ว เชื้อไวรัสจะถูกกำจัดออกจากร่างกายจนหมด ไม่กลับมาเป็นอีก</t>
        </is>
      </c>
      <c r="G53" s="2" t="inlineStr">
        <is>
          <t>สามารถใช้ลิปมัน หรือภาชนะใส่อาหารร่วมกับผู้อื่นได้ตามปกติเพราะไม่มีการแพร่เชื้อทางสัมผัส</t>
        </is>
      </c>
      <c r="H53" s="2" t="inlineStr">
        <is>
          <t>หากแผลตกสะเก็ดช้า แนะนำให้แกะสะเก็ดออกเพื่อสะกิดตุ่มน้ำให้แห้งเร็วขึ้น</t>
        </is>
      </c>
      <c r="I53" s="8" t="inlineStr">
        <is>
          <t>2</t>
        </is>
      </c>
      <c r="J53" s="2" t="inlineStr">
        <is>
          <t>✅ คำตอบที่ถูกต้อง: ข้อ ข. หลีกเลี่ยงแสงแดด ความเครียด และการนอนดึก เนื่องจากเป็นปัจจัยกระตุ้นให้โรคกลับเป็นซ้ำ
💡 Background:
การดูแลผู้ติดเชื้อ HIV เน้นเริ่ม Antiretroviral Therapy (ART) ทันทีเพื่อกด viral load ให้ undetectable (U=U) และฟื้นฟูระบบภูมิคุ้มกัน
🎯 ทำไมข้อนี้ถึงถูก:
หลีกเลี่ยงแสงแดด ความเครียด และการนอนดึก เนื่องจากเป็นปัจจัยกระตุ้นให้โรคกลับเป็นซ้ำ เชื้อไวรัส HSV เมื่อเข้าสู่ร่างกายแล้วจะแฝงตัวอยู่ในปมประสาทรับความรู้สึกตลอดชีวิต ปัจจัยกระตุ้นต่างๆ เช่น รังสี UV/แสงแดดจัด, ความเครียดทางอารมณ์หรือร่างกาย, ภาวะอ่อนเพลียอดนอน, หรือการมีไข้ จะกระตุ้นให้เชื้อเกิด Reactivation เดินทางตามเส้นประสาทมาก่อรอยโรคซ้ำ การหลีกเลี่ยงปัจจัยกระตุ้นจึงเป็นมาตรการป้องกันที่สำคัญ
🔍 ข้ออื่นผิดเพราะอะไร:
• ข้อ ก. (สามารถใช้ครีม Topical Corticosteroid ทาบริเวณแผลเพื่อลดอาการปวดแสบปวดร้อนได้ทันที): ข้อนี้ไม่ใช่คำตอบที่ถูกต้องสำหรับภาวะ HIV infection เนื่องจากกลไกการออกฤทธิ์, efficacy หรือข้อบ่งใช้ไม่ตรงกับโจทย์ที่กำหนด
• ข้อ ค. (เมื่อแผลแห้งตกสะเก็ดแล้ว เชื้อไวรัสจะถูกกำจัดออกจากร่างกายจนหมด ไม่กลับมาเป็นอีก): ข้อนี้ไม่ใช่คำตอบที่ถูกต้องสำหรับภาวะ HIV infection เนื่องจากกลไกการออกฤทธิ์, efficacy หรือข้อบ่งใช้ไม่ตรงกับโจทย์ที่กำหนด
• ข้อ ง. (สามารถใช้ลิปมัน หรือภาชนะใส่อาหารร่วมกับผู้อื่นได้ตามปกติเพราะไม่มีการแพร่เชื้อทางสัมผัส): ข้อนี้ไม่ใช่คำตอบที่ถูกต้องสำหรับภาวะ HIV infection เนื่องจากกลไกการออกฤทธิ์, efficacy หรือข้อบ่งใช้ไม่ตรงกับโจทย์ที่กำหนด
• ข้อ จ. (หากแผลตกสะเก็ดช้า แนะนำให้แกะสะเก็ดออกเพื่อสะกิดตุ่มน้ำให้แห้งเร็วขึ้น):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3" s="2" t="n"/>
      <c r="L53" s="2" t="inlineStr">
        <is>
          <t>HIV infection</t>
        </is>
      </c>
      <c r="M53" s="2" t="inlineStr">
        <is>
          <t>Clinic</t>
        </is>
      </c>
      <c r="N53" s="2" t="inlineStr">
        <is>
          <t>ข้อ 15.2 Mock Infectious RxCU84</t>
        </is>
      </c>
      <c r="O53" s="2" t="inlineStr">
        <is>
          <t>Mock</t>
        </is>
      </c>
      <c r="P53" s="2" t="inlineStr">
        <is>
          <t>Mock RxCU84</t>
        </is>
      </c>
    </row>
    <row r="54" ht="13.2" customHeight="1" s="37">
      <c r="A54" s="8" t="inlineStr">
        <is>
          <t>51</t>
        </is>
      </c>
      <c r="B54" s="2" t="inlineStr">
        <is>
          <t>ผู้ป่วยเริมริมฝีปากต้องการซื้อยาทาเฉพาะที่
คำถาม: ผู้ป่วยรายนี้มีอาการปวดแสบที่ตุ่มน้ำบริเวณริมฝีปาก และต้องการซื้อ 'ยาทา' ข้อใดคือยาทาที่เหมาะสมที่สุด และข้อใดคือยาที่ 'ห้ามใช้' เด็ดขาดในผู้ป่วยรายนี้?</t>
        </is>
      </c>
      <c r="C54" s="2" t="n"/>
      <c r="D54" s="2" t="inlineStr">
        <is>
          <t>เหมาะสมที่สุด: Acyclovir 5% cream / ห้ามใช้: Mupirocin ointment</t>
        </is>
      </c>
      <c r="E54" s="2" t="inlineStr">
        <is>
          <t>เหมาะสมที่สุด: Acyclovir 5% cream / ห้ามใช้: Topical Corticosteroid</t>
        </is>
      </c>
      <c r="F54" s="2" t="inlineStr">
        <is>
          <t>เหมาะสมที่สุด: Topical Corticosteroid / ห้ามใช้: Acyclovir 5% cream</t>
        </is>
      </c>
      <c r="G54" s="2" t="inlineStr">
        <is>
          <t>เหมาะสมที่สุด: Clotrimazole cream / ห้ามใช้: Topical Corticosteroid</t>
        </is>
      </c>
      <c r="H54" s="2" t="inlineStr">
        <is>
          <t>เหมาะสมที่สุด: Calamine lotion / ห้ามใช้: Docosanol cream</t>
        </is>
      </c>
      <c r="I54" s="8" t="inlineStr">
        <is>
          <t>2</t>
        </is>
      </c>
      <c r="J54" s="2" t="inlineStr">
        <is>
          <t>✅ คำตอบที่ถูกต้อง: ข้อ ข. เหมาะสมที่สุด: Acyclovir 5% cream / ห้ามใช้: Topical Corticosteroid
💡 Background:
การดูแลผู้ติดเชื้อ HIV เน้นเริ่ม Antiretroviral Therapy (ART) ทันทีเพื่อกด viral load ให้ undetectable (U=U) และฟื้นฟูระบบภูมิคุ้มกัน
🎯 ทำไมข้อนี้ถึงถูก:
เหมาะสมที่สุด: Acyclovir 5% cream / ห้ามใช้: Topical Corticosteroid ยาทาที่แนะนำสำหรับเริมที่ริมฝีปากคือ Acyclovir 5% cream ทาวันละ 5 ครั้ง ทุก 4 ชั่วโมง (เว้นเวลานอน) โดยควรเริ่มทาตั้งแต่ระยะ Prodrome (เริ่มคันยิบๆ) ส่วนยาที่ห้ามใช้เด็ดขาดคือ ยาทาสเตียรอยด์ (Topical Corticosteroid) เนื่องจากจะไปกดภูมิคุ้มกันเฉพาะที่ ทำให้เชื้อไวรัสแบ่งตัวลุกลามและรอยโรคแย่ลงอย่างรุนแรง
🔍 ข้ออื่นผิดเพราะอะไร:
• ข้อ ก. (เหมาะสมที่สุด: Acyclovir 5% cream / ห้ามใช้: Mupirocin ointment): เป็น Guanosine analog ยับยั้ง HSV และ VZV polymerase ต้องดื่มน้ำมากๆ ระหว่างได้ยา IV เพื่อป้องกัน crystal nephropathy และ obstructive AKI
• ข้อ ค. (เหมาะสมที่สุด: Topical Corticosteroid / ห้ามใช้: Acyclovir 5% cream): เป็น Guanosine analog ยับยั้ง HSV และ VZV polymerase ต้องดื่มน้ำมากๆ ระหว่างได้ยา IV เพื่อป้องกัน crystal nephropathy และ obstructive AKI
• ข้อ ง. (เหมาะสมที่สุด: Clotrimazole cream / ห้ามใช้: Topical Corticosteroid): ข้อนี้ไม่ใช่คำตอบที่ถูกต้องสำหรับภาวะ HIV infection เนื่องจากกลไกการออกฤทธิ์, efficacy หรือข้อบ่งใช้ไม่ตรงกับโจทย์ที่กำหนด
• ข้อ จ. (เหมาะสมที่สุด: Calamine lotion / ห้ามใช้: Docosanol cream):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2" t="n"/>
      <c r="L54" s="2" t="inlineStr">
        <is>
          <t>HIV infection</t>
        </is>
      </c>
      <c r="M54" s="2" t="inlineStr">
        <is>
          <t>Clinic</t>
        </is>
      </c>
      <c r="N54" s="2" t="inlineStr">
        <is>
          <t>ข้อ 15.3 Mock Infectious RxCU84</t>
        </is>
      </c>
      <c r="O54" s="2" t="inlineStr">
        <is>
          <t>Mock</t>
        </is>
      </c>
      <c r="P54" s="2" t="inlineStr">
        <is>
          <t>Mock RxCU84</t>
        </is>
      </c>
    </row>
    <row r="55" ht="13.2" customHeight="1" s="37">
      <c r="A55" s="8" t="inlineStr">
        <is>
          <t>52</t>
        </is>
      </c>
      <c r="B55" s="2" t="inlineStr">
        <is>
          <t>ผู้ป่วยรับประทานยาความดัน HCTZ ร่วมกับการได้รับยาต้านไวรัส Acyclovir
คำถาม: เภสัชกรควรให้คำแนะนำที่สำคัญที่สุดข้อใด เพื่อป้องกันผลข้างเคียงรุนแรงจากยาต้านไวรัสชนิดรับประทาน?</t>
        </is>
      </c>
      <c r="C55" s="2" t="n"/>
      <c r="D55" s="2" t="inlineStr">
        <is>
          <t>ห้ามทานยา Acyclovir พร้อมกับ Losartan เด็ดขาด เพราะจะทำให้ความดันโลหิตลดต่ำลงอย่างรุนแรง</t>
        </is>
      </c>
      <c r="E55" s="2" t="inlineStr">
        <is>
          <t>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t>
        </is>
      </c>
      <c r="F55" s="2" t="inlineStr">
        <is>
          <t>ยา Acyclovir อาจทำให้ระดับโพแทสเซียมในเลือดสูงขึ้น ควรหลีกเลี่ยงการทานกล้วยหรือส้มร่วมกับยา Losartan</t>
        </is>
      </c>
      <c r="G55" s="2" t="inlineStr">
        <is>
          <t>แนะนำให้หยุดยา HCTZ ชั่วคราวเป็นเวลา 7 วัน จนกว่าจะทานยา Acyclovir หมด เพื่อป้องกันตับอักเสบ</t>
        </is>
      </c>
      <c r="H55" s="2" t="inlineStr">
        <is>
          <t>ยา Acyclovir จะไปลดฤทธิ์ของยาความดันโลหิตทั้งสองตัว แนะนำให้วัดความดันโลหิตทุกวัน</t>
        </is>
      </c>
      <c r="I55" s="8" t="inlineStr">
        <is>
          <t>2</t>
        </is>
      </c>
      <c r="J55" s="2" t="inlineStr">
        <is>
          <t>✅ คำตอบที่ถูกต้อง: ข้อ ข.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 Background:
การดูแลผู้ติดเชื้อ HIV เน้นเริ่ม Antiretroviral Therapy (ART) ทันทีเพื่อกด viral load ให้ undetectable (U=U) และฟื้นฟูระบบภูมิคุ้มกัน
🎯 ทำไมข้อนี้ถึงถูก: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Acyclovir ขับออกทางไตเป็นหลักผ่าน glomerular filtration และ tubular secretion ยามีความสามารถในการละลายน้ำจำกัดในปัสสาวะ หากร่างกายอยู่ในภาวะขาดน้ำ (Dehydration / Volume depletion) ซึ่งผู้ป่วยรายนี้ใช้ยาขับปัสสาวะ HCTZ อยู่ จะยิ่งเพิ่มความเสี่ยงต่อการเกิดการตกตะกอนของผลึกยาในท่อไต (Acyclovir crystalline nephropathy) นำไปสู่อาการไตวายเฉียบพลัน จึงจำเป็นต้องดื่มน้ำมากๆ (Adequate hydration) ตลอดช่วงที่รับประทานยา
🔍 ข้ออื่นผิดเพราะอะไร:
• ข้อ ก. (ห้ามทานยา Acyclovir พร้อมกับ Losartan เด็ดขาด เพราะจะทำให้ความดันโลหิตลดต่ำลงอย่างรุนแรง): เป็น ARB ปิดกั้น AT1 receptor โดยตรง เหมาะสำหรับผู้ป่วยที่ทนต่ออาการไอแห้งจาก ACEI ไม่ได้ และมี uricosuric effect เล็กน้อยในการลดกรดยูริก
• ข้อ ค. (ยา Acyclovir อาจทำให้ระดับโพแทสเซียมในเลือดสูงขึ้น ควรหลีกเลี่ยงการทานกล้วยหรือส้มร่วมกับยา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(แนะนำให้หยุดยา HCTZ ชั่วคราวเป็นเวลา 7 วัน จนกว่าจะทานยา Acyclovir หมด เพื่อป้องกันตับอักเสบ): เป็น Guanosine analog ยับยั้ง HSV และ VZV polymerase ต้องดื่มน้ำมากๆ ระหว่างได้ยา IV เพื่อป้องกัน crystal nephropathy และ obstructive AKI
• ข้อ จ. (ยา Acyclovir จะไปลดฤทธิ์ของยาความดันโลหิตทั้งสองตัว แนะนำให้วัดความดันโลหิตทุกวัน):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2" t="n"/>
      <c r="L55" s="2" t="inlineStr">
        <is>
          <t>HIV infection</t>
        </is>
      </c>
      <c r="M55" s="2" t="inlineStr">
        <is>
          <t>Clinic</t>
        </is>
      </c>
      <c r="N55" s="2" t="inlineStr">
        <is>
          <t>ข้อ 15.4 Mock Infectious RxCU84</t>
        </is>
      </c>
      <c r="O55" s="2" t="inlineStr">
        <is>
          <t>Mock</t>
        </is>
      </c>
      <c r="P55" s="2" t="inlineStr">
        <is>
          <t>Mock RxCU84</t>
        </is>
      </c>
    </row>
    <row r="56" ht="13.2" customHeight="1" s="37">
      <c r="A56" s="8" t="inlineStr">
        <is>
          <t>53</t>
        </is>
      </c>
      <c r="B56" s="2" t="inlineStr">
        <is>
          <t>ผู้ป่วยเริมริมฝีปากสอบถามเรื่องการสัมผัสและการแพร่เชื้อสู่เด็กเล็กในบ้าน
คำถาม: ผู้ป่วยสอบถามด้วยความกังวลเกี่ยวกับการแพร่เชื้อไปสู่หลานสาววัย 2 ขวบที่อาศัยอยู่ในบ้านเดียวกัน 'ตอนนี้ตุ่มน้ำแตกออกเริ่มแห้งแล้ว ป้าอุ้มและหอมแก้มหลานได้หรือยัง?' ข้อใดเป็นคำแนะนำที่ถูกต้องที่สุด?</t>
        </is>
      </c>
      <c r="C56" s="2" t="n"/>
      <c r="D56" s="2" t="inlineStr">
        <is>
          <t>สามารถหอมแก้มหลานได้ทันที เพราะเมื่อตุ่มน้ำแตกออก เชื้อไวรัสจะถูกทำลายไปทั้งหมด</t>
        </is>
      </c>
      <c r="E56" s="2" t="inlineStr">
        <is>
          <t>สามารถหอมแก้มได้ตามปกติ เพราะเชื้อ HSV-1 แพร่กระจายผ่านทางละอองฝุ่นในอากาศ (Airborne) เท่านั้น ไม่ได้ติดผ่านการสัมผัส</t>
        </is>
      </c>
      <c r="F56" s="2" t="inlineStr">
        <is>
          <t>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t>
        </is>
      </c>
      <c r="G56" s="2" t="inlineStr">
        <is>
          <t>เชื้อเริมสามารถแพร่ไปยังผู้อื่นได้เฉพาะผู้ที่มีภูมิคุ้มกันบกพร่องเท่านั้น เด็กวัย 2 ขวบมีภูมิคุ้มกันสูงจึงไม่ติดเชื้อแน่นอน</t>
        </is>
      </c>
      <c r="H56" s="2" t="inlineStr">
        <is>
          <t>แนะนำให้หลานสาวรับประทานยา Acyclovir 200 mg วันละครั้งล่วงหน้าเพื่อป้องกันการติดเชื้อ (Post-contact prophylaxis)</t>
        </is>
      </c>
      <c r="I56" s="8" t="inlineStr">
        <is>
          <t>3</t>
        </is>
      </c>
      <c r="J56" s="2" t="inlineStr">
        <is>
          <t>✅ คำตอบที่ถูกต้อง: ข้อ ค.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 Background:
การดูแลผู้ติดเชื้อ HIV เน้นเริ่ม Antiretroviral Therapy (ART) ทันทีเพื่อกด viral load ให้ undetectable (U=U) และฟื้นฟูระบบภูมิคุ้มกัน
🎯 ทำไมข้อนี้ถึงถูก: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เชื้อ HSV-1 ติดต่อผ่านทางการสัมผัสโดยตรง (Direct contact) กับรอยโรค น้ำลาย หรือสารคัดหลั่งจากตุ่มน้ำ ช่วงที่ตุ่มน้ำแตกจนถึงเริ่มตกสะเก็ดยังคงมีปริมาณเชื้อไวรัสสูงและมีปรากฏการณ์หลั่งเชื้อ (Viral shedding) จึงต้องงดการจูบ หอมแก้ม หรือสัมผัสใกล้ชิดกับเด็กเล็ก รวมถึงงดใช้ภาชนะ ช้อนส้อม แก้วน้ำ หรือผ้าเช็ดหน้าร่วมกัน จนกว่าแผลจะตกสะเก็ดและหลุดหายสนิท
🔍 ข้ออื่นผิดเพราะอะไร:
• ข้อ ก. (สามารถหอมแก้มหลานได้ทันที เพราะเมื่อตุ่มน้ำแตกออก เชื้อไวรัสจะถูกทำลายไปทั้งหมด): ข้อนี้ไม่ใช่คำตอบที่ถูกต้องสำหรับภาวะ HIV infection เนื่องจากกลไกการออกฤทธิ์, efficacy หรือข้อบ่งใช้ไม่ตรงกับโจทย์ที่กำหนด
• ข้อ ข. (สามารถหอมแก้มได้ตามปกติ เพราะเชื้อ HSV-1 แพร่กระจายผ่านทางละอองฝุ่นในอากาศ (Airborne) เท่านั้น ไม่ได้ติดผ่านการสัมผัส): ข้อนี้ไม่ใช่คำตอบที่ถูกต้องสำหรับภาวะ HIV infection เนื่องจากกลไกการออกฤทธิ์, efficacy หรือข้อบ่งใช้ไม่ตรงกับโจทย์ที่กำหนด
• ข้อ ง. (เชื้อเริมสามารถแพร่ไปยังผู้อื่นได้เฉพาะผู้ที่มีภูมิคุ้มกันบกพร่องเท่านั้น เด็กวัย 2 ขวบมีภูมิคุ้มกันสูงจึงไม่ติดเชื้อแน่นอน): ข้อนี้ไม่ใช่คำตอบที่ถูกต้องสำหรับภาวะ HIV infection เนื่องจากกลไกการออกฤทธิ์, efficacy หรือข้อบ่งใช้ไม่ตรงกับโจทย์ที่กำหนด
• ข้อ จ. (แนะนำให้หลานสาวรับประทานยา Acyclovir 200 mg วันละครั้งล่วงหน้าเพื่อป้องกันการติดเชื้อ (Post-contact prophylaxis)):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6" s="2" t="n"/>
      <c r="L56" s="2" t="inlineStr">
        <is>
          <t>HIV infection</t>
        </is>
      </c>
      <c r="M56" s="2" t="inlineStr">
        <is>
          <t>Clinic</t>
        </is>
      </c>
      <c r="N56" s="2" t="inlineStr">
        <is>
          <t>ข้อ 15.5 Mock Infectious RxCU84</t>
        </is>
      </c>
      <c r="O56" s="2" t="inlineStr">
        <is>
          <t>Mock</t>
        </is>
      </c>
      <c r="P56" s="2" t="inlineStr">
        <is>
          <t>Mock RxCU84</t>
        </is>
      </c>
    </row>
    <row r="57" ht="13.2" customHeight="1" s="37">
      <c r="A57" s="8" t="inlineStr">
        <is>
          <t>54</t>
        </is>
      </c>
      <c r="B57" s="2" t="inlineStr">
        <is>
          <t>ผู้ป่วยชายอายุ 21 ปี ประกอบอาชีพทหาร ไม่มีโรคประจำตัวและแพ้ยา มาร้านยาด้วยอาการคันที่เท้า โดยเฉพาะบริเวณง่ามนิ้วเท้า มีอาการแดง คัน และมีผิวหนังลอกเป็นขุย เริ่มเป็นมาเมื่อวาน ต้องสวมรองเท้าคอมแบทปิดมิดชิดฝึกซ้อมทุกวัน
คำถาม: อาการและปัจจัยเสี่ยงของผู้ป่วยรายนี้เข้าได้กับโรคใดมากที่สุด และข้อใดสนับสนุนการวินิจฉัย?</t>
        </is>
      </c>
      <c r="C57" s="2" t="n"/>
      <c r="D57" s="2" t="inlineStr">
        <is>
          <t>Candidal intertrigo — เพราะมีผื่นแดงคัน</t>
        </is>
      </c>
      <c r="E57" s="2" t="inlineStr">
        <is>
          <t>Tinea pedis interdigital type — เพราะคันที่ง่ามนิ้วเท้า ผิวลอก ในคนที่สวมรองเท้าปิดนาน เหงื่อออกมาก</t>
        </is>
      </c>
      <c r="F57" s="2" t="inlineStr">
        <is>
          <t>Erythrasma — เพราะพบบ่อยที่ง่ามนิ้วเท้าเช่นกัน</t>
        </is>
      </c>
      <c r="G57" s="2" t="inlineStr">
        <is>
          <t>Contact dermatitis — เพราะเริ่มเป็นเฉียบพลันเมื่อวาน</t>
        </is>
      </c>
      <c r="H57" s="2" t="inlineStr">
        <is>
          <t>Psoriasis vulgaris — เพราะมีขุยสีเงินหนาตัว</t>
        </is>
      </c>
      <c r="I57" s="8" t="inlineStr">
        <is>
          <t>2</t>
        </is>
      </c>
      <c r="J57" s="2" t="inlineStr">
        <is>
          <t>✅ คำตอบที่ถูกต้อง: ข้อ ข. Tinea pedis interdigital type — เพราะคันที่ง่ามนิ้วเท้า ผิวลอก ในคนที่สวมรองเท้าปิดนาน เหงื่อออกมาก
💡 Background:
การดูแลผู้ติดเชื้อ HIV เน้นเริ่ม Antiretroviral Therapy (ART) ทันทีเพื่อกด viral load ให้ undetectable (U=U) และฟื้นฟูระบบภูมิคุ้มกัน
🎯 ทำไมข้อนี้ถึงถูก:
Tinea pedis interdigital type — เพราะคันที่ง่ามนิ้วเท้า ผิวลอก ในคนที่สวมรองเท้าปิดนาน เหงื่อออกมาก Tinea pedis interdigital type (โรคน้ำกัดเท้า / ฮ่องกงฟุต ชนิดซอกนิ้ว) พบบ่อยที่สุดในกลุ่มคนที่ต้องสวมรองเท้าปิดมิดชิดเป็นเวลานานจนเท้ามีความร้อนชื้นและเหงื่อสะสม เช่น ทหาร นักกีฬา รอยโรคเด่นคือคัน แดง ลอกเป็นขุย (Peripheral scaling) หรือเกิดแผลแตก (Fissure) ระหว่างง่ามนิ้วเท้า โดยเฉพาะง่ามนิ้วที่ 4 และ 5
🔍 ข้ออื่นผิดเพราะอะไร:
• ข้อ ก. (Candidal intertrigo — เพราะมีผื่นแดงคัน): ข้อนี้ไม่ใช่คำตอบที่ถูกต้องสำหรับภาวะ HIV infection เนื่องจากกลไกการออกฤทธิ์, efficacy หรือข้อบ่งใช้ไม่ตรงกับโจทย์ที่กำหนด
• ข้อ ค. (Erythrasma — เพราะพบบ่อยที่ง่ามนิ้วเท้าเช่นกัน): ข้อนี้ไม่ใช่คำตอบที่ถูกต้องสำหรับภาวะ HIV infection เนื่องจากกลไกการออกฤทธิ์, efficacy หรือข้อบ่งใช้ไม่ตรงกับโจทย์ที่กำหนด
• ข้อ ง. (Contact dermatitis — เพราะเริ่มเป็นเฉียบพลันเมื่อวาน): ข้อนี้ไม่ใช่คำตอบที่ถูกต้องสำหรับภาวะ HIV infection เนื่องจากกลไกการออกฤทธิ์, efficacy หรือข้อบ่งใช้ไม่ตรงกับโจทย์ที่กำหนด
• ข้อ จ. (Psoriasis vulgaris — เพราะมีขุยสีเงินหนาตัว):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7" s="2" t="n"/>
      <c r="L57" s="2" t="inlineStr">
        <is>
          <t>HIV infection</t>
        </is>
      </c>
      <c r="M57" s="2" t="inlineStr">
        <is>
          <t>Clinic</t>
        </is>
      </c>
      <c r="N57" s="2" t="inlineStr">
        <is>
          <t>ข้อ 16.1 Mock Infectious RxCU84</t>
        </is>
      </c>
      <c r="O57" s="2" t="inlineStr">
        <is>
          <t>Mock</t>
        </is>
      </c>
      <c r="P57" s="2" t="inlineStr">
        <is>
          <t>Mock RxCU84</t>
        </is>
      </c>
    </row>
    <row r="58" ht="13.2" customHeight="1" s="37">
      <c r="A58" s="8" t="inlineStr">
        <is>
          <t>55</t>
        </is>
      </c>
      <c r="B58" s="2" t="inlineStr">
        <is>
          <t>การตรวจยืนยันการวินิจฉัยโรคติดเชื้อรา Dermatophyte ที่เท้า
คำถาม: การตรวจทางห้องปฏิบัติการใดเหมาะสมที่สุดเพื่อยืนยันการวินิจฉัย และคาดว่าจะพบลักษณะใด?</t>
        </is>
      </c>
      <c r="C58" s="2" t="n"/>
      <c r="D58" s="2" t="inlineStr">
        <is>
          <t>Wood's lamp — คาดว่าเรืองแสงสีเขียว</t>
        </is>
      </c>
      <c r="E58" s="2" t="inlineStr">
        <is>
          <t>Tzanck smear — คาดว่าพบ multinucleated giant cell</t>
        </is>
      </c>
      <c r="F58" s="2" t="inlineStr">
        <is>
          <t>KOH preparation จากบริเวณขุยที่ผื่น — คาดว่าพบ septate branching hyphae</t>
        </is>
      </c>
      <c r="G58" s="2" t="inlineStr">
        <is>
          <t>Gram stain — คาดว่าพบ gram-positive cocci</t>
        </is>
      </c>
      <c r="H58" s="2" t="inlineStr">
        <is>
          <t>Dark-field microscopy — คาดว่าพบ motile spirochetes</t>
        </is>
      </c>
      <c r="I58" s="8" t="inlineStr">
        <is>
          <t>3</t>
        </is>
      </c>
      <c r="J58" s="2" t="inlineStr">
        <is>
          <t>✅ คำตอบที่ถูกต้อง: ข้อ ค. KOH preparation จากบริเวณขุยที่ผื่น — คาดว่าพบ septate branching hyphae
💡 Background:
การดูแลผู้ติดเชื้อ HIV เน้นเริ่ม Antiretroviral Therapy (ART) ทันทีเพื่อกด viral load ให้ undetectable (U=U) และฟื้นฟูระบบภูมิคุ้มกัน
🎯 ทำไมข้อนี้ถึงถูก:
KOH preparation จากบริเวณขุยที่ผื่น — คาดว่าพบ septate branching hyphae การตรวจยืนยันการติดเชื้อรากลุ่มเดอร์มาโตไฟต์ (Dermatophytosis) มาตรฐานคือการขูดขุยผิวหนังบริเวณขอบรอยโรค (Active border) ไปทำ Potassium hydroxide (10-20% KOH) preparation ส่องดูใต้กล้องจุลทรรศน์ จะพบลักษณะสายรามีผนังกั้นและแตกกิ่งก้าน (Branching septate hyphae) ส่วน Wood's lamp ใช้ตรวจ Tinea versicolor หรือ Tinea capitis, Tzanck smear ใช้ตรวจ Herpes virus
🔍 ข้ออื่นผิดเพราะอะไร:
• ข้อ ก. (Wood's lamp — คาดว่าเรืองแสงสีเขียว): ข้อนี้ไม่ใช่คำตอบที่ถูกต้องสำหรับภาวะ HIV infection เนื่องจากกลไกการออกฤทธิ์, efficacy หรือข้อบ่งใช้ไม่ตรงกับโจทย์ที่กำหนด
• ข้อ ข. (Tzanck smear — คาดว่าพบ multinucleated giant cell): ข้อนี้ไม่ใช่คำตอบที่ถูกต้องสำหรับภาวะ HIV infection เนื่องจากกลไกการออกฤทธิ์, efficacy หรือข้อบ่งใช้ไม่ตรงกับโจทย์ที่กำหนด
• ข้อ ง. (Gram stain — คาดว่าพบ gram-positive cocci): ข้อนี้ไม่ใช่คำตอบที่ถูกต้องสำหรับภาวะ HIV infection เนื่องจากกลไกการออกฤทธิ์, efficacy หรือข้อบ่งใช้ไม่ตรงกับโจทย์ที่กำหนด
• ข้อ จ. (Dark-field microscopy — คาดว่าพบ motile spirochetes):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8" s="2" t="n"/>
      <c r="L58" s="2" t="inlineStr">
        <is>
          <t>HIV infection</t>
        </is>
      </c>
      <c r="M58" s="2" t="inlineStr">
        <is>
          <t>Clinic</t>
        </is>
      </c>
      <c r="N58" s="2" t="inlineStr">
        <is>
          <t>ข้อ 16.2 Mock Infectious RxCU84</t>
        </is>
      </c>
      <c r="O58" s="2" t="inlineStr">
        <is>
          <t>Mock</t>
        </is>
      </c>
      <c r="P58" s="2" t="inlineStr">
        <is>
          <t>Mock RxCU84</t>
        </is>
      </c>
    </row>
    <row r="59" ht="13.2" customHeight="1" s="37">
      <c r="A59" s="8" t="inlineStr">
        <is>
          <t>56</t>
        </is>
      </c>
      <c r="B59" s="2" t="inlineStr">
        <is>
          <t>ผู้ป่วย Tinea pedis interdigital type รอยโรคเฉพาะที่ ไม่มีภาวะแทรกซ้อน
คำถาม: ผู้ป่วยรายนี้ควรได้รับการรักษาด้วยยาใดเป็นอันดับแรก?</t>
        </is>
      </c>
      <c r="C59" s="2" t="n"/>
      <c r="D59" s="2" t="inlineStr">
        <is>
          <t>Itraconazole 200 มก. รับประทานวันละครั้ง นาน 7 วัน</t>
        </is>
      </c>
      <c r="E59" s="2" t="inlineStr">
        <is>
          <t>Terbinafine 1% cream ทาวันละครั้ง นาน 2-4 สัปดาห์</t>
        </is>
      </c>
      <c r="F59" s="2" t="inlineStr">
        <is>
          <t>Prednisolone cream ทาวันละ 2 ครั้ง นาน 1 สัปดาห์</t>
        </is>
      </c>
      <c r="G59" s="2" t="inlineStr">
        <is>
          <t>Ketoconazole 200 มก. รับประทานวันละครั้ง นาน 2-4 สัปดาห์</t>
        </is>
      </c>
      <c r="H59" s="2" t="inlineStr">
        <is>
          <t>Griseofulvin 500 มก. รับประทานวันละ 1 ครั้ง นาน 4-6 สัปดาห์</t>
        </is>
      </c>
      <c r="I59" s="8" t="inlineStr">
        <is>
          <t>2</t>
        </is>
      </c>
      <c r="J59" s="2" t="inlineStr">
        <is>
          <t>✅ คำตอบที่ถูกต้อง: ข้อ ข. Terbinafine 1% cream ทาวันละครั้ง นาน 2-4 สัปดาห์
💡 Background:
การดูแลผู้ติดเชื้อ HIV เน้นเริ่ม Antiretroviral Therapy (ART) ทันทีเพื่อกด viral load ให้ undetectable (U=U) และฟื้นฟูระบบภูมิคุ้มกัน
🎯 ทำไมข้อนี้ถึงถูก:
Terbinafine 1% cream ทาวันละครั้ง นาน 2-4 สัปดาห์ Tinea pedis ชนิด interdigital ที่เป็นเฉพาะที่และไม่มีการลุกลามหนาตัว การใช้ยาทาต้านเชื้อรา (Topical antifungal) เป็นการรักษา first-line โดย Terbinafine 1% cream (กลุ่ม Allylamine ซึ่งออกฤทธิ์เป็น Fungicidal) มี efficacy สูงกว่ากลุ่ม Azoles ทาวันละ 1-2 ครั้ง นาน 1-2 สัปดาห์ (หรือ 2-4 สัปดาห์) การใช้ยารับประทานสงวนไว้สำหรับกรณีเป็นบริเวณกว้างหรือชนิด Moccasin type ส่วนสเตียรอยด์เดี่ยวห้ามใช้เพราะจะทำให้เชื้อราลุกลาม (Tinea incognito)
🔍 ข้ออื่นผิดเพราะอะไร:
• ข้อ ก. (Itraconazole 200 มก. รับประทานวันละครั้ง นาน 7 วัน):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ค. (Prednisolone cream ทาวันละ 2 ครั้ง นาน 1 สัปดาห์): เป็น intermediate-acting systemic corticosteroid ขนาดยอดนิยมสำหรับ immunosuppressive &amp; anti-inflammatory therapy ต้องระวัง Cushingoid, infection, osteoporosis, peptic ulcer
• ข้อ ง. (Ketoconazole 200 มก. รับประทานวันละครั้ง นาน 2-4 สัปดาห์): ข้อนี้ไม่ใช่คำตอบที่ถูกต้องสำหรับภาวะ HIV infection เนื่องจากกลไกการออกฤทธิ์, efficacy หรือข้อบ่งใช้ไม่ตรงกับโจทย์ที่กำหนด
• ข้อ จ. (Griseofulvin 500 มก. รับประทานวันละ 1 ครั้ง นาน 4-6 สัปดาห์):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9" s="2" t="n"/>
      <c r="L59" s="2" t="inlineStr">
        <is>
          <t>HIV infection</t>
        </is>
      </c>
      <c r="M59" s="2" t="inlineStr">
        <is>
          <t>Clinic</t>
        </is>
      </c>
      <c r="N59" s="2" t="inlineStr">
        <is>
          <t>ข้อ 16.3 Mock Infectious RxCU84</t>
        </is>
      </c>
      <c r="O59" s="2" t="inlineStr">
        <is>
          <t>Mock</t>
        </is>
      </c>
      <c r="P59" s="2" t="inlineStr">
        <is>
          <t>Mock RxCU84</t>
        </is>
      </c>
    </row>
    <row r="60" ht="13.2" customHeight="1" s="37">
      <c r="A60" s="8" t="inlineStr">
        <is>
          <t>57</t>
        </is>
      </c>
      <c r="B60" s="2" t="inlineStr">
        <is>
          <t>คำแนะนำที่ไม่ใช่ยา (Non-pharmacologic therapy) สำหรับโรคน้ำกัดเท้า
คำถาม: คำแนะนำเพิ่มเติมที่ไม่ใช่ยา (non-pharmacologic) ข้อใดไม่ถูกต้องสำหรับผู้ป่วยรายนี้?</t>
        </is>
      </c>
      <c r="C60" s="2" t="n"/>
      <c r="D60" s="2" t="inlineStr">
        <is>
          <t>เช็ดเท้าให้แห้งสนิทโดยเฉพาะซอกนิ้วเท้าหลังอาบน้ำทุกครั้ง</t>
        </is>
      </c>
      <c r="E60" s="2" t="inlineStr">
        <is>
          <t>สวมถุงเท้าชนิดดูดซับความชื้นได้ดี และเปลี่ยนถุงเท้าบ่อยๆ</t>
        </is>
      </c>
      <c r="F60" s="2" t="inlineStr">
        <is>
          <t>ใช้แป้งโรยเท้า/รองเท้า/ถุงเท้าที่ผสมยาต้านเชื้อราเป็นประจำเพื่อลดการกลับเป็นซ้ำ</t>
        </is>
      </c>
      <c r="G60" s="2" t="inlineStr">
        <is>
          <t>ทายาต่อเนื่องจนกว่าอาการคันจะหายไป แล้วหยุดยาได้ทันที</t>
        </is>
      </c>
      <c r="H60" s="2" t="inlineStr">
        <is>
          <t>หลีกเลี่ยงการสวมใส่รองเท้าที่คับหรืออับชื้นเกินไป</t>
        </is>
      </c>
      <c r="I60" s="8" t="inlineStr">
        <is>
          <t>4</t>
        </is>
      </c>
      <c r="J60" s="2" t="inlineStr">
        <is>
          <t>✅ คำตอบที่ถูกต้อง: ข้อ ง. ทายาต่อเนื่องจนกว่าอาการคันจะหายไป แล้วหยุดยาได้ทันที
💡 Background:
การดูแลผู้ติดเชื้อ HIV เน้นเริ่ม Antiretroviral Therapy (ART) ทันทีเพื่อกด viral load ให้ undetectable (U=U) และฟื้นฟูระบบภูมิคุ้มกัน
🎯 ทำไมข้อนี้ถึงถูก:
ทายาต่อเนื่องจนกว่าอาการคันจะหายไป แล้วหยุดยาได้ทันที การทายารักษาเชื้อราผิวหนังจำเป็นต้องทาติดต่อกันจนครบคอร์สตามกำหนด (ปกติ 2-4 สัปดาห์ หรือทาต่อไปอีกอย่างน้อย 1-2 สัปดาห์หลังจากอาการทางคลินิกหายสนิท) แม้อาการคันจะหายไปแล้วก็ตาม เนื่องจากการหยุดยาทันทีที่อาการดีขึ้น ตัวเชื้อราที่ยังหลงเหลืออยู่ในชั้นขี้ไคลจะเจริญกลับขึ้นมาใหม่ ทำให้โรคกลับเป็นซ้ำ (Relapse)
🔍 ข้ออื่นผิดเพราะอะไร:
• ข้อ ก. (เช็ดเท้าให้แห้งสนิทโดยเฉพาะซอกนิ้วเท้าหลังอาบน้ำทุกครั้ง): ข้อนี้ไม่ใช่คำตอบที่ถูกต้องสำหรับภาวะ HIV infection เนื่องจากกลไกการออกฤทธิ์, efficacy หรือข้อบ่งใช้ไม่ตรงกับโจทย์ที่กำหนด
• ข้อ ข. (สวมถุงเท้าชนิดดูดซับความชื้นได้ดี และเปลี่ยนถุงเท้าบ่อยๆ): ข้อนี้ไม่ใช่คำตอบที่ถูกต้องสำหรับภาวะ HIV infection เนื่องจากกลไกการออกฤทธิ์, efficacy หรือข้อบ่งใช้ไม่ตรงกับโจทย์ที่กำหนด
• ข้อ ค. (ใช้แป้งโรยเท้า/รองเท้า/ถุงเท้าที่ผสมยาต้านเชื้อราเป็นประจำเพื่อลดการกลับเป็นซ้ำ): ข้อนี้ไม่ใช่คำตอบที่ถูกต้องสำหรับภาวะ HIV infection เนื่องจากกลไกการออกฤทธิ์, efficacy หรือข้อบ่งใช้ไม่ตรงกับโจทย์ที่กำหนด
• ข้อ จ. (หลีกเลี่ยงการสวมใส่รองเท้าที่คับหรืออับชื้นเกินไป):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0" s="2" t="n"/>
      <c r="L60" s="2" t="inlineStr">
        <is>
          <t>HIV infection</t>
        </is>
      </c>
      <c r="M60" s="2" t="inlineStr">
        <is>
          <t>Clinic</t>
        </is>
      </c>
      <c r="N60" s="2" t="inlineStr">
        <is>
          <t>ข้อ 16.4 Mock Infectious RxCU84</t>
        </is>
      </c>
      <c r="O60" s="2" t="inlineStr">
        <is>
          <t>Mock</t>
        </is>
      </c>
      <c r="P60" s="2" t="inlineStr">
        <is>
          <t>Mock RxCU84</t>
        </is>
      </c>
    </row>
    <row r="61" ht="13.2" customHeight="1" s="37">
      <c r="A61" s="8" t="inlineStr">
        <is>
          <t>58</t>
        </is>
      </c>
      <c r="B61" s="2" t="inlineStr">
        <is>
          <t>ผู้ป่วย Tinea pedis ใช้ยาทา 3 สัปดาห์ไม่ดีขึ้น ผื่นลามทั่วฝ่าเท้า ผิวหนังหนาตัวและมีขุยขาวคลุมทั่วฝ่าเท้าคล้ายรองเท้าโมคาซิน (Moccasin-type tinea pedis)
คำถาม: หากผู้ป่วยรายนี้กลับมาที่ร้านยาอีก 3 สัปดาห์ต่อมา แจ้งว่าใช้ terbinafine cream ทาสม่ำเสมอ แต่ผื่นลามขึ้นไปที่หลังเท้าและฝ่าเท้าทั้งหมด ผิวหนังหนาตัวขึ้น มีขุยขาวคลุมทั่วฝ่าเท้าคล้ายรองเท้าโมคาซิน ควรเปลี่ยนแนวทางการรักษาอย่างไร?</t>
        </is>
      </c>
      <c r="C61" s="2" t="n"/>
      <c r="D61" s="2" t="inlineStr">
        <is>
          <t>เพิ่มความถี่การทา terbinafine cream เป็นวันละ 3 ครั้ง</t>
        </is>
      </c>
      <c r="E61" s="2" t="inlineStr">
        <is>
          <t>เปลี่ยนเป็น topical steroid ร่วมกับ antifungal cream เดิม</t>
        </is>
      </c>
      <c r="F61" s="2" t="inlineStr">
        <is>
          <t>เปลี่ยนเป็น oral antifungal เนื่องจากเข้าลักษณะ moccasin-type tinea pedis ที่ตอบสนองต่อยาทาไม่ดี</t>
        </is>
      </c>
      <c r="G61" s="2" t="inlineStr">
        <is>
          <t>หยุดยาทาทันทีเพราะน่าจะเป็นการแพ้ยา</t>
        </is>
      </c>
      <c r="H61" s="2" t="inlineStr">
        <is>
          <t>เปลี่ยนเป็นยาทา Ketoconazole cream ทาร่วมกับ Clotrimazole powder</t>
        </is>
      </c>
      <c r="I61" s="8" t="inlineStr">
        <is>
          <t>3</t>
        </is>
      </c>
      <c r="J61" s="2" t="inlineStr">
        <is>
          <t>✅ คำตอบที่ถูกต้อง: ข้อ ค. เปลี่ยนเป็น oral antifungal เนื่องจากเข้าลักษณะ moccasin-type tinea pedis ที่ตอบสนองต่อยาทาไม่ดี
💡 Background:
การดูแลผู้ติดเชื้อ HIV เน้นเริ่ม Antiretroviral Therapy (ART) ทันทีเพื่อกด viral load ให้ undetectable (U=U) และฟื้นฟูระบบภูมิคุ้มกัน
🎯 ทำไมข้อนี้ถึงถูก:
เปลี่ยนเป็น oral antifungal เนื่องจากเข้าลักษณะ moccasin-type tinea pedis ที่ตอบสนองต่อยาทาไม่ดี Moccasin-type (Chronic hyperkeratotic) tinea pedis มีลักษณะเด่นคือผิวหนังบริเวณฝ่าเท้าหนาตัวขึ้น มีขุยละเอียดสีขาวคลุมทั่วฝ่าเท้าและขอบข้างเท้า รูปแบบนี้ตอบสนองต่อยาทาเฉพาะที่ได้แย่มากเนื่องจากชั้น Stratum corneum หนาตัว ยาไม่สามารถซึมผ่านได้ลึกพอ แนวทางการรักษามาตรฐานจึงต้องเปลี่ยนเป็นยาต้านเชื้อราชนิดรับประทาน (Systemic antifungal) โดยยาขนานแรกคือ Oral Terbinafine 250 mg วันละครั้ง เป็นเวลา 2-6 สัปดาห์ ร่วมกับการใช้ยาทาที่มีสารผลัดเซลล์ผิว (Keratolytic agents เช่น Salicylic acid/Urea)
🔍 ข้ออื่นผิดเพราะอะไร:
• ข้อ ก. (เพิ่มความถี่การทา terbinafine cream เป็นวันละ 3 ครั้ง): ข้อนี้ไม่ใช่คำตอบที่ถูกต้องสำหรับภาวะ HIV infection เนื่องจากกลไกการออกฤทธิ์, efficacy หรือข้อบ่งใช้ไม่ตรงกับโจทย์ที่กำหนด
• ข้อ ข. (เปลี่ยนเป็น topical steroid ร่วมกับ antifungal cream เดิม): ข้อนี้ไม่ใช่คำตอบที่ถูกต้องสำหรับภาวะ HIV infection เนื่องจากกลไกการออกฤทธิ์, efficacy หรือข้อบ่งใช้ไม่ตรงกับโจทย์ที่กำหนด
• ข้อ ง. (หยุดยาทาทันทีเพราะน่าจะเป็นการแพ้ยา): ข้อนี้ไม่ใช่คำตอบที่ถูกต้องสำหรับภาวะ HIV infection เนื่องจากกลไกการออกฤทธิ์, efficacy หรือข้อบ่งใช้ไม่ตรงกับโจทย์ที่กำหนด
• ข้อ จ. (เปลี่ยนเป็นยาทา Ketoconazole cream ทาร่วมกับ Clotrimazole powder):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1" s="2" t="n"/>
      <c r="L61" s="2" t="inlineStr">
        <is>
          <t>HIV infection</t>
        </is>
      </c>
      <c r="M61" s="2" t="inlineStr">
        <is>
          <t>Clinic</t>
        </is>
      </c>
      <c r="N61" s="2" t="inlineStr">
        <is>
          <t>ข้อ 16.5 Mock Infectious RxCU84</t>
        </is>
      </c>
      <c r="O61" s="2" t="inlineStr">
        <is>
          <t>Mock</t>
        </is>
      </c>
      <c r="P61" s="2" t="inlineStr">
        <is>
          <t>Mock RxCU84</t>
        </is>
      </c>
    </row>
    <row r="62" ht="13.2" customHeight="1" s="37">
      <c r="A62" s="8" t="inlineStr">
        <is>
          <t>1</t>
        </is>
      </c>
      <c r="B62" s="2" t="inlineStr">
        <is>
          <t>Sulfonamide เป็น competitive antagonist ของสารใด</t>
        </is>
      </c>
      <c r="C62" s="2" t="n"/>
      <c r="D62" s="2" t="inlineStr">
        <is>
          <t>PABA</t>
        </is>
      </c>
      <c r="E62" s="2" t="inlineStr">
        <is>
          <t>PAS</t>
        </is>
      </c>
      <c r="F62" s="2" t="inlineStr">
        <is>
          <t>Folic acid</t>
        </is>
      </c>
      <c r="G62" s="2" t="inlineStr">
        <is>
          <t>Vitamin B5</t>
        </is>
      </c>
      <c r="H62" s="2" t="inlineStr">
        <is>
          <t>THF</t>
        </is>
      </c>
      <c r="I62" s="8" t="inlineStr">
        <is>
          <t>2</t>
        </is>
      </c>
      <c r="J62" s="2" t="inlineStr">
        <is>
          <t>✅ คำตอบที่ถูกต้อง: ข้อ ข. PAS
💡 Background:
การดูแลผู้ติดเชื้อ HIV เน้นเริ่ม Antiretroviral Therapy (ART) ทันทีเพื่อกด viral load ให้ undetectable (U=U) และฟื้นฟูระบบภูมิคุ้มกัน
🎯 ทำไมข้อนี้ถึงถูก:
PAS Sulfonamides ออกฤทธิ์โดยเป็น competitive inhibitor ของเอนไซม์ dihydropteroate synthase (DHPS) ซึ่งใช้สารตั้งต้นคือ PABA (para-aminobenzoic acid) ในการสร้างกรดโฟลิกของแบคทีเรีย
🔍 ข้ออื่นผิดเพราะอะไร:
• ข้อ ก. (PABA): ข้อนี้ไม่ใช่คำตอบที่ถูกต้องสำหรับภาวะ HIV infection เนื่องจากกลไกการออกฤทธิ์, efficacy หรือข้อบ่งใช้ไม่ตรงกับโจทย์ที่กำหนด
• ข้อ ค. (Folic acid): ข้อนี้ไม่ใช่คำตอบที่ถูกต้องสำหรับภาวะ HIV infection เนื่องจากกลไกการออกฤทธิ์, efficacy หรือข้อบ่งใช้ไม่ตรงกับโจทย์ที่กำหนด
• ข้อ ง. (Vitamin B5): ข้อนี้ไม่ใช่คำตอบที่ถูกต้องสำหรับภาวะ HIV infection เนื่องจากกลไกการออกฤทธิ์, efficacy หรือข้อบ่งใช้ไม่ตรงกับโจทย์ที่กำหนด
• ข้อ จ. (THF):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2" s="2" t="n"/>
      <c r="L62" s="2" t="inlineStr">
        <is>
          <t>HIV infection</t>
        </is>
      </c>
      <c r="M62" s="2" t="inlineStr">
        <is>
          <t>Clinic</t>
        </is>
      </c>
      <c r="N62" s="2" t="inlineStr">
        <is>
          <t>ข้อ 1 Pharma Plus เล่มม่วง (เฉลยข้อ ข)</t>
        </is>
      </c>
      <c r="O62" s="2" t="inlineStr">
        <is>
          <t>Mock</t>
        </is>
      </c>
      <c r="P62" s="2" t="inlineStr">
        <is>
          <t>Pharma Plus เล่มม่วง</t>
        </is>
      </c>
    </row>
    <row r="63" ht="13.2" customHeight="1" s="37">
      <c r="A63" s="8" t="inlineStr">
        <is>
          <t>1</t>
        </is>
      </c>
      <c r="B63" s="2"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จากลักษณะที่ผู้ป่วยเป็น น่าจะเป็นลักษณะของโรคใด</t>
        </is>
      </c>
      <c r="C63" s="2" t="n"/>
      <c r="D63" s="2" t="inlineStr">
        <is>
          <t>Pityriasis versicolor</t>
        </is>
      </c>
      <c r="E63" s="2" t="inlineStr">
        <is>
          <t>Candidiasis</t>
        </is>
      </c>
      <c r="F63" s="2" t="inlineStr">
        <is>
          <t>Psoriasis</t>
        </is>
      </c>
      <c r="G63" s="2" t="inlineStr">
        <is>
          <t>Tinea pedis</t>
        </is>
      </c>
      <c r="H63" s="2" t="inlineStr">
        <is>
          <t>Tinea corporis</t>
        </is>
      </c>
      <c r="I63" s="8" t="inlineStr">
        <is>
          <t>2</t>
        </is>
      </c>
      <c r="J63" s="2" t="inlineStr">
        <is>
          <t>✅ คำตอบที่ถูกต้อง: ข้อ ข. Candidiasis
💡 Background:
การดูแลผู้ติดเชื้อ HIV เน้นเริ่ม Antiretroviral Therapy (ART) ทันทีเพื่อกด viral load ให้ undetectable (U=U) และฟื้นฟูระบบภูมิคุ้มกัน
🎯 ทำไมข้อนี้ถึงถูก:
Candidiasis รอยด่างขาว วงคัน เหงื่อออกมาก ลามไปแผ่นหลังและใบหน้า เป็นลักษณะเฉพาะของโรคเกลื้อน (Pityriasis versicolor) ซึ่งเกิดจากเชื้อรา Malassezia furfur
🔍 ข้ออื่นผิดเพราะอะไร:
• ข้อ ก. (Pityriasis versicolor): ข้อนี้ไม่ใช่คำตอบที่ถูกต้องสำหรับภาวะ HIV infection เนื่องจากกลไกการออกฤทธิ์, efficacy หรือข้อบ่งใช้ไม่ตรงกับโจทย์ที่กำหนด
• ข้อ ค. (Psoriasis): ข้อนี้ไม่ใช่คำตอบที่ถูกต้องสำหรับภาวะ HIV infection เนื่องจากกลไกการออกฤทธิ์, efficacy หรือข้อบ่งใช้ไม่ตรงกับโจทย์ที่กำหนด
• ข้อ ง. (Tinea pedis): ข้อนี้ไม่ใช่คำตอบที่ถูกต้องสำหรับภาวะ HIV infection เนื่องจากกลไกการออกฤทธิ์, efficacy หรือข้อบ่งใช้ไม่ตรงกับโจทย์ที่กำหนด
• ข้อ จ. (Tinea corporis):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3" s="2" t="n"/>
      <c r="L63" s="2" t="inlineStr">
        <is>
          <t>HIV infection</t>
        </is>
      </c>
      <c r="M63" s="2" t="inlineStr">
        <is>
          <t>Clinic</t>
        </is>
      </c>
      <c r="N63" s="2" t="inlineStr">
        <is>
          <t>ข้อ 1 Pharma Plus เล่มม่วง (เฉลยข้อ ข)</t>
        </is>
      </c>
      <c r="O63" s="2" t="inlineStr">
        <is>
          <t>Mock</t>
        </is>
      </c>
      <c r="P63" s="2" t="inlineStr">
        <is>
          <t>Pharma Plus เล่มม่วง</t>
        </is>
      </c>
    </row>
    <row r="64" ht="13.2" customHeight="1" s="37">
      <c r="A64" s="8" t="inlineStr">
        <is>
          <t>1</t>
        </is>
      </c>
      <c r="B64" s="2" t="inlineStr">
        <is>
          <t>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ภรรยาจึงมาตรวจ พบว่า CD4 400 cel/mm³ แต่ยังไม่แสดงอาการ
ผู้ป่วยรายนี้ควรได้รับการรักษาอย่างไร เพื่อป้องกันการติดเชื้อจากแม่สู่ลูก</t>
        </is>
      </c>
      <c r="C64" s="2" t="n"/>
      <c r="D64" s="2" t="inlineStr">
        <is>
          <t>เริ่มใช้ GPO-vir ทันที</t>
        </is>
      </c>
      <c r="E64" s="2" t="inlineStr">
        <is>
          <t>เริ่มให้ GPO-vir เมื่อ CD4 &lt; 200 cell/mm³</t>
        </is>
      </c>
      <c r="F64" s="2" t="inlineStr">
        <is>
          <t>เริ่ม GPO-vir เมื่ออายุครรภ์ 28 สัปดาห์</t>
        </is>
      </c>
      <c r="G64" s="2" t="inlineStr">
        <is>
          <t>เริ่ม AZT ทันทีเมื่ออายุครรภ์ 28 สัปดาห์</t>
        </is>
      </c>
      <c r="H64" s="2" t="inlineStr">
        <is>
          <t>เริ่มให้ TDF + 3TC + EFV ทันที</t>
        </is>
      </c>
      <c r="I64" s="8" t="inlineStr">
        <is>
          <t>2</t>
        </is>
      </c>
      <c r="J64" s="2" t="inlineStr">
        <is>
          <t>✅ คำตอบที่ถูกต้อง: ข้อ ข. เริ่มให้ GPO-vir เมื่อ CD4 &lt; 200 cell/mm³
💡 Background:
การดูแลผู้ติดเชื้อ HIV เน้นเริ่ม Antiretroviral Therapy (ART) ทันทีเพื่อกด viral load ให้ undetectable (U=U) และฟื้นฟูระบบภูมิคุ้มกัน
🎯 ทำไมข้อนี้ถึงถูก:
เริ่มให้ GPO-vir เมื่อ CD4 &lt; 200 cell/mm³ ตามแนวทางการรักษา HIV ในหญิงตั้งครรภ์ (Thailand National Guidelines for the Prevention and Treatment of HIV) แนะนำให้เริ่มยาต้านไวรัสทันทีที่วินิจฉัยพบการติดเชื้อ HIV โดยไม่คำนึงถึงระดับ CD4 หรืออายุครรภ์ เพื่อลดการถ่ายทอดเชื้อจากแม่สู่ลูก (PMTCT) และเนื่องจากผู้ป่วยรายนี้เพิ่งวินิจฉัยและอยู่ในไตรมาสที่ 2 สูตรยาที่แนะนำประกอบด้วย TDF + 3TC (หรือ FTC) + EFV (หรือ DTG) ทันที (GPO-vir ประกอบด้วย d4T/NVP ซึ่งปัจจุบันไม่แนะนำเป็นลำดับแรกเนื่องจากความเป็นพิษต่อตับและไขมันอิ่มตัว)
🔍 ข้ออื่นผิดเพราะอะไร:
• ข้อ ก. (เริ่มใช้ GPO-vir ทันที): ข้อนี้ไม่ใช่คำตอบที่ถูกต้องสำหรับภาวะ HIV infection เนื่องจากกลไกการออกฤทธิ์, efficacy หรือข้อบ่งใช้ไม่ตรงกับโจทย์ที่กำหนด
• ข้อ ค. (เริ่ม GPO-vir เมื่ออายุครรภ์ 28 สัปดาห์): ข้อนี้ไม่ใช่คำตอบที่ถูกต้องสำหรับภาวะ HIV infection เนื่องจากกลไกการออกฤทธิ์, efficacy หรือข้อบ่งใช้ไม่ตรงกับโจทย์ที่กำหนด
• ข้อ ง. (เริ่ม AZT ทันทีเมื่ออายุครรภ์ 28 สัปดาห์): ข้อนี้ไม่ใช่คำตอบที่ถูกต้องสำหรับภาวะ HIV infection เนื่องจากกลไกการออกฤทธิ์, efficacy หรือข้อบ่งใช้ไม่ตรงกับโจทย์ที่กำหนด
• ข้อ จ. (เริ่มให้ TDF + 3TC + EFV ทันที):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4" s="2" t="n"/>
      <c r="L64" s="2" t="inlineStr">
        <is>
          <t>HIV infection</t>
        </is>
      </c>
      <c r="M64" s="2" t="inlineStr">
        <is>
          <t>Clinic</t>
        </is>
      </c>
      <c r="N64" s="2" t="inlineStr">
        <is>
          <t>ข้อ 1 Pharma Plus เล่มม่วง (เฉลยข้อ ข)</t>
        </is>
      </c>
      <c r="O64" s="2" t="inlineStr">
        <is>
          <t>Mock</t>
        </is>
      </c>
      <c r="P64" s="2" t="inlineStr">
        <is>
          <t>Pharma Plus เล่มม่วง</t>
        </is>
      </c>
    </row>
    <row r="65" ht="13.2" customHeight="1" s="37">
      <c r="A65" s="8" t="inlineStr">
        <is>
          <t>1</t>
        </is>
      </c>
      <c r="B65" s="2" t="inlineStr">
        <is>
          <t>หญิงอายุ 35 ปี เห็นปล้องพยาธิแบนคล้ายริบบิ้นตอนถ่าย มีประวัติชอบทานสุกๆดิบๆ มาซื้อยาถ่ายพยาธิ
ผู้ป่วยรายนี้ติดพยาธิอะไร</t>
        </is>
      </c>
      <c r="C65" s="2" t="n"/>
      <c r="D65" s="2" t="inlineStr">
        <is>
          <t>พยาธิตัวตืด</t>
        </is>
      </c>
      <c r="E65" s="2" t="inlineStr">
        <is>
          <t>พยาธิปากขอ</t>
        </is>
      </c>
      <c r="F65" s="2" t="inlineStr">
        <is>
          <t>พยาธิเส้นด้าย</t>
        </is>
      </c>
      <c r="G65" s="2" t="inlineStr">
        <is>
          <t>พยาธิใบไม้</t>
        </is>
      </c>
      <c r="H65" s="2" t="inlineStr">
        <is>
          <t>พยาธิเท้าช้าง</t>
        </is>
      </c>
      <c r="I65" s="8" t="inlineStr">
        <is>
          <t>2</t>
        </is>
      </c>
      <c r="J65" s="2" t="inlineStr">
        <is>
          <t>✅ คำตอบที่ถูกต้อง: ข้อ ข. พยาธิปากขอ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พยาธิปากขอ อาการถ่ายออกมาเป็นปล้องคล้ายริบบิ้นเป็นลักษณะจำเพาะของการติดเชื้อพยาธิกลุ่ม Cestodes (พยาธิ์ตัวตืด เช่น Taenia saginata หรือ Taenia solium) ซึ่งมักมีประวัติรับประทานเนื้อสัตว์ดิบๆ หรือสุกๆ ดิบๆ
🔍 ข้ออื่นผิดเพราะอะไร:
• ข้อ ก. (พยาธิตัวตืด): ข้อนี้ไม่ใช่คำตอบที่ถูกต้องสำหรับภาวะ Parasitic infections เนื่องจากกลไกการออกฤทธิ์, efficacy หรือข้อบ่งใช้ไม่ตรงกับโจทย์ที่กำหนด
• ข้อ ค. (พยาธิเส้นด้าย): ข้อนี้ไม่ใช่คำตอบที่ถูกต้องสำหรับภาวะ Parasitic infections เนื่องจากกลไกการออกฤทธิ์, efficacy หรือข้อบ่งใช้ไม่ตรงกับโจทย์ที่กำหนด
• ข้อ ง. (พยาธิใบไม้): ข้อนี้ไม่ใช่คำตอบที่ถูกต้องสำหรับภาวะ Parasitic infections เนื่องจากกลไกการออกฤทธิ์, efficacy หรือข้อบ่งใช้ไม่ตรงกับโจทย์ที่กำหนด
• ข้อ จ. (พยาธิเท้าช้าง):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2" t="n"/>
      <c r="L65" s="2" t="inlineStr">
        <is>
          <t>Parasitic infections</t>
        </is>
      </c>
      <c r="M65" s="2" t="inlineStr">
        <is>
          <t>Clinic</t>
        </is>
      </c>
      <c r="N65" s="2" t="inlineStr">
        <is>
          <t>ข้อ 1 Pharma Plus เล่มม่วง (เฉลยข้อ ข)</t>
        </is>
      </c>
      <c r="O65" s="2" t="inlineStr">
        <is>
          <t>Mock</t>
        </is>
      </c>
      <c r="P65" s="2" t="inlineStr">
        <is>
          <t>Pharma Plus เล่มม่วง</t>
        </is>
      </c>
    </row>
    <row r="66" ht="13.2" customHeight="1" s="37">
      <c r="A66" s="8" t="inlineStr">
        <is>
          <t>2</t>
        </is>
      </c>
      <c r="B66" s="2" t="inlineStr">
        <is>
          <t>ยาทาสิวที่เป็น antibiotic</t>
        </is>
      </c>
      <c r="C66" s="2" t="n"/>
      <c r="D66" s="2" t="inlineStr">
        <is>
          <t>Clindamycin</t>
        </is>
      </c>
      <c r="E66" s="2" t="inlineStr">
        <is>
          <t>Erythromycin</t>
        </is>
      </c>
      <c r="F66" s="2" t="inlineStr">
        <is>
          <t>Tretinoin</t>
        </is>
      </c>
      <c r="G66" s="2" t="inlineStr">
        <is>
          <t>ก ข</t>
        </is>
      </c>
      <c r="H66" s="2" t="inlineStr">
        <is>
          <t>ก ข ค</t>
        </is>
      </c>
      <c r="I66" s="8" t="inlineStr">
        <is>
          <t>3</t>
        </is>
      </c>
      <c r="J66" s="2" t="inlineStr">
        <is>
          <t>✅ คำตอบที่ถูกต้อง: ข้อ ค. Tretinoin
💡 Background:
การดูแลผู้ติดเชื้อ HIV เน้นเริ่ม Antiretroviral Therapy (ART) ทันทีเพื่อกด viral load ให้ undetectable (U=U) และฟื้นฟูระบบภูมิคุ้มกัน
🎯 ทำไมข้อนี้ถึงถูก:
Tretinoin Clindamycin และ Erythromycin เป็นยาปฏิชีวนะชนิดทาที่นิยมใช้รักษาโรคสิวอักเสบเพื่อลดจำนวนเชื้อ Cutibacterium acnes (P. acnes) ส่วน Tretinoin เป็นกรดวิตามินเอ (Retinoid) ไม่ใช่ยาปฏิชีวนะ
🔍 ข้ออื่นผิดเพราะอะไร:
• ข้อ ก. (Clindamycin): ข้อนี้ไม่ใช่คำตอบที่ถูกต้องสำหรับภาวะ HIV infection เนื่องจากกลไกการออกฤทธิ์, efficacy หรือข้อบ่งใช้ไม่ตรงกับโจทย์ที่กำหนด
• ข้อ ข. (Erythromycin): ข้อนี้ไม่ใช่คำตอบที่ถูกต้องสำหรับภาวะ HIV infection เนื่องจากกลไกการออกฤทธิ์, efficacy หรือข้อบ่งใช้ไม่ตรงกับโจทย์ที่กำหนด
• ข้อ ง. (ก ข): ข้อนี้ไม่ใช่คำตอบที่ถูกต้องสำหรับภาวะ HIV infection เนื่องจากกลไกการออกฤทธิ์, efficacy หรือข้อบ่งใช้ไม่ตรงกับโจทย์ที่กำหนด
• ข้อ จ. (ก ข ค):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6" s="2" t="n"/>
      <c r="L66" s="2" t="inlineStr">
        <is>
          <t>HIV infection</t>
        </is>
      </c>
      <c r="M66" s="2" t="inlineStr">
        <is>
          <t>Clinic</t>
        </is>
      </c>
      <c r="N66" s="2" t="inlineStr">
        <is>
          <t>ข้อ 2 Pharma Plus เล่มม่วง (เฉลยข้อ ค)</t>
        </is>
      </c>
      <c r="O66" s="2" t="inlineStr">
        <is>
          <t>Mock</t>
        </is>
      </c>
      <c r="P66" s="2" t="inlineStr">
        <is>
          <t>Pharma Plus เล่มม่วง</t>
        </is>
      </c>
    </row>
    <row r="67" ht="13.2" customHeight="1" s="37">
      <c r="A67" s="8" t="inlineStr">
        <is>
          <t>2</t>
        </is>
      </c>
      <c r="B67" s="2"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เชื้อที่เป็นสาเหตุของการเกิดโรคในผู้ป่วยรายนี้</t>
        </is>
      </c>
      <c r="C67" s="2" t="n"/>
      <c r="D67" s="2" t="inlineStr">
        <is>
          <t>Trichophyton rubrum</t>
        </is>
      </c>
      <c r="E67" s="2" t="inlineStr">
        <is>
          <t>Epidermophyton floccousm</t>
        </is>
      </c>
      <c r="F67" s="2" t="inlineStr">
        <is>
          <t>Microsporum gypseum</t>
        </is>
      </c>
      <c r="G67" s="2" t="inlineStr">
        <is>
          <t>Malassezia furfur</t>
        </is>
      </c>
      <c r="H67" s="2" t="inlineStr">
        <is>
          <t>Candida albicans</t>
        </is>
      </c>
      <c r="I67" s="8" t="inlineStr">
        <is>
          <t>3</t>
        </is>
      </c>
      <c r="J67" s="2" t="inlineStr">
        <is>
          <t>✅ คำตอบที่ถูกต้อง: ข้อ ค. Microsporum gypseum
💡 Background:
การดูแลผู้ติดเชื้อ HIV เน้นเริ่ม Antiretroviral Therapy (ART) ทันทีเพื่อกด viral load ให้ undetectable (U=U) และฟื้นฟูระบบภูมิคุ้มกัน
🎯 ทำไมข้อนี้ถึงถูก:
Microsporum gypseum Pityriasis versicolor (เกลื้อน) มีสาเหตุหลักมาจากเชื้อราประจำถิ่น Malassezia furfur (Pityrosporum ovale/orbiculare) ที่เจริญได้ดีในสภาวะมีความชื้น เหงื่อออกมาก
🔍 ข้ออื่นผิดเพราะอะไร:
• ข้อ ก. (Trichophyton rubrum): ข้อนี้ไม่ใช่คำตอบที่ถูกต้องสำหรับภาวะ HIV infection เนื่องจากกลไกการออกฤทธิ์, efficacy หรือข้อบ่งใช้ไม่ตรงกับโจทย์ที่กำหนด
• ข้อ ข. (Epidermophyton floccousm): ข้อนี้ไม่ใช่คำตอบที่ถูกต้องสำหรับภาวะ HIV infection เนื่องจากกลไกการออกฤทธิ์, efficacy หรือข้อบ่งใช้ไม่ตรงกับโจทย์ที่กำหนด
• ข้อ ง. (Malassezia furfur): ข้อนี้ไม่ใช่คำตอบที่ถูกต้องสำหรับภาวะ HIV infection เนื่องจากกลไกการออกฤทธิ์, efficacy หรือข้อบ่งใช้ไม่ตรงกับโจทย์ที่กำหนด
• ข้อ จ. (Candida albicans):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7" s="2" t="n"/>
      <c r="L67" s="2" t="inlineStr">
        <is>
          <t>HIV infection</t>
        </is>
      </c>
      <c r="M67" s="2" t="inlineStr">
        <is>
          <t>Clinic</t>
        </is>
      </c>
      <c r="N67" s="2" t="inlineStr">
        <is>
          <t>ข้อ 2 Pharma Plus เล่มม่วง (เฉลยข้อ ค)</t>
        </is>
      </c>
      <c r="O67" s="2" t="inlineStr">
        <is>
          <t>Mock</t>
        </is>
      </c>
      <c r="P67" s="2" t="inlineStr">
        <is>
          <t>Pharma Plus เล่มม่วง</t>
        </is>
      </c>
    </row>
    <row r="68" ht="13.2" customHeight="1" s="37">
      <c r="A68" s="8" t="inlineStr">
        <is>
          <t>2</t>
        </is>
      </c>
      <c r="B68" s="2" t="inlineStr">
        <is>
          <t>N3 หรือ Azido group จากโครงสร้างของ AZT มีผลทำให้เกิดสิ่งใด</t>
        </is>
      </c>
      <c r="C68" s="2" t="n"/>
      <c r="D68" s="2" t="inlineStr">
        <is>
          <t>เพิ่มค่าครึ่งชีวิตให้ยาวขึ้น</t>
        </is>
      </c>
      <c r="E68" s="2" t="inlineStr">
        <is>
          <t>เพิ่มการดูดซึม</t>
        </is>
      </c>
      <c r="F68" s="2" t="inlineStr">
        <is>
          <t>เพิ่มการออกฤทธิ์</t>
        </is>
      </c>
      <c r="G68" s="2" t="inlineStr">
        <is>
          <t>มีผลต่อการตั้งสูตรตำรับ</t>
        </is>
      </c>
      <c r="H68" s="2" t="inlineStr">
        <is>
          <t>เพิ่มความสามารถในการจับกับโปรตีน albumin</t>
        </is>
      </c>
      <c r="I68" s="8" t="inlineStr">
        <is>
          <t>3</t>
        </is>
      </c>
      <c r="J68" s="2" t="inlineStr">
        <is>
          <t>✅ คำตอบที่ถูกต้อง: ข้อ ค. เพิ่มการออกฤทธิ์
💡 Background:
การดูแลผู้ติดเชื้อ HIV เน้นเริ่ม Antiretroviral Therapy (ART) ทันทีเพื่อกด viral load ให้ undetectable (U=U) และฟื้นฟูระบบภูมิคุ้มกัน
🎯 ทำไมข้อนี้ถึงถูก:
เพิ่มการออกฤทธิ์ หมู่ Azido (-N3) ในโครงสร้างของ Zidovudine (AZT) แทนที่หมู่ 3'-hydroxyl group ของ thymidine เพื่อป้องกันการต่อสายของสาย DNA (DNA chain terminator) โดยหมู่ -N3 นี้มีความจำเป็นอย่างยิ่งในการออกฤทธิ์เป็น NRTIs
🔍 ข้ออื่นผิดเพราะอะไร:
• ข้อ ก. (เพิ่มค่าครึ่งชีวิตให้ยาวขึ้น): ข้อนี้ไม่ใช่คำตอบที่ถูกต้องสำหรับภาวะ HIV infection เนื่องจากกลไกการออกฤทธิ์, efficacy หรือข้อบ่งใช้ไม่ตรงกับโจทย์ที่กำหนด
• ข้อ ข. (เพิ่มการดูดซึม): ข้อนี้ไม่ใช่คำตอบที่ถูกต้องสำหรับภาวะ HIV infection เนื่องจากกลไกการออกฤทธิ์, efficacy หรือข้อบ่งใช้ไม่ตรงกับโจทย์ที่กำหนด
• ข้อ ง. (มีผลต่อการตั้งสูตรตำรับ): ข้อนี้ไม่ใช่คำตอบที่ถูกต้องสำหรับภาวะ HIV infection เนื่องจากกลไกการออกฤทธิ์, efficacy หรือข้อบ่งใช้ไม่ตรงกับโจทย์ที่กำหนด
• ข้อ จ. (เพิ่มความสามารถในการจับกับโปรตีน albumin):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8" s="2" t="n"/>
      <c r="L68" s="2" t="inlineStr">
        <is>
          <t>HIV infection</t>
        </is>
      </c>
      <c r="M68" s="2" t="inlineStr">
        <is>
          <t>Clinic</t>
        </is>
      </c>
      <c r="N68" s="2" t="inlineStr">
        <is>
          <t>ข้อ 2 Pharma Plus เล่มม่วง (เฉลยข้อ ค)</t>
        </is>
      </c>
      <c r="O68" s="2" t="inlineStr">
        <is>
          <t>Mock</t>
        </is>
      </c>
      <c r="P68" s="2" t="inlineStr">
        <is>
          <t>Pharma Plus เล่มม่วง</t>
        </is>
      </c>
    </row>
    <row r="69" ht="13.2" customHeight="1" s="37">
      <c r="A69" s="8" t="inlineStr">
        <is>
          <t>2</t>
        </is>
      </c>
      <c r="B69" s="2" t="inlineStr">
        <is>
          <t>หญิงอายุ 35 ปี เห็นปล้องพยาธิแบนคล้ายริบบิ้นตอนถ่าย มีประวัติชอบทานสุกๆดิบๆ มาซื้อยาถ่ายพยาธิ
ท่านจะจ่ายยาในข้อใด</t>
        </is>
      </c>
      <c r="C69" s="2" t="n"/>
      <c r="D69" s="2" t="inlineStr">
        <is>
          <t>Praziquantel 5-25 mg/kg/day po once</t>
        </is>
      </c>
      <c r="E69" s="2" t="inlineStr">
        <is>
          <t>Niclosamide 2 g single dose</t>
        </is>
      </c>
      <c r="F69" s="2" t="inlineStr">
        <is>
          <t>Albendazole 400 mg single dose</t>
        </is>
      </c>
      <c r="G69" s="2" t="inlineStr">
        <is>
          <t>Mebendazole 500 mg single dose</t>
        </is>
      </c>
      <c r="H69" s="2" t="inlineStr">
        <is>
          <t>ได้ทั้งข้อ ก และ ข้อ ข</t>
        </is>
      </c>
      <c r="I69" s="8" t="inlineStr">
        <is>
          <t>3</t>
        </is>
      </c>
      <c r="J69" s="2"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การรักษาพยาธิ์ตัวตืด (Tapeworm) สามารถใช้ยา Praziquantel หรือ Niclosamide ได้เป็นยาทางเลือกหลักตามแนวทางการรักษาโรคพยาธิ
🔍 ข้ออื่นผิดเพราะอะไร:
• ข้อ ก. (Praziquantel 5-25 mg/kg/day po once): ข้อนี้ไม่ใช่คำตอบที่ถูกต้องสำหรับภาวะ Parasitic infections เนื่องจากกลไกการออกฤทธิ์, efficacy หรือข้อบ่งใช้ไม่ตรงกับโจทย์ที่กำหนด
• ข้อ ข. (Niclosamide 2 g single dose): ข้อนี้ไม่ใช่คำตอบที่ถูกต้องสำหรับภาวะ Parasitic infections เนื่องจากกลไกการออกฤทธิ์, efficacy หรือข้อบ่งใช้ไม่ตรงกับโจทย์ที่กำหนด
• ข้อ ง. (Mebendazole 500 mg single dose): ข้อนี้ไม่ใช่คำตอบที่ถูกต้องสำหรับภาวะ Parasitic infections เนื่องจากกลไกการออกฤทธิ์, efficacy หรือข้อบ่งใช้ไม่ตรงกับโจทย์ที่กำหนด
• ข้อ จ. (ได้ทั้งข้อ ก และ ข้อ ข):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2" t="n"/>
      <c r="L69" s="2" t="inlineStr">
        <is>
          <t>Parasitic infections</t>
        </is>
      </c>
      <c r="M69" s="2" t="inlineStr">
        <is>
          <t>Clinic</t>
        </is>
      </c>
      <c r="N69" s="2" t="inlineStr">
        <is>
          <t>ข้อ 2 Pharma Plus เล่มม่วง (เฉลยข้อ ค)</t>
        </is>
      </c>
      <c r="O69" s="2" t="inlineStr">
        <is>
          <t>Mock</t>
        </is>
      </c>
      <c r="P69" s="2" t="inlineStr">
        <is>
          <t>Pharma Plus เล่มม่วง</t>
        </is>
      </c>
    </row>
    <row r="70" ht="13.2" customHeight="1" s="37">
      <c r="A70" s="8" t="inlineStr">
        <is>
          <t>3</t>
        </is>
      </c>
      <c r="B70" s="2" t="inlineStr">
        <is>
          <t>การกินยากลุ่ม quinolone ร่วมกับนมมีผลอย่างไร</t>
        </is>
      </c>
      <c r="C70" s="2" t="n"/>
      <c r="D70" s="2" t="inlineStr">
        <is>
          <t>เพิ่มการดูดซึมเพราะนมมันจะไป ต่อเยื่อบุทางเดินอาหาร ทำให้การดูดซึมง่ายขึ้น</t>
        </is>
      </c>
      <c r="E70" s="2" t="inlineStr">
        <is>
          <t>ลดการดูดซึม เพราะนมมันจะไป ต่อเยื่อบุทางเดินอาหาร ทำให้การดูดซึมยากขึ้น</t>
        </is>
      </c>
      <c r="F70" s="2" t="inlineStr">
        <is>
          <t>เพิ่มการดูดซึม เพราะ นมมันไป chelate กับยาทำให้การละลายเพิ่มขึ้น</t>
        </is>
      </c>
      <c r="G70" s="2" t="inlineStr">
        <is>
          <t>ลดการดูดซึม เพราะ นมมันไป chelate กับยาทำให้การละลายลดลง</t>
        </is>
      </c>
      <c r="H70" s="2" t="inlineStr">
        <is>
          <t>นมไม่มีผลต่อการดูดซึม</t>
        </is>
      </c>
      <c r="I70" s="8" t="inlineStr">
        <is>
          <t>4</t>
        </is>
      </c>
      <c r="J70" s="2" t="inlineStr">
        <is>
          <t>✅ คำตอบที่ถูกต้อง: ข้อ ง. ลดการดูดซึม เพราะ นมมันไป chelate กับยาทำให้การละลายลดลง
💡 Background:
การดูแลผู้ติดเชื้อ HIV เน้นเริ่ม Antiretroviral Therapy (ART) ทันทีเพื่อกด viral load ให้ undetectable (U=U) และฟื้นฟูระบบภูมิคุ้มกัน
🎯 ทำไมข้อนี้ถึงถูก:
ลดการดูดซึม เพราะ นมมันไป chelate กับยาทำให้การละลายลดลง ยากลุ่ม Quinolones (เช่น Ciprofloxacin, Levofloxacin) สามารถเกิด chelation กับ polyvalent cations (เช่น แคลเซียมในนม, แมกนีเซียม, อลูมิเนียม) เกิดเป็นสารประกอบเชิงซ้อนที่ไม่ละลายน้ำและดูดซึมไม่ได้ ทำให้การดูดซึมยาและระดับยาในเลือดลดลงอย่างมาก
🔍 ข้ออื่นผิดเพราะอะไร:
• ข้อ ก. (เพิ่มการดูดซึมเพราะนมมันจะไป ต่อเยื่อบุทางเดินอาหาร ทำให้การดูดซึมง่ายขึ้น): ข้อนี้ไม่ใช่คำตอบที่ถูกต้องสำหรับภาวะ HIV infection เนื่องจากกลไกการออกฤทธิ์, efficacy หรือข้อบ่งใช้ไม่ตรงกับโจทย์ที่กำหนด
• ข้อ ข. (ลดการดูดซึม เพราะนมมันจะไป ต่อเยื่อบุทางเดินอาหาร ทำให้การดูดซึมยากขึ้น): ข้อนี้ไม่ใช่คำตอบที่ถูกต้องสำหรับภาวะ HIV infection เนื่องจากกลไกการออกฤทธิ์, efficacy หรือข้อบ่งใช้ไม่ตรงกับโจทย์ที่กำหนด
• ข้อ ค. (เพิ่มการดูดซึม เพราะ นมมันไป chelate กับยาทำให้การละลายเพิ่มขึ้น): ข้อนี้ไม่ใช่คำตอบที่ถูกต้องสำหรับภาวะ HIV infection เนื่องจากกลไกการออกฤทธิ์, efficacy หรือข้อบ่งใช้ไม่ตรงกับโจทย์ที่กำหนด
• ข้อ จ. (นมไม่มีผลต่อการดูดซึม):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0" s="2" t="n"/>
      <c r="L70" s="2" t="inlineStr">
        <is>
          <t>HIV infection</t>
        </is>
      </c>
      <c r="M70" s="2" t="inlineStr">
        <is>
          <t>Clinic</t>
        </is>
      </c>
      <c r="N70" s="2" t="inlineStr">
        <is>
          <t>ข้อ 3 Pharma Plus เล่มม่วง (เฉลยข้อ ง)</t>
        </is>
      </c>
      <c r="O70" s="2" t="inlineStr">
        <is>
          <t>Mock</t>
        </is>
      </c>
      <c r="P70" s="2" t="inlineStr">
        <is>
          <t>Pharma Plus เล่มม่วง</t>
        </is>
      </c>
    </row>
    <row r="71" ht="13.2" customHeight="1" s="37">
      <c r="A71" s="8" t="inlineStr">
        <is>
          <t>3</t>
        </is>
      </c>
      <c r="B71" s="2"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ยาที่เหมาะสมสำหรับคนไข้รายนี้คืออะไร</t>
        </is>
      </c>
      <c r="C71" s="2" t="n"/>
      <c r="D71" s="2" t="inlineStr">
        <is>
          <t>Nystatin</t>
        </is>
      </c>
      <c r="E71" s="2" t="inlineStr">
        <is>
          <t>Griseofulvin</t>
        </is>
      </c>
      <c r="F71" s="2" t="inlineStr">
        <is>
          <t>Clotrimazole</t>
        </is>
      </c>
      <c r="G71" s="2" t="inlineStr">
        <is>
          <t>Itraconazole</t>
        </is>
      </c>
      <c r="H71" s="2" t="inlineStr">
        <is>
          <t>Whitfield ointment</t>
        </is>
      </c>
      <c r="I71" s="8" t="inlineStr">
        <is>
          <t>4</t>
        </is>
      </c>
      <c r="J71" s="2" t="inlineStr">
        <is>
          <t>✅ คำตอบที่ถูกต้อง: ข้อ ง. Itraconazole
💡 Background:
การดูแลผู้ติดเชื้อ HIV เน้นเริ่ม Antiretroviral Therapy (ART) ทันทีเพื่อกด viral load ให้ undetectable (U=U) และฟื้นฟูระบบภูมิคุ้มกัน
🎯 ทำไมข้อนี้ถึงถูก:
Itraconazole การติดเชื้อรา Malassezia เป็นบริเวณกว้าง (ลามทั่วแผ่นหลัง) การใช้ยาทาเฉพาะที่อาจไม่ทั่วถึง พิจารณาใช้ยากินกลุ่ม azoles เช่น Itraconazole หรือ Ketoconazole ตามแนวทางการรักษา
🔍 ข้ออื่นผิดเพราะอะไร:
• ข้อ ก. (Nystatin): ข้อนี้ไม่ใช่คำตอบที่ถูกต้องสำหรับภาวะ HIV infection เนื่องจากกลไกการออกฤทธิ์, efficacy หรือข้อบ่งใช้ไม่ตรงกับโจทย์ที่กำหนด
• ข้อ ข. (Griseofulvin): ข้อนี้ไม่ใช่คำตอบที่ถูกต้องสำหรับภาวะ HIV infection เนื่องจากกลไกการออกฤทธิ์, efficacy หรือข้อบ่งใช้ไม่ตรงกับโจทย์ที่กำหนด
• ข้อ ค. (Clotrimazole): ข้อนี้ไม่ใช่คำตอบที่ถูกต้องสำหรับภาวะ HIV infection เนื่องจากกลไกการออกฤทธิ์, efficacy หรือข้อบ่งใช้ไม่ตรงกับโจทย์ที่กำหนด
• ข้อ จ. (Whitfield ointment):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1" s="2" t="n"/>
      <c r="L71" s="2" t="inlineStr">
        <is>
          <t>HIV infection</t>
        </is>
      </c>
      <c r="M71" s="2" t="inlineStr">
        <is>
          <t>Clinic</t>
        </is>
      </c>
      <c r="N71" s="2" t="inlineStr">
        <is>
          <t>ข้อ 3 Pharma Plus เล่มม่วง (เฉลยข้อ ง)</t>
        </is>
      </c>
      <c r="O71" s="2" t="inlineStr">
        <is>
          <t>Mock</t>
        </is>
      </c>
      <c r="P71" s="2" t="inlineStr">
        <is>
          <t>Pharma Plus เล่มม่วง</t>
        </is>
      </c>
    </row>
    <row r="72" ht="13.2" customHeight="1" s="37">
      <c r="A72" s="8" t="inlineStr">
        <is>
          <t>3</t>
        </is>
      </c>
      <c r="B72" s="2" t="inlineStr">
        <is>
          <t>ยา ARV ตัวใดไม่ควรใช้ในหญิงตั้งครรภ์ ไตรมาสที่ 3</t>
        </is>
      </c>
      <c r="C72" s="2" t="n"/>
      <c r="D72" s="2" t="inlineStr">
        <is>
          <t>Efavirenz</t>
        </is>
      </c>
      <c r="E72" s="2" t="inlineStr">
        <is>
          <t>Stavudine</t>
        </is>
      </c>
      <c r="F72" s="2" t="inlineStr">
        <is>
          <t>Nevirapine</t>
        </is>
      </c>
      <c r="G72" s="2" t="inlineStr">
        <is>
          <t>Lamivudine</t>
        </is>
      </c>
      <c r="H72" s="2" t="inlineStr">
        <is>
          <t>ไม่มีข้อใดถูก</t>
        </is>
      </c>
      <c r="I72" s="8" t="inlineStr">
        <is>
          <t>4</t>
        </is>
      </c>
      <c r="J72" s="2" t="inlineStr">
        <is>
          <t>✅ คำตอบที่ถูกต้อง: ข้อ ง. Lamivudine
💡 Background:
การดูแลผู้ติดเชื้อ HIV เน้นเริ่ม Antiretroviral Therapy (ART) ทันทีเพื่อกด viral load ให้ undetectable (U=U) และฟื้นฟูระบบภูมิคุ้มกัน
🎯 ทำไมข้อนี้ถึงถูก:
Lamivudine Efavirenz (EFV) มีคำเตือนเรื่อง Teratogenicity ในไตรมาสแรก (Neural tube defects) แต่ในปัจจุบันแนวทางใหม่ระบุว่าสามารถใช้ได้ตลอดการตั้งครรภ์ อย่างไรก็ตาม คำถามนี้มักอิงตามตำราเก่าหรือข้อสอบบอร์ดที่เน้น EFV ในไตรมาส 1 ส่วนในไตรมาสที่ 3 ยาที่ต้องระวังเป็นพิเศษคือ NVP (ความเสี่ยงตับอักเสบรุนแรงในหญิงตั้งครรภ์ที่มี CD4 &gt; 250) แต่จากตัวเลือกและคีย์มาตรฐาน Efavirenz มักถูกกล่าวถึงบ่อยที่สุดในแง่ข้อจำกัดการใช้ช่วงไตรมาสแรก แต่หากพิจารณาตามข้อสอบเก่า คำตอบข้อนี้มักจะอ้างอิง safety โดย EFV ห้ามใช้ในไตรมาสแรก (First trimester) หรือบางตำราอาจมองว่าไม่มีข้อห้ามเด็ดขาดในไตรมาส 3 ถ้าพิจารณาตามช้อยส์และโจทย์มาตรฐาน (ข้อ 5: ไม่มีข้อใดถูก เนื่องจาก EFV ห้ามใช้ในไตรมาส 1 ไม่ใช่ไตรมาส 3)
🔍 ข้ออื่นผิดเพราะอะไร:
• ข้อ ก. (Efavirenz): เป็น NNRTI ที่มี neuropsychiatric ADRs เด่น (ฝันร้าย เวียนศีรษะ ซึมเศร้า หลอน) จึงต้องแนะนำให้รับประทานก่อนนอนตอนท้องว่าง
• ข้อ ข. (Stavudine): ข้อนี้ไม่ใช่คำตอบที่ถูกต้องสำหรับภาวะ HIV infection เนื่องจากกลไกการออกฤทธิ์, efficacy หรือข้อบ่งใช้ไม่ตรงกับโจทย์ที่กำหนด
• ข้อ ค. (Nevirapine): ข้อนี้ไม่ใช่คำตอบที่ถูกต้องสำหรับภาวะ HIV infection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2" s="2" t="n"/>
      <c r="L72" s="2" t="inlineStr">
        <is>
          <t>HIV infection</t>
        </is>
      </c>
      <c r="M72" s="2" t="inlineStr">
        <is>
          <t>Clinic</t>
        </is>
      </c>
      <c r="N72" s="2" t="inlineStr">
        <is>
          <t>ข้อ 3 Pharma Plus เล่มม่วง (เฉลยข้อ ง)</t>
        </is>
      </c>
      <c r="O72" s="2" t="inlineStr">
        <is>
          <t>Mock</t>
        </is>
      </c>
      <c r="P72" s="2" t="inlineStr">
        <is>
          <t>Pharma Plus เล่มม่วง</t>
        </is>
      </c>
    </row>
    <row r="73" ht="13.2" customHeight="1" s="37">
      <c r="A73" s="8" t="inlineStr">
        <is>
          <t>3</t>
        </is>
      </c>
      <c r="B73" s="2" t="inlineStr">
        <is>
          <t>หญิงอายุ 35 ปี เห็นปล้องพยาธิแบนคล้ายริบบิ้นตอนถ่าย มีประวัติชอบทานสุกๆดิบๆ มาซื้อยาถ่ายพยาธิ
ข้อใดผิดเกี่ยวกับยา Praziquantel</t>
        </is>
      </c>
      <c r="C73" s="2" t="n"/>
      <c r="D73" s="2" t="inlineStr">
        <is>
          <t>ใช้รักษาการติดเชื้อพยาธิตัวกลมไม่ได้ผล</t>
        </is>
      </c>
      <c r="E73" s="2" t="inlineStr">
        <is>
          <t>ออกฤทธิ์เป็น cestocidal</t>
        </is>
      </c>
      <c r="F73" s="2" t="inlineStr">
        <is>
          <t>ฆ่าไข่พยาธิ (ovicide)</t>
        </is>
      </c>
      <c r="G73" s="2" t="inlineStr">
        <is>
          <t>ใช้รักษาการติดเชื้อพยาธิใบไม้ในตับได้</t>
        </is>
      </c>
      <c r="H73" s="2" t="inlineStr">
        <is>
          <t>ทำให้ง่วงนอน</t>
        </is>
      </c>
      <c r="I73" s="8" t="inlineStr">
        <is>
          <t>4</t>
        </is>
      </c>
      <c r="J73" s="2" t="inlineStr">
        <is>
          <t>✅ คำตอบที่ถูกต้อง: ข้อ ง. ใช้รักษาการติดเชื้อพยาธิใบไม้ในตับได้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ใช้รักษาการติดเชื้อพยาธิใบไม้ในตับได้ Praziquantel ไม่มีฤทธิ์ในการฆ่าไข่พยาธิ (not ovicidal) จึงเป็นข้อผิดในข้อ 3 นอกจากนี้ Praziquantel ใช้รักษาพยาธิใบไม้และพยาธิ์ตัวตืด แต่ไม่ครอบคลุมพยาธิตัวกลม (Nematodes)
🔍 ข้ออื่นผิดเพราะอะไร:
• ข้อ ก. (ใช้รักษาการติดเชื้อพยาธิตัวกลมไม่ได้ผล): ข้อนี้ไม่ใช่คำตอบที่ถูกต้องสำหรับภาวะ Parasitic infections เนื่องจากกลไกการออกฤทธิ์, efficacy หรือข้อบ่งใช้ไม่ตรงกับโจทย์ที่กำหนด
• ข้อ ข. (ออกฤทธิ์เป็น cestocidal): ข้อนี้ไม่ใช่คำตอบที่ถูกต้องสำหรับภาวะ Parasitic infections เนื่องจากกลไกการออกฤทธิ์, efficacy หรือข้อบ่งใช้ไม่ตรงกับโจทย์ที่กำหนด
• ข้อ ค. (ฆ่าไข่พยาธิ (ovicide)): ข้อนี้ไม่ใช่คำตอบที่ถูกต้องสำหรับภาวะ Parasitic infections เนื่องจากกลไกการออกฤทธิ์, efficacy หรือข้อบ่งใช้ไม่ตรงกับโจทย์ที่กำหนด
• ข้อ จ. (ทำให้ง่วงนอน):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2" t="n"/>
      <c r="L73" s="2" t="inlineStr">
        <is>
          <t>Parasitic infections</t>
        </is>
      </c>
      <c r="M73" s="2" t="inlineStr">
        <is>
          <t>Clinic</t>
        </is>
      </c>
      <c r="N73" s="2" t="inlineStr">
        <is>
          <t>ข้อ 3 Pharma Plus เล่มม่วง (เฉลยข้อ ง)</t>
        </is>
      </c>
      <c r="O73" s="2" t="inlineStr">
        <is>
          <t>Mock</t>
        </is>
      </c>
      <c r="P73" s="2" t="inlineStr">
        <is>
          <t>Pharma Plus เล่มม่วง</t>
        </is>
      </c>
    </row>
    <row r="74" ht="13.2" customHeight="1" s="37">
      <c r="A74" s="8" t="inlineStr">
        <is>
          <t>4</t>
        </is>
      </c>
      <c r="B74" s="2" t="inlineStr">
        <is>
          <t>ยา tetracycline เมื่อหมดอายุแล้วรับประทานจะทำให้เกิดอาการอะไร</t>
        </is>
      </c>
      <c r="C74" s="2" t="n"/>
      <c r="D74" s="2" t="inlineStr">
        <is>
          <t>Fanconi-like syndrome</t>
        </is>
      </c>
      <c r="E74" s="2" t="inlineStr">
        <is>
          <t>Megaloblastic anemia</t>
        </is>
      </c>
      <c r="F74" s="2" t="inlineStr">
        <is>
          <t>Pyogenic granuloma</t>
        </is>
      </c>
      <c r="G74" s="2" t="inlineStr">
        <is>
          <t>Dress syndrome</t>
        </is>
      </c>
      <c r="H74" s="2" t="inlineStr">
        <is>
          <t>Stevens-Johnson syndrome</t>
        </is>
      </c>
      <c r="I74" s="8" t="inlineStr">
        <is>
          <t>1</t>
        </is>
      </c>
      <c r="J74" s="2" t="inlineStr">
        <is>
          <t>✅ คำตอบที่ถูกต้อง: ข้อ ก. Fanconi-like syndrome
💡 Background:
การดูแลผู้ติดเชื้อ HIV เน้นเริ่ม Antiretroviral Therapy (ART) ทันทีเพื่อกด viral load ให้ undetectable (U=U) และฟื้นฟูระบบภูมิคุ้มกัน
🎯 ทำไมข้อนี้ถึงถูก:
Fanconi-like syndrome การรับประทานยา Tetracycline ที่เสื่อมสภาพหรือหมดอายุ จะเกิดการสลายตัวเป็นสาร epianhydrotetracycline และ anhydrotetracycline ซึ่งเป็นพิษต่อ proximal tubules ของไต ทำให้เกิด Fanconi syndrome (Type 2 renal tubular acidosis)
🔍 ข้ออื่นผิดเพราะอะไร:
• ข้อ ข. (Megaloblastic anemia): ข้อนี้ไม่ใช่คำตอบที่ถูกต้องสำหรับภาวะ HIV infection เนื่องจากกลไกการออกฤทธิ์, efficacy หรือข้อบ่งใช้ไม่ตรงกับโจทย์ที่กำหนด
• ข้อ ค. (Pyogenic granuloma): ข้อนี้ไม่ใช่คำตอบที่ถูกต้องสำหรับภาวะ HIV infection เนื่องจากกลไกการออกฤทธิ์, efficacy หรือข้อบ่งใช้ไม่ตรงกับโจทย์ที่กำหนด
• ข้อ ง. (Dress syndrome): ข้อนี้ไม่ใช่คำตอบที่ถูกต้องสำหรับภาวะ HIV infection เนื่องจากกลไกการออกฤทธิ์, efficacy หรือข้อบ่งใช้ไม่ตรงกับโจทย์ที่กำหนด
• ข้อ จ. (Stevens-Johnson syndrome):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4" s="2" t="n"/>
      <c r="L74" s="2" t="inlineStr">
        <is>
          <t>HIV infection</t>
        </is>
      </c>
      <c r="M74" s="2" t="inlineStr">
        <is>
          <t>Clinic</t>
        </is>
      </c>
      <c r="N74" s="2" t="inlineStr">
        <is>
          <t>ข้อ 4 Pharma Plus เล่มม่วง (เฉลยข้อ ก)</t>
        </is>
      </c>
      <c r="O74" s="2" t="inlineStr">
        <is>
          <t>Mock</t>
        </is>
      </c>
      <c r="P74" s="2" t="inlineStr">
        <is>
          <t>Pharma Plus เล่มม่วง</t>
        </is>
      </c>
    </row>
    <row r="75" ht="13.2" customHeight="1" s="37">
      <c r="A75" s="8" t="inlineStr">
        <is>
          <t>4</t>
        </is>
      </c>
      <c r="B75" s="2" t="inlineStr">
        <is>
          <t>ผู้ป่วยชายอายุ 19 ปีพบเภสัชกรที่ร้านขายยามาด้วยอาการเป็นผื่นหลายวงบริเวณหนังศีรษะลักษณะผื่นผื่นนูนแดงมีสะเก็ดคัน
ลักษณะผื่นที่เป็นผู้ป่วยเป็นบริเวณหนังศีรษะเรียกกว่า</t>
        </is>
      </c>
      <c r="C75" s="2" t="n"/>
      <c r="D75" s="2" t="inlineStr">
        <is>
          <t>Tinea capitis</t>
        </is>
      </c>
      <c r="E75" s="2" t="inlineStr">
        <is>
          <t>Tinea corporis</t>
        </is>
      </c>
      <c r="F75" s="2" t="inlineStr">
        <is>
          <t>Tinea cruris</t>
        </is>
      </c>
      <c r="G75" s="2" t="inlineStr">
        <is>
          <t>Tinea faciei</t>
        </is>
      </c>
      <c r="H75" s="2" t="inlineStr">
        <is>
          <t>Tinea pedis</t>
        </is>
      </c>
      <c r="I75" s="8" t="inlineStr">
        <is>
          <t>1</t>
        </is>
      </c>
      <c r="J75" s="2" t="inlineStr">
        <is>
          <t>✅ คำตอบที่ถูกต้อง: ข้อ ก. Tinea capitis
💡 Background:
การดูแลผู้ติดเชื้อ HIV เน้นเริ่ม Antiretroviral Therapy (ART) ทันทีเพื่อกด viral load ให้ undetectable (U=U) และฟื้นฟูระบบภูมิคุ้มกัน
🎯 ทำไมข้อนี้ถึงถูก:
Tinea capitis การติดเชื้อรา Dermatophyte ที่บริเวณหนังศีรษะเรียกว่า Tinea capitis มักพบในเด็กหรือวัยรุ่น มีลักษณะเป็นผื่นนูนแดง มีสะเก็ด และผมร่วงเป็นหย่อมๆ
🔍 ข้ออื่นผิดเพราะอะไร:
• ข้อ ข. (Tinea corporis): ข้อนี้ไม่ใช่คำตอบที่ถูกต้องสำหรับภาวะ HIV infection เนื่องจากกลไกการออกฤทธิ์, efficacy หรือข้อบ่งใช้ไม่ตรงกับโจทย์ที่กำหนด
• ข้อ ค. (Tinea cruris): ข้อนี้ไม่ใช่คำตอบที่ถูกต้องสำหรับภาวะ HIV infection เนื่องจากกลไกการออกฤทธิ์, efficacy หรือข้อบ่งใช้ไม่ตรงกับโจทย์ที่กำหนด
• ข้อ ง. (Tinea faciei): ข้อนี้ไม่ใช่คำตอบที่ถูกต้องสำหรับภาวะ HIV infection เนื่องจากกลไกการออกฤทธิ์, efficacy หรือข้อบ่งใช้ไม่ตรงกับโจทย์ที่กำหนด
• ข้อ จ. (Tinea pedis):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5" s="2" t="n"/>
      <c r="L75" s="2" t="inlineStr">
        <is>
          <t>HIV infection</t>
        </is>
      </c>
      <c r="M75" s="2" t="inlineStr">
        <is>
          <t>Clinic</t>
        </is>
      </c>
      <c r="N75" s="2" t="inlineStr">
        <is>
          <t>ข้อ 4 Pharma Plus เล่มม่วง (เฉลยข้อ ก)</t>
        </is>
      </c>
      <c r="O75" s="2" t="inlineStr">
        <is>
          <t>Mock</t>
        </is>
      </c>
      <c r="P75" s="2" t="inlineStr">
        <is>
          <t>Pharma Plus เล่มม่วง</t>
        </is>
      </c>
    </row>
    <row r="76" ht="13.2" customHeight="1" s="37">
      <c r="A76" s="8" t="inlineStr">
        <is>
          <t>4</t>
        </is>
      </c>
      <c r="B76" s="2" t="inlineStr">
        <is>
          <t>หากหญิงตั้งครรภ์รายนี้ได้รับยาตามสูตรที่แนะนำตั้งแต่เริ่มแรก เมื่อหญิงตั้งครรภ์ HIV ปวดท้องคลอดจะให้ยาอย่างไร</t>
        </is>
      </c>
      <c r="C76" s="2" t="n"/>
      <c r="D76" s="2" t="inlineStr">
        <is>
          <t>AZT q 3 hrs</t>
        </is>
      </c>
      <c r="E76" s="2" t="inlineStr">
        <is>
          <t>NVP q 3 hrs</t>
        </is>
      </c>
      <c r="F76" s="2" t="inlineStr">
        <is>
          <t>AZT OD + NVP q 3 hrs</t>
        </is>
      </c>
      <c r="G76" s="2" t="inlineStr">
        <is>
          <t>AZT q 3 hrs + NVP OD</t>
        </is>
      </c>
      <c r="H76" s="2" t="inlineStr">
        <is>
          <t>AZT + NVP q 3 hrs</t>
        </is>
      </c>
      <c r="I76" s="8" t="inlineStr">
        <is>
          <t>1</t>
        </is>
      </c>
      <c r="J76" s="2" t="inlineStr">
        <is>
          <t>✅ คำตอบที่ถูกต้อง: ข้อ ก. AZT q 3 hrs
💡 Background:
การดูแลผู้ติดเชื้อ HIV เน้นเริ่ม Antiretroviral Therapy (ART) ทันทีเพื่อกด viral load ให้ undetectable (U=U) และฟื้นฟูระบบภูมิคุ้มกัน
🎯 ทำไมข้อนี้ถึงถูก:
AZT q 3 hrs ในระหว่างเจ็บครรภ์คลอด (Intrapartum period) หากหญิงตั้งครรภ์ได้รับยาต้านไวรัสสม่ำเสมอและมี Viral load เป็น undetectable (
🔍 ข้ออื่นผิดเพราะอะไร:
• ข้อ ข. (NVP q 3 hrs): ข้อนี้ไม่ใช่คำตอบที่ถูกต้องสำหรับภาวะ HIV infection เนื่องจากกลไกการออกฤทธิ์, efficacy หรือข้อบ่งใช้ไม่ตรงกับโจทย์ที่กำหนด
• ข้อ ค. (AZT OD + NVP q 3 hrs): ข้อนี้ไม่ใช่คำตอบที่ถูกต้องสำหรับภาวะ HIV infection เนื่องจากกลไกการออกฤทธิ์, efficacy หรือข้อบ่งใช้ไม่ตรงกับโจทย์ที่กำหนด
• ข้อ ง. (AZT q 3 hrs + NVP OD): ข้อนี้ไม่ใช่คำตอบที่ถูกต้องสำหรับภาวะ HIV infection เนื่องจากกลไกการออกฤทธิ์, efficacy หรือข้อบ่งใช้ไม่ตรงกับโจทย์ที่กำหนด
• ข้อ จ. (AZT + NVP q 3 hrs):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6" s="2" t="n"/>
      <c r="L76" s="2" t="inlineStr">
        <is>
          <t>HIV infection</t>
        </is>
      </c>
      <c r="M76" s="2" t="inlineStr">
        <is>
          <t>Clinic</t>
        </is>
      </c>
      <c r="N76" s="2" t="inlineStr">
        <is>
          <t>ข้อ 4 Pharma Plus เล่มม่วง (เฉลยข้อ ก)</t>
        </is>
      </c>
      <c r="O76" s="2" t="inlineStr">
        <is>
          <t>Mock</t>
        </is>
      </c>
      <c r="P76" s="2" t="inlineStr">
        <is>
          <t>Pharma Plus เล่มม่วง</t>
        </is>
      </c>
    </row>
    <row r="77" ht="13.2" customHeight="1" s="37">
      <c r="A77" s="8" t="inlineStr">
        <is>
          <t>4</t>
        </is>
      </c>
      <c r="B77" s="2" t="inlineStr">
        <is>
          <t>หญิงอายุ 35 ปี เห็นปล้องพยาธิแบนคล้ายริบบิ้นตอนถ่าย มีประวัติชอบทานสุกๆดิบๆ มาซื้อยาถ่ายพยาธิ
ข้อใดผิดเกี่ยวกับยา Niclosamide</t>
        </is>
      </c>
      <c r="C77" s="2" t="n"/>
      <c r="D77" s="2" t="inlineStr">
        <is>
          <t>เคี้ยวยาให้ละเอียดก่อนกลืน</t>
        </is>
      </c>
      <c r="E77" s="2" t="inlineStr">
        <is>
          <t>กินยาระบายร่วมด้วย โดยกินหลัง Niclosamide 2 ชั่วโมง เพื่อป้องกัน Cysticercosis</t>
        </is>
      </c>
      <c r="F77" s="2" t="inlineStr">
        <is>
          <t>หลีกเลี่ยง alcohol ทั้งขณะกินยาหรือหลังกิน 1 วัน</t>
        </is>
      </c>
      <c r="G77" s="2" t="inlineStr">
        <is>
          <t>อาการข้างเคียง คือ คลื่นไส้ อาเจียน ถ่ายท้อง ไม่สบายท้อง</t>
        </is>
      </c>
      <c r="H77" s="2" t="inlineStr">
        <is>
          <t>Niclosamide ถูกดูดซึมในลำไส้ได้ดี</t>
        </is>
      </c>
      <c r="I77" s="8" t="inlineStr">
        <is>
          <t>1</t>
        </is>
      </c>
      <c r="J77" s="2" t="inlineStr">
        <is>
          <t>✅ คำตอบที่ถูกต้อง: ข้อ ก. เคี้ยวยาให้ละเอียดก่อนกลืน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เคี้ยวยาให้ละเอียดก่อนกลืน Niclosamide แทบจะไม่ถูกดูดซึมผ่านทางเดินอาหาร (poorly absorbed from the gastrointestinal tract) ซึ่งเป็นข้อดีเพราะตัวยาจะออกฤทธิ์เฉพาะที่ใน lumen ของลำไส้ต่อตัวพยาธิโดยตรง ดังนั้นข้อ 5 จึงกล่าวผิด
🔍 ข้ออื่นผิดเพราะอะไร:
• ข้อ ข. (กินยาระบายร่วมด้วย โดยกินหลัง Niclosamide 2 ชั่วโมง เพื่อป้องกัน Cysticercosis): ข้อนี้ไม่ใช่คำตอบที่ถูกต้องสำหรับภาวะ Parasitic infections เนื่องจากกลไกการออกฤทธิ์, efficacy หรือข้อบ่งใช้ไม่ตรงกับโจทย์ที่กำหนด
• ข้อ ค. (หลีกเลี่ยง alcohol ทั้งขณะกินยาหรือหลังกิน 1 วัน): ข้อนี้ไม่ใช่คำตอบที่ถูกต้องสำหรับภาวะ Parasitic infections เนื่องจากกลไกการออกฤทธิ์, efficacy หรือข้อบ่งใช้ไม่ตรงกับโจทย์ที่กำหนด
• ข้อ ง. (อาการข้างเคียง คือ คลื่นไส้ อาเจียน ถ่ายท้อง ไม่สบายท้อง): ข้อนี้ไม่ใช่คำตอบที่ถูกต้องสำหรับภาวะ Parasitic infections เนื่องจากกลไกการออกฤทธิ์, efficacy หรือข้อบ่งใช้ไม่ตรงกับโจทย์ที่กำหนด
• ข้อ จ. (Niclosamide ถูกดูดซึมในลำไส้ได้ดี):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2" t="n"/>
      <c r="L77" s="2" t="inlineStr">
        <is>
          <t>Parasitic infections</t>
        </is>
      </c>
      <c r="M77" s="2" t="inlineStr">
        <is>
          <t>Clinic</t>
        </is>
      </c>
      <c r="N77" s="2" t="inlineStr">
        <is>
          <t>ข้อ 4 Pharma Plus เล่มม่วง (เฉลยข้อ ก)</t>
        </is>
      </c>
      <c r="O77" s="2" t="inlineStr">
        <is>
          <t>Mock</t>
        </is>
      </c>
      <c r="P77" s="2" t="inlineStr">
        <is>
          <t>Pharma Plus เล่มม่วง</t>
        </is>
      </c>
    </row>
    <row r="78" ht="13.2" customHeight="1" s="37">
      <c r="A78" s="8" t="inlineStr">
        <is>
          <t>5</t>
        </is>
      </c>
      <c r="B78" s="2" t="inlineStr">
        <is>
          <t>ยาในกลุ่ม quinolone มีกลไกการออกฤทธิ์เป็นอย่างไร</t>
        </is>
      </c>
      <c r="C78" s="2" t="n"/>
      <c r="D78" s="2" t="inlineStr">
        <is>
          <t>ขัดขวางการสร้างผนังเซลล์</t>
        </is>
      </c>
      <c r="E78" s="2" t="inlineStr">
        <is>
          <t>ขัดขวางการสร้างผนังหุ้มเซลล์</t>
        </is>
      </c>
      <c r="F78" s="2" t="inlineStr">
        <is>
          <t>ขัดขวางการสร้าง folic acid</t>
        </is>
      </c>
      <c r="G78" s="2" t="inlineStr">
        <is>
          <t>ขัดขวางการสังเคราะห์ nucleic acid</t>
        </is>
      </c>
      <c r="H78" s="2" t="inlineStr">
        <is>
          <t>Meropenem 1 g IV Q8H</t>
        </is>
      </c>
      <c r="I78" s="8" t="inlineStr">
        <is>
          <t>3</t>
        </is>
      </c>
      <c r="J78" s="2"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ยากลุ่ม Quinolones ออกฤทธิ์ยับยั้งเอนไซม์ DNA gyrase และ topoisomerase IV ของแบคทีเรีย ซึ่งจำเป็นต่อการจำลองและสังเคราะห์ DNA (nucleic acid synthesis)
🔍 ข้ออื่นผิดเพราะอะไร:
• ข้อ ก. (ขัดขวางการสร้างผนังเซลล์): ข้อนี้ไม่ใช่คำตอบที่ถูกต้องสำหรับภาวะ HIV infection เนื่องจากกลไกการออกฤทธิ์, efficacy หรือข้อบ่งใช้ไม่ตรงกับโจทย์ที่กำหนด
• ข้อ ข. (ขัดขวางการสร้างผนังหุ้มเซลล์): ข้อนี้ไม่ใช่คำตอบที่ถูกต้องสำหรับภาวะ HIV infection เนื่องจากกลไกการออกฤทธิ์, efficacy หรือข้อบ่งใช้ไม่ตรงกับโจทย์ที่กำหนด
• ข้อ ง. (ขัดขวางการสังเคราะห์ nucleic acid): ข้อนี้ไม่ใช่คำตอบที่ถูกต้องสำหรับภาวะ HIV infection เนื่องจากกลไกการออกฤทธิ์, efficacy หรือข้อบ่งใช้ไม่ตรงกับโจทย์ที่กำหนด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8" s="2" t="n"/>
      <c r="L78" s="2" t="inlineStr">
        <is>
          <t>HIV infection</t>
        </is>
      </c>
      <c r="M78" s="2" t="inlineStr">
        <is>
          <t>Clinic</t>
        </is>
      </c>
      <c r="N78" s="2" t="inlineStr">
        <is>
          <t>ข้อ 5 Pharma Plus เล่มม่วง (เฉลยข้อ ค)</t>
        </is>
      </c>
      <c r="O78" s="2" t="inlineStr">
        <is>
          <t>Mock</t>
        </is>
      </c>
      <c r="P78" s="2" t="inlineStr">
        <is>
          <t>Pharma Plus เล่มม่วง</t>
        </is>
      </c>
    </row>
    <row r="79" ht="13.2" customHeight="1" s="37">
      <c r="A79" s="8" t="inlineStr">
        <is>
          <t>5</t>
        </is>
      </c>
      <c r="B79" s="2" t="inlineStr">
        <is>
          <t>ผู้ป่วยชายอายุ 19 ปีพบเภสัชกรที่ร้านขายยามาด้วยอาการเป็นผื่นหลายวงบริเวณหนังศีรษะลักษณะผื่นผื่นนูนแดงมีสะเก็ดคัน
เภสัชกรจ่ายยา griseofulvin ระยะเวลาที่ใช้ในการรักษาด้วยยานี้เป็นอย่างน้อยก็เดือน</t>
        </is>
      </c>
      <c r="C79" s="2" t="n"/>
      <c r="D79" s="2" t="inlineStr">
        <is>
          <t>14 วัน</t>
        </is>
      </c>
      <c r="E79" s="2" t="inlineStr">
        <is>
          <t>2 เดือน</t>
        </is>
      </c>
      <c r="F79" s="2" t="inlineStr">
        <is>
          <t>3 เดือน</t>
        </is>
      </c>
      <c r="G79" s="2" t="inlineStr">
        <is>
          <t>4 เดือน</t>
        </is>
      </c>
      <c r="H79" s="2" t="inlineStr">
        <is>
          <t>5 เดือน</t>
        </is>
      </c>
      <c r="I79" s="8" t="inlineStr">
        <is>
          <t>3</t>
        </is>
      </c>
      <c r="J79" s="2" t="inlineStr">
        <is>
          <t>✅ คำตอบที่ถูกต้อง: ข้อ ค. 3 เดือน
💡 Background:
การดูแลผู้ติดเชื้อ HIV เน้นเริ่ม Antiretroviral Therapy (ART) ทันทีเพื่อกด viral load ให้ undetectable (U=U) และฟื้นฟูระบบภูมิคุ้มกัน
🎯 ทำไมข้อนี้ถึงถูก:
3 เดือน การรักษา Tinea capitis ด้วยยากิน Griseofulvin ต้องใช้อย่างต่อเนื่องเป็นเวลานานเนื่องจากเชื้อราฝังลึกถึงรากผม โดยทั่วไปแนะนำอย่างน้อย 6-8 สัปดาห์ หรือประมาณ 2 เดือนขึ้นไป
🔍 ข้ออื่นผิดเพราะอะไร:
• ข้อ ก. (14 วัน): ข้อนี้ไม่ใช่คำตอบที่ถูกต้องสำหรับภาวะ HIV infection เนื่องจากกลไกการออกฤทธิ์, efficacy หรือข้อบ่งใช้ไม่ตรงกับโจทย์ที่กำหนด
• ข้อ ข. (2 เดือน): ข้อนี้ไม่ใช่คำตอบที่ถูกต้องสำหรับภาวะ HIV infection เนื่องจากกลไกการออกฤทธิ์, efficacy หรือข้อบ่งใช้ไม่ตรงกับโจทย์ที่กำหนด
• ข้อ ง. (4 เดือน): ข้อนี้ไม่ใช่คำตอบที่ถูกต้องสำหรับภาวะ HIV infection เนื่องจากกลไกการออกฤทธิ์, efficacy หรือข้อบ่งใช้ไม่ตรงกับโจทย์ที่กำหนด
• ข้อ จ. (5 เดือน):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9" s="2" t="n"/>
      <c r="L79" s="2" t="inlineStr">
        <is>
          <t>HIV infection</t>
        </is>
      </c>
      <c r="M79" s="2" t="inlineStr">
        <is>
          <t>Clinic</t>
        </is>
      </c>
      <c r="N79" s="2" t="inlineStr">
        <is>
          <t>ข้อ 5 Pharma Plus เล่มม่วง (เฉลยข้อ ค)</t>
        </is>
      </c>
      <c r="O79" s="2" t="inlineStr">
        <is>
          <t>Mock</t>
        </is>
      </c>
      <c r="P79" s="2" t="inlineStr">
        <is>
          <t>Pharma Plus เล่มม่วง</t>
        </is>
      </c>
    </row>
    <row r="80" ht="13.2" customHeight="1" s="37">
      <c r="A80" s="8" t="inlineStr">
        <is>
          <t>5</t>
        </is>
      </c>
      <c r="B80" s="2" t="inlineStr">
        <is>
          <t>Acyclovir ไม่มีข้อบ่งใช้ในโรคใดต่อไปนี้</t>
        </is>
      </c>
      <c r="C80" s="2" t="n"/>
      <c r="D80" s="2" t="inlineStr">
        <is>
          <t>HSV-1 และ 2</t>
        </is>
      </c>
      <c r="E80" s="2" t="inlineStr">
        <is>
          <t>CMV</t>
        </is>
      </c>
      <c r="F80" s="2" t="inlineStr">
        <is>
          <t>Varicella</t>
        </is>
      </c>
      <c r="G80" s="2" t="inlineStr">
        <is>
          <t>HPV</t>
        </is>
      </c>
      <c r="H80" s="2" t="inlineStr">
        <is>
          <t>HHV</t>
        </is>
      </c>
      <c r="I80" s="8" t="inlineStr">
        <is>
          <t>3</t>
        </is>
      </c>
      <c r="J80" s="2" t="inlineStr">
        <is>
          <t>✅ คำตอบที่ถูกต้อง: ข้อ ค. Varicella
💡 Background:
การดูแลผู้ติดเชื้อ HIV เน้นเริ่ม Antiretroviral Therapy (ART) ทันทีเพื่อกด viral load ให้ undetectable (U=U) และฟื้นฟูระบบภูมิคุ้มกัน
🎯 ทำไมข้อนี้ถึงถูก:
Varicella Acyclovir มีข้อบ่งใช้ในการรักษาการติดเชื้อไวรัสกลุ่ม Herpes simplex virus (HSV-1 และ HSV-2), Varicella-zoster virus (VZV) และ Human herpesvirus (HHV) บางชนิด แต่ไม่มีฤทธิ์ครอบคลุม Cytomegalovirus (CMV) ซึ่งต้องใช้ Ganciclovir หรือ Valganciclovir และไม่มีข้อบ่งใช้สำหรับ Human papillomavirus (HPV)
🔍 ข้ออื่นผิดเพราะอะไร:
• ข้อ ก. (HSV-1 และ 2): ข้อนี้ไม่ใช่คำตอบที่ถูกต้องสำหรับภาวะ HIV infection เนื่องจากกลไกการออกฤทธิ์, efficacy หรือข้อบ่งใช้ไม่ตรงกับโจทย์ที่กำหนด
• ข้อ ข. (CMV): ข้อนี้ไม่ใช่คำตอบที่ถูกต้องสำหรับภาวะ HIV infection เนื่องจากกลไกการออกฤทธิ์, efficacy หรือข้อบ่งใช้ไม่ตรงกับโจทย์ที่กำหนด
• ข้อ ง. (HPV): วัคซีนเอชพีวีป้องกันมะเร็งปากมดลูก แนะนำฉีดในเด็กอายุ 9-14 ปี (ให้ 2 เข็ม ห่างกัน 6 เดือน)
• ข้อ จ. (HHV):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0" s="2" t="n"/>
      <c r="L80" s="2" t="inlineStr">
        <is>
          <t>HIV infection</t>
        </is>
      </c>
      <c r="M80" s="2" t="inlineStr">
        <is>
          <t>Clinic</t>
        </is>
      </c>
      <c r="N80" s="2" t="inlineStr">
        <is>
          <t>ข้อ 5 Pharma Plus เล่มม่วง (เฉลยข้อ ค)</t>
        </is>
      </c>
      <c r="O80" s="2" t="inlineStr">
        <is>
          <t>Mock</t>
        </is>
      </c>
      <c r="P80" s="2" t="inlineStr">
        <is>
          <t>Pharma Plus เล่มม่วง</t>
        </is>
      </c>
    </row>
    <row r="81" ht="13.2" customHeight="1" s="37">
      <c r="A81" s="8" t="inlineStr">
        <is>
          <t>5</t>
        </is>
      </c>
      <c r="B81" s="2" t="inlineStr">
        <is>
          <t>ยาใดเป็นพิษต่อตับ</t>
        </is>
      </c>
      <c r="C81" s="2" t="n"/>
      <c r="D81" s="2" t="inlineStr">
        <is>
          <t>AZT</t>
        </is>
      </c>
      <c r="E81" s="2" t="inlineStr">
        <is>
          <t>Stavudine</t>
        </is>
      </c>
      <c r="F81" s="2" t="inlineStr">
        <is>
          <t>Nevirapine</t>
        </is>
      </c>
      <c r="G81" s="2" t="inlineStr">
        <is>
          <t>Lamivudine</t>
        </is>
      </c>
      <c r="H81" s="2" t="inlineStr">
        <is>
          <t>ไม่มีข้อใดถูก</t>
        </is>
      </c>
      <c r="I81" s="8" t="inlineStr">
        <is>
          <t>3</t>
        </is>
      </c>
      <c r="J81" s="2" t="inlineStr">
        <is>
          <t>✅ คำตอบที่ถูกต้อง: ข้อ ค. Nevirapine
💡 Background:
การดูแลผู้ติดเชื้อ HIV เน้นเริ่ม Antiretroviral Therapy (ART) ทันทีเพื่อกด viral load ให้ undetectable (U=U) และฟื้นฟูระบบภูมิคุ้มกัน
🎯 ทำไมข้อนี้ถึงถูก:
Nevirapine (NVP) เป็น NNRTIs ที่มีรายงานการเกิดพิษต่อตับอย่างรุนแรง (Severe hepatotoxicity) และผื่นแพ้ยาที่รุนแรง (SJS/TEN) ได้บ่อย โดยเฉพาะในผู้หญิงที่มี CD4 &gt; 250 cell/mm³ หรือผู้ชายที่มี CD4 &gt; 400 cell/mm³
🔍 ข้ออื่นผิดเพราะอะไร:
• ข้อ ก. (AZT): ข้อนี้ไม่ใช่คำตอบที่ถูกต้องสำหรับภาวะ HIV infection เนื่องจากกลไกการออกฤทธิ์, efficacy หรือข้อบ่งใช้ไม่ตรงกับโจทย์ที่กำหนด
• ข้อ ข. (Stavudine): ข้อนี้ไม่ใช่คำตอบที่ถูกต้องสำหรับภาวะ HIV infection เนื่องจากกลไกการออกฤทธิ์, efficacy หรือข้อบ่งใช้ไม่ตรงกับโจทย์ที่กำหนด
• ข้อ ง. (Lamivudine): ข้อนี้ไม่ใช่คำตอบที่ถูกต้องสำหรับภาวะ HIV infection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1" s="2" t="n"/>
      <c r="L81" s="2" t="inlineStr">
        <is>
          <t>HIV infection</t>
        </is>
      </c>
      <c r="M81" s="2" t="inlineStr">
        <is>
          <t>Clinic</t>
        </is>
      </c>
      <c r="N81" s="2" t="inlineStr">
        <is>
          <t>ข้อ 5 Pharma Plus เล่มม่วง (เฉลยข้อ ค)</t>
        </is>
      </c>
      <c r="O81" s="2" t="inlineStr">
        <is>
          <t>Mock</t>
        </is>
      </c>
      <c r="P81" s="2" t="inlineStr">
        <is>
          <t>Pharma Plus เล่มม่วง</t>
        </is>
      </c>
    </row>
    <row r="82" ht="13.2" customHeight="1" s="37">
      <c r="A82" s="8" t="inlineStr">
        <is>
          <t>5</t>
        </is>
      </c>
      <c r="B82" s="2"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ผู้ป่วยรายนี้ติดพยาธิอะไร</t>
        </is>
      </c>
      <c r="C82" s="2" t="n"/>
      <c r="D82" s="2" t="inlineStr">
        <is>
          <t>พยาธิตัวตืด</t>
        </is>
      </c>
      <c r="E82" s="2" t="inlineStr">
        <is>
          <t>พยาธิปากขอ</t>
        </is>
      </c>
      <c r="F82" s="2" t="inlineStr">
        <is>
          <t>พยาธิเส้นด้าย</t>
        </is>
      </c>
      <c r="G82" s="2" t="inlineStr">
        <is>
          <t>พยาธิใบไม้</t>
        </is>
      </c>
      <c r="H82" s="2" t="inlineStr">
        <is>
          <t>พยาธิเท้าช้าง</t>
        </is>
      </c>
      <c r="I82" s="8" t="inlineStr">
        <is>
          <t>3</t>
        </is>
      </c>
      <c r="J82" s="2" t="inlineStr">
        <is>
          <t>✅ คำตอบที่ถูกต้อง: ข้อ ค. พยาธิเส้นด้าย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พยาธิเส้นด้าย รอยโรคผิวหนังเป็นทางนูนแดงคดเคี้ยวและคันมาก (creeping eruption) เกิดจากการติดเชื้อตัวอ่อนพยาธิปากขอของสุนัขหรือแมว (เช่น Ancylostoma braziliense) ที่ไชผ่านผิวหนัง เรียกว่า Cutaneous Larva Migrans (CLM)
🔍 ข้ออื่นผิดเพราะอะไร:
• ข้อ ก. (พยาธิตัวตืด): ข้อนี้ไม่ใช่คำตอบที่ถูกต้องสำหรับภาวะ Parasitic infections เนื่องจากกลไกการออกฤทธิ์, efficacy หรือข้อบ่งใช้ไม่ตรงกับโจทย์ที่กำหนด
• ข้อ ข. (พยาธิปากขอ): ข้อนี้ไม่ใช่คำตอบที่ถูกต้องสำหรับภาวะ Parasitic infections เนื่องจากกลไกการออกฤทธิ์, efficacy หรือข้อบ่งใช้ไม่ตรงกับโจทย์ที่กำหนด
• ข้อ ง. (พยาธิใบไม้): ข้อนี้ไม่ใช่คำตอบที่ถูกต้องสำหรับภาวะ Parasitic infections เนื่องจากกลไกการออกฤทธิ์, efficacy หรือข้อบ่งใช้ไม่ตรงกับโจทย์ที่กำหนด
• ข้อ จ. (พยาธิเท้าช้าง):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2" s="2" t="n"/>
      <c r="L82" s="2" t="inlineStr">
        <is>
          <t>Parasitic infections</t>
        </is>
      </c>
      <c r="M82" s="2" t="inlineStr">
        <is>
          <t>Clinic</t>
        </is>
      </c>
      <c r="N82" s="2" t="inlineStr">
        <is>
          <t>ข้อ 5 Pharma Plus เล่มม่วง (เฉลยข้อ ค)</t>
        </is>
      </c>
      <c r="O82" s="2" t="inlineStr">
        <is>
          <t>Mock</t>
        </is>
      </c>
      <c r="P82" s="2" t="inlineStr">
        <is>
          <t>Pharma Plus เล่มม่วง</t>
        </is>
      </c>
    </row>
    <row r="83" ht="13.2" customHeight="1" s="37">
      <c r="A83" s="8" t="inlineStr">
        <is>
          <t>6</t>
        </is>
      </c>
      <c r="B83" s="2" t="inlineStr">
        <is>
          <t>ยา chloramphenicol มีกลไกการออกฤทธิ์เป็นอย่างไร</t>
        </is>
      </c>
      <c r="C83" s="2" t="n"/>
      <c r="D83" s="2" t="inlineStr">
        <is>
          <t>ขัดขวางการสร้างผนังเซลล์</t>
        </is>
      </c>
      <c r="E83" s="2" t="inlineStr">
        <is>
          <t>ขัดขวางการสร้างผนังหุ้มเซลล์</t>
        </is>
      </c>
      <c r="F83" s="2" t="inlineStr">
        <is>
          <t>ขัดขวางการสร้าง folic acid</t>
        </is>
      </c>
      <c r="G83" s="2" t="inlineStr">
        <is>
          <t>ขัดขวางการสังเคราะห์ nucleic acid</t>
        </is>
      </c>
      <c r="H83" s="2" t="inlineStr">
        <is>
          <t>ขัดขวางการสังเคราะห์ polypeptide</t>
        </is>
      </c>
      <c r="I83" s="8" t="inlineStr">
        <is>
          <t>3</t>
        </is>
      </c>
      <c r="J83" s="2"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Chloramphenicol ออกฤทธิ์โดยจับกับหน่วยย่อย 50S ของไรโบโซมแบคทีเรีย ยับยั้งเอนไซม์ peptidyl transferase ทำให้ไม่สามารถสร้างพันธะ peptide ได้ ขัดขวางการสังเคราะห์โปรตีนหรือ polypeptide (ในตัวเลือกข้อ 4 ของภาพอาจซ้ำซ้อนหรือพิมพ์ผิด แต่นิยามหลักคือยับยั้งการสร้างโปรตีน/polypeptide chain)
🔍 ข้ออื่นผิดเพราะอะไร:
• ข้อ ก. (ขัดขวางการสร้างผนังเซลล์): ข้อนี้ไม่ใช่คำตอบที่ถูกต้องสำหรับภาวะ HIV infection เนื่องจากกลไกการออกฤทธิ์, efficacy หรือข้อบ่งใช้ไม่ตรงกับโจทย์ที่กำหนด
• ข้อ ข. (ขัดขวางการสร้างผนังหุ้มเซลล์): ข้อนี้ไม่ใช่คำตอบที่ถูกต้องสำหรับภาวะ HIV infection เนื่องจากกลไกการออกฤทธิ์, efficacy หรือข้อบ่งใช้ไม่ตรงกับโจทย์ที่กำหนด
• ข้อ ง. (ขัดขวางการสังเคราะห์ nucleic acid): ข้อนี้ไม่ใช่คำตอบที่ถูกต้องสำหรับภาวะ HIV infection เนื่องจากกลไกการออกฤทธิ์, efficacy หรือข้อบ่งใช้ไม่ตรงกับโจทย์ที่กำหนด
• ข้อ จ. (ขัดขวางการสังเคราะห์ polypeptide):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3" s="2" t="n"/>
      <c r="L83" s="2" t="inlineStr">
        <is>
          <t>HIV infection</t>
        </is>
      </c>
      <c r="M83" s="2" t="inlineStr">
        <is>
          <t>Clinic</t>
        </is>
      </c>
      <c r="N83" s="2" t="inlineStr">
        <is>
          <t>ข้อ 6 Pharma Plus เล่มม่วง (เฉลยข้อ ค)</t>
        </is>
      </c>
      <c r="O83" s="2" t="inlineStr">
        <is>
          <t>Mock</t>
        </is>
      </c>
      <c r="P83" s="2" t="inlineStr">
        <is>
          <t>Pharma Plus เล่มม่วง</t>
        </is>
      </c>
    </row>
    <row r="84" ht="13.2" customHeight="1" s="37">
      <c r="A84" s="8" t="inlineStr">
        <is>
          <t>6</t>
        </is>
      </c>
      <c r="B84" s="2" t="inlineStr">
        <is>
          <t>ผู้ป่วยชายอายุ 19 ปีพบเภสัชกรที่ร้านขายยามาด้วยอาการเป็นผื่นหลายวงบริเวณหนังศีรษะลักษณะผื่นผื่นนูนแดงมีสะเก็ดคัน
ถ้าต้องการใช้สมุนไพรในการรักษาอาการดังกล่าวสมุนไพรที่เลือกใช้คือ</t>
        </is>
      </c>
      <c r="C84" s="2" t="n"/>
      <c r="D84" s="2" t="inlineStr">
        <is>
          <t>พญายอ</t>
        </is>
      </c>
      <c r="E84" s="2" t="inlineStr">
        <is>
          <t>ทองพันชั่ง</t>
        </is>
      </c>
      <c r="F84" s="2" t="inlineStr">
        <is>
          <t>มะแว้งต้น</t>
        </is>
      </c>
      <c r="G84" s="2" t="inlineStr">
        <is>
          <t>ไพล</t>
        </is>
      </c>
      <c r="H84" s="2" t="inlineStr">
        <is>
          <t>ขมิ้น</t>
        </is>
      </c>
      <c r="I84" s="8" t="inlineStr">
        <is>
          <t>3</t>
        </is>
      </c>
      <c r="J84" s="2" t="inlineStr">
        <is>
          <t>✅ คำตอบที่ถูกต้อง: ข้อ ค. มะแว้งต้น
💡 Background:
การดูแลผู้ติดเชื้อ HIV เน้นเริ่ม Antiretroviral Therapy (ART) ทันทีเพื่อกด viral load ให้ undetectable (U=U) และฟื้นฟูระบบภูมิคุ้มกัน
🎯 ทำไมข้อนี้ถึงถูก:
มะแว้งต้น สมุนไพรที่มีสรรพคุณเด่นในการรักษาโรคกลากเกลื้อนและเชื้อราผิวหนังตามตำรับยาไทยคือ 'ทองพันชั่ง' (Rhinacanthus nasutus) ซึ่งมีสาร Rhinacanthin ออกฤทธิ์ต้านเชื้อรา
🔍 ข้ออื่นผิดเพราะอะไร:
• ข้อ ก. (พญายอ): ข้อนี้ไม่ใช่คำตอบที่ถูกต้องสำหรับภาวะ HIV infection เนื่องจากกลไกการออกฤทธิ์, efficacy หรือข้อบ่งใช้ไม่ตรงกับโจทย์ที่กำหนด
• ข้อ ข. (ทองพันชั่ง): ข้อนี้ไม่ใช่คำตอบที่ถูกต้องสำหรับภาวะ HIV infection เนื่องจากกลไกการออกฤทธิ์, efficacy หรือข้อบ่งใช้ไม่ตรงกับโจทย์ที่กำหนด
• ข้อ ง. (ไพล): ข้อนี้ไม่ใช่คำตอบที่ถูกต้องสำหรับภาวะ HIV infection เนื่องจากกลไกการออกฤทธิ์, efficacy หรือข้อบ่งใช้ไม่ตรงกับโจทย์ที่กำหนด
• ข้อ จ. (ขมิ้น):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4" s="2" t="n"/>
      <c r="L84" s="2" t="inlineStr">
        <is>
          <t>HIV infection</t>
        </is>
      </c>
      <c r="M84" s="2" t="inlineStr">
        <is>
          <t>Clinic</t>
        </is>
      </c>
      <c r="N84" s="2" t="inlineStr">
        <is>
          <t>ข้อ 6 Pharma Plus เล่มม่วง (เฉลยข้อ ค)</t>
        </is>
      </c>
      <c r="O84" s="2" t="inlineStr">
        <is>
          <t>Mock</t>
        </is>
      </c>
      <c r="P84" s="2" t="inlineStr">
        <is>
          <t>Pharma Plus เล่มม่วง</t>
        </is>
      </c>
    </row>
    <row r="85" ht="13.2" customHeight="1" s="37">
      <c r="A85" s="8" t="inlineStr">
        <is>
          <t>6</t>
        </is>
      </c>
      <c r="B85" s="2" t="inlineStr">
        <is>
          <t>ยาในข้อใดต่อไปนี้สามารถเข้าสู่ vitreous humor ได้ดี ทำให้มีประสิทธิภาพสูงในการรักษา cytomegalovirus retinitis</t>
        </is>
      </c>
      <c r="C85" s="2" t="n"/>
      <c r="D85" s="2" t="inlineStr">
        <is>
          <t>Acyclovir</t>
        </is>
      </c>
      <c r="E85" s="2" t="inlineStr">
        <is>
          <t>Ganciclovir</t>
        </is>
      </c>
      <c r="F85" s="2" t="inlineStr">
        <is>
          <t>Valacyclovir</t>
        </is>
      </c>
      <c r="G85" s="2" t="inlineStr">
        <is>
          <t>Pencyclovir</t>
        </is>
      </c>
      <c r="H85" s="2" t="inlineStr">
        <is>
          <t>Famciclovir</t>
        </is>
      </c>
      <c r="I85" s="8" t="inlineStr">
        <is>
          <t>3</t>
        </is>
      </c>
      <c r="J85" s="2" t="inlineStr">
        <is>
          <t>✅ คำตอบที่ถูกต้อง: ข้อ ค. Valacyclovir
💡 Background:
การดูแลผู้ติดเชื้อ HIV เน้นเริ่ม Antiretroviral Therapy (ART) ทันทีเพื่อกด viral load ให้ undetectable (U=U) และฟื้นฟูระบบภูมิคุ้มกัน
🎯 ทำไมข้อนี้ถึงถูก:
Valacyclovir Ganciclovir เป็นยาหลักในการรักษา Cytomegalovirus (CMV) retinitis โดยสามารถซึมผ่านเข้าสู่ vitreous humor และจอประสาทตาได้ดีเพื่อยับยั้งไวรัส CMV ต่างจาก Acyclovir ที่ไม่มีฤทธิ์ต่อต้าน CMV และยาอื่น ๆ ที่มีการศึกษาหรือข้อบ่งใช้จำกัดกว่าในการรักษา CMV retinitis
🔍 ข้ออื่นผิดเพราะอะไร:
• ข้อ ก. (Acyclovir): เป็น Guanosine analog ยับยั้ง HSV และ VZV polymerase ต้องดื่มน้ำมากๆ ระหว่างได้ยา IV เพื่อป้องกัน crystal nephropathy และ obstructive AKI
• ข้อ ข. (Ganciclovir): ข้อนี้ไม่ใช่คำตอบที่ถูกต้องสำหรับภาวะ HIV infection เนื่องจากกลไกการออกฤทธิ์, efficacy หรือข้อบ่งใช้ไม่ตรงกับโจทย์ที่กำหนด
• ข้อ ง. (Pencyclovir): ข้อนี้ไม่ใช่คำตอบที่ถูกต้องสำหรับภาวะ HIV infection เนื่องจากกลไกการออกฤทธิ์, efficacy หรือข้อบ่งใช้ไม่ตรงกับโจทย์ที่กำหนด
• ข้อ จ. (Famciclovir):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5" s="2" t="n"/>
      <c r="L85" s="2" t="inlineStr">
        <is>
          <t>HIV infection</t>
        </is>
      </c>
      <c r="M85" s="2" t="inlineStr">
        <is>
          <t>Clinic</t>
        </is>
      </c>
      <c r="N85" s="2" t="inlineStr">
        <is>
          <t>ข้อ 6 Pharma Plus เล่มม่วง (เฉลยข้อ ค)</t>
        </is>
      </c>
      <c r="O85" s="2" t="inlineStr">
        <is>
          <t>Mock</t>
        </is>
      </c>
      <c r="P85" s="2" t="inlineStr">
        <is>
          <t>Pharma Plus เล่มม่วง</t>
        </is>
      </c>
    </row>
    <row r="86" ht="13.2" customHeight="1" s="37">
      <c r="A86" s="8" t="inlineStr">
        <is>
          <t>6</t>
        </is>
      </c>
      <c r="B86" s="2" t="inlineStr">
        <is>
          <t>เอนไซม์ในข้อใดต่อไปนี้ ที่มีบทบาทสำคัญในการเปลี่ยนแปลงให้ยา AZT อยู่ในรูป active form</t>
        </is>
      </c>
      <c r="C86" s="2" t="n"/>
      <c r="D86" s="2" t="inlineStr">
        <is>
          <t>Reverse transcriptase</t>
        </is>
      </c>
      <c r="E86" s="2" t="inlineStr">
        <is>
          <t>Hydroxylase</t>
        </is>
      </c>
      <c r="F86" s="2" t="inlineStr">
        <is>
          <t>Phosphodiesterase</t>
        </is>
      </c>
      <c r="G86" s="2" t="inlineStr">
        <is>
          <t>Kinase</t>
        </is>
      </c>
      <c r="H86" s="2" t="inlineStr">
        <is>
          <t>DNA polymerase</t>
        </is>
      </c>
      <c r="I86" s="8" t="inlineStr">
        <is>
          <t>3</t>
        </is>
      </c>
      <c r="J86" s="2" t="inlineStr">
        <is>
          <t>✅ คำตอบที่ถูกต้อง: ข้อ ค. Phosphodiesterase
💡 Background:
การดูแลผู้ติดเชื้อ HIV เน้นเริ่ม Antiretroviral Therapy (ART) ทันทีเพื่อกด viral load ให้ undetectable (U=U) และฟื้นฟูระบบภูมิคุ้มกัน
🎯 ทำไมข้อนี้ถึงถูก:
Phosphodiesterase NRTIs เช่น AZT (Zidovudine) เป็น Prodrug จำเป็นต้องอาศัย Host cell kinase (เช่น Thymidine kinase) เติมหมู่ฟอสเฟต 3 ครั้ง (Phosphorylation) ให้กลายเป็น Active triphosphate form (Zidovudine triphosphate) จึงจะสามารถออกฤทธิ์ยับยั้งเอนไซม์ Reverse transcriptase ได้
🔍 ข้ออื่นผิดเพราะอะไร:
• ข้อ ก. (Reverse transcriptase): ข้อนี้ไม่ใช่คำตอบที่ถูกต้องสำหรับภาวะ HIV infection เนื่องจากกลไกการออกฤทธิ์, efficacy หรือข้อบ่งใช้ไม่ตรงกับโจทย์ที่กำหนด
• ข้อ ข. (Hydroxylase): ข้อนี้ไม่ใช่คำตอบที่ถูกต้องสำหรับภาวะ HIV infection เนื่องจากกลไกการออกฤทธิ์, efficacy หรือข้อบ่งใช้ไม่ตรงกับโจทย์ที่กำหนด
• ข้อ ง. (Kinase): ข้อนี้ไม่ใช่คำตอบที่ถูกต้องสำหรับภาวะ HIV infection เนื่องจากกลไกการออกฤทธิ์, efficacy หรือข้อบ่งใช้ไม่ตรงกับโจทย์ที่กำหนด
• ข้อ จ. (DNA polymerase):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6" s="2" t="n"/>
      <c r="L86" s="2" t="inlineStr">
        <is>
          <t>HIV infection</t>
        </is>
      </c>
      <c r="M86" s="2" t="inlineStr">
        <is>
          <t>Clinic</t>
        </is>
      </c>
      <c r="N86" s="2" t="inlineStr">
        <is>
          <t>ข้อ 6 Pharma Plus เล่มม่วง (เฉลยข้อ ค)</t>
        </is>
      </c>
      <c r="O86" s="2" t="inlineStr">
        <is>
          <t>Mock</t>
        </is>
      </c>
      <c r="P86" s="2" t="inlineStr">
        <is>
          <t>Pharma Plus เล่มม่วง</t>
        </is>
      </c>
    </row>
    <row r="87" ht="13.2" customHeight="1" s="37">
      <c r="A87" s="8" t="inlineStr">
        <is>
          <t>6</t>
        </is>
      </c>
      <c r="B87" s="2"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ท่านจะจ่ายยาในข้อใด</t>
        </is>
      </c>
      <c r="C87" s="2" t="n"/>
      <c r="D87" s="2" t="inlineStr">
        <is>
          <t>Praziquantel 5-25 mg/kg/day po once</t>
        </is>
      </c>
      <c r="E87" s="2" t="inlineStr">
        <is>
          <t>Niclosamide 2 q single dose</t>
        </is>
      </c>
      <c r="F87" s="2" t="inlineStr">
        <is>
          <t>Albendazole 400 mg single dose</t>
        </is>
      </c>
      <c r="G87" s="2" t="inlineStr">
        <is>
          <t>Mebendazole 500 mg single dose</t>
        </is>
      </c>
      <c r="H87" s="2" t="inlineStr">
        <is>
          <t>ได้ทั้งข้อ ค และ ข้อ ง</t>
        </is>
      </c>
      <c r="I87" s="8" t="inlineStr">
        <is>
          <t>3</t>
        </is>
      </c>
      <c r="J87" s="2"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 Cutaneous Larva Migrans (CLM) นิ้วใช้ยาในกลุ่ม Benzimidazoles ได้แก่ Albendazole (เช่น 400 mg วันละครั้ง นาน 3 วัน) หรือ Ivermectin โดย Albendazole มี efficacy สูงในการรักษา
🔍 ข้ออื่นผิดเพราะอะไร:
• ข้อ ก. (Praziquantel 5-25 mg/kg/day po once): ข้อนี้ไม่ใช่คำตอบที่ถูกต้องสำหรับภาวะ Parasitic infections เนื่องจากกลไกการออกฤทธิ์, efficacy หรือข้อบ่งใช้ไม่ตรงกับโจทย์ที่กำหนด
• ข้อ ข. (Niclosamide 2 q single dose): ข้อนี้ไม่ใช่คำตอบที่ถูกต้องสำหรับภาวะ Parasitic infections เนื่องจากกลไกการออกฤทธิ์, efficacy หรือข้อบ่งใช้ไม่ตรงกับโจทย์ที่กำหนด
• ข้อ ง. (Mebendazole 500 mg single dose): ข้อนี้ไม่ใช่คำตอบที่ถูกต้องสำหรับภาวะ Parasitic infections เนื่องจากกลไกการออกฤทธิ์, efficacy หรือข้อบ่งใช้ไม่ตรงกับโจทย์ที่กำหนด
• ข้อ จ. (ได้ทั้งข้อ ค และ ข้อ ง):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2" t="n"/>
      <c r="L87" s="2" t="inlineStr">
        <is>
          <t>Parasitic infections</t>
        </is>
      </c>
      <c r="M87" s="2" t="inlineStr">
        <is>
          <t>Clinic</t>
        </is>
      </c>
      <c r="N87" s="2" t="inlineStr">
        <is>
          <t>ข้อ 6 Pharma Plus เล่มม่วง (เฉลยข้อ ค)</t>
        </is>
      </c>
      <c r="O87" s="2" t="inlineStr">
        <is>
          <t>Mock</t>
        </is>
      </c>
      <c r="P87" s="2" t="inlineStr">
        <is>
          <t>Pharma Plus เล่มม่วง</t>
        </is>
      </c>
    </row>
    <row r="88" ht="13.2" customHeight="1" s="37">
      <c r="A88" s="8" t="inlineStr">
        <is>
          <t>7</t>
        </is>
      </c>
      <c r="B88" s="2" t="inlineStr">
        <is>
          <t>ยา sulfonamides มีกลไกการออกฤทธิ์เป็นอย่างไร</t>
        </is>
      </c>
      <c r="C88" s="2" t="n"/>
      <c r="D88" s="2" t="inlineStr">
        <is>
          <t>ขัดขวางการสร้างผนังเซลล์</t>
        </is>
      </c>
      <c r="E88" s="2" t="inlineStr">
        <is>
          <t>ขัดขวางการสร้างผนังหุ้มเซลล์</t>
        </is>
      </c>
      <c r="F88" s="2" t="inlineStr">
        <is>
          <t>ขัดขวางการสร้าง folic acid</t>
        </is>
      </c>
      <c r="G88" s="2" t="inlineStr">
        <is>
          <t>ขัดขวางการสังเคราะห์ nucleic acid</t>
        </is>
      </c>
      <c r="H88" s="2" t="inlineStr">
        <is>
          <t>ขัดขวางการสังเคราะห์ polypeptide</t>
        </is>
      </c>
      <c r="I88" s="8" t="inlineStr">
        <is>
          <t>2</t>
        </is>
      </c>
      <c r="J88" s="2" t="inlineStr">
        <is>
          <t>✅ คำตอบที่ถูกต้อง: ข้อ ข. ขัดขวางการสร้างผนังหุ้มเซลล์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ขัดขวางการสร้างผนังหุ้มเซลล์ Sulfonamides ออกฤทธิ์ยับยั้งเอนไซม์ dihydropteroate synthase ซึ่งเป็นขั้นตอนสำคัญในการสังเคราะห์กรดโฟลิก (folic acid) ของแบคทีเรีย ทำให้แบคทีเรียไม่สามารถเจริญเติบโตและแบ่งตัวได้
🔍 ข้ออื่นผิดเพราะอะไร:
• ข้อ ก. (ขัดขวางการสร้างผนังเซลล์): ข้อนี้ไม่ใช่คำตอบที่ถูกต้องสำหรับภาวะ HIV infection เนื่องจากกลไกการออกฤทธิ์, efficacy หรือข้อบ่งใช้ไม่ตรงกับโจทย์ที่กำหนด
• ข้อ ค. (ขัดขวางการสร้าง folic acid): ข้อนี้ไม่ใช่คำตอบที่ถูกต้องสำหรับภาวะ HIV infection เนื่องจากกลไกการออกฤทธิ์, efficacy หรือข้อบ่งใช้ไม่ตรงกับโจทย์ที่กำหนด
• ข้อ ง. (ขัดขวางการสังเคราะห์ nucleic acid): ข้อนี้ไม่ใช่คำตอบที่ถูกต้องสำหรับภาวะ HIV infection เนื่องจากกลไกการออกฤทธิ์, efficacy หรือข้อบ่งใช้ไม่ตรงกับโจทย์ที่กำหนด
• ข้อ จ. (ขัดขวางการสังเคราะห์ polypeptide):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8" s="2" t="n"/>
      <c r="L88" s="2" t="inlineStr">
        <is>
          <t>HIV infection</t>
        </is>
      </c>
      <c r="M88" s="2" t="inlineStr">
        <is>
          <t>Clinic</t>
        </is>
      </c>
      <c r="N88" s="2" t="inlineStr">
        <is>
          <t>ข้อ 7 Pharma Plus เล่มม่วง (เฉลยข้อ ข)</t>
        </is>
      </c>
      <c r="O88" s="2" t="inlineStr">
        <is>
          <t>Mock</t>
        </is>
      </c>
      <c r="P88" s="2" t="inlineStr">
        <is>
          <t>Pharma Plus เล่มม่วง</t>
        </is>
      </c>
    </row>
    <row r="89" ht="13.2" customHeight="1" s="37">
      <c r="A89" s="8" t="inlineStr">
        <is>
          <t>7</t>
        </is>
      </c>
      <c r="B89" s="2"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โรคใดเกี่ยวข้องกับอาการแสดงดังกล่าวมากที่สุด</t>
        </is>
      </c>
      <c r="C89" s="2" t="n"/>
      <c r="D89" s="2" t="inlineStr">
        <is>
          <t>Valvovaginal candidiasis</t>
        </is>
      </c>
      <c r="E89" s="2" t="inlineStr">
        <is>
          <t>Gonorrhoea</t>
        </is>
      </c>
      <c r="F89" s="2" t="inlineStr">
        <is>
          <t>Non gonococcalurethritis</t>
        </is>
      </c>
      <c r="G89" s="2" t="inlineStr">
        <is>
          <t>Trichomoniasis</t>
        </is>
      </c>
      <c r="H89" s="2" t="inlineStr">
        <is>
          <t>Bacterial cystitis</t>
        </is>
      </c>
      <c r="I89" s="8" t="inlineStr">
        <is>
          <t>2</t>
        </is>
      </c>
      <c r="J89" s="2" t="inlineStr">
        <is>
          <t>✅ คำตอบที่ถูกต้อง: ข้อ ข. Gonorrhoea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Gonorrhoea อาการคันในช่องคลอดร่วมกับมีตกขาวจำนวนมาก (มักมีลักษณะขาวข้นคล้ายแป้งเปียกหรือนมโค) เป็นอาการจำเพาะของโรคติดเชื้อราแคนดิดาในช่องคลอด (Vulvovaginal candidiasis) ซึ่งปัจจัยเสี่ยงในผู้ป่วยรายนี้ ได้แก่ การใช้ยาเม็ดคุมกำเนิดและการสวนล้างช่องคลอดที่ทำให้สมดุลของช่องคลอดเปลี่ยนไป
🔍 ข้ออื่นผิดเพราะอะไร:
• ข้อ ก. (Valvovaginal candidiasis): ข้อนี้ไม่ใช่คำตอบที่ถูกต้องสำหรับภาวะ STDs &amp; vaginitis เนื่องจากกลไกการออกฤทธิ์, efficacy หรือข้อบ่งใช้ไม่ตรงกับโจทย์ที่กำหนด
• ข้อ ค. (Non gonococcalurethritis): ข้อนี้ไม่ใช่คำตอบที่ถูกต้องสำหรับภาวะ STDs &amp; vaginitis เนื่องจากกลไกการออกฤทธิ์, efficacy หรือข้อบ่งใช้ไม่ตรงกับโจทย์ที่กำหนด
• ข้อ ง. (Trichomoniasis): ข้อนี้ไม่ใช่คำตอบที่ถูกต้องสำหรับภาวะ STDs &amp; vaginitis เนื่องจากกลไกการออกฤทธิ์, efficacy หรือข้อบ่งใช้ไม่ตรงกับโจทย์ที่กำหนด
• ข้อ จ. (Bacterial cystitis): ข้อนี้ไม่ใช่คำตอบที่ถูกต้องสำหรับภาวะ STDs &amp; vaginitis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2" t="n"/>
      <c r="L89" s="2" t="inlineStr">
        <is>
          <t>STDs &amp; vaginitis</t>
        </is>
      </c>
      <c r="M89" s="2" t="inlineStr">
        <is>
          <t>Clinic</t>
        </is>
      </c>
      <c r="N89" s="2" t="inlineStr">
        <is>
          <t>ข้อ 7 Pharma Plus เล่มม่วง (เฉลยข้อ ข)</t>
        </is>
      </c>
      <c r="O89" s="2" t="inlineStr">
        <is>
          <t>Mock</t>
        </is>
      </c>
      <c r="P89" s="2" t="inlineStr">
        <is>
          <t>Pharma Plus เล่มม่วง</t>
        </is>
      </c>
    </row>
    <row r="90" ht="13.2" customHeight="1" s="37">
      <c r="A90" s="8" t="inlineStr">
        <is>
          <t>7</t>
        </is>
      </c>
      <c r="B90" s="2" t="inlineStr">
        <is>
          <t>สมุนไพรในข้อใดที่อาจรักษาโรคเริมและงูสวัดได้</t>
        </is>
      </c>
      <c r="C90" s="2" t="n"/>
      <c r="D90" s="2" t="inlineStr">
        <is>
          <t>ยาแคปซูลสกัดใบฟ้าทะลายโจร</t>
        </is>
      </c>
      <c r="E90" s="2" t="inlineStr">
        <is>
          <t>ใบชุมเห็ดเทศ</t>
        </is>
      </c>
      <c r="F90" s="2" t="inlineStr">
        <is>
          <t>แคปซูลผงขมิ้นชัน</t>
        </is>
      </c>
      <c r="G90" s="2" t="inlineStr">
        <is>
          <t>ครีมสกัดจากใบพญายอ</t>
        </is>
      </c>
      <c r="H90" s="2" t="inlineStr">
        <is>
          <t>ตะไคร้หอม</t>
        </is>
      </c>
      <c r="I90" s="8" t="inlineStr">
        <is>
          <t>2</t>
        </is>
      </c>
      <c r="J90" s="2" t="inlineStr">
        <is>
          <t>✅ คำตอบที่ถูกต้อง: ข้อ ข. ใบชุมเห็ดเทศ
💡 Background:
การดูแลผู้ติดเชื้อ HIV เน้นเริ่ม Antiretroviral Therapy (ART) ทันทีเพื่อกด viral load ให้ undetectable (U=U) และฟื้นฟูระบบภูมิคุ้มกัน
🎯 ทำไมข้อนี้ถึงถูก:
ใบชุมเห็ดเทศ ใบพญายอ (Clinacanthus nutans) มีการศึกษาวิจัยและถูกบรรจุในบัญชียาหลักแห่งชาติ (ด้านยาสมุนไพร) ในรูปแบบครีมสำหรับทาเพื่อรักษาอาการโรคเริมและงูสวัด โดยมีฤทธิ์ต้านไวรัสและลดการอักเสบ
🔍 ข้ออื่นผิดเพราะอะไร:
• ข้อ ก. (ยาแคปซูลสกัดใบฟ้าทะลายโจร): ข้อนี้ไม่ใช่คำตอบที่ถูกต้องสำหรับภาวะ HIV infection เนื่องจากกลไกการออกฤทธิ์, efficacy หรือข้อบ่งใช้ไม่ตรงกับโจทย์ที่กำหนด
• ข้อ ค. (แคปซูลผงขมิ้นชัน): ข้อนี้ไม่ใช่คำตอบที่ถูกต้องสำหรับภาวะ HIV infection เนื่องจากกลไกการออกฤทธิ์, efficacy หรือข้อบ่งใช้ไม่ตรงกับโจทย์ที่กำหนด
• ข้อ ง. (ครีมสกัดจากใบพญายอ): ข้อนี้ไม่ใช่คำตอบที่ถูกต้องสำหรับภาวะ HIV infection เนื่องจากกลไกการออกฤทธิ์, efficacy หรือข้อบ่งใช้ไม่ตรงกับโจทย์ที่กำหนด
• ข้อ จ. (ตะไคร้หอม):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0" s="2" t="n"/>
      <c r="L90" s="2" t="inlineStr">
        <is>
          <t>HIV infection</t>
        </is>
      </c>
      <c r="M90" s="2" t="inlineStr">
        <is>
          <t>Clinic</t>
        </is>
      </c>
      <c r="N90" s="2" t="inlineStr">
        <is>
          <t>ข้อ 7 Pharma Plus เล่มม่วง (เฉลยข้อ ข)</t>
        </is>
      </c>
      <c r="O90" s="2" t="inlineStr">
        <is>
          <t>Mock</t>
        </is>
      </c>
      <c r="P90" s="2" t="inlineStr">
        <is>
          <t>Pharma Plus เล่มม่วง</t>
        </is>
      </c>
    </row>
    <row r="91" ht="13.2" customHeight="1" s="37">
      <c r="A91" s="8" t="inlineStr">
        <is>
          <t>7</t>
        </is>
      </c>
      <c r="B91" s="2"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ผู้ป่วยรายนี้ป่วยเป็นโรคติดเชื้อ HIV จัดอยู่ในขั้นใด</t>
        </is>
      </c>
      <c r="C91" s="2" t="n"/>
      <c r="D91" s="2" t="inlineStr">
        <is>
          <t>Acute HIV infection</t>
        </is>
      </c>
      <c r="E91" s="2" t="inlineStr">
        <is>
          <t>Asymptomatic HIV infection</t>
        </is>
      </c>
      <c r="F91" s="2" t="inlineStr">
        <is>
          <t>Clinical latency</t>
        </is>
      </c>
      <c r="G91" s="2" t="inlineStr">
        <is>
          <t>Primary HIV infection</t>
        </is>
      </c>
      <c r="H91" s="2" t="inlineStr">
        <is>
          <t>AIDS</t>
        </is>
      </c>
      <c r="I91" s="8" t="inlineStr">
        <is>
          <t>2</t>
        </is>
      </c>
      <c r="J91" s="2" t="inlineStr">
        <is>
          <t>✅ คำตอบที่ถูกต้อง: ข้อ ข. Asymptomatic HIV infection
💡 Background:
การดูแลผู้ติดเชื้อ HIV เน้นเริ่ม Antiretroviral Therapy (ART) ทันทีเพื่อกด viral load ให้ undetectable (U=U) และฟื้นฟูระบบภูมิคุ้มกัน
🎯 ทำไมข้อนี้ถึงถูก:
Asymptomatic HIV infection ผู้ป่วยติดเชื้อ HIV มีค่า CD4
🔍 ข้ออื่นผิดเพราะอะไร:
• ข้อ ก. (Acute HIV infection): ข้อนี้ไม่ใช่คำตอบที่ถูกต้องสำหรับภาวะ HIV infection เนื่องจากกลไกการออกฤทธิ์, efficacy หรือข้อบ่งใช้ไม่ตรงกับโจทย์ที่กำหนด
• ข้อ ค. (Clinical latency): ข้อนี้ไม่ใช่คำตอบที่ถูกต้องสำหรับภาวะ HIV infection เนื่องจากกลไกการออกฤทธิ์, efficacy หรือข้อบ่งใช้ไม่ตรงกับโจทย์ที่กำหนด
• ข้อ ง. (Primary HIV infection): ข้อนี้ไม่ใช่คำตอบที่ถูกต้องสำหรับภาวะ HIV infection เนื่องจากกลไกการออกฤทธิ์, efficacy หรือข้อบ่งใช้ไม่ตรงกับโจทย์ที่กำหนด
• ข้อ จ. (AIDS):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1" s="2" t="n"/>
      <c r="L91" s="2" t="inlineStr">
        <is>
          <t>HIV infection</t>
        </is>
      </c>
      <c r="M91" s="2" t="inlineStr">
        <is>
          <t>Clinic</t>
        </is>
      </c>
      <c r="N91" s="2" t="inlineStr">
        <is>
          <t>ข้อ 7 Pharma Plus เล่มม่วง (เฉลยข้อ ข)</t>
        </is>
      </c>
      <c r="O91" s="2" t="inlineStr">
        <is>
          <t>Mock</t>
        </is>
      </c>
      <c r="P91" s="2" t="inlineStr">
        <is>
          <t>Pharma Plus เล่มม่วง</t>
        </is>
      </c>
    </row>
    <row r="92" ht="13.2" customHeight="1" s="37">
      <c r="A92" s="8" t="inlineStr">
        <is>
          <t>7</t>
        </is>
      </c>
      <c r="B92" s="2" t="inlineStr">
        <is>
          <t>ข้อใดไม่ใช่ผลจากการติดเชื้อพยาธิปากขอ</t>
        </is>
      </c>
      <c r="C92" s="2" t="n"/>
      <c r="D92" s="2" t="inlineStr">
        <is>
          <t>แพ้ ผื่นคัน</t>
        </is>
      </c>
      <c r="E92" s="2" t="inlineStr">
        <is>
          <t>โลหิตจาง</t>
        </is>
      </c>
      <c r="F92" s="2" t="inlineStr">
        <is>
          <t>หลอดลมอักเสบ</t>
        </is>
      </c>
      <c r="G92" s="2" t="inlineStr">
        <is>
          <t>คันบริเวณรอบทวารหนัก</t>
        </is>
      </c>
      <c r="H92" s="2" t="inlineStr">
        <is>
          <t>ลำไส้อักเสบ</t>
        </is>
      </c>
      <c r="I92" s="8" t="inlineStr">
        <is>
          <t>2</t>
        </is>
      </c>
      <c r="J92" s="2" t="inlineStr">
        <is>
          <t>✅ คำตอบที่ถูกต้อง: ข้อ ข. โลหิตจาง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โลหิตจาง อาการคันบริเวณรอบทวารหนักเวลากลางคืนเป็นอาการจำเพาะของการติดเชื้อพยาธิเส้นด้าย (Pinworm/Enterobius vermicularis) ไม่ใช่พยาธิปากขอ ซึ่งพยาธิปากขอจะทำให้เกิดอาการทางผิวหนังบริเวณที่ตัวอ่อนไชเข้า (ground itch) อาการทางปอดจากการ migration ของตัวอ่อน และภาวะโลหิตจางจากการดูดเลือดในลำไส้
🔍 ข้ออื่นผิดเพราะอะไร:
• ข้อ ก. (แพ้ ผื่นคัน): ข้อนี้ไม่ใช่คำตอบที่ถูกต้องสำหรับภาวะ Parasitic infections เนื่องจากกลไกการออกฤทธิ์, efficacy หรือข้อบ่งใช้ไม่ตรงกับโจทย์ที่กำหนด
• ข้อ ค. (หลอดลมอักเสบ): ข้อนี้ไม่ใช่คำตอบที่ถูกต้องสำหรับภาวะ Parasitic infections เนื่องจากกลไกการออกฤทธิ์, efficacy หรือข้อบ่งใช้ไม่ตรงกับโจทย์ที่กำหนด
• ข้อ ง. (คันบริเวณรอบทวารหนัก): ข้อนี้ไม่ใช่คำตอบที่ถูกต้องสำหรับภาวะ Parasitic infections เนื่องจากกลไกการออกฤทธิ์, efficacy หรือข้อบ่งใช้ไม่ตรงกับโจทย์ที่กำหนด
• ข้อ จ. (ลำไส้อักเสบ):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2" t="n"/>
      <c r="L92" s="2" t="inlineStr">
        <is>
          <t>Parasitic infections</t>
        </is>
      </c>
      <c r="M92" s="2" t="inlineStr">
        <is>
          <t>Clinic</t>
        </is>
      </c>
      <c r="N92" s="2" t="inlineStr">
        <is>
          <t>ข้อ 7 Pharma Plus เล่มม่วง (เฉลยข้อ ข)</t>
        </is>
      </c>
      <c r="O92" s="2" t="inlineStr">
        <is>
          <t>Mock</t>
        </is>
      </c>
      <c r="P92" s="2" t="inlineStr">
        <is>
          <t>Pharma Plus เล่มม่วง</t>
        </is>
      </c>
    </row>
    <row r="93" ht="13.2" customHeight="1" s="37">
      <c r="A93" s="8" t="inlineStr">
        <is>
          <t>8</t>
        </is>
      </c>
      <c r="B93" s="2" t="inlineStr">
        <is>
          <t>ยากลุ่ม polymyxin มีกลไกการออกฤทธิ์เป็นอย่างไร</t>
        </is>
      </c>
      <c r="C93" s="2" t="n"/>
      <c r="D93" s="2" t="inlineStr">
        <is>
          <t>ขัดขวางการสร้างผนังเซลล์</t>
        </is>
      </c>
      <c r="E93" s="2" t="inlineStr">
        <is>
          <t>ทำให้เกิดรูรั่วผนังเซลล์</t>
        </is>
      </c>
      <c r="F93" s="2" t="inlineStr">
        <is>
          <t>ขัดขวางการสร้าง folic acid</t>
        </is>
      </c>
      <c r="G93" s="2" t="inlineStr">
        <is>
          <t>ขัดขวางการสังเคราะห์ nucleic acid</t>
        </is>
      </c>
      <c r="H93" s="2" t="inlineStr">
        <is>
          <t>ขัดขวางการสังเคราะห์ polypeptide</t>
        </is>
      </c>
      <c r="I93" s="8" t="inlineStr">
        <is>
          <t>5</t>
        </is>
      </c>
      <c r="J93" s="2" t="inlineStr">
        <is>
          <t>✅ คำตอบที่ถูกต้อง: ข้อ จ. ขัดขวางการสังเคราะห์ polypeptide
💡 Background:
การดูแลผู้ติดเชื้อ HIV เน้นเริ่ม Antiretroviral Therapy (ART) ทันทีเพื่อกด viral load ให้ undetectable (U=U) และฟื้นฟูระบบภูมิคุ้มกัน
🎯 ทำไมข้อนี้ถึงถูก:
ขัดขวางการสังเคราะห์ polypeptide Polymyxins (เช่น Polymyxin B, Colistin) ทำหน้าที่เสมือนสารลดแรงตึงผิว (detergent-like) เข้าไปจับกับ phospholipids ในเยื่อหุ้มเซลล์ชั้นนอก (outer membrane) ของแบคทีเรียแกรมลบ ทำให้เยื่อหุ้มเซลล์สูญเสียความสมบูรณ์ เกิดรูรั่ว และสารภายในเซลล์รั่วไหลออกมา
🔍 ข้ออื่นผิดเพราะอะไร:
• ข้อ ก. (ขัดขวางการสร้างผนังเซลล์): ข้อนี้ไม่ใช่คำตอบที่ถูกต้องสำหรับภาวะ HIV infection เนื่องจากกลไกการออกฤทธิ์, efficacy หรือข้อบ่งใช้ไม่ตรงกับโจทย์ที่กำหนด
• ข้อ ข. (ทำให้เกิดรูรั่วผนังเซลล์): ข้อนี้ไม่ใช่คำตอบที่ถูกต้องสำหรับภาวะ HIV infection เนื่องจากกลไกการออกฤทธิ์, efficacy หรือข้อบ่งใช้ไม่ตรงกับโจทย์ที่กำหนด
• ข้อ ค. (ขัดขวางการสร้าง folic acid): ข้อนี้ไม่ใช่คำตอบที่ถูกต้องสำหรับภาวะ HIV infection เนื่องจากกลไกการออกฤทธิ์, efficacy หรือข้อบ่งใช้ไม่ตรงกับโจทย์ที่กำหนด
• ข้อ ง. (ขัดขวางการสังเคราะห์ nucleic acid):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3" s="2" t="n"/>
      <c r="L93" s="2" t="inlineStr">
        <is>
          <t>HIV infection</t>
        </is>
      </c>
      <c r="M93" s="2" t="inlineStr">
        <is>
          <t>Clinic</t>
        </is>
      </c>
      <c r="N93" s="2" t="inlineStr">
        <is>
          <t>ข้อ 8 Pharma Plus เล่มม่วง (เฉลยข้อ จ)</t>
        </is>
      </c>
      <c r="O93" s="2" t="inlineStr">
        <is>
          <t>Mock</t>
        </is>
      </c>
      <c r="P93" s="2" t="inlineStr">
        <is>
          <t>Pharma Plus เล่มม่วง</t>
        </is>
      </c>
    </row>
    <row r="94" ht="13.2" customHeight="1" s="37">
      <c r="A94" s="8" t="inlineStr">
        <is>
          <t>8</t>
        </is>
      </c>
      <c r="B94" s="2"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ท่านจะพิจารณาจ่ายยาให้แก่ผู้ป่วยรายนี้อย่างไร</t>
        </is>
      </c>
      <c r="C94" s="2" t="n"/>
      <c r="D94" s="2" t="inlineStr">
        <is>
          <t>Clotrimazole 500 mg เหน็บช่องคลอดครั้งเดียว</t>
        </is>
      </c>
      <c r="E94" s="2" t="inlineStr">
        <is>
          <t>Ketoconazole 200 mg รับประทานหลังอาหาร เช้าและเย็น เป็นเวลา 5 วัน</t>
        </is>
      </c>
      <c r="F94" s="2" t="inlineStr">
        <is>
          <t>Metronidazole 2 g รับประทานครั้งเดียว</t>
        </is>
      </c>
      <c r="G94" s="2" t="inlineStr">
        <is>
          <t>Doxycycline 100 mg รับประทานหลังอาหาร เช้าและเย็น เป็นเวลา 7 วัน</t>
        </is>
      </c>
      <c r="H94" s="2" t="inlineStr">
        <is>
          <t>Ciprofloxacin 500 mg รับประทานครั้งเดียว</t>
        </is>
      </c>
      <c r="I94" s="8" t="inlineStr">
        <is>
          <t>5</t>
        </is>
      </c>
      <c r="J94" s="2" t="inlineStr">
        <is>
          <t>✅ คำตอบที่ถูกต้อง: ข้อ จ. Ciprofloxacin 500 mg รับประทานครั้งเดียว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Ciprofloxacin 500 mg รับประทานครั้งเดียว การรักษา VVC ชนิดไม่รุนแรง (uncomplicated VVC) แนะนำให้ใช้ยาต้านเชื้อรากลุ่ม azole เฉพาะที่ เช่น Clotrimazole 500 mg เหน็บช่องคลอดครั้งเดียว หรือยากินกลุ่ม azole (เช่น Fluconazole 150 mg กินครั้งเดียว) ตามแนวทาง CDC Guidelines
 เป็น Fluoroquinolone เด่นต่อ Gram-negative รวมทั้ง Pseudomonas aeruginosa แต่มี black box warning เรื่อง tendon rupture, QT prolongation, aortic aneurysm และ dysglycemia
🔍 ข้ออื่นผิดเพราะอะไร:
• ข้อ ก. (Clotrimazole 500 mg เหน็บช่องคลอดครั้งเดียว): ข้อนี้ไม่ใช่คำตอบที่ถูกต้องสำหรับภาวะ STDs &amp; vaginitis เนื่องจากกลไกการออกฤทธิ์, efficacy หรือข้อบ่งใช้ไม่ตรงกับโจทย์ที่กำหนด
• ข้อ ข. (Ketoconazole 200 mg รับประทานหลังอาหาร เช้าและเย็น เป็นเวลา 5 วัน): ข้อนี้ไม่ใช่คำตอบที่ถูกต้องสำหรับภาวะ STDs &amp; vaginitis เนื่องจากกลไกการออกฤทธิ์, efficacy หรือข้อบ่งใช้ไม่ตรงกับโจทย์ที่กำหนด
• ข้อ ค. (Metronidazole 2 g รับประทานครั้งเดียว): เป็น antianaerobic และ antiprotozoal agent ยับยั้ง Trichomonas vaginalis, Giardia, Amebiasis, และ anaerobes ห้ามดื่มแอลกอฮอล์ระหว่างใช้ยา (disulfiram-like reaction)
• ข้อ ง. (Doxycycline 100 mg รับประทานหลังอาหาร เช้าและเย็น เป็นเวลา 7 วัน):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4" s="2" t="n"/>
      <c r="L94" s="2" t="inlineStr">
        <is>
          <t>STDs &amp; vaginitis</t>
        </is>
      </c>
      <c r="M94" s="2" t="inlineStr">
        <is>
          <t>Clinic</t>
        </is>
      </c>
      <c r="N94" s="2" t="inlineStr">
        <is>
          <t>ข้อ 8 Pharma Plus เล่มม่วง (เฉลยข้อ จ)</t>
        </is>
      </c>
      <c r="O94" s="2" t="inlineStr">
        <is>
          <t>Mock</t>
        </is>
      </c>
      <c r="P94" s="2" t="inlineStr">
        <is>
          <t>Pharma Plus เล่มม่วง</t>
        </is>
      </c>
    </row>
    <row r="95" ht="13.2" customHeight="1" s="37">
      <c r="A95" s="8" t="inlineStr">
        <is>
          <t>8</t>
        </is>
      </c>
      <c r="B95" s="2" t="inlineStr">
        <is>
          <t>ตำรับยาของ acyclovir ดังตารางต่อไปนี้ อยู่ในรูปแบบใด</t>
        </is>
      </c>
      <c r="C95" s="2" t="n"/>
      <c r="D95" s="2" t="inlineStr">
        <is>
          <t>Lotions</t>
        </is>
      </c>
      <c r="E95" s="2" t="inlineStr">
        <is>
          <t>Ointments</t>
        </is>
      </c>
      <c r="F95" s="2" t="inlineStr">
        <is>
          <t>Creams</t>
        </is>
      </c>
      <c r="G95" s="2" t="inlineStr">
        <is>
          <t>Pastes</t>
        </is>
      </c>
      <c r="H95" s="2" t="inlineStr">
        <is>
          <t>Gels</t>
        </is>
      </c>
      <c r="I95" s="8" t="inlineStr">
        <is>
          <t>5</t>
        </is>
      </c>
      <c r="J95" s="2" t="inlineStr">
        <is>
          <t>✅ คำตอบที่ถูกต้อง: ข้อ จ. Gels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Gels จากองค์ประกอบในตำรับที่มีส่วนผสมของ Cetostearyl alcohol, Sodium lauryl sulphate, White soft paraffin, Liquid paraffin และ Propylene glycol พร้อมด้วยน้ำบริสุทธิ์ (Purified water) เป็นระบบอิมัลชันชนิดน้ำในน้ำมันหรือน้ำมันในน้ำที่มีตัวประสาน (Emulsifying wax) ซึ่งลักษณะเนื้อครีม (Creams) มักประกอบด้วยสารเหล่านี้เพื่อให้ทาเกลี่ยง่ายและซึมซาบดีเมื่อเทียบกับ ointment
🔍 ข้ออื่นผิดเพราะอะไร:
• ข้อ ก. (Lotions): ข้อนี้ไม่ใช่คำตอบที่ถูกต้องสำหรับภาวะ Cystitis เนื่องจากกลไกการออกฤทธิ์, efficacy หรือข้อบ่งใช้ไม่ตรงกับโจทย์ที่กำหนด
• ข้อ ข. (Ointments): ข้อนี้ไม่ใช่คำตอบที่ถูกต้องสำหรับภาวะ Cystitis เนื่องจากกลไกการออกฤทธิ์, efficacy หรือข้อบ่งใช้ไม่ตรงกับโจทย์ที่กำหนด
• ข้อ ค. (Creams): ข้อนี้ไม่ใช่คำตอบที่ถูกต้องสำหรับภาวะ Cystitis เนื่องจากกลไกการออกฤทธิ์, efficacy หรือข้อบ่งใช้ไม่ตรงกับโจทย์ที่กำหนด
• ข้อ ง. (Pastes): ข้อนี้ไม่ใช่คำตอบที่ถูกต้องสำหรับภาวะ Cystitis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95" s="2" t="n"/>
      <c r="L95" s="2" t="inlineStr">
        <is>
          <t>Cystitis</t>
        </is>
      </c>
      <c r="M95" s="2" t="inlineStr">
        <is>
          <t>Clinic</t>
        </is>
      </c>
      <c r="N95" s="2" t="inlineStr">
        <is>
          <t>ข้อ 8 Pharma Plus เล่มม่วง (เฉลยข้อ จ)</t>
        </is>
      </c>
      <c r="O95" s="2" t="inlineStr">
        <is>
          <t>Mock</t>
        </is>
      </c>
      <c r="P95" s="2" t="inlineStr">
        <is>
          <t>Pharma Plus เล่มม่วง</t>
        </is>
      </c>
    </row>
    <row r="96" ht="13.2" customHeight="1" s="37">
      <c r="A96" s="8" t="inlineStr">
        <is>
          <t>8</t>
        </is>
      </c>
      <c r="B96" s="2"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ถ้าผู้ป่วยใช้ยาสูตรแรกแล้วมีอาการแพ้ แพทย์เปลี่ยนสูตรยาเป็น GPO-vir Z ประกอบด้วยยาใดบ้าง</t>
        </is>
      </c>
      <c r="C96" s="2" t="n"/>
      <c r="D96" s="2" t="inlineStr">
        <is>
          <t>NVP, d4T, 3TC</t>
        </is>
      </c>
      <c r="E96" s="2" t="inlineStr">
        <is>
          <t>d4T, 3TC, indinavir/ritonavir</t>
        </is>
      </c>
      <c r="F96" s="2" t="inlineStr">
        <is>
          <t>AZT, 3TC, indinavir/ritonavir</t>
        </is>
      </c>
      <c r="G96" s="2" t="inlineStr">
        <is>
          <t>d4T, 3TC, EFV</t>
        </is>
      </c>
      <c r="H96" s="2" t="inlineStr">
        <is>
          <t>AZT, 3TC, NVP</t>
        </is>
      </c>
      <c r="I96" s="8" t="inlineStr">
        <is>
          <t>5</t>
        </is>
      </c>
      <c r="J96" s="2" t="inlineStr">
        <is>
          <t>✅ คำตอบที่ถูกต้อง: ข้อ จ. AZT, 3TC, NVP
💡 Background:
การดูแลผู้ติดเชื้อ HIV เน้นเริ่ม Antiretroviral Therapy (ART) ทันทีเพื่อกด viral load ให้ undetectable (U=U) และฟื้นฟูระบบภูมิคุ้มกัน
🎯 ทำไมข้อนี้ถึงถูก:
AZT, 3TC, NVP GPO-vir Z ประกอบด้วยตัวยา Zidovudine (AZT), Lamivudine (3TC) และ Nevirapine (NVP) โดยปรับเปลี่ยนจาก Stavudine (d4T) เป็น AZT หรือปรับตามสูตรมาตรฐานขององค์การเภสัชกรรมในอดีต (GPO-vir S, Z)
🔍 ข้ออื่นผิดเพราะอะไร:
• ข้อ ก. (NVP, d4T, 3TC): ข้อนี้ไม่ใช่คำตอบที่ถูกต้องสำหรับภาวะ HIV infection เนื่องจากกลไกการออกฤทธิ์, efficacy หรือข้อบ่งใช้ไม่ตรงกับโจทย์ที่กำหนด
• ข้อ ข. (d4T, 3TC, indinavir/ritonavir): ข้อนี้ไม่ใช่คำตอบที่ถูกต้องสำหรับภาวะ HIV infection เนื่องจากกลไกการออกฤทธิ์, efficacy หรือข้อบ่งใช้ไม่ตรงกับโจทย์ที่กำหนด
• ข้อ ค. (AZT, 3TC, indinavir/ritonavir): ข้อนี้ไม่ใช่คำตอบที่ถูกต้องสำหรับภาวะ HIV infection เนื่องจากกลไกการออกฤทธิ์, efficacy หรือข้อบ่งใช้ไม่ตรงกับโจทย์ที่กำหนด
• ข้อ ง. (d4T, 3TC, EFV):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6" s="2" t="n"/>
      <c r="L96" s="2" t="inlineStr">
        <is>
          <t>HIV infection</t>
        </is>
      </c>
      <c r="M96" s="2" t="inlineStr">
        <is>
          <t>Clinic</t>
        </is>
      </c>
      <c r="N96" s="2" t="inlineStr">
        <is>
          <t>ข้อ 8 Pharma Plus เล่มม่วง (เฉลยข้อ จ)</t>
        </is>
      </c>
      <c r="O96" s="2" t="inlineStr">
        <is>
          <t>Mock</t>
        </is>
      </c>
      <c r="P96" s="2" t="inlineStr">
        <is>
          <t>Pharma Plus เล่มม่วง</t>
        </is>
      </c>
    </row>
    <row r="97" ht="13.2" customHeight="1" s="37">
      <c r="A97" s="8" t="inlineStr">
        <is>
          <t>8</t>
        </is>
      </c>
      <c r="B97" s="2" t="inlineStr">
        <is>
          <t>คำแนะนำในการปฏิบัติตัวสำหรับผู้ป่วยรายนี้คือ</t>
        </is>
      </c>
      <c r="C97" s="2" t="n"/>
      <c r="D97" s="2" t="inlineStr">
        <is>
          <t>อาบน้ำหลังจากตื่นนอนในตอนเช้า</t>
        </is>
      </c>
      <c r="E97" s="2" t="inlineStr">
        <is>
          <t>ตัดเล็บมือให้สั้น และล้างมือให้สะอาดหลังเข้าห้องน้ำ</t>
        </is>
      </c>
      <c r="F97" s="2" t="inlineStr">
        <is>
          <t>สวมรองเท้าทุกครั้งที่ออกจากบ้าน</t>
        </is>
      </c>
      <c r="G97" s="2" t="inlineStr">
        <is>
          <t>รับประทานอาหารที่สุก ดื่มน้ำสะอาด</t>
        </is>
      </c>
      <c r="H97" s="2" t="inlineStr">
        <is>
          <t>ซักเสื้อผ้า และผ้าปูที่นอนให้สะอาด</t>
        </is>
      </c>
      <c r="I97" s="8" t="inlineStr">
        <is>
          <t>5</t>
        </is>
      </c>
      <c r="J97" s="2" t="inlineStr">
        <is>
          <t>✅ คำตอบที่ถูกต้อง: ข้อ จ. ซักเสื้อผ้า และผ้าปูที่นอนให้สะอาด
💡 Background:
การดูแลผู้ติดเชื้อ HIV เน้นเริ่ม Antiretroviral Therapy (ART) ทันทีเพื่อกด viral load ให้ undetectable (U=U) และฟื้นฟูระบบภูมิคุ้มกัน
🎯 ทำไมข้อนี้ถึงถูก:
ซักเสื้อผ้า และผ้าปูที่นอนให้สะอาด จากบริบทข้อสอบชุดนี้ (ต่อเนื่องกับเคสพยาธิปากขอ/เส้นด้าย แต่ข้อนี้เน้นพยาธิปากขอซึ่งติดต่อโดยตัวอ่อนไชผ่านผิวหนัง) การสวมรองเท้าทุกครั้งที่ออกจากบ้านเป็นมาตรการสำคัญที่สุดในการป้องกันตัวอ่อนพยาธิปากขอจากดินไشเข้าสู่ผิวหนัง
🔍 ข้ออื่นผิดเพราะอะไร:
• ข้อ ก. (อาบน้ำหลังจากตื่นนอนในตอนเช้า): ข้อนี้ไม่ใช่คำตอบที่ถูกต้องสำหรับภาวะ HIV infection เนื่องจากกลไกการออกฤทธิ์, efficacy หรือข้อบ่งใช้ไม่ตรงกับโจทย์ที่กำหนด
• ข้อ ข. (ตัดเล็บมือให้สั้น และล้างมือให้สะอาดหลังเข้าห้องน้ำ): ข้อนี้ไม่ใช่คำตอบที่ถูกต้องสำหรับภาวะ HIV infection เนื่องจากกลไกการออกฤทธิ์, efficacy หรือข้อบ่งใช้ไม่ตรงกับโจทย์ที่กำหนด
• ข้อ ค. (สวมรองเท้าทุกครั้งที่ออกจากบ้าน): ข้อนี้ไม่ใช่คำตอบที่ถูกต้องสำหรับภาวะ HIV infection เนื่องจากกลไกการออกฤทธิ์, efficacy หรือข้อบ่งใช้ไม่ตรงกับโจทย์ที่กำหนด
• ข้อ ง. (รับประทานอาหารที่สุก ดื่มน้ำสะอาด):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7" s="2" t="n"/>
      <c r="L97" s="2" t="inlineStr">
        <is>
          <t>HIV infection</t>
        </is>
      </c>
      <c r="M97" s="2" t="inlineStr">
        <is>
          <t>Clinic</t>
        </is>
      </c>
      <c r="N97" s="2" t="inlineStr">
        <is>
          <t>ข้อ 8 Pharma Plus เล่มม่วง (เฉลยข้อ จ)</t>
        </is>
      </c>
      <c r="O97" s="2" t="inlineStr">
        <is>
          <t>Mock</t>
        </is>
      </c>
      <c r="P97" s="2" t="inlineStr">
        <is>
          <t>Pharma Plus เล่มม่วง</t>
        </is>
      </c>
    </row>
    <row r="98" ht="13.2" customHeight="1" s="37">
      <c r="A98" s="8" t="inlineStr">
        <is>
          <t>9</t>
        </is>
      </c>
      <c r="B98" s="2" t="inlineStr">
        <is>
          <t>ยาที่เกิด drug interaction กับ quinolone ได้ ยกเว้นข้อใดต่อไปนี้</t>
        </is>
      </c>
      <c r="C98" s="2" t="n"/>
      <c r="D98" s="2" t="inlineStr">
        <is>
          <t>Aluminum hydroxide</t>
        </is>
      </c>
      <c r="E98" s="2" t="inlineStr">
        <is>
          <t>Calcium carbonate</t>
        </is>
      </c>
      <c r="F98" s="2" t="inlineStr">
        <is>
          <t>Carminative mixture</t>
        </is>
      </c>
      <c r="G98" s="2" t="inlineStr">
        <is>
          <t>FBC</t>
        </is>
      </c>
      <c r="H98" s="2" t="inlineStr">
        <is>
          <t>Lithium</t>
        </is>
      </c>
      <c r="I98" s="8" t="inlineStr">
        <is>
          <t>4</t>
        </is>
      </c>
      <c r="J98" s="2" t="inlineStr">
        <is>
          <t>✅ คำตอบที่ถูกต้อง: ข้อ ง. FBC
💡 Background:
การดูแลผู้ติดเชื้อ HIV เน้นเริ่ม Antiretroviral Therapy (ART) ทันทีเพื่อกด viral load ให้ undetectable (U=U) และฟื้นฟูระบบภูมิคุ้มกัน
🎯 ทำไมข้อนี้ถึงถูก:
FBC Fluoroquinolones เกิด chelation กับประจุบวกโลหะ (multivalent cations เช่น Al3+, Mg2+, Ca2+, Fe2+) ส่งผลให้การดูดซึมลดลงอย่างมาก (Aluminum hydroxide, Calcium carbonate, FBC มีธาตุเหล็ก) ส่วน Carminative mixture มักไม่มีส่วนประกอบของโลหะที่เกิด chelation ที่สำคัญ
🔍 ข้ออื่นผิดเพราะอะไร:
• ข้อ ก. (Aluminum hydroxide): ข้อนี้ไม่ใช่คำตอบที่ถูกต้องสำหรับภาวะ HIV infection เนื่องจากกลไกการออกฤทธิ์, efficacy หรือข้อบ่งใช้ไม่ตรงกับโจทย์ที่กำหนด
• ข้อ ข. (Calcium carbonate): เป็น Phosphate binder สำหรับ CKD ต้องเคี้ยวพร้อมอาหารเพื่อจับฟอสเฟตในทางเดินอาหาร และทำหน้าที่เสริมแคลเซียม
• ข้อ ค. (Carminative mixture): ข้อนี้ไม่ใช่คำตอบที่ถูกต้องสำหรับภาวะ HIV infection เนื่องจากกลไกการออกฤทธิ์, efficacy หรือข้อบ่งใช้ไม่ตรงกับโจทย์ที่กำหนด
• ข้อ จ. (Lithium):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8" s="2" t="n"/>
      <c r="L98" s="2" t="inlineStr">
        <is>
          <t>HIV infection</t>
        </is>
      </c>
      <c r="M98" s="2" t="inlineStr">
        <is>
          <t>Clinic</t>
        </is>
      </c>
      <c r="N98" s="2" t="inlineStr">
        <is>
          <t>ข้อ 9 Pharma Plus เล่มม่วง (เฉลยข้อ ง)</t>
        </is>
      </c>
      <c r="O98" s="2" t="inlineStr">
        <is>
          <t>Mock</t>
        </is>
      </c>
      <c r="P98" s="2" t="inlineStr">
        <is>
          <t>Pharma Plus เล่มม่วง</t>
        </is>
      </c>
    </row>
    <row r="99" ht="13.2" customHeight="1" s="37">
      <c r="A99" s="8" t="inlineStr">
        <is>
          <t>9</t>
        </is>
      </c>
      <c r="B99" s="2"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ข้อใดถูกต้องเกี่ยวกับอาการไม่พึงประสงค์จากยา</t>
        </is>
      </c>
      <c r="C99" s="2" t="n"/>
      <c r="D99" s="2" t="inlineStr">
        <is>
          <t>Clotrimazole เหน็บช่องคลอดทำให้เกิด super infection จาก bacteria</t>
        </is>
      </c>
      <c r="E99" s="2" t="inlineStr">
        <is>
          <t>Ketoconazole ชนิดรับประทานทำให้การรับรู้รสผิดปกติ</t>
        </is>
      </c>
      <c r="F99" s="2" t="inlineStr">
        <is>
          <t>Metronidazole ทำให้คลื่นไส้ อาเจียน</t>
        </is>
      </c>
      <c r="G99" s="2" t="inlineStr">
        <is>
          <t>Doxycycline ทำให้ผมร่วง</t>
        </is>
      </c>
      <c r="H99" s="2" t="inlineStr">
        <is>
          <t>Ciprofloxacin ทำให้ตับอักเสบ</t>
        </is>
      </c>
      <c r="I99" s="8" t="inlineStr">
        <is>
          <t>4</t>
        </is>
      </c>
      <c r="J99" s="2" t="inlineStr">
        <is>
          <t>✅ คำตอบที่ถูกต้อง: ข้อ ง. Doxycycline ทำให้ผมร่วง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Doxycycline ทำให้ผมร่วง Metronidazole มี ADR ที่พบบ่อยคือกลื่นไส้ อาเจียน ปวดท้อง และมีรสโลหะในปาก (metallic taste) นอกจากนี้ห้ามดื่มแอลกอฮอล์ร่วมด้วยเพราะจะเกิด disulfiram-like reaction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(Clotrimazole เหน็บช่องคลอดทำให้เกิด super infection จาก bacteria): ข้อนี้ไม่ใช่คำตอบที่ถูกต้องสำหรับภาวะ STDs &amp; vaginitis เนื่องจากกลไกการออกฤทธิ์, efficacy หรือข้อบ่งใช้ไม่ตรงกับโจทย์ที่กำหนด
• ข้อ ข. (Ketoconazole ชนิดรับประทานทำให้การรับรู้รสผิดปกติ): ข้อนี้ไม่ใช่คำตอบที่ถูกต้องสำหรับภาวะ STDs &amp; vaginitis เนื่องจากกลไกการออกฤทธิ์, efficacy หรือข้อบ่งใช้ไม่ตรงกับโจทย์ที่กำหนด
• ข้อ ค. (Metronidazole ทำให้คลื่นไส้ อาเจียน): เป็น antianaerobic และ antiprotozoal agent ยับยั้ง Trichomonas vaginalis, Giardia, Amebiasis, และ anaerobes ห้ามดื่มแอลกอฮอล์ระหว่างใช้ยา (disulfiram-like reaction)
• ข้อ จ. (Ciprofloxacin ทำให้ตับอักเสบ): เป็น Fluoroquinolone เด่นต่อ Gram-negative รวมทั้ง Pseudomonas aeruginosa แต่มี black box warning เรื่อง tendon rupture, QT prolongation, aortic aneurysm และ dysglycemia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2" t="n"/>
      <c r="L99" s="2" t="inlineStr">
        <is>
          <t>STDs &amp; vaginitis</t>
        </is>
      </c>
      <c r="M99" s="2" t="inlineStr">
        <is>
          <t>Clinic</t>
        </is>
      </c>
      <c r="N99" s="2" t="inlineStr">
        <is>
          <t>ข้อ 9 Pharma Plus เล่มม่วง (เฉลยข้อ ง)</t>
        </is>
      </c>
      <c r="O99" s="2" t="inlineStr">
        <is>
          <t>Mock</t>
        </is>
      </c>
      <c r="P99" s="2" t="inlineStr">
        <is>
          <t>Pharma Plus เล่มม่วง</t>
        </is>
      </c>
    </row>
    <row r="100" ht="13.2" customHeight="1" s="37">
      <c r="A100" s="8" t="inlineStr">
        <is>
          <t>9</t>
        </is>
      </c>
      <c r="B100" s="2" t="inlineStr">
        <is>
          <t>ข้อใดถูกต้องเกี่ยวกับยาต้านไวรัสในด้านกฎหมาย</t>
        </is>
      </c>
      <c r="C100" s="2" t="n"/>
      <c r="D100" s="2" t="inlineStr">
        <is>
          <t>ยาต้านไวรัสทุกชนิดสามารถขายได้ในร้านยาที่มีเภสัชกรประจำร้าน</t>
        </is>
      </c>
      <c r="E100" s="2" t="inlineStr">
        <is>
          <t>ยาต้านไวรัสทุกชนิดต้องจ่ายตามใบสั่งแพทย์เท่านั้น</t>
        </is>
      </c>
      <c r="F100" s="2" t="inlineStr">
        <is>
          <t>ยาต้านไวรัส acyclovir ชนิดรับประทาน เป็นยาควบคุมพิเศษ</t>
        </is>
      </c>
      <c r="G100" s="2" t="inlineStr">
        <is>
          <t>ยาต้านไวรัสรักษาโรคเอดส์ จัดเป็นยาอันตราย</t>
        </is>
      </c>
      <c r="H100" s="2" t="inlineStr">
        <is>
          <t>บุคลากรทางการแพทย์ทุกวิชาชีพสามารถจ่ายยาต้านไวรัส acyclovir ชนิดทาเฉพาะที่ได้</t>
        </is>
      </c>
      <c r="I100" s="8" t="inlineStr">
        <is>
          <t>4</t>
        </is>
      </c>
      <c r="J100" s="2" t="inlineStr">
        <is>
          <t>✅ คำตอบที่ถูกต้อง: ข้อ ง. ยาต้านไวรัสรักษาโรคเอดส์ จัดเป็นยาอันตราย
💡 Background:
การดูแลผู้ติดเชื้อ HIV เน้นเริ่ม Antiretroviral Therapy (ART) ทันทีเพื่อกด viral load ให้ undetectable (U=U) และฟื้นฟูระบบภูมิคุ้มกัน
🎯 ทำไมข้อนี้ถึงถูก:
ยาต้านไวรัสรักษาโรคเอดส์ จัดเป็นยาอันตราย ตามกฎหมายยาในประเทศไทย ยาต้านไวรัส acyclovir ชนิดรับประทานจัดเป็น 'ยาควบคุมพิเศษ' ซึ่งต้องมีใบสั่งแพทย์ในการจ่ายยา ขณะที่รูปแบบยาทาอาจเป็นยาอันตรายหรือยาใช้ภายนอกตามเงื่อนไขประกาศกระทรวงสาธารณสุข
🔍 ข้ออื่นผิดเพราะอะไร:
• ข้อ ก. (ยาต้านไวรัสทุกชนิดสามารถขายได้ในร้านยาที่มีเภสัชกรประจำร้าน): ข้อนี้ไม่ใช่คำตอบที่ถูกต้องสำหรับภาวะ HIV infection เนื่องจากกลไกการออกฤทธิ์, efficacy หรือข้อบ่งใช้ไม่ตรงกับโจทย์ที่กำหนด
• ข้อ ข. (ยาต้านไวรัสทุกชนิดต้องจ่ายตามใบสั่งแพทย์เท่านั้น): ข้อนี้ไม่ใช่คำตอบที่ถูกต้องสำหรับภาวะ HIV infection เนื่องจากกลไกการออกฤทธิ์, efficacy หรือข้อบ่งใช้ไม่ตรงกับโจทย์ที่กำหนด
• ข้อ ค. (ยาต้านไวรัส acyclovir ชนิดรับประทาน เป็นยาควบคุมพิเศษ): เป็น Guanosine analog ยับยั้ง HSV และ VZV polymerase ต้องดื่มน้ำมากๆ ระหว่างได้ยา IV เพื่อป้องกัน crystal nephropathy และ obstructive AKI
• ข้อ จ. (บุคลากรทางการแพทย์ทุกวิชาชีพสามารถจ่ายยาต้านไวรัส acyclovir ชนิดทาเฉพาะที่ได้):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0" s="2" t="n"/>
      <c r="L100" s="2" t="inlineStr">
        <is>
          <t>HIV infection</t>
        </is>
      </c>
      <c r="M100" s="2" t="inlineStr">
        <is>
          <t>Clinic</t>
        </is>
      </c>
      <c r="N100" s="2" t="inlineStr">
        <is>
          <t>ข้อ 9 Pharma Plus เล่มม่วง (เฉลยข้อ ง)</t>
        </is>
      </c>
      <c r="O100" s="2" t="inlineStr">
        <is>
          <t>Mock</t>
        </is>
      </c>
      <c r="P100" s="2" t="inlineStr">
        <is>
          <t>Pharma Plus เล่มม่วง</t>
        </is>
      </c>
    </row>
    <row r="101" ht="13.2" customHeight="1" s="37">
      <c r="A101" s="8" t="inlineStr">
        <is>
          <t>9</t>
        </is>
      </c>
      <c r="B101" s="2"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อาการใดเป็นบ่งชี้ให้หยุดยาต้านไวรัส GPO-vir</t>
        </is>
      </c>
      <c r="C101" s="2" t="n"/>
      <c r="D101" s="2" t="inlineStr">
        <is>
          <t>Steven Johnson syndrome</t>
        </is>
      </c>
      <c r="E101" s="2" t="inlineStr">
        <is>
          <t>Toxic epidermal necrolysis</t>
        </is>
      </c>
      <c r="F101" s="2" t="inlineStr">
        <is>
          <t>Rash with blisters</t>
        </is>
      </c>
      <c r="G101" s="2" t="inlineStr">
        <is>
          <t>SGPT &gt; 5X</t>
        </is>
      </c>
      <c r="H101" s="2" t="inlineStr">
        <is>
          <t>ถูกทุกข้อ</t>
        </is>
      </c>
      <c r="I101" s="8" t="inlineStr">
        <is>
          <t>4</t>
        </is>
      </c>
      <c r="J101" s="2" t="inlineStr">
        <is>
          <t>✅ คำตอบที่ถูกต้อง: ข้อ ง. SGPT &gt; 5X
💡 Background:
การดูแลผู้ติดเชื้อ HIV เน้นเริ่ม Antiretroviral Therapy (ART) ทันทีเพื่อกด viral load ให้ undetectable (U=U) และฟื้นฟูระบบภูมิคุ้มกัน
🎯 ทำไมข้อนี้ถึงถูก:
SGPT &gt; 5X อาการแพ้ยารุนแรง ได้แก่ Steven Johnson syndrome, Toxic epidermal necrolysis (TEN), Rash with blisters และภาวะตับอักเสบรุนแรง (SGPT/ALT &gt; 5 เท่าของค่าปกติ) ล้วนเป็นข้อบ่งชี้เด็ดขาดในการหยุดยาต้านไวรัส (โดยเฉพาะ Nevirapine ใน GPO-vir)
🔍 ข้ออื่นผิดเพราะอะไร:
• ข้อ ก. (Steven Johnson syndrome): ข้อนี้ไม่ใช่คำตอบที่ถูกต้องสำหรับภาวะ HIV infection เนื่องจากกลไกการออกฤทธิ์, efficacy หรือข้อบ่งใช้ไม่ตรงกับโจทย์ที่กำหนด
• ข้อ ข. (Toxic epidermal necrolysis): ข้อนี้ไม่ใช่คำตอบที่ถูกต้องสำหรับภาวะ HIV infection เนื่องจากกลไกการออกฤทธิ์, efficacy หรือข้อบ่งใช้ไม่ตรงกับโจทย์ที่กำหนด
• ข้อ ค. (Rash with blisters): ข้อนี้ไม่ใช่คำตอบที่ถูกต้องสำหรับภาวะ HIV infection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1" s="2" t="n"/>
      <c r="L101" s="2" t="inlineStr">
        <is>
          <t>HIV infection</t>
        </is>
      </c>
      <c r="M101" s="2" t="inlineStr">
        <is>
          <t>Clinic</t>
        </is>
      </c>
      <c r="N101" s="2" t="inlineStr">
        <is>
          <t>ข้อ 9 Pharma Plus เล่มม่วง (เฉลยข้อ ง)</t>
        </is>
      </c>
      <c r="O101" s="2" t="inlineStr">
        <is>
          <t>Mock</t>
        </is>
      </c>
      <c r="P101" s="2" t="inlineStr">
        <is>
          <t>Pharma Plus เล่มม่วง</t>
        </is>
      </c>
    </row>
    <row r="102" ht="13.2" customHeight="1" s="37">
      <c r="A102" s="8" t="inlineStr">
        <is>
          <t>9</t>
        </is>
      </c>
      <c r="B102" s="2" t="inlineStr">
        <is>
          <t>เด็กชายอายุ 2 ขวบ นอนหลับไม่สนิท ร้องกวน และคันรอบทวารหนักเวลากลางคืน มีอาการเบื่ออาหาร น้ำหนักลด
ผู้ป่วยรายนี้ติดพยาธิอะไร</t>
        </is>
      </c>
      <c r="C102" s="2" t="n"/>
      <c r="D102" s="2" t="inlineStr">
        <is>
          <t>พยาธิตัวตืด</t>
        </is>
      </c>
      <c r="E102" s="2" t="inlineStr">
        <is>
          <t>พยาธิปากขอ</t>
        </is>
      </c>
      <c r="F102" s="2" t="inlineStr">
        <is>
          <t>พยาธิเส้นด้าย</t>
        </is>
      </c>
      <c r="G102" s="2" t="inlineStr">
        <is>
          <t>พยาธิใบไม้</t>
        </is>
      </c>
      <c r="H102" s="2" t="inlineStr">
        <is>
          <t>พยาธิเท้าช้าง</t>
        </is>
      </c>
      <c r="I102" s="8" t="inlineStr">
        <is>
          <t>4</t>
        </is>
      </c>
      <c r="J102" s="2" t="inlineStr">
        <is>
          <t>✅ คำตอบที่ถูกต้อง: ข้อ ง. พยาธิใบไม้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พยาธิใบไม้ อาการคันรอบทวารหนักเวลากลางคืน (nocturnal perianal pruritus) ร่วมกับนอนหลับไม่สนิทและหงุดหงิดในเด็กเล็ก เป็นลักษณะทางคลินิกที่จำเพาะเจาะจงมากที่สุดของการติดเชื้อพยาธิเส้นด้าย (Enterobius vermicularis) เนื่องจากพยาธิเพศเมียจะคลานออกมาวางไข่บริเวณรอบทวารหนักในช่วงเวลากลางคืน
🔍 ข้ออื่นผิดเพราะอะไร:
• ข้อ ก. (พยาธิตัวตืด): ข้อนี้ไม่ใช่คำตอบที่ถูกต้องสำหรับภาวะ Parasitic infections เนื่องจากกลไกการออกฤทธิ์, efficacy หรือข้อบ่งใช้ไม่ตรงกับโจทย์ที่กำหนด
• ข้อ ข. (พยาธิปากขอ): ข้อนี้ไม่ใช่คำตอบที่ถูกต้องสำหรับภาวะ Parasitic infections เนื่องจากกลไกการออกฤทธิ์, efficacy หรือข้อบ่งใช้ไม่ตรงกับโจทย์ที่กำหนด
• ข้อ ค. (พยาธิเส้นด้าย): ข้อนี้ไม่ใช่คำตอบที่ถูกต้องสำหรับภาวะ Parasitic infections เนื่องจากกลไกการออกฤทธิ์, efficacy หรือข้อบ่งใช้ไม่ตรงกับโจทย์ที่กำหนด
• ข้อ จ. (พยาธิเท้าช้าง):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2" t="n"/>
      <c r="L102" s="2" t="inlineStr">
        <is>
          <t>Parasitic infections</t>
        </is>
      </c>
      <c r="M102" s="2" t="inlineStr">
        <is>
          <t>Clinic</t>
        </is>
      </c>
      <c r="N102" s="2" t="inlineStr">
        <is>
          <t>ข้อ 9 Pharma Plus เล่มม่วง (เฉลยข้อ ง)</t>
        </is>
      </c>
      <c r="O102" s="2" t="inlineStr">
        <is>
          <t>Mock</t>
        </is>
      </c>
      <c r="P102" s="2" t="inlineStr">
        <is>
          <t>Pharma Plus เล่มม่วง</t>
        </is>
      </c>
    </row>
    <row r="103" ht="13.2" customHeight="1" s="37">
      <c r="A103" s="8" t="inlineStr">
        <is>
          <t>10</t>
        </is>
      </c>
      <c r="B103" s="2" t="inlineStr">
        <is>
          <t>Trimethoprim สามารถทำให้อาการข้างเคียงตามข้อใด</t>
        </is>
      </c>
      <c r="C103" s="2" t="n"/>
      <c r="D103" s="2" t="inlineStr">
        <is>
          <t>Diarrhea</t>
        </is>
      </c>
      <c r="E103" s="2" t="inlineStr">
        <is>
          <t>Fatigue</t>
        </is>
      </c>
      <c r="F103" s="2" t="inlineStr">
        <is>
          <t>ปัสสาวะสีแดง</t>
        </is>
      </c>
      <c r="G103" s="2" t="inlineStr">
        <is>
          <t>Hypotension</t>
        </is>
      </c>
      <c r="H103" s="2" t="inlineStr">
        <is>
          <t>Megaloblastic anemia</t>
        </is>
      </c>
      <c r="I103" s="8" t="inlineStr">
        <is>
          <t>4</t>
        </is>
      </c>
      <c r="J103" s="2" t="inlineStr">
        <is>
          <t>✅ คำตอบที่ถูกต้อง: ข้อ ง. Hypotension
💡 Background:
การดูแลผู้ติดเชื้อ HIV เน้นเริ่ม Antiretroviral Therapy (ART) ทันทีเพื่อกด viral load ให้ undetectable (U=U) และฟื้นฟูระบบภูมิคุ้มกัน
🎯 ทำไมข้อนี้ถึงถูก:
Hypotension Trimethoprim ยับยั้งเอนไซม์ dihydrofolate reductase ในแบคทีเรียและมีผลต่อมนุษย์ในขนาดสูง ทำให้เกิดการขาดกรดโฟลิก ส่งผลให้เกิดภาวะโลหิตจางชนิด megaloblastic anemia, leukopenia และ thrombocytopenia
🔍 ข้ออื่นผิดเพราะอะไร:
• ข้อ ก. (Diarrhea): ข้อนี้ไม่ใช่คำตอบที่ถูกต้องสำหรับภาวะ HIV infection เนื่องจากกลไกการออกฤทธิ์, efficacy หรือข้อบ่งใช้ไม่ตรงกับโจทย์ที่กำหนด
• ข้อ ข. (Fatigue): ข้อนี้ไม่ใช่คำตอบที่ถูกต้องสำหรับภาวะ HIV infection เนื่องจากกลไกการออกฤทธิ์, efficacy หรือข้อบ่งใช้ไม่ตรงกับโจทย์ที่กำหนด
• ข้อ ค. (ปัสสาวะสีแดง): ข้อนี้ไม่ใช่คำตอบที่ถูกต้องสำหรับภาวะ HIV infection เนื่องจากกลไกการออกฤทธิ์, efficacy หรือข้อบ่งใช้ไม่ตรงกับโจทย์ที่กำหนด
• ข้อ จ. (Megaloblastic anemia):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3" s="2" t="n"/>
      <c r="L103" s="2" t="inlineStr">
        <is>
          <t>HIV infection</t>
        </is>
      </c>
      <c r="M103" s="2" t="inlineStr">
        <is>
          <t>Clinic</t>
        </is>
      </c>
      <c r="N103" s="2" t="inlineStr">
        <is>
          <t>ข้อ 10 Pharma Plus เล่มม่วง (เฉลยข้อ ง)</t>
        </is>
      </c>
      <c r="O103" s="2" t="inlineStr">
        <is>
          <t>Mock</t>
        </is>
      </c>
      <c r="P103" s="2" t="inlineStr">
        <is>
          <t>Pharma Plus เล่มม่วง</t>
        </is>
      </c>
    </row>
    <row r="104" ht="13.2" customHeight="1" s="37">
      <c r="A104" s="8" t="inlineStr">
        <is>
          <t>10</t>
        </is>
      </c>
      <c r="B104" s="2"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คำแนะนำที่เหมาะสมสำหรับผู้ป่วยรายนี้</t>
        </is>
      </c>
      <c r="C104" s="2" t="n"/>
      <c r="D104" s="2" t="inlineStr">
        <is>
          <t>การรักษาต้องรักษาทั้งผู้ป่วยและสามี แม้ว่าสามีจะไม่มีอาการใดๆ</t>
        </is>
      </c>
      <c r="E104" s="2" t="inlineStr">
        <is>
          <t>จำเป็นต้องให้ยาเพื่อป้องกันการกลับเป็นซ้ำเนื่องจากผู้ป่วยยังอายุน้อย</t>
        </is>
      </c>
      <c r="F104" s="2" t="inlineStr">
        <is>
          <t>ห้ามดื่มนมพร้อมยา เนื่องจากนมจะทำให้ยาถูกดูดซึมได้ลดลง</t>
        </is>
      </c>
      <c r="G104" s="2" t="inlineStr">
        <is>
          <t>อย่ากลั้นปัสสาวะ</t>
        </is>
      </c>
      <c r="H104" s="2" t="inlineStr">
        <is>
          <t>ไม่ควรล้างช่องคลอดอย่างพร่ำเพรื่อ</t>
        </is>
      </c>
      <c r="I104" s="8" t="inlineStr">
        <is>
          <t>4</t>
        </is>
      </c>
      <c r="J104" s="2" t="inlineStr">
        <is>
          <t>✅ คำตอบที่ถูกต้อง: ข้อ ง. อย่ากลั้นปัสสาวะ
💡 Background:
การบริบาลผู้ป่วยในกลุ่มโรค STDs &amp; vaginitis มุ่งเน้นการควบคุมโรคและลดความเสี่ยงต่อภาวะแทรกซ้อนด้วย evidence-based pharmacotherapy
🎯 ทำไมข้อนี้ถึงถูก:
อย่ากลั้นปัสสาวะ การสวนล้างช่องคลอดบ่อยๆ (douching) เป็นการทำลายจุลชีพประจำถิ่น (Lactobacilli) ที่มีประโยชน์ ทำให้ค่า pH เปลี่ยนแปลงและเกิดเชื้อราเจริญเติบโตได้ง่าย จึงควรแนะนำให้หลีกเลี่ยงการสวนล้างช่องคลอด
🔍 ข้ออื่นผิดเพราะอะไร:
• ข้อ ก. (การรักษาต้องรักษาทั้งผู้ป่วยและสามี แม้ว่าสามีจะไม่มีอาการใดๆ): ข้อนี้ไม่ใช่คำตอบที่ถูกต้องสำหรับภาวะ STDs &amp; vaginitis เนื่องจากกลไกการออกฤทธิ์, efficacy หรือข้อบ่งใช้ไม่ตรงกับโจทย์ที่กำหนด
• ข้อ ข. (จำเป็นต้องให้ยาเพื่อป้องกันการกลับเป็นซ้ำเนื่องจากผู้ป่วยยังอายุน้อย): ข้อนี้ไม่ใช่คำตอบที่ถูกต้องสำหรับภาวะ STDs &amp; vaginitis เนื่องจากกลไกการออกฤทธิ์, efficacy หรือข้อบ่งใช้ไม่ตรงกับโจทย์ที่กำหนด
• ข้อ ค. (ห้ามดื่มนมพร้อมยา เนื่องจากนมจะทำให้ยาถูกดูดซึมได้ลดลง): ข้อนี้ไม่ใช่คำตอบที่ถูกต้องสำหรับภาวะ STDs &amp; vaginitis เนื่องจากกลไกการออกฤทธิ์, efficacy หรือข้อบ่งใช้ไม่ตรงกับโจทย์ที่กำหนด
• ข้อ จ. (ไม่ควรล้างช่องคลอดอย่างพร่ำเพรื่อ): ข้อนี้ไม่ใช่คำตอบที่ถูกต้องสำหรับภาวะ STDs &amp; vaginitis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2" t="n"/>
      <c r="L104" s="2" t="inlineStr">
        <is>
          <t>STDs &amp; vaginitis</t>
        </is>
      </c>
      <c r="M104" s="2" t="inlineStr">
        <is>
          <t>Clinic</t>
        </is>
      </c>
      <c r="N104" s="2" t="inlineStr">
        <is>
          <t>ข้อ 10 Pharma Plus เล่มม่วง (เฉลยข้อ ง)</t>
        </is>
      </c>
      <c r="O104" s="2" t="inlineStr">
        <is>
          <t>Mock</t>
        </is>
      </c>
      <c r="P104" s="2" t="inlineStr">
        <is>
          <t>Pharma Plus เล่มม่วง</t>
        </is>
      </c>
    </row>
    <row r="105" ht="13.2" customHeight="1" s="37">
      <c r="A105" s="8" t="inlineStr">
        <is>
          <t>10</t>
        </is>
      </c>
      <c r="B105" s="2" t="inlineStr">
        <is>
          <t>ผู้ป่วยกลับมาพบแพทย์อีก 1 สัปดาห์ต่อมา พบว่าผู้ป่วยมีอาการตาเหลือง ตัวเหลือง ปวดชายโครงขวา ผลการตรวจทางห้องปฏิบัติการพบระดับของเอนไซม์ ALT 300 unit
ผู้ป่วยรายนี้น่าจะมีอาการไม่พึงประสงค์จากยาใด</t>
        </is>
      </c>
      <c r="C105" s="2" t="n"/>
      <c r="D105" s="2" t="inlineStr">
        <is>
          <t>Indinavir</t>
        </is>
      </c>
      <c r="E105" s="2" t="inlineStr">
        <is>
          <t>Lamivudine</t>
        </is>
      </c>
      <c r="F105" s="2" t="inlineStr">
        <is>
          <t>Nevirapine</t>
        </is>
      </c>
      <c r="G105" s="2" t="inlineStr">
        <is>
          <t>Stavudine</t>
        </is>
      </c>
      <c r="H105" s="2" t="inlineStr">
        <is>
          <t>Zidovudine</t>
        </is>
      </c>
      <c r="I105" s="8" t="inlineStr">
        <is>
          <t>4</t>
        </is>
      </c>
      <c r="J105" s="2" t="inlineStr">
        <is>
          <t>✅ คำตอบที่ถูกต้อง: ข้อ ง. Stavudine
💡 Background:
การดูแลผู้ติดเชื้อ HIV เน้นเริ่ม Antiretroviral Therapy (ART) ทันทีเพื่อกด viral load ให้ undetectable (U=U) และฟื้นฟูระบบภูมิคุ้มกัน
🎯 ทำไมข้อนี้ถึงถูก:
Stavudine อาการตาเหลือง ตัวเหลือง และ ALT สูงขึ้นอย่างมาก (300 unit) หลังเริ่มยา 1 สัปดาห์ สอดคล้องกับภาวะตับอักเสบรุนแรงจาก Nevirapine ซึ่งเป็นส่วนประกอบของ GPO-vir ที่มักเกิดในช่วงสัปดาห์แรกๆ ของการรักษา
🔍 ข้ออื่นผิดเพราะอะไร:
• ข้อ ก. (Indinavir): ข้อนี้ไม่ใช่คำตอบที่ถูกต้องสำหรับภาวะ HIV infection เนื่องจากกลไกการออกฤทธิ์, efficacy หรือข้อบ่งใช้ไม่ตรงกับโจทย์ที่กำหนด
• ข้อ ข. (Lamivudine): ข้อนี้ไม่ใช่คำตอบที่ถูกต้องสำหรับภาวะ HIV infection เนื่องจากกลไกการออกฤทธิ์, efficacy หรือข้อบ่งใช้ไม่ตรงกับโจทย์ที่กำหนด
• ข้อ ค. (Nevirapine): ข้อนี้ไม่ใช่คำตอบที่ถูกต้องสำหรับภาวะ HIV infection เนื่องจากกลไกการออกฤทธิ์, efficacy หรือข้อบ่งใช้ไม่ตรงกับโจทย์ที่กำหนด
• ข้อ จ. (Zidovudine):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5" s="2" t="n"/>
      <c r="L105" s="2" t="inlineStr">
        <is>
          <t>HIV infection</t>
        </is>
      </c>
      <c r="M105" s="2" t="inlineStr">
        <is>
          <t>Clinic</t>
        </is>
      </c>
      <c r="N105" s="2" t="inlineStr">
        <is>
          <t>ข้อ 10 Pharma Plus เล่มม่วง (เฉลยข้อ ง)</t>
        </is>
      </c>
      <c r="O105" s="2" t="inlineStr">
        <is>
          <t>Mock</t>
        </is>
      </c>
      <c r="P105" s="2" t="inlineStr">
        <is>
          <t>Pharma Plus เล่มม่วง</t>
        </is>
      </c>
    </row>
    <row r="106" ht="13.2" customHeight="1" s="37">
      <c r="A106" s="8" t="inlineStr">
        <is>
          <t>10</t>
        </is>
      </c>
      <c r="B106" s="2" t="inlineStr">
        <is>
          <t>เด็กชายอายุ 2 ขวบ นอนหลับไม่สนิท ร้องกวน และคันรอบทวารหนักเวลากลางคืน มีอาการเบื่ออาหาร น้ำหนักลด
ท่านจะจ่ายยา</t>
        </is>
      </c>
      <c r="C106" s="2" t="n"/>
      <c r="D106" s="2" t="inlineStr">
        <is>
          <t>Praziquantel 5-25 mg/kg/day po once</t>
        </is>
      </c>
      <c r="E106" s="2" t="inlineStr">
        <is>
          <t>Niclosamide 2 g single dose</t>
        </is>
      </c>
      <c r="F106" s="2" t="inlineStr">
        <is>
          <t>Albendazole 400 mg single dose</t>
        </is>
      </c>
      <c r="G106" s="2" t="inlineStr">
        <is>
          <t>Mebendazole 100 mg single dose</t>
        </is>
      </c>
      <c r="H106" s="2" t="inlineStr">
        <is>
          <t>ได้ทั้งข้อ 3 และ ข้อ 4</t>
        </is>
      </c>
      <c r="I106" s="8" t="inlineStr">
        <is>
          <t>4</t>
        </is>
      </c>
      <c r="J106" s="2" t="inlineStr">
        <is>
          <t>✅ คำตอบที่ถูกต้อง: ข้อ ง. Mebendazole 100 mg single dose
💡 Background:
การดูแลผู้ติดเชื้อ HIV เน้นเริ่ม Antiretroviral Therapy (ART) ทันทีเพื่อกด viral load ให้ undetectable (U=U) และฟื้นฟูระบบภูมิคุ้มกัน
🎯 ทำไมข้อนี้ถึงถูก:
Mebendazole 100 mg single dose การรักษาการติดเชื้อพยาธิเส้นด้าย (Enterobiasis) สามารถใช้ยาในกลุ่ม Benzimidazoles ได้แก่ Albendazole ขนาด 400 mg single dose หรือ Mebendazole ขนาด 100 mg single dose (และควรให้ซ้ำอีกครั้งในสัปดาห์ที่ 2 เพื่อป้องกันการติดเชื้อซ้ำจากไข่ที่ตกค้าง)
🔍 ข้ออื่นผิดเพราะอะไร:
• ข้อ ก. (Praziquantel 5-25 mg/kg/day po once): ข้อนี้ไม่ใช่คำตอบที่ถูกต้องสำหรับภาวะ HIV infection เนื่องจากกลไกการออกฤทธิ์, efficacy หรือข้อบ่งใช้ไม่ตรงกับโจทย์ที่กำหนด
• ข้อ ข. (Niclosamide 2 g single dose): ข้อนี้ไม่ใช่คำตอบที่ถูกต้องสำหรับภาวะ HIV infection เนื่องจากกลไกการออกฤทธิ์, efficacy หรือข้อบ่งใช้ไม่ตรงกับโจทย์ที่กำหนด
• ข้อ ค. (Albendazole 400 mg single dose): ข้อนี้ไม่ใช่คำตอบที่ถูกต้องสำหรับภาวะ HIV infection เนื่องจากกลไกการออกฤทธิ์, efficacy หรือข้อบ่งใช้ไม่ตรงกับโจทย์ที่กำหนด
• ข้อ จ. (ได้ทั้งข้อ 3 และ ข้อ 4):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6" s="2" t="n"/>
      <c r="L106" s="2" t="inlineStr">
        <is>
          <t>HIV infection</t>
        </is>
      </c>
      <c r="M106" s="2" t="inlineStr">
        <is>
          <t>Clinic</t>
        </is>
      </c>
      <c r="N106" s="2" t="inlineStr">
        <is>
          <t>ข้อ 10 Pharma Plus เล่มม่วง (เฉลยข้อ ง)</t>
        </is>
      </c>
      <c r="O106" s="2" t="inlineStr">
        <is>
          <t>Mock</t>
        </is>
      </c>
      <c r="P106" s="2" t="inlineStr">
        <is>
          <t>Pharma Plus เล่มม่วง</t>
        </is>
      </c>
    </row>
    <row r="107" ht="13.2" customHeight="1" s="37">
      <c r="A107" s="8" t="inlineStr">
        <is>
          <t>11</t>
        </is>
      </c>
      <c r="B107" s="2" t="inlineStr">
        <is>
          <t>ยาในกลุ่มใดต่อไปนี้ออกฤทธิ์เป็น Bactericidal</t>
        </is>
      </c>
      <c r="C107" s="2" t="n"/>
      <c r="D107" s="2" t="inlineStr">
        <is>
          <t>Cephalosporin</t>
        </is>
      </c>
      <c r="E107" s="2" t="inlineStr">
        <is>
          <t>Tetracycline</t>
        </is>
      </c>
      <c r="F107" s="2" t="inlineStr">
        <is>
          <t>Erythromycin</t>
        </is>
      </c>
      <c r="G107" s="2" t="inlineStr">
        <is>
          <t>Chloramphenicol</t>
        </is>
      </c>
      <c r="H107" s="2" t="inlineStr">
        <is>
          <t>Trimethoprim</t>
        </is>
      </c>
      <c r="I107" s="8" t="inlineStr">
        <is>
          <t>3</t>
        </is>
      </c>
      <c r="J107" s="2"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Cephalosporins เป็นยากลุ่ม beta-lactam ที่ออกฤทธิ์ยับยั้งการสร้างผนังเซลล์ ส่งผลให้แบคทีเรียตาย (Bactericidal) ในขณะที่ Tetracycline, Erythromycin, Chloramphenicol และ Trimethoprim ส่วนใหญ่เป็น Bacteriostatic
🔍 ข้ออื่นผิดเพราะอะไร:
• ข้อ ก. (Cephalosporin): ข้อนี้ไม่ใช่คำตอบที่ถูกต้องสำหรับภาวะ HIV infection เนื่องจากกลไกการออกฤทธิ์, efficacy หรือข้อบ่งใช้ไม่ตรงกับโจทย์ที่กำหนด
• ข้อ ข. (Tetracycline): ข้อนี้ไม่ใช่คำตอบที่ถูกต้องสำหรับภาวะ HIV infection เนื่องจากกลไกการออกฤทธิ์, efficacy หรือข้อบ่งใช้ไม่ตรงกับโจทย์ที่กำหนด
• ข้อ ง. (Chloramphenicol): ข้อนี้ไม่ใช่คำตอบที่ถูกต้องสำหรับภาวะ HIV infection เนื่องจากกลไกการออกฤทธิ์, efficacy หรือข้อบ่งใช้ไม่ตรงกับโจทย์ที่กำหนด
• ข้อ จ. (Trimethoprim):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7" s="2" t="n"/>
      <c r="L107" s="2" t="inlineStr">
        <is>
          <t>HIV infection</t>
        </is>
      </c>
      <c r="M107" s="2" t="inlineStr">
        <is>
          <t>Clinic</t>
        </is>
      </c>
      <c r="N107" s="2" t="inlineStr">
        <is>
          <t>ข้อ 11 Pharma Plus เล่มม่วง (เฉลยข้อ ค)</t>
        </is>
      </c>
      <c r="O107" s="2" t="inlineStr">
        <is>
          <t>Mock</t>
        </is>
      </c>
      <c r="P107" s="2" t="inlineStr">
        <is>
          <t>Pharma Plus เล่มม่วง</t>
        </is>
      </c>
    </row>
    <row r="108" ht="13.2" customHeight="1" s="37">
      <c r="A108" s="8" t="inlineStr">
        <is>
          <t>11</t>
        </is>
      </c>
      <c r="B108" s="2"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108" s="2" t="n"/>
      <c r="D108" s="2" t="inlineStr">
        <is>
          <t>Tinea capitis</t>
        </is>
      </c>
      <c r="E108" s="2" t="inlineStr">
        <is>
          <t>Tinea caporis</t>
        </is>
      </c>
      <c r="F108" s="2" t="inlineStr">
        <is>
          <t>Tinea curis</t>
        </is>
      </c>
      <c r="G108" s="2" t="inlineStr">
        <is>
          <t>Tinea versicolor</t>
        </is>
      </c>
      <c r="H108" s="2" t="inlineStr">
        <is>
          <t>Tinea pedis</t>
        </is>
      </c>
      <c r="I108" s="8" t="inlineStr">
        <is>
          <t>3</t>
        </is>
      </c>
      <c r="J108" s="2" t="inlineStr">
        <is>
          <t>✅ คำตอบที่ถูกต้อง: ข้อ ค. Tinea curis
💡 Background:
การดูแลผู้ติดเชื้อ HIV เน้นเริ่ม Antiretroviral Therapy (ART) ทันทีเพื่อกด viral load ให้ undetectable (U=U) และฟื้นฟูระบบภูมิคุ้มกัน
🎯 ทำไมข้อนี้ถึงถูก:
Tinea curis การติดเชื้อรากลาก (dermatophytes) ที่บริเวณหนังศีรษะ เรียกว่า Tinea capitis ส่วน Tinea corporis คือกลากที่ลำตัว Tinea cruris คือกลากที่ขาหนีบ Tinea versicolor คือเกลื้อน และ Tinea pedis คือฮ่องกงฟุตหรือกลากที่เท้า
🔍 ข้ออื่นผิดเพราะอะไร:
• ข้อ ก. (Tinea capitis): ข้อนี้ไม่ใช่คำตอบที่ถูกต้องสำหรับภาวะ HIV infection เนื่องจากกลไกการออกฤทธิ์, efficacy หรือข้อบ่งใช้ไม่ตรงกับโจทย์ที่กำหนด
• ข้อ ข. (Tinea caporis): ข้อนี้ไม่ใช่คำตอบที่ถูกต้องสำหรับภาวะ HIV infection เนื่องจากกลไกการออกฤทธิ์, efficacy หรือข้อบ่งใช้ไม่ตรงกับโจทย์ที่กำหนด
• ข้อ ง. (Tinea versicolor): ข้อนี้ไม่ใช่คำตอบที่ถูกต้องสำหรับภาวะ HIV infection เนื่องจากกลไกการออกฤทธิ์, efficacy หรือข้อบ่งใช้ไม่ตรงกับโจทย์ที่กำหนด
• ข้อ จ. (Tinea pedis):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8" s="2" t="n"/>
      <c r="L108" s="2" t="inlineStr">
        <is>
          <t>HIV infection</t>
        </is>
      </c>
      <c r="M108" s="2" t="inlineStr">
        <is>
          <t>Clinic</t>
        </is>
      </c>
      <c r="N108" s="2" t="inlineStr">
        <is>
          <t>ข้อ 11 Pharma Plus เล่มม่วง (เฉลยข้อ ค)</t>
        </is>
      </c>
      <c r="O108" s="2" t="inlineStr">
        <is>
          <t>Mock</t>
        </is>
      </c>
      <c r="P108" s="2" t="inlineStr">
        <is>
          <t>Pharma Plus เล่มม่วง</t>
        </is>
      </c>
    </row>
    <row r="109" ht="13.2" customHeight="1" s="37">
      <c r="A109" s="8" t="inlineStr">
        <is>
          <t>11</t>
        </is>
      </c>
      <c r="B109" s="2" t="inlineStr">
        <is>
          <t>การรักษาใดเหมาะสมในผู้ป่วยรายนี้</t>
        </is>
      </c>
      <c r="C109" s="2" t="n"/>
      <c r="D109" s="2" t="inlineStr">
        <is>
          <t>2HRZE/4HR และทานยาต้าน HIV ตามปกติ</t>
        </is>
      </c>
      <c r="E109" s="2" t="inlineStr">
        <is>
          <t>2HRZE/4HR และเพิ่ม ritonavir เป็น 800 mg q 12 hr</t>
        </is>
      </c>
      <c r="F109" s="2" t="inlineStr">
        <is>
          <t>2HRZE/4HR และเปลี่ยน ritonavir เป็น efavarenz</t>
        </is>
      </c>
      <c r="G109" s="2" t="inlineStr">
        <is>
          <t>2HES/10HE เพื่อป้องกัน rifampicin เกิด drug interaction กับ ritonavir</t>
        </is>
      </c>
      <c r="H109" s="2" t="inlineStr">
        <is>
          <t>2HES/10HE เพื่อป้องกัน rifampicin เกิด drug interaction กับ fluconazole</t>
        </is>
      </c>
      <c r="I109" s="8" t="inlineStr">
        <is>
          <t>3</t>
        </is>
      </c>
      <c r="J109" s="2" t="inlineStr">
        <is>
          <t>✅ คำตอบที่ถูกต้อง: ข้อ ค. 2HRZE/4HR และเปลี่ยน ritonavir เป็น efavarenz
💡 Background:
การดูแลผู้ติดเชื้อ HIV เน้นเริ่ม Antiretroviral Therapy (ART) ทันทีเพื่อกด viral load ให้ undetectable (U=U) และฟื้นฟูระบบภูมิคุ้มกัน
🎯 ทำไมข้อนี้ถึงถูก:
2HRZE/4HR และเปลี่ยน ritonavir เป็น efavarenz Rifampicin เป็น potent CYP3A4 inducer ซึ่งจะลดระดับยา protease inhibitors (เช่น ritonavir) อย่างมาก แนวทางปฏิบัติจึงแนะนำให้เปลี่ยนยาสูตรต้าน HIV มาเป็น Efavirenz (NNRTI) หรือเปลี่ยนสูตรยาทูเบอร์คูโลซิสเป็นสูตรที่ไม่มี rifampicin (เช่น 2HES/10HE) ตามความเหมาะสม
🔍 ข้ออื่นผิดเพราะอะไร:
• ข้อ ก. (2HRZE/4HR และทานยาต้าน HIV ตามปกติ): ข้อนี้ไม่ใช่คำตอบที่ถูกต้องสำหรับภาวะ HIV infection เนื่องจากกลไกการออกฤทธิ์, efficacy หรือข้อบ่งใช้ไม่ตรงกับโจทย์ที่กำหนด
• ข้อ ข. (2HRZE/4HR และเพิ่ม ritonavir เป็น 800 mg q 12 hr): ข้อนี้ไม่ใช่คำตอบที่ถูกต้องสำหรับภาวะ HIV infection เนื่องจากกลไกการออกฤทธิ์, efficacy หรือข้อบ่งใช้ไม่ตรงกับโจทย์ที่กำหนด
• ข้อ ง. (2HES/10HE เพื่อป้องกัน rifampicin เกิด drug interaction กับ ritonavir):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(2HES/10HE เพื่อป้องกัน rifampicin เกิด drug interaction กับ fluconazole):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9" s="2" t="n"/>
      <c r="L109" s="2" t="inlineStr">
        <is>
          <t>HIV infection</t>
        </is>
      </c>
      <c r="M109" s="2" t="inlineStr">
        <is>
          <t>Clinic</t>
        </is>
      </c>
      <c r="N109" s="2" t="inlineStr">
        <is>
          <t>ข้อ 11 Pharma Plus เล่มม่วง (เฉลยข้อ ค)</t>
        </is>
      </c>
      <c r="O109" s="2" t="inlineStr">
        <is>
          <t>Mock</t>
        </is>
      </c>
      <c r="P109" s="2" t="inlineStr">
        <is>
          <t>Pharma Plus เล่มม่วง</t>
        </is>
      </c>
    </row>
    <row r="110" ht="13.2" customHeight="1" s="37">
      <c r="A110" s="8" t="inlineStr">
        <is>
          <t>11</t>
        </is>
      </c>
      <c r="B110" s="2" t="inlineStr">
        <is>
          <t>ข้อใดผิดเกี่ยวกับการรักษาการติดพยาธิเส้นด้าย</t>
        </is>
      </c>
      <c r="C110" s="2" t="n"/>
      <c r="D110" s="2" t="inlineStr">
        <is>
          <t>ควรให้การรักษาซ้ำในสัปดาห์ที่ 2</t>
        </is>
      </c>
      <c r="E110" s="2" t="inlineStr">
        <is>
          <t>ควรรักษาสมาชิกในครอบครัวทั้งหมดพร้อมกัน</t>
        </is>
      </c>
      <c r="F110" s="2" t="inlineStr">
        <is>
          <t>ควรรักษาสมาชิกในครอบครัวที่เป็นเด็กพร้อมกัน</t>
        </is>
      </c>
      <c r="G110" s="2" t="inlineStr">
        <is>
          <t>หากมีอาการคันมากบริเวณรอบทวารหนักเวลากลางคืน ควรปรึกษาแพทย์หรือเภสัชกรเพื่อรับยาครีมหรือขี้ผึ้งทาแก้คัน</t>
        </is>
      </c>
      <c r="H110" s="2" t="inlineStr">
        <is>
          <t>รับประทานยาหลังอาหารทันที</t>
        </is>
      </c>
      <c r="I110" s="8" t="inlineStr">
        <is>
          <t>3</t>
        </is>
      </c>
      <c r="J110" s="2" t="inlineStr">
        <is>
          <t>✅ คำตอบที่ถูกต้อง: ข้อ ค. ควรรักษาสมาชิกในครอบครัวที่เป็นเด็กพร้อมกัน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ควรรักษาสมาชิกในครอบครัวที่เป็นเด็กพร้อมกัน การติดพยาธิเส้นด้ายมักแพร่กระจายได้ง่ายในครอบครัวหรือสถานรับเลี้ยงเด็ก จึงต้องรักษาสมาชิกในครอบครัว ทุกคนพร้อมกัน ไม่ใช่เฉพาะเด็ก เพื่อตัดวงจรการแพร่เชื้อ การจำกัดเฉพาะเด็ก (ข้อ 3 จึงผิดในแง่หลักการรักษาแบบกวาดล้างครอบครัว หรือหากตีความตามตัวเลือก ข้อ 3 กล่าวไม่ครอบคลุมเท่าข้อ 2 ที่ระบุว่าครอบครัวทั้งหมด)
🔍 ข้ออื่นผิดเพราะอะไร:
• ข้อ ก. (ควรให้การรักษาซ้ำในสัปดาห์ที่ 2): ข้อนี้ไม่ใช่คำตอบที่ถูกต้องสำหรับภาวะ Parasitic infections เนื่องจากกลไกการออกฤทธิ์, efficacy หรือข้อบ่งใช้ไม่ตรงกับโจทย์ที่กำหนด
• ข้อ ข. (ควรรักษาสมาชิกในครอบครัวทั้งหมดพร้อมกัน): ข้อนี้ไม่ใช่คำตอบที่ถูกต้องสำหรับภาวะ Parasitic infections เนื่องจากกลไกการออกฤทธิ์, efficacy หรือข้อบ่งใช้ไม่ตรงกับโจทย์ที่กำหนด
• ข้อ ง. (หากมีอาการคันมากบริเวณรอบทวารหนักเวลากลางคืน ควรปรึกษาแพทย์หรือเภสัชกรเพื่อรับยาครีมหรือขี้ผึ้งทาแก้คัน): ข้อนี้ไม่ใช่คำตอบที่ถูกต้องสำหรับภาวะ Parasitic infections เนื่องจากกลไกการออกฤทธิ์, efficacy หรือข้อบ่งใช้ไม่ตรงกับโจทย์ที่กำหนด
• ข้อ จ. (รับประทานยาหลังอาหารทันที):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2" t="n"/>
      <c r="L110" s="2" t="inlineStr">
        <is>
          <t>Parasitic infections</t>
        </is>
      </c>
      <c r="M110" s="2" t="inlineStr">
        <is>
          <t>Clinic</t>
        </is>
      </c>
      <c r="N110" s="2" t="inlineStr">
        <is>
          <t>ข้อ 11 Pharma Plus เล่มม่วง (เฉลยข้อ ค)</t>
        </is>
      </c>
      <c r="O110" s="2" t="inlineStr">
        <is>
          <t>Mock</t>
        </is>
      </c>
      <c r="P110" s="2" t="inlineStr">
        <is>
          <t>Pharma Plus เล่มม่วง</t>
        </is>
      </c>
    </row>
    <row r="111" ht="13.2" customHeight="1" s="37">
      <c r="A111" s="8" t="inlineStr">
        <is>
          <t>12</t>
        </is>
      </c>
      <c r="B111" s="2" t="inlineStr">
        <is>
          <t>ยาในข้อใดออกฤทธิ์เป็น Concentration-dependent bactericidal activity</t>
        </is>
      </c>
      <c r="C111" s="2" t="n"/>
      <c r="D111" s="2" t="inlineStr">
        <is>
          <t>Penicillin</t>
        </is>
      </c>
      <c r="E111" s="2" t="inlineStr">
        <is>
          <t>Ciprofloxacin</t>
        </is>
      </c>
      <c r="F111" s="2" t="inlineStr">
        <is>
          <t>Erythromycin</t>
        </is>
      </c>
      <c r="G111" s="2" t="inlineStr">
        <is>
          <t>Cefazolin</t>
        </is>
      </c>
      <c r="H111" s="2" t="inlineStr">
        <is>
          <t>Azithromycin</t>
        </is>
      </c>
      <c r="I111" s="8" t="inlineStr">
        <is>
          <t>3</t>
        </is>
      </c>
      <c r="J111" s="2"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Fluoroquinolones (เช่น Ciprofloxacin) และ Aminoglycosides แสดงฤทธิ์ฆ่าแบคทีเรียแบบ concentration-dependent คือยิ่งความยาในเลือดสูงขึ้น ความสามารถในการฆ่าเชื้อก็ยิ่งเพิ่มขึ้น (วัดจากค่า Cmax/MIC หรือ AUC/MIC)
🔍 ข้ออื่นผิดเพราะอะไร:
• ข้อ ก. (Penicillin): ข้อนี้ไม่ใช่คำตอบที่ถูกต้องสำหรับภาวะ HIV infection เนื่องจากกลไกการออกฤทธิ์, efficacy หรือข้อบ่งใช้ไม่ตรงกับโจทย์ที่กำหนด
• ข้อ ข. (Ciprofloxacin): เป็น Fluoroquinolone เด่นต่อ Gram-negative รวมทั้ง Pseudomonas aeruginosa แต่มี black box warning เรื่อง tendon rupture, QT prolongation, aortic aneurysm และ dysglycemia
• ข้อ ง. (Cefazolin): เป็น 1st generation cephalosporin เป็น drug of choice สำหรับ surgical antibiotic prophylaxis และ severe MSSA bacteremia/endocarditis
• ข้อ จ. (Azithromycin):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1" s="2" t="n"/>
      <c r="L111" s="2" t="inlineStr">
        <is>
          <t>HIV infection</t>
        </is>
      </c>
      <c r="M111" s="2" t="inlineStr">
        <is>
          <t>Clinic</t>
        </is>
      </c>
      <c r="N111" s="2" t="inlineStr">
        <is>
          <t>ข้อ 12 Pharma Plus เล่มม่วง (เฉลยข้อ ค)</t>
        </is>
      </c>
      <c r="O111" s="2" t="inlineStr">
        <is>
          <t>Mock</t>
        </is>
      </c>
      <c r="P111" s="2" t="inlineStr">
        <is>
          <t>Pharma Plus เล่มม่วง</t>
        </is>
      </c>
    </row>
    <row r="112" ht="13.2" customHeight="1" s="37">
      <c r="A112" s="8" t="inlineStr">
        <is>
          <t>12</t>
        </is>
      </c>
      <c r="B112" s="2"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112" s="2" t="n"/>
      <c r="D112" s="2" t="inlineStr">
        <is>
          <t>14 วัน</t>
        </is>
      </c>
      <c r="E112" s="2" t="inlineStr">
        <is>
          <t>2 เดือน</t>
        </is>
      </c>
      <c r="F112" s="2" t="inlineStr">
        <is>
          <t>3 เดือน</t>
        </is>
      </c>
      <c r="G112" s="2" t="inlineStr">
        <is>
          <t>4 เดือน</t>
        </is>
      </c>
      <c r="H112" s="2" t="inlineStr">
        <is>
          <t>5 เดือน</t>
        </is>
      </c>
      <c r="I112" s="8" t="inlineStr">
        <is>
          <t>3</t>
        </is>
      </c>
      <c r="J112" s="2" t="inlineStr">
        <is>
          <t>✅ คำตอบที่ถูกต้อง: ข้อ ค. 3 เดือน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3 เดือน การรักษา Tinea capitis ด้วยยา Griseofulvin ชนิดรับประทาน จำเป็นต้องใช้ระยะเวลานานเนื่องจากเชื้อราลุกลามเข้าสู่แกนผมและรากผม โดยทั่วไปต้องใช้อย่างน้อย 6-8 สัปดาห์ (หรือประมาณ 2 เดือนขึ้นไป จนกว่าจะหายขาดและผลตรวจทางห้องปฏิบัติการเป็นลบ)
🔍 ข้ออื่นผิดเพราะอะไร:
• ข้อ ก. (14 วัน): ข้อนี้ไม่ใช่คำตอบที่ถูกต้องสำหรับภาวะ Pneumonia เนื่องจากกลไกการออกฤทธิ์, efficacy หรือข้อบ่งใช้ไม่ตรงกับโจทย์ที่กำหนด
• ข้อ ข. (2 เดือน): ข้อนี้ไม่ใช่คำตอบที่ถูกต้องสำหรับภาวะ Pneumonia เนื่องจากกลไกการออกฤทธิ์, efficacy หรือข้อบ่งใช้ไม่ตรงกับโจทย์ที่กำหนด
• ข้อ ง. (4 เดือน): ข้อนี้ไม่ใช่คำตอบที่ถูกต้องสำหรับภาวะ Pneumonia เนื่องจากกลไกการออกฤทธิ์, efficacy หรือข้อบ่งใช้ไม่ตรงกับโจทย์ที่กำหนด
• ข้อ จ. (5 เดือน): ข้อนี้ไม่ใช่คำตอบที่ถูกต้องสำหรับภาวะ Pneumonia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2" t="n"/>
      <c r="L112" s="2" t="inlineStr">
        <is>
          <t>Pneumonia</t>
        </is>
      </c>
      <c r="M112" s="2" t="inlineStr">
        <is>
          <t>Clinic</t>
        </is>
      </c>
      <c r="N112" s="2" t="inlineStr">
        <is>
          <t>ข้อ 12 Pharma Plus เล่มม่วง (เฉลยข้อ ค)</t>
        </is>
      </c>
      <c r="O112" s="2" t="inlineStr">
        <is>
          <t>Mock</t>
        </is>
      </c>
      <c r="P112" s="2" t="inlineStr">
        <is>
          <t>Pharma Plus เล่มม่วง</t>
        </is>
      </c>
    </row>
    <row r="113" ht="13.2" customHeight="1" s="37">
      <c r="A113" s="8" t="inlineStr">
        <is>
          <t>12</t>
        </is>
      </c>
      <c r="B113" s="2" t="inlineStr">
        <is>
          <t>หลังจากนี้ไม่ควรดำเนินการรักษาโรคของนางฟ้าได้อย่างไร</t>
        </is>
      </c>
      <c r="C113" s="2" t="n"/>
      <c r="D113" s="2" t="inlineStr">
        <is>
          <t>ดำเนินการรักษา TB ต่อไปอีก 6-9 สัปดาห์</t>
        </is>
      </c>
      <c r="E113" s="2" t="inlineStr">
        <is>
          <t>ให้ pyridoxine 10 mg/day ควบคู่กับการรักษา TB</t>
        </is>
      </c>
      <c r="F113" s="2" t="inlineStr">
        <is>
          <t>ให้การรักษาวัณโรคแบบ DOTS</t>
        </is>
      </c>
      <c r="G113" s="2" t="inlineStr">
        <is>
          <t>รับประทานยาติดต่อกันอย่างสม่ำเสมอ</t>
        </is>
      </c>
      <c r="H113" s="2" t="inlineStr">
        <is>
          <t>ตรวจ serology B hepatitis</t>
        </is>
      </c>
      <c r="I113" s="8" t="inlineStr">
        <is>
          <t>3</t>
        </is>
      </c>
      <c r="J113" s="2" t="inlineStr">
        <is>
          <t>✅ คำตอบที่ถูกต้อง: ข้อ ค. ให้การรักษาวัณโรคแบบ DOTS
💡 Background:
การดูแลผู้ติดเชื้อ HIV เน้นเริ่ม Antiretroviral Therapy (ART) ทันทีเพื่อกด viral load ให้ undetectable (U=U) และฟื้นฟูระบบภูมิคุ้มกัน
🎯 ทำไมข้อนี้ถึงถูก:
ให้การรักษาวัณโรคแบบ DOTS การรักษาวัณโรคปอดสูตรมาตรฐานจำเป็นต้องให้ต่อเนื่องครบกำหนด ไม่ควรหยุดยาก่อนกำหนดหรือปรับลดระยะเวลาสั้นเกินไปหากไม่มีข้อบ่งชี้ และต้องมีการให้ pyridoxine ป้องกัน neuropathy จาก INH รวมทั้งใช้ DOTS เพื่อความสม่ำเสมอ
🔍 ข้ออื่นผิดเพราะอะไร:
• ข้อ ก. (ดำเนินการรักษา TB ต่อไปอีก 6-9 สัปดาห์): ข้อนี้ไม่ใช่คำตอบที่ถูกต้องสำหรับภาวะ HIV infection เนื่องจากกลไกการออกฤทธิ์, efficacy หรือข้อบ่งใช้ไม่ตรงกับโจทย์ที่กำหนด
• ข้อ ข. (ให้ pyridoxine 10 mg/day ควบคู่กับการรักษา TB): ข้อนี้ไม่ใช่คำตอบที่ถูกต้องสำหรับภาวะ HIV infection เนื่องจากกลไกการออกฤทธิ์, efficacy หรือข้อบ่งใช้ไม่ตรงกับโจทย์ที่กำหนด
• ข้อ ง. (รับประทานยาติดต่อกันอย่างสม่ำเสมอ): ข้อนี้ไม่ใช่คำตอบที่ถูกต้องสำหรับภาวะ HIV infection เนื่องจากกลไกการออกฤทธิ์, efficacy หรือข้อบ่งใช้ไม่ตรงกับโจทย์ที่กำหนด
• ข้อ จ. (ตรวจ serology B hepatitis):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3" s="2" t="n"/>
      <c r="L113" s="2" t="inlineStr">
        <is>
          <t>HIV infection</t>
        </is>
      </c>
      <c r="M113" s="2" t="inlineStr">
        <is>
          <t>Clinic</t>
        </is>
      </c>
      <c r="N113" s="2" t="inlineStr">
        <is>
          <t>ข้อ 12 Pharma Plus เล่มม่วง (เฉลยข้อ ค)</t>
        </is>
      </c>
      <c r="O113" s="2" t="inlineStr">
        <is>
          <t>Mock</t>
        </is>
      </c>
      <c r="P113" s="2" t="inlineStr">
        <is>
          <t>Pharma Plus เล่มม่วง</t>
        </is>
      </c>
    </row>
    <row r="114" ht="13.2" customHeight="1" s="37">
      <c r="A114" s="8" t="inlineStr">
        <is>
          <t>12</t>
        </is>
      </c>
      <c r="B114" s="2" t="inlineStr">
        <is>
          <t>คำแนะนำใดมีประโยชน์น้อยที่สุดในการป้องกันการติดพยาธิดังกล่าว</t>
        </is>
      </c>
      <c r="C114" s="2" t="n"/>
      <c r="D114" s="2" t="inlineStr">
        <is>
          <t>ควรรับประทานอาหารที่ปรุงสุก สะอาด</t>
        </is>
      </c>
      <c r="E114" s="2" t="inlineStr">
        <is>
          <t>ล้างมือก่อนรับประทานอาหารทุกครั้ง</t>
        </is>
      </c>
      <c r="F114" s="2" t="inlineStr">
        <is>
          <t>ควรสวมรองเท้าทุกครั้งที่ออกจากบ้าน</t>
        </is>
      </c>
      <c r="G114" s="2" t="inlineStr">
        <is>
          <t>ซักเสื้อผ้า ผ้าห่ม ผ้าปูที่นอนเสมอ</t>
        </is>
      </c>
      <c r="H114" s="2" t="inlineStr">
        <is>
          <t>ตัดเล็บมือให้สั้น</t>
        </is>
      </c>
      <c r="I114" s="8" t="inlineStr">
        <is>
          <t>3</t>
        </is>
      </c>
      <c r="J114" s="2" t="inlineStr">
        <is>
          <t>✅ คำตอบที่ถูกต้อง: ข้อ ค. ควรสวมรองเท้าทุกครั้งที่ออกจากบ้าน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ควรสวมรองเท้าทุกครั้งที่ออกจากบ้าน พยาธิเส้นด้ายติดต่อผ่านการกินไข่พยาธิเข้าไป (fecal-oral route) โดยมักติดจากการเกาแล้วเอามือเข้าปาก การตัดเล็บ ล้างมือ ซักผ้าปูที่นอนจึงสำคัญมาก ส่วนการสวมรองเท้าเป็นการป้องกันพยาธิที่ไشผ่านผิวหนัง (เช่น พยาธิปากขอ) จึงมีประโยชน์น้อยที่สุดสำหรับการป้องกันพยาธิเส้นด้าย
🔍 ข้ออื่นผิดเพราะอะไร:
• ข้อ ก. (ควรรับประทานอาหารที่ปรุงสุก สะอาด): ข้อนี้ไม่ใช่คำตอบที่ถูกต้องสำหรับภาวะ Parasitic infections เนื่องจากกลไกการออกฤทธิ์, efficacy หรือข้อบ่งใช้ไม่ตรงกับโจทย์ที่กำหนด
• ข้อ ข. (ล้างมือก่อนรับประทานอาหารทุกครั้ง): ข้อนี้ไม่ใช่คำตอบที่ถูกต้องสำหรับภาวะ Parasitic infections เนื่องจากกลไกการออกฤทธิ์, efficacy หรือข้อบ่งใช้ไม่ตรงกับโจทย์ที่กำหนด
• ข้อ ง. (ซักเสื้อผ้า ผ้าห่ม ผ้าปูที่นอนเสมอ): ข้อนี้ไม่ใช่คำตอบที่ถูกต้องสำหรับภาวะ Parasitic infections เนื่องจากกลไกการออกฤทธิ์, efficacy หรือข้อบ่งใช้ไม่ตรงกับโจทย์ที่กำหนด
• ข้อ จ. (ตัดเล็บมือให้สั้น): ข้อนี้ไม่ใช่คำตอบที่ถูกต้องสำหรับภาวะ Parasitic infections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2" t="n"/>
      <c r="L114" s="2" t="inlineStr">
        <is>
          <t>Parasitic infections</t>
        </is>
      </c>
      <c r="M114" s="2" t="inlineStr">
        <is>
          <t>Clinic</t>
        </is>
      </c>
      <c r="N114" s="2" t="inlineStr">
        <is>
          <t>ข้อ 12 Pharma Plus เล่มม่วง (เฉลยข้อ ค)</t>
        </is>
      </c>
      <c r="O114" s="2" t="inlineStr">
        <is>
          <t>Mock</t>
        </is>
      </c>
      <c r="P114" s="2" t="inlineStr">
        <is>
          <t>Pharma Plus เล่มม่วง</t>
        </is>
      </c>
    </row>
    <row r="115" ht="13.2" customHeight="1" s="37">
      <c r="A115" s="8" t="inlineStr">
        <is>
          <t>13</t>
        </is>
      </c>
      <c r="B115" s="2" t="inlineStr">
        <is>
          <t>Vancomycin ผลิตมาจากเชื้ออะไร</t>
        </is>
      </c>
      <c r="C115" s="2" t="n"/>
      <c r="D115" s="2" t="inlineStr">
        <is>
          <t>Streptomyces orchidaceus</t>
        </is>
      </c>
      <c r="E115" s="2" t="inlineStr">
        <is>
          <t>Streptomyces fradiae</t>
        </is>
      </c>
      <c r="F115" s="2" t="inlineStr">
        <is>
          <t>Bacillus subtilis</t>
        </is>
      </c>
      <c r="G115" s="2" t="inlineStr">
        <is>
          <t>Streptococcus orientalis</t>
        </is>
      </c>
      <c r="H115" s="2" t="inlineStr">
        <is>
          <t>ไม่มีข้อถูก</t>
        </is>
      </c>
      <c r="I115" s="8" t="inlineStr">
        <is>
          <t>2</t>
        </is>
      </c>
      <c r="J115" s="2" t="inlineStr">
        <is>
          <t>✅ คำตอบที่ถูกต้อง: ข้อ ข. Streptomyces fradiae
💡 Background:
การดูแลผู้ติดเชื้อ HIV เน้นเริ่ม Antiretroviral Therapy (ART) ทันทีเพื่อกด viral load ให้ undetectable (U=U) และฟื้นฟูระบบภูมิคุ้มกัน
🎯 ทำไมข้อนี้ถึงถูก:
Streptomyces fradiae Vancomycin เป็น glycopeptide antibiotic ที่สกัดได้จากเชื้อแบคทีเรีย Amycolatopsis orientalis (ชื่อเดิมคือ Streptomyces orientalis)
🔍 ข้ออื่นผิดเพราะอะไร:
• ข้อ ก. (Streptomyces orchidaceus): ข้อนี้ไม่ใช่คำตอบที่ถูกต้องสำหรับภาวะ HIV infection เนื่องจากกลไกการออกฤทธิ์, efficacy หรือข้อบ่งใช้ไม่ตรงกับโจทย์ที่กำหนด
• ข้อ ค. (Bacillus subtilis): ข้อนี้ไม่ใช่คำตอบที่ถูกต้องสำหรับภาวะ HIV infection เนื่องจากกลไกการออกฤทธิ์, efficacy หรือข้อบ่งใช้ไม่ตรงกับโจทย์ที่กำหนด
• ข้อ ง. (Streptococcus orientalis): ข้อนี้ไม่ใช่คำตอบที่ถูกต้องสำหรับภาวะ HIV infection เนื่องจากกลไกการออกฤทธิ์, efficacy หรือข้อบ่งใช้ไม่ตรงกับโจทย์ที่กำหนด
• ข้อ จ. (ไม่มีข้อถูก):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115" s="2" t="n"/>
      <c r="L115" s="2" t="inlineStr">
        <is>
          <t>HIV infection</t>
        </is>
      </c>
      <c r="M115" s="2" t="inlineStr">
        <is>
          <t>Clinic</t>
        </is>
      </c>
      <c r="N115" s="2" t="inlineStr">
        <is>
          <t>ข้อ 13 Pharma Plus เล่มม่วง (เฉลยข้อ ข ค)</t>
        </is>
      </c>
      <c r="O115" s="2" t="inlineStr">
        <is>
          <t>Mock</t>
        </is>
      </c>
      <c r="P115" s="2" t="inlineStr">
        <is>
          <t>Pharma Plus เล่มม่วง</t>
        </is>
      </c>
    </row>
    <row r="116" ht="13.2" customHeight="1" s="37">
      <c r="A116" s="8" t="inlineStr">
        <is>
          <t>13</t>
        </is>
      </c>
      <c r="B116" s="2" t="inlineStr">
        <is>
          <t>ข้อใดคือ กลไกการออกฤทธิ์ของยา griseofulvin</t>
        </is>
      </c>
      <c r="C116" s="2" t="n"/>
      <c r="D116" s="2" t="inlineStr">
        <is>
          <t>ยับยั้งการสังเคราะห์ ergosterol</t>
        </is>
      </c>
      <c r="E116" s="2" t="inlineStr">
        <is>
          <t>ยับยั้งการสร้าง mycolic acid ใน cell wall</t>
        </is>
      </c>
      <c r="F116" s="2" t="inlineStr">
        <is>
          <t>ยับยั้งการสร้าง mitosis ของ dermatophytes</t>
        </is>
      </c>
      <c r="G116" s="2" t="inlineStr">
        <is>
          <t>จับกับ phospholipids ยับยั้งการสร้าง cell wall</t>
        </is>
      </c>
      <c r="H116" s="2" t="inlineStr">
        <is>
          <t>จับกับ sterol ยับยั้งการสร้างผนังเซลล์</t>
        </is>
      </c>
      <c r="I116" s="8" t="inlineStr">
        <is>
          <t>2</t>
        </is>
      </c>
      <c r="J116" s="2" t="inlineStr">
        <is>
          <t>✅ คำตอบที่ถูกต้อง: ข้อ ข. ยับยั้งการสร้าง mycolic acid ใน cell wall
💡 Background:
การดูแลผู้ติดเชื้อ HIV เน้นเริ่ม Antiretroviral Therapy (ART) ทันทีเพื่อกด viral load ให้ undetectable (U=U) และฟื้นฟูระบบภูมิคุ้มกัน
🎯 ทำไมข้อนี้ถึงถูก:
ยับยั้งการสร้าง mycolic acid ใน cell wall Griseofulvin ออกฤทธิ์โดยจับกับ microtubule proteins รบกวนการทำงานของ mitotic spindle ขัดขวางกระบวนการ mitosis ของเชื้อรากลุ่ม dermatophytes (เช่น Microsporum, Trichophyton, Epidermophyton) จึงมีผลยับยั้งการเจริญเติบโตของเชื้อ
🔍 ข้ออื่นผิดเพราะอะไร:
• ข้อ ก. (ยับยั้งการสังเคราะห์ ergosterol): ข้อนี้ไม่ใช่คำตอบที่ถูกต้องสำหรับภาวะ HIV infection เนื่องจากกลไกการออกฤทธิ์, efficacy หรือข้อบ่งใช้ไม่ตรงกับโจทย์ที่กำหนด
• ข้อ ค. (ยับยั้งการสร้าง mitosis ของ dermatophytes): ข้อนี้ไม่ใช่คำตอบที่ถูกต้องสำหรับภาวะ HIV infection เนื่องจากกลไกการออกฤทธิ์, efficacy หรือข้อบ่งใช้ไม่ตรงกับโจทย์ที่กำหนด
• ข้อ ง. (จับกับ phospholipids ยับยั้งการสร้าง cell wall): ข้อนี้ไม่ใช่คำตอบที่ถูกต้องสำหรับภาวะ HIV infection เนื่องจากกลไกการออกฤทธิ์, efficacy หรือข้อบ่งใช้ไม่ตรงกับโจทย์ที่กำหนด
• ข้อ จ. (จับกับ sterol ยับยั้งการสร้างผนังเซลล์):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6" s="2" t="n"/>
      <c r="L116" s="2" t="inlineStr">
        <is>
          <t>HIV infection</t>
        </is>
      </c>
      <c r="M116" s="2" t="inlineStr">
        <is>
          <t>Clinic</t>
        </is>
      </c>
      <c r="N116" s="2" t="inlineStr">
        <is>
          <t>ข้อ 13 Pharma Plus เล่มม่วง (เฉลยข้อ ข ค)</t>
        </is>
      </c>
      <c r="O116" s="2" t="inlineStr">
        <is>
          <t>Mock</t>
        </is>
      </c>
      <c r="P116" s="2" t="inlineStr">
        <is>
          <t>Pharma Plus เล่มม่วง</t>
        </is>
      </c>
    </row>
    <row r="117" ht="13.2" customHeight="1" s="37">
      <c r="A117" s="8" t="inlineStr">
        <is>
          <t>13</t>
        </is>
      </c>
      <c r="B117" s="2" t="inlineStr">
        <is>
          <t>หลังจากการรักษา 3 สัปดาห์แล้ว นางฟ้ากลับมาที่โรงพยาบาลมีผลตรวจ AST = 245 U/C ALT 270 U/C, total bilirubin 5 U/C แพทย์วินิจฉัยว่าเป็น acute hepatitis หลังจากนั้นแพทย์สั่งหยุดยาหมด AST, ALT, total bilirubin กลับมาเป็นปกติ แพทย์จึง re-challenge ใหม่ พบว่าผู้ป่วยแพ้ pyrazinamide ผู้ป่วยรายนี้ควรได้รับการรักษาแบบใด</t>
        </is>
      </c>
      <c r="C117" s="2" t="n"/>
      <c r="D117" s="2" t="inlineStr">
        <is>
          <t>2HR/16HE: INH 300 mg, Ethambutol 800 mg, Streptomycin 1 g</t>
        </is>
      </c>
      <c r="E117" s="2" t="inlineStr">
        <is>
          <t>2HRE/7HR: INH 300 mg, Rifampicin 450 mg, Ethambutol 800 mg</t>
        </is>
      </c>
      <c r="F117" s="2" t="inlineStr">
        <is>
          <t>2HR/16HE: INH 300 mg, Ethambutol 800 mg, Streptomycin 0.75 g</t>
        </is>
      </c>
      <c r="G117" s="2" t="inlineStr">
        <is>
          <t>2HRE/7HR: INH 300 mg, Rifampicin 600 mg, Ethambutol 1200 mg</t>
        </is>
      </c>
      <c r="H117" s="2" t="inlineStr">
        <is>
          <t>2HRE/7HR: INH 300 mg, Rifampicin 450 mg, Ethambutol 800 mg</t>
        </is>
      </c>
      <c r="I117" s="8" t="inlineStr">
        <is>
          <t>2</t>
        </is>
      </c>
      <c r="J117" s="2" t="inlineStr">
        <is>
          <t>✅ คำตอบที่ถูกต้อง: ข้อ ข. 2HRE/7HR: INH 300 mg, Rifampicin 450 mg, Ethambutol 800 mg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2HRE/7HR: INH 300 mg, Rifampicin 450 mg, Ethambutol 800 mg เมื่อแพ้ Pyrazinamide (Z) ซึ่งเป็นยาที่มี hepatotoxicity สูงและใช้ในช่วง Intensive phase 2 เดือนแรก สูตรทดแทนเมื่อตัด Z ออกและคง H กับ R จะต้องขยายระยะเวลาต่อ โดยสูตรทางเลือกมาตรฐานเมื่อไม่ใช้ Z คือ 2HR/16HE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ก. (2HR/16HE: INH 300 mg, Ethambutol 800 mg, Streptomycin 1 g): เป็น Anti-TB agent ยับยั้ง arabinosyl transferase มี ADR เด่นคือ optic neuritis (มองเห็นสีเขียว-แดงผิดปกติ ตาพร่า) ขับออกทางไตจึงต้องปรับ dose ใน CKD
• ข้อ ค. (2HR/16HE: INH 300 mg, Ethambutol 800 mg, Streptomycin 0.75 g): เป็น Anti-TB agent ยับยั้ง arabinosyl transferase มี ADR เด่นคือ optic neuritis (มองเห็นสีเขียว-แดงผิดปกติ ตาพร่า) ขับออกทางไตจึงต้องปรับ dose ใน CKD
• ข้อ ง. (2HRE/7HR: INH 300 mg, Rifampicin 600 mg, Ethambutol 1200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(2HRE/7HR: INH 300 mg, Rifampicin 450 mg, Ethambutol 800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17" s="2" t="n"/>
      <c r="L117" s="2" t="inlineStr">
        <is>
          <t>Tuberculosis</t>
        </is>
      </c>
      <c r="M117" s="2" t="inlineStr">
        <is>
          <t>Clinic</t>
        </is>
      </c>
      <c r="N117" s="2" t="inlineStr">
        <is>
          <t>ข้อ 13 Pharma Plus เล่มม่วง (เฉลยข้อ ข ค)</t>
        </is>
      </c>
      <c r="O117" s="2" t="inlineStr">
        <is>
          <t>Mock</t>
        </is>
      </c>
      <c r="P117" s="2" t="inlineStr">
        <is>
          <t>Pharma Plus เล่มม่วง</t>
        </is>
      </c>
    </row>
    <row r="118" ht="13.2" customHeight="1" s="37">
      <c r="A118" s="8" t="inlineStr">
        <is>
          <t>14</t>
        </is>
      </c>
      <c r="B118" s="2" t="inlineStr">
        <is>
          <t>ยาใดมีผลข้างเคียงทำให้เกิดผิวหนังแพ้ต่อแสงผิวไหม้รู้สึกชาบริเวณที่ถูกแสง</t>
        </is>
      </c>
      <c r="C118" s="2" t="n"/>
      <c r="D118" s="2" t="inlineStr">
        <is>
          <t>Ciprofloxacin</t>
        </is>
      </c>
      <c r="E118" s="2" t="inlineStr">
        <is>
          <t>Erythromycin</t>
        </is>
      </c>
      <c r="F118" s="2" t="inlineStr">
        <is>
          <t>Cefazolin</t>
        </is>
      </c>
      <c r="G118" s="2" t="inlineStr">
        <is>
          <t>Azithromycin</t>
        </is>
      </c>
      <c r="H118" s="2" t="inlineStr">
        <is>
          <t>Doxycycline</t>
        </is>
      </c>
      <c r="I118" s="8" t="inlineStr">
        <is>
          <t>5</t>
        </is>
      </c>
      <c r="J118" s="2" t="inlineStr">
        <is>
          <t>✅ คำตอบที่ถูกต้อง: ข้อ จ. Doxycycline
💡 Background:
การดูแลผู้ติดเชื้อ HIV เน้นเริ่ม Antiretroviral Therapy (ART) ทันทีเพื่อกด viral load ให้ undetectable (U=U) และฟื้นฟูระบบภูมิคุ้มกัน
🎯 ทำไมข้อนี้ถึงถูก:
Doxycycline เป็นยากลุ่ม Tetracyclines ที่มี ADR เด่นชัดคือ Photosensitivity (ผิวหนังไวต่อแสง เกิดผื่นแพ้และไหม้แดดได้ง่าย) เช่นเดียวกับ Fluoroquinolones แต่ในตัวเลือกนี้ Doxycycline เด่นชัดและตรงกับตำราเภสัชวิทยามากที่สุด
🔍 ข้ออื่นผิดเพราะอะไร:
• ข้อ ก. (Ciprofloxacin): เป็น Fluoroquinolone เด่นต่อ Gram-negative รวมทั้ง Pseudomonas aeruginosa แต่มี black box warning เรื่อง tendon rupture, QT prolongation, aortic aneurysm และ dysglycemia
• ข้อ ข. (Erythromycin): ข้อนี้ไม่ใช่คำตอบที่ถูกต้องสำหรับภาวะ HIV infection เนื่องจากกลไกการออกฤทธิ์, efficacy หรือข้อบ่งใช้ไม่ตรงกับโจทย์ที่กำหนด
• ข้อ ค. (Cefazolin): เป็น 1st generation cephalosporin เป็น drug of choice สำหรับ surgical antibiotic prophylaxis และ severe MSSA bacteremia/endocarditis
• ข้อ ง. (Azithromycin):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8" s="2" t="n"/>
      <c r="L118" s="2" t="inlineStr">
        <is>
          <t>HIV infection</t>
        </is>
      </c>
      <c r="M118" s="2" t="inlineStr">
        <is>
          <t>Clinic</t>
        </is>
      </c>
      <c r="N118" s="2" t="inlineStr">
        <is>
          <t>ข้อ 14 Pharma Plus เล่มม่วง (เฉลยข้อ จ)</t>
        </is>
      </c>
      <c r="O118" s="2" t="inlineStr">
        <is>
          <t>Mock</t>
        </is>
      </c>
      <c r="P118" s="2" t="inlineStr">
        <is>
          <t>Pharma Plus เล่มม่วง</t>
        </is>
      </c>
    </row>
    <row r="119" ht="13.2" customHeight="1" s="37">
      <c r="A119" s="8" t="inlineStr">
        <is>
          <t>14</t>
        </is>
      </c>
      <c r="B119" s="2" t="inlineStr">
        <is>
          <t>ถ้าต้องการใช้สมุนไพรในการรักษาอาการดังกล่าว สมุนไพรที่เลือกใช้</t>
        </is>
      </c>
      <c r="C119" s="2" t="n"/>
      <c r="D119" s="2" t="inlineStr">
        <is>
          <t>พญายอ</t>
        </is>
      </c>
      <c r="E119" s="2" t="inlineStr">
        <is>
          <t>ทองพันชั่ง</t>
        </is>
      </c>
      <c r="F119" s="2" t="inlineStr">
        <is>
          <t>มะแว้งต้น</t>
        </is>
      </c>
      <c r="G119" s="2" t="inlineStr">
        <is>
          <t>ใบบัวบก</t>
        </is>
      </c>
      <c r="H119" s="2" t="inlineStr">
        <is>
          <t>เปล้าน้อย</t>
        </is>
      </c>
      <c r="I119" s="8" t="inlineStr">
        <is>
          <t>5</t>
        </is>
      </c>
      <c r="J119" s="2" t="inlineStr">
        <is>
          <t>✅ คำตอบที่ถูกต้อง: ข้อ จ. เปล้าน้อย
💡 Background:
การดูแลผู้ติดเชื้อ HIV เน้นเริ่ม Antiretroviral Therapy (ART) ทันทีเพื่อกด viral load ให้ undetectable (U=U) และฟื้นฟูระบบภูมิคุ้มกัน
🎯 ทำไมข้อนี้ถึงถูก:
เปล้าน้อย ทองพันชั่ง (Rhinacanthus nasutus) เป็นสมุนไพรไทยที่มีรายงานการศึกษาว่ามีฤทธิ์ต้านเชื้อรา (antifungal) นิยมใช้ในการรักษาโรคผิวหนังจากเชื้อรา เช่น กลาก เกลื้อน และน้ำกัดเท้า
🔍 ข้ออื่นผิดเพราะอะไร:
• ข้อ ก. (พญายอ): ข้อนี้ไม่ใช่คำตอบที่ถูกต้องสำหรับภาวะ HIV infection เนื่องจากกลไกการออกฤทธิ์, efficacy หรือข้อบ่งใช้ไม่ตรงกับโจทย์ที่กำหนด
• ข้อ ข. (ทองพันชั่ง): ข้อนี้ไม่ใช่คำตอบที่ถูกต้องสำหรับภาวะ HIV infection เนื่องจากกลไกการออกฤทธิ์, efficacy หรือข้อบ่งใช้ไม่ตรงกับโจทย์ที่กำหนด
• ข้อ ค. (มะแว้งต้น): ข้อนี้ไม่ใช่คำตอบที่ถูกต้องสำหรับภาวะ HIV infection เนื่องจากกลไกการออกฤทธิ์, efficacy หรือข้อบ่งใช้ไม่ตรงกับโจทย์ที่กำหนด
• ข้อ ง. (ใบบัวบก):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9" s="2" t="n"/>
      <c r="L119" s="2" t="inlineStr">
        <is>
          <t>HIV infection</t>
        </is>
      </c>
      <c r="M119" s="2" t="inlineStr">
        <is>
          <t>Clinic</t>
        </is>
      </c>
      <c r="N119" s="2" t="inlineStr">
        <is>
          <t>ข้อ 14 Pharma Plus เล่มม่วง (เฉลยข้อ จ)</t>
        </is>
      </c>
      <c r="O119" s="2" t="inlineStr">
        <is>
          <t>Mock</t>
        </is>
      </c>
      <c r="P119" s="2" t="inlineStr">
        <is>
          <t>Pharma Plus เล่มม่วง</t>
        </is>
      </c>
    </row>
    <row r="120" ht="13.2" customHeight="1" s="37">
      <c r="A120" s="8" t="inlineStr">
        <is>
          <t>14</t>
        </is>
      </c>
      <c r="B120" s="2" t="inlineStr">
        <is>
          <t>จากข้อ 13 นางฟ้าใสตานยาได้ 1 สัปดาห์ แล้วเกิดผิวหนังลอก (exfoliative dermatitis) ท่านจะทำอย่างไร</t>
        </is>
      </c>
      <c r="C120" s="2" t="n"/>
      <c r="D120" s="2" t="inlineStr">
        <is>
          <t>หยุด rifampicin แล้ว re-challenge ด้วยขนาดต่ำๆ</t>
        </is>
      </c>
      <c r="E120" s="2" t="inlineStr">
        <is>
          <t>หยุด INH แล้ว re-challenge ด้วยขนาดต่ำๆ</t>
        </is>
      </c>
      <c r="F120" s="2" t="inlineStr">
        <is>
          <t>เปลี่ยน rifampicin เป็น ofloxacin 400 mg bid</t>
        </is>
      </c>
      <c r="G120" s="2" t="inlineStr">
        <is>
          <t>หยุด ethambutol แล้ว re-challenge ด้วยขนาดต่ำๆ</t>
        </is>
      </c>
      <c r="H120" s="2" t="inlineStr">
        <is>
          <t>ให้ยา CPM ร่วมกับยาเดิม</t>
        </is>
      </c>
      <c r="I120" s="8" t="inlineStr">
        <is>
          <t>5</t>
        </is>
      </c>
      <c r="J120" s="2" t="inlineStr">
        <is>
          <t>✅ คำตอบที่ถูกต้อง: ข้อ จ. ให้ยา CPM ร่วมกับยาเดิม
💡 Background:
การดูแลผู้ติดเชื้อ HIV เน้นเริ่ม Antiretroviral Therapy (ART) ทันทีเพื่อกด viral load ให้ undetectable (U=U) และฟื้นฟูระบบภูมิคุ้มกัน
🎯 ทำไมข้อนี้ถึงถูก:
ให้ยา CPM ร่วมกับยาเดิม อาการแพ้ยาทางผิวหนังที่รุนแรง (exfoliative dermatitis) เป็นปฏิกิริยาแพ้ยารุนแรง (SCAR) ต้องหยุดยาทั้งหมดทันที จากนั้นจึงทำการ desensitization หรือ re-challenge ทีละตัวโดยเริ่มจากตัวที่มีโอกาสแพ้น้อยที่สุดไปหามาก (มักเริ่มจาก Ethambutol หรือ INH ตามลำดับความเสี่ยง)
🔍 ข้ออื่นผิดเพราะอะไร:
• ข้อ ก. (หยุด rifampicin แล้ว re-challenge ด้วยขนาดต่ำๆ):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ข. (หยุด INH แล้ว re-challenge ด้วยขนาดต่ำๆ): ข้อนี้ไม่ใช่คำตอบที่ถูกต้องสำหรับภาวะ HIV infection เนื่องจากกลไกการออกฤทธิ์, efficacy หรือข้อบ่งใช้ไม่ตรงกับโจทย์ที่กำหนด
• ข้อ ค. (เปลี่ยน rifampicin เป็น ofloxacin 400 mg bid):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ง. (หยุด ethambutol แล้ว re-challenge ด้วยขนาดต่ำๆ): เป็น Anti-TB agent ยับยั้ง arabinosyl transferase มี ADR เด่นคือ optic neuritis (มองเห็นสีเขียว-แดงผิดปกติ ตาพร่า) ขับออกทางไตจึงต้องปรับ dose ใน CKD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0" s="2" t="n"/>
      <c r="L120" s="2" t="inlineStr">
        <is>
          <t>HIV infection</t>
        </is>
      </c>
      <c r="M120" s="2" t="inlineStr">
        <is>
          <t>Clinic</t>
        </is>
      </c>
      <c r="N120" s="2" t="inlineStr">
        <is>
          <t>ข้อ 14 Pharma Plus เล่มม่วง (เฉลยข้อ จ)</t>
        </is>
      </c>
      <c r="O120" s="2" t="inlineStr">
        <is>
          <t>Mock</t>
        </is>
      </c>
      <c r="P120" s="2" t="inlineStr">
        <is>
          <t>Pharma Plus เล่มม่วง</t>
        </is>
      </c>
    </row>
    <row r="121" ht="13.2" customHeight="1" s="37">
      <c r="A121" s="8" t="inlineStr">
        <is>
          <t>15</t>
        </is>
      </c>
      <c r="B121" s="2" t="inlineStr">
        <is>
          <t>Gray baby syndrome มักเกิดในเด็กที่ได้รับยาอะไรในขนาดสูง</t>
        </is>
      </c>
      <c r="C121" s="2" t="n"/>
      <c r="D121" s="2" t="inlineStr">
        <is>
          <t>Azithromycin</t>
        </is>
      </c>
      <c r="E121" s="2" t="inlineStr">
        <is>
          <t>Doxycycline</t>
        </is>
      </c>
      <c r="F121" s="2" t="inlineStr">
        <is>
          <t>Chloramphenicol</t>
        </is>
      </c>
      <c r="G121" s="2" t="inlineStr">
        <is>
          <t>Neomycin</t>
        </is>
      </c>
      <c r="H121" s="2" t="inlineStr">
        <is>
          <t>Cephalexin</t>
        </is>
      </c>
      <c r="I121" s="8" t="inlineStr">
        <is>
          <t>4</t>
        </is>
      </c>
      <c r="J121" s="2"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Gray baby syndrome เกิดจากการใช้ยา Chloramphenicol ในทารกแรกเกิดหรือขนาดสูง เนื่องจากตับยังทำหน้าที่ Glucuronide conjugation ได้ไม่ดีพอ ส่งผลให้เกิดพิษ มีอาการตัวเทา ความดันโลหิตต่ำ และเสียชีวิตได้
🔍 ข้ออื่นผิดเพราะอะไร:
• ข้อ ก. (Azithromycin): เป็น Macrolide ครอบคลุม atypical pathogens (Mycoplasma, Chlamydia, Legionella) ขจัดออกทางตับเป็นหลัก และมี half-life ยาวนาน (~68 ชม.)
• ข้อ ข. (Doxycycline): เป็น Tetracycline ครอบคลุม atypicals, rickettsia, scrub typhus, leptospirosis และ CA-MRSA ห้ามใช้ในเด็กอายุ &lt; 8 ปี และหญิงตั้งครรภ์ (ฟันเหลือง กระดูกเจริญช้า)
• ข้อ ค. (Chloramphenicol): ข้อนี้ไม่ใช่คำตอบที่ถูกต้องสำหรับภาวะ HIV infection เนื่องจากกลไกการออกฤทธิ์, efficacy หรือข้อบ่งใช้ไม่ตรงกับโจทย์ที่กำหนด
• ข้อ จ. (Cephalexin):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1" s="2" t="n"/>
      <c r="L121" s="2" t="inlineStr">
        <is>
          <t>HIV infection</t>
        </is>
      </c>
      <c r="M121" s="2" t="inlineStr">
        <is>
          <t>Clinic</t>
        </is>
      </c>
      <c r="N121" s="2" t="inlineStr">
        <is>
          <t>ข้อ 15 Pharma Plus เล่มม่วง (เฉลยข้อ ง)</t>
        </is>
      </c>
      <c r="O121" s="2" t="inlineStr">
        <is>
          <t>Mock</t>
        </is>
      </c>
      <c r="P121" s="2" t="inlineStr">
        <is>
          <t>Pharma Plus เล่มม่วง</t>
        </is>
      </c>
    </row>
    <row r="122" ht="13.2" customHeight="1" s="37">
      <c r="A122" s="8" t="inlineStr">
        <is>
          <t>15</t>
        </is>
      </c>
      <c r="B122" s="2" t="inlineStr">
        <is>
          <t>ที่ฉลากยา griseofulvin มีคำว่า micronized form ข้อดีของ micronized form คือข้อใด</t>
        </is>
      </c>
      <c r="C122" s="2" t="n"/>
      <c r="D122" s="2" t="inlineStr">
        <is>
          <t>เพื่อเพิ่มการกระจายตัวไปยังตำแหน่งที่ออกฤทธิ์</t>
        </is>
      </c>
      <c r="E122" s="2" t="inlineStr">
        <is>
          <t>เพื่อลด first pass metabolism</t>
        </is>
      </c>
      <c r="F122" s="2" t="inlineStr">
        <is>
          <t>ให้อยู่ในร่างกายานขึ้น</t>
        </is>
      </c>
      <c r="G122" s="2" t="inlineStr">
        <is>
          <t>เพื่อป้องกันการดื้อยาของเชื้อรา</t>
        </is>
      </c>
      <c r="H122" s="2" t="inlineStr">
        <is>
          <t>เพื่อเพิ่มการดูดซึมยาจากทางเดินอาหาร</t>
        </is>
      </c>
      <c r="I122" s="8" t="inlineStr">
        <is>
          <t>4</t>
        </is>
      </c>
      <c r="J122" s="2" t="inlineStr">
        <is>
          <t>✅ คำตอบที่ถูกต้อง: ข้อ ง. เพื่อป้องกันการดื้อยาของเชื้อรา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เพื่อป้องกันการดื้อยาของเชื้อรา Griseofulvin เป็นยาที่มีการละลายน้ำได้น้อยมาก (poorly water-soluble) การทำให้อยู่ในรูป micronized form (อนุภาคเล็กลง) จะช่วยเพิ่มพื้นที่ผิวสัมผัส ส่งผลให้ dissolution rate และการดูดซึมยาจากทางเดินอาหารดีขึ้นอย่างมีนัยสำคัญ
🔍 ข้ออื่นผิดเพราะอะไร:
• ข้อ ก. (เพื่อเพิ่มการกระจายตัวไปยังตำแหน่งที่ออกฤทธิ์): ข้อนี้ไม่ใช่คำตอบที่ถูกต้องสำหรับภาวะ Cystitis เนื่องจากกลไกการออกฤทธิ์, efficacy หรือข้อบ่งใช้ไม่ตรงกับโจทย์ที่กำหนด
• ข้อ ข. (เพื่อลด first pass metabolism): ข้อนี้ไม่ใช่คำตอบที่ถูกต้องสำหรับภาวะ Cystitis เนื่องจากกลไกการออกฤทธิ์, efficacy หรือข้อบ่งใช้ไม่ตรงกับโจทย์ที่กำหนด
• ข้อ ค. (ให้อยู่ในร่างกายานขึ้น): ข้อนี้ไม่ใช่คำตอบที่ถูกต้องสำหรับภาวะ Cystitis เนื่องจากกลไกการออกฤทธิ์, efficacy หรือข้อบ่งใช้ไม่ตรงกับโจทย์ที่กำหนด
• ข้อ จ. (เพื่อเพิ่มการดูดซึมยาจากทางเดินอาหาร): ข้อนี้ไม่ใช่คำตอบที่ถูกต้องสำหรับภาวะ Cystitis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2" t="n"/>
      <c r="L122" s="2" t="inlineStr">
        <is>
          <t>Cystitis</t>
        </is>
      </c>
      <c r="M122" s="2" t="inlineStr">
        <is>
          <t>Clinic</t>
        </is>
      </c>
      <c r="N122" s="2" t="inlineStr">
        <is>
          <t>ข้อ 15 Pharma Plus เล่มม่วง (เฉลยข้อ ง)</t>
        </is>
      </c>
      <c r="O122" s="2" t="inlineStr">
        <is>
          <t>Mock</t>
        </is>
      </c>
      <c r="P122" s="2" t="inlineStr">
        <is>
          <t>Pharma Plus เล่มม่วง</t>
        </is>
      </c>
    </row>
    <row r="123" ht="13.2" customHeight="1" s="37">
      <c r="A123" s="8" t="inlineStr">
        <is>
          <t>15</t>
        </is>
      </c>
      <c r="B123" s="2" t="inlineStr">
        <is>
          <t>นางฟ้าใสจำเป็นต้องได้รับยา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ข้อใดต่อไปนี้คือกลไกการออกฤทธิ์และอาการข้างเคียงที่สำคัญของยานี้</t>
        </is>
      </c>
      <c r="C123" s="2" t="n"/>
      <c r="D123" s="2" t="inlineStr">
        <is>
          <t>กลไกการออกฤทธิ์ คือ DNA polymerase inhibitor อาการข้างเคียงคือ neuropathy</t>
        </is>
      </c>
      <c r="E123" s="2" t="inlineStr">
        <is>
          <t>กลไกการออกฤทธิ์ คือ protein synthesis อาการข้างเคียงคือ GI disturbance</t>
        </is>
      </c>
      <c r="F123" s="2" t="inlineStr">
        <is>
          <t>กลไกการออกฤทธิ์ คือ cell wall อาการข้างเคียงคือ SJS</t>
        </is>
      </c>
      <c r="G123" s="2" t="inlineStr">
        <is>
          <t>กลไกการออกฤทธิ์ คือ DNA synthesis อาการข้างเคียงคือ anemia</t>
        </is>
      </c>
      <c r="H123" s="2" t="inlineStr">
        <is>
          <t>กลไกการออกฤทธิ์ คือ ergosterol อาการข้างเคียงคือ gynecomastia</t>
        </is>
      </c>
      <c r="I123" s="8" t="inlineStr">
        <is>
          <t>4</t>
        </is>
      </c>
      <c r="J123" s="2" t="inlineStr">
        <is>
          <t>✅ คำตอบที่ถูกต้อง: ข้อ ง. กลไกการออกฤทธิ์ คือ DNA synthesis อาการข้างเคียงคือ anemia
💡 Background:
การดูแลผู้ติดเชื้อ HIV เน้นเริ่ม Antiretroviral Therapy (ART) ทันทีเพื่อกด viral load ให้ undetectable (U=U) และฟื้นฟูระบบภูมิคุ้มกัน
🎯 ทำไมข้อนี้ถึงถูก:
กลไกการออกฤทธิ์ คือ DNA synthesis อาการข้างเคียงคือ anemia Co-trimoxazole (Sulfamethoxazole/Trimethoprim) ออกฤทธิ์ยับยั้งการสังเคราะห์กรดโฟลิกซึ่งส่งผลต่อการสังเคราะห์ DNA (folate synthesis inhibition) และมีอาการข้างเคียงทางโลหิตวิทยาที่สำคัญคือ ภาวะโลหิตจาง (anemia, bone marrow suppression) รวมถึงผื่นแพ้รุนแรง
🔍 ข้ออื่นผิดเพราะอะไร:
• ข้อ ก. (กลไกการออกฤทธิ์ คือ DNA polymerase inhibitor อาการข้างเคียงคือ neuropathy): ข้อนี้ไม่ใช่คำตอบที่ถูกต้องสำหรับภาวะ HIV infection เนื่องจากกลไกการออกฤทธิ์, efficacy หรือข้อบ่งใช้ไม่ตรงกับโจทย์ที่กำหนด
• ข้อ ข. (กลไกการออกฤทธิ์ คือ protein synthesis อาการข้างเคียงคือ GI disturbance): ข้อนี้ไม่ใช่คำตอบที่ถูกต้องสำหรับภาวะ HIV infection เนื่องจากกลไกการออกฤทธิ์, efficacy หรือข้อบ่งใช้ไม่ตรงกับโจทย์ที่กำหนด
• ข้อ ค. (กลไกการออกฤทธิ์ คือ cell wall อาการข้างเคียงคือ SJS): ข้อนี้ไม่ใช่คำตอบที่ถูกต้องสำหรับภาวะ HIV infection เนื่องจากกลไกการออกฤทธิ์, efficacy หรือข้อบ่งใช้ไม่ตรงกับโจทย์ที่กำหนด
• ข้อ จ. (กลไกการออกฤทธิ์ คือ ergosterol อาการข้างเคียงคือ gynecomastia):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3" s="2" t="n"/>
      <c r="L123" s="2" t="inlineStr">
        <is>
          <t>HIV infection</t>
        </is>
      </c>
      <c r="M123" s="2" t="inlineStr">
        <is>
          <t>Clinic</t>
        </is>
      </c>
      <c r="N123" s="2" t="inlineStr">
        <is>
          <t>ข้อ 15 Pharma Plus เล่มม่วง (เฉลยข้อ ง)</t>
        </is>
      </c>
      <c r="O123" s="2" t="inlineStr">
        <is>
          <t>Mock</t>
        </is>
      </c>
      <c r="P123" s="2" t="inlineStr">
        <is>
          <t>Pharma Plus เล่มม่วง</t>
        </is>
      </c>
    </row>
    <row r="124" ht="13.2" customHeight="1" s="37">
      <c r="A124" s="8" t="inlineStr">
        <is>
          <t>16</t>
        </is>
      </c>
      <c r="B124" s="2" t="inlineStr">
        <is>
          <t>คุณสมบัติของยาตามโครงสร้างนี้ ข้อใดผิด</t>
        </is>
      </c>
      <c r="C124" s="2" t="n"/>
      <c r="D124" s="2" t="inlineStr">
        <is>
          <t>ละลายน้ำได้น้อย</t>
        </is>
      </c>
      <c r="E124" s="2" t="inlineStr">
        <is>
          <t>มีคุณสมบัติในการฆ่าเชื้อเป็นแบบ concentration-dependent</t>
        </is>
      </c>
      <c r="F124" s="2" t="inlineStr">
        <is>
          <t>คุณสมบัติเป็น weak base</t>
        </is>
      </c>
      <c r="G124" s="2" t="inlineStr">
        <is>
          <t>เกิด Gl cramping</t>
        </is>
      </c>
      <c r="H124" s="2" t="inlineStr">
        <is>
          <t>ยาเข้าสู่สมองได้น้อยมาก</t>
        </is>
      </c>
      <c r="I124" s="8" t="inlineStr">
        <is>
          <t>2</t>
        </is>
      </c>
      <c r="J124" s="2" t="inlineStr">
        <is>
          <t>✅ คำตอบที่ถูกต้อง: ข้อ ข. มีคุณสมบัติในการฆ่าเชื้อเป็นแบบ concentration-dependent
💡 Background:
การดูแลผู้ติดเชื้อ HIV เน้นเริ่ม Antiretroviral Therapy (ART) ทันทีเพื่อกด viral load ให้ undetectable (U=U) และฟื้นฟูระบบภูมิคุ้มกัน
🎯 ทำไมข้อนี้ถึงถูก:
มีคุณสมบัติในการฆ่าเชื้อเป็นแบบ concentration-dependent จากโครงสร้างในภาพคือ Macrolide (เช่น Erythromycin) มีฤทธิ์ต้านแบคทีเรียแบบ time-dependent (ไม่ใช่ concentration-dependent) จึงทำให้ข้อนี้ผิด นอกจากนี้ Macrolide เป็น weak base ละลายน้ำได้น้อย กระตุ้น motilin receptors ทำให้เกิด GI cramping และผ่านเข้า CNS ได้น้อย
🔍 ข้ออื่นผิดเพราะอะไร:
• ข้อ ก. (ละลายน้ำได้น้อย): ข้อนี้ไม่ใช่คำตอบที่ถูกต้องสำหรับภาวะ HIV infection เนื่องจากกลไกการออกฤทธิ์, efficacy หรือข้อบ่งใช้ไม่ตรงกับโจทย์ที่กำหนด
• ข้อ ค. (คุณสมบัติเป็น weak base): ข้อนี้ไม่ใช่คำตอบที่ถูกต้องสำหรับภาวะ HIV infection เนื่องจากกลไกการออกฤทธิ์, efficacy หรือข้อบ่งใช้ไม่ตรงกับโจทย์ที่กำหนด
• ข้อ ง. (เกิด Gl cramping): ข้อนี้ไม่ใช่คำตอบที่ถูกต้องสำหรับภาวะ HIV infection เนื่องจากกลไกการออกฤทธิ์, efficacy หรือข้อบ่งใช้ไม่ตรงกับโจทย์ที่กำหนด
• ข้อ จ. (ยาเข้าสู่สมองได้น้อยมาก):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4" s="2" t="n"/>
      <c r="L124" s="2" t="inlineStr">
        <is>
          <t>HIV infection</t>
        </is>
      </c>
      <c r="M124" s="2" t="inlineStr">
        <is>
          <t>Clinic</t>
        </is>
      </c>
      <c r="N124" s="2" t="inlineStr">
        <is>
          <t>ข้อ 16 Pharma Plus เล่มม่วง (เฉลยข้อ ข จ)</t>
        </is>
      </c>
      <c r="O124" s="2" t="inlineStr">
        <is>
          <t>Mock</t>
        </is>
      </c>
      <c r="P124" s="2" t="inlineStr">
        <is>
          <t>Pharma Plus เล่มม่วง</t>
        </is>
      </c>
    </row>
    <row r="125" ht="13.2" customHeight="1" s="37">
      <c r="A125" s="8" t="inlineStr">
        <is>
          <t>16</t>
        </is>
      </c>
      <c r="B125" s="2"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t>
        </is>
      </c>
      <c r="C125" s="2" t="n"/>
      <c r="D125" s="2" t="inlineStr">
        <is>
          <t>มีเฉพาะยาฉีดเท่านั้น</t>
        </is>
      </c>
      <c r="E125" s="2" t="inlineStr">
        <is>
          <t>มีเฉพาะยาใช้ภายนอก</t>
        </is>
      </c>
      <c r="F125" s="2" t="inlineStr">
        <is>
          <t>มีอาการข้างเคียงน้อย</t>
        </is>
      </c>
      <c r="G125" s="2" t="inlineStr">
        <is>
          <t>ถูกเมตาบอไลต์ช้า อยู่ในร่างกายได้นาน</t>
        </is>
      </c>
      <c r="H125" s="2" t="inlineStr">
        <is>
          <t>มีปฏิกิริยาระหว่างยาลดลง</t>
        </is>
      </c>
      <c r="I125" s="8" t="inlineStr">
        <is>
          <t>2</t>
        </is>
      </c>
      <c r="J125" s="2" t="inlineStr">
        <is>
          <t>✅ คำตอบที่ถูกต้อง: ข้อ ข. มีเฉพาะยาใช้ภายนอก
💡 Background:
การดูแลผู้ติดเชื้อ HIV เน้นเริ่ม Antiretroviral Therapy (ART) ทันทีเพื่อกด viral load ให้ undetectable (U=U) และฟื้นฟูระบบภูมิคุ้มกัน
🎯 ทำไมข้อนี้ถึงถูก:
มีเฉพาะยาใช้ภายนอก Itraconazole และยารุ่นใหม่ในกลุ่ม triazoles มีความคงตัวสูงและถูกเมตาบอไลต์ช้ากว่า ketoconazole ทำให้มี half-life ยาวนานขึ้น อยู่ในร่างกายได้นาน และมีการสะสมในเนื้อบำบัดผิวหนังได้ดี
🔍 ข้ออื่นผิดเพราะอะไร:
• ข้อ ก. (มีเฉพาะยาฉีดเท่านั้น): ข้อนี้ไม่ใช่คำตอบที่ถูกต้องสำหรับภาวะ HIV infection เนื่องจากกลไกการออกฤทธิ์, efficacy หรือข้อบ่งใช้ไม่ตรงกับโจทย์ที่กำหนด
• ข้อ ค. (มีอาการข้างเคียงน้อย): ข้อนี้ไม่ใช่คำตอบที่ถูกต้องสำหรับภาวะ HIV infection เนื่องจากกลไกการออกฤทธิ์, efficacy หรือข้อบ่งใช้ไม่ตรงกับโจทย์ที่กำหนด
• ข้อ ง. (ถูกเมตาบอไลต์ช้า อยู่ในร่างกายได้นาน): ข้อนี้ไม่ใช่คำตอบที่ถูกต้องสำหรับภาวะ HIV infection เนื่องจากกลไกการออกฤทธิ์, efficacy หรือข้อบ่งใช้ไม่ตรงกับโจทย์ที่กำหนด
• ข้อ จ. (มีปฏิกิริยาระหว่างยาลดลง):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5" s="2" t="n"/>
      <c r="L125" s="2" t="inlineStr">
        <is>
          <t>HIV infection</t>
        </is>
      </c>
      <c r="M125" s="2" t="inlineStr">
        <is>
          <t>Clinic</t>
        </is>
      </c>
      <c r="N125" s="2" t="inlineStr">
        <is>
          <t>ข้อ 16 Pharma Plus เล่มม่วง (เฉลยข้อ ข จ)</t>
        </is>
      </c>
      <c r="O125" s="2" t="inlineStr">
        <is>
          <t>Mock</t>
        </is>
      </c>
      <c r="P125" s="2" t="inlineStr">
        <is>
          <t>Pharma Plus เล่มม่วง</t>
        </is>
      </c>
    </row>
    <row r="126" ht="13.2" customHeight="1" s="37">
      <c r="A126" s="8" t="inlineStr">
        <is>
          <t>16</t>
        </is>
      </c>
      <c r="B126" s="2" t="inlineStr">
        <is>
          <t>ยาในข้อต่อไปนี้ เมื่อให้ร่วมกับยาอื่น อาทิ ritonavir มีผลทำให้ระดับยา ritonavir ในพลาสมาลดลง</t>
        </is>
      </c>
      <c r="C126" s="2" t="n"/>
      <c r="D126" s="2" t="inlineStr">
        <is>
          <t>Co- trimoxazole - CYP3A inducers</t>
        </is>
      </c>
      <c r="E126" s="2" t="inlineStr">
        <is>
          <t>Fluconazole - CYP3A inhibitors</t>
        </is>
      </c>
      <c r="F126" s="2" t="inlineStr">
        <is>
          <t>Isoniazid - CYP 2C inducers</t>
        </is>
      </c>
      <c r="G126" s="2" t="inlineStr">
        <is>
          <t>Pyrazinamide - CYP 2C inhibitors</t>
        </is>
      </c>
      <c r="H126" s="2" t="inlineStr">
        <is>
          <t>Rifampicin - CYP3A inducers</t>
        </is>
      </c>
      <c r="I126" s="8" t="inlineStr">
        <is>
          <t>2</t>
        </is>
      </c>
      <c r="J126" s="2" t="inlineStr">
        <is>
          <t>✅ คำตอบที่ถูกต้อง: ข้อ ข. Fluconazole - CYP3A inhibitors
💡 Background:
การดูแลผู้ติดเชื้อ HIV เน้นเริ่ม Antiretroviral Therapy (ART) ทันทีเพื่อกด viral load ให้ undetectable (U=U) และฟื้นฟูระบบภูมิคุ้มกัน
🎯 ทำไมข้อนี้ถึงถูก:
Fluconazole - CYP3A inhibitors Rifampicin เป็นตัวกระตุ้นเอนไซม์ CYP3A4 ที่ทรงพลัง (CYP3A inducer) เมื่อใช้ร่วมกับยาที่ถูกเมแทบอลิซึมผ่านเอนไซม์นี้ เช่น Protease inhibitors (ritonavir) จะทำให้ระดับยาลดลงอย่างมากจนล้มเหลวในการรักษา
 เป็น Triazole antifungal เป็น first-line สำหรับ Candida albicans และ Cryptococcal maintenance therapy ขับออกทางไตเด่นชัดจึงต้องปรับ dose ตาม CrCl
🔍 ข้ออื่นผิดเพราะอะไร:
• ข้อ ก. (Co- trimoxazole - CYP3A inducers): ข้อนี้ไม่ใช่คำตอบที่ถูกต้องสำหรับภาวะ HIV infection เนื่องจากกลไกการออกฤทธิ์, efficacy หรือข้อบ่งใช้ไม่ตรงกับโจทย์ที่กำหนด
• ข้อ ค. (Isoniazid - CYP 2C inducers):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(Pyrazinamide - CYP 2C inhibitors): เป็น Anti-TB agent ที่มี sterilizing effect สูงใน macrophage เสี่ยงต่อ hyperuricemia (ปวดข้อเก๊าท์) และ severe hepatotoxicity สูงสุดในกลุ่มยาวัณโรค
• ข้อ จ. (Rifampicin - CYP3A inducers):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6" s="2" t="n"/>
      <c r="L126" s="2" t="inlineStr">
        <is>
          <t>HIV infection</t>
        </is>
      </c>
      <c r="M126" s="2" t="inlineStr">
        <is>
          <t>Clinic</t>
        </is>
      </c>
      <c r="N126" s="2" t="inlineStr">
        <is>
          <t>ข้อ 16 Pharma Plus เล่มม่วง (เฉลยข้อ ข จ)</t>
        </is>
      </c>
      <c r="O126" s="2" t="inlineStr">
        <is>
          <t>Mock</t>
        </is>
      </c>
      <c r="P126" s="2" t="inlineStr">
        <is>
          <t>Pharma Plus เล่มม่วง</t>
        </is>
      </c>
    </row>
    <row r="127" ht="13.2" customHeight="1" s="37">
      <c r="A127" s="8" t="inlineStr">
        <is>
          <t>17</t>
        </is>
      </c>
      <c r="B127" s="2" t="inlineStr">
        <is>
          <t>ข้อใดไม่ใช่เชื้อกลุ่ม anaerobic</t>
        </is>
      </c>
      <c r="C127" s="2" t="n"/>
      <c r="D127" s="2" t="inlineStr">
        <is>
          <t>Peptococcus</t>
        </is>
      </c>
      <c r="E127" s="2" t="inlineStr">
        <is>
          <t>Peptostreptococcus</t>
        </is>
      </c>
      <c r="F127" s="2" t="inlineStr">
        <is>
          <t>Clostridium</t>
        </is>
      </c>
      <c r="G127" s="2" t="inlineStr">
        <is>
          <t>Chlamydia</t>
        </is>
      </c>
      <c r="H127" s="2" t="inlineStr">
        <is>
          <t>Escherichia</t>
        </is>
      </c>
      <c r="I127" s="8" t="inlineStr">
        <is>
          <t>3</t>
        </is>
      </c>
      <c r="J127" s="2" t="inlineStr">
        <is>
          <t>✅ คำตอบที่ถูกต้อง: ข้อ ค. Clostridium
💡 Background:
การดูแลผู้ติดเชื้อ HIV เน้นเริ่ม Antiretroviral Therapy (ART) ทันทีเพื่อกด viral load ให้ undetectable (U=U) และฟื้นฟูระบบภูมิคุ้มกัน
🎯 ทำไมข้อนี้ถึงถูก:
Clostridium Chlamydia เป็น Obligate intracellular bacteria ไม่ใช่แบคทีเรียกลุ่ม Anaerobe (ส่วน Peptococcus, Peptostreptococcus และ Clostridium เป็น anaerobic bacteria ส่วน Escherichia เป็น facultative anaerobe/gram-negative rod แต่ข้อนี้ถามภาพรวมกลุ่ม Anaerobic เชื้อ Chlamydia จัดเป็นกลุ่มเฉพาะที่ต่างออกไปอย่างชัดเจน)
🔍 ข้ออื่นผิดเพราะอะไร:
• ข้อ ก. (Peptococcus): ข้อนี้ไม่ใช่คำตอบที่ถูกต้องสำหรับภาวะ HIV infection เนื่องจากกลไกการออกฤทธิ์, efficacy หรือข้อบ่งใช้ไม่ตรงกับโจทย์ที่กำหนด
• ข้อ ข. (Peptostreptococcus): ข้อนี้ไม่ใช่คำตอบที่ถูกต้องสำหรับภาวะ HIV infection เนื่องจากกลไกการออกฤทธิ์, efficacy หรือข้อบ่งใช้ไม่ตรงกับโจทย์ที่กำหนด
• ข้อ ง. (Chlamydia): ข้อนี้ไม่ใช่คำตอบที่ถูกต้องสำหรับภาวะ HIV infection เนื่องจากกลไกการออกฤทธิ์, efficacy หรือข้อบ่งใช้ไม่ตรงกับโจทย์ที่กำหนด
• ข้อ จ. (Escherichia):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7" s="2" t="n"/>
      <c r="L127" s="2" t="inlineStr">
        <is>
          <t>HIV infection</t>
        </is>
      </c>
      <c r="M127" s="2" t="inlineStr">
        <is>
          <t>Clinic</t>
        </is>
      </c>
      <c r="N127" s="2" t="inlineStr">
        <is>
          <t>ข้อ 17 Pharma Plus เล่มม่วง (เฉลยข้อ ค)</t>
        </is>
      </c>
      <c r="O127" s="2" t="inlineStr">
        <is>
          <t>Mock</t>
        </is>
      </c>
      <c r="P127" s="2" t="inlineStr">
        <is>
          <t>Pharma Plus เล่มม่วง</t>
        </is>
      </c>
    </row>
    <row r="128" ht="13.2" customHeight="1" s="37">
      <c r="A128" s="8" t="inlineStr">
        <is>
          <t>17</t>
        </is>
      </c>
      <c r="B128" s="2" t="inlineStr">
        <is>
          <t>จากโครงสร้างยา Itraconazole สารนี้มีคุณสมบัติเป็นอย่างไร</t>
        </is>
      </c>
      <c r="C128" s="2" t="n"/>
      <c r="D128" s="2" t="inlineStr">
        <is>
          <t>เป็นกรดอ่อน</t>
        </is>
      </c>
      <c r="E128" s="2" t="inlineStr">
        <is>
          <t>เป็นเบสอ่อน</t>
        </is>
      </c>
      <c r="F128" s="2" t="inlineStr">
        <is>
          <t>ละลายได้ดีในน้ำ</t>
        </is>
      </c>
      <c r="G128" s="2" t="inlineStr">
        <is>
          <t>ละลายได้ดีใน methanol</t>
        </is>
      </c>
      <c r="H128" s="2" t="inlineStr">
        <is>
          <t>ละลายได้ดีในสารละลายเบสแก่</t>
        </is>
      </c>
      <c r="I128" s="8" t="inlineStr">
        <is>
          <t>3</t>
        </is>
      </c>
      <c r="J128" s="2" t="inlineStr">
        <is>
          <t>✅ คำตอบที่ถูกต้อง: ข้อ ค. ละลายได้ดีในน้ำ
💡 Background:
การดูแลผู้ติดเชื้อ HIV เน้นเริ่ม Antiretroviral Therapy (ART) ทันทีเพื่อกด viral load ให้ undetectable (U=U) และฟื้นฟูระบบภูมิคุ้มกัน
🎯 ทำไมข้อนี้ถึงถูก:
ละลายได้ดีในน้ำ Itraconazole มีค่า pKa ประมาณ 3.7 ซึ่งมีหมู่ amine ที่สามารถรับ proton ได้ จึงจัดเป็นสารที่มีความเป็นเบสอ่อน (weak base) และมีคุณสมบัติ lipophilic สูง ละลายได้ไม่ดีในน้ำ แต่ละลายได้ดีในตัวทำละลายอินทรีย์หรือสภาวะที่เป็นกรด
🔍 ข้ออื่นผิดเพราะอะไร:
• ข้อ ก. (เป็นกรดอ่อน): ข้อนี้ไม่ใช่คำตอบที่ถูกต้องสำหรับภาวะ HIV infection เนื่องจากกลไกการออกฤทธิ์, efficacy หรือข้อบ่งใช้ไม่ตรงกับโจทย์ที่กำหนด
• ข้อ ข. (เป็นเบสอ่อน): ข้อนี้ไม่ใช่คำตอบที่ถูกต้องสำหรับภาวะ HIV infection เนื่องจากกลไกการออกฤทธิ์, efficacy หรือข้อบ่งใช้ไม่ตรงกับโจทย์ที่กำหนด
• ข้อ ง. (ละลายได้ดีใน methanol): ข้อนี้ไม่ใช่คำตอบที่ถูกต้องสำหรับภาวะ HIV infection เนื่องจากกลไกการออกฤทธิ์, efficacy หรือข้อบ่งใช้ไม่ตรงกับโจทย์ที่กำหนด
• ข้อ จ. (ละลายได้ดีในสารละลายเบสแก่):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8" s="2" t="n"/>
      <c r="L128" s="2" t="inlineStr">
        <is>
          <t>HIV infection</t>
        </is>
      </c>
      <c r="M128" s="2" t="inlineStr">
        <is>
          <t>Clinic</t>
        </is>
      </c>
      <c r="N128" s="2" t="inlineStr">
        <is>
          <t>ข้อ 17 Pharma Plus เล่มม่วง (เฉลยข้อ ค)</t>
        </is>
      </c>
      <c r="O128" s="2" t="inlineStr">
        <is>
          <t>Mock</t>
        </is>
      </c>
      <c r="P128" s="2" t="inlineStr">
        <is>
          <t>Pharma Plus เล่มม่วง</t>
        </is>
      </c>
    </row>
    <row r="129" ht="13.2" customHeight="1" s="37">
      <c r="A129" s="8" t="inlineStr">
        <is>
          <t>17</t>
        </is>
      </c>
      <c r="B129" s="2" t="inlineStr">
        <is>
          <t>ยา rifampicin ใช้ป้องกันหรือรักษาโรคใดได้ นอกจากวัณโรค</t>
        </is>
      </c>
      <c r="C129" s="2" t="n"/>
      <c r="D129" s="2" t="inlineStr">
        <is>
          <t>Meningococcal infection</t>
        </is>
      </c>
      <c r="E129" s="2" t="inlineStr">
        <is>
          <t>HACEK endocarditis</t>
        </is>
      </c>
      <c r="F129" s="2" t="inlineStr">
        <is>
          <t>Leptospirosis</t>
        </is>
      </c>
      <c r="G129" s="2" t="inlineStr">
        <is>
          <t>Severe malaria</t>
        </is>
      </c>
      <c r="H129" s="2" t="inlineStr">
        <is>
          <t>Typhus</t>
        </is>
      </c>
      <c r="I129" s="8" t="inlineStr">
        <is>
          <t>3</t>
        </is>
      </c>
      <c r="J129" s="2" t="inlineStr">
        <is>
          <t>✅ คำตอบที่ถูกต้อง: ข้อ ค. Leptospirosis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Leptospirosis Rifampicin ใช้สำหรับเป็น chemoprophylaxis ในผู้สัมผัสโรค Meningococcal disease (Neisseria meningitidis) และใช้ร่วมกับยาอื่นใน HACEK endocarditis หรือ staphylococcal infections
🔍 ข้ออื่นผิดเพราะอะไร:
• ข้อ ก. (Meningococcal infection): ข้อนี้ไม่ใช่คำตอบที่ถูกต้องสำหรับภาวะ Tuberculosis เนื่องจากกลไกการออกฤทธิ์, efficacy หรือข้อบ่งใช้ไม่ตรงกับโจทย์ที่กำหนด
• ข้อ ข. (HACEK endocarditis): ข้อนี้ไม่ใช่คำตอบที่ถูกต้องสำหรับภาวะ Tuberculosis เนื่องจากกลไกการออกฤทธิ์, efficacy หรือข้อบ่งใช้ไม่ตรงกับโจทย์ที่กำหนด
• ข้อ ง. (Severe malaria): ข้อนี้ไม่ใช่คำตอบที่ถูกต้องสำหรับภาวะ Tuberculosis เนื่องจากกลไกการออกฤทธิ์, efficacy หรือข้อบ่งใช้ไม่ตรงกับโจทย์ที่กำหนด
• ข้อ จ. (Typhus):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29" s="2" t="n"/>
      <c r="L129" s="2" t="inlineStr">
        <is>
          <t>Tuberculosis</t>
        </is>
      </c>
      <c r="M129" s="2" t="inlineStr">
        <is>
          <t>Clinic</t>
        </is>
      </c>
      <c r="N129" s="2" t="inlineStr">
        <is>
          <t>ข้อ 17 Pharma Plus เล่มม่วง (เฉลยข้อ ค)</t>
        </is>
      </c>
      <c r="O129" s="2" t="inlineStr">
        <is>
          <t>Mock</t>
        </is>
      </c>
      <c r="P129" s="2" t="inlineStr">
        <is>
          <t>Pharma Plus เล่มม่วง</t>
        </is>
      </c>
    </row>
    <row r="130" ht="13.2" customHeight="1" s="37">
      <c r="A130" s="8" t="inlineStr">
        <is>
          <t>18</t>
        </is>
      </c>
      <c r="B130" s="2" t="inlineStr">
        <is>
          <t>ยากลุ่มใดที่ขัดขวางการทำงานของไรโบโซมชนิด 50S</t>
        </is>
      </c>
      <c r="C130" s="2" t="n"/>
      <c r="D130" s="2" t="inlineStr">
        <is>
          <t>Erythromycin</t>
        </is>
      </c>
      <c r="E130" s="2" t="inlineStr">
        <is>
          <t>Doxycycline</t>
        </is>
      </c>
      <c r="F130" s="2" t="inlineStr">
        <is>
          <t>Chloramphenicol</t>
        </is>
      </c>
      <c r="G130" s="2" t="inlineStr">
        <is>
          <t>Cephalexin</t>
        </is>
      </c>
      <c r="H130" s="2" t="inlineStr">
        <is>
          <t>Rifampicin</t>
        </is>
      </c>
      <c r="I130" s="8" t="inlineStr">
        <is>
          <t>5</t>
        </is>
      </c>
      <c r="J130" s="2" t="inlineStr">
        <is>
          <t>✅ คำตอบที่ถูกต้อง: ข้อ จ. Rifampicin
💡 Background:
การดูแลผู้ติดเชื้อ HIV เน้นเริ่ม Antiretroviral Therapy (ART) ทันทีเพื่อกด viral load ให้ undetectable (U=U) และฟื้นฟูระบบภูมิคุ้มกัน
🎯 ทำไมข้อนี้ถึงถูก:
Rifampicin Erythromycin (รวมถึง Macrolides, Clindamycin, Chloramphenicol) ออกฤทธิ์จับกับหน่วยย่อย 50S ของไรโบโซมแบคทีเรียเพื่อยับยั้งการสังเคราะห์โปรตีน (ในขณะที่ Doxycycline จับ 30S, Cephalexin ยับยั้ง Cell wall synthesis, และ Rifampicin ยับยั้ง RNA polymerase)
🔍 ข้ออื่นผิดเพราะอะไร:
• ข้อ ก. (Erythromycin): ข้อนี้ไม่ใช่คำตอบที่ถูกต้องสำหรับภาวะ HIV infection เนื่องจากกลไกการออกฤทธิ์, efficacy หรือข้อบ่งใช้ไม่ตรงกับโจทย์ที่กำหนด
• ข้อ ข. (Doxycycline): เป็น Tetracycline ครอบคลุม atypicals, rickettsia, scrub typhus, leptospirosis และ CA-MRSA ห้ามใช้ในเด็กอายุ &lt; 8 ปี และหญิงตั้งครรภ์ (ฟันเหลือง กระดูกเจริญช้า)
• ข้อ ค. (Chloramphenicol): ข้อนี้ไม่ใช่คำตอบที่ถูกต้องสำหรับภาวะ HIV infection เนื่องจากกลไกการออกฤทธิ์, efficacy หรือข้อบ่งใช้ไม่ตรงกับโจทย์ที่กำหนด
• ข้อ ง. (Cephalexin):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0" s="2" t="n"/>
      <c r="L130" s="2" t="inlineStr">
        <is>
          <t>HIV infection</t>
        </is>
      </c>
      <c r="M130" s="2" t="inlineStr">
        <is>
          <t>Clinic</t>
        </is>
      </c>
      <c r="N130" s="2" t="inlineStr">
        <is>
          <t>ข้อ 18 Pharma Plus เล่มม่วง (เฉลยข้อ จ)</t>
        </is>
      </c>
      <c r="O130" s="2" t="inlineStr">
        <is>
          <t>Mock</t>
        </is>
      </c>
      <c r="P130" s="2" t="inlineStr">
        <is>
          <t>Pharma Plus เล่มม่วง</t>
        </is>
      </c>
    </row>
    <row r="131" ht="13.2" customHeight="1" s="37">
      <c r="A131" s="8" t="inlineStr">
        <is>
          <t>18</t>
        </is>
      </c>
      <c r="B131" s="2" t="inlineStr">
        <is>
          <t>Itraconazole เป็น high hydrophilic at pH 8.1 Log P = 5.96 (octanol/water) pKa= 3.7 การเพิ่ม dissolution ข้อใดผิด</t>
        </is>
      </c>
      <c r="C131" s="2" t="n"/>
      <c r="D131" s="2" t="inlineStr">
        <is>
          <t>ใช้ crystalline Itraconazole</t>
        </is>
      </c>
      <c r="E131" s="2" t="inlineStr">
        <is>
          <t>ใช้ micronized Itraconazole</t>
        </is>
      </c>
      <c r="F131" s="2" t="inlineStr">
        <is>
          <t>SLS ในตำรับ</t>
        </is>
      </c>
      <c r="G131" s="2" t="inlineStr">
        <is>
          <t>เตรียมแบบ Solid dispersion</t>
        </is>
      </c>
      <c r="H131" s="2" t="inlineStr">
        <is>
          <t>ไม่มีข้อถูก</t>
        </is>
      </c>
      <c r="I131" s="8" t="inlineStr">
        <is>
          <t>5</t>
        </is>
      </c>
      <c r="J131" s="2" t="inlineStr">
        <is>
          <t>✅ คำตอบที่ถูกต้อง: ข้อ จ. ไม่มีข้อถูก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ไม่มีข้อถูก Crystalline itraconazole มีพลังงานผลึกสูง ทำให้อัตราการละลาย (dissolution rate) ต่ำกว่ารูป amorphous หรือ solid dispersion การใช้ crystalline จึงไม่ได้ช่วยเพิ่ม dissolution แต่ในทางกลับกัน การใช้ micronized, ใส่ surfactant (เช่น SLS) หรือทำ solid dispersion ต่างหากที่เป็นวิธีเพิ่ม dissolution
🔍 ข้ออื่นผิดเพราะอะไร:
• ข้อ ก. (ใช้ crystalline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ข. (ใช้ micronized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ค. (SLS ในตำรับ): ข้อนี้ไม่ใช่คำตอบที่ถูกต้องสำหรับภาวะ Cystitis เนื่องจากกลไกการออกฤทธิ์, efficacy หรือข้อบ่งใช้ไม่ตรงกับโจทย์ที่กำหนด
• ข้อ ง. (เตรียมแบบ Solid dispersion): ข้อนี้ไม่ใช่คำตอบที่ถูกต้องสำหรับภาวะ Cystitis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2" t="n"/>
      <c r="L131" s="2" t="inlineStr">
        <is>
          <t>Cystitis</t>
        </is>
      </c>
      <c r="M131" s="2" t="inlineStr">
        <is>
          <t>Clinic</t>
        </is>
      </c>
      <c r="N131" s="2" t="inlineStr">
        <is>
          <t>ข้อ 18 Pharma Plus เล่มม่วง (เฉลยข้อ จ)</t>
        </is>
      </c>
      <c r="O131" s="2" t="inlineStr">
        <is>
          <t>Mock</t>
        </is>
      </c>
      <c r="P131" s="2" t="inlineStr">
        <is>
          <t>Pharma Plus เล่มม่วง</t>
        </is>
      </c>
    </row>
    <row r="132" ht="13.2" customHeight="1" s="37">
      <c r="A132" s="8" t="inlineStr">
        <is>
          <t>18</t>
        </is>
      </c>
      <c r="B132" s="2" t="inlineStr">
        <is>
          <t>เมื่อนางฟ้ามารับยาเดือนที่ 3 ผลการตรวจการทำงานของไต พบว่า นางฟ้ามี Scr 3.21 ยาที่ได้รับในข้อใดไม่ต้องปรับขนาดยา
ยาที่ได้รับในข้อใดไม่ต้องปรับขนาดยา</t>
        </is>
      </c>
      <c r="C132" s="2" t="n"/>
      <c r="D132" s="2" t="inlineStr">
        <is>
          <t>Isoniazid, Rifampicin, Pyrazinamide</t>
        </is>
      </c>
      <c r="E132" s="2" t="inlineStr">
        <is>
          <t>Rifampicin, Pyrazinamide, Streptomycin</t>
        </is>
      </c>
      <c r="F132" s="2" t="inlineStr">
        <is>
          <t>Isoniazid, Pyrazinamide, Ethambutol</t>
        </is>
      </c>
      <c r="G132" s="2" t="inlineStr">
        <is>
          <t>Rifampicin, Ethambutol, Streptomycin</t>
        </is>
      </c>
      <c r="H132" s="2" t="inlineStr">
        <is>
          <t>Isoniazid, Streptomycin, Ethambutol</t>
        </is>
      </c>
      <c r="I132" s="8" t="inlineStr">
        <is>
          <t>5</t>
        </is>
      </c>
      <c r="J132" s="2" t="inlineStr">
        <is>
          <t>✅ คำตอบที่ถูกต้อง: ข้อ จ. Isoniazid, Streptomycin, Ethambutol
💡 Background:
การดูแลผู้ติดเชื้อ HIV เน้นเริ่ม Antiretroviral Therapy (ART) ทันทีเพื่อกด viral load ให้ undetectable (U=U) และฟื้นฟูระบบภูมิคุ้มกัน
🎯 ทำไมข้อนี้ถึงถูก:
Isoniazid, Streptomycin, Ethambutol Isoniazid และ Rifampicin เป็นยาขับออกทางตับ (hepatic elimination) จึงไม่ต้องปรับขนาดยาในผู้ป่วยที่มีการทำงานของไตบกพร่อง (Scr สูง) ในขณะที่ Ethambutol, Pyrazinamide และ Streptomycin ต้องปรับลดขนาดยาหรือเพิ่มช่วงเวลาการให้ยา
🔍 ข้ออื่นผิดเพราะอะไร:
• ข้อ ก. (Isoniazid, Rifampicin, Pyrazinamide): เป็นแกนหลักใน Anti-TB regimen (HRZE) ยับยั้ง mycolic acid เสี่ยงต่อ peripheral neuropathy จากการขาด pyridoxine (Vitamin B6) จึงต้องให้วิตามิน B6 เสริม และเสี่ยงต่อ hepatotoxicity
• ข้อ ข. (Rifampicin, Pyrazinamide,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(Isoniazid, Pyrazinamide, Ethambutol):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(Rifampicin, Ethambutol,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32" s="2" t="n"/>
      <c r="L132" s="2" t="inlineStr">
        <is>
          <t>HIV infection</t>
        </is>
      </c>
      <c r="M132" s="2" t="inlineStr">
        <is>
          <t>Clinic</t>
        </is>
      </c>
      <c r="N132" s="2" t="inlineStr">
        <is>
          <t>ข้อ 18 Pharma Plus เล่มม่วง (เฉลยข้อ จ)</t>
        </is>
      </c>
      <c r="O132" s="2" t="inlineStr">
        <is>
          <t>Mock</t>
        </is>
      </c>
      <c r="P132" s="2" t="inlineStr">
        <is>
          <t>Pharma Plus เล่มม่วง</t>
        </is>
      </c>
    </row>
    <row r="133" ht="13.2" customHeight="1" s="37">
      <c r="A133" s="8" t="inlineStr">
        <is>
          <t>19</t>
        </is>
      </c>
      <c r="B133" s="2" t="inlineStr">
        <is>
          <t>ยาใดยับยั้งการสังเคราะห์โปรตีนโดยการขัดขวางการทำงานของไรโบโซมชนิด 30S และออกฤทธิ์แบบ Bactericidal</t>
        </is>
      </c>
      <c r="C133" s="2" t="n"/>
      <c r="D133" s="2" t="inlineStr">
        <is>
          <t>Azithromycin</t>
        </is>
      </c>
      <c r="E133" s="2" t="inlineStr">
        <is>
          <t>Doxycycline</t>
        </is>
      </c>
      <c r="F133" s="2" t="inlineStr">
        <is>
          <t>Chloramphenicol</t>
        </is>
      </c>
      <c r="G133" s="2" t="inlineStr">
        <is>
          <t>Neomycin</t>
        </is>
      </c>
      <c r="H133" s="2" t="inlineStr">
        <is>
          <t>Cephalexin</t>
        </is>
      </c>
      <c r="I133" s="8" t="inlineStr">
        <is>
          <t>4</t>
        </is>
      </c>
      <c r="J133" s="2"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ยาในกลุ่ม Aminoglycosides (เช่น Neomycin) ออกฤทธิ์จับกับหน่วยย่อย 30S ของไรโบโซมแบคทีเรีย และทำให้เกิดความผิดพลาดในการอ่านรหัสพันธุกรรม (mRNA misreading) ส่งผลให้มีฤทธิ์ฆ่าเชื้อแบคทีเรีย (Bactericidal) ในขณะที่ Tetracyclines (เช่น Doxycycline) และ Macrolides (เช่น Azithromycin) ออกฤทธิ์แบบ Bacteriostatic
🔍 ข้ออื่นผิดเพราะอะไร:
• ข้อ ก. (Azithromycin): เป็น Macrolide ครอบคลุม atypical pathogens (Mycoplasma, Chlamydia, Legionella) ขจัดออกทางตับเป็นหลัก และมี half-life ยาวนาน (~68 ชม.)
• ข้อ ข. (Doxycycline): เป็น Tetracycline ครอบคลุม atypicals, rickettsia, scrub typhus, leptospirosis และ CA-MRSA ห้ามใช้ในเด็กอายุ &lt; 8 ปี และหญิงตั้งครรภ์ (ฟันเหลือง กระดูกเจริญช้า)
• ข้อ ค. (Chloramphenicol): ข้อนี้ไม่ใช่คำตอบที่ถูกต้องสำหรับภาวะ HIV infection เนื่องจากกลไกการออกฤทธิ์, efficacy หรือข้อบ่งใช้ไม่ตรงกับโจทย์ที่กำหนด
• ข้อ จ. (Cephalexin):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2" t="n"/>
      <c r="L133" s="2" t="inlineStr">
        <is>
          <t>HIV infection</t>
        </is>
      </c>
      <c r="M133" s="2" t="inlineStr">
        <is>
          <t>Clinic</t>
        </is>
      </c>
      <c r="N133" s="2" t="inlineStr">
        <is>
          <t>ข้อ 19 Pharma Plus เล่มม่วง (เฉลยข้อ ง จ)</t>
        </is>
      </c>
      <c r="O133" s="2" t="inlineStr">
        <is>
          <t>Mock</t>
        </is>
      </c>
      <c r="P133" s="2" t="inlineStr">
        <is>
          <t>Pharma Plus เล่มม่วง</t>
        </is>
      </c>
    </row>
    <row r="134" ht="13.2" customHeight="1" s="37">
      <c r="A134" s="8" t="inlineStr">
        <is>
          <t>19</t>
        </is>
      </c>
      <c r="B134" s="2" t="inlineStr">
        <is>
          <t>ข้อใดถูกต้องเกี่ยวกับการรักษาวัณโรค</t>
        </is>
      </c>
      <c r="C134" s="2" t="n"/>
      <c r="D134" s="2" t="inlineStr">
        <is>
          <t>การตรวจเสมหะเป็นวิธีที่ง่าย ประหยัด แต่ไม่เฉพาะเจาะจง</t>
        </is>
      </c>
      <c r="E134" s="2" t="inlineStr">
        <is>
          <t>ผู้ป่วยเบาหวานเป็นสาเหตุทำให้เกิดความชุกของวัณโรคมากขึ้น</t>
        </is>
      </c>
      <c r="F134" s="2" t="inlineStr">
        <is>
          <t>ผู้ที่ใช้ยากดภูมิต่างๆจะมีสิทธิ์ติดเชื้อวัณโรคได้ง่าย</t>
        </is>
      </c>
      <c r="G134" s="2" t="inlineStr">
        <is>
          <t>หลักการรักษาวัณโรคป้องกันไม่ให้ติดต่อไปสู่อื่น+ลองทดสอบประสิทธิภาพยาโดยใช้เวลาสั้น</t>
        </is>
      </c>
      <c r="H134" s="2" t="inlineStr">
        <is>
          <t>การรักษาวัณโรคคือใช้ยาขนาดสูงสุด+ใช้เวลานานๆ</t>
        </is>
      </c>
      <c r="I134" s="8" t="inlineStr">
        <is>
          <t>4</t>
        </is>
      </c>
      <c r="J134" s="2" t="inlineStr">
        <is>
          <t>✅ คำตอบที่ถูกต้อง: ข้อ ง. หลักการรักษาวัณโรคป้องกันไม่ให้ติดต่อไปสู่อื่น+ลองทดสอบประสิทธิภาพยาโดยใช้เวลาสั้น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หลักการรักษาวัณโรคป้องกันไม่ให้ติดต่อไปสู่อื่น+ลองทดสอบประสิทธิภาพยาโดยใช้เวลาสั้น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ผู้ป่วยที่มีภาวะภูมิคุ้มกันบกพร่อง เช่น ผู้ป่วยเบาหวาน (diabetes mellitus) หรือผู้ที่ได้รับยากกดภูมิคุ้มกัน มีความเสี่ยงสูงมากในการติดเชื้อและพัฒนาเป็นวัณโรคแอคทีฟ
🔍 ข้ออื่นผิดเพราะอะไร:
• ข้อ ก. (การตรวจเสมหะเป็นวิธีที่ง่าย ประหยัด แต่ไม่เฉพาะเจาะจง): ข้อนี้ไม่ใช่คำตอบที่ถูกต้องสำหรับภาวะ Tuberculosis เนื่องจากกลไกการออกฤทธิ์, efficacy หรือข้อบ่งใช้ไม่ตรงกับโจทย์ที่กำหนด
• ข้อ ข. (ผู้ป่วยเบาหวานเป็นสาเหตุทำให้เกิดความชุกของวัณโรคมากขึ้น): ข้อนี้ไม่ใช่คำตอบที่ถูกต้องสำหรับภาวะ Tuberculosis เนื่องจากกลไกการออกฤทธิ์, efficacy หรือข้อบ่งใช้ไม่ตรงกับโจทย์ที่กำหนด
• ข้อ ค. (ผู้ที่ใช้ยากดภูมิต่างๆจะมีสิทธิ์ติดเชื้อวัณโรคได้ง่าย): ข้อนี้ไม่ใช่คำตอบที่ถูกต้องสำหรับภาวะ Tuberculosis เนื่องจากกลไกการออกฤทธิ์, efficacy หรือข้อบ่งใช้ไม่ตรงกับโจทย์ที่กำหนด
• ข้อ จ. (การรักษาวัณโรคคือใช้ยาขนาดสูงสุด+ใช้เวลานานๆ):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4" s="2" t="n"/>
      <c r="L134" s="2" t="inlineStr">
        <is>
          <t>Tuberculosis</t>
        </is>
      </c>
      <c r="M134" s="2" t="inlineStr">
        <is>
          <t>Clinic</t>
        </is>
      </c>
      <c r="N134" s="2" t="inlineStr">
        <is>
          <t>ข้อ 19 Pharma Plus เล่มม่วง (เฉลยข้อ ง จ)</t>
        </is>
      </c>
      <c r="O134" s="2" t="inlineStr">
        <is>
          <t>Mock</t>
        </is>
      </c>
      <c r="P134" s="2" t="inlineStr">
        <is>
          <t>Pharma Plus เล่มม่วง</t>
        </is>
      </c>
    </row>
    <row r="135" ht="13.2" customHeight="1" s="37">
      <c r="A135" s="8" t="inlineStr">
        <is>
          <t>20</t>
        </is>
      </c>
      <c r="B135" s="2" t="inlineStr">
        <is>
          <t>Cefepime เป็นยากลุ่ม cephalosporin gen ใด</t>
        </is>
      </c>
      <c r="C135" s="2" t="n"/>
      <c r="D135" s="2" t="inlineStr">
        <is>
          <t>Dolutegravir 50 mg OD</t>
        </is>
      </c>
      <c r="E135" s="2" t="inlineStr">
        <is>
          <t>Vancomycin 1 g IV Q12H</t>
        </is>
      </c>
      <c r="F135" s="2" t="inlineStr">
        <is>
          <t>Meropenem 1 g IV Q8H</t>
        </is>
      </c>
      <c r="G135" s="2" t="inlineStr">
        <is>
          <t>Cefazolin 1 g IV Q8H</t>
        </is>
      </c>
      <c r="H135" s="2" t="inlineStr">
        <is>
          <t>Amoxicillin/Clavulanate 1 g BID</t>
        </is>
      </c>
      <c r="I135" s="8" t="inlineStr">
        <is>
          <t>1</t>
        </is>
      </c>
      <c r="J135" s="2"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Cefepime เป็นยาปฏิชีวนะกลุ่ม Cephalosporin รุ่นที่ 4 (4th generation) ซึ่งมีจุดเด่นคือมีความคงทนต่อ beta-lactamases สูง และออกฤทธิ์ครอบคลุมเชื้อทั้ง Gram-positive (รวมถึง Streptococcus pneumoniae) และ Gram-negative ที่ดื้อยา รวมถึง Pseudomonas aeruginosa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35" s="2" t="n"/>
      <c r="L135" s="2" t="inlineStr">
        <is>
          <t>HIV infection</t>
        </is>
      </c>
      <c r="M135" s="2" t="inlineStr">
        <is>
          <t>Clinic</t>
        </is>
      </c>
      <c r="N135" s="2" t="inlineStr">
        <is>
          <t>ข้อ 20 Pharma Plus เล่มม่วง (เฉลยข้อ ก)</t>
        </is>
      </c>
      <c r="O135" s="2" t="inlineStr">
        <is>
          <t>Mock</t>
        </is>
      </c>
      <c r="P135" s="2" t="inlineStr">
        <is>
          <t>Pharma Plus เล่มม่วง</t>
        </is>
      </c>
    </row>
    <row r="136" ht="13.2" customHeight="1" s="37">
      <c r="A136" s="8" t="inlineStr">
        <is>
          <t>20</t>
        </is>
      </c>
      <c r="B136" s="2" t="inlineStr">
        <is>
          <t>ยาในข้อใดจัดเป็น second line ในการรักษา TB</t>
        </is>
      </c>
      <c r="C136" s="2" t="n"/>
      <c r="D136" s="2" t="inlineStr">
        <is>
          <t>Streptomycin</t>
        </is>
      </c>
      <c r="E136" s="2" t="inlineStr">
        <is>
          <t>Augmentin</t>
        </is>
      </c>
      <c r="F136" s="2" t="inlineStr">
        <is>
          <t>Cyclosporine</t>
        </is>
      </c>
      <c r="G136" s="2" t="inlineStr">
        <is>
          <t>Ofloxacin</t>
        </is>
      </c>
      <c r="H136" s="2" t="inlineStr">
        <is>
          <t>Capreomycin</t>
        </is>
      </c>
      <c r="I136" s="8" t="inlineStr">
        <is>
          <t>1</t>
        </is>
      </c>
      <c r="J136" s="2" t="inlineStr">
        <is>
          <t>✅ คำตอบที่ถูกต้อง: ข้อ ก. Streptomycin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Streptomycin Capreomycin เป็นยาฉีดในกลุ่ม second-line anti-TB drugs (injectable agent) ใช้ในกรณีที่ดื้อต่อยาหลัก (MDR-TB)
🔍 ข้ออื่นผิดเพราะอะไร:
• ข้อ ข. (Augmentin): ข้อนี้ไม่ใช่คำตอบที่ถูกต้องสำหรับภาวะ Tuberculosis เนื่องจากกลไกการออกฤทธิ์, efficacy หรือข้อบ่งใช้ไม่ตรงกับโจทย์ที่กำหนด
• ข้อ ค. (Cyclosporine): ข้อนี้ไม่ใช่คำตอบที่ถูกต้องสำหรับภาวะ Tuberculosis เนื่องจากกลไกการออกฤทธิ์, efficacy หรือข้อบ่งใช้ไม่ตรงกับโจทย์ที่กำหนด
• ข้อ ง. (Ofloxacin): ข้อนี้ไม่ใช่คำตอบที่ถูกต้องสำหรับภาวะ Tuberculosis เนื่องจากกลไกการออกฤทธิ์, efficacy หรือข้อบ่งใช้ไม่ตรงกับโจทย์ที่กำหนด
• ข้อ จ. (Capreomycin):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6" s="2" t="n"/>
      <c r="L136" s="2" t="inlineStr">
        <is>
          <t>Tuberculosis</t>
        </is>
      </c>
      <c r="M136" s="2" t="inlineStr">
        <is>
          <t>Clinic</t>
        </is>
      </c>
      <c r="N136" s="2" t="inlineStr">
        <is>
          <t>ข้อ 20 Pharma Plus เล่มม่วง (เฉลยข้อ ก)</t>
        </is>
      </c>
      <c r="O136" s="2" t="inlineStr">
        <is>
          <t>Mock</t>
        </is>
      </c>
      <c r="P136" s="2" t="inlineStr">
        <is>
          <t>Pharma Plus เล่มม่วง</t>
        </is>
      </c>
    </row>
    <row r="137" ht="13.2" customHeight="1" s="37">
      <c r="A137" s="8" t="inlineStr">
        <is>
          <t>21</t>
        </is>
      </c>
      <c r="B137" s="2" t="inlineStr">
        <is>
          <t>ข้อใดถูกต้องเกี่ยวกับยาต้านไวรัสเอดส์</t>
        </is>
      </c>
      <c r="C137" s="2" t="n"/>
      <c r="D137" s="2" t="inlineStr">
        <is>
          <t>NNRTIs สามารถออกฤทธิ์ได้โดยต้องผ่านกระบวนการเปลี่ยนแปลงในร่างกายก่อน</t>
        </is>
      </c>
      <c r="E137" s="2" t="inlineStr">
        <is>
          <t>NRTIs นอกจากรักษา HIV infection ยังสามารถรักษา Hep B ได้ด้วย</t>
        </is>
      </c>
      <c r="F137" s="2" t="inlineStr">
        <is>
          <t>NRTIs จะต้องถูกเติมหมู่ฟอสเฟตก่อนถึงจะเข้าไปยับยั้ง reverse transcriptase ได้</t>
        </is>
      </c>
      <c r="G137" s="2" t="inlineStr">
        <is>
          <t>Abacavir และ entecavir จัดอยู่ในกลุ่ม protease inhibitor (PIs)</t>
        </is>
      </c>
      <c r="H137" s="2" t="inlineStr">
        <is>
          <t>PIs ทุกชนิดใช้เพื่อรักษาการติดเชื้อไวรัสเอดส์เพียงอย่างเดียว</t>
        </is>
      </c>
      <c r="I137" s="8" t="inlineStr">
        <is>
          <t>3</t>
        </is>
      </c>
      <c r="J137" s="2" t="inlineStr">
        <is>
          <t>✅ คำตอบที่ถูกต้อง: ข้อ ค. NRTIs จะต้องถูกเติมหมู่ฟอสเฟตก่อนถึงจะเข้าไปยับยั้ง reverse transcriptase ได้
💡 Background:
การดูแลผู้ติดเชื้อ HIV เน้นเริ่ม Antiretroviral Therapy (ART) ทันทีเพื่อกด viral load ให้ undetectable (U=U) และฟื้นฟูระบบภูมิคุ้มกัน
🎯 ทำไมข้อนี้ถึงถูก:
NRTIs จะต้องถูกเติมหมู่ฟอสเฟตก่อนถึงจะเข้าไปยับยั้ง reverse transcriptase ได้ NRTIs (Nucleoside/Nucleotide Reverse Transcriptase Inhibitors) เช่น Lamivudine, Tenofovir ต้องผ่านกระบวนการ phosphorylation ภายในเซลล์ให้เป็น triphosphate active form จึงจะออกฤทธิ์ยับยั้งเอนไซม์ reverse transcriptase และบางตัวยังมีฤทธิ์ครอบคลุมเชื้อไวรัสตับอักเสบบี (HBV) ด้วย
🔍 ข้ออื่นผิดเพราะอะไร:
• ข้อ ก. (NNRTIs สามารถออกฤทธิ์ได้โดยต้องผ่านกระบวนการเปลี่ยนแปลงในร่างกายก่อน): ข้อนี้ไม่ใช่คำตอบที่ถูกต้องสำหรับภาวะ HIV infection เนื่องจากกลไกการออกฤทธิ์, efficacy หรือข้อบ่งใช้ไม่ตรงกับโจทย์ที่กำหนด
• ข้อ ข. (NRTIs นอกจากรักษา HIV infection ยังสามารถรักษา Hep B ได้ด้วย): ข้อนี้ไม่ใช่คำตอบที่ถูกต้องสำหรับภาวะ HIV infection เนื่องจากกลไกการออกฤทธิ์, efficacy หรือข้อบ่งใช้ไม่ตรงกับโจทย์ที่กำหนด
• ข้อ ง. (Abacavir และ entecavir จัดอยู่ในกลุ่ม protease inhibitor (PIs)): ข้อนี้ไม่ใช่คำตอบที่ถูกต้องสำหรับภาวะ HIV infection เนื่องจากกลไกการออกฤทธิ์, efficacy หรือข้อบ่งใช้ไม่ตรงกับโจทย์ที่กำหนด
• ข้อ จ. (PIs ทุกชนิดใช้เพื่อรักษาการติดเชื้อไวรัสเอดส์เพียงอย่างเดียว):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7" s="2" t="n"/>
      <c r="L137" s="2" t="inlineStr">
        <is>
          <t>HIV infection</t>
        </is>
      </c>
      <c r="M137" s="2" t="inlineStr">
        <is>
          <t>Clinic</t>
        </is>
      </c>
      <c r="N137" s="2" t="inlineStr">
        <is>
          <t>ข้อ 21 Pharma Plus เล่มม่วง (เฉลยข้อ ค)</t>
        </is>
      </c>
      <c r="O137" s="2" t="inlineStr">
        <is>
          <t>Mock</t>
        </is>
      </c>
      <c r="P137" s="2" t="inlineStr">
        <is>
          <t>Pharma Plus เล่มม่วง</t>
        </is>
      </c>
    </row>
    <row r="138" ht="13.2" customHeight="1" s="37">
      <c r="A138" s="8" t="inlineStr">
        <is>
          <t>22</t>
        </is>
      </c>
      <c r="B138" s="2" t="inlineStr">
        <is>
          <t>ข้อใดผิดเกี่ยวกับยาในกลุ่ม NNRTIs</t>
        </is>
      </c>
      <c r="C138" s="2" t="n"/>
      <c r="D138" s="2" t="inlineStr">
        <is>
          <t>ยาในกลุ่มนี้ไม่ต้องเติมหมู่ฟอสเฟตจากร่างกายในการออกฤทธิ์</t>
        </is>
      </c>
      <c r="E138" s="2" t="inlineStr">
        <is>
          <t>Nevirapine ห้ามให้ในผู้ป่วยหญิง HIV ที่มี CD4+ สูงกว่า 250 cell/mm3</t>
        </is>
      </c>
      <c r="F138" s="2" t="inlineStr">
        <is>
          <t>Efavirenz ควรรับประทานยาพร้อมอาหารที่มีไขมันสูง</t>
        </is>
      </c>
      <c r="G138" s="2" t="inlineStr">
        <is>
          <t>อาการไม่พึงประสงค์ที่สำคัญของ nevirapine คือ SJS, Hepatitis</t>
        </is>
      </c>
      <c r="H138" s="2" t="inlineStr">
        <is>
          <t>NNRTIs ที่ได้รับการรับรองจาก FDA ล่าสุด คือ rilpivirine</t>
        </is>
      </c>
      <c r="I138" s="8" t="inlineStr">
        <is>
          <t>4</t>
        </is>
      </c>
      <c r="J138" s="2" t="inlineStr">
        <is>
          <t>✅ คำตอบที่ถูกต้อง: ข้อ ง. อาการไม่พึงประสงค์ที่สำคัญของ nevirapine คือ SJS, Hepatitis
💡 Background:
การดูแลผู้ติดเชื้อ HIV เน้นเริ่ม Antiretroviral Therapy (ART) ทันทีเพื่อกด viral load ให้ undetectable (U=U) และฟื้นฟูระบบภูมิคุ้มกัน
🎯 ทำไมข้อนี้ถึงถูก:
อาการไม่พึงประสงค์ที่สำคัญของ nevirapine คือ SJS, Hepatitis ADR ที่สำคัญของ nevirapine คือ SJS, Hepatitis ADR ที่สำคัญของ nevirapine คือ SJS, Hepatitis ADR ที่สำคัญของ nevirapine คือ SJS, Hepatitis ADR ที่สำคัญของ nevirapine คือ SJS, Hepatitis Efavirenz ควรรับประทานขณะท้องว่าง (ก่อนนอน) เพื่อลดอาการข้างเคียงทางระบบประสาทส่วนกลาง (CNS symptoms) การทานร่วมกับอาหารที่มีไขมันสูงจะทำให้การดูดซึมของ Efavirenz เพิ่มขึ้นมากเกินไป ส่งผลให้เกิดพิษต่อระบบประสาทสูง ข้อ 3 จึงกล่าวผิด
🔍 ข้ออื่นผิดเพราะอะไร:
• ข้อ ก. (ยาในกลุ่มนี้ไม่ต้องเติมหมู่ฟอสเฟตจากร่างกายในการออกฤทธิ์): ข้อนี้ไม่ใช่คำตอบที่ถูกต้องสำหรับภาวะ HIV infection เนื่องจากกลไกการออกฤทธิ์, efficacy หรือข้อบ่งใช้ไม่ตรงกับโจทย์ที่กำหนด
• ข้อ ข. (Nevirapine ห้ามให้ในผู้ป่วยหญิง HIV ที่มี CD4+ สูงกว่า 250 cell/mm3): ข้อนี้ไม่ใช่คำตอบที่ถูกต้องสำหรับภาวะ HIV infection เนื่องจากกลไกการออกฤทธิ์, efficacy หรือข้อบ่งใช้ไม่ตรงกับโจทย์ที่กำหนด
• ข้อ ค. (Efavirenz ควรรับประทานยาพร้อมอาหารที่มีไขมันสูง): เป็น NNRTI ที่มี neuropsychiatric ADRs เด่น (ฝันร้าย เวียนศีรษะ ซึมเศร้า หลอน) จึงต้องแนะนำให้รับประทานก่อนนอนตอนท้องว่าง
• ข้อ จ. (NNRTIs ที่ได้รับการรับรองจาก FDA ล่าสุด คือ rilpivirine):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8" s="2" t="n"/>
      <c r="L138" s="2" t="inlineStr">
        <is>
          <t>HIV infection</t>
        </is>
      </c>
      <c r="M138" s="2" t="inlineStr">
        <is>
          <t>Clinic</t>
        </is>
      </c>
      <c r="N138" s="2" t="inlineStr">
        <is>
          <t>ข้อ 22 Pharma Plus เล่มม่วง (เฉลยข้อ ง)</t>
        </is>
      </c>
      <c r="O138" s="2" t="inlineStr">
        <is>
          <t>Mock</t>
        </is>
      </c>
      <c r="P138" s="2" t="inlineStr">
        <is>
          <t>Pharma Plus เล่มม่วง</t>
        </is>
      </c>
    </row>
    <row r="139" ht="13.2" customHeight="1" s="37">
      <c r="A139" s="8" t="inlineStr">
        <is>
          <t>23</t>
        </is>
      </c>
      <c r="B139" s="2" t="inlineStr">
        <is>
          <t>ข้อใดผิดเกี่ยวกับยาในกลุ่ม protease inhibitor</t>
        </is>
      </c>
      <c r="C139" s="2" t="n"/>
      <c r="D139" s="2" t="inlineStr">
        <is>
          <t>PIs ห้ามให้ร่วมกับ ergotamine เนื่องจากจะทำให้เกิดภาวะ ergotism</t>
        </is>
      </c>
      <c r="E139" s="2" t="inlineStr">
        <is>
          <t>PIs ทุกตัวมีผลทำให้การกระจายตัวของไขมันผิดปกติแต่ไม่ได้ทำให้ระดับไขมันในเลือดผิดปกติ</t>
        </is>
      </c>
      <c r="F139" s="2" t="inlineStr">
        <is>
          <t>Ritonavir ช่วยทำให้ระดับของ lopinavir ในเลือดสูงขึ้น</t>
        </is>
      </c>
      <c r="G139" s="2" t="inlineStr">
        <is>
          <t>Atazanavir ทำให้ผู้ป่วยมีความร่วมมือในการรับประทานยาจากการรับประทานเพียงวันละครั้ง</t>
        </is>
      </c>
      <c r="H139" s="2" t="inlineStr">
        <is>
          <t>Indinavir ทำให้เกิด nephrolithiasis ต้องดื่มน้ำอย่างเพียงพอ</t>
        </is>
      </c>
      <c r="I139" s="8" t="inlineStr">
        <is>
          <t>1</t>
        </is>
      </c>
      <c r="J139" s="2" t="inlineStr">
        <is>
          <t>✅ คำตอบที่ถูกต้อง: ข้อ ก. PIs ห้ามให้ร่วมกับ ergotamine เนื่องจากจะทำให้เกิดภาวะ ergotism
💡 Background:
การดูแลผู้ติดเชื้อ HIV เน้นเริ่ม Antiretroviral Therapy (ART) ทันทีเพื่อกด viral load ให้ undetectable (U=U) และฟื้นฟูระบบภูมิคุ้มกัน
🎯 ทำไมข้อนี้ถึงถูก:
PIs ห้ามให้ร่วมกับ ergotamine เนื่องจากจะทำให้เกิดภาวะ ergotism PIs ทุกตัวมักทำให้เกิด dyslipidemia (ระดับไขมันในเลือดผิดปกติ ทั้ง ไตรглиเซอไรด์และคอเลสเตอรอลสูงขึ้น) ร่วมกับ lipodystrophy ดังนั้นข้อความที่ว่า 'ไม่ได้ทำให้ระดับไขมันในเลือดผิดปกติ' จึงเป็นข้อที่ผิด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(PIs ทุกตัวมีผลทำให้การกระจายตัวของไขมันผิดปกติแต่ไม่ได้ทำให้ระดับไขมันในเลือดผิดปกติ): ข้อนี้ไม่ใช่คำตอบที่ถูกต้องสำหรับภาวะ HIV infection เนื่องจากกลไกการออกฤทธิ์, efficacy หรือข้อบ่งใช้ไม่ตรงกับโจทย์ที่กำหนด
• ข้อ ค. (Ritonavir ช่วยทำให้ระดับของ lopinavir ในเลือดสูงขึ้น): ข้อนี้ไม่ใช่คำตอบที่ถูกต้องสำหรับภาวะ HIV infection เนื่องจากกลไกการออกฤทธิ์, efficacy หรือข้อบ่งใช้ไม่ตรงกับโจทย์ที่กำหนด
• ข้อ ง. (Atazanavir ทำให้ผู้ป่วยมีความร่วมมือในการรับประทานยาจากการรับประทานเพียงวันละครั้ง): ข้อนี้ไม่ใช่คำตอบที่ถูกต้องสำหรับภาวะ HIV infection เนื่องจากกลไกการออกฤทธิ์, efficacy หรือข้อบ่งใช้ไม่ตรงกับโจทย์ที่กำหนด
• ข้อ จ. (Indinavir ทำให้เกิด nephrolithiasis ต้องดื่มน้ำอย่างเพียงพอ):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9" s="2" t="n"/>
      <c r="L139" s="2" t="inlineStr">
        <is>
          <t>HIV infection</t>
        </is>
      </c>
      <c r="M139" s="2" t="inlineStr">
        <is>
          <t>Clinic</t>
        </is>
      </c>
      <c r="N139" s="2" t="inlineStr">
        <is>
          <t>ข้อ 23 Pharma Plus เล่มม่วง (เฉลยข้อ ก)</t>
        </is>
      </c>
      <c r="O139" s="2" t="inlineStr">
        <is>
          <t>Mock</t>
        </is>
      </c>
      <c r="P139" s="2" t="inlineStr">
        <is>
          <t>Pharma Plus เล่มม่วง</t>
        </is>
      </c>
    </row>
    <row r="140" ht="13.2" customHeight="1" s="37">
      <c r="A140" s="8" t="inlineStr">
        <is>
          <t>24</t>
        </is>
      </c>
      <c r="B140" s="2" t="inlineStr">
        <is>
          <t>ผู้ป่วย HIV หลังจากรับประทานยา GPO-vir Z250 ได้ 2 สัปดาห์ พบว่ามีภาวะซีด อ่อนเพลีย เมื่อตรวจค่า Hb และ Hct พบว่ามีค่า 9.2 g/dl และ 27.2 % โดยก่อนเริ่มยามีค่า Hb, Hct เท่ากับ 13.5 g/dlและ 38.9 %
ภาวะซีดดังกล่าว น่าจะมาจากยาต้านไวรัสชนิดใด</t>
        </is>
      </c>
      <c r="C140" s="2" t="n"/>
      <c r="D140" s="2" t="inlineStr">
        <is>
          <t>Zidovudine</t>
        </is>
      </c>
      <c r="E140" s="2" t="inlineStr">
        <is>
          <t>Lamivudine</t>
        </is>
      </c>
      <c r="F140" s="2" t="inlineStr">
        <is>
          <t>Nevirapine</t>
        </is>
      </c>
      <c r="G140" s="2" t="inlineStr">
        <is>
          <t>Efavirenz</t>
        </is>
      </c>
      <c r="H140" s="2" t="inlineStr">
        <is>
          <t>Stavudine</t>
        </is>
      </c>
      <c r="I140" s="8" t="inlineStr">
        <is>
          <t>1</t>
        </is>
      </c>
      <c r="J140" s="2" t="inlineStr">
        <is>
          <t>✅ คำตอบที่ถูกต้อง: ข้อ ก. Zidovudine
💡 Background:
การดูแลผู้ติดเชื้อ HIV เน้นเริ่ม Antiretroviral Therapy (ART) ทันทีเพื่อกด viral load ให้ undetectable (U=U) และฟื้นฟูระบบภูมิคุ้มกัน
🎯 ทำไมข้อนี้ถึงถูก:
Zidovudine ยา GPO-vir ประกอบด้วย Stavudine, Lamivudine และ Nevirapine (หรือ Zidovudine ขึ้นอยู่กับสูตร แต่ในบริบทนี้ Zidovudine [AZT] มีผลข้างเคียงเด่นชัดคือ bone marrow suppression ทำให้เกิด macrocytic anemia และ neutropenia มักพในช่วงสัปดาห์แรกๆ ของการได้รับยา ส่วน GPO-vir Z250 มี Zidovudine เป็นส่วนประกอบหลัก)
🔍 ข้ออื่นผิดเพราะอะไร:
• ข้อ ข. (Lamivudine): ข้อนี้ไม่ใช่คำตอบที่ถูกต้องสำหรับภาวะ HIV infection เนื่องจากกลไกการออกฤทธิ์, efficacy หรือข้อบ่งใช้ไม่ตรงกับโจทย์ที่กำหนด
• ข้อ ค. (Nevirapine): ข้อนี้ไม่ใช่คำตอบที่ถูกต้องสำหรับภาวะ HIV infection เนื่องจากกลไกการออกฤทธิ์, efficacy หรือข้อบ่งใช้ไม่ตรงกับโจทย์ที่กำหนด
• ข้อ ง. (Efavirenz): เป็น NNRTI ที่มี neuropsychiatric ADRs เด่น (ฝันร้าย เวียนศีรษะ ซึมเศร้า หลอน) จึงต้องแนะนำให้รับประทานก่อนนอนตอนท้องว่าง
• ข้อ จ. (Stavudine):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0" s="2" t="n"/>
      <c r="L140" s="2" t="inlineStr">
        <is>
          <t>HIV infection</t>
        </is>
      </c>
      <c r="M140" s="2" t="inlineStr">
        <is>
          <t>Clinic</t>
        </is>
      </c>
      <c r="N140" s="2" t="inlineStr">
        <is>
          <t>ข้อ 24 Pharma Plus เล่มม่วง (เฉลยข้อ ก)</t>
        </is>
      </c>
      <c r="O140" s="2" t="inlineStr">
        <is>
          <t>Mock</t>
        </is>
      </c>
      <c r="P140" s="2" t="inlineStr">
        <is>
          <t>Pharma Plus เล่มม่วง</t>
        </is>
      </c>
    </row>
    <row r="141" ht="13.2" customHeight="1" s="37">
      <c r="A141" s="8" t="inlineStr">
        <is>
          <t>25</t>
        </is>
      </c>
      <c r="B141" s="2" t="inlineStr">
        <is>
          <t>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
อยากทราบว่าเนื่องจากยาชนิดใด</t>
        </is>
      </c>
      <c r="C141" s="2" t="n"/>
      <c r="D141" s="2" t="inlineStr">
        <is>
          <t>Abacavir</t>
        </is>
      </c>
      <c r="E141" s="2" t="inlineStr">
        <is>
          <t>Ritonavir</t>
        </is>
      </c>
      <c r="F141" s="2" t="inlineStr">
        <is>
          <t>Nevirapine</t>
        </is>
      </c>
      <c r="G141" s="2" t="inlineStr">
        <is>
          <t>Lamivudine</t>
        </is>
      </c>
      <c r="H141" s="2" t="inlineStr">
        <is>
          <t>Diravirdine</t>
        </is>
      </c>
      <c r="I141" s="8" t="inlineStr">
        <is>
          <t>2</t>
        </is>
      </c>
      <c r="J141" s="2"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กลุ่ม Protease Inhibitors (PIs) เช่น Ritonavir มีความเกี่ยวข้องสูงกับ ADR ด้าน metabolic abnormalities ได้แก่ dyslipidemia, insulin resistance/hyperglycemia และ lipodystrophy (buffalo hump, central obesity)
🔍 ข้ออื่นผิดเพราะอะไร:
• ข้อ ก. (Abacavir): ข้อนี้ไม่ใช่คำตอบที่ถูกต้องสำหรับภาวะ HIV infection เนื่องจากกลไกการออกฤทธิ์, efficacy หรือข้อบ่งใช้ไม่ตรงกับโจทย์ที่กำหนด
• ข้อ ค. (Nevirapine): ข้อนี้ไม่ใช่คำตอบที่ถูกต้องสำหรับภาวะ HIV infection เนื่องจากกลไกการออกฤทธิ์, efficacy หรือข้อบ่งใช้ไม่ตรงกับโจทย์ที่กำหนด
• ข้อ ง. (Lamivudine): ข้อนี้ไม่ใช่คำตอบที่ถูกต้องสำหรับภาวะ HIV infection เนื่องจากกลไกการออกฤทธิ์, efficacy หรือข้อบ่งใช้ไม่ตรงกับโจทย์ที่กำหนด
• ข้อ จ. (Diravirdine):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1" s="2" t="n"/>
      <c r="L141" s="2" t="inlineStr">
        <is>
          <t>HIV infection</t>
        </is>
      </c>
      <c r="M141" s="2" t="inlineStr">
        <is>
          <t>Clinic</t>
        </is>
      </c>
      <c r="N141" s="2" t="inlineStr">
        <is>
          <t>ข้อ 25 Pharma Plus เล่มม่วง (เฉลยข้อ ข)</t>
        </is>
      </c>
      <c r="O141" s="2" t="inlineStr">
        <is>
          <t>Mock</t>
        </is>
      </c>
      <c r="P141" s="2" t="inlineStr">
        <is>
          <t>Pharma Plus เล่มม่วง</t>
        </is>
      </c>
    </row>
    <row r="142" ht="13.2" customHeight="1" s="37">
      <c r="A142" s="8" t="inlineStr">
        <is>
          <t>26</t>
        </is>
      </c>
      <c r="B142" s="2" t="inlineStr">
        <is>
          <t>เมื่อพิจารณาโครงสร้างของ ritonavir ท่านคิดว่าข้อใดไม่ถูกต้อง</t>
        </is>
      </c>
      <c r="C142" s="2" t="n"/>
      <c r="D142" s="2" t="inlineStr">
        <is>
          <t>เมื่อให้ยาร่วมกับอาหารจะดูดซึมได้มากขึ้น</t>
        </is>
      </c>
      <c r="E142" s="2" t="inlineStr">
        <is>
          <t>ยามีการละลายน้ำต่ำ จึงดูดซึมไม่ดี</t>
        </is>
      </c>
      <c r="F142" s="2" t="inlineStr">
        <is>
          <t>สลายตัวได้ง่ายในความร้อน</t>
        </is>
      </c>
      <c r="G142" s="2" t="inlineStr">
        <is>
          <t>มีลักษณะเป็น peptide-like</t>
        </is>
      </c>
      <c r="H142" s="2" t="inlineStr">
        <is>
          <t>ยามี ค่า log P 5.22 แสดงว่าละลายน้ำได้ไม่ดี</t>
        </is>
      </c>
      <c r="I142" s="8" t="inlineStr">
        <is>
          <t>1</t>
        </is>
      </c>
      <c r="J142" s="2" t="inlineStr">
        <is>
          <t>✅ คำตอบที่ถูกต้อง: ข้อ ก. เมื่อให้ยาร่วมกับอาหารจะดูดซึมได้มากขึ้น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เมื่อให้ยาร่วมกับอาหารจะดูดซึมได้มากขึ้น Ritonavir มีโครงสร้างเปปไทด์ (peptide-like peptidomimetic inhibitor) ละลายน้ำได้น้อย (lipophilic, high log P) และสลายตัวง่ายเมื่อโดนความร้อน ข้อความเรื่องอาหารช่วยเพิ่มการดูดซึมหรือลดการดูดซึมขึ้นกับสูตรตำรับ (เช่น capsule vs liquid ที่ต้องเก็บตู้เย็น) แต่โดยรวมคุณสมบัติทางเคมีและเภสัช동กศาสตร์ของ ritonavir เกี่ยวข้องกับการเป็น potent CYP3A4 inhibitor และ P-glycoprotein inhibitor
🔍 ข้ออื่นผิดเพราะอะไร:
• ข้อ ข. (ยามีการละลายน้ำต่ำ จึงดูดซึมไม่ดี): ข้อนี้ไม่ใช่คำตอบที่ถูกต้องสำหรับภาวะ HIV infection เนื่องจากกลไกการออกฤทธิ์, efficacy หรือข้อบ่งใช้ไม่ตรงกับโจทย์ที่กำหนด
• ข้อ ค. (สลายตัวได้ง่ายในความร้อน): ข้อนี้ไม่ใช่คำตอบที่ถูกต้องสำหรับภาวะ HIV infection เนื่องจากกลไกการออกฤทธิ์, efficacy หรือข้อบ่งใช้ไม่ตรงกับโจทย์ที่กำหนด
• ข้อ ง. (มีลักษณะเป็น peptide-like): ข้อนี้ไม่ใช่คำตอบที่ถูกต้องสำหรับภาวะ HIV infection เนื่องจากกลไกการออกฤทธิ์, efficacy หรือข้อบ่งใช้ไม่ตรงกับโจทย์ที่กำหนด
• ข้อ จ. (ยามี ค่า log P 5.22 แสดงว่าละลายน้ำได้ไม่ดี):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2" s="2" t="n"/>
      <c r="L142" s="2" t="inlineStr">
        <is>
          <t>HIV infection</t>
        </is>
      </c>
      <c r="M142" s="2" t="inlineStr">
        <is>
          <t>Clinic</t>
        </is>
      </c>
      <c r="N142" s="2" t="inlineStr">
        <is>
          <t>ข้อ 26 Pharma Plus เล่มม่วง (เฉลยข้อ ก)</t>
        </is>
      </c>
      <c r="O142" s="2" t="inlineStr">
        <is>
          <t>Mock</t>
        </is>
      </c>
      <c r="P142" s="2" t="inlineStr">
        <is>
          <t>Pharma Plus เล่มม่วง</t>
        </is>
      </c>
    </row>
    <row r="143" ht="13.2" customHeight="1" s="37">
      <c r="A143" s="8" t="inlineStr">
        <is>
          <t>27</t>
        </is>
      </c>
      <c r="B143" s="2" t="inlineStr">
        <is>
          <t>สมุนไพรใดมีฤทธิ์ยับยั้ง HIV ได้ในหลอดทดลอง และเริ่มมีการใช้ในผู้ป่วย HIV บ้างแล้ว</t>
        </is>
      </c>
      <c r="C143" s="2" t="n"/>
      <c r="D143" s="2" t="inlineStr">
        <is>
          <t>ฟ้าทะลายโจร</t>
        </is>
      </c>
      <c r="E143" s="2" t="inlineStr">
        <is>
          <t>มะระขี้นก</t>
        </is>
      </c>
      <c r="F143" s="2" t="inlineStr">
        <is>
          <t>ปลาไหลเผือก</t>
        </is>
      </c>
      <c r="G143" s="2" t="inlineStr">
        <is>
          <t>หญ้าปักกิ่ง</t>
        </is>
      </c>
      <c r="H143" s="2" t="inlineStr">
        <is>
          <t>ดอกดาวเรือง</t>
        </is>
      </c>
      <c r="I143" s="8" t="inlineStr">
        <is>
          <t>2</t>
        </is>
      </c>
      <c r="J143" s="2" t="inlineStr">
        <is>
          <t>✅ คำตอบที่ถูกต้อง: ข้อ ข. มะระขี้นก
💡 Background:
การดูแลผู้ติดเชื้อ HIV เน้นเริ่ม Antiretroviral Therapy (ART) ทันทีเพื่อกด viral load ให้ undetectable (U=U) และฟื้นฟูระบบภูมิคุ้มกัน
🎯 ทำไมข้อนี้ถึงถูก:
มะระขี้นก ฟ้าทะลายโจร (Andrographis paniculata) มีการศึกษาในหลอดทดลองพบว่ามีฤทธิ์ต้านไวรัส HIV (ยับยั้งการแสดงออกของ viral antigen และ syncytia formation) และมีการศึกษานำร่องในผู้ป่วย HIV บางกลุ่มในประเทศไทยตามตำรับสมุนไพรทางเลือก
🔍 ข้ออื่นผิดเพราะอะไร:
• ข้อ ก. (ฟ้าทะลายโจร): ข้อนี้ไม่ใช่คำตอบที่ถูกต้องสำหรับภาวะ HIV infection เนื่องจากกลไกการออกฤทธิ์, efficacy หรือข้อบ่งใช้ไม่ตรงกับโจทย์ที่กำหนด
• ข้อ ค. (ปลาไหลเผือก): ข้อนี้ไม่ใช่คำตอบที่ถูกต้องสำหรับภาวะ HIV infection เนื่องจากกลไกการออกฤทธิ์, efficacy หรือข้อบ่งใช้ไม่ตรงกับโจทย์ที่กำหนด
• ข้อ ง. (หญ้าปักกิ่ง): ข้อนี้ไม่ใช่คำตอบที่ถูกต้องสำหรับภาวะ HIV infection เนื่องจากกลไกการออกฤทธิ์, efficacy หรือข้อบ่งใช้ไม่ตรงกับโจทย์ที่กำหนด
• ข้อ จ. (ดอกดาวเรือง):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3" s="2" t="n"/>
      <c r="L143" s="2" t="inlineStr">
        <is>
          <t>HIV infection</t>
        </is>
      </c>
      <c r="M143" s="2" t="inlineStr">
        <is>
          <t>Clinic</t>
        </is>
      </c>
      <c r="N143" s="2" t="inlineStr">
        <is>
          <t>ข้อ 27 Pharma Plus เล่มม่วง (เฉลยข้อ ข)</t>
        </is>
      </c>
      <c r="O143" s="2" t="inlineStr">
        <is>
          <t>Mock</t>
        </is>
      </c>
      <c r="P143" s="2" t="inlineStr">
        <is>
          <t>Pharma Plus เล่มม่วง</t>
        </is>
      </c>
    </row>
    <row r="144" ht="13.2" customHeight="1" s="37">
      <c r="A144" s="8" t="inlineStr">
        <is>
          <t>28</t>
        </is>
      </c>
      <c r="B144" s="2" t="inlineStr">
        <is>
          <t>ยาหลักที่ใช้ในการรักษา PCP คือ</t>
        </is>
      </c>
      <c r="C144" s="2" t="n"/>
      <c r="D144" s="2" t="inlineStr">
        <is>
          <t>Zidovudine</t>
        </is>
      </c>
      <c r="E144" s="2" t="inlineStr">
        <is>
          <t>Cotrimoxazole</t>
        </is>
      </c>
      <c r="F144" s="2" t="inlineStr">
        <is>
          <t>Ceftriaxone</t>
        </is>
      </c>
      <c r="G144" s="2" t="inlineStr">
        <is>
          <t>Acyclovir</t>
        </is>
      </c>
      <c r="H144" s="2" t="inlineStr">
        <is>
          <t>Ciprofloxacin</t>
        </is>
      </c>
      <c r="I144" s="8" t="inlineStr">
        <is>
          <t>1</t>
        </is>
      </c>
      <c r="J144" s="2" t="inlineStr">
        <is>
          <t>✅ คำตอบที่ถูกต้อง: ข้อ ก. Zidovudine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Zidovudine ยามาตรฐานและเป็นยาหลักในการรักษาและป้องกัน Pneumocystis jirovecii pneumonia (PCP) คือ Cotrimoxazole (Trimethoprim/Sulfamethoxazole; TMP/SMX) ตามแนวทางการรักษาโรคติดเชื้อฉวยโอกาสในผู้ป่วย HIV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ง. (Acyclovir): เป็น Guanosine analog ยับยั้ง HSV และ VZV polymerase ต้องดื่มน้ำมากๆ ระหว่างได้ยา IV เพื่อป้องกัน crystal nephropathy และ obstructive AKI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 s="2" t="n"/>
      <c r="L144" s="2" t="inlineStr">
        <is>
          <t>Pneumonia</t>
        </is>
      </c>
      <c r="M144" s="2" t="inlineStr">
        <is>
          <t>Clinic</t>
        </is>
      </c>
      <c r="N144" s="2" t="inlineStr">
        <is>
          <t>ข้อ 28 Pharma Plus เล่มม่วง (เฉลยข้อ ก)</t>
        </is>
      </c>
      <c r="O144" s="2" t="inlineStr">
        <is>
          <t>Mock</t>
        </is>
      </c>
      <c r="P144" s="2" t="inlineStr">
        <is>
          <t>Pharma Plus เล่มม่วง</t>
        </is>
      </c>
    </row>
    <row r="145" ht="13.2" customHeight="1" s="37">
      <c r="A145" s="8" t="inlineStr">
        <is>
          <t>29</t>
        </is>
      </c>
      <c r="B145" s="2" t="inlineStr">
        <is>
          <t>หากผู้ป่วยจำเป็นต้องได้รับยา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ข้อใดต่อไปนี้คือกลไกการออกฤทธิ์และอาการข้างเคียงที่สำคัญของการใช้ยานี้</t>
        </is>
      </c>
      <c r="C145" s="2" t="n"/>
      <c r="D145" s="2" t="inlineStr">
        <is>
          <t>กลไกการออกฤทธิ์คือ DNA polymerase inhibitor อาการข้างเคียงคือ neuropathy</t>
        </is>
      </c>
      <c r="E145" s="2" t="inlineStr">
        <is>
          <t>กลไกการออกฤทธิ์คือ Protein synthesis อาการข้างเคียงคือ GI disturbance</t>
        </is>
      </c>
      <c r="F145" s="2" t="inlineStr">
        <is>
          <t>กลไกการออกฤทธิ์คือ cell wall อาการข้างเคียงคือ SJS</t>
        </is>
      </c>
      <c r="G145" s="2" t="inlineStr">
        <is>
          <t>กลไกการออกฤทธิ์คือ DNA synthesis อาการข้างเคียงคือ anemia</t>
        </is>
      </c>
      <c r="H145" s="2" t="inlineStr">
        <is>
          <t>กลไกการออกฤทธิ์คือ ergosterol อาการข้างเคียงคือ gynecomastia</t>
        </is>
      </c>
      <c r="I145" s="8" t="inlineStr">
        <is>
          <t>1</t>
        </is>
      </c>
      <c r="J145" s="2" t="inlineStr">
        <is>
          <t>✅ คำตอบที่ถูกต้อง: ข้อ ก. กลไกการออกฤทธิ์คือ DNA polymerase inhibitor อาการข้างเคียงคือ neuropathy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กลไกการออกฤทธิ์คือ DNA polymerase inhibitor อาการข้างเคียงคือ neuropathy TMP/SMX ออกฤทธิ์ยับยั้งการสังเคราะห์กรดโฟลิก (DNA synthesis pathway โดยยับยั้ง enzymes dihydrofolate reductase และ dihydropteroate synthase) และมีอาการข้างเคียงทางโลหิตวิทยา เช่น anemia รวมถึงอาการแพ้ยรุนแรงเช่น Stevens-Johnson syndrome (SJS)
🔍 ข้ออื่นผิดเพราะอะไร:
• ข้อ ข. (กลไกการออกฤทธิ์คือ Protein synthesis อาการข้างเคียงคือ GI disturbance): ข้อนี้ไม่ใช่คำตอบที่ถูกต้องสำหรับภาวะ Cystitis เนื่องจากกลไกการออกฤทธิ์, efficacy หรือข้อบ่งใช้ไม่ตรงกับโจทย์ที่กำหนด
• ข้อ ค. (กลไกการออกฤทธิ์คือ cell wall อาการข้างเคียงคือ SJS): ข้อนี้ไม่ใช่คำตอบที่ถูกต้องสำหรับภาวะ Cystitis เนื่องจากกลไกการออกฤทธิ์, efficacy หรือข้อบ่งใช้ไม่ตรงกับโจทย์ที่กำหนด
• ข้อ ง. (กลไกการออกฤทธิ์คือ DNA synthesis อาการข้างเคียงคือ anemia): ข้อนี้ไม่ใช่คำตอบที่ถูกต้องสำหรับภาวะ Cystitis เนื่องจากกลไกการออกฤทธิ์, efficacy หรือข้อบ่งใช้ไม่ตรงกับโจทย์ที่กำหนด
• ข้อ จ. (กลไกการออกฤทธิ์คือ ergosterol อาการข้างเคียงคือ gynecomastia): ข้อนี้ไม่ใช่คำตอบที่ถูกต้องสำหรับภาวะ Cystitis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2" t="n"/>
      <c r="L145" s="2" t="inlineStr">
        <is>
          <t>Cystitis</t>
        </is>
      </c>
      <c r="M145" s="2" t="inlineStr">
        <is>
          <t>Clinic</t>
        </is>
      </c>
      <c r="N145" s="2" t="inlineStr">
        <is>
          <t>ข้อ 29 Pharma Plus เล่มม่วง (เฉลยข้อ ก)</t>
        </is>
      </c>
      <c r="O145" s="2" t="inlineStr">
        <is>
          <t>Mock</t>
        </is>
      </c>
      <c r="P145" s="2" t="inlineStr">
        <is>
          <t>Pharma Plus เล่มม่วง</t>
        </is>
      </c>
    </row>
    <row r="146" ht="13.2" customHeight="1" s="37">
      <c r="A146" s="8" t="inlineStr">
        <is>
          <t>30</t>
        </is>
      </c>
      <c r="B146" s="2" t="inlineStr">
        <is>
          <t>คำแนะนำเกี่ยวกับเรื่องการใช้ยาเพื่อป้องกัน PCP อย่างไรจึงจะเหมาะสม</t>
        </is>
      </c>
      <c r="C146" s="2" t="n"/>
      <c r="D146" s="2" t="inlineStr">
        <is>
          <t>ห้ามรับประทานร่วมกับนม ยาลดกรด</t>
        </is>
      </c>
      <c r="E146" s="2" t="inlineStr">
        <is>
          <t>รับประทานยาอย่างสม่ำเสมอและปัสสาวะอาจมีสีแดงได้</t>
        </is>
      </c>
      <c r="F146" s="2" t="inlineStr">
        <is>
          <t>รักษาสุขภาพให้แข็งแรงและทำจิตใจให้สดชื่นแจ่มใส</t>
        </is>
      </c>
      <c r="G146" s="2" t="inlineStr">
        <is>
          <t>ให้กินยาหลังอาหารทันที เนื่องจากมีผลระคายเคืองกระเพาะอาหาร</t>
        </is>
      </c>
      <c r="H146" s="2" t="inlineStr">
        <is>
          <t>อาจทำให้เกิดผื่นชนิดรุนแรง ควรสังเกตอาการและแจ้งให้แพทย์ทราบทันที</t>
        </is>
      </c>
      <c r="I146" s="8" t="inlineStr">
        <is>
          <t>4</t>
        </is>
      </c>
      <c r="J146" s="2" t="inlineStr">
        <is>
          <t>✅ คำตอบที่ถูกต้อง: ข้อ ง. ให้กินยาหลังอาหารทันที เนื่องจากมีผลระคายเคืองกระเพาะอาหาร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ให้กินยาหลังอาหารทันที เนื่องจากมีผลระคายเคืองกระเพาะอาหาร Cotrimoxazole สามารถทำให้เกิดผื่นแพ้ยาที่รุนแรงได้ ผู้ป่วยควรได้รับคำแนะนำให้สังเกตอาการทางผิวหนังและรีบมาพบแพทย์หากมีผื่นหรืออาการผิดปกติ
🔍 ข้ออื่นผิดเพราะอะไร:
• ข้อ ก. (ห้ามรับประทานร่วมกับนม ยาลดกรด): ข้อนี้ไม่ใช่คำตอบที่ถูกต้องสำหรับภาวะ Cystitis เนื่องจากกลไกการออกฤทธิ์, efficacy หรือข้อบ่งใช้ไม่ตรงกับโจทย์ที่กำหนด
• ข้อ ข. (รับประทานยาอย่างสม่ำเสมอและปัสสาวะอาจมีสีแดงได้): ข้อนี้ไม่ใช่คำตอบที่ถูกต้องสำหรับภาวะ Cystitis เนื่องจากกลไกการออกฤทธิ์, efficacy หรือข้อบ่งใช้ไม่ตรงกับโจทย์ที่กำหนด
• ข้อ ค. (รักษาสุขภาพให้แข็งแรงและทำจิตใจให้สดชื่นแจ่มใส): ข้อนี้ไม่ใช่คำตอบที่ถูกต้องสำหรับภาวะ Cystitis เนื่องจากกลไกการออกฤทธิ์, efficacy หรือข้อบ่งใช้ไม่ตรงกับโจทย์ที่กำหนด
• ข้อ จ. (อาจทำให้เกิดผื่นชนิดรุนแรง ควรสังเกตอาการและแจ้งให้แพทย์ทราบทันที): ข้อนี้ไม่ใช่คำตอบที่ถูกต้องสำหรับภาวะ Cystitis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2" t="n"/>
      <c r="L146" s="2" t="inlineStr">
        <is>
          <t>Cystitis</t>
        </is>
      </c>
      <c r="M146" s="2" t="inlineStr">
        <is>
          <t>Clinic</t>
        </is>
      </c>
      <c r="N146" s="2" t="inlineStr">
        <is>
          <t>ข้อ 30 Pharma Plus เล่มม่วง (เฉลยข้อ ง)</t>
        </is>
      </c>
      <c r="O146" s="2" t="inlineStr">
        <is>
          <t>Mock</t>
        </is>
      </c>
      <c r="P146" s="2" t="inlineStr">
        <is>
          <t>Pharma Plus เล่มม่วง</t>
        </is>
      </c>
    </row>
    <row r="147" ht="13.2" customHeight="1" s="37">
      <c r="A147" s="8" t="inlineStr">
        <is>
          <t>31</t>
        </is>
      </c>
      <c r="B147" s="2" t="inlineStr">
        <is>
          <t>ผู้ป่วยรายนี้หลังจากกลับบ้านควรได้รับยาป้องกัน PCP แบบ secondary prophylaxis อย่างไร</t>
        </is>
      </c>
      <c r="C147" s="2" t="n"/>
      <c r="D147" s="2" t="inlineStr">
        <is>
          <t>Cotrimoxazole (80 TMP/400 SMZ) 1/2 เม็ด วันละ 1 ครั้ง</t>
        </is>
      </c>
      <c r="E147" s="2" t="inlineStr">
        <is>
          <t>Cotrimoxazole (80 TMP/400 SMZ) 2 เม็ด วันละ 1 ครั้ง</t>
        </is>
      </c>
      <c r="F147" s="2" t="inlineStr">
        <is>
          <t>Cotrimoxazole (80 TMP/400 SMZ) 2 เม็ด สัปดาห์ละ 3 ครั้ง</t>
        </is>
      </c>
      <c r="G147" s="2" t="inlineStr">
        <is>
          <t>Cotrimozazole vaginal tablets ครึ่งเม็ด วันละ 3 ครั้ง</t>
        </is>
      </c>
      <c r="H147" s="2" t="inlineStr">
        <is>
          <t>Fluconazole 2 เม็ด ทุกสัปดาห์</t>
        </is>
      </c>
      <c r="I147" s="8" t="inlineStr">
        <is>
          <t>2</t>
        </is>
      </c>
      <c r="J147" s="2" t="inlineStr">
        <is>
          <t>✅ คำตอบที่ถูกต้อง: ข้อ ข. Cotrimoxazole (80 TMP/400 SMZ) 2 เม็ด วันละ 1 ครั้ง
💡 Background:
การดูแลผู้ติดเชื้อ HIV เน้นเริ่ม Antiretroviral Therapy (ART) ทันทีเพื่อกด viral load ให้ undetectable (U=U) และฟื้นฟูระบบภูมิคุ้มกัน
🎯 ทำไมข้อนี้ถึงถูก:
Cotrimoxazole (80 TMP/400 SMZ) 2 เม็ด วันละ 1 ครั้ง ขนาดมาตรฐานสำหรับการป้องกัน PCP (ทั้ง primary และ secondary prophylaxis ในผู้ป่วย HIV) คือ Cotrimoxazole DS (160/800 mg) 1 เม็ด/วัน หรือ SS (80/400 mg) 1-2 เม็ด/วัน ในที่นี้ขนาดมาตรฐานคือ Cotrimoxazole DS 1 เม็ด/วัน หรือเทียบเท่า SS 2 เม็ด วันละ 1 ครั้ง
🔍 ข้ออื่นผิดเพราะอะไร:
• ข้อ ก. (Cotrimoxazole (80 TMP/400 SMZ) 1/2 เม็ด วันละ 1 ครั้ง): เป็นยาผสม Trimethoprim/Sulfamethoxazole (TMP/SMX) เป็น drug of choice สำหรับ PCP/PJP prophylaxis &amp; treatment, Stenotrophomonas และ Nocardia ระวัง hyperkalemia และ SCARs
• ข้อ ค. (Cotrimoxazole (80 TMP/400 SMZ) 2 เม็ด สัปดาห์ละ 3 ครั้ง): เป็นยาผสม Trimethoprim/Sulfamethoxazole (TMP/SMX) เป็น drug of choice สำหรับ PCP/PJP prophylaxis &amp; treatment, Stenotrophomonas และ Nocardia ระวัง hyperkalemia และ SCARs
• ข้อ ง. (Cotrimozazole vaginal tablets ครึ่งเม็ด วันละ 3 ครั้ง): ข้อนี้ไม่ใช่คำตอบที่ถูกต้องสำหรับภาวะ HIV infection เนื่องจากกลไกการออกฤทธิ์, efficacy หรือข้อบ่งใช้ไม่ตรงกับโจทย์ที่กำหนด
• ข้อ จ. (Fluconazole 2 เม็ด ทุกสัปดาห์): เป็น Triazole antifungal เป็น first-line สำหรับ Candida albicans และ Cryptococcal maintenance therapy ขับออกทางไตเด่นชัดจึงต้องปรับ dose ตาม CrCl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7" s="2" t="n"/>
      <c r="L147" s="2" t="inlineStr">
        <is>
          <t>HIV infection</t>
        </is>
      </c>
      <c r="M147" s="2" t="inlineStr">
        <is>
          <t>Clinic</t>
        </is>
      </c>
      <c r="N147" s="2" t="inlineStr">
        <is>
          <t>ข้อ 31 Pharma Plus เล่มม่วง (เฉลยข้อ ข)</t>
        </is>
      </c>
      <c r="O147" s="2" t="inlineStr">
        <is>
          <t>Mock</t>
        </is>
      </c>
      <c r="P147" s="2" t="inlineStr">
        <is>
          <t>Pharma Plus เล่มม่วง</t>
        </is>
      </c>
    </row>
    <row r="148" ht="13.2" customHeight="1" s="37">
      <c r="A148" s="8" t="inlineStr">
        <is>
          <t>32</t>
        </is>
      </c>
      <c r="B148" s="2" t="inlineStr">
        <is>
          <t>ยาต้านเชื้อราที่สามารถรักษา oral candidiasis ยกเว้นข้อใด</t>
        </is>
      </c>
      <c r="C148" s="2" t="n"/>
      <c r="D148" s="2" t="inlineStr">
        <is>
          <t>Cotrimazole lozenges</t>
        </is>
      </c>
      <c r="E148" s="2" t="inlineStr">
        <is>
          <t>Nystatin suspensions</t>
        </is>
      </c>
      <c r="F148" s="2" t="inlineStr">
        <is>
          <t>Miconazole oral gels</t>
        </is>
      </c>
      <c r="G148" s="2" t="inlineStr">
        <is>
          <t>Ketoconazole tablets</t>
        </is>
      </c>
      <c r="H148" s="2" t="inlineStr">
        <is>
          <t>Fluconazole tablets</t>
        </is>
      </c>
      <c r="I148" s="8" t="inlineStr">
        <is>
          <t>1</t>
        </is>
      </c>
      <c r="J148" s="2" t="inlineStr">
        <is>
          <t>✅ คำตอบที่ถูกต้อง: ข้อ ก. Cotrimazole lozenges
💡 Background:
การดูแลผู้ติดเชื้อ HIV เน้นเริ่ม Antiretroviral Therapy (ART) ทันทีเพื่อกด viral load ให้ undetectable (U=U) และฟื้นฟูระบบภูมิคุ้มกัน
🎯 ทำไมข้อนี้ถึงถูก:
Cotrimazole lozenges, Nystatin suspension, Miconazole oral gel และ Fluconazole เป็นยามาตรฐานในการรักษา oral candidiasis ส่วน Ketoconazole ปัจจุบันไม่แนะนำเป็น first-line เนื่องจากมีความเสี่ยงสูงเรื่องความเป็นพิษต่อตับ (hepatotoxicity) และปฏิกิริยาระหว่างยา แต่อย่างไรก็ตาม ตัวเลือกข้อ 1, 2, 3, 5 เป็นยาที่ใช้รักษา oral candidiasis ชัดเจน (Note: ข้อสอบอาจพิมพ์ Clotrimazole เป็น Cotrimazole)
🔍 ข้ออื่นผิดเพราะอะไร:
• ข้อ ข. (Nystatin suspensions): ข้อนี้ไม่ใช่คำตอบที่ถูกต้องสำหรับภาวะ HIV infection เนื่องจากกลไกการออกฤทธิ์, efficacy หรือข้อบ่งใช้ไม่ตรงกับโจทย์ที่กำหนด
• ข้อ ค. (Miconazole oral gels): ข้อนี้ไม่ใช่คำตอบที่ถูกต้องสำหรับภาวะ HIV infection เนื่องจากกลไกการออกฤทธิ์, efficacy หรือข้อบ่งใช้ไม่ตรงกับโจทย์ที่กำหนด
• ข้อ ง. (Ketoconazole tablets): ข้อนี้ไม่ใช่คำตอบที่ถูกต้องสำหรับภาวะ HIV infection เนื่องจากกลไกการออกฤทธิ์, efficacy หรือข้อบ่งใช้ไม่ตรงกับโจทย์ที่กำหนด
• ข้อ จ. (Fluconazole tablets): เป็น Triazole antifungal เป็น first-line สำหรับ Candida albicans และ Cryptococcal maintenance therapy ขับออกทางไตเด่นชัดจึงต้องปรับ dose ตาม CrCl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8" s="2" t="n"/>
      <c r="L148" s="2" t="inlineStr">
        <is>
          <t>HIV infection</t>
        </is>
      </c>
      <c r="M148" s="2" t="inlineStr">
        <is>
          <t>Clinic</t>
        </is>
      </c>
      <c r="N148" s="2" t="inlineStr">
        <is>
          <t>ข้อ 32 Pharma Plus เล่มม่วง (เฉลยข้อ )</t>
        </is>
      </c>
      <c r="O148" s="2" t="inlineStr">
        <is>
          <t>Mock</t>
        </is>
      </c>
      <c r="P148" s="2" t="inlineStr">
        <is>
          <t>Pharma Plus เล่มม่วง</t>
        </is>
      </c>
    </row>
    <row r="149" ht="13.2" customHeight="1" s="37">
      <c r="A149" s="8" t="inlineStr">
        <is>
          <t>33</t>
        </is>
      </c>
      <c r="B149" s="2" t="inlineStr">
        <is>
          <t>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cells/mm³)
ข้อใดถูกต้องเกี่ยวกับเชื้อ Histoplasma sp.</t>
        </is>
      </c>
      <c r="C149" s="2" t="n"/>
      <c r="D149" s="2" t="inlineStr">
        <is>
          <t>พบเชื้อมากในมูลนกพิราบ</t>
        </is>
      </c>
      <c r="E149" s="2" t="inlineStr">
        <is>
          <t>พบในดินและอุจจาระค้างคาว</t>
        </is>
      </c>
      <c r="F149" s="2" t="inlineStr">
        <is>
          <t>เชื้อเป็น normal flora ในระบบทางเดินอาหาร</t>
        </is>
      </c>
      <c r="G149" s="2" t="inlineStr">
        <is>
          <t>อยู่ตามธรรมชาติ เชื้อเข้าสู่ร่างกายทางบาดแผลที่ผิวหนัง</t>
        </is>
      </c>
      <c r="H149" s="2" t="inlineStr">
        <is>
          <t>เป็น opportunistic fungi</t>
        </is>
      </c>
      <c r="I149" s="8" t="inlineStr">
        <is>
          <t>5</t>
        </is>
      </c>
      <c r="J149" s="2" t="inlineStr">
        <is>
          <t>✅ คำตอบที่ถูกต้อง: ข้อ จ. เป็น opportunistic fungi
💡 Background:
การดูแลผู้ติดเชื้อ HIV เน้นเริ่ม Antiretroviral Therapy (ART) ทันทีเพื่อกด viral load ให้ undetectable (U=U) และฟื้นฟูระบบภูมิคุ้มกัน
🎯 ทำไมข้อนี้ถึงถูก:
เป็น opportunistic fungi Histoplasma capsulatum เป็นเชื้อรา dimorphic fungi ที่พบเจริญเติบโตได้ดีในดินที่มีมูลนกหรือมูลค้างคาวปนเปื้อน (Guano) การติดเชื้อเกิดจากการสูดดมสปอร์ของเชื้อเข้าไปในปอด ไม่ใช่จากบาดแผลผิวหนังหรือเป็น normal flora
🔍 ข้ออื่นผิดเพราะอะไร:
• ข้อ ก. (พบเชื้อมากในมูลนกพิราบ): ข้อนี้ไม่ใช่คำตอบที่ถูกต้องสำหรับภาวะ HIV infection เนื่องจากกลไกการออกฤทธิ์, efficacy หรือข้อบ่งใช้ไม่ตรงกับโจทย์ที่กำหนด
• ข้อ ข. (พบในดินและอุจจาระค้างคาว): ข้อนี้ไม่ใช่คำตอบที่ถูกต้องสำหรับภาวะ HIV infection เนื่องจากกลไกการออกฤทธิ์, efficacy หรือข้อบ่งใช้ไม่ตรงกับโจทย์ที่กำหนด
• ข้อ ค. (เชื้อเป็น normal flora ในระบบทางเดินอาหาร): ข้อนี้ไม่ใช่คำตอบที่ถูกต้องสำหรับภาวะ HIV infection เนื่องจากกลไกการออกฤทธิ์, efficacy หรือข้อบ่งใช้ไม่ตรงกับโจทย์ที่กำหนด
• ข้อ ง. (อยู่ตามธรรมชาติ เชื้อเข้าสู่ร่างกายทางบาดแผลที่ผิวหนัง):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9" s="2" t="n"/>
      <c r="L149" s="2" t="inlineStr">
        <is>
          <t>HIV infection</t>
        </is>
      </c>
      <c r="M149" s="2" t="inlineStr">
        <is>
          <t>Clinic</t>
        </is>
      </c>
      <c r="N149" s="2" t="inlineStr">
        <is>
          <t>ข้อ 33 Pharma Plus เล่มม่วง (เฉลยข้อ จ)</t>
        </is>
      </c>
      <c r="O149" s="2" t="inlineStr">
        <is>
          <t>Mock</t>
        </is>
      </c>
      <c r="P149" s="2" t="inlineStr">
        <is>
          <t>Pharma Plus เล่มม่วง</t>
        </is>
      </c>
    </row>
    <row r="150" ht="13.2" customHeight="1" s="37">
      <c r="A150" s="8" t="inlineStr">
        <is>
          <t>34</t>
        </is>
      </c>
      <c r="B150" s="2" t="inlineStr">
        <is>
          <t>ผู้ป่วยรายนี้จำเป็นต้องได้รับยาเพื่อป้องกัน cryptococcosis หรือไม่ (ถ้าควรได้รับ ผู้ป่วยจะต้องได้รับยาใด)</t>
        </is>
      </c>
      <c r="C150" s="2" t="n"/>
      <c r="D150" s="2" t="inlineStr">
        <is>
          <t>จำเป็นต้องได้รับยาเพื่อป้องกัน cryptococcosis ยาที่ควรได้คือ fluconazole 400 mg สัปดาห์ละครั้ง</t>
        </is>
      </c>
      <c r="E150" s="2" t="inlineStr">
        <is>
          <t>จำเป็นต้องได้รับยาเพื่อป้องกัน cryptococcosis ยาที่ควรได้คือ amphotericin B 0.6-0.7 mg/kg/day หยดเข้าหลอดเลือดดำเป็นเวลา 7-14 วัน</t>
        </is>
      </c>
      <c r="F150" s="2" t="inlineStr">
        <is>
          <t>จำเป็นต้องได้รับยาเพื่อป้องกัน cryptococcosis ยาที่ควรได้คือ TMP-SMX SS tablet 2 เม็ด กินวันละครั้ง</t>
        </is>
      </c>
      <c r="G150" s="2" t="inlineStr">
        <is>
          <t>จำเป็นต้องได้รับยาเพื่อป้องกัน cryptococcosis ยาที่ควรได้คือ amphotericin B 1.0 mg/kg/day หยดเข้าหลอดเลือดดำเป็นเวลา 7-14 วัน</t>
        </is>
      </c>
      <c r="H150" s="2" t="inlineStr">
        <is>
          <t>ไม่จำเป็นต้องได้รับยาเพื่อป้องกัน cryptococcosis อีก</t>
        </is>
      </c>
      <c r="I150" s="8" t="inlineStr">
        <is>
          <t>5</t>
        </is>
      </c>
      <c r="J150" s="2" t="inlineStr">
        <is>
          <t>✅ คำตอบที่ถูกต้อง: ข้อ จ. ไม่จำเป็นต้องได้รับยาเพื่อป้องกัน cryptococcosis อีก
💡 Background:
การดูแลผู้ติดเชื้อ HIV เน้นเริ่ม Antiretroviral Therapy (ART) ทันทีเพื่อกด viral load ให้ undetectable (U=U) และฟื้นฟูระบบภูมิคุ้มกัน
🎯 ทำไมข้อนี้ถึงถูก:
ไม่จำเป็นต้องได้รับยาเพื่อป้องกัน cryptococcosis อีก ตามแนวทางการรักษาโรคติดเชื้อฉวยโอกาสในผู้ป่วย HIV (CDC/DHHS guidelines) การให้ยาป้องกันปฐมภูมิ (Primary prophylaxis) สำหรับ Cryptococcosis ไม่แนะนำเป็น routine ในผู้ป่วย HIV ทุกรายที่มี CD4 ต่ำ แต่จะพิจารณาเมื่อตรวจพบ Cryptococcal antigen (CrAg) เป็นบวก หรือในพื้นที่ที่มีความชุกสูงมาก ส่วนการป้องกันการกลับเป็นซ้ำ (Secondary prophylaxis) ใช้ Fluconazole 200 mg วันละครั้ง ซึ่งในที่นี้หากไม่มีข้อมูล CrAg บวก หรือผู้ป่วยไม่เข้าเกณฑ์ อาจไม่จำเป็นต้องให้ยาป้องกัน หรือถ้าพูดถึงแนวทางปัจจุบัน (ปัจจุบันไม่แนะนำให้ Routine primary prophylaxis ด้วย fluconazole แล้ว ยกเว้น CrAg+) ต้องพิจารณาตามบริบท แต่ตัวเลือก จ. สอดคล้องกับการประเมินว่าไม่จำเป็นต้องได้รับยาหากพิจารณาตามแนวทางสากลปัจจุบันที่ไม่แนะนำให้ยาป้องกันประจำ
🔍 ข้ออื่นผิดเพราะอะไร:
• ข้อ ก. (จำเป็นต้องได้รับยาเพื่อป้องกัน cryptococcosis ยาที่ควรได้คือ fluconazole 400 mg สัปดาห์ละครั้ง): เป็น Triazole antifungal เป็น first-line สำหรับ Candida albicans และ Cryptococcal maintenance therapy ขับออกทางไตเด่นชัดจึงต้องปรับ dose ตาม CrCl
• ข้อ ข. (จำเป็นต้องได้รับยาเพื่อป้องกัน cryptococcosis ยาที่ควรได้คือ amphotericin B 0.6-0.7 mg/kg/day หยดเข้าหลอดเลือดดำเป็นเวลา 7-14 วัน): เป็น polyene antifungal มี broad spectrum ต่อ systemic fungal infections แต่มี infusion-related reactions (ไข้ หนาวสั่น) และ severe nephrotoxicity (hypokalemia, hypomagnesemia)
• ข้อ ค. (จำเป็นต้องได้รับยาเพื่อป้องกัน cryptococcosis ยาที่ควรได้คือ TMP-SMX SS tablet 2 เม็ด กินวันละครั้ง): ข้อนี้ไม่ใช่คำตอบที่ถูกต้องสำหรับภาวะ HIV infection เนื่องจากกลไกการออกฤทธิ์, efficacy หรือข้อบ่งใช้ไม่ตรงกับโจทย์ที่กำหนด
• ข้อ ง. (จำเป็นต้องได้รับยาเพื่อป้องกัน cryptococcosis ยาที่ควรได้คือ amphotericin B 1.0 mg/kg/day หยดเข้าหลอดเลือดดำเป็นเวลา 7-14 วัน): เป็น polyene antifungal มี broad spectrum ต่อ systemic fungal infections แต่มี infusion-related reactions (ไข้ หนาวสั่น) และ severe nephrotoxicity (hypokalemia, hypomagnesemia)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0" s="2" t="n"/>
      <c r="L150" s="2" t="inlineStr">
        <is>
          <t>HIV infection</t>
        </is>
      </c>
      <c r="M150" s="2" t="inlineStr">
        <is>
          <t>Clinic</t>
        </is>
      </c>
      <c r="N150" s="2" t="inlineStr">
        <is>
          <t>ข้อ 34 Pharma Plus เล่มม่วง (เฉลยข้อ จ)</t>
        </is>
      </c>
      <c r="O150" s="2" t="inlineStr">
        <is>
          <t>Mock</t>
        </is>
      </c>
      <c r="P150" s="2" t="inlineStr">
        <is>
          <t>Pharma Plus เล่มม่วง</t>
        </is>
      </c>
    </row>
    <row r="151" ht="13.2" customHeight="1" s="37">
      <c r="A151" s="8" t="inlineStr">
        <is>
          <t>35</t>
        </is>
      </c>
      <c r="B151" s="2" t="inlineStr">
        <is>
          <t>ผู้ป่วยรายนี้จะพิจารณาหยุดยาป้องกัน histoplasmosis เมื่อใด</t>
        </is>
      </c>
      <c r="C151" s="2" t="n"/>
      <c r="D151" s="2" t="inlineStr">
        <is>
          <t>CD4 ≥ 50 cells/mm³</t>
        </is>
      </c>
      <c r="E151" s="2" t="inlineStr">
        <is>
          <t>CD4 ≥ 100 cells/mm³</t>
        </is>
      </c>
      <c r="F151" s="2" t="inlineStr">
        <is>
          <t>CD4 ≥ 150 cells/mm³</t>
        </is>
      </c>
      <c r="G151" s="2" t="inlineStr">
        <is>
          <t>CD4 ≥ 200 cells/mm³</t>
        </is>
      </c>
      <c r="H151" s="2" t="inlineStr">
        <is>
          <t>CD4 ≥ 250 cells/mm³</t>
        </is>
      </c>
      <c r="I151" s="8" t="inlineStr">
        <is>
          <t>3</t>
        </is>
      </c>
      <c r="J151" s="2" t="inlineStr">
        <is>
          <t>✅ คำตอบที่ถูกต้อง: ข้อ ค. CD4 ≥ 150 cells/mm³
💡 Background:
การดูแลผู้ติดเชื้อ HIV เน้นเริ่ม Antiretroviral Therapy (ART) ทันทีเพื่อกด viral load ให้ undetectable (U=U) และฟื้นฟูระบบภูมิคุ้มกัน
🎯 ทำไมข้อนี้ถึงถูก:
CD4 ≥ 150 cells/mm³ ตามแนวทางการรักษา HIV ของ US DHHS การหยุดยาป้องกัน Histoplasmosis (Secondary prophylaxis) สามารถทำได้เมื่อผู้ป่วยได้รับยา ART แล้วมีระดับ CD4 เพิ่มขึ้นเป็น ≥ 150 cells/mm³ และได้รับยาป้องกันมาแล้วอย่างน้อย 6 เดือน พร้อมทั้งตรวจไม่พบเชื้อในเลือด
🔍 ข้ออื่นผิดเพราะอะไร:
• ข้อ ก. (CD4 ≥ 50 cells/mm³): ข้อนี้ไม่ใช่คำตอบที่ถูกต้องสำหรับภาวะ HIV infection เนื่องจากกลไกการออกฤทธิ์, efficacy หรือข้อบ่งใช้ไม่ตรงกับโจทย์ที่กำหนด
• ข้อ ข. (CD4 ≥ 100 cells/mm³): ข้อนี้ไม่ใช่คำตอบที่ถูกต้องสำหรับภาวะ HIV infection เนื่องจากกลไกการออกฤทธิ์, efficacy หรือข้อบ่งใช้ไม่ตรงกับโจทย์ที่กำหนด
• ข้อ ง. (CD4 ≥ 200 cells/mm³): ข้อนี้ไม่ใช่คำตอบที่ถูกต้องสำหรับภาวะ HIV infection เนื่องจากกลไกการออกฤทธิ์, efficacy หรือข้อบ่งใช้ไม่ตรงกับโจทย์ที่กำหนด
• ข้อ จ. (CD4 ≥ 250 cells/mm³):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1" s="2" t="n"/>
      <c r="L151" s="2" t="inlineStr">
        <is>
          <t>HIV infection</t>
        </is>
      </c>
      <c r="M151" s="2" t="inlineStr">
        <is>
          <t>Clinic</t>
        </is>
      </c>
      <c r="N151" s="2" t="inlineStr">
        <is>
          <t>ข้อ 35 Pharma Plus เล่มม่วง (เฉลยข้อ ค)</t>
        </is>
      </c>
      <c r="O151" s="2" t="inlineStr">
        <is>
          <t>Mock</t>
        </is>
      </c>
      <c r="P151" s="2" t="inlineStr">
        <is>
          <t>Pharma Plus เล่มม่วง</t>
        </is>
      </c>
    </row>
    <row r="152" ht="13.2" customHeight="1" s="37">
      <c r="A152" s="8" t="inlineStr">
        <is>
          <t>36</t>
        </is>
      </c>
      <c r="B152" s="2" t="inlineStr">
        <is>
          <t>หลังจากที่ผู้ป่วยได้รับยา Itraconazole 200 mg รับประทานวันละครั้ง เพื่อป้องกัน Histoplasmosis จนสามารถหยุดการให้ยาเพื่อป้องกันได้ อีก 1 ปีถัดมา ผู้ป่วยเกิด เยื่อหุ้มสมองอักเสบซึ่งมีสาเหตุจากเชื้อรา (CD4 78 cells/mm³) เชื้อราในข้อใดที่พบว่าเป็นสาเหตุของการเกิดเยื่อหุ้มสมองอักเสบได้บ่อยที่สุดในผู้ป่วยที่ติดเชื้อ HIV
เชื้อราในข้อใดที่พบว่าเป็นสาเหตุของการเกิดเยื่อหุ้มสมองอักเสบได้บ่อยที่สุดในผู้ป่วยที่ติดเชื้อ HIV</t>
        </is>
      </c>
      <c r="C152" s="2" t="n"/>
      <c r="D152" s="2" t="inlineStr">
        <is>
          <t>Cryptococcus sp.</t>
        </is>
      </c>
      <c r="E152" s="2" t="inlineStr">
        <is>
          <t>Aspergillus sp.</t>
        </is>
      </c>
      <c r="F152" s="2" t="inlineStr">
        <is>
          <t>Candida sp.</t>
        </is>
      </c>
      <c r="G152" s="2" t="inlineStr">
        <is>
          <t>Histoplasma sp.</t>
        </is>
      </c>
      <c r="H152" s="2" t="inlineStr">
        <is>
          <t>Blastomyces sp.</t>
        </is>
      </c>
      <c r="I152" s="8" t="inlineStr">
        <is>
          <t>1</t>
        </is>
      </c>
      <c r="J152" s="2" t="inlineStr">
        <is>
          <t>✅ คำตอบที่ถูกต้อง: ข้อ ก. Cryptococcus sp.
💡 Background:
การดูแลผู้ติดเชื้อ HIV เน้นเริ่ม Antiretroviral Therapy (ART) ทันทีเพื่อกด viral load ให้ undetectable (U=U) และฟื้นฟูระบบภูมิคุ้มกัน
🎯 ทำไมข้อนี้ถึงถูก:
Cryptococcus sp. (โดยเฉพาะ Cryptococcus neoformans) เป็นสาเหตุของโรคเยื่อหุ้มสมองอักเสบจากเชื้อราที่พบบ่อยที่สุดในผู้ป่วยที่มีภาวะภูมิคุ้มกันบกพร่องหรือผู้ป่วย HIV ที่มี CD4 ต่ำ (
🔍 ข้ออื่นผิดเพราะอะไร:
• ข้อ ข. (Aspergillus sp.): ข้อนี้ไม่ใช่คำตอบที่ถูกต้องสำหรับภาวะ HIV infection เนื่องจากกลไกการออกฤทธิ์, efficacy หรือข้อบ่งใช้ไม่ตรงกับโจทย์ที่กำหนด
• ข้อ ค. (Candida sp.): ข้อนี้ไม่ใช่คำตอบที่ถูกต้องสำหรับภาวะ HIV infection เนื่องจากกลไกการออกฤทธิ์, efficacy หรือข้อบ่งใช้ไม่ตรงกับโจทย์ที่กำหนด
• ข้อ ง. (Histoplasma sp.): ข้อนี้ไม่ใช่คำตอบที่ถูกต้องสำหรับภาวะ HIV infection เนื่องจากกลไกการออกฤทธิ์, efficacy หรือข้อบ่งใช้ไม่ตรงกับโจทย์ที่กำหนด
• ข้อ จ. (Blastomyces sp.):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2" s="2" t="n"/>
      <c r="L152" s="2" t="inlineStr">
        <is>
          <t>HIV infection</t>
        </is>
      </c>
      <c r="M152" s="2" t="inlineStr">
        <is>
          <t>Clinic</t>
        </is>
      </c>
      <c r="N152" s="2" t="inlineStr">
        <is>
          <t>ข้อ 36 Pharma Plus เล่มม่วง (เฉลยข้อ ก)</t>
        </is>
      </c>
      <c r="O152" s="2" t="inlineStr">
        <is>
          <t>Mock</t>
        </is>
      </c>
      <c r="P152" s="2" t="inlineStr">
        <is>
          <t>Pharma Plus เล่มม่วง</t>
        </is>
      </c>
    </row>
    <row r="153" ht="13.2" customHeight="1" s="37">
      <c r="A153" s="8" t="inlineStr">
        <is>
          <t>37</t>
        </is>
      </c>
      <c r="B153" s="2" t="inlineStr">
        <is>
          <t>การรักษาที่เหมาะสมสำหรับผู้ป่วยรายนี้คือข้อใด</t>
        </is>
      </c>
      <c r="C153" s="2" t="n"/>
      <c r="D153" s="2" t="inlineStr">
        <is>
          <t>Induction phase: Amphotericin B 0.6-0.7 mg/kg/day หยดเข้าหลอดเลือดดำเป็นเวลา 7-14 วัน, Consolidation phase: Itraconazole 200 mg กินวันละ 2 ครั้ง เป็นเวลา 10-12 สัปดาห์</t>
        </is>
      </c>
      <c r="E153" s="2" t="inlineStr">
        <is>
          <t>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t>
        </is>
      </c>
      <c r="F153" s="2" t="inlineStr">
        <is>
          <t>Induction phase: Amphotericin B 0.3-0.5 mg/kg/day หยดเข้าหลอดเลือดดำ เป็นเวลา 7-14 วัน, Consolidation phase: Fluconazole 200 mg กินวันละครั้ง เป็นเวลา 14-21 วัน</t>
        </is>
      </c>
      <c r="G153" s="2" t="inlineStr">
        <is>
          <t>Pyrimethamine 200 mg กิน 1 ครั้ง ตามด้วย 75 mg/day กินวันละครั้ง ร่วมกับ Sulfadiazine 1,500 mg กินวันละ 4 ครั้ง ร่วมกับ folinic acid 10-25 mg/day กินวันละครั้ง อย่างน้อย 6 สัปดาห์</t>
        </is>
      </c>
      <c r="H153" s="2" t="inlineStr">
        <is>
          <t>Fluconazole 400-800 mg/day ร่วมกับ intrathecal Amphotericin B 1-1.5 mg/day</t>
        </is>
      </c>
      <c r="I153" s="8" t="inlineStr">
        <is>
          <t>2</t>
        </is>
      </c>
      <c r="J153" s="2" t="inlineStr">
        <is>
          <t>✅ คำตอบที่ถูกต้อง: ข้อ ข.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 Background:
การดูแลผู้ติดเชื้อ HIV เน้นเริ่ม Antiretroviral Therapy (ART) ทันทีเพื่อกด viral load ให้ undetectable (U=U) และฟื้นฟูระบบภูมิคุ้มกัน
🎯 ทำไมข้อนี้ถึงถูก: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แนวทางการรักษา Cryptococcal meningitis ในผู้ป่วย HIV (IDSA Guidelines) ระยะ Induction แนะนำให้ใช้ Liposomal Amphotericin B (หรือ Amphotericin B deoxycholate) ร่วมกับ Fluconazole 800 mg/day นานอย่างน้อย 2 สัปดาห์ ตามด้วยระยะ Consolidation ด้วย Fluconazole 400-800 mg/day นาน 8 สัปดาห์
🔍 ข้ออื่นผิดเพราะอะไร:
• ข้อ ก. (Induction phase: Amphotericin B 0.6-0.7 mg/kg/day หยดเข้าหลอดเลือดดำเป็นเวลา 7-14 วัน, Consolidation phase: Itraconazole 200 mg กินวันละ 2 ครั้ง เป็นเวลา 10-12 สัปดาห์):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ค. (Induction phase: Amphotericin B 0.3-0.5 mg/kg/day หยดเข้าหลอดเลือดดำ เป็นเวลา 7-14 วัน, Consolidation phase: Fluconazole 200 mg กินวันละครั้ง เป็นเวลา 14-21 วัน): เป็น Triazole antifungal เป็น first-line สำหรับ Candida albicans และ Cryptococcal maintenance therapy ขับออกทางไตเด่นชัดจึงต้องปรับ dose ตาม CrCl
• ข้อ ง. (Pyrimethamine 200 mg กิน 1 ครั้ง ตามด้วย 75 mg/day กินวันละครั้ง ร่วมกับ Sulfadiazine 1,500 mg กินวันละ 4 ครั้ง ร่วมกับ folinic acid 10-25 mg/day กินวันละครั้ง อย่างน้อย 6 สัปดาห์): ข้อนี้ไม่ใช่คำตอบที่ถูกต้องสำหรับภาวะ HIV infection เนื่องจากกลไกการออกฤทธิ์, efficacy หรือข้อบ่งใช้ไม่ตรงกับโจทย์ที่กำหนด
• ข้อ จ. (Fluconazole 400-800 mg/day ร่วมกับ intrathecal Amphotericin B 1-1.5 mg/day): เป็น Triazole antifungal เป็น first-line สำหรับ Candida albicans และ Cryptococcal maintenance therapy ขับออกทางไตเด่นชัดจึงต้องปรับ dose ตาม CrCl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3" s="2" t="n"/>
      <c r="L153" s="2" t="inlineStr">
        <is>
          <t>HIV infection</t>
        </is>
      </c>
      <c r="M153" s="2" t="inlineStr">
        <is>
          <t>Clinic</t>
        </is>
      </c>
      <c r="N153" s="2" t="inlineStr">
        <is>
          <t>ข้อ 37 Pharma Plus เล่มม่วง (เฉลยข้อ ข)</t>
        </is>
      </c>
      <c r="O153" s="2" t="inlineStr">
        <is>
          <t>Mock</t>
        </is>
      </c>
      <c r="P153" s="2" t="inlineStr">
        <is>
          <t>Pharma Plus เล่มม่วง</t>
        </is>
      </c>
    </row>
    <row r="154" ht="13.2" customHeight="1" s="37">
      <c r="A154" s="8" t="inlineStr">
        <is>
          <t>38</t>
        </is>
      </c>
      <c r="B154" s="2" t="inlineStr">
        <is>
          <t>นายมานะไปบริจาคเลือดที่โรงพยาบาลแห่งหนึ่ง ทางโรงพยาบาลขอให้ตรวจร่างกายเพิ่มเติม แต่นายมานะไม่ไปตรวจ การตรวจร่างกายของแพทย์: ผู้ป่วยมีรูปร่างผอม ปอดมีเสียงผิดปกติ
จากข้อมูลที่กล่าวมาทั้งหมด ท่านคาดว่านายมานะเริ่มต้นป่วยเป็นโรคอะไร</t>
        </is>
      </c>
      <c r="C154" s="2" t="n"/>
      <c r="D154" s="2" t="inlineStr">
        <is>
          <t>วัณโรค</t>
        </is>
      </c>
      <c r="E154" s="2" t="inlineStr">
        <is>
          <t>ปอดบวม</t>
        </is>
      </c>
      <c r="F154" s="2" t="inlineStr">
        <is>
          <t>หนองใน</t>
        </is>
      </c>
      <c r="G154" s="2" t="inlineStr">
        <is>
          <t>เชื้อราแคนดิดา</t>
        </is>
      </c>
      <c r="H154" s="2" t="inlineStr">
        <is>
          <t>เอดส์</t>
        </is>
      </c>
      <c r="I154" s="8" t="inlineStr">
        <is>
          <t>1</t>
        </is>
      </c>
      <c r="J154" s="2" t="inlineStr">
        <is>
          <t>✅ คำตอบที่ถูกต้อง: ข้อ ก. วัณโรค
💡 Background:
การดูแลผู้ติดเชื้อ HIV เน้นเริ่ม Antiretroviral Therapy (ART) ทันทีเพื่อกด viral load ให้ undetectable (U=U) และฟื้นฟูระบบภูมิคุ้มกัน
🎯 ทำไมข้อนี้ถึงถูก:
วัณโรค อาการรูปร่างผอม (wasting syndrome) ร่วมกับอาการทางปอดและประวัติการตรวจพบความผิดปกติจากการบริจาคเลือด (มักตรวจพบ Anti-HIV บวก) ในผู้ป่วยรายนี้เชื่อมโยงไปถึงโรคติดเชื้อฉวยโอกาสและภาวะภูมิคุ้มกันบกพร่องเรื้อรัง (เอดส์)
🔍 ข้ออื่นผิดเพราะอะไร:
• ข้อ ข. (ปอดบวม): ข้อนี้ไม่ใช่คำตอบที่ถูกต้องสำหรับภาวะ HIV infection เนื่องจากกลไกการออกฤทธิ์, efficacy หรือข้อบ่งใช้ไม่ตรงกับโจทย์ที่กำหนด
• ข้อ ค. (หนองใน): ข้อนี้ไม่ใช่คำตอบที่ถูกต้องสำหรับภาวะ HIV infection เนื่องจากกลไกการออกฤทธิ์, efficacy หรือข้อบ่งใช้ไม่ตรงกับโจทย์ที่กำหนด
• ข้อ ง. (เชื้อราแคนดิดา): ข้อนี้ไม่ใช่คำตอบที่ถูกต้องสำหรับภาวะ HIV infection เนื่องจากกลไกการออกฤทธิ์, efficacy หรือข้อบ่งใช้ไม่ตรงกับโจทย์ที่กำหนด
• ข้อ จ. (เอดส์):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4" s="2" t="n"/>
      <c r="L154" s="2" t="inlineStr">
        <is>
          <t>HIV infection</t>
        </is>
      </c>
      <c r="M154" s="2" t="inlineStr">
        <is>
          <t>Clinic</t>
        </is>
      </c>
      <c r="N154" s="2" t="inlineStr">
        <is>
          <t>ข้อ 38 Pharma Plus เล่มม่วง (เฉลยข้อ )</t>
        </is>
      </c>
      <c r="O154" s="2" t="inlineStr">
        <is>
          <t>Mock</t>
        </is>
      </c>
      <c r="P154" s="2" t="inlineStr">
        <is>
          <t>Pharma Plus เล่มม่วง</t>
        </is>
      </c>
    </row>
    <row r="155" ht="13.2" customHeight="1" s="37">
      <c r="A155" s="8" t="inlineStr">
        <is>
          <t>39</t>
        </is>
      </c>
      <c r="B155" s="2" t="inlineStr">
        <is>
          <t>ยา GPOvir ขององค์การเภสัชกรรมประกอบด้วย</t>
        </is>
      </c>
      <c r="C155" s="2" t="n"/>
      <c r="D155" s="2" t="inlineStr">
        <is>
          <t>Zidovudine + Didanosine + Ritonavir</t>
        </is>
      </c>
      <c r="E155" s="2" t="inlineStr">
        <is>
          <t>Stavudine + Lamivudine + Saquinavir</t>
        </is>
      </c>
      <c r="F155" s="2" t="inlineStr">
        <is>
          <t>Stavudine + Lamivudine + Nevirapine</t>
        </is>
      </c>
      <c r="G155" s="2" t="inlineStr">
        <is>
          <t>Stavudine + Lamivudine + Tenofovir</t>
        </is>
      </c>
      <c r="H155" s="2" t="inlineStr">
        <is>
          <t>ไม่มีข้อใดถูก</t>
        </is>
      </c>
      <c r="I155" s="8" t="inlineStr">
        <is>
          <t>3</t>
        </is>
      </c>
      <c r="J155" s="2" t="inlineStr">
        <is>
          <t>✅ คำตอบที่ถูกต้อง: ข้อ ค. Stavudine + Lamivudine + Nevirapine
💡 Background:
การดูแลผู้ติดเชื้อ HIV เน้นเริ่ม Antiretroviral Therapy (ART) ทันทีเพื่อกด viral load ให้ undetectable (U=U) และฟื้นฟูระบบภูมิคุ้มกัน
🎯 ทำไมข้อนี้ถึงถูก:
Stavudine + Lamivudine + Nevirapine GPOvir เป็นยาสูตร Fixed-dose combination ในอดีตขององค์การเภสัชกรรม ประกอบด้วย Stavudine + Lamivudine + Nevirapine (ปัจจุบันแนวทางเปลี่ยนเป็น TDF + 3TC + DTG)
🔍 ข้ออื่นผิดเพราะอะไร:
• ข้อ ก. (Zidovudine + Didanosine + Ritonavir): ข้อนี้ไม่ใช่คำตอบที่ถูกต้องสำหรับภาวะ HIV infection เนื่องจากกลไกการออกฤทธิ์, efficacy หรือข้อบ่งใช้ไม่ตรงกับโจทย์ที่กำหนด
• ข้อ ข. (Stavudine + Lamivudine + Saquinavir): ข้อนี้ไม่ใช่คำตอบที่ถูกต้องสำหรับภาวะ HIV infection เนื่องจากกลไกการออกฤทธิ์, efficacy หรือข้อบ่งใช้ไม่ตรงกับโจทย์ที่กำหนด
• ข้อ ง. (Stavudine + Lamivudine + Tenofovir): เป็น Nucleotide reverse transcriptase inhibitor (NRTI) แกนหลักใน HIV และ HBV therapy แต่ TDF ต้องระวัง nephrotoxicity (Fanconi syndrome) และ bone mineral density loss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5" s="2" t="n"/>
      <c r="L155" s="2" t="inlineStr">
        <is>
          <t>HIV infection</t>
        </is>
      </c>
      <c r="M155" s="2" t="inlineStr">
        <is>
          <t>Clinic</t>
        </is>
      </c>
      <c r="N155" s="2" t="inlineStr">
        <is>
          <t>ข้อ 39 Pharma Plus เล่มม่วง (เฉลยข้อ ค)</t>
        </is>
      </c>
      <c r="O155" s="2" t="inlineStr">
        <is>
          <t>Mock</t>
        </is>
      </c>
      <c r="P155" s="2" t="inlineStr">
        <is>
          <t>Pharma Plus เล่มม่วง</t>
        </is>
      </c>
    </row>
    <row r="156" ht="13.2" customHeight="1" s="37">
      <c r="A156" s="8" t="inlineStr">
        <is>
          <t>40</t>
        </is>
      </c>
      <c r="B156" s="2" t="inlineStr">
        <is>
          <t>นายมานะได้รับยาจากแพทย์และรับประทานยาติดต่อเป็นเวลานาน พบว่าทำให้มีน้ำตาลในเลือดสูง ไขมันในเลือดสูง และ lipodystrophy ที่อวัยวะ อยากทราบว่าเนื่องจากยาชนิดใด</t>
        </is>
      </c>
      <c r="C156" s="2" t="n"/>
      <c r="D156" s="2" t="inlineStr">
        <is>
          <t>Abacavir</t>
        </is>
      </c>
      <c r="E156" s="2" t="inlineStr">
        <is>
          <t>Ritonavir</t>
        </is>
      </c>
      <c r="F156" s="2" t="inlineStr">
        <is>
          <t>Nevirapine</t>
        </is>
      </c>
      <c r="G156" s="2" t="inlineStr">
        <is>
          <t>Lamivudine</t>
        </is>
      </c>
      <c r="H156" s="2" t="inlineStr">
        <is>
          <t>Diravirdine</t>
        </is>
      </c>
      <c r="I156" s="8" t="inlineStr">
        <is>
          <t>2</t>
        </is>
      </c>
      <c r="J156" s="2"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(หรือยากลุ่ม Protease Inhibitors) มี ADR เด่นชัดคือ metabolic complications เช่น hyperlipidemia, hyperglycemia และ fat maldistribution (lipodystrophy)
🔍 ข้ออื่นผิดเพราะอะไร:
• ข้อ ก. (Abacavir): ข้อนี้ไม่ใช่คำตอบที่ถูกต้องสำหรับภาวะ HIV infection เนื่องจากกลไกการออกฤทธิ์, efficacy หรือข้อบ่งใช้ไม่ตรงกับโจทย์ที่กำหนด
• ข้อ ค. (Nevirapine): ข้อนี้ไม่ใช่คำตอบที่ถูกต้องสำหรับภาวะ HIV infection เนื่องจากกลไกการออกฤทธิ์, efficacy หรือข้อบ่งใช้ไม่ตรงกับโจทย์ที่กำหนด
• ข้อ ง. (Lamivudine): ข้อนี้ไม่ใช่คำตอบที่ถูกต้องสำหรับภาวะ HIV infection เนื่องจากกลไกการออกฤทธิ์, efficacy หรือข้อบ่งใช้ไม่ตรงกับโจทย์ที่กำหนด
• ข้อ จ. (Diravirdine):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6" s="2" t="n"/>
      <c r="L156" s="2" t="inlineStr">
        <is>
          <t>HIV infection</t>
        </is>
      </c>
      <c r="M156" s="2" t="inlineStr">
        <is>
          <t>Clinic</t>
        </is>
      </c>
      <c r="N156" s="2" t="inlineStr">
        <is>
          <t>ข้อ 40 Pharma Plus เล่มม่วง (เฉลยข้อ ข)</t>
        </is>
      </c>
      <c r="O156" s="2" t="inlineStr">
        <is>
          <t>Mock</t>
        </is>
      </c>
      <c r="P156" s="2" t="inlineStr">
        <is>
          <t>Pharma Plus เล่มม่วง</t>
        </is>
      </c>
    </row>
    <row r="157" ht="13.2" customHeight="1" s="37">
      <c r="A157" s="8" t="inlineStr">
        <is>
          <t>41</t>
        </is>
      </c>
      <c r="B157" s="2" t="inlineStr">
        <is>
          <t>ฝ้าขาวที่เกิดที่กระพุ้งแก้มในรูปแบบยาน้ำกลั้วปาก สามารถรักษาได้โดยยาชนิดใด</t>
        </is>
      </c>
      <c r="C157" s="2" t="n"/>
      <c r="D157" s="2" t="inlineStr">
        <is>
          <t>Cotrimazole</t>
        </is>
      </c>
      <c r="E157" s="2" t="inlineStr">
        <is>
          <t>Nystatin</t>
        </is>
      </c>
      <c r="F157" s="2" t="inlineStr">
        <is>
          <t>Claritromycin</t>
        </is>
      </c>
      <c r="G157" s="2" t="inlineStr">
        <is>
          <t>Itraconazole</t>
        </is>
      </c>
      <c r="H157" s="2" t="inlineStr">
        <is>
          <t>Amphotericin B</t>
        </is>
      </c>
      <c r="I157" s="8" t="inlineStr">
        <is>
          <t>2</t>
        </is>
      </c>
      <c r="J157" s="2" t="inlineStr">
        <is>
          <t>✅ คำตอบที่ถูกต้อง: ข้อ ข. Nystatin
💡 Background:
การดูแลผู้ติดเชื้อ HIV เน้นเริ่ม Antiretroviral Therapy (ART) ทันทีเพื่อกด viral load ให้ undetectable (U=U) และฟื้นฟูระบบภูมิคุ้มกัน
🎯 ทำไมข้อนี้ถึงถูก:
Nystatin ฝ้าขาวในช่องปากจากเชื้อรา Candida (Oral thrush) รักษาด้วย Topical antifungal เช่น Nystatin oral suspension ซึ่งปลอดภัยและไม่อมออกฤทธิ์ systemic
🔍 ข้ออื่นผิดเพราะอะไร:
• ข้อ ก. (Cotrimazole): ข้อนี้ไม่ใช่คำตอบที่ถูกต้องสำหรับภาวะ HIV infection เนื่องจากกลไกการออกฤทธิ์, efficacy หรือข้อบ่งใช้ไม่ตรงกับโจทย์ที่กำหนด
• ข้อ ค. (Claritromycin): ข้อนี้ไม่ใช่คำตอบที่ถูกต้องสำหรับภาวะ HIV infection เนื่องจากกลไกการออกฤทธิ์, efficacy หรือข้อบ่งใช้ไม่ตรงกับโจทย์ที่กำหนด
• ข้อ ง.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(Amphotericin B): เป็น polyene antifungal มี broad spectrum ต่อ systemic fungal infections แต่มี infusion-related reactions (ไข้ หนาวสั่น) และ severe nephrotoxicity (hypokalemia, hypomagnesemia)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7" s="2" t="n"/>
      <c r="L157" s="2" t="inlineStr">
        <is>
          <t>HIV infection</t>
        </is>
      </c>
      <c r="M157" s="2" t="inlineStr">
        <is>
          <t>Clinic</t>
        </is>
      </c>
      <c r="N157" s="2" t="inlineStr">
        <is>
          <t>ข้อ 41 Pharma Plus เล่มม่วง (เฉลยข้อ ข ง)</t>
        </is>
      </c>
      <c r="O157" s="2" t="inlineStr">
        <is>
          <t>Mock</t>
        </is>
      </c>
      <c r="P157" s="2" t="inlineStr">
        <is>
          <t>Pharma Plus เล่มม่วง</t>
        </is>
      </c>
    </row>
    <row r="158" ht="13.2" customHeight="1" s="37">
      <c r="A158" s="8" t="inlineStr">
        <is>
          <t>42</t>
        </is>
      </c>
      <c r="B158" s="2" t="inlineStr">
        <is>
          <t>จงบอกกลไกออกฤทธิ์ของ zidovudine</t>
        </is>
      </c>
      <c r="C158" s="2" t="n"/>
      <c r="D158" s="2" t="inlineStr">
        <is>
          <t>Inhibit protein synthesis</t>
        </is>
      </c>
      <c r="E158" s="2" t="inlineStr">
        <is>
          <t>Inhibit HIV protease</t>
        </is>
      </c>
      <c r="F158" s="2" t="inlineStr">
        <is>
          <t>Inhibit HIV reverse transcriptase</t>
        </is>
      </c>
      <c r="G158" s="2" t="inlineStr">
        <is>
          <t>Inhibit thymidine kinase</t>
        </is>
      </c>
      <c r="H158" s="2" t="inlineStr">
        <is>
          <t>Inhibit cell wall synthesis</t>
        </is>
      </c>
      <c r="I158" s="8" t="inlineStr">
        <is>
          <t>3</t>
        </is>
      </c>
      <c r="J158" s="2" t="inlineStr">
        <is>
          <t>✅ คำตอบที่ถูกต้อง: ข้อ ค. Inhibit HIV reverse transcriptase
💡 Background:
การดูแลผู้ติดเชื้อ HIV เน้นเริ่ม Antiretroviral Therapy (ART) ทันทีเพื่อกด viral load ให้ undetectable (U=U) และฟื้นฟูระบบภูมิคุ้มกัน
🎯 ทำไมข้อนี้ถึงถูก:
Inhibit HIV reverse transcriptase Zidovudine (AZT) เป็นยาในกลุ่ม Nucleoside Reverse Transcriptase Inhibitors (NRTIs) ออกฤทธิ์ยับยั้งเอนไซม์ Reverse transcriptase ของเชื้อ HIV
🔍 ข้ออื่นผิดเพราะอะไร:
• ข้อ ก. (Inhibit protein synthesis): ข้อนี้ไม่ใช่คำตอบที่ถูกต้องสำหรับภาวะ HIV infection เนื่องจากกลไกการออกฤทธิ์, efficacy หรือข้อบ่งใช้ไม่ตรงกับโจทย์ที่กำหนด
• ข้อ ข. (Inhibit HIV protease): ข้อนี้ไม่ใช่คำตอบที่ถูกต้องสำหรับภาวะ HIV infection เนื่องจากกลไกการออกฤทธิ์, efficacy หรือข้อบ่งใช้ไม่ตรงกับโจทย์ที่กำหนด
• ข้อ ง. (Inhibit thymidine kinase): ข้อนี้ไม่ใช่คำตอบที่ถูกต้องสำหรับภาวะ HIV infection เนื่องจากกลไกการออกฤทธิ์, efficacy หรือข้อบ่งใช้ไม่ตรงกับโจทย์ที่กำหนด
• ข้อ จ. (Inhibit cell wall synthesis):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8" s="2" t="n"/>
      <c r="L158" s="2" t="inlineStr">
        <is>
          <t>HIV infection</t>
        </is>
      </c>
      <c r="M158" s="2" t="inlineStr">
        <is>
          <t>Clinic</t>
        </is>
      </c>
      <c r="N158" s="2" t="inlineStr">
        <is>
          <t>ข้อ 42 Pharma Plus เล่มม่วง (เฉลยข้อ ค)</t>
        </is>
      </c>
      <c r="O158" s="2" t="inlineStr">
        <is>
          <t>Mock</t>
        </is>
      </c>
      <c r="P158" s="2" t="inlineStr">
        <is>
          <t>Pharma Plus เล่มม่วง</t>
        </is>
      </c>
    </row>
    <row r="159" ht="13.2" customHeight="1" s="37">
      <c r="A159" s="8" t="inlineStr">
        <is>
          <t>43</t>
        </is>
      </c>
      <c r="B159" s="2" t="inlineStr">
        <is>
          <t>พิจารณาโครงสร้างของ Ritonavir ท่านคิดว่าข้อใดไม่ถูกต้อง</t>
        </is>
      </c>
      <c r="C159" s="2" t="n"/>
      <c r="D159" s="2" t="inlineStr">
        <is>
          <t>เมื่อให้ยาร่วมกับอาหารยาจะออกฤทธิ์ช้าลง</t>
        </is>
      </c>
      <c r="E159" s="2" t="inlineStr">
        <is>
          <t>ยามีการละลายน้ำต่ำ จึงดูดซึมได้ไม่ดี</t>
        </is>
      </c>
      <c r="F159" s="2" t="inlineStr">
        <is>
          <t>เนื่องจากเป็น peptide-like จึงสลายตัวได้ง่ายในกรดในกระเพาะอาหาร</t>
        </is>
      </c>
      <c r="G159" s="2" t="inlineStr">
        <is>
          <t>ไม่มี basic functionality จึงไม่ ionize ในทางเดินอาหาร</t>
        </is>
      </c>
      <c r="H159" s="2" t="inlineStr">
        <is>
          <t>ยามี polar functionality จึงละลายน้ำได้ดี</t>
        </is>
      </c>
      <c r="I159" s="8" t="inlineStr">
        <is>
          <t>1</t>
        </is>
      </c>
      <c r="J159" s="2" t="inlineStr">
        <is>
          <t>✅ คำตอบที่ถูกต้อง: ข้อ ก. เมื่อให้ยาร่วมกับอาหารยาจะออกฤทธิ์ช้าลง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เมื่อให้ยาร่วมกับอาหารยาจะออกฤทธิ์ช้าลง Ritonavir มี lipophilicity สูง ละลายน้ำได้ไม่ดี (poor aqueous solubility) ไม่ใช่ละลายน้ำได้ดีดังข้อ 5
🔍 ข้ออื่นผิดเพราะอะไร:
• ข้อ ข. (ยามีการละลายน้ำต่ำ จึงดูดซึมได้ไม่ดี): ข้อนี้ไม่ใช่คำตอบที่ถูกต้องสำหรับภาวะ HIV infection เนื่องจากกลไกการออกฤทธิ์, efficacy หรือข้อบ่งใช้ไม่ตรงกับโจทย์ที่กำหนด
• ข้อ ค. (เนื่องจากเป็น peptide-like จึงสลายตัวได้ง่ายในกรดในกระเพาะอาหาร): ข้อนี้ไม่ใช่คำตอบที่ถูกต้องสำหรับภาวะ HIV infection เนื่องจากกลไกการออกฤทธิ์, efficacy หรือข้อบ่งใช้ไม่ตรงกับโจทย์ที่กำหนด
• ข้อ ง. (ไม่มี basic functionality จึงไม่ ionize ในทางเดินอาหาร): ข้อนี้ไม่ใช่คำตอบที่ถูกต้องสำหรับภาวะ HIV infection เนื่องจากกลไกการออกฤทธิ์, efficacy หรือข้อบ่งใช้ไม่ตรงกับโจทย์ที่กำหนด
• ข้อ จ. (ยามี polar functionality จึงละลายน้ำได้ดี):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9" s="2" t="n"/>
      <c r="L159" s="2" t="inlineStr">
        <is>
          <t>HIV infection</t>
        </is>
      </c>
      <c r="M159" s="2" t="inlineStr">
        <is>
          <t>Clinic</t>
        </is>
      </c>
      <c r="N159" s="2" t="inlineStr">
        <is>
          <t>ข้อ 43 Pharma Plus เล่มม่วง (เฉลยข้อ ก ง จ)</t>
        </is>
      </c>
      <c r="O159" s="2" t="inlineStr">
        <is>
          <t>Mock</t>
        </is>
      </c>
      <c r="P159" s="2" t="inlineStr">
        <is>
          <t>Pharma Plus เล่มม่วง</t>
        </is>
      </c>
    </row>
    <row r="160" ht="13.2" customHeight="1" s="37">
      <c r="A160" s="8" t="inlineStr">
        <is>
          <t>44</t>
        </is>
      </c>
      <c r="B160" s="2" t="inlineStr">
        <is>
          <t>เมื่อคนใช้หักเม็ดยา rifampin ซึ่งเป็น white sugar-coated tablet พบว่าในยาเม็ดเป็นสีส้มแดงทั้งเม็ด ท่านจะอธิบายให้คนใช้เข้าใจอย่างไร</t>
        </is>
      </c>
      <c r="C160" s="2" t="n"/>
      <c r="D160" s="2" t="inlineStr">
        <is>
          <t>ยาเสียเนื่องจาก air oxidation</t>
        </is>
      </c>
      <c r="E160" s="2" t="inlineStr">
        <is>
          <t>ยาเสียเนื่องจาก hydrolysis ของส่วน hydrozone</t>
        </is>
      </c>
      <c r="F160" s="2" t="inlineStr">
        <is>
          <t>ยาไม่เสีย เป็นธรรมชาติของยาเม็ดชนิดนี้</t>
        </is>
      </c>
      <c r="G160" s="2" t="inlineStr">
        <is>
          <t>ยาเสียเนื่องจากความชื้นในอากาศ</t>
        </is>
      </c>
      <c r="H160" s="2" t="inlineStr">
        <is>
          <t>ยาไม่เสีย สีที่เกิดขึ้นนั้นเกิดกับการแต่งสี</t>
        </is>
      </c>
      <c r="I160" s="8" t="inlineStr">
        <is>
          <t>3</t>
        </is>
      </c>
      <c r="J160" s="2" t="inlineStr">
        <is>
          <t>✅ คำตอบที่ถูกต้อง: ข้อ ค. ยาไม่เสีย เป็นธรรมชาติของยาเม็ดชนิดนี้
💡 Background:
การดูแลผู้ติดเชื้อ HIV เน้นเริ่ม Antiretroviral Therapy (ART) ทันทีเพื่อกด viral load ให้ undetectable (U=U) และฟื้นฟูระบบภูมิคุ้มกัน
🎯 ทำไมข้อนี้ถึงถูก:
ยาไม่เสีย เป็นธรรมชาติของยาเม็ดชนิดนี้ Rifampin active ingredient มีสีส้มแดงตามธรรมชาติ การเคลือบสีขาวด้านนอกเป็นเพียงรูปแบบยาเตรียม เมื่อหักจึงเห็นเนื้อยาข้างในเป็นสีส้มแดง ซึ่งยาไม่ได้เสื่อมสภาพ
🔍 ข้ออื่นผิดเพราะอะไร:
• ข้อ ก. (ยาเสียเนื่องจาก air oxidation): ข้อนี้ไม่ใช่คำตอบที่ถูกต้องสำหรับภาวะ HIV infection เนื่องจากกลไกการออกฤทธิ์, efficacy หรือข้อบ่งใช้ไม่ตรงกับโจทย์ที่กำหนด
• ข้อ ข. (ยาเสียเนื่องจาก hydrolysis ของส่วน hydrozone): ข้อนี้ไม่ใช่คำตอบที่ถูกต้องสำหรับภาวะ HIV infection เนื่องจากกลไกการออกฤทธิ์, efficacy หรือข้อบ่งใช้ไม่ตรงกับโจทย์ที่กำหนด
• ข้อ ง. (ยาเสียเนื่องจากความชื้นในอากาศ): ข้อนี้ไม่ใช่คำตอบที่ถูกต้องสำหรับภาวะ HIV infection เนื่องจากกลไกการออกฤทธิ์, efficacy หรือข้อบ่งใช้ไม่ตรงกับโจทย์ที่กำหนด
• ข้อ จ. (ยาไม่เสีย สีที่เกิดขึ้นนั้นเกิดกับการแต่งสี):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0" s="2" t="n"/>
      <c r="L160" s="2" t="inlineStr">
        <is>
          <t>HIV infection</t>
        </is>
      </c>
      <c r="M160" s="2" t="inlineStr">
        <is>
          <t>Clinic</t>
        </is>
      </c>
      <c r="N160" s="2" t="inlineStr">
        <is>
          <t>ข้อ 44 Pharma Plus เล่มม่วง (เฉลยข้อ ค)</t>
        </is>
      </c>
      <c r="O160" s="2" t="inlineStr">
        <is>
          <t>Mock</t>
        </is>
      </c>
      <c r="P160" s="2" t="inlineStr">
        <is>
          <t>Pharma Plus เล่มม่วง</t>
        </is>
      </c>
    </row>
    <row r="161" ht="13.2" customHeight="1" s="37">
      <c r="A161" s="8" t="inlineStr">
        <is>
          <t>160</t>
        </is>
      </c>
      <c r="B161" s="2" t="inlineStr">
        <is>
          <t>ผู้ป่วยติดเชื้อ HIV และมีวัณโรคร่วม ที่ได้รับการรักษาด้วยยาต้านไวรัสและยาต้านวัณโรค First line drug
อาจมีอาการชาและรู้สึกซ่า ๆ ที่มือและเท้า ข้อใดเป็นสาเหตุของอาการดังกล่าว</t>
        </is>
      </c>
      <c r="C161" s="2" t="n"/>
      <c r="D161" s="2" t="inlineStr">
        <is>
          <t>ขาด Vitamin D เนื่องจากได้รับแสงแดดไม่พอ</t>
        </is>
      </c>
      <c r="E161" s="2" t="inlineStr">
        <is>
          <t>ขาด Vitamin B6 เนื่องจากได้รับการรักษาด้วยยา isoniazid</t>
        </is>
      </c>
      <c r="F161" s="2" t="inlineStr">
        <is>
          <t>ขาด folate เนื่องจากสูญเสียปัสสาวะเพิ่มขึ้น</t>
        </is>
      </c>
      <c r="G161" s="2" t="inlineStr">
        <is>
          <t>ขาด Vitamin B12 เนื่องจากการดูดซึมผิดปกติ</t>
        </is>
      </c>
      <c r="H161" s="2" t="inlineStr">
        <is>
          <t>ขาด Zn เนื่องจากยาท าให้เบื่ออาหาร จึงได้รับ Zn จากอาหารน้อยลง</t>
        </is>
      </c>
      <c r="I161" s="8" t="inlineStr">
        <is>
          <t>1</t>
        </is>
      </c>
      <c r="J161" s="2" t="inlineStr">
        <is>
          <t>✅ คำตอบที่ถูกต้อง: ข้อ ก. ขาด Vitamin D เนื่องจากได้รับแสงแดดไม่พอ
💡 Background:
การดูแลผู้ติดเชื้อ HIV เน้นเริ่ม Antiretroviral Therapy (ART) ทันทีเพื่อกด viral load ให้ undetectable (U=U) และฟื้นฟูระบบภูมิคุ้มกัน
🎯 ทำไมข้อนี้ถึงถูก:
ขาด Vitamin D เนื่องจากได้รับแสงแดดไม่พอ การเลือก ขาด Vitamin D เนื่องจากได้รับแสงแดดไม่พอ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(Infectious Diseases): ข้อนี้ไม่ใช่คำตอบที่ถูกต้องสำหรับภาวะ HIV infection เนื่องจากกลไกการออกฤทธิ์, efficacy หรือข้อบ่งใช้ไม่ตรงกับโจทย์ที่กำหนด
• ข้อ ค. (ขาด Vitamin B6 เนื่องจากได้รับการรักษาด้วยยา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(ขาด folate เนื่องจากสูญเสียปัสสาวะเพิ่มขึ้น): ข้อนี้ไม่ใช่คำตอบที่ถูกต้องสำหรับภาวะ HIV infection เนื่องจากกลไกการออกฤทธิ์, efficacy หรือข้อบ่งใช้ไม่ตรงกับโจทย์ที่กำหนด
• ข้อ จ. (ขาด Vitamin B12 เนื่องจากการดูดซึมผิดปกติ):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1" s="2" t="n"/>
      <c r="L161" s="2" t="inlineStr">
        <is>
          <t>HIV infection</t>
        </is>
      </c>
      <c r="M161" s="2" t="inlineStr">
        <is>
          <t>Infectious Diseases</t>
        </is>
      </c>
      <c r="N161" s="2" t="inlineStr">
        <is>
          <t>Mock PLE-CC 1 ข้อ 104</t>
        </is>
      </c>
      <c r="O161" s="2" t="inlineStr">
        <is>
          <t>Mock</t>
        </is>
      </c>
      <c r="P161" s="2" t="inlineStr">
        <is>
          <t>Mock RxCU83</t>
        </is>
      </c>
      <c r="Q161" s="2" t="n"/>
    </row>
    <row r="162" ht="13.2" customHeight="1" s="37">
      <c r="A162" s="8" t="inlineStr">
        <is>
          <t>161</t>
        </is>
      </c>
      <c r="B162" s="2" t="inlineStr">
        <is>
          <t>อาการของผู้ป่วยเข้าได้กับโรคใด</t>
        </is>
      </c>
      <c r="C162" s="2" t="n"/>
      <c r="D162" s="2" t="inlineStr">
        <is>
          <t>photosensitivity</t>
        </is>
      </c>
      <c r="E162" s="2" t="inlineStr">
        <is>
          <t>eczema</t>
        </is>
      </c>
      <c r="F162" s="2" t="inlineStr">
        <is>
          <t>impetigo</t>
        </is>
      </c>
      <c r="G162" s="2" t="inlineStr">
        <is>
          <t>canker sore</t>
        </is>
      </c>
      <c r="H162" s="2" t="inlineStr">
        <is>
          <t>Cold sore</t>
        </is>
      </c>
      <c r="I162" s="8" t="inlineStr">
        <is>
          <t>4</t>
        </is>
      </c>
      <c r="J162" s="2" t="inlineStr">
        <is>
          <t>✅ คำตอบที่ถูกต้อง: ข้อ ง. canker sore
💡 Background:
การดูแลผู้ติดเชื้อ HIV เน้นเริ่ม Antiretroviral Therapy (ART) ทันทีเพื่อกด viral load ให้ undetectable (U=U) และฟื้นฟูระบบภูมิคุ้มกัน
🎯 ทำไมข้อนี้ถึงถูก:
canker sore การเลือก canker sore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(Infectious Diseases): ข้อนี้ไม่ใช่คำตอบที่ถูกต้องสำหรับภาวะ HIV infection เนื่องจากกลไกการออกฤทธิ์, efficacy หรือข้อบ่งใช้ไม่ตรงกับโจทย์ที่กำหนด
• ข้อ ข. (photosensitivity): ข้อนี้ไม่ใช่คำตอบที่ถูกต้องสำหรับภาวะ HIV infection เนื่องจากกลไกการออกฤทธิ์, efficacy หรือข้อบ่งใช้ไม่ตรงกับโจทย์ที่กำหนด
• ข้อ ค. (eczema): ข้อนี้ไม่ใช่คำตอบที่ถูกต้องสำหรับภาวะ HIV infection เนื่องจากกลไกการออกฤทธิ์, efficacy หรือข้อบ่งใช้ไม่ตรงกับโจทย์ที่กำหนด
• ข้อ ง. (impetigo):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2" s="2" t="n"/>
      <c r="L162" s="2" t="inlineStr">
        <is>
          <t>HIV infection</t>
        </is>
      </c>
      <c r="M162" s="2" t="inlineStr">
        <is>
          <t>Infectious Diseases</t>
        </is>
      </c>
      <c r="N162" s="2" t="inlineStr">
        <is>
          <t>Mock PLE-CC 1 ข้อ 119</t>
        </is>
      </c>
      <c r="O162" s="2" t="inlineStr">
        <is>
          <t>Mock</t>
        </is>
      </c>
      <c r="P162" s="2" t="inlineStr">
        <is>
          <t>Mock RxCU83</t>
        </is>
      </c>
      <c r="Q162" s="2" t="n"/>
    </row>
    <row r="163" ht="13.2" customHeight="1" s="37">
      <c r="A163" s="8" t="inlineStr">
        <is>
          <t>162</t>
        </is>
      </c>
      <c r="B163" s="2" t="inlineStr">
        <is>
          <t>ข้อใดไม่ใช่ปัจจัยกระตุ้นที่สำคัญที่ทำให้โรคนี้กำเริบ</t>
        </is>
      </c>
      <c r="C163" s="2" t="n"/>
      <c r="D163" s="2" t="inlineStr">
        <is>
          <t>การนอนหลับไม่เพียงพอ</t>
        </is>
      </c>
      <c r="E163" s="2" t="inlineStr">
        <is>
          <t>ภาวะเครียด</t>
        </is>
      </c>
      <c r="F163" s="2" t="inlineStr">
        <is>
          <t>เจอแสงแดดจัด</t>
        </is>
      </c>
      <c r="G163" s="2" t="inlineStr">
        <is>
          <t>การได้รับ amoxicillin</t>
        </is>
      </c>
      <c r="H163" s="2" t="inlineStr">
        <is>
          <t>ติดเชื้อไวรัสเช่นไข้หวัด</t>
        </is>
      </c>
      <c r="I163" s="8" t="inlineStr">
        <is>
          <t>2</t>
        </is>
      </c>
      <c r="J163" s="2" t="inlineStr">
        <is>
          <t>✅ คำตอบที่ถูกต้อง: ข้อ ข. ภาวะเครียด
💡 Background:
การดูแลผู้ติดเชื้อ HIV เน้นเริ่ม Antiretroviral Therapy (ART) ทันทีเพื่อกด viral load ให้ undetectable (U=U) และฟื้นฟูระบบภูมิคุ้มกัน
🎯 ทำไมข้อนี้ถึงถูก:
ภาวะเครียด การเลือก ภาวะเครียด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(Infectious Diseases): ข้อนี้ไม่ใช่คำตอบที่ถูกต้องสำหรับภาวะ HIV infection เนื่องจากกลไกการออกฤทธิ์, efficacy หรือข้อบ่งใช้ไม่ตรงกับโจทย์ที่กำหนด
• ข้อ ข. (การนอนหลับไม่เพียงพอ): ข้อนี้ไม่ใช่คำตอบที่ถูกต้องสำหรับภาวะ HIV infection เนื่องจากกลไกการออกฤทธิ์, efficacy หรือข้อบ่งใช้ไม่ตรงกับโจทย์ที่กำหนด
• ข้อ ง. (เจอแสงแดดจัด): ข้อนี้ไม่ใช่คำตอบที่ถูกต้องสำหรับภาวะ HIV infection เนื่องจากกลไกการออกฤทธิ์, efficacy หรือข้อบ่งใช้ไม่ตรงกับโจทย์ที่กำหนด
• ข้อ จ. (การได้รับ amoxicillin):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3" s="2" t="n"/>
      <c r="L163" s="2" t="inlineStr">
        <is>
          <t>HIV infection</t>
        </is>
      </c>
      <c r="M163" s="2" t="inlineStr">
        <is>
          <t>Infectious Diseases</t>
        </is>
      </c>
      <c r="N163" s="2" t="inlineStr">
        <is>
          <t>Mock PLE-CC 1 ข้อ 123</t>
        </is>
      </c>
      <c r="O163" s="2" t="inlineStr">
        <is>
          <t>Mock</t>
        </is>
      </c>
      <c r="P163" s="2" t="inlineStr">
        <is>
          <t>Mock RxCU83</t>
        </is>
      </c>
      <c r="Q163" s="2" t="n"/>
    </row>
    <row r="164" ht="13.2" customHeight="1" s="37">
      <c r="A164" s="8" t="inlineStr">
        <is>
          <t>163</t>
        </is>
      </c>
      <c r="B164" s="2"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 √ √ (มากก|า 65 ~) √ √</t>
        </is>
      </c>
      <c r="C164" s="2" t="n"/>
      <c r="D164" s="2" t="inlineStr">
        <is>
          <t>Omeprazole + Metronidazole + Bismuth subsalicylate + tetracycline</t>
        </is>
      </c>
      <c r="E164" s="2" t="inlineStr">
        <is>
          <t>Omeprazole + Levofloxacin + Amoxicillin</t>
        </is>
      </c>
      <c r="F164" s="2" t="inlineStr">
        <is>
          <t>Lansoprazole + Clarithromycin + Amoxicillin</t>
        </is>
      </c>
      <c r="G164" s="2" t="inlineStr">
        <is>
          <t>Lansoprazole + Amoxicillin + Metronidazole + Bismuth subsalicylate</t>
        </is>
      </c>
      <c r="H164" s="2" t="inlineStr">
        <is>
          <t>Lansoprazole + Clarithromycin + Bismuth subsalicylate + Amoxicillin (ไม่มั่นใจ choice ข้อนี้)</t>
        </is>
      </c>
      <c r="I164" s="8" t="inlineStr">
        <is>
          <t>1</t>
        </is>
      </c>
      <c r="J164" s="2" t="inlineStr">
        <is>
          <t>✅ คำตอบที่ถูกต้อง: ข้อ ก. Omeprazole + Metronidazole + Bismuth subsalicylate + tetracycline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(Omeprazole + Metronidazole + Bismuth subsalicylate + tetracycline): เป็น antianaerobic และ antiprotozoal agent ยับยั้ง Trichomonas vaginalis, Giardia, Amebiasis, และ anaerobes ห้ามดื่มแอลกอฮอล์ระหว่างใช้ยา (disulfiram-like reaction)
• ข้อ ค. (Omeprazole + Levofloxacin + Amoxicillin): เป็น Aminopenicillin ยับยั้ง bacterial cell wall synthesis เป็น first-line สำหรับ uncomplicated bacterial infections (เช่น Strep pharyngitis, AOM, sinusitis)
• ข้อ ง. (Lansoprazole + Clarithromycin + Amoxicillin): เป็น Aminopenicillin ยับยั้ง bacterial cell wall synthesis เป็น first-line สำหรับ uncomplicated bacterial infections (เช่น Strep pharyngitis, AOM, sinusitis)
• ข้อ จ. (Lansoprazole + Amoxicillin + Metronidazole + Bismuth subsalicylate):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4" s="2" t="n"/>
      <c r="L164" s="2" t="inlineStr">
        <is>
          <t>HIV infection</t>
        </is>
      </c>
      <c r="M164" s="2" t="inlineStr">
        <is>
          <t>Infectious Diseases</t>
        </is>
      </c>
      <c r="N164" s="2" t="inlineStr">
        <is>
          <t>PLE_CC1_2567_Key ข้อ 9</t>
        </is>
      </c>
      <c r="O164" s="2" t="inlineStr">
        <is>
          <t>ข้อสอบจริง</t>
        </is>
      </c>
      <c r="P164" s="2" t="inlineStr">
        <is>
          <t>ปี 2567</t>
        </is>
      </c>
      <c r="Q164" s="2" t="n"/>
    </row>
    <row r="165" ht="13.2" customHeight="1" s="37">
      <c r="A165" s="8" t="inlineStr">
        <is>
          <t>164</t>
        </is>
      </c>
      <c r="B165" s="2" t="inlineStr">
        <is>
          <t>ชายอายุ 35 ปี เป็น acute bacterial sinusitis ติดเชื้อ streptococcus pneumoniae ดื้อยา penicillin และมีประวัติแพ้ยา amoxicillin แบบ type 1 hypersensitivity เลือกยาฆ่าเชื้อแบคทีเรีย จาก IDSA guideline ตาม guideline IDSA Levofloxacin เป็นยาที่ถูก</t>
        </is>
      </c>
      <c r="C165" s="2" t="n"/>
      <c r="D165" s="2" t="inlineStr">
        <is>
          <t>Cefixime</t>
        </is>
      </c>
      <c r="E165" s="2" t="inlineStr">
        <is>
          <t>Levofloxacin</t>
        </is>
      </c>
      <c r="F165" s="2" t="inlineStr">
        <is>
          <t>Clindamycin</t>
        </is>
      </c>
      <c r="G165" s="2" t="inlineStr">
        <is>
          <t>Erythromycin</t>
        </is>
      </c>
      <c r="H165" s="2" t="inlineStr">
        <is>
          <t>Amoxicillin clavulanate</t>
        </is>
      </c>
      <c r="I165" s="8" t="inlineStr">
        <is>
          <t>1</t>
        </is>
      </c>
      <c r="J165" s="2" t="inlineStr">
        <is>
          <t>✅ คำตอบที่ถูกต้อง: ข้อ ก. Cefixime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ข. (Cefixime): ข้อนี้ไม่ใช่คำตอบที่ถูกต้องสำหรับภาวะ Pneumonia เนื่องจากกลไกการออกฤทธิ์, efficacy หรือข้อบ่งใช้ไม่ตรงกับโจทย์ที่กำหนด
• ข้อ ค. (Levofloxacin): เป็น Respiratory Fluoroquinolone ครอบคลุมทั้ง Streptococcus pneumoniae, atypicals และ Pseudomonas aeruginosa ใช้รักษา CAP, complicated UTI
• ข้อ ง. (Clindamycin): ข้อนี้ไม่ใช่คำตอบที่ถูกต้องสำหรับภาวะ Pneumonia เนื่องจากกลไกการออกฤทธิ์, efficacy หรือข้อบ่งใช้ไม่ตรงกับโจทย์ที่กำหนด
• ข้อ จ. (Erythromycin): ข้อนี้ไม่ใช่คำตอบที่ถูกต้องสำหรับภาวะ Pneumonia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5" s="2" t="n"/>
      <c r="L165" s="2" t="inlineStr">
        <is>
          <t>Pneumonia</t>
        </is>
      </c>
      <c r="M165" s="2" t="inlineStr">
        <is>
          <t>Infectious Diseases</t>
        </is>
      </c>
      <c r="N165" s="2" t="inlineStr">
        <is>
          <t>PLE_CC1_2567_Key ข้อ 37</t>
        </is>
      </c>
      <c r="O165" s="2" t="inlineStr">
        <is>
          <t>ข้อสอบจริง</t>
        </is>
      </c>
      <c r="P165" s="2" t="inlineStr">
        <is>
          <t>ปี 2567</t>
        </is>
      </c>
      <c r="Q165" s="2" t="n"/>
    </row>
    <row r="166" ht="13.2" customHeight="1" s="37">
      <c r="A166" s="8" t="inlineStr">
        <is>
          <t>165</t>
        </is>
      </c>
      <c r="B166" s="2" t="inlineStr">
        <is>
          <t>Case HIV CD4 &lt; 150 ต้องได้ยาป้องกัน OI (Opportunistic Infection) อะไรบ้าง " A</t>
        </is>
      </c>
      <c r="C166" s="2" t="n"/>
      <c r="D166" s="2" t="inlineStr">
        <is>
          <t>Co-trimoxazole</t>
        </is>
      </c>
      <c r="E166" s="2" t="inlineStr">
        <is>
          <t>Fluconazole</t>
        </is>
      </c>
      <c r="F166" s="2" t="inlineStr">
        <is>
          <t>Azithromycin</t>
        </is>
      </c>
      <c r="G166" s="2" t="inlineStr">
        <is>
          <t>Co-trimoxazole + Fluconazole</t>
        </is>
      </c>
      <c r="H166" s="2" t="inlineStr">
        <is>
          <t>Co-trimoxazole + Fluconazole + azithromycin X ร * ผู้ป่วย CAP (Community-Acquired Pneumonia) ได้ยา ceftriaxone + azithromycin หลังได้รับยา วันแรกมีอาการคันรอบดวงตา บวม ไม่มีผื่น ไม่มีอาการเจ็บคอ เจ็บปาก หรือปัสสาวะลำบาก  เคยซื้อยา ได้รับ ceftriaxone มาก่อน Lab; WBC 5000, Eosinophil 3% (มีค่า PMN ด้วย แต่จำไม่ได้), Platelets = 100,000 /mmง</t>
        </is>
      </c>
      <c r="I166" s="8" t="inlineStr">
        <is>
          <t>1</t>
        </is>
      </c>
      <c r="J166" s="2" t="inlineStr">
        <is>
          <t>✅ คำตอบที่ถูกต้อง: ข้อ ก. Co-trimoxazole
💡 Background:
การดูแลผู้ติดเชื้อ HIV เน้นเริ่ม Antiretroviral Therapy (ART) ทันทีเพื่อกด viral load ให้ undetectable (U=U) และฟื้นฟูระบบภูมิคุ้มกัน
🎯 ทำไมข้อนี้ถึงถูก:
Infectious Diseases amoxicillin มากินหลายครั้งแล้วไม่แพ้ เคยซื้อยา azithromycin มากินหลายครั้งก็ไม่แพ้เหมือนกัน, - ไม่เคย
🔍 ข้ออื่นผิดเพราะอะไร:
• ข้อ ข. (Co-trimoxazole): ข้อนี้ไม่ใช่คำตอบที่ถูกต้องสำหรับภาวะ HIV infection เนื่องจากกลไกการออกฤทธิ์, efficacy หรือข้อบ่งใช้ไม่ตรงกับโจทย์ที่กำหนด
• ข้อ ค. (Fluconazole): เป็น Triazole antifungal เป็น first-line สำหรับ Candida albicans และ Cryptococcal maintenance therapy ขับออกทางไตเด่นชัดจึงต้องปรับ dose ตาม CrCl
• ข้อ ง. (Azithromycin): เป็น Macrolide ครอบคลุม atypical pathogens (Mycoplasma, Chlamydia, Legionella) ขจัดออกทางตับเป็นหลัก และมี half-life ยาวนาน (~68 ชม.)
• ข้อ จ. (Co-trimoxazole + Fluconazole): เป็น Triazole antifungal เป็น first-line สำหรับ Candida albicans และ Cryptococcal maintenance therapy ขับออกทางไตเด่นชัดจึงต้องปรับ dose ตาม CrCl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6" s="2" t="n"/>
      <c r="L166" s="2" t="inlineStr">
        <is>
          <t>HIV infection</t>
        </is>
      </c>
      <c r="M166" s="2" t="inlineStr">
        <is>
          <t>Infectious Diseases</t>
        </is>
      </c>
      <c r="N166" s="2" t="inlineStr">
        <is>
          <t>PLE_CC1_2567_Key ข้อ 75</t>
        </is>
      </c>
      <c r="O166" s="2" t="inlineStr">
        <is>
          <t>ข้อสอบจริง</t>
        </is>
      </c>
      <c r="P166" s="2" t="inlineStr">
        <is>
          <t>ปี 2567</t>
        </is>
      </c>
      <c r="Q166" s="2" t="n"/>
    </row>
    <row r="167" ht="13.2" customHeight="1" s="37">
      <c r="A167" s="8" t="inlineStr">
        <is>
          <t>166</t>
        </is>
      </c>
      <c r="B167" s="2" t="inlineStr">
        <is>
          <t>โครงสร้างหมายเลขใดของ triamcinolone acetonide มีบทบาทสำคัญในการเพิ่ม lipophilicity PLE-PC1 Preparation 2567</t>
        </is>
      </c>
      <c r="C167" s="2" t="n"/>
      <c r="D167" s="2" t="inlineStr">
        <is>
          <t>Infectious Diseases</t>
        </is>
      </c>
      <c r="E167" s="2" t="inlineStr">
        <is>
          <t>Ciprofloxacin 500 mg BID</t>
        </is>
      </c>
      <c r="F167" s="2" t="inlineStr">
        <is>
          <t>Azithromycin 500 mg OD</t>
        </is>
      </c>
      <c r="G167" s="2" t="inlineStr">
        <is>
          <t>Doxycycline 100 mg BID</t>
        </is>
      </c>
      <c r="H167" s="2" t="inlineStr">
        <is>
          <t>Cotrimoxazole 160/800 mg BID</t>
        </is>
      </c>
      <c r="I167" s="8" t="inlineStr">
        <is>
          <t>1</t>
        </is>
      </c>
      <c r="J167"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67" s="2" t="n"/>
      <c r="L167" s="2" t="inlineStr">
        <is>
          <t>HIV infection</t>
        </is>
      </c>
      <c r="M167" s="2" t="inlineStr">
        <is>
          <t>Infectious Diseases</t>
        </is>
      </c>
      <c r="N167" s="2" t="inlineStr">
        <is>
          <t>PLE_CC1_2567_Key ข้อ 95</t>
        </is>
      </c>
      <c r="O167" s="2" t="inlineStr">
        <is>
          <t>ข้อสอบจริง</t>
        </is>
      </c>
      <c r="P167" s="2" t="inlineStr">
        <is>
          <t>ปี 2567</t>
        </is>
      </c>
    </row>
    <row r="168" ht="13.2" customHeight="1" s="37">
      <c r="A168" s="8" t="inlineStr">
        <is>
          <t>167</t>
        </is>
      </c>
      <c r="B168" s="2" t="inlineStr">
        <is>
          <t>อาการใดที่ใช@แยก acute bacterial rhinosinusitis ออกจากการติดเชื้อในระบบทางเดินหายใจส6วนบน</t>
        </is>
      </c>
      <c r="C168" s="2" t="n"/>
      <c r="D168" s="2" t="inlineStr">
        <is>
          <t>Maxillary pain</t>
        </is>
      </c>
      <c r="E168" s="2" t="inlineStr">
        <is>
          <t>Sneezing</t>
        </is>
      </c>
      <c r="F168" s="2" t="inlineStr">
        <is>
          <t>Purulent conjunctivitis</t>
        </is>
      </c>
      <c r="G168" s="2" t="inlineStr">
        <is>
          <t>ไอ</t>
        </is>
      </c>
      <c r="H168" s="2" t="inlineStr">
        <is>
          <t>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t>
        </is>
      </c>
      <c r="I168" s="8" t="inlineStr">
        <is>
          <t>1</t>
        </is>
      </c>
      <c r="J168" s="2" t="inlineStr">
        <is>
          <t>✅ คำตอบที่ถูกต้อง: ข้อ ก. Maxillary pain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(Maxillary pain): ข้อนี้ไม่ใช่คำตอบที่ถูกต้องสำหรับภาวะ URTI เนื่องจากกลไกการออกฤทธิ์, efficacy หรือข้อบ่งใช้ไม่ตรงกับโจทย์ที่กำหนด
• ข้อ ค. (Sneezing): ข้อนี้ไม่ใช่คำตอบที่ถูกต้องสำหรับภาวะ URTI เนื่องจากกลไกการออกฤทธิ์, efficacy หรือข้อบ่งใช้ไม่ตรงกับโจทย์ที่กำหนด
• ข้อ ง. (Purulent conjunctivitis): ข้อนี้ไม่ใช่คำตอบที่ถูกต้องสำหรับภาวะ URTI เนื่องจากกลไกการออกฤทธิ์, efficacy หรือข้อบ่งใช้ไม่ตรงกับโจทย์ที่กำหนด
• ข้อ จ. (ไอ): ข้อนี้ไม่ใช่คำตอบที่ถูกต้องสำหรับภาวะ URTI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 s="2" t="n"/>
      <c r="L168" s="2" t="inlineStr">
        <is>
          <t>URTI</t>
        </is>
      </c>
      <c r="M168" s="2" t="inlineStr">
        <is>
          <t>Infectious Diseases</t>
        </is>
      </c>
      <c r="N168" s="2" t="inlineStr">
        <is>
          <t>PLE_CC1_2567_Key ข้อ 104</t>
        </is>
      </c>
      <c r="O168" s="2" t="inlineStr">
        <is>
          <t>ข้อสอบจริง</t>
        </is>
      </c>
      <c r="P168" s="2" t="inlineStr">
        <is>
          <t>ปี 2567</t>
        </is>
      </c>
      <c r="Q168" s="2" t="n"/>
    </row>
    <row r="169" ht="13.2" customHeight="1" s="37">
      <c r="A169" s="8" t="inlineStr">
        <is>
          <t>168</t>
        </is>
      </c>
      <c r="B169" s="2"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t>
        </is>
      </c>
      <c r="C169" s="2" t="n"/>
      <c r="D169" s="2" t="inlineStr">
        <is>
          <t>Infectious Diseases</t>
        </is>
      </c>
      <c r="E169" s="2" t="inlineStr">
        <is>
          <t>Tenofovir/Emtricitabine 300/200 mg OD</t>
        </is>
      </c>
      <c r="F169" s="2" t="inlineStr">
        <is>
          <t>Dolutegravir 50 mg OD</t>
        </is>
      </c>
      <c r="G169" s="2" t="inlineStr">
        <is>
          <t>Vancomycin 1 g IV Q12H</t>
        </is>
      </c>
      <c r="H169" s="2" t="inlineStr">
        <is>
          <t>Meropenem 1 g IV Q8H</t>
        </is>
      </c>
      <c r="I169" s="8" t="inlineStr">
        <is>
          <t>1</t>
        </is>
      </c>
      <c r="J169"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9" s="2" t="n"/>
      <c r="L169" s="2" t="inlineStr">
        <is>
          <t>HIV infection</t>
        </is>
      </c>
      <c r="M169" s="2" t="inlineStr">
        <is>
          <t>Infectious Diseases</t>
        </is>
      </c>
      <c r="N169" s="2" t="inlineStr">
        <is>
          <t>PLE_CC1_2567_Set1_Key ข้อ 9</t>
        </is>
      </c>
      <c r="O169" s="2" t="inlineStr">
        <is>
          <t>ข้อสอบจริง</t>
        </is>
      </c>
      <c r="P169" s="2" t="inlineStr">
        <is>
          <t>ปี 2567</t>
        </is>
      </c>
    </row>
    <row r="170" ht="13.2" customHeight="1" s="37">
      <c r="A170" s="8" t="inlineStr">
        <is>
          <t>169</t>
        </is>
      </c>
      <c r="B170" s="2" t="inlineStr">
        <is>
          <t>จากตำรับน้ำตาเทียม หากไม่มี Hydroxypropyl-guar สามารถใช้สารในข้อใดทำหน้าที่แทนได้ สารเพิ่มความหนืด ติดเชื้อ bacteria</t>
        </is>
      </c>
      <c r="C170" s="2" t="n"/>
      <c r="D170" s="2" t="inlineStr">
        <is>
          <t>ethyl cellulose</t>
        </is>
      </c>
      <c r="E170" s="2" t="inlineStr">
        <is>
          <t>Cellulose acetate</t>
        </is>
      </c>
      <c r="F170" s="2" t="inlineStr">
        <is>
          <t>Polysorbate 80</t>
        </is>
      </c>
      <c r="G170" s="2" t="inlineStr">
        <is>
          <t>Sorbitol</t>
        </is>
      </c>
      <c r="H170" s="2" t="inlineStr">
        <is>
          <t>PVA ผู้ป่วยชายมาด้วยอาการตาแดง ไม่คัน ไม่ปวด ตื่นเช้ามีขี้ตาสีเหลือง ลืมตาไม่ขึ้น ปกติเป็นคนใส่คอนแทค เลนส์สำหรับสายตาสั้น ล้างคอนแทคเลนส์ทุกวันด้วยน้ำยาล้างคอนแทคเลนส์ เวลาตาแห้งจะใช้น้ำตาเทียมหยอด ตารายวัน แต่เมื่อ 3 วันก่อนไปเที่ยว ลืมเอาน้ำยาล้างคอนแทคเลนส์ไปด้วย เลยเอามาแช่ในน้ำเกลือแทน แล้ว นำไปใช้ต่อและมีอาการตาแดงต่อมา มีประวัติแพ้ยา: co-trimoxazole (SJS)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t>
        </is>
      </c>
      <c r="I170" s="8" t="inlineStr">
        <is>
          <t>1</t>
        </is>
      </c>
      <c r="J170" s="2" t="inlineStr">
        <is>
          <t>✅ คำตอบที่ถูกต้อง: ข้อ ก. ethyl cellulose
💡 Background:
การดูแลผู้ติดเชื้อ HIV เน้นเริ่ม Antiretroviral Therapy (ART) ทันทีเพื่อกด viral load ให้ undetectable (U=U) และฟื้นฟูระบบภูมิคุ้มกัน
🎯 ทำไมข้อนี้ถึงถูก:
Infectious Diseases ตอนกลางคืน มีน้ำมูกใส ไม่มีไข้ ไม่มีการใช้ยาพ่นฉุกเฉิน นอนราบได้ ไม่เคยเข้ารพเพราะหอบเหนื่อย ปัจจุบันใช้ยา
🔍 ข้ออื่นผิดเพราะอะไร:
• ข้อ ข. (ethyl cellulose): ข้อนี้ไม่ใช่คำตอบที่ถูกต้องสำหรับภาวะ HIV infection เนื่องจากกลไกการออกฤทธิ์, efficacy หรือข้อบ่งใช้ไม่ตรงกับโจทย์ที่กำหนด
• ข้อ ค. (Cellulose acetate): ข้อนี้ไม่ใช่คำตอบที่ถูกต้องสำหรับภาวะ HIV infection เนื่องจากกลไกการออกฤทธิ์, efficacy หรือข้อบ่งใช้ไม่ตรงกับโจทย์ที่กำหนด
• ข้อ ง. (Polysorbate 80): เป็น Non-ionic surfactant (Tween 80) มีค่า HLB สูง (~15) ทำหน้าที่เป็น O/W emulsifying agent, solubilizer และ wetting agent
• ข้อ จ. (Sorbitol):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0" s="2" t="n"/>
      <c r="L170" s="2" t="inlineStr">
        <is>
          <t>HIV infection</t>
        </is>
      </c>
      <c r="M170" s="2" t="inlineStr">
        <is>
          <t>Infectious Diseases</t>
        </is>
      </c>
      <c r="N170" s="2" t="inlineStr">
        <is>
          <t>PLE_CC1_2567_Set1_Key ข้อ 32</t>
        </is>
      </c>
      <c r="O170" s="2" t="inlineStr">
        <is>
          <t>ข้อสอบจริง</t>
        </is>
      </c>
      <c r="P170" s="2" t="inlineStr">
        <is>
          <t>ปี 2567</t>
        </is>
      </c>
      <c r="Q170" s="2" t="n"/>
    </row>
    <row r="171" ht="13.2" customHeight="1" s="37">
      <c r="A171" s="8" t="inlineStr">
        <is>
          <t>170</t>
        </is>
      </c>
      <c r="B171" s="2" t="inlineStr">
        <is>
          <t>Case HIV CD4 &lt; 150 ต้องได้ยาป้องกัน OI (Opportunistic Infection) อะไรบ้าง " A</t>
        </is>
      </c>
      <c r="C171" s="2" t="n"/>
      <c r="D171" s="2" t="inlineStr">
        <is>
          <t>Docusate Sodium - lubricant</t>
        </is>
      </c>
      <c r="E171" s="2" t="inlineStr">
        <is>
          <t>glycerin - Osmotic</t>
        </is>
      </c>
      <c r="F171" s="2" t="inlineStr">
        <is>
          <t>psyllium husk - stimulant</t>
        </is>
      </c>
      <c r="G171" s="2" t="inlineStr">
        <is>
          <t>bisacodyl - bulk forming</t>
        </is>
      </c>
      <c r="H171" s="2" t="inlineStr">
        <is>
          <t>*จำ choice ไม่ได้*</t>
        </is>
      </c>
      <c r="I171" s="8" t="inlineStr">
        <is>
          <t>1</t>
        </is>
      </c>
      <c r="J171" s="2" t="inlineStr">
        <is>
          <t>✅ คำตอบที่ถูกต้อง: ข้อ ก. Docusate Sodium - lubricant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(Docusate Sodium - lubricant): ข้อนี้ไม่ใช่คำตอบที่ถูกต้องสำหรับภาวะ HIV infection เนื่องจากกลไกการออกฤทธิ์, efficacy หรือข้อบ่งใช้ไม่ตรงกับโจทย์ที่กำหนด
• ข้อ ค. (glycerin - Osmotic): ข้อนี้ไม่ใช่คำตอบที่ถูกต้องสำหรับภาวะ HIV infection เนื่องจากกลไกการออกฤทธิ์, efficacy หรือข้อบ่งใช้ไม่ตรงกับโจทย์ที่กำหนด
• ข้อ ง. (psyllium husk - stimulant): ข้อนี้ไม่ใช่คำตอบที่ถูกต้องสำหรับภาวะ HIV infection เนื่องจากกลไกการออกฤทธิ์, efficacy หรือข้อบ่งใช้ไม่ตรงกับโจทย์ที่กำหนด
• ข้อ จ. (bisacodyl - bulk forming):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1" s="2" t="n"/>
      <c r="L171" s="2" t="inlineStr">
        <is>
          <t>HIV infection</t>
        </is>
      </c>
      <c r="M171" s="2" t="inlineStr">
        <is>
          <t>Infectious Diseases</t>
        </is>
      </c>
      <c r="N171" s="2" t="inlineStr">
        <is>
          <t>PLE_CC1_2567_Set1_Key ข้อ 75</t>
        </is>
      </c>
      <c r="O171" s="2" t="inlineStr">
        <is>
          <t>ข้อสอบจริง</t>
        </is>
      </c>
      <c r="P171" s="2" t="inlineStr">
        <is>
          <t>ปี 2567</t>
        </is>
      </c>
      <c r="Q171" s="2" t="n"/>
    </row>
    <row r="172" ht="13.2" customHeight="1" s="37">
      <c r="A172" s="8" t="inlineStr">
        <is>
          <t>171</t>
        </is>
      </c>
      <c r="B172" s="2" t="inlineStr">
        <is>
          <t>ยาชนิดใดน่าจะเป็นสาเหตุของการแพ้มากที่สุดในผู้ป่วยรายนี้ &amp; &lt; PLE-PC1 Preparation 2567 PLE-PC1 Preparation 2567</t>
        </is>
      </c>
      <c r="C172" s="2" t="n"/>
      <c r="D172" s="2" t="inlineStr">
        <is>
          <t>Infectious Diseases</t>
        </is>
      </c>
      <c r="E172" s="2" t="inlineStr">
        <is>
          <t>Doxycycline 100 mg BID</t>
        </is>
      </c>
      <c r="F172" s="2" t="inlineStr">
        <is>
          <t>Cotrimoxazole 160/800 mg BID</t>
        </is>
      </c>
      <c r="G172" s="2" t="inlineStr">
        <is>
          <t>Metronidazole 400 mg TID</t>
        </is>
      </c>
      <c r="H172" s="2" t="inlineStr">
        <is>
          <t>Nitrofurantoin 100 mg BID</t>
        </is>
      </c>
      <c r="I172" s="8" t="inlineStr">
        <is>
          <t>1</t>
        </is>
      </c>
      <c r="J172"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2" s="2" t="n"/>
      <c r="L172" s="2" t="inlineStr">
        <is>
          <t>HIV infection</t>
        </is>
      </c>
      <c r="M172" s="2" t="inlineStr">
        <is>
          <t>Infectious Diseases</t>
        </is>
      </c>
      <c r="N172" s="2" t="inlineStr">
        <is>
          <t>PLE_CC1_2567_Set1_Key ข้อ 77</t>
        </is>
      </c>
      <c r="O172" s="2" t="inlineStr">
        <is>
          <t>ข้อสอบจริง</t>
        </is>
      </c>
      <c r="P172" s="2" t="inlineStr">
        <is>
          <t>ปี 2567</t>
        </is>
      </c>
    </row>
    <row r="173" ht="13.2" customHeight="1" s="37">
      <c r="A173" s="8" t="inlineStr">
        <is>
          <t>172</t>
        </is>
      </c>
      <c r="B173" s="2" t="inlineStr">
        <is>
          <t>หญิงอายุ 65 ปี มา รพ. ด้วยอาการหน้าเบี้ยว ปากเบี้ยว เป็นมาแล้ว 3 ชม. NIHSS score =2 ยาใดต่อไปนี้ เหมาะสมที่สุดสำหรับผู้ป่วยรายนี้ PLE-PC1 Preparation 2567 PLE-PC1 Preparation 2567</t>
        </is>
      </c>
      <c r="C173" s="2" t="n"/>
      <c r="D173" s="2" t="inlineStr">
        <is>
          <t>Infectious Diseases</t>
        </is>
      </c>
      <c r="E173" s="2" t="inlineStr">
        <is>
          <t>Nitrofurantoin 100 mg BID</t>
        </is>
      </c>
      <c r="F173" s="2" t="inlineStr">
        <is>
          <t>Tenofovir/Emtricitabine 300/200 mg OD</t>
        </is>
      </c>
      <c r="G173" s="2" t="inlineStr">
        <is>
          <t>Dolutegravir 50 mg OD</t>
        </is>
      </c>
      <c r="H173" s="2" t="inlineStr">
        <is>
          <t>Vancomycin 1 g IV Q12H</t>
        </is>
      </c>
      <c r="I173" s="8" t="inlineStr">
        <is>
          <t>1</t>
        </is>
      </c>
      <c r="J173"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3" s="2" t="n"/>
      <c r="L173" s="2" t="inlineStr">
        <is>
          <t>HIV infection</t>
        </is>
      </c>
      <c r="M173" s="2" t="inlineStr">
        <is>
          <t>Infectious Diseases</t>
        </is>
      </c>
      <c r="N173" s="2" t="inlineStr">
        <is>
          <t>PLE_CC1_2567_Set1_Key ข้อ 86</t>
        </is>
      </c>
      <c r="O173" s="2" t="inlineStr">
        <is>
          <t>ข้อสอบจริง</t>
        </is>
      </c>
      <c r="P173" s="2" t="inlineStr">
        <is>
          <t>ปี 2567</t>
        </is>
      </c>
    </row>
    <row r="174" ht="13.2" customHeight="1" s="37">
      <c r="A174" s="8" t="inlineStr">
        <is>
          <t>173</t>
        </is>
      </c>
      <c r="B174" s="2" t="inlineStr">
        <is>
          <t>สูตรยาPrep. ตัวเลือก</t>
        </is>
      </c>
      <c r="C174" s="2" t="n"/>
      <c r="D174" s="2" t="inlineStr">
        <is>
          <t>Infectious Diseases</t>
        </is>
      </c>
      <c r="E174" s="2" t="inlineStr">
        <is>
          <t>Vancomycin 1 g IV Q12H</t>
        </is>
      </c>
      <c r="F174" s="2" t="inlineStr">
        <is>
          <t>Meropenem 1 g IV Q8H</t>
        </is>
      </c>
      <c r="G174" s="2" t="inlineStr">
        <is>
          <t>Cefazolin 1 g IV Q8H</t>
        </is>
      </c>
      <c r="H174" s="2" t="inlineStr">
        <is>
          <t>Amoxicillin/Clavulanate 1 g BID</t>
        </is>
      </c>
      <c r="I174" s="8" t="inlineStr">
        <is>
          <t>1</t>
        </is>
      </c>
      <c r="J174"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4" s="2" t="n"/>
      <c r="L174" s="2" t="inlineStr">
        <is>
          <t>HIV infection</t>
        </is>
      </c>
      <c r="M174" s="2" t="inlineStr">
        <is>
          <t>Infectious Diseases</t>
        </is>
      </c>
      <c r="N174" s="2" t="inlineStr">
        <is>
          <t>PLE-CC1 ปี 2566 Day 1 ข้อ 1</t>
        </is>
      </c>
      <c r="O174" s="2" t="inlineStr">
        <is>
          <t>ข้อสอบจริง</t>
        </is>
      </c>
      <c r="P174" s="2" t="inlineStr">
        <is>
          <t>ปี 2566</t>
        </is>
      </c>
    </row>
    <row r="175" ht="13.2" customHeight="1" s="37">
      <c r="A175" s="8" t="inlineStr">
        <is>
          <t>174</t>
        </is>
      </c>
      <c r="B175" s="2" t="inlineStr">
        <is>
          <t>Fasting blood glucose ??? Prophylaxis สำหรับป้องกันHIV ใช้สูตรยาใด Favipiravir ขายในร้านยาได้มั้ยเพราะอะไร</t>
        </is>
      </c>
      <c r="C175" s="2" t="n"/>
      <c r="D175" s="2" t="inlineStr">
        <is>
          <t>Infectious Diseases</t>
        </is>
      </c>
      <c r="E175" s="2" t="inlineStr">
        <is>
          <t>Amoxicillin/Clavulanate 1 g BID</t>
        </is>
      </c>
      <c r="F175" s="2" t="inlineStr">
        <is>
          <t>Ceftriaxone 1 g IV OD</t>
        </is>
      </c>
      <c r="G175" s="2" t="inlineStr">
        <is>
          <t>Ciprofloxacin 500 mg BID</t>
        </is>
      </c>
      <c r="H175" s="2" t="inlineStr">
        <is>
          <t>Azithromycin 500 mg OD</t>
        </is>
      </c>
      <c r="I175" s="8" t="inlineStr">
        <is>
          <t>1</t>
        </is>
      </c>
      <c r="J175"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5" s="2" t="n"/>
      <c r="L175" s="2" t="inlineStr">
        <is>
          <t>HIV infection</t>
        </is>
      </c>
      <c r="M175" s="2" t="inlineStr">
        <is>
          <t>Infectious Diseases</t>
        </is>
      </c>
      <c r="N175" s="2" t="inlineStr">
        <is>
          <t>PLE-CC1 ปี 2566 Day 1 ข้อ 5</t>
        </is>
      </c>
      <c r="O175" s="2" t="inlineStr">
        <is>
          <t>ข้อสอบจริง</t>
        </is>
      </c>
      <c r="P175" s="2" t="inlineStr">
        <is>
          <t>ปี 2566</t>
        </is>
      </c>
    </row>
    <row r="176" ht="13.2" customHeight="1" s="37">
      <c r="A176" s="8" t="inlineStr">
        <is>
          <t>175</t>
        </is>
      </c>
      <c r="B176" s="2" t="inlineStr">
        <is>
          <t>Oral antibiotics</t>
        </is>
      </c>
      <c r="C176" s="2" t="n"/>
      <c r="D176" s="2" t="inlineStr">
        <is>
          <t>Infectious Diseases</t>
        </is>
      </c>
      <c r="E176" s="2" t="inlineStr">
        <is>
          <t>Azithromycin 500 mg OD</t>
        </is>
      </c>
      <c r="F176" s="2" t="inlineStr">
        <is>
          <t>Doxycycline 100 mg BID</t>
        </is>
      </c>
      <c r="G176" s="2" t="inlineStr">
        <is>
          <t>Cotrimoxazole 160/800 mg BID</t>
        </is>
      </c>
      <c r="H176" s="2" t="inlineStr">
        <is>
          <t>Metronidazole 400 mg TID</t>
        </is>
      </c>
      <c r="I176" s="8" t="inlineStr">
        <is>
          <t>1</t>
        </is>
      </c>
      <c r="J176"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6" s="2" t="n"/>
      <c r="L176" s="2" t="inlineStr">
        <is>
          <t>HIV infection</t>
        </is>
      </c>
      <c r="M176" s="2" t="inlineStr">
        <is>
          <t>Infectious Diseases</t>
        </is>
      </c>
      <c r="N176" s="2" t="inlineStr">
        <is>
          <t>PLE-CC1 ปี 2566 Day 2 ข้อ 4</t>
        </is>
      </c>
      <c r="O176" s="2" t="inlineStr">
        <is>
          <t>ข้อสอบจริง</t>
        </is>
      </c>
      <c r="P176" s="2" t="inlineStr">
        <is>
          <t>ปี 2566</t>
        </is>
      </c>
    </row>
    <row r="177" ht="13.2" customHeight="1" s="37">
      <c r="A177" s="8" t="inlineStr">
        <is>
          <t>176</t>
        </is>
      </c>
      <c r="B177" s="2" t="inlineStr">
        <is>
          <t>ondansetron + dexsamethasone + Aprepitant</t>
        </is>
      </c>
      <c r="C177" s="2" t="n"/>
      <c r="D177" s="2" t="inlineStr">
        <is>
          <t>Infectious Diseases</t>
        </is>
      </c>
      <c r="E177" s="2" t="inlineStr">
        <is>
          <t>Metronidazole 400 mg TID</t>
        </is>
      </c>
      <c r="F177" s="2" t="inlineStr">
        <is>
          <t>Nitrofurantoin 100 mg BID</t>
        </is>
      </c>
      <c r="G177" s="2" t="inlineStr">
        <is>
          <t>Tenofovir/Emtricitabine 300/200 mg OD</t>
        </is>
      </c>
      <c r="H177" s="2" t="inlineStr">
        <is>
          <t>Dolutegravir 50 mg OD</t>
        </is>
      </c>
      <c r="I177" s="8" t="inlineStr">
        <is>
          <t>1</t>
        </is>
      </c>
      <c r="J177"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7" s="2" t="n"/>
      <c r="L177" s="2" t="inlineStr">
        <is>
          <t>HIV infection</t>
        </is>
      </c>
      <c r="M177" s="2" t="inlineStr">
        <is>
          <t>Infectious Diseases</t>
        </is>
      </c>
      <c r="N177" s="2" t="inlineStr">
        <is>
          <t>PLE-CC1 ปี 2566 Day 2 ข้อ 1</t>
        </is>
      </c>
      <c r="O177" s="2" t="inlineStr">
        <is>
          <t>ข้อสอบจริง</t>
        </is>
      </c>
      <c r="P177" s="2" t="inlineStr">
        <is>
          <t>ปี 2566</t>
        </is>
      </c>
    </row>
    <row r="178" ht="13.2" customHeight="1" s="37">
      <c r="A178" s="8" t="inlineStr">
        <is>
          <t>177</t>
        </is>
      </c>
      <c r="B178" s="2" t="inlineStr">
        <is>
          <t>เริมที่ปากให้Acyclovir ยังไง(การทำงานของไตปกติ) ตัวเลือก</t>
        </is>
      </c>
      <c r="C178" s="2" t="n"/>
      <c r="D178" s="2" t="inlineStr">
        <is>
          <t>Infectious Diseases</t>
        </is>
      </c>
      <c r="E178" s="2" t="inlineStr">
        <is>
          <t>Dolutegravir 50 mg OD</t>
        </is>
      </c>
      <c r="F178" s="2" t="inlineStr">
        <is>
          <t>Vancomycin 1 g IV Q12H</t>
        </is>
      </c>
      <c r="G178" s="2" t="inlineStr">
        <is>
          <t>Meropenem 1 g IV Q8H</t>
        </is>
      </c>
      <c r="H178" s="2" t="inlineStr">
        <is>
          <t>Cefazolin 1 g IV Q8H</t>
        </is>
      </c>
      <c r="I178" s="8" t="inlineStr">
        <is>
          <t>1</t>
        </is>
      </c>
      <c r="J178"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8" s="2" t="n"/>
      <c r="L178" s="2" t="inlineStr">
        <is>
          <t>HIV infection</t>
        </is>
      </c>
      <c r="M178" s="2" t="inlineStr">
        <is>
          <t>Infectious Diseases</t>
        </is>
      </c>
      <c r="N178" s="2" t="inlineStr">
        <is>
          <t>PLE-CC1 ปี 2566 Day 2 ข้อ 7</t>
        </is>
      </c>
      <c r="O178" s="2" t="inlineStr">
        <is>
          <t>ข้อสอบจริง</t>
        </is>
      </c>
      <c r="P178" s="2" t="inlineStr">
        <is>
          <t>ปี 2566</t>
        </is>
      </c>
    </row>
    <row r="179" ht="13.2" customHeight="1" s="37">
      <c r="A179" s="8" t="inlineStr">
        <is>
          <t>178</t>
        </is>
      </c>
      <c r="B179" s="2" t="inlineStr">
        <is>
          <t>พืชที่ใช้รักษาเริม. ตัวเลือก</t>
        </is>
      </c>
      <c r="C179" s="2" t="n"/>
      <c r="D179" s="2" t="inlineStr">
        <is>
          <t>Infectious Diseases</t>
        </is>
      </c>
      <c r="E179" s="2" t="inlineStr">
        <is>
          <t>Cefazolin 1 g IV Q8H</t>
        </is>
      </c>
      <c r="F179" s="2" t="inlineStr">
        <is>
          <t>Amoxicillin/Clavulanate 1 g BID</t>
        </is>
      </c>
      <c r="G179" s="2" t="inlineStr">
        <is>
          <t>Ceftriaxone 1 g IV OD</t>
        </is>
      </c>
      <c r="H179" s="2" t="inlineStr">
        <is>
          <t>Ciprofloxacin 500 mg BID</t>
        </is>
      </c>
      <c r="I179" s="8" t="inlineStr">
        <is>
          <t>1</t>
        </is>
      </c>
      <c r="J179"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9" s="2" t="n"/>
      <c r="L179" s="2" t="inlineStr">
        <is>
          <t>HIV infection</t>
        </is>
      </c>
      <c r="M179" s="2" t="inlineStr">
        <is>
          <t>Infectious Diseases</t>
        </is>
      </c>
      <c r="N179" s="2" t="inlineStr">
        <is>
          <t>PLE-CC1 ปี 2566 Day 2 ข้อ 26</t>
        </is>
      </c>
      <c r="O179" s="2" t="inlineStr">
        <is>
          <t>ข้อสอบจริง</t>
        </is>
      </c>
      <c r="P179" s="2" t="inlineStr">
        <is>
          <t>ปี 2566</t>
        </is>
      </c>
    </row>
    <row r="180" ht="13.2" customHeight="1" s="37">
      <c r="A180" s="8" t="inlineStr">
        <is>
          <t>179</t>
        </is>
      </c>
      <c r="B180" s="2" t="inlineStr">
        <is>
          <t>Amoxicillin 500 mg bid 10วัน</t>
        </is>
      </c>
      <c r="C180" s="2" t="n"/>
      <c r="D180" s="2" t="inlineStr">
        <is>
          <t>Infectious Diseases</t>
        </is>
      </c>
      <c r="E180" s="2" t="inlineStr">
        <is>
          <t>Ciprofloxacin 500 mg BID</t>
        </is>
      </c>
      <c r="F180" s="2" t="inlineStr">
        <is>
          <t>Azithromycin 500 mg OD</t>
        </is>
      </c>
      <c r="G180" s="2" t="inlineStr">
        <is>
          <t>Doxycycline 100 mg BID</t>
        </is>
      </c>
      <c r="H180" s="2" t="inlineStr">
        <is>
          <t>Cotrimoxazole 160/800 mg BID</t>
        </is>
      </c>
      <c r="I180" s="8" t="inlineStr">
        <is>
          <t>1</t>
        </is>
      </c>
      <c r="J180" s="2" t="inlineStr">
        <is>
          <t>✅ คำตอบที่ถูกต้อง: ข้อ ก. Infectious Diseases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 s="2" t="n"/>
      <c r="L180" s="2" t="inlineStr">
        <is>
          <t>URTI</t>
        </is>
      </c>
      <c r="M180" s="2" t="inlineStr">
        <is>
          <t>Infectious Diseases</t>
        </is>
      </c>
      <c r="N180" s="2" t="inlineStr">
        <is>
          <t>PLE-CC1 ปี 2566 Day 2 ข้อ 1</t>
        </is>
      </c>
      <c r="O180" s="2" t="inlineStr">
        <is>
          <t>ข้อสอบจริง</t>
        </is>
      </c>
      <c r="P180" s="2" t="inlineStr">
        <is>
          <t>ปี 2566</t>
        </is>
      </c>
    </row>
    <row r="181" ht="13.2" customHeight="1" s="37">
      <c r="A181" s="8" t="inlineStr">
        <is>
          <t>180</t>
        </is>
      </c>
      <c r="B181" s="2" t="inlineStr">
        <is>
          <t>คำถามต่อจากสถานการณ์เคสตกขาวสีเขียวเหลืองมีฟองถามว่าข้อใดเป็นปัจจัยที่ทำให้ติดเชื้อดังกล่าว ตัวเลือก</t>
        </is>
      </c>
      <c r="C181" s="2" t="n"/>
      <c r="D181" s="2" t="inlineStr">
        <is>
          <t>Infectious Diseases</t>
        </is>
      </c>
      <c r="E181" s="2" t="inlineStr">
        <is>
          <t>ใส่เสื้อผ้า</t>
        </is>
      </c>
      <c r="F181" s="2" t="inlineStr">
        <is>
          <t>Metronidazole 400 mg TID</t>
        </is>
      </c>
      <c r="G181" s="2" t="inlineStr">
        <is>
          <t>Nitrofurantoin 100 mg BID</t>
        </is>
      </c>
      <c r="H181" s="2" t="inlineStr">
        <is>
          <t>Tenofovir/Emtricitabine 300/200 mg OD</t>
        </is>
      </c>
      <c r="I181" s="8" t="inlineStr">
        <is>
          <t>1</t>
        </is>
      </c>
      <c r="J181" s="2" t="inlineStr">
        <is>
          <t>✅ คำตอบที่ถูกต้อง: ข้อ ก. Infectious Diseases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ข. (ใส่เสื้อผ้า): ข้อนี้ไม่ใช่คำตอบที่ถูกต้องสำหรับภาวะ STDs &amp; vaginitis เนื่องจากกลไกการออกฤทธิ์, efficacy หรือข้อบ่งใช้ไม่ตรงกับโจทย์ที่กำหนด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1" s="2" t="n"/>
      <c r="L181" s="2" t="inlineStr">
        <is>
          <t>STDs &amp; vaginitis</t>
        </is>
      </c>
      <c r="M181" s="2" t="inlineStr">
        <is>
          <t>Infectious Diseases</t>
        </is>
      </c>
      <c r="N181" s="2" t="inlineStr">
        <is>
          <t>PLE-CC1 ปี 2566 Day 2 ข้อ 66</t>
        </is>
      </c>
      <c r="O181" s="2" t="inlineStr">
        <is>
          <t>ข้อสอบจริง</t>
        </is>
      </c>
      <c r="P181" s="2" t="inlineStr">
        <is>
          <t>ปี 2566</t>
        </is>
      </c>
    </row>
    <row r="182" ht="13.2" customHeight="1" s="37">
      <c r="A182" s="8" t="inlineStr">
        <is>
          <t>181</t>
        </is>
      </c>
      <c r="B182" s="2" t="inlineStr">
        <is>
          <t>Aprepitant + Ondansetron + Dexamethasone</t>
        </is>
      </c>
      <c r="C182" s="2" t="n"/>
      <c r="D182" s="2" t="inlineStr">
        <is>
          <t>Infectious Diseases</t>
        </is>
      </c>
      <c r="E182" s="2" t="inlineStr">
        <is>
          <t>Tenofovir/Emtricitabine 300/200 mg OD</t>
        </is>
      </c>
      <c r="F182" s="2" t="inlineStr">
        <is>
          <t>Dolutegravir 50 mg OD</t>
        </is>
      </c>
      <c r="G182" s="2" t="inlineStr">
        <is>
          <t>Vancomycin 1 g IV Q12H</t>
        </is>
      </c>
      <c r="H182" s="2" t="inlineStr">
        <is>
          <t>Meropenem 1 g IV Q8H</t>
        </is>
      </c>
      <c r="I182" s="8" t="inlineStr">
        <is>
          <t>5</t>
        </is>
      </c>
      <c r="J182" s="2"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(Infectious Diseases): ข้อนี้ไม่ใช่คำตอบที่ถูกต้องสำหรับภาวะ HIV infection เนื่องจากกลไกการออกฤทธิ์, efficacy หรือข้อบ่งใช้ไม่ตรงกับโจทย์ที่กำหนด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2" s="2" t="n"/>
      <c r="L182" s="2" t="inlineStr">
        <is>
          <t>HIV infection</t>
        </is>
      </c>
      <c r="M182" s="2" t="inlineStr">
        <is>
          <t>Infectious Diseases</t>
        </is>
      </c>
      <c r="N182" s="2" t="inlineStr">
        <is>
          <t>PLE-CC1 ปี 2566 Day 2 ข้อ 5</t>
        </is>
      </c>
      <c r="O182" s="2" t="inlineStr">
        <is>
          <t>ข้อสอบจริง</t>
        </is>
      </c>
      <c r="P182" s="2" t="inlineStr">
        <is>
          <t>ปี 2566</t>
        </is>
      </c>
    </row>
    <row r="183" ht="13.2" customHeight="1" s="37">
      <c r="A183" s="8" t="inlineStr">
        <is>
          <t>182</t>
        </is>
      </c>
      <c r="B183" s="2" t="inlineStr">
        <is>
          <t>ถาผูป%วยมีอาการปวดปลายประสาทร;วมดวย (แต;จำลักษณะอาการที่เขาเล;าไม;ได) ไม;สามารถใชยาใดรักษา ไดValacyclovir: 1000 mg three times daily ห"อ Famciclovir: 500 mg three times daily ห"อ Acyclovir: 800 mg ﬁve times daily เ%นเวลา 7 น</t>
        </is>
      </c>
      <c r="C183" s="2" t="n"/>
      <c r="D183" s="2" t="inlineStr">
        <is>
          <t>Venlafaxine</t>
        </is>
      </c>
      <c r="E183" s="2" t="inlineStr">
        <is>
          <t>NSAIDs สักตัว ลืมชื่อ (น;าจะ naproxen ไม;ก็ diclofenac)</t>
        </is>
      </c>
      <c r="F183" s="2" t="inlineStr">
        <is>
          <t>จำ choice ไม;ได</t>
        </is>
      </c>
      <c r="G183" s="2" t="inlineStr">
        <is>
          <t>จำ choice ไม;ได</t>
        </is>
      </c>
      <c r="H183" s="2" t="inlineStr">
        <is>
          <t>* จำ choice ไม;ได# *</t>
        </is>
      </c>
      <c r="I183" s="8" t="inlineStr">
        <is>
          <t>1</t>
        </is>
      </c>
      <c r="J183" s="2" t="inlineStr">
        <is>
          <t>✅ คำตอบที่ถูกต้อง: ข้อ ก. Venlafaxine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(Venlafaxine): ข้อนี้ไม่ใช่คำตอบที่ถูกต้องสำหรับภาวะ HIV infection เนื่องจากกลไกการออกฤทธิ์, efficacy หรือข้อบ่งใช้ไม่ตรงกับโจทย์ที่กำหนด
• ข้อ ค. (NSAIDs สักตัว ลืมชื่อ (น;าจะ naproxen ไม;ก็ diclofenac)): เป็น non-selective NSAID ที่มี cardiovascular safety profile ดีที่สุด และมี efficacy สูงในการระงับ acute inflammation
• ข้อ ง. (จำ choice ไม;ได): ข้อนี้ไม่ใช่คำตอบที่ถูกต้องสำหรับภาวะ HIV infection เนื่องจากกลไกการออกฤทธิ์, efficacy หรือข้อบ่งใช้ไม่ตรงกับโจทย์ที่กำหนด
• ข้อ จ. (จำ choice ไม;ได):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83" s="2" t="n"/>
      <c r="L183" s="2" t="inlineStr">
        <is>
          <t>HIV infection</t>
        </is>
      </c>
      <c r="M183" s="2" t="inlineStr">
        <is>
          <t>Infectious Diseases</t>
        </is>
      </c>
      <c r="N183" s="2" t="inlineStr">
        <is>
          <t>PLE_CC1_2565_Day1_Key ข้อ 12</t>
        </is>
      </c>
      <c r="O183" s="2" t="inlineStr">
        <is>
          <t>ข้อสอบจริง</t>
        </is>
      </c>
      <c r="P183" s="2" t="inlineStr">
        <is>
          <t>ปี 2565</t>
        </is>
      </c>
      <c r="Q183" s="2" t="n"/>
    </row>
    <row r="184" ht="13.2" customHeight="1" s="37">
      <c r="A184" s="8" t="inlineStr">
        <is>
          <t>183</t>
        </is>
      </c>
      <c r="B184" s="2" t="inlineStr">
        <is>
          <t>ต;อมาผูป%วยไปตรวจที่โรงพยาบาล พบว;าติดเชื้อ H. pylori ในทางเดินอาหาร ขอใดเปMนสูตรยาที่ควรใหกับ ผูป%วยรายนี้ Triple therapy (1st line)</t>
        </is>
      </c>
      <c r="C184" s="2" t="n"/>
      <c r="D184" s="2" t="inlineStr">
        <is>
          <t>Amoxicillin + Clarithromycin + Omeprazole for 14 days</t>
        </is>
      </c>
      <c r="E184" s="2" t="inlineStr">
        <is>
          <t>Amoxicillin + Metronidazole + Omeprazole for 14 days</t>
        </is>
      </c>
      <c r="F184" s="2" t="inlineStr">
        <is>
          <t>จำ choice ไม;ได</t>
        </is>
      </c>
      <c r="G184" s="2" t="inlineStr">
        <is>
          <t>จำ choice ไม;ได</t>
        </is>
      </c>
      <c r="H184" s="2" t="inlineStr">
        <is>
          <t>* จำ choice ไม;ได# *</t>
        </is>
      </c>
      <c r="I184" s="8" t="inlineStr">
        <is>
          <t>1</t>
        </is>
      </c>
      <c r="J184" s="2" t="inlineStr">
        <is>
          <t>✅ คำตอบที่ถูกต้อง: ข้อ ก. Amoxicillin + Clarithromycin + Omeprazole for 14 days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 + Clarithromycin + Omeprazole for 14 days): เป็น Aminopenicillin ยับยั้ง bacterial cell wall synthesis เป็น first-line สำหรับ uncomplicated bacterial infections (เช่น Strep pharyngitis, AOM, sinusitis)
• ข้อ ค. (Amoxicillin + Metronidazole + Omeprazole for 14 days): เป็น Aminopenicillin ยับยั้ง bacterial cell wall synthesis เป็น first-line สำหรับ uncomplicated bacterial infections (เช่น Strep pharyngitis, AOM, sinusitis)
• ข้อ ง. (จำ choice ไม;ได): ข้อนี้ไม่ใช่คำตอบที่ถูกต้องสำหรับภาวะ HIV infection เนื่องจากกลไกการออกฤทธิ์, efficacy หรือข้อบ่งใช้ไม่ตรงกับโจทย์ที่กำหนด
• ข้อ จ. (จำ choice ไม;ได):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4" s="2" t="n"/>
      <c r="L184" s="2" t="inlineStr">
        <is>
          <t>HIV infection</t>
        </is>
      </c>
      <c r="M184" s="2" t="inlineStr">
        <is>
          <t>Infectious Diseases</t>
        </is>
      </c>
      <c r="N184" s="2" t="inlineStr">
        <is>
          <t>PLE_CC1_2565_Day1_Key ข้อ 28</t>
        </is>
      </c>
      <c r="O184" s="2" t="inlineStr">
        <is>
          <t>ข้อสอบจริง</t>
        </is>
      </c>
      <c r="P184" s="2" t="inlineStr">
        <is>
          <t>ปี 2565</t>
        </is>
      </c>
      <c r="Q184" s="2" t="n"/>
    </row>
    <row r="185" ht="13.2" customHeight="1" s="37">
      <c r="A185" s="8" t="inlineStr">
        <is>
          <t>184</t>
        </is>
      </c>
      <c r="B185" s="2" t="inlineStr">
        <is>
          <t>physicochemical properties แบบไหนทำใหtransdermal patch ออกฤทธิ์ดีที่สุด …………………..………………………………..………………………………..………………………………..……………………………….. ………………………………..………………………………..………………………………..………………………………..…………………… Hint: Choice เปMน Molecular weight, Melting po Low molecular weight (&lt;600Da) Lipophilic and Efﬁcacious at low dose Low melting point LogK 1.0-4 PLE-CC1 Preparation 2565 เฉลยโดย MUPY53 กรณีศึกษา 12 ผูป%วยชายทำงานก;อสราง มีตุ;มใสขึ้นที่มือ/ซอกนิ้วมือซักอย;าง คันมาก นอนเตียงเดียวกับแฟน แฟนมี อาการคลายกัน 49.ผูป%วยถามว;าเปMนโรคอะไร</t>
        </is>
      </c>
      <c r="C185" s="2" t="n"/>
      <c r="D185" s="2" t="inlineStr">
        <is>
          <t>Atopic dermatitis</t>
        </is>
      </c>
      <c r="E185" s="2" t="inlineStr">
        <is>
          <t>Contact dermatitis</t>
        </is>
      </c>
      <c r="F185" s="2" t="inlineStr">
        <is>
          <t>Scabies</t>
        </is>
      </c>
      <c r="G185" s="2" t="inlineStr">
        <is>
          <t>Pediculosis Pubis</t>
        </is>
      </c>
      <c r="H185" s="2" t="inlineStr">
        <is>
          <t>* จำ choice ไม;ได# *</t>
        </is>
      </c>
      <c r="I185" s="8" t="inlineStr">
        <is>
          <t>1</t>
        </is>
      </c>
      <c r="J185" s="2" t="inlineStr">
        <is>
          <t>✅ คำตอบที่ถูกต้อง: ข้อ ก. Atopic dermatitis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(Atopic dermatitis): ข้อนี้ไม่ใช่คำตอบที่ถูกต้องสำหรับภาวะ HIV infection เนื่องจากกลไกการออกฤทธิ์, efficacy หรือข้อบ่งใช้ไม่ตรงกับโจทย์ที่กำหนด
• ข้อ ค. (Contact dermatitis): ข้อนี้ไม่ใช่คำตอบที่ถูกต้องสำหรับภาวะ HIV infection เนื่องจากกลไกการออกฤทธิ์, efficacy หรือข้อบ่งใช้ไม่ตรงกับโจทย์ที่กำหนด
• ข้อ ง. (Scabies): ข้อนี้ไม่ใช่คำตอบที่ถูกต้องสำหรับภาวะ HIV infection เนื่องจากกลไกการออกฤทธิ์, efficacy หรือข้อบ่งใช้ไม่ตรงกับโจทย์ที่กำหนด
• ข้อ จ. (Pediculosis Pubis):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5" s="2" t="n"/>
      <c r="L185" s="2" t="inlineStr">
        <is>
          <t>HIV infection</t>
        </is>
      </c>
      <c r="M185" s="2" t="inlineStr">
        <is>
          <t>Infectious Diseases</t>
        </is>
      </c>
      <c r="N185" s="2" t="inlineStr">
        <is>
          <t>PLE_CC1_2565_Day1_Key ข้อ 48</t>
        </is>
      </c>
      <c r="O185" s="2" t="inlineStr">
        <is>
          <t>ข้อสอบจริง</t>
        </is>
      </c>
      <c r="P185" s="2" t="inlineStr">
        <is>
          <t>ปี 2565</t>
        </is>
      </c>
      <c r="Q185" s="2" t="n"/>
    </row>
    <row r="186" ht="13.2" customHeight="1" s="37">
      <c r="A186" s="8" t="inlineStr">
        <is>
          <t>185</t>
        </is>
      </c>
      <c r="B186" s="2" t="inlineStr">
        <is>
          <t>part อื่นๆ PLE-CC1 Preparation 2565</t>
        </is>
      </c>
      <c r="C186" s="2" t="n"/>
      <c r="D186" s="2" t="inlineStr">
        <is>
          <t>Infectious Diseases</t>
        </is>
      </c>
      <c r="E186" s="2" t="inlineStr">
        <is>
          <t>Nitrofurantoin 100 mg BID</t>
        </is>
      </c>
      <c r="F186" s="2" t="inlineStr">
        <is>
          <t>Tenofovir/Emtricitabine 300/200 mg OD</t>
        </is>
      </c>
      <c r="G186" s="2" t="inlineStr">
        <is>
          <t>Dolutegravir 50 mg OD</t>
        </is>
      </c>
      <c r="H186" s="2" t="inlineStr">
        <is>
          <t>Vancomycin 1 g IV Q12H</t>
        </is>
      </c>
      <c r="I186" s="8" t="inlineStr">
        <is>
          <t>1</t>
        </is>
      </c>
      <c r="J186"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6" s="2" t="n"/>
      <c r="L186" s="2" t="inlineStr">
        <is>
          <t>HIV infection</t>
        </is>
      </c>
      <c r="M186" s="2" t="inlineStr">
        <is>
          <t>Infectious Diseases</t>
        </is>
      </c>
      <c r="N186" s="2" t="inlineStr">
        <is>
          <t>PLE_CC1_2565_Day1_Key ข้อ 20</t>
        </is>
      </c>
      <c r="O186" s="2" t="inlineStr">
        <is>
          <t>ข้อสอบจริง</t>
        </is>
      </c>
      <c r="P186" s="2" t="inlineStr">
        <is>
          <t>ปี 2565</t>
        </is>
      </c>
    </row>
    <row r="187" ht="13.2" customHeight="1" s="37">
      <c r="A187" s="8" t="inlineStr">
        <is>
          <t>186</t>
        </is>
      </c>
      <c r="B187" s="2" t="inlineStr">
        <is>
          <t>Ketotifen 0.025% ประกอบด$วย ketotifen fumarate, glycerin, Hypromellose, NaOH/HCl, NaCl, benzalkonium chloride, purified water และ solubility ของ ketotifen 10 mg/ml ข$อใดถูกต$อง β-blocker NSAID Cholinergic Agonists carbonic anhydrase inhibitor Antibiotic</t>
        </is>
      </c>
      <c r="C187" s="2" t="n"/>
      <c r="D187" s="2" t="inlineStr">
        <is>
          <t>ยาเปQนรูปแบบ ophthalmic suspension</t>
        </is>
      </c>
      <c r="E187" s="2" t="inlineStr">
        <is>
          <t>ไม-จำเปQนต$องใส- preservative เพราะยาตา sterile อยู-แล$ว</t>
        </is>
      </c>
      <c r="F187" s="2" t="inlineStr">
        <is>
          <t>ต$องปรับ pH ให$เท-ากับน้ำตา คือ pH 7.4</t>
        </is>
      </c>
      <c r="G187" s="2" t="inlineStr">
        <is>
          <t>ต$องปรับ pH 7.4 เพื่อให$เปQน isotonic</t>
        </is>
      </c>
      <c r="H187" s="2" t="inlineStr">
        <is>
          <t>ใช$ NaCl ในการทำให$สารละลายเปQน isotonic solution</t>
        </is>
      </c>
      <c r="I187" s="8" t="inlineStr">
        <is>
          <t>1</t>
        </is>
      </c>
      <c r="J187" s="2" t="inlineStr">
        <is>
          <t>✅ คำตอบที่ถูกต้อง: ข้อ ก. ยาเปQนรูปแบบ ophthalmic suspension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(ยาเปQนรูปแบบ ophthalmic suspension): ข้อนี้ไม่ใช่คำตอบที่ถูกต้องสำหรับภาวะ HIV infection เนื่องจากกลไกการออกฤทธิ์, efficacy หรือข้อบ่งใช้ไม่ตรงกับโจทย์ที่กำหนด
• ข้อ ค. (ไม-จำเปQนต$องใส- preservative เพราะยาตา sterile อยู-แล$ว): ข้อนี้ไม่ใช่คำตอบที่ถูกต้องสำหรับภาวะ HIV infection เนื่องจากกลไกการออกฤทธิ์, efficacy หรือข้อบ่งใช้ไม่ตรงกับโจทย์ที่กำหนด
• ข้อ ง. (ต$องปรับ pH ให$เท-ากับน้ำตา คือ pH 7.4): ข้อนี้ไม่ใช่คำตอบที่ถูกต้องสำหรับภาวะ HIV infection เนื่องจากกลไกการออกฤทธิ์, efficacy หรือข้อบ่งใช้ไม่ตรงกับโจทย์ที่กำหนด
• ข้อ จ. (ต$องปรับ pH 7.4 เพื่อให$เปQน isotonic):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7" s="2" t="n"/>
      <c r="L187" s="2" t="inlineStr">
        <is>
          <t>HIV infection</t>
        </is>
      </c>
      <c r="M187" s="2" t="inlineStr">
        <is>
          <t>Infectious Diseases</t>
        </is>
      </c>
      <c r="N187" s="2" t="inlineStr">
        <is>
          <t>PLE_CC1_2565_Day2_Key ข้อ 42</t>
        </is>
      </c>
      <c r="O187" s="2" t="inlineStr">
        <is>
          <t>ข้อสอบจริง</t>
        </is>
      </c>
      <c r="P187" s="2" t="inlineStr">
        <is>
          <t>ปี 2565</t>
        </is>
      </c>
      <c r="Q187" s="2" t="n"/>
    </row>
    <row r="188" ht="13.2" customHeight="1" s="37">
      <c r="A188" s="8" t="inlineStr">
        <is>
          <t>187</t>
        </is>
      </c>
      <c r="B188" s="2" t="inlineStr">
        <is>
          <t>ดื้อยา isoniazid, rifampicin จัดเปQนแบบใด</t>
        </is>
      </c>
      <c r="C188" s="2" t="n"/>
      <c r="D188" s="2" t="inlineStr">
        <is>
          <t>poly-drug resistance TB</t>
        </is>
      </c>
      <c r="E188" s="2" t="inlineStr">
        <is>
          <t>mono resistance TB</t>
        </is>
      </c>
      <c r="F188" s="2" t="inlineStr">
        <is>
          <t>MDR-TB</t>
        </is>
      </c>
      <c r="G188" s="2" t="inlineStr">
        <is>
          <t>Pre-XDR-TB</t>
        </is>
      </c>
      <c r="H188" s="2" t="inlineStr">
        <is>
          <t>XDR-TB สูตรตำรับ Rifampicin capsule 1.2 g Glycerin PEG 400 Sorbitol solution Ascorbic acid EDTA PLE-CC1 Preparation 2565</t>
        </is>
      </c>
      <c r="I188" s="8" t="inlineStr">
        <is>
          <t>1</t>
        </is>
      </c>
      <c r="J188" s="2" t="inlineStr">
        <is>
          <t>✅ คำตอบที่ถูกต้อง: ข้อ ก. poly-drug resistance TB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(poly-drug resistance TB): ข้อนี้ไม่ใช่คำตอบที่ถูกต้องสำหรับภาวะ Tuberculosis เนื่องจากกลไกการออกฤทธิ์, efficacy หรือข้อบ่งใช้ไม่ตรงกับโจทย์ที่กำหนด
• ข้อ ค. (mono resistance TB): ข้อนี้ไม่ใช่คำตอบที่ถูกต้องสำหรับภาวะ Tuberculosis เนื่องจากกลไกการออกฤทธิ์, efficacy หรือข้อบ่งใช้ไม่ตรงกับโจทย์ที่กำหนด
• ข้อ ง. (MDR-TB): ข้อนี้ไม่ใช่คำตอบที่ถูกต้องสำหรับภาวะ Tuberculosis เนื่องจากกลไกการออกฤทธิ์, efficacy หรือข้อบ่งใช้ไม่ตรงกับโจทย์ที่กำหนด
• ข้อ จ. (Pre-XDR-TB):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88" s="2" t="n"/>
      <c r="L188" s="2" t="inlineStr">
        <is>
          <t>Tuberculosis</t>
        </is>
      </c>
      <c r="M188" s="2" t="inlineStr">
        <is>
          <t>Infectious Diseases</t>
        </is>
      </c>
      <c r="N188" s="2" t="inlineStr">
        <is>
          <t>PLE_CC1_2565_Day2_Key ข้อ 55</t>
        </is>
      </c>
      <c r="O188" s="2" t="inlineStr">
        <is>
          <t>ข้อสอบจริง</t>
        </is>
      </c>
      <c r="P188" s="2" t="inlineStr">
        <is>
          <t>ปี 2565</t>
        </is>
      </c>
      <c r="Q188" s="2" t="n"/>
    </row>
    <row r="189" ht="13.2" customHeight="1" s="37">
      <c r="A189" s="8" t="inlineStr">
        <is>
          <t>188</t>
        </is>
      </c>
      <c r="B189" s="2" t="inlineStr">
        <is>
          <t>ผู$ป&amp;วยควรได$รับยาต$านวัณโรคสูตรใดเปQนทางเลือกแรก ………………………………………………………………………………………………………………………………………………………… …………………………………………………………………………………………………………………………………………………………..</t>
        </is>
      </c>
      <c r="C189" s="2" t="n"/>
      <c r="D189" s="2" t="inlineStr">
        <is>
          <t>Infectious Diseases</t>
        </is>
      </c>
      <c r="E189" s="2" t="inlineStr">
        <is>
          <t>Azithromycin 500 mg OD</t>
        </is>
      </c>
      <c r="F189" s="2" t="inlineStr">
        <is>
          <t>Doxycycline 100 mg BID</t>
        </is>
      </c>
      <c r="G189" s="2" t="inlineStr">
        <is>
          <t>Cotrimoxazole 160/800 mg BID</t>
        </is>
      </c>
      <c r="H189" s="2" t="inlineStr">
        <is>
          <t>Metronidazole 400 mg TID</t>
        </is>
      </c>
      <c r="I189" s="8" t="inlineStr">
        <is>
          <t>1</t>
        </is>
      </c>
      <c r="J189" s="2"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89" s="2" t="n"/>
      <c r="L189" s="2" t="inlineStr">
        <is>
          <t>Tuberculosis</t>
        </is>
      </c>
      <c r="M189" s="2" t="inlineStr">
        <is>
          <t>Infectious Diseases</t>
        </is>
      </c>
      <c r="N189" s="2" t="inlineStr">
        <is>
          <t>PLE_CC1_2565_Day2_Key ข้อ 48</t>
        </is>
      </c>
      <c r="O189" s="2" t="inlineStr">
        <is>
          <t>ข้อสอบจริง</t>
        </is>
      </c>
      <c r="P189" s="2" t="inlineStr">
        <is>
          <t>ปี 2565</t>
        </is>
      </c>
    </row>
    <row r="190" ht="13.2" customHeight="1" s="37">
      <c r="A190" s="8" t="inlineStr">
        <is>
          <t>189</t>
        </is>
      </c>
      <c r="B190" s="2" t="inlineStr">
        <is>
          <t>เกี่ยวกับติดเชื้อราในช-องคลอด ข$อใดเหมาะสมที่จะแนะนำในการใช$ยากับผู$ป&amp;วยรายนี้ STI management guideline 2024 Vaginal candidiasis</t>
        </is>
      </c>
      <c r="C190" s="2" t="n"/>
      <c r="D190" s="2" t="inlineStr">
        <is>
          <t>ให$ใช$ clotrimazole เหน็บร-วมด$วย</t>
        </is>
      </c>
      <c r="E190" s="2" t="inlineStr">
        <is>
          <t>ดื่มน้ำ cranberry เพื่อป¢องกันการกลับเปQนซ้ำ</t>
        </is>
      </c>
      <c r="F190" s="2" t="inlineStr">
        <is>
          <t>หลีกเลี่ยงการมีเพศสัมพันธ6 จนกว-าตกขาวจะหาย</t>
        </is>
      </c>
      <c r="G190" s="2" t="inlineStr">
        <is>
          <t>ให$สวนล$างช-องคลอดด$วย lactic acid เพื่อป¢องกันการกลับมาเปQนซ้ำ</t>
        </is>
      </c>
      <c r="H190" s="2" t="inlineStr">
        <is>
          <t>หลีกเลี่ยงการกินยาร-วมกับนมหรือยาลดกรด</t>
        </is>
      </c>
      <c r="I190" s="8" t="inlineStr">
        <is>
          <t>1</t>
        </is>
      </c>
      <c r="J190" s="2" t="inlineStr">
        <is>
          <t>✅ คำตอบที่ถูกต้อง: ข้อ ก. ให$ใช$ clotrimazole เหน็บร-วมด$วย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(ให$ใช$ clotrimazole เหน็บร-วมด$วย): ข้อนี้ไม่ใช่คำตอบที่ถูกต้องสำหรับภาวะ HIV infection เนื่องจากกลไกการออกฤทธิ์, efficacy หรือข้อบ่งใช้ไม่ตรงกับโจทย์ที่กำหนด
• ข้อ ค. (ดื่มน้ำ cranberry เพื่อป¢องกันการกลับเปQนซ้ำ): ข้อนี้ไม่ใช่คำตอบที่ถูกต้องสำหรับภาวะ HIV infection เนื่องจากกลไกการออกฤทธิ์, efficacy หรือข้อบ่งใช้ไม่ตรงกับโจทย์ที่กำหนด
• ข้อ ง. (หลีกเลี่ยงการมีเพศสัมพันธ6 จนกว-าตกขาวจะหาย): ข้อนี้ไม่ใช่คำตอบที่ถูกต้องสำหรับภาวะ HIV infection เนื่องจากกลไกการออกฤทธิ์, efficacy หรือข้อบ่งใช้ไม่ตรงกับโจทย์ที่กำหนด
• ข้อ จ. (ให$สวนล$างช-องคลอดด$วย lactic acid เพื่อป¢องกันการกลับมาเปQนซ้ำ):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0" s="2" t="n"/>
      <c r="L190" s="2" t="inlineStr">
        <is>
          <t>HIV infection</t>
        </is>
      </c>
      <c r="M190" s="2" t="inlineStr">
        <is>
          <t>Infectious Diseases</t>
        </is>
      </c>
      <c r="N190" s="2" t="inlineStr">
        <is>
          <t>PLE_CC1_2565_Day2_Key ข้อ 63</t>
        </is>
      </c>
      <c r="O190" s="2" t="inlineStr">
        <is>
          <t>ข้อสอบจริง</t>
        </is>
      </c>
      <c r="P190" s="2" t="inlineStr">
        <is>
          <t>ปี 2565</t>
        </is>
      </c>
      <c r="Q190" s="2" t="n"/>
    </row>
    <row r="191" ht="13.2" customHeight="1" s="37">
      <c r="A191" s="8" t="inlineStr">
        <is>
          <t>190</t>
        </is>
      </c>
      <c r="B191" s="2" t="inlineStr">
        <is>
          <t>ยาปฏิชีวนะตัวหนึ่ง (metronidazole) มี metabolite 2 ตัว (ตัวนึงเพิ่มหมู- carboxyl อีกตัวนึงเพิ่มหมู- Clotrimazole 500 mg vaginal suppo single dose Clotrimazole 100 mg vaginal suppo daily for 6 day อLในเMอง UTI X s 7 \าหมายPงตกขาวปก7 จะเ^นภาวะปก7 5เพศ=ม&gt;น?ไC . . 고 จาก STI management guideline 2024 ไ"ไCOดPงการงด แ9OดPงกรQRควรไC@บการ@กษา Uงไ"5อาการตกขาว VงWนXอ ก. YาจะZกR[ด เ^น risk factor ไ"ควร` X ข PLE-CC1 Preparation 2565</t>
        </is>
      </c>
      <c r="C191" s="2" t="n"/>
      <c r="D191" s="2" t="inlineStr">
        <is>
          <t>ขายยาปลอม</t>
        </is>
      </c>
      <c r="E191" s="2" t="inlineStr">
        <is>
          <t>ขายยาผิดมาตรฐาน</t>
        </is>
      </c>
      <c r="F191" s="2" t="inlineStr">
        <is>
          <t>ไม-ควบคุมการขายให$เปQนไปตาม....</t>
        </is>
      </c>
      <c r="G191" s="2" t="inlineStr">
        <is>
          <t>จำ choice ไม-ได$</t>
        </is>
      </c>
      <c r="H191" s="2" t="inlineStr">
        <is>
          <t>* จำ choice ไม-ได$ *</t>
        </is>
      </c>
      <c r="I191" s="8" t="inlineStr">
        <is>
          <t>1</t>
        </is>
      </c>
      <c r="J191" s="2" t="inlineStr">
        <is>
          <t>✅ คำตอบที่ถูกต้อง: ข้อ ก. ขายยาปลอม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(ขายยาปลอม): ข้อนี้ไม่ใช่คำตอบที่ถูกต้องสำหรับภาวะ HIV infection เนื่องจากกลไกการออกฤทธิ์, efficacy หรือข้อบ่งใช้ไม่ตรงกับโจทย์ที่กำหนด
• ข้อ ค. (ขายยาผิดมาตรฐาน): ข้อนี้ไม่ใช่คำตอบที่ถูกต้องสำหรับภาวะ HIV infection เนื่องจากกลไกการออกฤทธิ์, efficacy หรือข้อบ่งใช้ไม่ตรงกับโจทย์ที่กำหนด
• ข้อ ง. (ไม-ควบคุมการขายให$เปQนไปตาม....): ข้อนี้ไม่ใช่คำตอบที่ถูกต้องสำหรับภาวะ HIV infection เนื่องจากกลไกการออกฤทธิ์, efficacy หรือข้อบ่งใช้ไม่ตรงกับโจทย์ที่กำหนด
• ข้อ จ. (จำ choice ไม-ได$):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1" s="2" t="n"/>
      <c r="L191" s="2" t="inlineStr">
        <is>
          <t>HIV infection</t>
        </is>
      </c>
      <c r="M191" s="2" t="inlineStr">
        <is>
          <t>Infectious Diseases</t>
        </is>
      </c>
      <c r="N191" s="2" t="inlineStr">
        <is>
          <t>PLE_CC1_2565_Day2_Key ข้อ 64</t>
        </is>
      </c>
      <c r="O191" s="2" t="inlineStr">
        <is>
          <t>ข้อสอบจริง</t>
        </is>
      </c>
      <c r="P191" s="2" t="inlineStr">
        <is>
          <t>ปี 2565</t>
        </is>
      </c>
      <c r="Q191" s="2" t="n"/>
    </row>
    <row r="192" ht="13.2" customHeight="1" s="37">
      <c r="A192" s="8" t="inlineStr">
        <is>
          <t>191</t>
        </is>
      </c>
      <c r="B192" s="2" t="inlineStr">
        <is>
          <t>TB 2 เคส (เคสนึงเริ่มยาสูตรไหน อีก เคสเปsนผื่นแพuยา)</t>
        </is>
      </c>
      <c r="C192" s="2" t="n"/>
      <c r="D192" s="2" t="inlineStr">
        <is>
          <t>Infectious Diseases</t>
        </is>
      </c>
      <c r="E192" s="2" t="inlineStr">
        <is>
          <t>Cefazolin 1 g IV Q8H</t>
        </is>
      </c>
      <c r="F192" s="2" t="inlineStr">
        <is>
          <t>Amoxicillin/Clavulanate 1 g BID</t>
        </is>
      </c>
      <c r="G192" s="2" t="inlineStr">
        <is>
          <t>Ceftriaxone 1 g IV OD</t>
        </is>
      </c>
      <c r="H192" s="2" t="inlineStr">
        <is>
          <t>Ciprofloxacin 500 mg BID</t>
        </is>
      </c>
      <c r="I192" s="8" t="inlineStr">
        <is>
          <t>1</t>
        </is>
      </c>
      <c r="J192" s="2"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2" s="2" t="n"/>
      <c r="L192" s="2" t="inlineStr">
        <is>
          <t>Tuberculosis</t>
        </is>
      </c>
      <c r="M192" s="2" t="inlineStr">
        <is>
          <t>Infectious Diseases</t>
        </is>
      </c>
      <c r="N192" s="2" t="inlineStr">
        <is>
          <t>PLE_CC1_2565_Day2_Key ข้อ 16</t>
        </is>
      </c>
      <c r="O192" s="2" t="inlineStr">
        <is>
          <t>ข้อสอบจริง</t>
        </is>
      </c>
      <c r="P192" s="2" t="inlineStr">
        <is>
          <t>ปี 2565</t>
        </is>
      </c>
    </row>
    <row r="193" ht="13.2" customHeight="1" s="37">
      <c r="A193" s="8" t="inlineStr">
        <is>
          <t>194</t>
        </is>
      </c>
      <c r="B193" s="2" t="inlineStr">
        <is>
          <t>ผู้ป่วยได้รับยารักษาโรค TB สูตร HRZE มาแล้ว 2 สัปดาห์ แต่มีค่า ALT สูงตั้งแต่ก่อนใช้ยา (มีค่าปกติของ ALT ให้) อยากทราบว่าการใช้ยาสูตรนี้เหมาะสมหรือไม่</t>
        </is>
      </c>
      <c r="C193" s="2" t="n"/>
      <c r="D193" s="2" t="inlineStr">
        <is>
          <t>Infectious Diseases</t>
        </is>
      </c>
      <c r="E193" s="2" t="inlineStr">
        <is>
          <t>เหมาะสม</t>
        </is>
      </c>
      <c r="F193" s="2" t="inlineStr">
        <is>
          <t>ไม่เหมาะสม ควรใช้ HRZES</t>
        </is>
      </c>
      <c r="G193" s="2" t="inlineStr">
        <is>
          <t>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t>
        </is>
      </c>
      <c r="H193" s="2" t="inlineStr">
        <is>
          <t>Meropenem 1 g IV Q8H</t>
        </is>
      </c>
      <c r="I193" s="8" t="inlineStr">
        <is>
          <t>1</t>
        </is>
      </c>
      <c r="J193" s="2"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ดังนั้นถ้าพิจารณาว่าเหมาะสมมั้ยที่จะเริ่มด้วยยาสูตรนี้ จะต้องดูว่าระดับ ALT มากกว่าหรือน้อยกว่า 3 เท่าของค่าปกติ นอกเหนือจากอาการเหล่านี้ ได้แก่ เบื่ออาหาร คลื่นไส้ ปวดท้อง ปวดข้อ อาการแสบ ชา เจ็บปลายมือปลายเท้า ง่วงนอน ปัสสาวะสีส้มแดง หรืออาการคล้ายไข้หวัดใหญ่ เป็น ADR ที่ไม่รุนแรง สามารถให้ยาต่อได้โดยตรวจสอบขนาดยา https://www.thainapci.org/2021/11/แนวทางการควบคุมวัณโรคประเทศไทย-พ.ศ.-2564.pdf แนวทางการควบคุมวัณโรคประเทศไทย พ.ศ. 2564
🔍 ข้ออื่นผิดเพราะอะไร:
• ข้อ ข. (เหมาะสม): ข้อนี้ไม่ใช่คำตอบที่ถูกต้องสำหรับภาวะ Tuberculosis เนื่องจากกลไกการออกฤทธิ์, efficacy หรือข้อบ่งใช้ไม่ตรงกับโจทย์ที่กำหนด
• ข้อ ค. (ไม่เหมาะสม ควรใช้ HRZES): ข้อนี้ไม่ใช่คำตอบที่ถูกต้องสำหรับภาวะ Tuberculosis เนื่องจากกลไกการออกฤทธิ์, efficacy หรือข้อบ่งใช้ไม่ตรงกับโจทย์ที่กำหนด
• ข้อ ง. (ไม่เหมาะสม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 เป็น Respiratory Fluoroquinolone ครอบคลุมทั้ง Streptococcus pneumoniae, atypicals และ Pseudomonas aeruginosa ใช้รักษา CAP, complicated UTI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3" s="2" t="n"/>
      <c r="L193" s="2" t="inlineStr">
        <is>
          <t>Tuberculosis</t>
        </is>
      </c>
      <c r="M193" s="2" t="inlineStr">
        <is>
          <t>Infectious Diseases</t>
        </is>
      </c>
      <c r="N193" s="2" t="inlineStr">
        <is>
          <t>PLE_CC1_2564_All_Key ข้อ 47</t>
        </is>
      </c>
      <c r="O193" s="2" t="inlineStr">
        <is>
          <t>ข้อสอบจริง</t>
        </is>
      </c>
      <c r="P193" s="2" t="inlineStr">
        <is>
          <t>ปี 2564</t>
        </is>
      </c>
    </row>
    <row r="194" ht="13.2" customHeight="1" s="37">
      <c r="A194" s="8" t="inlineStr">
        <is>
          <t>195</t>
        </is>
      </c>
      <c r="B194" s="2" t="inlineStr">
        <is>
          <t>ถ้าจะเพิ่ม compliance ให้ผู้ป่วย TB ที่ใช้ยา 4 ตัว ข้อใดไม่ควรทำที่สุด</t>
        </is>
      </c>
      <c r="C194" s="2" t="n"/>
      <c r="D194" s="2" t="inlineStr">
        <is>
          <t>Infectious Diseases</t>
        </is>
      </c>
      <c r="E194" s="2" t="inlineStr">
        <is>
          <t>ตอกยา 4 ชั้น</t>
        </is>
      </c>
      <c r="F194" s="2" t="inlineStr">
        <is>
          <t>ทำเป็นเคลือบให้ยาปลดปล่อยมาทีละชั้น</t>
        </is>
      </c>
      <c r="G194" s="2" t="inlineStr">
        <is>
          <t>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t>
        </is>
      </c>
      <c r="H194" s="2" t="inlineStr">
        <is>
          <t>Ceftriaxone 1 g IV OD</t>
        </is>
      </c>
      <c r="I194" s="8" t="inlineStr">
        <is>
          <t>1</t>
        </is>
      </c>
      <c r="J194" s="2"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จะต้องใช้สูตรยาที่ลดตัวยาที่มีผลต่อการทำงานของตับลงโดยขึ้นกับระดับความรุนแรงของโรคตับของผู้ป่วยคนนั้น ๆ
🔍 ข้ออื่นผิดเพราะอะไร:
• ข้อ ข. (ตอกยา 4 ชั้น): ข้อนี้ไม่ใช่คำตอบที่ถูกต้องสำหรับภาวะ Tuberculosis เนื่องจากกลไกการออกฤทธิ์, efficacy หรือข้อบ่งใช้ไม่ตรงกับโจทย์ที่กำหนด
• ข้อ ค. (ทำเป็นเคลือบให้ยาปลดปล่อยมาทีละชั้น): ข้อนี้ไม่ใช่คำตอบที่ถูกต้องสำหรับภาวะ Tuberculosis เนื่องจากกลไกการออกฤทธิ์, efficacy หรือข้อบ่งใช้ไม่ตรงกับโจทย์ที่กำหนด
• ข้อ ง. (ผสมยารวมกันแบบ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 ข้อนี้ไม่ใช่คำตอบที่ถูกต้องสำหรับภาวะ Tuberculosis เนื่องจากกลไกการออกฤทธิ์, efficacy หรือข้อบ่งใช้ไม่ตรงกับโจทย์ที่กำหนด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4" s="2" t="n"/>
      <c r="L194" s="2" t="inlineStr">
        <is>
          <t>Tuberculosis</t>
        </is>
      </c>
      <c r="M194" s="2" t="inlineStr">
        <is>
          <t>Infectious Diseases</t>
        </is>
      </c>
      <c r="N194" s="2" t="inlineStr">
        <is>
          <t>PLE_CC1_2564_All_Key ข้อ 49</t>
        </is>
      </c>
      <c r="O194" s="2" t="inlineStr">
        <is>
          <t>ข้อสอบจริง</t>
        </is>
      </c>
      <c r="P194" s="2" t="inlineStr">
        <is>
          <t>ปี 2564</t>
        </is>
      </c>
    </row>
    <row r="195" ht="13.2" customHeight="1" s="37">
      <c r="A195" s="8" t="inlineStr">
        <is>
          <t>197</t>
        </is>
      </c>
      <c r="B195" s="2" t="inlineStr">
        <is>
          <t>ข้อใดต่อไปนี้ผิดเกี่ยวกับการใช้ยารักษาโรค TB (ถามเกี่ยวกับอาการข้างเคียงของยาที่ควรรีบไปพบแพทย์)</t>
        </is>
      </c>
      <c r="C195" s="2" t="n"/>
      <c r="D195" s="2" t="inlineStr">
        <is>
          <t>Infectious Diseases</t>
        </is>
      </c>
      <c r="E195" s="2" t="inlineStr">
        <is>
          <t>มีอาการทางตาให้รีบไปพบแพทย์</t>
        </is>
      </c>
      <c r="F195" s="2" t="inlineStr">
        <is>
          <t>คลื่นไส้ อาเจียน เบื่ออาหาร มีไข้ ให้รีบไปพบแพทย์</t>
        </is>
      </c>
      <c r="G195" s="2" t="inlineStr">
        <is>
          <t>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t>
        </is>
      </c>
      <c r="H195" s="2" t="inlineStr">
        <is>
          <t>Nitrofurantoin 100 mg BID</t>
        </is>
      </c>
      <c r="I195" s="8" t="inlineStr">
        <is>
          <t>1</t>
        </is>
      </c>
      <c r="J195" s="2"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c) ผสมยารวมกันแบบ reservoir ข้อนี้คิดว่านะจะหมายถึงการทำเป็นเม็ดยาเคลือบแบบ reservoir device คือข้างในเป็น reservoir มียากระจายอยู่ หุ้มด้วย polymer ชนิดไม่ละลายน้ำแบบมีรูพรุน ยาจะค่อย ๆ ปลดปล่อยอออกมาจากรูพรุนนั้น ทำให้ยาออกฤทธิ์นาน และสามารถกำหนด rate ในการปลดปล่อยยาได้ ข้อนี้คิดว่าทำได้แม้ยา TB จะมี PD แบบ conc-
🔍 ข้ออื่นผิดเพราะอะไร:
• ข้อ ข. (มีอาการทางตาให้รีบไปพบแพทย์): ข้อนี้ไม่ใช่คำตอบที่ถูกต้องสำหรับภาวะ Tuberculosis เนื่องจากกลไกการออกฤทธิ์, efficacy หรือข้อบ่งใช้ไม่ตรงกับโจทย์ที่กำหนด
• ข้อ ค. (คลื่นไส้ อาเจียน เบื่ออาหาร มีไข้ ให้รีบไปพบแพทย์): ข้อนี้ไม่ใช่คำตอบที่ถูกต้องสำหรับภาวะ Tuberculosis เนื่องจากกลไกการออกฤทธิ์, efficacy หรือข้อบ่งใช้ไม่ตรงกับโจทย์ที่กำหนด
• ข้อ ง. (ปัสสาวะสีส้ม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 ข้อนี้ไม่ใช่คำตอบที่ถูกต้องสำหรับภาวะ Tuberculosis เนื่องจากกลไกการออกฤทธิ์, efficacy หรือข้อบ่งใช้ไม่ตรงกับโจทย์ที่กำหนด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5" s="2" t="n"/>
      <c r="L195" s="2" t="inlineStr">
        <is>
          <t>Tuberculosis</t>
        </is>
      </c>
      <c r="M195" s="2" t="inlineStr">
        <is>
          <t>Infectious Diseases</t>
        </is>
      </c>
      <c r="N195" s="2" t="inlineStr">
        <is>
          <t>PLE_CC1_2564_All_Key ข้อ 48</t>
        </is>
      </c>
      <c r="O195" s="2" t="inlineStr">
        <is>
          <t>ข้อสอบจริง</t>
        </is>
      </c>
      <c r="P195" s="2" t="inlineStr">
        <is>
          <t>ปี 2564</t>
        </is>
      </c>
    </row>
    <row r="196" ht="13.2" customHeight="1" s="37">
      <c r="A196" s="8" t="inlineStr">
        <is>
          <t>198</t>
        </is>
      </c>
      <c r="B196" s="2" t="inlineStr">
        <is>
          <t>ยาต้านป้องกัน HIV (HIV without opportunity) จากแม่สู่ลูก สูตรแรกที่แนะนำ ยารวมเม็ด (TDF หรือ TAF) + (3TC หรือ FTC) + DTG ในทุกอายุครรภ์ จาก: Thailand National Guidelines on HIV/AIDS Treatment and Prevention 2021/2022</t>
        </is>
      </c>
      <c r="C196" s="2" t="n"/>
      <c r="D196" s="2" t="inlineStr">
        <is>
          <t>Infectious Diseases</t>
        </is>
      </c>
      <c r="E196" s="2" t="inlineStr">
        <is>
          <t>Nitrofurantoin 100 mg BID</t>
        </is>
      </c>
      <c r="F196" s="2" t="inlineStr">
        <is>
          <t>Tenofovir/Emtricitabine 300/200 mg OD</t>
        </is>
      </c>
      <c r="G196" s="2" t="inlineStr">
        <is>
          <t>Dolutegravir 50 mg OD</t>
        </is>
      </c>
      <c r="H196" s="2" t="inlineStr">
        <is>
          <t>Vancomycin 1 g IV Q12H</t>
        </is>
      </c>
      <c r="I196" s="8" t="inlineStr">
        <is>
          <t>1</t>
        </is>
      </c>
      <c r="J196"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6" s="2" t="n"/>
      <c r="L196" s="2" t="inlineStr">
        <is>
          <t>HIV infection</t>
        </is>
      </c>
      <c r="M196" s="2" t="inlineStr">
        <is>
          <t>Infectious Diseases</t>
        </is>
      </c>
      <c r="N196" s="2" t="inlineStr">
        <is>
          <t>PLE_CC1_2564_All_Key ข้อ 75</t>
        </is>
      </c>
      <c r="O196" s="2" t="inlineStr">
        <is>
          <t>ข้อสอบจริง</t>
        </is>
      </c>
      <c r="P196" s="2" t="inlineStr">
        <is>
          <t>ปี 2564</t>
        </is>
      </c>
    </row>
    <row r="197" ht="13.2" customHeight="1" s="37">
      <c r="A197" s="8" t="inlineStr">
        <is>
          <t>199</t>
        </is>
      </c>
      <c r="B197" s="2" t="inlineStr">
        <is>
          <t>จะเริ่มให้ยากับแม่ได้ตอนไหน เริ่มยาโดยเร็วที่สุดในวันเดียวกันกับการวินิจฉัย ในหญิงตั้งครรภ์ที่ไม่มีอาการของโรคติดเชื้อฉวยโอกาส โดยไม่คำนึงถึงจำนวน CD4 และอายุครรภ์) จาก: Thailand National Guidelines on HIV/AIDS Treatment and Prevention 2021/2022 ..............................................................................................................................................................................................................</t>
        </is>
      </c>
      <c r="C197" s="2" t="n"/>
      <c r="D197" s="2" t="inlineStr">
        <is>
          <t>Infectious Diseases</t>
        </is>
      </c>
      <c r="E197" s="2" t="inlineStr">
        <is>
          <t>Vancomycin 1 g IV Q12H</t>
        </is>
      </c>
      <c r="F197" s="2" t="inlineStr">
        <is>
          <t>Meropenem 1 g IV Q8H</t>
        </is>
      </c>
      <c r="G197" s="2" t="inlineStr">
        <is>
          <t>Cefazolin 1 g IV Q8H</t>
        </is>
      </c>
      <c r="H197" s="2" t="inlineStr">
        <is>
          <t>Amoxicillin/Clavulanate 1 g BID</t>
        </is>
      </c>
      <c r="I197" s="8" t="inlineStr">
        <is>
          <t>1</t>
        </is>
      </c>
      <c r="J197" s="2"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7" s="2" t="n"/>
      <c r="L197" s="2" t="inlineStr">
        <is>
          <t>HIV infection</t>
        </is>
      </c>
      <c r="M197" s="2" t="inlineStr">
        <is>
          <t>Infectious Diseases</t>
        </is>
      </c>
      <c r="N197" s="2" t="inlineStr">
        <is>
          <t>PLE_CC1_2564_All_Key ข้อ 76</t>
        </is>
      </c>
      <c r="O197" s="2" t="inlineStr">
        <is>
          <t>ข้อสอบจริง</t>
        </is>
      </c>
      <c r="P197" s="2" t="inlineStr">
        <is>
          <t>ปี 2564</t>
        </is>
      </c>
    </row>
    <row r="198" ht="13.2" customHeight="1" s="37">
      <c r="A198" s="8" t="inlineStr">
        <is>
          <t>200</t>
        </is>
      </c>
      <c r="B198" s="2" t="inlineStr">
        <is>
          <t>แผลแบบใดไม่ควรให้ยา ATB</t>
        </is>
      </c>
      <c r="C198" s="2" t="n"/>
      <c r="D198" s="2" t="inlineStr">
        <is>
          <t>แผลเปิดขอบเรียบตื้นที่แขน 3 cm</t>
        </is>
      </c>
      <c r="E198" s="2" t="inlineStr">
        <is>
          <t>แผลเปิดขอบเรียบที่ท้อง 3 cm</t>
        </is>
      </c>
      <c r="F198" s="2" t="inlineStr">
        <is>
          <t>แผลเปิดขอบเรียบที่ต้นขา 10 cm</t>
        </is>
      </c>
      <c r="G198" s="2" t="inlineStr">
        <is>
          <t>แผลขอบหยักเลอะดิน</t>
        </is>
      </c>
      <c r="H198" s="2" t="inlineStr">
        <is>
          <t>แผลโดนกัด</t>
        </is>
      </c>
      <c r="I198" s="8" t="inlineStr">
        <is>
          <t>1</t>
        </is>
      </c>
      <c r="J198" s="2" t="inlineStr">
        <is>
          <t>✅ คำตอบที่ถูกต้อง: ข้อ ก. แผลเปิดขอบเรียบตื้นที่แขน 3 cm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 เคสหญิงปัสสาวะแสบขัด ผล urinalysis wbc 10-20, rbc 0-2, squamous cell 0-2, sp.gr. 1.020, albumin 1+ (ตอบคำถาม https://www.maeonhospital.go.th/?p=1251#:~:text=%2D%E0%B9%80%E0%B8%A1%E0%B9%87%E0%B8%94%E0%B9%80%E0%B8%A5%E0%B8%B7%E0%B8%
🔍 ข้ออื่นผิดเพราะอะไร:
• ข้อ ข. (แผลเปิดขอบเรียบตื้นที่แขน 3 cm): ข้อนี้ไม่ใช่คำตอบที่ถูกต้องสำหรับภาวะ Tuberculosis เนื่องจากกลไกการออกฤทธิ์, efficacy หรือข้อบ่งใช้ไม่ตรงกับโจทย์ที่กำหนด
• ข้อ ค. (แผลเปิดขอบเรียบที่ท้อง 3 cm): ข้อนี้ไม่ใช่คำตอบที่ถูกต้องสำหรับภาวะ Tuberculosis เนื่องจากกลไกการออกฤทธิ์, efficacy หรือข้อบ่งใช้ไม่ตรงกับโจทย์ที่กำหนด
• ข้อ ง. (แผลเปิดขอบเรียบที่ต้นขา 10 cm): ข้อนี้ไม่ใช่คำตอบที่ถูกต้องสำหรับภาวะ Tuberculosis เนื่องจากกลไกการออกฤทธิ์, efficacy หรือข้อบ่งใช้ไม่ตรงกับโจทย์ที่กำหนด
• ข้อ จ. (แผลขอบหยักเลอะดิน):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8" s="2" t="n"/>
      <c r="L198" s="2" t="inlineStr">
        <is>
          <t>Tuberculosis</t>
        </is>
      </c>
      <c r="M198" s="2" t="inlineStr">
        <is>
          <t>Infectious Diseases</t>
        </is>
      </c>
      <c r="N198" s="2" t="inlineStr">
        <is>
          <t>PLE_CC1_2564_All_Key ข้อ 89</t>
        </is>
      </c>
      <c r="O198" s="2" t="inlineStr">
        <is>
          <t>ข้อสอบจริง</t>
        </is>
      </c>
      <c r="P198" s="2" t="inlineStr">
        <is>
          <t>ปี 2564</t>
        </is>
      </c>
      <c r="Q198" s="2" t="n"/>
    </row>
    <row r="199" ht="13.2" customHeight="1" s="37">
      <c r="A199" s="8" t="inlineStr">
        <is>
          <t>200</t>
        </is>
      </c>
      <c r="B199" s="2" t="inlineStr">
        <is>
          <t>ผู้ป่วยติดเชื้อใด</t>
        </is>
      </c>
      <c r="C199" s="2" t="n"/>
      <c r="D199" s="2" t="inlineStr">
        <is>
          <t>E.coli</t>
        </is>
      </c>
      <c r="E199" s="2" t="inlineStr">
        <is>
          <t>Neissera gonorrhea</t>
        </is>
      </c>
      <c r="F199" s="2" t="inlineStr">
        <is>
          <t>Hemophilus ducreyi</t>
        </is>
      </c>
      <c r="G199" s="2" t="inlineStr">
        <is>
          <t>Trichomomas vaginalis</t>
        </is>
      </c>
      <c r="H199" s="2" t="inlineStr">
        <is>
          <t>Herpes simplex type 2 X หË´มนาÆปทาซËาทืกกรณิ ÂวËนาต้จ²ÆดËรงบ¯นืญ´ต ceftriaxone 500 mg IM single dose + Suziabespie and (azithromycin 1g single dose</t>
        </is>
      </c>
      <c r="I199" s="8" t="inlineStr">
        <is>
          <t>1</t>
        </is>
      </c>
      <c r="J199" s="2" t="inlineStr">
        <is>
          <t>✅ คำตอบที่ถูกต้อง: ข้อ ก. E.coli
💡 Background:
การดูแลผู้ติดเชื้อ HIV เน้นเริ่ม Antiretroviral Therapy (ART) ทันทีเพื่อกด viral load ให้ undetectable (U=U) และฟื้นฟูระบบภูมิคุ้มกัน
🎯 ทำไมข้อนี้ถึงถูก:
E.coli การเลือก E.coli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(Neissera gonorrhea): ข้อนี้ไม่ใช่คำตอบที่ถูกต้องสำหรับภาวะ HIV infection เนื่องจากกลไกการออกฤทธิ์, efficacy หรือข้อบ่งใช้ไม่ตรงกับโจทย์ที่กำหนด
• ข้อ ค. (Hemophilus ducreyi): ข้อนี้ไม่ใช่คำตอบที่ถูกต้องสำหรับภาวะ HIV infection เนื่องจากกลไกการออกฤทธิ์, efficacy หรือข้อบ่งใช้ไม่ตรงกับโจทย์ที่กำหนด
• ข้อ ง. (Trichomomas vaginalis): ข้อนี้ไม่ใช่คำตอบที่ถูกต้องสำหรับภาวะ HIV infection เนื่องจากกลไกการออกฤทธิ์, efficacy หรือข้อบ่งใช้ไม่ตรงกับโจทย์ที่กำหนด
• ข้อ จ. (Herpes simplex type 2 X หË´มนาÆปทาซËาทืกกรณิ ÂวËนาต้จ²ÆดËรงบ¯นืญ´ต ceftriaxone 500 mg IM single dose + Suziabespie and (azithromycin 1g single dose): เป็น 3rd generation cephalosporin มี broad spectrum ต่อ gram-negative bacteria และผ่าน BBB ได้ดี ขับออกทาง biliary tract จึงไม่ต้องปรับ dose ใน renal impairment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9" s="2" t="n"/>
      <c r="L199" s="2" t="inlineStr">
        <is>
          <t>HIV infection</t>
        </is>
      </c>
      <c r="M199" s="2" t="inlineStr">
        <is>
          <t>Clinic</t>
        </is>
      </c>
      <c r="N199" s="2" t="inlineStr">
        <is>
          <t>ข้อ 44 (PLE_CC1_2562_Key.md)</t>
        </is>
      </c>
      <c r="O199" s="2" t="inlineStr">
        <is>
          <t>ข้อสอบจริง</t>
        </is>
      </c>
      <c r="P199" s="2" t="inlineStr">
        <is>
          <t>ปี 2562</t>
        </is>
      </c>
    </row>
    <row r="200" ht="13.2" customHeight="1" s="37">
      <c r="A200" s="8" t="inlineStr">
        <is>
          <t>201</t>
        </is>
      </c>
      <c r="B200" s="2" t="inlineStr">
        <is>
          <t>การตรวจทางห้องปฏิบัติการใดมีเหมาะสมน้อยที่สุด , mossae X veudigerdesi ิg , netstarrine Gi , UTI motigino. isg &amp;IsGase!wrose God virus interne Distants erew we multi nucleated</t>
        </is>
      </c>
      <c r="C200" s="2" t="n"/>
      <c r="D200" s="2" t="inlineStr">
        <is>
          <t>Giemza stain</t>
        </is>
      </c>
      <c r="E200" s="2" t="inlineStr">
        <is>
          <t>Dark field</t>
        </is>
      </c>
      <c r="F200" s="2" t="inlineStr">
        <is>
          <t>Gram strain and culture</t>
        </is>
      </c>
      <c r="G200" s="2" t="inlineStr">
        <is>
          <t>RPR</t>
        </is>
      </c>
      <c r="H200" s="2" t="inlineStr">
        <is>
          <t>VDRL</t>
        </is>
      </c>
      <c r="I200" s="8" t="inlineStr">
        <is>
          <t>1</t>
        </is>
      </c>
      <c r="J200" s="2" t="inlineStr">
        <is>
          <t>✅ คำตอบที่ถูกต้อง: ข้อ ก. Giemza stain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Giemza stain การเลือก Giemza stain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(Dark field): ข้อนี้ไม่ใช่คำตอบที่ถูกต้องสำหรับภาวะ Cystitis เนื่องจากกลไกการออกฤทธิ์, efficacy หรือข้อบ่งใช้ไม่ตรงกับโจทย์ที่กำหนด
• ข้อ ค. (Gram strain and culture): ข้อนี้ไม่ใช่คำตอบที่ถูกต้องสำหรับภาวะ Cystitis เนื่องจากกลไกการออกฤทธิ์, efficacy หรือข้อบ่งใช้ไม่ตรงกับโจทย์ที่กำหนด
• ข้อ ง. (RPR): ข้อนี้ไม่ใช่คำตอบที่ถูกต้องสำหรับภาวะ Cystitis เนื่องจากกลไกการออกฤทธิ์, efficacy หรือข้อบ่งใช้ไม่ตรงกับโจทย์ที่กำหนด
• ข้อ จ. (VDRL): ข้อนี้ไม่ใช่คำตอบที่ถูกต้องสำหรับภาวะ Cystitis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0" s="2" t="n"/>
      <c r="L200" s="2" t="inlineStr">
        <is>
          <t>Cystitis</t>
        </is>
      </c>
      <c r="M200" s="2" t="inlineStr">
        <is>
          <t>Clinic</t>
        </is>
      </c>
      <c r="N200" s="2" t="inlineStr">
        <is>
          <t>ข้อ 47 (PLE_CC1_2562_Key.md)</t>
        </is>
      </c>
      <c r="O200" s="2" t="inlineStr">
        <is>
          <t>ข้อสอบจริง</t>
        </is>
      </c>
      <c r="P200" s="2" t="inlineStr">
        <is>
          <t>ปี 2562</t>
        </is>
      </c>
    </row>
    <row r="201" ht="13.2" customHeight="1" s="37">
      <c r="A201" s="8" t="inlineStr">
        <is>
          <t>202</t>
        </is>
      </c>
      <c r="B201" s="2" t="inlineStr">
        <is>
          <t>หากผู้ป่วยต้องการป้องกันการติดเชื้อ HIV (Prep prophylaxis) ควรได้รับยาสูตรใด giant cell virox drei (WBC verepent ~ I</t>
        </is>
      </c>
      <c r="C201" s="2" t="n"/>
      <c r="D201" s="2" t="inlineStr">
        <is>
          <t>AZT monotherapy</t>
        </is>
      </c>
      <c r="E201" s="2" t="inlineStr">
        <is>
          <t>AZT+3TC</t>
        </is>
      </c>
      <c r="F201" s="2" t="inlineStr">
        <is>
          <t>TDF+FTC</t>
        </is>
      </c>
      <c r="G201" s="2" t="inlineStr">
        <is>
          <t>TDF+3TC+EFV</t>
        </is>
      </c>
      <c r="H201" s="2" t="inlineStr">
        <is>
          <t>d4T+3TC+NVP</t>
        </is>
      </c>
      <c r="I201" s="8" t="inlineStr">
        <is>
          <t>1</t>
        </is>
      </c>
      <c r="J201" s="2" t="inlineStr">
        <is>
          <t>✅ คำตอบที่ถูกต้อง: ข้อ ก. AZT monotherapy
💡 Background:
การดูแลผู้ติดเชื้อ HIV เน้นเริ่ม Antiretroviral Therapy (ART) ทันทีเพื่อกด viral load ให้ undetectable (U=U) และฟื้นฟูระบบภูมิคุ้มกัน
🎯 ทำไมข้อนี้ถึงถูก:
AZT monotherapy การเลือก AZT monotherapy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(AZT+3TC): ข้อนี้ไม่ใช่คำตอบที่ถูกต้องสำหรับภาวะ HIV infection เนื่องจากกลไกการออกฤทธิ์, efficacy หรือข้อบ่งใช้ไม่ตรงกับโจทย์ที่กำหนด
• ข้อ ค. (TDF+FTC): ข้อนี้ไม่ใช่คำตอบที่ถูกต้องสำหรับภาวะ HIV infection เนื่องจากกลไกการออกฤทธิ์, efficacy หรือข้อบ่งใช้ไม่ตรงกับโจทย์ที่กำหนด
• ข้อ ง. (TDF+3TC+EFV): ข้อนี้ไม่ใช่คำตอบที่ถูกต้องสำหรับภาวะ HIV infection เนื่องจากกลไกการออกฤทธิ์, efficacy หรือข้อบ่งใช้ไม่ตรงกับโจทย์ที่กำหนด
• ข้อ จ. (d4T+3TC+NVP):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1" s="2" t="n"/>
      <c r="L201" s="2" t="inlineStr">
        <is>
          <t>HIV infection</t>
        </is>
      </c>
      <c r="M201" s="2" t="inlineStr">
        <is>
          <t>Clinic</t>
        </is>
      </c>
      <c r="N201" s="2" t="inlineStr">
        <is>
          <t>ข้อ 48 (PLE_CC1_2562_Key.md)</t>
        </is>
      </c>
      <c r="O201" s="2" t="inlineStr">
        <is>
          <t>ข้อสอบจริง</t>
        </is>
      </c>
      <c r="P201" s="2" t="inlineStr">
        <is>
          <t>ปี 2562</t>
        </is>
      </c>
    </row>
    <row r="202" ht="13.2" customHeight="1" s="37">
      <c r="A202" s="8" t="inlineStr">
        <is>
          <t>203</t>
        </is>
      </c>
      <c r="B202" s="2" t="inlineStr">
        <is>
          <t>ควรจัดการ การให้ยาอย่างไรกับผู้ป่วย x Tumogross hs isoniazid X X isoniazid X &amp;eied's extensive phase I, R 41862 intensive phase : I , R, ~ 56 Ecwiddie . X --- 1s</t>
        </is>
      </c>
      <c r="C202" s="2" t="n"/>
      <c r="D202" s="2" t="inlineStr">
        <is>
          <t>ให้ยาทุกตัวเหมือนเดิม</t>
        </is>
      </c>
      <c r="E202" s="2" t="inlineStr">
        <is>
          <t>หยุดยา H,R,Z แล้วไปให้ยาตัวอื่นที่ไม่เกิดอาการไม่พึงประสงค์นี้แทน</t>
        </is>
      </c>
      <c r="F202" s="2" t="inlineStr">
        <is>
          <t>หยุดยา H แล้วไปให้ยาตัวอื่นที่ไม่เกิดอาการไม่พึงประสงค์นี้แทน</t>
        </is>
      </c>
      <c r="G202" s="2" t="inlineStr">
        <is>
          <t>หยุดยา R แล้วไปให้ยาตัวอื่นที่ไม่เกิดอาการไม่พึงประสงค์นี้แทน</t>
        </is>
      </c>
      <c r="H202" s="2" t="inlineStr">
        <is>
          <t>หยุดยา E แล้วไปให้ยาตัวอื่นที่ไม่เกิดอาการไม่พึงประสงค์นี้แทน หË´มนาÆปทาซËาทืกกรณิ ÂวËนาต้จ²ÆดËรงบ¯นืญ´ต ~</t>
        </is>
      </c>
      <c r="I202" s="8" t="inlineStr">
        <is>
          <t>1</t>
        </is>
      </c>
      <c r="J202" s="2" t="inlineStr">
        <is>
          <t>✅ คำตอบที่ถูกต้อง: ข้อ ก. ให้ยาทุกตัวเหมือนเดิม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ให้ยาทุกตัวเหมือนเดิม การเลือก ให้ยาทุกตัวเหมือนเดิม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(หยุดยา H,R,Z แล้วไปให้ยาตัวอื่นที่ไม่เกิดอาการไม่พึงประสงค์นี้แทน): ข้อนี้ไม่ใช่คำตอบที่ถูกต้องสำหรับภาวะ Tuberculosis เนื่องจากกลไกการออกฤทธิ์, efficacy หรือข้อบ่งใช้ไม่ตรงกับโจทย์ที่กำหนด
• ข้อ ค. (หยุดยา H แล้วไปให้ยาตัวอื่นที่ไม่เกิดอาการไม่พึงประสงค์นี้แทน): ข้อนี้ไม่ใช่คำตอบที่ถูกต้องสำหรับภาวะ Tuberculosis เนื่องจากกลไกการออกฤทธิ์, efficacy หรือข้อบ่งใช้ไม่ตรงกับโจทย์ที่กำหนด
• ข้อ ง. (หยุดยา R แล้วไปให้ยาตัวอื่นที่ไม่เกิดอาการไม่พึงประสงค์นี้แทน): ข้อนี้ไม่ใช่คำตอบที่ถูกต้องสำหรับภาวะ Tuberculosis เนื่องจากกลไกการออกฤทธิ์, efficacy หรือข้อบ่งใช้ไม่ตรงกับโจทย์ที่กำหนด
• ข้อ จ. (หยุดยา E แล้วไปให้ยาตัวอื่นที่ไม่เกิดอาการไม่พึงประสงค์นี้แทน หË´มนาÆปทาซËาทืกกรณิ ÂวËนาต้จ²ÆดËรงบ¯นืญ´ต ~):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02" s="2" t="n"/>
      <c r="L202" s="2" t="inlineStr">
        <is>
          <t>Tuberculosis</t>
        </is>
      </c>
      <c r="M202" s="2" t="inlineStr">
        <is>
          <t>Clinic</t>
        </is>
      </c>
      <c r="N202" s="2" t="inlineStr">
        <is>
          <t>ข้อ 11 (PLE_CC1_2562_Key.md)</t>
        </is>
      </c>
      <c r="O202" s="2" t="inlineStr">
        <is>
          <t>ข้อสอบจริง</t>
        </is>
      </c>
      <c r="P202" s="2" t="inlineStr">
        <is>
          <t>ปี 2562</t>
        </is>
      </c>
    </row>
    <row r="203" ht="13.2" customHeight="1" s="37">
      <c r="A203" s="8" t="inlineStr">
        <is>
          <t>204</t>
        </is>
      </c>
      <c r="B203" s="2" t="inlineStr">
        <is>
          <t>จงคำนวณ ANC (WBC count 2000, PMN 5%, Band 5%, Eosinophil 1%. Lymphocyte 1) - X reversible</t>
        </is>
      </c>
      <c r="C203" s="2" t="n"/>
      <c r="D203" s="8" t="inlineStr">
        <is>
          <t>50</t>
        </is>
      </c>
      <c r="E203" s="8" t="inlineStr">
        <is>
          <t>100</t>
        </is>
      </c>
      <c r="F203" s="8" t="inlineStr">
        <is>
          <t>150</t>
        </is>
      </c>
      <c r="G203" s="8" t="inlineStr">
        <is>
          <t>200</t>
        </is>
      </c>
      <c r="H203" s="8" t="inlineStr">
        <is>
          <t>240</t>
        </is>
      </c>
      <c r="I203" s="8" t="inlineStr">
        <is>
          <t>1</t>
        </is>
      </c>
      <c r="J203" s="2" t="inlineStr">
        <is>
          <t>✅ คำตอบที่ถูกต้อง: ข้อ ก. 50
💡 Background:
การดูแลผู้ติดเชื้อ HIV เน้นเริ่ม Antiretroviral Therapy (ART) ทันทีเพื่อกด viral load ให้ undetectable (U=U) และฟื้นฟูระบบภูมิคุ้มกัน
🎯 ทำไมข้อนี้ถึงถูก:
50 การเลือก 50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(100): ข้อนี้ไม่ใช่คำตอบที่ถูกต้องสำหรับภาวะ HIV infection เนื่องจากกลไกการออกฤทธิ์, efficacy หรือข้อบ่งใช้ไม่ตรงกับโจทย์ที่กำหนด
• ข้อ ค. (150): ข้อนี้ไม่ใช่คำตอบที่ถูกต้องสำหรับภาวะ HIV infection เนื่องจากกลไกการออกฤทธิ์, efficacy หรือข้อบ่งใช้ไม่ตรงกับโจทย์ที่กำหนด
• ข้อ ง. (200): ข้อนี้ไม่ใช่คำตอบที่ถูกต้องสำหรับภาวะ HIV infection เนื่องจากกลไกการออกฤทธิ์, efficacy หรือข้อบ่งใช้ไม่ตรงกับโจทย์ที่กำหนด
• ข้อ จ. (240):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3" s="2" t="n"/>
      <c r="L203" s="2" t="inlineStr">
        <is>
          <t>HIV infection</t>
        </is>
      </c>
      <c r="M203" s="2" t="inlineStr">
        <is>
          <t>Clinic</t>
        </is>
      </c>
      <c r="N203" s="2" t="inlineStr">
        <is>
          <t>ข้อ 54 (PLE_CC1_2562_Key.md)</t>
        </is>
      </c>
      <c r="O203" s="2" t="inlineStr">
        <is>
          <t>ข้อสอบจริง</t>
        </is>
      </c>
      <c r="P203" s="2" t="inlineStr">
        <is>
          <t>ปี 2562</t>
        </is>
      </c>
    </row>
    <row r="204" ht="13.2" customHeight="1" s="37">
      <c r="A204" s="8" t="inlineStr">
        <is>
          <t>205</t>
        </is>
      </c>
      <c r="B204" s="2" t="inlineStr">
        <is>
          <t>จากอาการผูป%วยเกิดจากการติดเชื้อใดมากที่สุด</t>
        </is>
      </c>
      <c r="C204" s="2" t="n"/>
      <c r="D204" s="2" t="inlineStr">
        <is>
          <t>HSV-1</t>
        </is>
      </c>
      <c r="E204" s="2" t="inlineStr">
        <is>
          <t>HSV-2</t>
        </is>
      </c>
      <c r="F204" s="2" t="inlineStr">
        <is>
          <t>Varicella zoster virus</t>
        </is>
      </c>
      <c r="G204" s="2" t="inlineStr">
        <is>
          <t>Neisseria gonorrhea</t>
        </is>
      </c>
      <c r="H204" s="2" t="inlineStr">
        <is>
          <t>Chlamydia trachomatis I</t>
        </is>
      </c>
      <c r="I204" s="8" t="inlineStr">
        <is>
          <t>1</t>
        </is>
      </c>
      <c r="J204" s="2" t="inlineStr">
        <is>
          <t>✅ คำตอบที่ถูกต้อง: ข้อ ก. HSV-1
💡 Background:
การดูแลผู้ติดเชื้อ HIV เน้นเริ่ม Antiretroviral Therapy (ART) ทันทีเพื่อกด viral load ให้ undetectable (U=U) และฟื้นฟูระบบภูมิคุ้มกัน
🎯 ทำไมข้อนี้ถึงถูก:
HSV-1 การเลือก HSV-1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(HSV-2): ข้อนี้ไม่ใช่คำตอบที่ถูกต้องสำหรับภาวะ HIV infection เนื่องจากกลไกการออกฤทธิ์, efficacy หรือข้อบ่งใช้ไม่ตรงกับโจทย์ที่กำหนด
• ข้อ ค. (Varicella zoster virus): ข้อนี้ไม่ใช่คำตอบที่ถูกต้องสำหรับภาวะ HIV infection เนื่องจากกลไกการออกฤทธิ์, efficacy หรือข้อบ่งใช้ไม่ตรงกับโจทย์ที่กำหนด
• ข้อ ง. (Neisseria gonorrhea): ข้อนี้ไม่ใช่คำตอบที่ถูกต้องสำหรับภาวะ HIV infection เนื่องจากกลไกการออกฤทธิ์, efficacy หรือข้อบ่งใช้ไม่ตรงกับโจทย์ที่กำหนด
• ข้อ จ. (Chlamydia trachomatis I):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4" s="2" t="n"/>
      <c r="L204" s="2" t="inlineStr">
        <is>
          <t>HIV infection</t>
        </is>
      </c>
      <c r="M204" s="2" t="inlineStr">
        <is>
          <t>Clinic</t>
        </is>
      </c>
      <c r="N204" s="2" t="inlineStr">
        <is>
          <t>ข้อ 22 (PLE_CC1_2561_Key.md)</t>
        </is>
      </c>
      <c r="O204" s="2" t="inlineStr">
        <is>
          <t>ข้อสอบจริง</t>
        </is>
      </c>
      <c r="P204" s="2" t="inlineStr">
        <is>
          <t>ปี 2561</t>
        </is>
      </c>
    </row>
    <row r="205" ht="13.2" customHeight="1" s="37">
      <c r="A205" s="8" t="inlineStr">
        <is>
          <t>206</t>
        </is>
      </c>
      <c r="B205" s="2" t="inlineStr">
        <is>
          <t>ขอใดคือกลไกการออกฤทธิ์ของยา valacyclovir</t>
        </is>
      </c>
      <c r="C205" s="2" t="n"/>
      <c r="D205" s="2" t="inlineStr">
        <is>
          <t>Protease inhibitor</t>
        </is>
      </c>
      <c r="E205" s="2" t="inlineStr">
        <is>
          <t>Integrase inhibitor</t>
        </is>
      </c>
      <c r="F205" s="2" t="inlineStr">
        <is>
          <t>Inhibit cell wall synthesis</t>
        </is>
      </c>
      <c r="G205" s="2" t="inlineStr">
        <is>
          <t>DNA polymerase inhibitor</t>
        </is>
      </c>
      <c r="H205" s="2" t="inlineStr">
        <is>
          <t>Nucleotide reverse transcriptase inhibitor t</t>
        </is>
      </c>
      <c r="I205" s="8" t="inlineStr">
        <is>
          <t>1</t>
        </is>
      </c>
      <c r="J205" s="2" t="inlineStr">
        <is>
          <t>✅ คำตอบที่ถูกต้อง: ข้อ ก. Protease inhibitor
💡 Background:
การดูแลผู้ติดเชื้อ HIV เน้นเริ่ม Antiretroviral Therapy (ART) ทันทีเพื่อกด viral load ให้ undetectable (U=U) และฟื้นฟูระบบภูมิคุ้มกัน
🎯 ทำไมข้อนี้ถึงถูก:
Protease inhibitor การเลือก Protease inhibitor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(Integrase inhibitor): ข้อนี้ไม่ใช่คำตอบที่ถูกต้องสำหรับภาวะ HIV infection เนื่องจากกลไกการออกฤทธิ์, efficacy หรือข้อบ่งใช้ไม่ตรงกับโจทย์ที่กำหนด
• ข้อ ค. (Inhibit cell wall synthesis): ข้อนี้ไม่ใช่คำตอบที่ถูกต้องสำหรับภาวะ HIV infection เนื่องจากกลไกการออกฤทธิ์, efficacy หรือข้อบ่งใช้ไม่ตรงกับโจทย์ที่กำหนด
• ข้อ ง. (DNA polymerase inhibitor): ข้อนี้ไม่ใช่คำตอบที่ถูกต้องสำหรับภาวะ HIV infection เนื่องจากกลไกการออกฤทธิ์, efficacy หรือข้อบ่งใช้ไม่ตรงกับโจทย์ที่กำหนด
• ข้อ จ. (Nucleotide reverse transcriptase inhibitor t):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5" s="2" t="n"/>
      <c r="L205" s="2" t="inlineStr">
        <is>
          <t>HIV infection</t>
        </is>
      </c>
      <c r="M205" s="2" t="inlineStr">
        <is>
          <t>Clinic</t>
        </is>
      </c>
      <c r="N205" s="2" t="inlineStr">
        <is>
          <t>ข้อ 23 (PLE_CC1_2561_Key.md)</t>
        </is>
      </c>
      <c r="O205" s="2" t="inlineStr">
        <is>
          <t>ข้อสอบจริง</t>
        </is>
      </c>
      <c r="P205" s="2" t="inlineStr">
        <is>
          <t>ปี 2561</t>
        </is>
      </c>
    </row>
    <row r="206" ht="13.2" customHeight="1" s="37">
      <c r="A206" s="8" t="inlineStr">
        <is>
          <t>207</t>
        </is>
      </c>
      <c r="B206" s="2" t="inlineStr">
        <is>
          <t>จาก USP acyclovir contains not less than 98.0 percent and not more than 101.0 percent of C8H11N5O3, calculated on the anhydrous basis ถานำผงมาชั่ง 150 mg วิเคราะหTหาปริมาณ acyclovir ไดเท!ากับ 142 mg ขอใดคือรอยละ ของปริมาณ acyclovir ต!อน้ำหนักผงแหง</t>
        </is>
      </c>
      <c r="C206" s="2" t="n"/>
      <c r="D206" s="2" t="inlineStr">
        <is>
          <t>90.3 %</t>
        </is>
      </c>
      <c r="E206" s="2" t="inlineStr">
        <is>
          <t>92.4 %</t>
        </is>
      </c>
      <c r="F206" s="2" t="inlineStr">
        <is>
          <t>93.4 %</t>
        </is>
      </c>
      <c r="G206" s="2" t="inlineStr">
        <is>
          <t>94.7 %</t>
        </is>
      </c>
      <c r="H206" s="2" t="inlineStr">
        <is>
          <t>95.6 % o</t>
        </is>
      </c>
      <c r="I206" s="8" t="inlineStr">
        <is>
          <t>1</t>
        </is>
      </c>
      <c r="J206" s="2" t="inlineStr">
        <is>
          <t>✅ คำตอบที่ถูกต้อง: ข้อ ก. 90.3 %
💡 Background:
การดูแลผู้ติดเชื้อ HIV เน้นเริ่ม Antiretroviral Therapy (ART) ทันทีเพื่อกด viral load ให้ undetectable (U=U) และฟื้นฟูระบบภูมิคุ้มกัน
🎯 ทำไมข้อนี้ถึงถูก:
90.3 % การเลือก 90.3 %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(92.4 %): ข้อนี้ไม่ใช่คำตอบที่ถูกต้องสำหรับภาวะ HIV infection เนื่องจากกลไกการออกฤทธิ์, efficacy หรือข้อบ่งใช้ไม่ตรงกับโจทย์ที่กำหนด
• ข้อ ค. (93.4 %): ข้อนี้ไม่ใช่คำตอบที่ถูกต้องสำหรับภาวะ HIV infection เนื่องจากกลไกการออกฤทธิ์, efficacy หรือข้อบ่งใช้ไม่ตรงกับโจทย์ที่กำหนด
• ข้อ ง. (94.7 %): ข้อนี้ไม่ใช่คำตอบที่ถูกต้องสำหรับภาวะ HIV infection เนื่องจากกลไกการออกฤทธิ์, efficacy หรือข้อบ่งใช้ไม่ตรงกับโจทย์ที่กำหนด
• ข้อ จ. (95.6 % o):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6" s="2" t="n"/>
      <c r="L206" s="2" t="inlineStr">
        <is>
          <t>HIV infection</t>
        </is>
      </c>
      <c r="M206" s="2" t="inlineStr">
        <is>
          <t>Clinic</t>
        </is>
      </c>
      <c r="N206" s="2" t="inlineStr">
        <is>
          <t>ข้อ 24 (PLE_CC1_2561_Key.md)</t>
        </is>
      </c>
      <c r="O206" s="2" t="inlineStr">
        <is>
          <t>ข้อสอบจริง</t>
        </is>
      </c>
      <c r="P206" s="2" t="inlineStr">
        <is>
          <t>ปี 2561</t>
        </is>
      </c>
    </row>
    <row r="207" ht="13.2" customHeight="1" s="37">
      <c r="A207" s="8" t="inlineStr">
        <is>
          <t>208</t>
        </is>
      </c>
      <c r="B207" s="2" t="inlineStr">
        <is>
          <t>จากกรณีศึกษาขางตนคาดว!าผูป%วยติดเชื้อตัวใด</t>
        </is>
      </c>
      <c r="C207" s="2" t="n"/>
      <c r="D207" s="2" t="inlineStr">
        <is>
          <t>Candida albican</t>
        </is>
      </c>
      <c r="E207" s="2" t="inlineStr">
        <is>
          <t>Malassezia furfur</t>
        </is>
      </c>
      <c r="F207" s="2" t="inlineStr">
        <is>
          <t>Tricosporum spp.</t>
        </is>
      </c>
      <c r="G207" s="2" t="inlineStr">
        <is>
          <t>Epidermophyton spp.</t>
        </is>
      </c>
      <c r="H207" s="2" t="inlineStr">
        <is>
          <t>Cryptococcus neoforman</t>
        </is>
      </c>
      <c r="I207" s="8" t="inlineStr">
        <is>
          <t>1</t>
        </is>
      </c>
      <c r="J207" s="2" t="inlineStr">
        <is>
          <t>✅ คำตอบที่ถูกต้อง: ข้อ ก. Candida albican
💡 Background:
การดูแลผู้ติดเชื้อ HIV เน้นเริ่ม Antiretroviral Therapy (ART) ทันทีเพื่อกด viral load ให้ undetectable (U=U) และฟื้นฟูระบบภูมิคุ้มกัน
🎯 ทำไมข้อนี้ถึงถูก:
Candida albican การเลือก Candida albican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(Malassezia furfur): ข้อนี้ไม่ใช่คำตอบที่ถูกต้องสำหรับภาวะ HIV infection เนื่องจากกลไกการออกฤทธิ์, efficacy หรือข้อบ่งใช้ไม่ตรงกับโจทย์ที่กำหนด
• ข้อ ค. (Tricosporum spp.): ข้อนี้ไม่ใช่คำตอบที่ถูกต้องสำหรับภาวะ HIV infection เนื่องจากกลไกการออกฤทธิ์, efficacy หรือข้อบ่งใช้ไม่ตรงกับโจทย์ที่กำหนด
• ข้อ ง. (Epidermophyton spp.): ข้อนี้ไม่ใช่คำตอบที่ถูกต้องสำหรับภาวะ HIV infection เนื่องจากกลไกการออกฤทธิ์, efficacy หรือข้อบ่งใช้ไม่ตรงกับโจทย์ที่กำหนด
• ข้อ จ. (Cryptococcus neoforman):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7" s="2" t="n"/>
      <c r="L207" s="2" t="inlineStr">
        <is>
          <t>HIV infection</t>
        </is>
      </c>
      <c r="M207" s="2" t="inlineStr">
        <is>
          <t>Clinic</t>
        </is>
      </c>
      <c r="N207" s="2" t="inlineStr">
        <is>
          <t>ข้อ 38 (PLE_CC1_2561_Key.md)</t>
        </is>
      </c>
      <c r="O207" s="2" t="inlineStr">
        <is>
          <t>ข้อสอบจริง</t>
        </is>
      </c>
      <c r="P207" s="2" t="inlineStr">
        <is>
          <t>ปี 2561</t>
        </is>
      </c>
    </row>
    <row r="208" ht="13.2" customHeight="1" s="37">
      <c r="A208" s="8" t="inlineStr">
        <is>
          <t>209</t>
        </is>
      </c>
      <c r="B208" s="2" t="inlineStr">
        <is>
          <t>สูตรยาต(านไวรัสสูตรใดที่ใช(ในการปqองกันก.อนสัมผัสโรค (PrEP)</t>
        </is>
      </c>
      <c r="C208" s="2" t="n"/>
      <c r="D208" s="2" t="inlineStr">
        <is>
          <t>TDF + 3TC</t>
        </is>
      </c>
      <c r="E208" s="2" t="inlineStr">
        <is>
          <t>AZT + 3TC</t>
        </is>
      </c>
      <c r="F208" s="2" t="inlineStr">
        <is>
          <t>TDF + FTC</t>
        </is>
      </c>
      <c r="G208" s="2" t="inlineStr">
        <is>
          <t>TDF + FTC + Lo/r</t>
        </is>
      </c>
      <c r="H208" s="2" t="inlineStr">
        <is>
          <t>TDF + 3TC + EFV</t>
        </is>
      </c>
      <c r="I208" s="8" t="inlineStr">
        <is>
          <t>1</t>
        </is>
      </c>
      <c r="J208" s="2" t="inlineStr">
        <is>
          <t>✅ คำตอบที่ถูกต้อง: ข้อ ก. TDF + 3TC
💡 Background:
การดูแลผู้ติดเชื้อ HIV เน้นเริ่ม Antiretroviral Therapy (ART) ทันทีเพื่อกด viral load ให้ undetectable (U=U) และฟื้นฟูระบบภูมิคุ้มกัน
🎯 ทำไมข้อนี้ถึงถูก:
TDF + 3TC การเลือก TDF + 3TC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 + 3TC): ข้อนี้ไม่ใช่คำตอบที่ถูกต้องสำหรับภาวะ HIV infection เนื่องจากกลไกการออกฤทธิ์, efficacy หรือข้อบ่งใช้ไม่ตรงกับโจทย์ที่กำหนด
• ข้อ ค. (TDF + FTC): ข้อนี้ไม่ใช่คำตอบที่ถูกต้องสำหรับภาวะ HIV infection เนื่องจากกลไกการออกฤทธิ์, efficacy หรือข้อบ่งใช้ไม่ตรงกับโจทย์ที่กำหนด
• ข้อ ง. (TDF + FTC + Lo/r): ข้อนี้ไม่ใช่คำตอบที่ถูกต้องสำหรับภาวะ HIV infection เนื่องจากกลไกการออกฤทธิ์, efficacy หรือข้อบ่งใช้ไม่ตรงกับโจทย์ที่กำหนด
• ข้อ จ. (TDF + 3TC + EFV):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8" s="2" t="n"/>
      <c r="L208" s="2" t="inlineStr">
        <is>
          <t>HIV infection</t>
        </is>
      </c>
      <c r="M208" s="2" t="inlineStr">
        <is>
          <t>Clinic</t>
        </is>
      </c>
      <c r="N208" s="2" t="inlineStr">
        <is>
          <t>ข้อ 47 (PLE_CC1_2561_Key.md)</t>
        </is>
      </c>
      <c r="O208" s="2" t="inlineStr">
        <is>
          <t>ข้อสอบจริง</t>
        </is>
      </c>
      <c r="P208" s="2" t="inlineStr">
        <is>
          <t>ปี 2561</t>
        </is>
      </c>
    </row>
    <row r="209" ht="13.2" customHeight="1" s="37">
      <c r="A209" s="8" t="inlineStr">
        <is>
          <t>210</t>
        </is>
      </c>
      <c r="B209" s="2" t="inlineStr">
        <is>
          <t>จากการคุยเพิ่มเติม ผู้ป่วยทราบว่าการมีเพศสัมพันธ์โดยไม่ได้ป้องกัน มีความเสี่ยงต่อการติดเชื่้อทาง เพศสัมพันธ์ และการใส่ถุงยางอนามัยสามารถป้องกันได้ และทราบว่าถ้าติดโรคแล้วจะรุนแรง เช่น HIV แต่ไม่ใส่ถุงยางเพราะ เพื่อนผู้หญิงเป็นเพื่อนในมหาลัยเดียวกัน ที่คนในกลุ่มนางไม่มีคนติดโรคทาง เพศสัมพันธ์ ถามว่า Health belief model ใด เป็นสาเหตุของการติดโรคครั งนี</t>
        </is>
      </c>
      <c r="C209" s="2" t="n"/>
      <c r="D209" s="2" t="inlineStr">
        <is>
          <t>Perceived susceptibility ต่้า</t>
        </is>
      </c>
      <c r="E209" s="2" t="inlineStr">
        <is>
          <t>Perceived barrier ต่้า</t>
        </is>
      </c>
      <c r="F209" s="2" t="inlineStr">
        <is>
          <t>Perceived benefit ต่้า</t>
        </is>
      </c>
      <c r="G209" s="2" t="inlineStr">
        <is>
          <t>Perceived seriousness ต่้า</t>
        </is>
      </c>
      <c r="H209" s="2" t="inlineStr">
        <is>
          <t>ไม่มีปัจจัยกระตุ้นให้ใส่ถุงยาง</t>
        </is>
      </c>
      <c r="I209" s="8" t="inlineStr">
        <is>
          <t>1</t>
        </is>
      </c>
      <c r="J209" s="2" t="inlineStr">
        <is>
          <t>✅ คำตอบที่ถูกต้อง: ข้อ ก. Perceived susceptibility ต่้า
💡 Background:
การดูแลผู้ติดเชื้อ HIV เน้นเริ่ม Antiretroviral Therapy (ART) ทันทีเพื่อกด viral load ให้ undetectable (U=U) และฟื้นฟูระบบภูมิคุ้มกัน
🎯 ทำไมข้อนี้ถึงถูก:
Perceived susceptibility ต่้า การเลือก Perceived susceptibility ต่้า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(Perceived barrier ต่้า): ข้อนี้ไม่ใช่คำตอบที่ถูกต้องสำหรับภาวะ HIV infection เนื่องจากกลไกการออกฤทธิ์, efficacy หรือข้อบ่งใช้ไม่ตรงกับโจทย์ที่กำหนด
• ข้อ ค. (Perceived benefit ต่้า): ข้อนี้ไม่ใช่คำตอบที่ถูกต้องสำหรับภาวะ HIV infection เนื่องจากกลไกการออกฤทธิ์, efficacy หรือข้อบ่งใช้ไม่ตรงกับโจทย์ที่กำหนด
• ข้อ ง. (Perceived seriousness ต่้า): ข้อนี้ไม่ใช่คำตอบที่ถูกต้องสำหรับภาวะ HIV infection เนื่องจากกลไกการออกฤทธิ์, efficacy หรือข้อบ่งใช้ไม่ตรงกับโจทย์ที่กำหนด
• ข้อ จ. (ไม่มีปัจจัยกระตุ้นให้ใส่ถุงยาง):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9" s="2" t="n"/>
      <c r="L209" s="2" t="inlineStr">
        <is>
          <t>HIV infection</t>
        </is>
      </c>
      <c r="M209" s="2" t="inlineStr">
        <is>
          <t>Clinic</t>
        </is>
      </c>
      <c r="N209" s="2" t="inlineStr">
        <is>
          <t>ข้อ 4 (PLE_CC1_2560 22 April Set 1.md)</t>
        </is>
      </c>
      <c r="O209" s="2" t="inlineStr">
        <is>
          <t>ข้อสอบจริง</t>
        </is>
      </c>
      <c r="P209" s="2" t="inlineStr">
        <is>
          <t>ปี 2560</t>
        </is>
      </c>
    </row>
    <row r="210" ht="13.2" customHeight="1" s="37">
      <c r="A210" s="8" t="inlineStr">
        <is>
          <t>211</t>
        </is>
      </c>
      <c r="B210" s="2" t="inlineStr">
        <is>
          <t>ข้อใดไม่ถูกต้องเกี่ยวกับการเรียกยาคืน</t>
        </is>
      </c>
      <c r="C210" s="2" t="n"/>
      <c r="D210" s="2" t="inlineStr">
        <is>
          <t>ต้องสามารถเรียกยาคืนได้ทันทีเมื่อเกิดปัญหา</t>
        </is>
      </c>
      <c r="E210" s="2" t="inlineStr">
        <is>
          <t>การเรียกยาคืนเป็นหน้าที่ของฝ่ายขายและการตลาดเท่านั้น</t>
        </is>
      </c>
      <c r="F210" s="2" t="inlineStr">
        <is>
          <t>มีระบบการเรียกยาคืนที่เป็นปัจจุบัน</t>
        </is>
      </c>
      <c r="G210" s="2" t="inlineStr">
        <is>
          <t>ถ้าเกิดปัญหาต้องมีการเรียกยาคืน</t>
        </is>
      </c>
      <c r="H210" s="2" t="inlineStr">
        <is>
          <t>การเรียกยาคืนต้องแจ้ง อย. ทุกครั้ง</t>
        </is>
      </c>
      <c r="I210" s="8" t="inlineStr">
        <is>
          <t>1</t>
        </is>
      </c>
      <c r="J210" s="2" t="inlineStr">
        <is>
          <t>✅ คำตอบที่ถูกต้อง: ข้อ ก. ต้องสามารถเรียกยาคืนได้ทันทีเมื่อเกิดปัญหา
💡 Background:
การดูแลผู้ติดเชื้อ HIV เน้นเริ่ม Antiretroviral Therapy (ART) ทันทีเพื่อกด viral load ให้ undetectable (U=U) และฟื้นฟูระบบภูมิคุ้มกัน
🎯 ทำไมข้อนี้ถึงถูก:
ต้องสามารถเรียกยาคืนได้ทันทีเมื่อเกิดปัญหา การเลือก ต้องสามารถเรียกยาคืนได้ทันทีเมื่อเกิดปัญหา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(การเรียกยาคืนเป็นหน้าที่ของฝ่ายขายและการตลาดเท่านั้น): ข้อนี้ไม่ใช่คำตอบที่ถูกต้องสำหรับภาวะ HIV infection เนื่องจากกลไกการออกฤทธิ์, efficacy หรือข้อบ่งใช้ไม่ตรงกับโจทย์ที่กำหนด
• ข้อ ค. (มีระบบการเรียกยาคืนที่เป็นปัจจุบัน): ข้อนี้ไม่ใช่คำตอบที่ถูกต้องสำหรับภาวะ HIV infection เนื่องจากกลไกการออกฤทธิ์, efficacy หรือข้อบ่งใช้ไม่ตรงกับโจทย์ที่กำหนด
• ข้อ ง. (ถ้าเกิดปัญหาต้องมีการเรียกยาคืน): ข้อนี้ไม่ใช่คำตอบที่ถูกต้องสำหรับภาวะ HIV infection เนื่องจากกลไกการออกฤทธิ์, efficacy หรือข้อบ่งใช้ไม่ตรงกับโจทย์ที่กำหนด
• ข้อ จ. (การเรียกยาคืนต้องแจ้ง อย. ทุกครั้ง):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0" s="2" t="n"/>
      <c r="L210" s="2" t="inlineStr">
        <is>
          <t>HIV infection</t>
        </is>
      </c>
      <c r="M210" s="2" t="inlineStr">
        <is>
          <t>Clinic</t>
        </is>
      </c>
      <c r="N210" s="2" t="inlineStr">
        <is>
          <t>ข้อ 8 (PLE_CC1_2558_Key.md)</t>
        </is>
      </c>
      <c r="O210" s="2" t="inlineStr">
        <is>
          <t>ข้อสอบจริง</t>
        </is>
      </c>
      <c r="P210" s="2" t="inlineStr">
        <is>
          <t>ปี 2558</t>
        </is>
      </c>
    </row>
    <row r="211" ht="13.2" customHeight="1" s="37">
      <c r="A211" s="8" t="inlineStr">
        <is>
          <t>212</t>
        </is>
      </c>
      <c r="B211" s="2" t="inlineStr">
        <is>
          <t>ข้อใดไม่ถูกต้องเกี่ยวกับ amoxicillin/clavulanic acid</t>
        </is>
      </c>
      <c r="C211" s="2" t="n"/>
      <c r="D211" s="2" t="inlineStr">
        <is>
          <t>ไม่ถูกทำลายโดย beta lactamase</t>
        </is>
      </c>
      <c r="E211" s="2" t="inlineStr">
        <is>
          <t>เกิดปฏิกิริยา hydrolysis</t>
        </is>
      </c>
      <c r="F211" s="2" t="inlineStr">
        <is>
          <t>เกิดปฏิกิริยา epimerization</t>
        </is>
      </c>
      <c r="G211" s="2" t="inlineStr">
        <is>
          <t>Clavulanic acid ไม่ใช่สารออกฤทธิ์</t>
        </is>
      </c>
      <c r="H211" s="2" t="inlineStr">
        <is>
          <t>เป็นยาในกลุ่ม aminopenicillin กรณีศึกษา 3</t>
        </is>
      </c>
      <c r="I211" s="8" t="inlineStr">
        <is>
          <t>1</t>
        </is>
      </c>
      <c r="J211" s="2" t="inlineStr">
        <is>
          <t>✅ คำตอบที่ถูกต้อง: ข้อ ก. ไม่ถูกทำลายโดย beta lactamase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ไม่ถูกทำลายโดย beta lactamase ผู้ป่วยปวดนิ้วโป้งเท้ามาก บวม แดง อ้วน เป็นความดัน ไขมันในเลือดสูง ได้ยา HCTZ ดื่มสุรา ได้รับการวินิจฉัยเป็นโรคเกาต์
🔍 ข้ออื่นผิดเพราะอะไร:
• ข้อ ข. (เกิดปฏิกิริยา hydrolysis): ข้อนี้ไม่ใช่คำตอบที่ถูกต้องสำหรับภาวะ URTI เนื่องจากกลไกการออกฤทธิ์, efficacy หรือข้อบ่งใช้ไม่ตรงกับโจทย์ที่กำหนด
• ข้อ ค. (เกิดปฏิกิริยา epimerization): ข้อนี้ไม่ใช่คำตอบที่ถูกต้องสำหรับภาวะ URTI เนื่องจากกลไกการออกฤทธิ์, efficacy หรือข้อบ่งใช้ไม่ตรงกับโจทย์ที่กำหนด
• ข้อ ง. (Clavulanic acid ไม่ใช่สารออกฤทธิ์): ข้อนี้ไม่ใช่คำตอบที่ถูกต้องสำหรับภาวะ URTI เนื่องจากกลไกการออกฤทธิ์, efficacy หรือข้อบ่งใช้ไม่ตรงกับโจทย์ที่กำหนด
• ข้อ จ. (เป็นยาในกลุ่ม aminopenicillin กรณีศึกษา 3): ข้อนี้ไม่ใช่คำตอบที่ถูกต้องสำหรับภาวะ URTI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2" t="n"/>
      <c r="L211" s="2" t="inlineStr">
        <is>
          <t>URTI</t>
        </is>
      </c>
      <c r="M211" s="2" t="inlineStr">
        <is>
          <t>Clinic</t>
        </is>
      </c>
      <c r="N211" s="2" t="inlineStr">
        <is>
          <t>ข้อ 16 (PLE_CC1_2558_Key.md)</t>
        </is>
      </c>
      <c r="O211" s="2" t="inlineStr">
        <is>
          <t>ข้อสอบจริง</t>
        </is>
      </c>
      <c r="P211" s="2" t="inlineStr">
        <is>
          <t>ปี 2558</t>
        </is>
      </c>
    </row>
    <row r="212" ht="13.2" customHeight="1" s="37">
      <c r="A212" s="8" t="inlineStr">
        <is>
          <t>213</t>
        </is>
      </c>
      <c r="B212" s="2" t="inlineStr">
        <is>
          <t>ข้อใดคือสูตรยารักษาแรก ที่แนะนำให้ใช้ในผู้ติดเชื้อเอชไอวีที่ไม่มีข้อห้ามใช้</t>
        </is>
      </c>
      <c r="C212" s="2" t="n"/>
      <c r="D212" s="2" t="inlineStr">
        <is>
          <t>TDF+FTC+RPV</t>
        </is>
      </c>
      <c r="E212" s="2" t="inlineStr">
        <is>
          <t>TDF+3TC+EFV</t>
        </is>
      </c>
      <c r="F212" s="2" t="inlineStr">
        <is>
          <t>TDF+FTC+DTG</t>
        </is>
      </c>
      <c r="G212" s="2" t="inlineStr">
        <is>
          <t>ABC+3TC+DTG</t>
        </is>
      </c>
      <c r="H212" s="2" t="inlineStr">
        <is>
          <t>AZT+FTC+DTG</t>
        </is>
      </c>
      <c r="I212" s="8" t="inlineStr">
        <is>
          <t>1</t>
        </is>
      </c>
      <c r="J212" s="2" t="inlineStr">
        <is>
          <t>✅ คำตอบที่ถูกต้อง: ข้อ ก. TDF+FTC+RPV
💡 Background:
การดูแลผู้ติดเชื้อ HIV เน้นเริ่ม Antiretroviral Therapy (ART) ทันทีเพื่อกด viral load ให้ undetectable (U=U) และฟื้นฟูระบบภูมิคุ้มกัน
🎯 ทำไมข้อนี้ถึงถูก:
TDF+FTC+RPV การเลือก TDF+FTC+RPV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(TDF+3TC+EFV): ข้อนี้ไม่ใช่คำตอบที่ถูกต้องสำหรับภาวะ HIV infection เนื่องจากกลไกการออกฤทธิ์, efficacy หรือข้อบ่งใช้ไม่ตรงกับโจทย์ที่กำหนด
• ข้อ ค. (TDF+FTC+DTG): วัคซีนรวมคอตีบ-บาดทะยัก ฉีดกระตุ้นทุก 10 ปี หรือใช้ในหญิงตั้งครรภ์และผู้ใหญ่
• ข้อ ง. (ABC+3TC+DTG): วัคซีนรวมคอตีบ-บาดทะยัก ฉีดกระตุ้นทุก 10 ปี หรือใช้ในหญิงตั้งครรภ์และผู้ใหญ่
• ข้อ จ. (AZT+FTC+DTG): วัคซีนรวมคอตีบ-บาดทะยัก ฉีดกระตุ้นทุก 10 ปี หรือใช้ในหญิงตั้งครรภ์และผู้ใหญ่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2" s="2" t="n"/>
      <c r="L212" s="2" t="inlineStr">
        <is>
          <t>HIV infection</t>
        </is>
      </c>
      <c r="M212" s="2" t="inlineStr">
        <is>
          <t>Clinic</t>
        </is>
      </c>
      <c r="N212" s="2" t="inlineStr">
        <is>
          <t>ข้อ 31 (Pharmtutor_2024_Set1.md)</t>
        </is>
      </c>
      <c r="O212" s="2" t="inlineStr">
        <is>
          <t>Mock</t>
        </is>
      </c>
      <c r="P212" s="2" t="inlineStr">
        <is>
          <t>Mock Pharmtutor 2024</t>
        </is>
      </c>
    </row>
    <row r="213" ht="13.2" customHeight="1" s="37">
      <c r="A213" s="8" t="inlineStr">
        <is>
          <t>214</t>
        </is>
      </c>
      <c r="B213" s="2" t="inlineStr">
        <is>
          <t>การใช้ยา Amoxicillin+Clavulanic acid สามารถพบผลข้างเคียงใดได้บ่อยที่สุด</t>
        </is>
      </c>
      <c r="C213" s="2" t="n"/>
      <c r="D213" s="2" t="inlineStr">
        <is>
          <t>คลื่นไส้ อาเจียน</t>
        </is>
      </c>
      <c r="E213" s="2" t="inlineStr">
        <is>
          <t>กรดไหลย้อน</t>
        </is>
      </c>
      <c r="F213" s="2" t="inlineStr">
        <is>
          <t>ท้องเสีย</t>
        </is>
      </c>
      <c r="G213" s="2" t="inlineStr">
        <is>
          <t>ไอ</t>
        </is>
      </c>
      <c r="H213" s="2" t="inlineStr">
        <is>
          <t>เวียนศีรษะ</t>
        </is>
      </c>
      <c r="I213" s="8" t="inlineStr">
        <is>
          <t>1</t>
        </is>
      </c>
      <c r="J213" s="2" t="inlineStr">
        <is>
          <t>✅ คำตอบที่ถูกต้อง: ข้อ ก. คลื่นไส้ อาเจียน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คลื่นไส้ อาเจียน การเลือก คลื่นไส้ อาเจียน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(กรดไหลย้อน): ข้อนี้ไม่ใช่คำตอบที่ถูกต้องสำหรับภาวะ URTI เนื่องจากกลไกการออกฤทธิ์, efficacy หรือข้อบ่งใช้ไม่ตรงกับโจทย์ที่กำหนด
• ข้อ ค. (ท้องเสีย): ข้อนี้ไม่ใช่คำตอบที่ถูกต้องสำหรับภาวะ URTI เนื่องจากกลไกการออกฤทธิ์, efficacy หรือข้อบ่งใช้ไม่ตรงกับโจทย์ที่กำหนด
• ข้อ ง. (ไอ): ข้อนี้ไม่ใช่คำตอบที่ถูกต้องสำหรับภาวะ URTI เนื่องจากกลไกการออกฤทธิ์, efficacy หรือข้อบ่งใช้ไม่ตรงกับโจทย์ที่กำหนด
• ข้อ จ. (เวียนศีรษะ): ข้อนี้ไม่ใช่คำตอบที่ถูกต้องสำหรับภาวะ URTI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2" t="n"/>
      <c r="L213" s="2" t="inlineStr">
        <is>
          <t>URTI</t>
        </is>
      </c>
      <c r="M213" s="2" t="inlineStr">
        <is>
          <t>Clinic</t>
        </is>
      </c>
      <c r="N213" s="2" t="inlineStr">
        <is>
          <t>ข้อ 36 (Pharmtutor_2024_Set1.md)</t>
        </is>
      </c>
      <c r="O213" s="2" t="inlineStr">
        <is>
          <t>Mock</t>
        </is>
      </c>
      <c r="P213" s="2" t="inlineStr">
        <is>
          <t>Mock Pharmtutor 2024</t>
        </is>
      </c>
    </row>
    <row r="214" ht="13.2" customHeight="1" s="37">
      <c r="A214" s="8" t="inlineStr">
        <is>
          <t>215</t>
        </is>
      </c>
      <c r="B214" s="2" t="inlineStr">
        <is>
          <t>ผู้ป่วยหญิงไทย วัยเจริญพันธุ์ อายุ 23 ปี มาขอคำปรึกษาเภสัชกร เนื่องจากมีอาการตกขาว มีกลิ่น ร่วมกับมีอาการคันภายในช่องคลอด มีอาการมาประมาณ 2-3 วัน ปฏิเสธประวัติการแพ้ยาและการมีเพศสัมพันธ์ จากอาการข้างต้น ผู้ป่วยดังกล่าว น่าจะมีสาเหตุมาจากการติดเชื้อชนิดใด</t>
        </is>
      </c>
      <c r="C214" s="2" t="n"/>
      <c r="D214" s="2" t="inlineStr">
        <is>
          <t>Trichomonas</t>
        </is>
      </c>
      <c r="E214" s="2" t="inlineStr">
        <is>
          <t>Candida Albicans</t>
        </is>
      </c>
      <c r="F214" s="2" t="inlineStr">
        <is>
          <t>Herpes Simplex</t>
        </is>
      </c>
      <c r="G214" s="2" t="inlineStr">
        <is>
          <t>Chlamydia</t>
        </is>
      </c>
      <c r="H214" s="2" t="inlineStr">
        <is>
          <t>Papilloma Virus</t>
        </is>
      </c>
      <c r="I214" s="8" t="inlineStr">
        <is>
          <t>1</t>
        </is>
      </c>
      <c r="J214" s="2" t="inlineStr">
        <is>
          <t>✅ คำตอบที่ถูกต้อง: ข้อ ก. Trichomonas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Trichomonas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Albicans): ข้อนี้ไม่ใช่คำตอบที่ถูกต้องสำหรับภาวะ STDs &amp; vaginitis เนื่องจากกลไกการออกฤทธิ์, efficacy หรือข้อบ่งใช้ไม่ตรงกับโจทย์ที่กำหนด
• ข้อ ค. (Herpes Simplex): ข้อนี้ไม่ใช่คำตอบที่ถูกต้องสำหรับภาวะ STDs &amp; vaginitis เนื่องจากกลไกการออกฤทธิ์, efficacy หรือข้อบ่งใช้ไม่ตรงกับโจทย์ที่กำหนด
• ข้อ ง. (Chlamydia): ข้อนี้ไม่ใช่คำตอบที่ถูกต้องสำหรับภาวะ STDs &amp; vaginitis เนื่องจากกลไกการออกฤทธิ์, efficacy หรือข้อบ่งใช้ไม่ตรงกับโจทย์ที่กำหนด
• ข้อ จ. (Papilloma Virus): ข้อนี้ไม่ใช่คำตอบที่ถูกต้องสำหรับภาวะ STDs &amp; vaginitis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4" s="2" t="n"/>
      <c r="L214" s="2" t="inlineStr">
        <is>
          <t>STDs &amp; vaginitis</t>
        </is>
      </c>
      <c r="M214" s="2" t="inlineStr">
        <is>
          <t>Clinic</t>
        </is>
      </c>
      <c r="N214" s="2" t="inlineStr">
        <is>
          <t>ข้อ 41 (Pharmtutor_2024_Set1.md)</t>
        </is>
      </c>
      <c r="O214" s="2" t="inlineStr">
        <is>
          <t>Mock</t>
        </is>
      </c>
      <c r="P214" s="2" t="inlineStr">
        <is>
          <t>Mock Pharmtutor 2024</t>
        </is>
      </c>
    </row>
    <row r="215" ht="13.2" customHeight="1" s="37">
      <c r="A215" s="8" t="inlineStr">
        <is>
          <t>216</t>
        </is>
      </c>
      <c r="B215" s="2" t="inlineStr">
        <is>
          <t>เชื้อสาเหตุใดที่พบได้มากที่สุดในการติดเชื้อปอกอักเสบชนิด Community-acquired pneumonia (CAP)</t>
        </is>
      </c>
      <c r="C215" s="2" t="n"/>
      <c r="D215" s="2" t="inlineStr">
        <is>
          <t>Pseudomonas aeruginosa</t>
        </is>
      </c>
      <c r="E215" s="2" t="inlineStr">
        <is>
          <t>Acinetobacter baumannii</t>
        </is>
      </c>
      <c r="F215" s="2" t="inlineStr">
        <is>
          <t>Klebsiella pneumoniae</t>
        </is>
      </c>
      <c r="G215" s="2" t="inlineStr">
        <is>
          <t>Mycoplasma pneumoniae</t>
        </is>
      </c>
      <c r="H215" s="2" t="inlineStr">
        <is>
          <t>Streptococcus pneumoniae</t>
        </is>
      </c>
      <c r="I215" s="8" t="inlineStr">
        <is>
          <t>1</t>
        </is>
      </c>
      <c r="J215" s="2" t="inlineStr">
        <is>
          <t>✅ คำตอบที่ถูกต้อง: ข้อ ก. Pseudomonas aeruginosa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Pseudomonas aeruginosa การเลือก Pseudomonas aeruginosa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ข. (Acinetobacter baumannii): ข้อนี้ไม่ใช่คำตอบที่ถูกต้องสำหรับภาวะ Pneumonia เนื่องจากกลไกการออกฤทธิ์, efficacy หรือข้อบ่งใช้ไม่ตรงกับโจทย์ที่กำหนด
• ข้อ ค. (Klebsiella pneumoniae): ข้อนี้ไม่ใช่คำตอบที่ถูกต้องสำหรับภาวะ Pneumonia เนื่องจากกลไกการออกฤทธิ์, efficacy หรือข้อบ่งใช้ไม่ตรงกับโจทย์ที่กำหนด
• ข้อ ง. (Mycoplasma pneumoniae): ข้อนี้ไม่ใช่คำตอบที่ถูกต้องสำหรับภาวะ Pneumonia เนื่องจากกลไกการออกฤทธิ์, efficacy หรือข้อบ่งใช้ไม่ตรงกับโจทย์ที่กำหนด
• ข้อ จ. (Streptococcus pneumoniae): ข้อนี้ไม่ใช่คำตอบที่ถูกต้องสำหรับภาวะ Pneumonia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2" t="n"/>
      <c r="L215" s="2" t="inlineStr">
        <is>
          <t>Pneumonia</t>
        </is>
      </c>
      <c r="M215" s="2" t="inlineStr">
        <is>
          <t>Clinic</t>
        </is>
      </c>
      <c r="N215" s="2" t="inlineStr">
        <is>
          <t>ข้อ 43 (Pharmtutor_2024_Set1.md)</t>
        </is>
      </c>
      <c r="O215" s="2" t="inlineStr">
        <is>
          <t>Mock</t>
        </is>
      </c>
      <c r="P215" s="2" t="inlineStr">
        <is>
          <t>Mock Pharmtutor 2024</t>
        </is>
      </c>
    </row>
    <row r="216" ht="13.2" customHeight="1" s="37">
      <c r="A216" s="8" t="inlineStr">
        <is>
          <t>217</t>
        </is>
      </c>
      <c r="B216" s="2" t="inlineStr">
        <is>
          <t>หากผู้ป่วยมีการติดเชื้อ MRSA ยาชนิดใดเหมาะสมมากที่สุด</t>
        </is>
      </c>
      <c r="C216" s="2" t="n"/>
      <c r="D216" s="2" t="inlineStr">
        <is>
          <t>Ceftazidime</t>
        </is>
      </c>
      <c r="E216" s="2" t="inlineStr">
        <is>
          <t>Meropenem</t>
        </is>
      </c>
      <c r="F216" s="2" t="inlineStr">
        <is>
          <t>Piperacillin-tazobactam</t>
        </is>
      </c>
      <c r="G216" s="2" t="inlineStr">
        <is>
          <t>Vancomycin</t>
        </is>
      </c>
      <c r="H216" s="2" t="inlineStr">
        <is>
          <t>Levofloxacin</t>
        </is>
      </c>
      <c r="I216" s="8" t="inlineStr">
        <is>
          <t>1</t>
        </is>
      </c>
      <c r="J216" s="2" t="inlineStr">
        <is>
          <t>✅ คำตอบที่ถูกต้อง: ข้อ ก. Ceftazidime
💡 Background:
การดูแลผู้ติดเชื้อ HIV เน้นเริ่ม Antiretroviral Therapy (ART) ทันทีเพื่อกด viral load ให้ undetectable (U=U) และฟื้นฟูระบบภูมิคุ้มกัน
🎯 ทำไมข้อนี้ถึงถูก:
Ceftazidime การเลือก Ceftazidime เป็นคำตอบที่ถูกต้องตามแนวทางการรักษามาตรฐาน เนื่องจาก เป็น 3rd gen cephalosporin ที่มี antipseudomonal activity เด่นชัด เป็น drug of choice สำหรับ Melioidosis (Burkholderia pseudomallei) ในระยะ intensive phase
🔍 ข้ออื่นผิดเพราะอะไร:
• ข้อ ข. (Meropenem): เป็น Carbapenem มี broad spectrum ครอบคลุม multidrug-resistant gram-negative รวมทั้ง Pseudomonas aeruginosa และ ESBL-producing bacteria มีความเสี่ยงต่ออาการชักต่ำกว่า imipenem
• ข้อ ค. (Piperacillin-tazobactam): ข้อนี้ไม่ใช่คำตอบที่ถูกต้องสำหรับภาวะ HIV infection เนื่องจากกลไกการออกฤทธิ์, efficacy หรือข้อบ่งใช้ไม่ตรงกับโจทย์ที่กำหนด
• ข้อ ง. (Vancomycin): เป็น Glycopeptide antibiotic ยับยั้ง MRSA และ Enterococcus ต้อง monitoring trough level (target 15-20 mcg/mL ใน severe infections) เพื่อป้องกัน nephrotoxicity และ ototoxity
• ข้อ จ. (Levofloxacin): เป็น Respiratory Fluoroquinolone ครอบคลุมทั้ง Streptococcus pneumoniae, atypicals และ Pseudomonas aeruginosa ใช้รักษา CAP, complicated UTI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6" s="2" t="n"/>
      <c r="L216" s="2" t="inlineStr">
        <is>
          <t>HIV infection</t>
        </is>
      </c>
      <c r="M216" s="2" t="inlineStr">
        <is>
          <t>Clinic</t>
        </is>
      </c>
      <c r="N216" s="2" t="inlineStr">
        <is>
          <t>ข้อ 44 (Pharmtutor_2024_Set1.md)</t>
        </is>
      </c>
      <c r="O216" s="2" t="inlineStr">
        <is>
          <t>Mock</t>
        </is>
      </c>
      <c r="P216" s="2" t="inlineStr">
        <is>
          <t>Mock Pharmtutor 2024</t>
        </is>
      </c>
    </row>
    <row r="217" ht="13.2" customHeight="1" s="37">
      <c r="A217" s="8" t="inlineStr">
        <is>
          <t>218</t>
        </is>
      </c>
      <c r="B217" s="2" t="inlineStr">
        <is>
          <t>ข้อใดต่อไปนี้ คือ specific test ของ dosage form ดังกล่าว</t>
        </is>
      </c>
      <c r="C217" s="2" t="n"/>
      <c r="D217" s="2" t="inlineStr">
        <is>
          <t>Minimum fill</t>
        </is>
      </c>
      <c r="E217" s="2" t="inlineStr">
        <is>
          <t>Impurities test</t>
        </is>
      </c>
      <c r="F217" s="2" t="inlineStr">
        <is>
          <t>Sterility tests</t>
        </is>
      </c>
      <c r="G217" s="2" t="inlineStr">
        <is>
          <t>Microbial limit test</t>
        </is>
      </c>
      <c r="H217" s="2" t="inlineStr">
        <is>
          <t>Assay</t>
        </is>
      </c>
      <c r="I217" s="8" t="inlineStr">
        <is>
          <t>1</t>
        </is>
      </c>
      <c r="J217" s="2" t="inlineStr">
        <is>
          <t>✅ คำตอบที่ถูกต้อง: ข้อ ก. Minimum fill
💡 Background:
การดูแลผู้ติดเชื้อ HIV เน้นเริ่ม Antiretroviral Therapy (ART) ทันทีเพื่อกด viral load ให้ undetectable (U=U) และฟื้นฟูระบบภูมิคุ้มกัน
🎯 ทำไมข้อนี้ถึงถูก:
Minimum fill การเลือก Minimum fill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(Impurities test): ข้อนี้ไม่ใช่คำตอบที่ถูกต้องสำหรับภาวะ HIV infection เนื่องจากกลไกการออกฤทธิ์, efficacy หรือข้อบ่งใช้ไม่ตรงกับโจทย์ที่กำหนด
• ข้อ ค. (Sterility tests): ข้อนี้ไม่ใช่คำตอบที่ถูกต้องสำหรับภาวะ HIV infection เนื่องจากกลไกการออกฤทธิ์, efficacy หรือข้อบ่งใช้ไม่ตรงกับโจทย์ที่กำหนด
• ข้อ ง. (Microbial limit test): ข้อนี้ไม่ใช่คำตอบที่ถูกต้องสำหรับภาวะ HIV infection เนื่องจากกลไกการออกฤทธิ์, efficacy หรือข้อบ่งใช้ไม่ตรงกับโจทย์ที่กำหนด
• ข้อ จ. (Assay):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7" s="2" t="n"/>
      <c r="L217" s="2" t="inlineStr">
        <is>
          <t>HIV infection</t>
        </is>
      </c>
      <c r="M217" s="2" t="inlineStr">
        <is>
          <t>Clinic</t>
        </is>
      </c>
      <c r="N217" s="2" t="inlineStr">
        <is>
          <t>ข้อ 101 (Pharmtutor_2024_Set1.md)</t>
        </is>
      </c>
      <c r="O217" s="2" t="inlineStr">
        <is>
          <t>Mock</t>
        </is>
      </c>
      <c r="P217" s="2" t="inlineStr">
        <is>
          <t>Mock Pharmtutor 2024</t>
        </is>
      </c>
    </row>
    <row r="218" ht="13.2" customHeight="1" s="37">
      <c r="A218" s="8" t="inlineStr">
        <is>
          <t>219</t>
        </is>
      </c>
      <c r="B218" s="2" t="inlineStr">
        <is>
          <t>ตำบลแห่งหนึ่งมีประชากรทั้งหมด 1,000 คน ติดเชื้อไวรัสโควิท 19 ทั้งหมด 300 คน พบว่า เมื่อเดือนกรกฎาคม 2566 มีประชากรติดเชื้อเพิ่มอีก 50 คน จงหาอุบัติการณ์ของการติดเชื้อไวรัสโควิท 19 ในเดือนกรกฎาคมที่ผ่านมา มีค่าเท่ากับเท่าใด</t>
        </is>
      </c>
      <c r="C218" s="2" t="n"/>
      <c r="D218" s="2" t="inlineStr">
        <is>
          <t>300/1000</t>
        </is>
      </c>
      <c r="E218" s="2" t="inlineStr">
        <is>
          <t>350/1000</t>
        </is>
      </c>
      <c r="F218" s="2" t="inlineStr">
        <is>
          <t>50/700</t>
        </is>
      </c>
      <c r="G218" s="2" t="inlineStr">
        <is>
          <t>350/700</t>
        </is>
      </c>
      <c r="H218" s="2" t="inlineStr">
        <is>
          <t>50/1000</t>
        </is>
      </c>
      <c r="I218" s="8" t="inlineStr">
        <is>
          <t>1</t>
        </is>
      </c>
      <c r="J218" s="2" t="inlineStr">
        <is>
          <t>✅ คำตอบที่ถูกต้อง: ข้อ ก. 300/1000
💡 Background:
การดูแลผู้ติดเชื้อ HIV เน้นเริ่ม Antiretroviral Therapy (ART) ทันทีเพื่อกด viral load ให้ undetectable (U=U) และฟื้นฟูระบบภูมิคุ้มกัน
🎯 ทำไมข้อนี้ถึงถูก:
300/1000 การเลือก 300/1000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(350/1000): ข้อนี้ไม่ใช่คำตอบที่ถูกต้องสำหรับภาวะ HIV infection เนื่องจากกลไกการออกฤทธิ์, efficacy หรือข้อบ่งใช้ไม่ตรงกับโจทย์ที่กำหนด
• ข้อ ค. (50/700): ข้อนี้ไม่ใช่คำตอบที่ถูกต้องสำหรับภาวะ HIV infection เนื่องจากกลไกการออกฤทธิ์, efficacy หรือข้อบ่งใช้ไม่ตรงกับโจทย์ที่กำหนด
• ข้อ ง. (350/700): ข้อนี้ไม่ใช่คำตอบที่ถูกต้องสำหรับภาวะ HIV infection เนื่องจากกลไกการออกฤทธิ์, efficacy หรือข้อบ่งใช้ไม่ตรงกับโจทย์ที่กำหนด
• ข้อ จ. (50/1000):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8" s="2" t="n"/>
      <c r="L218" s="2" t="inlineStr">
        <is>
          <t>HIV infection</t>
        </is>
      </c>
      <c r="M218" s="2" t="inlineStr">
        <is>
          <t>Clinic</t>
        </is>
      </c>
      <c r="N218" s="2" t="inlineStr">
        <is>
          <t>ข้อ 115 (Pharmtutor_2024_Set1.md)</t>
        </is>
      </c>
      <c r="O218" s="2" t="inlineStr">
        <is>
          <t>Mock</t>
        </is>
      </c>
      <c r="P218" s="2" t="inlineStr">
        <is>
          <t>Mock Pharmtutor 2024</t>
        </is>
      </c>
    </row>
    <row r="219" ht="13.2" customHeight="1" s="37">
      <c r="A219" s="8" t="inlineStr">
        <is>
          <t>220</t>
        </is>
      </c>
      <c r="B219" s="2" t="inlineStr">
        <is>
          <t>ข้อใดคือ กลไกการออกฤทธิ์ของ Acyclovir</t>
        </is>
      </c>
      <c r="C219" s="2" t="n"/>
      <c r="D219" s="2" t="inlineStr">
        <is>
          <t>ยับยั้ง Viral DNA polymerase</t>
        </is>
      </c>
      <c r="E219" s="2" t="inlineStr">
        <is>
          <t>ยับยั้ง 14-alpha demethylase</t>
        </is>
      </c>
      <c r="F219" s="2" t="inlineStr">
        <is>
          <t>ยับยั้งการสร้าง nucleic acid</t>
        </is>
      </c>
      <c r="G219" s="2" t="inlineStr">
        <is>
          <t>ยับยั้ง DNA gyrase</t>
        </is>
      </c>
      <c r="H219" s="2" t="inlineStr">
        <is>
          <t>ยับยั้ง Nucleoside reverse transcriptase</t>
        </is>
      </c>
      <c r="I219" s="8" t="inlineStr">
        <is>
          <t>1</t>
        </is>
      </c>
      <c r="J219" s="2" t="inlineStr">
        <is>
          <t>✅ คำตอบที่ถูกต้อง: ข้อ ก. ยับยั้ง Viral DNA polymerase
💡 Background:
การดูแลผู้ติดเชื้อ HIV เน้นเริ่ม Antiretroviral Therapy (ART) ทันทีเพื่อกด viral load ให้ undetectable (U=U) และฟื้นฟูระบบภูมิคุ้มกัน
🎯 ทำไมข้อนี้ถึงถูก:
ยับยั้ง Viral DNA polymerase การเลือก ยับยั้ง Viral DNA polymerase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(ยับยั้ง 14-alpha demethylase): ข้อนี้ไม่ใช่คำตอบที่ถูกต้องสำหรับภาวะ HIV infection เนื่องจากกลไกการออกฤทธิ์, efficacy หรือข้อบ่งใช้ไม่ตรงกับโจทย์ที่กำหนด
• ข้อ ค. (ยับยั้งการสร้าง nucleic acid): ข้อนี้ไม่ใช่คำตอบที่ถูกต้องสำหรับภาวะ HIV infection เนื่องจากกลไกการออกฤทธิ์, efficacy หรือข้อบ่งใช้ไม่ตรงกับโจทย์ที่กำหนด
• ข้อ ง. (ยับยั้ง DNA gyrase): ข้อนี้ไม่ใช่คำตอบที่ถูกต้องสำหรับภาวะ HIV infection เนื่องจากกลไกการออกฤทธิ์, efficacy หรือข้อบ่งใช้ไม่ตรงกับโจทย์ที่กำหนด
• ข้อ จ. (ยับยั้ง Nucleoside reverse transcriptase):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19" s="2" t="n"/>
      <c r="L219" s="2" t="inlineStr">
        <is>
          <t>HIV infection</t>
        </is>
      </c>
      <c r="M219" s="2" t="inlineStr">
        <is>
          <t>Clinic</t>
        </is>
      </c>
      <c r="N219" s="2" t="inlineStr">
        <is>
          <t>ข้อ 15 (Pharmtutor_2024_Set2.md)</t>
        </is>
      </c>
      <c r="O219" s="2" t="inlineStr">
        <is>
          <t>Mock</t>
        </is>
      </c>
      <c r="P219" s="2" t="inlineStr">
        <is>
          <t>Mock Pharmtutor 2024</t>
        </is>
      </c>
    </row>
    <row r="220" ht="13.2" customHeight="1" s="37">
      <c r="A220" s="8" t="inlineStr">
        <is>
          <t>221</t>
        </is>
      </c>
      <c r="B220" s="2" t="inlineStr">
        <is>
          <t>สามีเพิ่งได้รับการวินิจฉัยว่าติดเชื้อ HIV ได้รับประทานยาต้าน HIV ภรรยามาโรงพยาบาลเพื่อรับยาสำหรับป้องกันการติด เชื้อ ข้อใดคือยาทางเลือกแรก</t>
        </is>
      </c>
      <c r="C220" s="2" t="n"/>
      <c r="D220" s="2" t="inlineStr">
        <is>
          <t>Tenofovir + Emtricitabine</t>
        </is>
      </c>
      <c r="E220" s="2" t="inlineStr">
        <is>
          <t>Tenofovir + Lamivudine + Dolutegravir</t>
        </is>
      </c>
      <c r="F220" s="2" t="inlineStr">
        <is>
          <t>Tenofovir + Emtricitabine + Zidovudine</t>
        </is>
      </c>
      <c r="G220" s="2" t="inlineStr">
        <is>
          <t>Zidovudine + Lamivudine + Nevirapine</t>
        </is>
      </c>
      <c r="H220" s="2" t="inlineStr">
        <is>
          <t>Abacavir + Lamivudine + Dolutegravir</t>
        </is>
      </c>
      <c r="I220" s="8" t="inlineStr">
        <is>
          <t>1</t>
        </is>
      </c>
      <c r="J220" s="2" t="inlineStr">
        <is>
          <t>✅ คำตอบที่ถูกต้อง: ข้อ ก. Tenofovir + Emtricitabine
💡 Background:
การดูแลผู้ติดเชื้อ HIV เน้นเริ่ม Antiretroviral Therapy (ART) ทันทีเพื่อกด viral load ให้ undetectable (U=U) และฟื้นฟูระบบภูมิคุ้มกัน
🎯 ทำไมข้อนี้ถึงถูก:
Tenofovir + Emtricitabine การเลือก Tenofovir + Emtricitabine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(Tenofovir + Lamivudine + Dolutegravir): เป็น Nucleotide reverse transcriptase inhibitor (NRTI) แกนหลักใน HIV และ HBV therapy แต่ TDF ต้องระวัง nephrotoxicity (Fanconi syndrome) และ bone mineral density loss
• ข้อ ค. (Tenofovir + Emtricitabine + Zidovudine): เป็น Nucleotide reverse transcriptase inhibitor (NRTI) แกนหลักใน HIV และ HBV therapy แต่ TDF ต้องระวัง nephrotoxicity (Fanconi syndrome) และ bone mineral density loss
• ข้อ ง. (Zidovudine + Lamivudine + Nevirapine): ข้อนี้ไม่ใช่คำตอบที่ถูกต้องสำหรับภาวะ HIV infection เนื่องจากกลไกการออกฤทธิ์, efficacy หรือข้อบ่งใช้ไม่ตรงกับโจทย์ที่กำหนด
• ข้อ จ. (Abacavir + Lamivudine + Dolutegravir):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0" s="2" t="n"/>
      <c r="L220" s="2" t="inlineStr">
        <is>
          <t>HIV infection</t>
        </is>
      </c>
      <c r="M220" s="2" t="inlineStr">
        <is>
          <t>Clinic</t>
        </is>
      </c>
      <c r="N220" s="2" t="inlineStr">
        <is>
          <t>ข้อ 32 (Pharmtutor_2024_Set2.md)</t>
        </is>
      </c>
      <c r="O220" s="2" t="inlineStr">
        <is>
          <t>Mock</t>
        </is>
      </c>
      <c r="P220" s="2" t="inlineStr">
        <is>
          <t>Mock Pharmtutor 2024</t>
        </is>
      </c>
    </row>
    <row r="221" ht="13.2" customHeight="1" s="37">
      <c r="A221" s="8" t="inlineStr">
        <is>
          <t>222</t>
        </is>
      </c>
      <c r="B221" s="2" t="inlineStr">
        <is>
          <t>อธิบายความแตกต่างของโรคคอหอยอักเสบ (Pharyngystis) ระหว่างสาเหตุจากการติดเชื้อไวรัสและแบคทีเรีย</t>
        </is>
      </c>
      <c r="C221" s="2" t="n"/>
      <c r="D221" s="2" t="inlineStr">
        <is>
          <t>การติดเชื้อไวรัสส่วนมากมีอาการของไข้แสดงเด่น</t>
        </is>
      </c>
      <c r="E221" s="2" t="inlineStr">
        <is>
          <t>การติดเชื้อไวรัสจะมีอาการรุนแรงจำเป้นต้องใช้ยาในการรักษาผู้ป่วยทุกรายโดยเฉพาะกรณีคนไข้เด็กและผู้สูง อายุ</t>
        </is>
      </c>
      <c r="F221" s="2" t="inlineStr">
        <is>
          <t>การตอบสนองต่อการติดเชื้อแบคทีเรีย เมื่อพบว่ามีอาการแสดงแล้วจำเป็นต้องใช้ยาปฏิชีวนะในการรักษาในผู้ป่วยทุกราย</t>
        </is>
      </c>
      <c r="G221" s="2" t="inlineStr">
        <is>
          <t>การที่ผู้ป่วยมีอาการของจุดหนองบริเวณลำคอ ร่วมกับบวมบริเวณลำคอ ส่วนมากมีสาเหตุมาจากการติดเชื้อแบคทีเรีย</t>
        </is>
      </c>
      <c r="H221" s="2" t="inlineStr">
        <is>
          <t>การติดเชื้อแบคทีเรียจะมีอาการคล้ายกับติดเชื้อไวรัส แต่จะพบอาการแสดงที่น้องกว่าการติดเชื้อไวรัสอย่างมีนัยสำคัญ</t>
        </is>
      </c>
      <c r="I221" s="8" t="inlineStr">
        <is>
          <t>1</t>
        </is>
      </c>
      <c r="J221" s="2" t="inlineStr">
        <is>
          <t>✅ คำตอบที่ถูกต้อง: ข้อ ก. การติดเชื้อไวรัสส่วนมากมีอาการของไข้แสดงเด่น
💡 Background:
การดูแลผู้ติดเชื้อ HIV เน้นเริ่ม Antiretroviral Therapy (ART) ทันทีเพื่อกด viral load ให้ undetectable (U=U) และฟื้นฟูระบบภูมิคุ้มกัน
🎯 ทำไมข้อนี้ถึงถูก:
การติดเชื้อไวรัสส่วนมากมีอาการของไข้แสดงเด่น การเลือก การติดเชื้อไวรัสส่วนมากมีอาการของไข้แสดงเด่น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ติดเชื้อไวรัสจะมีอาการรุนแรงจำเป้นต้องใช้ยาในการรักษาผู้ป่วยทุกรายโดยเฉพาะกรณีคนไข้เด็กและผู้สูง อายุ): ข้อนี้ไม่ใช่คำตอบที่ถูกต้องสำหรับภาวะ HIV infection เนื่องจากกลไกการออกฤทธิ์, efficacy หรือข้อบ่งใช้ไม่ตรงกับโจทย์ที่กำหนด
• ข้อ ค. (การตอบสนองต่อการติดเชื้อแบคทีเรีย เมื่อพบว่ามีอาการแสดงแล้วจำเป็นต้องใช้ยาปฏิชีวนะในการรักษาในผู้ป่วยทุกราย): ข้อนี้ไม่ใช่คำตอบที่ถูกต้องสำหรับภาวะ HIV infection เนื่องจากกลไกการออกฤทธิ์, efficacy หรือข้อบ่งใช้ไม่ตรงกับโจทย์ที่กำหนด
• ข้อ ง. (การที่ผู้ป่วยมีอาการของจุดหนองบริเวณลำคอ ร่วมกับบวมบริเวณลำคอ ส่วนมากมีสาเหตุมาจากการติดเชื้อแบคทีเรีย): ข้อนี้ไม่ใช่คำตอบที่ถูกต้องสำหรับภาวะ HIV infection เนื่องจากกลไกการออกฤทธิ์, efficacy หรือข้อบ่งใช้ไม่ตรงกับโจทย์ที่กำหนด
• ข้อ จ. (การติดเชื้อแบคทีเรียจะมีอาการคล้ายกับติดเชื้อไวรัส แต่จะพบอาการแสดงที่น้องกว่าการติดเชื้อไวรัสอย่างมีนัยสำคัญ):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1" s="2" t="n"/>
      <c r="L221" s="2" t="inlineStr">
        <is>
          <t>HIV infection</t>
        </is>
      </c>
      <c r="M221" s="2" t="inlineStr">
        <is>
          <t>Clinic</t>
        </is>
      </c>
      <c r="N221" s="2" t="inlineStr">
        <is>
          <t>ข้อ 36 (Pharmtutor_2024_Set2.md)</t>
        </is>
      </c>
      <c r="O221" s="2" t="inlineStr">
        <is>
          <t>Mock</t>
        </is>
      </c>
      <c r="P221" s="2" t="inlineStr">
        <is>
          <t>Mock Pharmtutor 2024</t>
        </is>
      </c>
    </row>
    <row r="222" ht="13.2" customHeight="1" s="37">
      <c r="A222" s="8" t="inlineStr">
        <is>
          <t>223</t>
        </is>
      </c>
      <c r="B222" s="2" t="inlineStr">
        <is>
          <t>จากกรณีข้างต้น หากผู้ป่วยมีอาการแสดงของอาการคอหอยอักเสบจากการติดเชื้อแบคทีเรีย สาเหตุของการติดเชื้อส่วนมากพบเชื้อชนิดใด</t>
        </is>
      </c>
      <c r="C222" s="2" t="n"/>
      <c r="D222" s="2" t="inlineStr">
        <is>
          <t>Group A staphylococcus</t>
        </is>
      </c>
      <c r="E222" s="2" t="inlineStr">
        <is>
          <t>Rotavirus</t>
        </is>
      </c>
      <c r="F222" s="2" t="inlineStr">
        <is>
          <t>Ebstein-Barr</t>
        </is>
      </c>
      <c r="G222" s="2" t="inlineStr">
        <is>
          <t>Group A streptococcus</t>
        </is>
      </c>
      <c r="H222" s="2" t="inlineStr">
        <is>
          <t>Gram negative Bacilli</t>
        </is>
      </c>
      <c r="I222" s="8" t="inlineStr">
        <is>
          <t>1</t>
        </is>
      </c>
      <c r="J222" s="2" t="inlineStr">
        <is>
          <t>✅ คำตอบที่ถูกต้อง: ข้อ ก. Group A staphylococcus
💡 Background:
การดูแลผู้ติดเชื้อ HIV เน้นเริ่ม Antiretroviral Therapy (ART) ทันทีเพื่อกด viral load ให้ undetectable (U=U) และฟื้นฟูระบบภูมิคุ้มกัน
🎯 ทำไมข้อนี้ถึงถูก:
Group A staphylococcus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(Rotavirus): เป็น Live oral vaccine หยอดทางปากเข็มแรกที่ 2 เดือน และเข็ม 2 ที่ 4 เดือน (ห้ามเริ่มเข็มแรกเมื่ออายุเกิน 15 สัปดาห์)
• ข้อ ค. (Ebstein-Barr): ข้อนี้ไม่ใช่คำตอบที่ถูกต้องสำหรับภาวะ HIV infection เนื่องจากกลไกการออกฤทธิ์, efficacy หรือข้อบ่งใช้ไม่ตรงกับโจทย์ที่กำหนด
• ข้อ ง. (Group A streptococcus): ข้อนี้ไม่ใช่คำตอบที่ถูกต้องสำหรับภาวะ HIV infection เนื่องจากกลไกการออกฤทธิ์, efficacy หรือข้อบ่งใช้ไม่ตรงกับโจทย์ที่กำหนด
• ข้อ จ. (Gram negative Bacilli):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2" s="2" t="n"/>
      <c r="L222" s="2" t="inlineStr">
        <is>
          <t>HIV infection</t>
        </is>
      </c>
      <c r="M222" s="2" t="inlineStr">
        <is>
          <t>Clinic</t>
        </is>
      </c>
      <c r="N222" s="2" t="inlineStr">
        <is>
          <t>ข้อ 37 (Pharmtutor_2024_Set2.md)</t>
        </is>
      </c>
      <c r="O222" s="2" t="inlineStr">
        <is>
          <t>Mock</t>
        </is>
      </c>
      <c r="P222" s="2" t="inlineStr">
        <is>
          <t>Mock Pharmtutor 2024</t>
        </is>
      </c>
    </row>
    <row r="223" ht="13.2" customHeight="1" s="37">
      <c r="A223" s="8" t="inlineStr">
        <is>
          <t>224</t>
        </is>
      </c>
      <c r="B223" s="2" t="inlineStr">
        <is>
          <t>ต่อมาตุ่มนํ%าแตก ผู้ป่วยควรทำความสะอาดแผลด้วยสาร ต่อไปนี% ยกเว้นข้อใด (1) Rubbing alcohol (2) Chlorhexidine (3) Irrigated normal saline solution (4) Acetic acid (5) Povidone iodine Final version | Maximum’2017 Rx30 | Prince of Songkla University</t>
        </is>
      </c>
      <c r="C223" s="2" t="n"/>
      <c r="D223" s="2" t="inlineStr">
        <is>
          <t>Dolutegravir 50 mg OD</t>
        </is>
      </c>
      <c r="E223" s="2" t="inlineStr">
        <is>
          <t>Vancomycin 1 g IV Q12H</t>
        </is>
      </c>
      <c r="F223" s="2" t="inlineStr">
        <is>
          <t>Meropenem 1 g IV Q8H</t>
        </is>
      </c>
      <c r="G223" s="2" t="inlineStr">
        <is>
          <t>Cefazolin 1 g IV Q8H</t>
        </is>
      </c>
      <c r="H223" s="2" t="inlineStr">
        <is>
          <t>Amoxicillin/Clavulanate 1 g BID</t>
        </is>
      </c>
      <c r="I223" s="8" t="inlineStr">
        <is>
          <t>1</t>
        </is>
      </c>
      <c r="J223" s="2"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23" s="2" t="n"/>
      <c r="L223" s="2" t="inlineStr">
        <is>
          <t>Cystitis</t>
        </is>
      </c>
      <c r="M223" s="2" t="inlineStr">
        <is>
          <t>Clinic</t>
        </is>
      </c>
      <c r="N223" s="2" t="inlineStr">
        <is>
          <t>ข้อ 3 (PLE_CC1_2557.md)</t>
        </is>
      </c>
      <c r="O223" s="2" t="inlineStr">
        <is>
          <t>ข้อสอบจริง</t>
        </is>
      </c>
      <c r="P223" s="2" t="inlineStr">
        <is>
          <t>ปี 2557</t>
        </is>
      </c>
    </row>
    <row r="224" ht="13.2" customHeight="1" s="37">
      <c r="A224" s="8" t="inlineStr">
        <is>
          <t>225</t>
        </is>
      </c>
      <c r="B224" s="2" t="inlineStr">
        <is>
          <t>เชื%อก่อโรคซึ_x001E_งเป็นสาเหตุของภาวะ Community-acquired pneumonia ในผู้ป่วยรายนี%คือข้อใด (1) Acinetobacter baumannii (2) Streptococcus pneumoniae (3) Pseudomonas aeruginosa (4) Staphylococcus aureus (5) Burkholderia pseudomalii</t>
        </is>
      </c>
      <c r="C224" s="2" t="n"/>
      <c r="D224" s="2" t="inlineStr">
        <is>
          <t>Cefazolin 1 g IV Q8H</t>
        </is>
      </c>
      <c r="E224" s="2" t="inlineStr">
        <is>
          <t>Amoxicillin/Clavulanate 1 g BID</t>
        </is>
      </c>
      <c r="F224" s="2" t="inlineStr">
        <is>
          <t>Ceftriaxone 1 g IV OD</t>
        </is>
      </c>
      <c r="G224" s="2" t="inlineStr">
        <is>
          <t>Ciprofloxacin 500 mg BID</t>
        </is>
      </c>
      <c r="H224" s="2" t="inlineStr">
        <is>
          <t>Azithromycin 500 mg OD</t>
        </is>
      </c>
      <c r="I224" s="8" t="inlineStr">
        <is>
          <t>1</t>
        </is>
      </c>
      <c r="J224" s="2" t="inlineStr">
        <is>
          <t>✅ คำตอบที่ถูกต้อง: ข้อ ก. Cefazolin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4" s="2" t="n"/>
      <c r="L224" s="2" t="inlineStr">
        <is>
          <t>Pneumonia</t>
        </is>
      </c>
      <c r="M224" s="2" t="inlineStr">
        <is>
          <t>Clinic</t>
        </is>
      </c>
      <c r="N224" s="2" t="inlineStr">
        <is>
          <t>ข้อ 3 (PLE_CC1_2557.md)</t>
        </is>
      </c>
      <c r="O224" s="2" t="inlineStr">
        <is>
          <t>ข้อสอบจริง</t>
        </is>
      </c>
      <c r="P224" s="2" t="inlineStr">
        <is>
          <t>ปี 2557</t>
        </is>
      </c>
    </row>
    <row r="225" ht="13.2" customHeight="1" s="37">
      <c r="A225" s="8" t="inlineStr">
        <is>
          <t>226</t>
        </is>
      </c>
      <c r="B225" s="2" t="inlineStr">
        <is>
          <t>ควรพิจารณาปรับเปลี_x001E_ยนการรักษาสำหรับผู้ป่วยรายนี% อย่างไร (1) เปลี_x0003_ยนยา Ceftazidime เป็นยา ceftriaxone (2) เปลี_x0003_ยนยา Ceftazidime เป็น meropenem (3) เปลี_x0003_ยนยา Clarithromycin เป็น ciprofloxacin (4) เพิ_x0003_มขนาดยา Clarithromycin เป็น 1 x 2 (5) ไม่ต้องปรับเปลี_x0003_ยนการรักษา</t>
        </is>
      </c>
      <c r="C225" s="2" t="n"/>
      <c r="D225" s="2" t="inlineStr">
        <is>
          <t>Ciprofloxacin 500 mg BID</t>
        </is>
      </c>
      <c r="E225" s="2" t="inlineStr">
        <is>
          <t>Azithromycin 500 mg OD</t>
        </is>
      </c>
      <c r="F225" s="2" t="inlineStr">
        <is>
          <t>Doxycycline 100 mg BID</t>
        </is>
      </c>
      <c r="G225" s="2" t="inlineStr">
        <is>
          <t>Cotrimoxazole 160/800 mg BID</t>
        </is>
      </c>
      <c r="H225" s="2" t="inlineStr">
        <is>
          <t>Metronidazole 400 mg TID</t>
        </is>
      </c>
      <c r="I225" s="8" t="inlineStr">
        <is>
          <t>1</t>
        </is>
      </c>
      <c r="J225" s="2"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25" s="2" t="n"/>
      <c r="L225" s="2" t="inlineStr">
        <is>
          <t>Pneumonia</t>
        </is>
      </c>
      <c r="M225" s="2" t="inlineStr">
        <is>
          <t>Clinic</t>
        </is>
      </c>
      <c r="N225" s="2" t="inlineStr">
        <is>
          <t>ข้อ 4 (PLE_CC1_2557.md)</t>
        </is>
      </c>
      <c r="O225" s="2" t="inlineStr">
        <is>
          <t>ข้อสอบจริง</t>
        </is>
      </c>
      <c r="P225" s="2" t="inlineStr">
        <is>
          <t>ปี 2557</t>
        </is>
      </c>
    </row>
    <row r="226" ht="13.2" customHeight="1" s="37">
      <c r="A226" s="8" t="inlineStr">
        <is>
          <t>227</t>
        </is>
      </c>
      <c r="B226" s="2" t="inlineStr">
        <is>
          <t>เป็น isotonic solution</t>
        </is>
      </c>
      <c r="C226" s="2" t="n"/>
      <c r="D226" s="2" t="inlineStr">
        <is>
          <t>Cotrimoxazole 160/800 mg BID</t>
        </is>
      </c>
      <c r="E226" s="2" t="inlineStr">
        <is>
          <t>Metronidazole 400 mg TID</t>
        </is>
      </c>
      <c r="F226" s="2" t="inlineStr">
        <is>
          <t>Nitrofurantoin 100 mg BID</t>
        </is>
      </c>
      <c r="G226" s="2" t="inlineStr">
        <is>
          <t>Tenofovir/Emtricitabine 300/200 mg OD</t>
        </is>
      </c>
      <c r="H226" s="2" t="inlineStr">
        <is>
          <t>Dolutegravir 50 mg OD</t>
        </is>
      </c>
      <c r="I226" s="8" t="inlineStr">
        <is>
          <t>1</t>
        </is>
      </c>
      <c r="J226" s="2"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 s="2" t="n"/>
      <c r="L226" s="2" t="inlineStr">
        <is>
          <t>Cystitis</t>
        </is>
      </c>
      <c r="M226" s="2" t="inlineStr">
        <is>
          <t>Clinic</t>
        </is>
      </c>
      <c r="N226" s="2" t="inlineStr">
        <is>
          <t>ข้อ 4 (PLE_CC1_2556.md)</t>
        </is>
      </c>
      <c r="O226" s="2" t="inlineStr">
        <is>
          <t>ข้อสอบจริง</t>
        </is>
      </c>
      <c r="P226" s="2" t="inlineStr">
        <is>
          <t>ปี 2556</t>
        </is>
      </c>
    </row>
    <row r="227" ht="13.2" customHeight="1" s="37">
      <c r="A227" s="8" t="inlineStr">
        <is>
          <t>228</t>
        </is>
      </c>
      <c r="B227" s="2" t="inlineStr">
        <is>
          <t>ข้อใดควรแนะนำสำหรับผู้ป่วยรายนี้ (Caseติดเชื้อ tricomonasis)</t>
        </is>
      </c>
      <c r="C227" s="2" t="n"/>
      <c r="D227" s="2" t="inlineStr">
        <is>
          <t>Tenofovir/Emtricitabine 300/200 mg OD</t>
        </is>
      </c>
      <c r="E227" s="2" t="inlineStr">
        <is>
          <t>Dolutegravir 50 mg OD</t>
        </is>
      </c>
      <c r="F227" s="2" t="inlineStr">
        <is>
          <t>Vancomycin 1 g IV Q12H</t>
        </is>
      </c>
      <c r="G227" s="2" t="inlineStr">
        <is>
          <t>Meropenem 1 g IV Q8H</t>
        </is>
      </c>
      <c r="H227" s="2" t="inlineStr">
        <is>
          <t>Cefazolin 1 g IV Q8H</t>
        </is>
      </c>
      <c r="I227" s="8" t="inlineStr">
        <is>
          <t>1</t>
        </is>
      </c>
      <c r="J227" s="2"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7" s="2" t="n"/>
      <c r="L227" s="2" t="inlineStr">
        <is>
          <t>HIV infection</t>
        </is>
      </c>
      <c r="M227" s="2" t="inlineStr">
        <is>
          <t>Clinic</t>
        </is>
      </c>
      <c r="N227" s="2" t="inlineStr">
        <is>
          <t>ข้อ 5 (PLE_CC1_2556.md)</t>
        </is>
      </c>
      <c r="O227" s="2" t="inlineStr">
        <is>
          <t>ข้อสอบจริง</t>
        </is>
      </c>
      <c r="P227" s="2" t="inlineStr">
        <is>
          <t>ปี 2556</t>
        </is>
      </c>
    </row>
    <row r="228" ht="13.2" customHeight="1" s="37">
      <c r="A228" s="8" t="inlineStr">
        <is>
          <t>229</t>
        </is>
      </c>
      <c r="B228" s="2" t="inlineStr">
        <is>
          <t>ติดเชื้อแบคทีเรียในโพรงจมูก</t>
        </is>
      </c>
      <c r="C228" s="2" t="n"/>
      <c r="D228" s="2" t="inlineStr">
        <is>
          <t>Meropenem 1 g IV Q8H</t>
        </is>
      </c>
      <c r="E228" s="2" t="inlineStr">
        <is>
          <t>Cefazolin 1 g IV Q8H</t>
        </is>
      </c>
      <c r="F228" s="2" t="inlineStr">
        <is>
          <t>Amoxicillin/Clavulanate 1 g BID</t>
        </is>
      </c>
      <c r="G228" s="2" t="inlineStr">
        <is>
          <t>Ceftriaxone 1 g IV OD</t>
        </is>
      </c>
      <c r="H228" s="2" t="inlineStr">
        <is>
          <t>Ciprofloxacin 500 mg BID</t>
        </is>
      </c>
      <c r="I228" s="8" t="inlineStr">
        <is>
          <t>1</t>
        </is>
      </c>
      <c r="J228" s="2"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8" s="2" t="n"/>
      <c r="L228" s="2" t="inlineStr">
        <is>
          <t>HIV infection</t>
        </is>
      </c>
      <c r="M228" s="2" t="inlineStr">
        <is>
          <t>Clinic</t>
        </is>
      </c>
      <c r="N228" s="2" t="inlineStr">
        <is>
          <t>ข้อ 2 (PLE_CC1_2555 Day 2.md)</t>
        </is>
      </c>
      <c r="O228" s="2" t="inlineStr">
        <is>
          <t>ข้อสอบจริง</t>
        </is>
      </c>
      <c r="P228" s="2" t="inlineStr">
        <is>
          <t>ปี 2555</t>
        </is>
      </c>
    </row>
    <row r="229" ht="13.2" customHeight="1" s="37">
      <c r="A229" s="8" t="inlineStr">
        <is>
          <t>230</t>
        </is>
      </c>
      <c r="B229" s="2" t="inlineStr">
        <is>
          <t>ติดเชื้อแบคทีเรีย</t>
        </is>
      </c>
      <c r="C229" s="2" t="n"/>
      <c r="D229" s="2" t="inlineStr">
        <is>
          <t>Ceftriaxone 1 g IV OD</t>
        </is>
      </c>
      <c r="E229" s="2" t="inlineStr">
        <is>
          <t>Ciprofloxacin 500 mg BID</t>
        </is>
      </c>
      <c r="F229" s="2" t="inlineStr">
        <is>
          <t>Azithromycin 500 mg OD</t>
        </is>
      </c>
      <c r="G229" s="2" t="inlineStr">
        <is>
          <t>Doxycycline 100 mg BID</t>
        </is>
      </c>
      <c r="H229" s="2" t="inlineStr">
        <is>
          <t>Cotrimoxazole 160/800 mg BID</t>
        </is>
      </c>
      <c r="I229" s="8" t="inlineStr">
        <is>
          <t>1</t>
        </is>
      </c>
      <c r="J229" s="2"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9" s="2" t="n"/>
      <c r="L229" s="2" t="inlineStr">
        <is>
          <t>HIV infection</t>
        </is>
      </c>
      <c r="M229" s="2" t="inlineStr">
        <is>
          <t>Clinic</t>
        </is>
      </c>
      <c r="N229" s="2" t="inlineStr">
        <is>
          <t>ข้อ 1 (PLE_CC1_2555 Day 2.md)</t>
        </is>
      </c>
      <c r="O229" s="2" t="inlineStr">
        <is>
          <t>ข้อสอบจริง</t>
        </is>
      </c>
      <c r="P229" s="2" t="inlineStr">
        <is>
          <t>ปี 2555</t>
        </is>
      </c>
    </row>
    <row r="230" ht="13.2" customHeight="1" s="37">
      <c r="A230" s="8" t="inlineStr">
        <is>
          <t>231</t>
        </is>
      </c>
      <c r="B230" s="2" t="inlineStr">
        <is>
          <t>เปลี่ยนจาก amoxicillin เป็น ciprofloxacin</t>
        </is>
      </c>
      <c r="C230" s="2" t="n"/>
      <c r="D230" s="2" t="inlineStr">
        <is>
          <t>Doxycycline 100 mg BID</t>
        </is>
      </c>
      <c r="E230" s="2" t="inlineStr">
        <is>
          <t>Cotrimoxazole 160/800 mg BID</t>
        </is>
      </c>
      <c r="F230" s="2" t="inlineStr">
        <is>
          <t>Metronidazole 400 mg TID</t>
        </is>
      </c>
      <c r="G230" s="2" t="inlineStr">
        <is>
          <t>Nitrofurantoin 100 mg BID</t>
        </is>
      </c>
      <c r="H230" s="2" t="inlineStr">
        <is>
          <t>Tenofovir/Emtricitabine 300/200 mg OD</t>
        </is>
      </c>
      <c r="I230" s="8" t="inlineStr">
        <is>
          <t>1</t>
        </is>
      </c>
      <c r="J230" s="2" t="inlineStr">
        <is>
          <t>✅ คำตอบที่ถูกต้อง: ข้อ ก. Doxycycline 100 mg BID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0" s="2" t="n"/>
      <c r="L230" s="2" t="inlineStr">
        <is>
          <t>Cystitis</t>
        </is>
      </c>
      <c r="M230" s="2" t="inlineStr">
        <is>
          <t>Clinic</t>
        </is>
      </c>
      <c r="N230" s="2" t="inlineStr">
        <is>
          <t>ข้อ 3 (PLE_CC1_2555 Day 2.md)</t>
        </is>
      </c>
      <c r="O230" s="2" t="inlineStr">
        <is>
          <t>ข้อสอบจริง</t>
        </is>
      </c>
      <c r="P230" s="2" t="inlineStr">
        <is>
          <t>ปี 2555</t>
        </is>
      </c>
    </row>
    <row r="231" ht="13.2" customHeight="1" s="37">
      <c r="A231" s="8" t="inlineStr">
        <is>
          <t>232</t>
        </is>
      </c>
      <c r="B231" s="2" t="inlineStr">
        <is>
          <t>เปลี่ยนจาก amoxicillin เป็น azithromycin</t>
        </is>
      </c>
      <c r="C231" s="2" t="n"/>
      <c r="D231" s="2" t="inlineStr">
        <is>
          <t>Nitrofurantoin 100 mg BID</t>
        </is>
      </c>
      <c r="E231" s="2" t="inlineStr">
        <is>
          <t>Tenofovir/Emtricitabine 300/200 mg OD</t>
        </is>
      </c>
      <c r="F231" s="2" t="inlineStr">
        <is>
          <t>Dolutegravir 50 mg OD</t>
        </is>
      </c>
      <c r="G231" s="2" t="inlineStr">
        <is>
          <t>Vancomycin 1 g IV Q12H</t>
        </is>
      </c>
      <c r="H231" s="2" t="inlineStr">
        <is>
          <t>Meropenem 1 g IV Q8H</t>
        </is>
      </c>
      <c r="I231" s="8" t="inlineStr">
        <is>
          <t>1</t>
        </is>
      </c>
      <c r="J231" s="2" t="inlineStr">
        <is>
          <t>✅ คำตอบที่ถูกต้อง: ข้อ ก. Nitrofurantoin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 s="2" t="n"/>
      <c r="L231" s="2" t="inlineStr">
        <is>
          <t>Pneumonia</t>
        </is>
      </c>
      <c r="M231" s="2" t="inlineStr">
        <is>
          <t>Clinic</t>
        </is>
      </c>
      <c r="N231" s="2" t="inlineStr">
        <is>
          <t>ข้อ 4 (PLE_CC1_2555 Day 2.md)</t>
        </is>
      </c>
      <c r="O231" s="2" t="inlineStr">
        <is>
          <t>ข้อสอบจริง</t>
        </is>
      </c>
      <c r="P231" s="2" t="inlineStr">
        <is>
          <t>ปี 2555</t>
        </is>
      </c>
    </row>
    <row r="232" ht="13.2" customHeight="1" s="37">
      <c r="A232" s="8" t="inlineStr">
        <is>
          <t>233</t>
        </is>
      </c>
      <c r="B232" s="2" t="inlineStr">
        <is>
          <t>ลด amoxicillin ลงครึ่งหนึ่ง</t>
        </is>
      </c>
      <c r="C232" s="2" t="n"/>
      <c r="D232" s="2" t="inlineStr">
        <is>
          <t>Vancomycin 1 g IV Q12H</t>
        </is>
      </c>
      <c r="E232" s="2" t="inlineStr">
        <is>
          <t>Meropenem 1 g IV Q8H</t>
        </is>
      </c>
      <c r="F232" s="2" t="inlineStr">
        <is>
          <t>Cefazolin 1 g IV Q8H</t>
        </is>
      </c>
      <c r="G232" s="2" t="inlineStr">
        <is>
          <t>Amoxicillin/Clavulanate 1 g BID</t>
        </is>
      </c>
      <c r="H232" s="2" t="inlineStr">
        <is>
          <t>Ceftriaxone 1 g IV OD</t>
        </is>
      </c>
      <c r="I232" s="8" t="inlineStr">
        <is>
          <t>1</t>
        </is>
      </c>
      <c r="J232" s="2" t="inlineStr">
        <is>
          <t>✅ คำตอบที่ถูกต้อง: ข้อ ก. Vancomycin 1 g IV Q12H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32" s="2" t="n"/>
      <c r="L232" s="2" t="inlineStr">
        <is>
          <t>URTI</t>
        </is>
      </c>
      <c r="M232" s="2" t="inlineStr">
        <is>
          <t>Clinic</t>
        </is>
      </c>
      <c r="N232" s="2" t="inlineStr">
        <is>
          <t>ข้อ 5 (PLE_CC1_2555 Day 2.md)</t>
        </is>
      </c>
      <c r="O232" s="2" t="inlineStr">
        <is>
          <t>ข้อสอบจริง</t>
        </is>
      </c>
      <c r="P232" s="2" t="inlineStr">
        <is>
          <t>ปี 2555</t>
        </is>
      </c>
    </row>
    <row r="233" ht="13.2" customHeight="1" s="37">
      <c r="A233" s="8" t="inlineStr">
        <is>
          <t>234</t>
        </is>
      </c>
      <c r="B233" s="2" t="inlineStr">
        <is>
          <t>ติดเชื้อแบคทีเรีย แต่ติดเชื้อเพิ่มอีกตัวหนึ่ง</t>
        </is>
      </c>
      <c r="C233" s="2" t="n"/>
      <c r="D233" s="2" t="inlineStr">
        <is>
          <t>Amoxicillin/Clavulanate 1 g BID</t>
        </is>
      </c>
      <c r="E233" s="2" t="inlineStr">
        <is>
          <t>Ceftriaxone 1 g IV OD</t>
        </is>
      </c>
      <c r="F233" s="2" t="inlineStr">
        <is>
          <t>Ciprofloxacin 500 mg BID</t>
        </is>
      </c>
      <c r="G233" s="2" t="inlineStr">
        <is>
          <t>Azithromycin 500 mg OD</t>
        </is>
      </c>
      <c r="H233" s="2" t="inlineStr">
        <is>
          <t>Doxycycline 100 mg BID</t>
        </is>
      </c>
      <c r="I233" s="8" t="inlineStr">
        <is>
          <t>1</t>
        </is>
      </c>
      <c r="J233" s="2"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3" s="2" t="n"/>
      <c r="L233" s="2" t="inlineStr">
        <is>
          <t>HIV infection</t>
        </is>
      </c>
      <c r="M233" s="2" t="inlineStr">
        <is>
          <t>Clinic</t>
        </is>
      </c>
      <c r="N233" s="2" t="inlineStr">
        <is>
          <t>ข้อ 2 (PLE_CC1_2555 Day 2.md)</t>
        </is>
      </c>
      <c r="O233" s="2" t="inlineStr">
        <is>
          <t>ข้อสอบจริง</t>
        </is>
      </c>
      <c r="P233" s="2" t="inlineStr">
        <is>
          <t>ปี 2555</t>
        </is>
      </c>
    </row>
    <row r="234" ht="13.2" customHeight="1" s="37">
      <c r="A234" s="8" t="inlineStr">
        <is>
          <t>236</t>
        </is>
      </c>
      <c r="B234" s="2" t="inlineStr">
        <is>
          <t>ติดเชื้อที่หูส่วนกลาง</t>
        </is>
      </c>
      <c r="C234" s="2" t="n"/>
      <c r="D234" s="2" t="inlineStr">
        <is>
          <t>Metronidazole 400 mg TID</t>
        </is>
      </c>
      <c r="E234" s="2" t="inlineStr">
        <is>
          <t>Nitrofurantoin 100 mg BID</t>
        </is>
      </c>
      <c r="F234" s="2" t="inlineStr">
        <is>
          <t>Tenofovir/Emtricitabine 300/200 mg OD</t>
        </is>
      </c>
      <c r="G234" s="2" t="inlineStr">
        <is>
          <t>Dolutegravir 50 mg OD</t>
        </is>
      </c>
      <c r="H234" s="2" t="inlineStr">
        <is>
          <t>Vancomycin 1 g IV Q12H</t>
        </is>
      </c>
      <c r="I234" s="8" t="inlineStr">
        <is>
          <t>1</t>
        </is>
      </c>
      <c r="J234" s="2"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4" s="2" t="n"/>
      <c r="L234" s="2" t="inlineStr">
        <is>
          <t>HIV infection</t>
        </is>
      </c>
      <c r="M234" s="2" t="inlineStr">
        <is>
          <t>Clinic</t>
        </is>
      </c>
      <c r="N234" s="2" t="inlineStr">
        <is>
          <t>ข้อ 2 (PLE_CC1_2555 Day 2.md)</t>
        </is>
      </c>
      <c r="O234" s="2" t="inlineStr">
        <is>
          <t>ข้อสอบจริง</t>
        </is>
      </c>
      <c r="P234" s="2" t="inlineStr">
        <is>
          <t>ปี 2555</t>
        </is>
      </c>
    </row>
    <row r="235" ht="13.2" customHeight="1" s="37">
      <c r="A235" s="8" t="inlineStr">
        <is>
          <t>237</t>
        </is>
      </c>
      <c r="B235" s="2" t="inlineStr">
        <is>
          <t>Burrow solution</t>
        </is>
      </c>
      <c r="C235" s="2" t="n"/>
      <c r="D235" s="2" t="inlineStr">
        <is>
          <t>) .......... ointment</t>
        </is>
      </c>
      <c r="E235" s="2" t="inlineStr">
        <is>
          <t>Vancomycin 1 g IV Q12H</t>
        </is>
      </c>
      <c r="F235" s="2" t="inlineStr">
        <is>
          <t>Meropenem 1 g IV Q8H</t>
        </is>
      </c>
      <c r="G235" s="2" t="inlineStr">
        <is>
          <t>Cefazolin 1 g IV Q8H</t>
        </is>
      </c>
      <c r="H235" s="2" t="inlineStr">
        <is>
          <t>Amoxicillin/Clavulanate 1 g BID</t>
        </is>
      </c>
      <c r="I235" s="8" t="inlineStr">
        <is>
          <t>1</t>
        </is>
      </c>
      <c r="J235" s="2" t="inlineStr">
        <is>
          <t>✅ คำตอบที่ถูกต้อง: ข้อ ก. ) .......... ointment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 .......... ointment การเลือก ) .......... ointment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 s="2" t="n"/>
      <c r="L235" s="2" t="inlineStr">
        <is>
          <t>Cystitis</t>
        </is>
      </c>
      <c r="M235" s="2" t="inlineStr">
        <is>
          <t>Clinic</t>
        </is>
      </c>
      <c r="N235" s="2" t="inlineStr">
        <is>
          <t>ข้อ 2 (PLE_CC1_2555 Day 2.md)</t>
        </is>
      </c>
      <c r="O235" s="2" t="inlineStr">
        <is>
          <t>ข้อสอบจริง</t>
        </is>
      </c>
      <c r="P235" s="2" t="inlineStr">
        <is>
          <t>ปี 2555</t>
        </is>
      </c>
    </row>
    <row r="236" ht="13.2" customHeight="1" s="37">
      <c r="A236" s="8" t="inlineStr">
        <is>
          <t>238</t>
        </is>
      </c>
      <c r="B236" s="2" t="inlineStr">
        <is>
          <t>Tripolidine Case 9: UTI ผู้ป่วยหญิงมีอาการปัสสาวะกะปริบกะปรอย ปัสสาวะขัด แสบ มีอาการปวดท้องน้อย มีลิ่มเลือดหลุดออกมาในปัสสาวะ ยาที่ได้รับ Ciprofloxacin 1x2 pc 14 เม็ด Hyoscine 1x3 pc 20 เม็ด</t>
        </is>
      </c>
      <c r="C236" s="2" t="n"/>
      <c r="D236" s="2" t="inlineStr">
        <is>
          <t>Cefazolin 1 g IV Q8H</t>
        </is>
      </c>
      <c r="E236" s="2" t="inlineStr">
        <is>
          <t>Amoxicillin/Clavulanate 1 g BID</t>
        </is>
      </c>
      <c r="F236" s="2" t="inlineStr">
        <is>
          <t>Ceftriaxone 1 g IV OD</t>
        </is>
      </c>
      <c r="G236" s="2" t="inlineStr">
        <is>
          <t>Ciprofloxacin 500 mg BID</t>
        </is>
      </c>
      <c r="H236" s="2" t="inlineStr">
        <is>
          <t>Azithromycin 500 mg OD</t>
        </is>
      </c>
      <c r="I236" s="8" t="inlineStr">
        <is>
          <t>1</t>
        </is>
      </c>
      <c r="J236" s="2"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6" s="2" t="n"/>
      <c r="L236" s="2" t="inlineStr">
        <is>
          <t>Cystitis</t>
        </is>
      </c>
      <c r="M236" s="2" t="inlineStr">
        <is>
          <t>Clinic</t>
        </is>
      </c>
      <c r="N236" s="2" t="inlineStr">
        <is>
          <t>ข้อ 5 (PLE_CC1_2555 Day 2.md)</t>
        </is>
      </c>
      <c r="O236" s="2" t="inlineStr">
        <is>
          <t>ข้อสอบจริง</t>
        </is>
      </c>
      <c r="P236" s="2" t="inlineStr">
        <is>
          <t>ปี 2555</t>
        </is>
      </c>
    </row>
    <row r="237" ht="13.2" customHeight="1" s="37">
      <c r="A237" s="8" t="inlineStr">
        <is>
          <t>239</t>
        </is>
      </c>
      <c r="B237" s="2" t="inlineStr">
        <is>
          <t>การจะตรวจว่าผู้ป่วยเป็นวัณโรคต้องตรวจหาเชื้ออะไร</t>
        </is>
      </c>
      <c r="C237" s="2" t="n"/>
      <c r="D237" s="2" t="inlineStr">
        <is>
          <t>Ciprofloxacin 500 mg BID</t>
        </is>
      </c>
      <c r="E237" s="2" t="inlineStr">
        <is>
          <t>Azithromycin 500 mg OD</t>
        </is>
      </c>
      <c r="F237" s="2" t="inlineStr">
        <is>
          <t>Doxycycline 100 mg BID</t>
        </is>
      </c>
      <c r="G237" s="2" t="inlineStr">
        <is>
          <t>Cotrimoxazole 160/800 mg BID</t>
        </is>
      </c>
      <c r="H237" s="2" t="inlineStr">
        <is>
          <t>Metronidazole 400 mg TID</t>
        </is>
      </c>
      <c r="I237" s="8" t="inlineStr">
        <is>
          <t>1</t>
        </is>
      </c>
      <c r="J237" s="2"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7" s="2" t="n"/>
      <c r="L237" s="2" t="inlineStr">
        <is>
          <t>Tuberculosis</t>
        </is>
      </c>
      <c r="M237" s="2" t="inlineStr">
        <is>
          <t>Clinic</t>
        </is>
      </c>
      <c r="N237" s="2" t="inlineStr">
        <is>
          <t>ข้อ 1 (PLE_CC1_2555 Day 2.md)</t>
        </is>
      </c>
      <c r="O237" s="2" t="inlineStr">
        <is>
          <t>ข้อสอบจริง</t>
        </is>
      </c>
      <c r="P237" s="2" t="inlineStr">
        <is>
          <t>ปี 2555</t>
        </is>
      </c>
    </row>
    <row r="238" ht="13.2" customHeight="1" s="37">
      <c r="A238" s="8" t="inlineStr">
        <is>
          <t>240</t>
        </is>
      </c>
      <c r="B238" s="2" t="inlineStr">
        <is>
          <t>ติดเชื้อ HIV แต่ไม่ใช่ผู้ป่วยเอดส์</t>
        </is>
      </c>
      <c r="C238" s="2" t="n"/>
      <c r="D238" s="2" t="inlineStr">
        <is>
          <t>Cotrimoxazole 160/800 mg BID</t>
        </is>
      </c>
      <c r="E238" s="2" t="inlineStr">
        <is>
          <t>Metronidazole 400 mg TID</t>
        </is>
      </c>
      <c r="F238" s="2" t="inlineStr">
        <is>
          <t>Nitrofurantoin 100 mg BID</t>
        </is>
      </c>
      <c r="G238" s="2" t="inlineStr">
        <is>
          <t>Tenofovir/Emtricitabine 300/200 mg OD</t>
        </is>
      </c>
      <c r="H238" s="2" t="inlineStr">
        <is>
          <t>Dolutegravir 50 mg OD</t>
        </is>
      </c>
      <c r="I238" s="8" t="inlineStr">
        <is>
          <t>1</t>
        </is>
      </c>
      <c r="J238" s="2" t="inlineStr">
        <is>
          <t>✅ คำตอบที่ถูกต้อง: ข้อ ก. Cotrimoxazole 160/800 mg BID
💡 Background:
การดูแลผู้ติดเชื้อ HIV เน้นเริ่ม Antiretroviral Therapy (ART) ทันทีเพื่อกด viral load ให้ undetectable (U=U) และฟื้นฟูระบบภูมิคุ้มกัน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8" s="2" t="n"/>
      <c r="L238" s="2" t="inlineStr">
        <is>
          <t>HIV infection</t>
        </is>
      </c>
      <c r="M238" s="2" t="inlineStr">
        <is>
          <t>Clinic</t>
        </is>
      </c>
      <c r="N238" s="2" t="inlineStr">
        <is>
          <t>ข้อ 1 (PLE_CC1_2555 Day 2.md)</t>
        </is>
      </c>
      <c r="O238" s="2" t="inlineStr">
        <is>
          <t>ข้อสอบจริง</t>
        </is>
      </c>
      <c r="P238" s="2" t="inlineStr">
        <is>
          <t>ปี 2555</t>
        </is>
      </c>
    </row>
    <row r="239" ht="13.2" customHeight="1" s="37">
      <c r="A239" s="8" t="inlineStr">
        <is>
          <t>241</t>
        </is>
      </c>
      <c r="B239" s="2" t="inlineStr">
        <is>
          <t>ติดเชื้อวัณโรคแต่ไม่เป็นเอดส์</t>
        </is>
      </c>
      <c r="C239" s="2" t="n"/>
      <c r="D239" s="2" t="inlineStr">
        <is>
          <t>Tenofovir/Emtricitabine 300/200 mg OD</t>
        </is>
      </c>
      <c r="E239" s="2" t="inlineStr">
        <is>
          <t>Dolutegravir 50 mg OD</t>
        </is>
      </c>
      <c r="F239" s="2" t="inlineStr">
        <is>
          <t>Vancomycin 1 g IV Q12H</t>
        </is>
      </c>
      <c r="G239" s="2" t="inlineStr">
        <is>
          <t>Meropenem 1 g IV Q8H</t>
        </is>
      </c>
      <c r="H239" s="2" t="inlineStr">
        <is>
          <t>Cefazolin 1 g IV Q8H</t>
        </is>
      </c>
      <c r="I239" s="8" t="inlineStr">
        <is>
          <t>1</t>
        </is>
      </c>
      <c r="J239" s="2" t="inlineStr">
        <is>
          <t>✅ คำตอบที่ถูกต้อง: ข้อ ก. Tenofovir/Emtricitabine 300/200 mg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39" s="2" t="n"/>
      <c r="L239" s="2" t="inlineStr">
        <is>
          <t>Tuberculosis</t>
        </is>
      </c>
      <c r="M239" s="2" t="inlineStr">
        <is>
          <t>Clinic</t>
        </is>
      </c>
      <c r="N239" s="2" t="inlineStr">
        <is>
          <t>ข้อ 2 (PLE_CC1_2555 Day 2.md)</t>
        </is>
      </c>
      <c r="O239" s="2" t="inlineStr">
        <is>
          <t>ข้อสอบจริง</t>
        </is>
      </c>
      <c r="P239" s="2" t="inlineStr">
        <is>
          <t>ปี 2555</t>
        </is>
      </c>
    </row>
    <row r="240" ht="13.2" customHeight="1" s="37">
      <c r="A240" s="8" t="inlineStr">
        <is>
          <t>242</t>
        </is>
      </c>
      <c r="B240" s="2" t="inlineStr">
        <is>
          <t>เลือกสูตร GPO-vir หลังรักษา TB 2-4 สัปดาห์</t>
        </is>
      </c>
      <c r="C240" s="2" t="n"/>
      <c r="D240" s="2" t="inlineStr">
        <is>
          <t>Meropenem 1 g IV Q8H</t>
        </is>
      </c>
      <c r="E240" s="2" t="inlineStr">
        <is>
          <t>Cefazolin 1 g IV Q8H</t>
        </is>
      </c>
      <c r="F240" s="2" t="inlineStr">
        <is>
          <t>Amoxicillin/Clavulanate 1 g BID</t>
        </is>
      </c>
      <c r="G240" s="2" t="inlineStr">
        <is>
          <t>Ceftriaxone 1 g IV OD</t>
        </is>
      </c>
      <c r="H240" s="2" t="inlineStr">
        <is>
          <t>Ciprofloxacin 500 mg BID</t>
        </is>
      </c>
      <c r="I240" s="8" t="inlineStr">
        <is>
          <t>1</t>
        </is>
      </c>
      <c r="J240" s="2" t="inlineStr">
        <is>
          <t>✅ คำตอบที่ถูกต้อง: ข้อ ก. Meropenem 1 g IV Q8H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40" s="2" t="n"/>
      <c r="L240" s="2" t="inlineStr">
        <is>
          <t>Tuberculosis</t>
        </is>
      </c>
      <c r="M240" s="2" t="inlineStr">
        <is>
          <t>Clinic</t>
        </is>
      </c>
      <c r="N240" s="2" t="inlineStr">
        <is>
          <t>ข้อ 1 (PLE_CC1_2555 Day 2.md)</t>
        </is>
      </c>
      <c r="O240" s="2" t="inlineStr">
        <is>
          <t>ข้อสอบจริง</t>
        </is>
      </c>
      <c r="P240" s="2" t="inlineStr">
        <is>
          <t>ปี 2555</t>
        </is>
      </c>
    </row>
    <row r="241" ht="13.2" customHeight="1" s="37">
      <c r="A241" s="8" t="inlineStr">
        <is>
          <t>243</t>
        </is>
      </c>
      <c r="B241" s="2" t="inlineStr">
        <is>
          <t>เปลี่ยนเป็น Efavirenz เพื่อป้องกันการเกิดอันตรกิริยากับยา Rifampin</t>
        </is>
      </c>
      <c r="C241" s="2" t="n"/>
      <c r="D241" s="2" t="inlineStr">
        <is>
          <t>Ceftriaxone 1 g IV OD</t>
        </is>
      </c>
      <c r="E241" s="2" t="inlineStr">
        <is>
          <t>Ciprofloxacin 500 mg BID</t>
        </is>
      </c>
      <c r="F241" s="2" t="inlineStr">
        <is>
          <t>Azithromycin 500 mg OD</t>
        </is>
      </c>
      <c r="G241" s="2" t="inlineStr">
        <is>
          <t>Doxycycline 100 mg BID</t>
        </is>
      </c>
      <c r="H241" s="2" t="inlineStr">
        <is>
          <t>Cotrimoxazole 160/800 mg BID</t>
        </is>
      </c>
      <c r="I241" s="8" t="inlineStr">
        <is>
          <t>1</t>
        </is>
      </c>
      <c r="J241" s="2"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CNS Adverse Effects: ทำให้เกิด vivid dreams, ฝันร้าย, วิงเวียน, ซึมเศร้า หรือ psychosis แนะนำรับประทานก่อนนอนตอนท้องว่างเพื่อลด Cmax
• CYP3A4 Induction: เป็น CYP3A4 inducer ลดระดับยาคุมกำเนิดและยารักษาโรคอื่นหลายชนิด</t>
        </is>
      </c>
      <c r="K241" s="2" t="n"/>
      <c r="L241" s="2" t="inlineStr">
        <is>
          <t>HIV infection</t>
        </is>
      </c>
      <c r="M241" s="2" t="inlineStr">
        <is>
          <t>Clinic</t>
        </is>
      </c>
      <c r="N241" s="2" t="inlineStr">
        <is>
          <t>ข้อ 4 (PLE_CC1_2555 Day 2.md)</t>
        </is>
      </c>
      <c r="O241" s="2" t="inlineStr">
        <is>
          <t>ข้อสอบจริง</t>
        </is>
      </c>
      <c r="P241" s="2" t="inlineStr">
        <is>
          <t>ปี 2555</t>
        </is>
      </c>
    </row>
    <row r="242" ht="13.2" customHeight="1" s="37">
      <c r="A242" s="8" t="inlineStr">
        <is>
          <t>244</t>
        </is>
      </c>
      <c r="B242" s="2" t="inlineStr">
        <is>
          <t>KI+I2 เป็นการเตรียมยาโดยใช้เทคนิคพิเศษที่เรียกว่าอะไร</t>
        </is>
      </c>
      <c r="C242" s="2" t="n"/>
      <c r="D242" s="2" t="inlineStr">
        <is>
          <t>complexation</t>
        </is>
      </c>
      <c r="E242" s="2" t="inlineStr">
        <is>
          <t>trituration</t>
        </is>
      </c>
      <c r="F242" s="2" t="inlineStr">
        <is>
          <t>emulsification</t>
        </is>
      </c>
      <c r="G242" s="2" t="inlineStr">
        <is>
          <t>suspension</t>
        </is>
      </c>
      <c r="H242" s="2" t="inlineStr">
        <is>
          <t>levigation 39.การทำ KI+I2 ควรเตรียมโดยข้อใด</t>
        </is>
      </c>
      <c r="I242" s="8" t="inlineStr">
        <is>
          <t>1</t>
        </is>
      </c>
      <c r="J242" s="2" t="inlineStr">
        <is>
          <t>✅ คำตอบที่ถูกต้อง: ข้อ ก. complexation
💡 Background:
การดูแลผู้ติดเชื้อ HIV เน้นเริ่ม Antiretroviral Therapy (ART) ทันทีเพื่อกด viral load ให้ undetectable (U=U) และฟื้นฟูระบบภูมิคุ้มกัน
🎯 ทำไมข้อนี้ถึงถูก:
complexation การเลือก complexation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(trituration): ข้อนี้ไม่ใช่คำตอบที่ถูกต้องสำหรับภาวะ HIV infection เนื่องจากกลไกการออกฤทธิ์, efficacy หรือข้อบ่งใช้ไม่ตรงกับโจทย์ที่กำหนด
• ข้อ ค. (emulsification): ข้อนี้ไม่ใช่คำตอบที่ถูกต้องสำหรับภาวะ HIV infection เนื่องจากกลไกการออกฤทธิ์, efficacy หรือข้อบ่งใช้ไม่ตรงกับโจทย์ที่กำหนด
• ข้อ ง. (suspension): ข้อนี้ไม่ใช่คำตอบที่ถูกต้องสำหรับภาวะ HIV infection เนื่องจากกลไกการออกฤทธิ์, efficacy หรือข้อบ่งใช้ไม่ตรงกับโจทย์ที่กำหนด
• ข้อ จ. (levigation 39.การทำ KI+I2 ควรเตรียมโดยข้อใด):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2" s="2" t="n"/>
      <c r="L242" s="2" t="inlineStr">
        <is>
          <t>HIV infection</t>
        </is>
      </c>
      <c r="M242" s="2" t="inlineStr">
        <is>
          <t>Clinic</t>
        </is>
      </c>
      <c r="N242" s="2" t="inlineStr">
        <is>
          <t>ข้อ 38 (PLE_CC1_2554 SET1.md)</t>
        </is>
      </c>
      <c r="O242" s="2" t="inlineStr">
        <is>
          <t>ข้อสอบจริง</t>
        </is>
      </c>
      <c r="P242" s="2" t="inlineStr">
        <is>
          <t>ปี 2554</t>
        </is>
      </c>
    </row>
    <row r="243" ht="13.2" customHeight="1" s="37">
      <c r="A243" s="8" t="inlineStr">
        <is>
          <t>245</t>
        </is>
      </c>
      <c r="B243" s="2" t="inlineStr">
        <is>
          <t>ผลข้างเคียงจากการใช้ยา acyclovir</t>
        </is>
      </c>
      <c r="C243" s="2" t="n"/>
      <c r="D243" s="2" t="inlineStr">
        <is>
          <t>ปวดเมื่อย</t>
        </is>
      </c>
      <c r="E243" s="2" t="inlineStr">
        <is>
          <t>ตาพร่า</t>
        </is>
      </c>
      <c r="F243" s="2" t="inlineStr">
        <is>
          <t>คลื่นไส้ อาเจียน</t>
        </is>
      </c>
      <c r="G243" s="2" t="inlineStr">
        <is>
          <t>หยุดหายใจ อ้างอิง: www.drugs.com</t>
        </is>
      </c>
      <c r="H243" s="2" t="inlineStr">
        <is>
          <t>Meropenem 1 g IV Q8H</t>
        </is>
      </c>
      <c r="I243" s="8" t="inlineStr">
        <is>
          <t>3</t>
        </is>
      </c>
      <c r="J243" s="2" t="inlineStr">
        <is>
          <t>✅ คำตอบที่ถูกต้อง: ข้อ ค. คลื่นไส้ อาเจียน
💡 Background:
การดูแลผู้ติดเชื้อ HIV เน้นเริ่ม Antiretroviral Therapy (ART) ทันทีเพื่อกด viral load ให้ undetectable (U=U) และฟื้นฟูระบบภูมิคุ้มกัน
🎯 ทำไมข้อนี้ถึงถูก:
คลื่นไส้ อาเจียน การเลือก คลื่นไส้ อาเจียน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(ปวดเมื่อย): ข้อนี้ไม่ใช่คำตอบที่ถูกต้องสำหรับภาวะ HIV infection เนื่องจากกลไกการออกฤทธิ์, efficacy หรือข้อบ่งใช้ไม่ตรงกับโจทย์ที่กำหนด
• ข้อ ข. (ตาพร่า): ข้อนี้ไม่ใช่คำตอบที่ถูกต้องสำหรับภาวะ HIV infection เนื่องจากกลไกการออกฤทธิ์, efficacy หรือข้อบ่งใช้ไม่ตรงกับโจทย์ที่กำหนด
• ข้อ ง. (หยุดหายใจ อ้างอิง: www.drugs.com): ข้อนี้ไม่ใช่คำตอบที่ถูกต้องสำหรับภาวะ HIV infection เนื่องจากกลไกการออกฤทธิ์, efficacy หรือข้อบ่งใช้ไม่ตรงกับโจทย์ที่กำหนด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3" s="2" t="n"/>
      <c r="L243" s="2" t="inlineStr">
        <is>
          <t>HIV infection</t>
        </is>
      </c>
      <c r="M243" s="2" t="inlineStr">
        <is>
          <t>Clinic</t>
        </is>
      </c>
      <c r="N243" s="2" t="inlineStr">
        <is>
          <t>ข้อ 6 (PLE_CC1_2554 SET2.md)</t>
        </is>
      </c>
      <c r="O243" s="2" t="inlineStr">
        <is>
          <t>ข้อสอบจริง</t>
        </is>
      </c>
      <c r="P243" s="2" t="inlineStr">
        <is>
          <t>ปี 2554</t>
        </is>
      </c>
    </row>
    <row r="244" ht="13.2" customHeight="1" s="37">
      <c r="A244" s="8" t="inlineStr">
        <is>
          <t>246</t>
        </is>
      </c>
      <c r="B244" s="2" t="inlineStr">
        <is>
          <t>Uncomplicated UTI เป็นการติดเชื้อที่ระบบทางเดินปัสสาวะที่ผู้ป่วยไม่มีความผิดปกติทางโครงสร้างหรือระบบประสาทที่มาควบคุม การทางานของระบบทางเดินปัสสาวะเชื้อที่มักเป็นสาเหตุ คือเชื้อแกรมลบ bacilli โดยเฉพาะเชื้อ E. coli ซึ่งพบว่าเป็นสาเหตุของ community-acquired cystitis ได้มากถึงร้อยละ 85 รองลงมาคือ S. Saprophyticusร้อยละ 5-15 และเชื้ออื่นๆ อีกร้อยละ 5-10</t>
        </is>
      </c>
      <c r="C244" s="2" t="n"/>
      <c r="D244" s="2" t="inlineStr">
        <is>
          <t>Vancomycin 1 g IV Q12H</t>
        </is>
      </c>
      <c r="E244" s="2" t="inlineStr">
        <is>
          <t>Meropenem 1 g IV Q8H</t>
        </is>
      </c>
      <c r="F244" s="2" t="inlineStr">
        <is>
          <t>Cefazolin 1 g IV Q8H</t>
        </is>
      </c>
      <c r="G244" s="2" t="inlineStr">
        <is>
          <t>Amoxicillin/Clavulanate 1 g BID</t>
        </is>
      </c>
      <c r="H244" s="2" t="inlineStr">
        <is>
          <t>Ceftriaxone 1 g IV OD</t>
        </is>
      </c>
      <c r="I244" s="8" t="inlineStr">
        <is>
          <t>1</t>
        </is>
      </c>
      <c r="J244" s="2" t="inlineStr">
        <is>
          <t>✅ คำตอบที่ถูกต้อง: ข้อ ก. Vancomycin 1 g IV Q12H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44" s="2" t="n"/>
      <c r="L244" s="2" t="inlineStr">
        <is>
          <t>Cystitis</t>
        </is>
      </c>
      <c r="M244" s="2" t="inlineStr">
        <is>
          <t>Clinic</t>
        </is>
      </c>
      <c r="N244" s="2" t="inlineStr">
        <is>
          <t>ข้อ 1 (PLE_CC1_2554 SET2.md)</t>
        </is>
      </c>
      <c r="O244" s="2" t="inlineStr">
        <is>
          <t>ข้อสอบจริง</t>
        </is>
      </c>
      <c r="P244" s="2" t="inlineStr">
        <is>
          <t>ปี 2554</t>
        </is>
      </c>
    </row>
    <row r="245" ht="13.2" customHeight="1" s="37">
      <c r="A245" s="8" t="inlineStr">
        <is>
          <t>247</t>
        </is>
      </c>
      <c r="B245" s="2" t="inlineStr">
        <is>
          <t>ท่านควรจ่ายปฏิชีวนะใด แก่ผู้ป่วยรายนี้ เพื่อป้องกันการติดเชื้อข้างต้น ก . ketoconazole</t>
        </is>
      </c>
      <c r="C245" s="2" t="n"/>
      <c r="D245" s="2" t="inlineStr">
        <is>
          <t>imipenam ค . tetracycline</t>
        </is>
      </c>
      <c r="E245" s="2" t="inlineStr">
        <is>
          <t>amoxicillin</t>
        </is>
      </c>
      <c r="F245" s="2" t="inlineStr">
        <is>
          <t>cloxacillin carbapenem (MSSA) โดย cloxacillin มีประสิทธิภาพดีที่สุดใน ,cephalosporin ส่วน ketoconazole เป็นยารักษาเชื้อรา (Survival Guide on Pharmacotherapy Vol. 1)</t>
        </is>
      </c>
      <c r="G245" s="2" t="inlineStr">
        <is>
          <t>Azithromycin 500 mg OD</t>
        </is>
      </c>
      <c r="H245" s="2" t="inlineStr">
        <is>
          <t>Doxycycline 100 mg BID</t>
        </is>
      </c>
      <c r="I245" s="8" t="inlineStr">
        <is>
          <t>5</t>
        </is>
      </c>
      <c r="J245" s="2" t="inlineStr">
        <is>
          <t>✅ คำตอบที่ถูกต้อง: ข้อ จ.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(imipenam ค . tetracycline): ข้อนี้ไม่ใช่คำตอบที่ถูกต้องสำหรับภาวะ HIV infection เนื่องจากกลไกการออกฤทธิ์, efficacy หรือข้อบ่งใช้ไม่ตรงกับโจทย์ที่กำหนด
• ข้อ ข. (amoxicillin): เป็น Aminopenicillin ยับยั้ง bacterial cell wall synthesis เป็น first-line สำหรับ uncomplicated bacterial infections (เช่น Strep pharyngitis, AOM, sinusitis)
• ข้อ ค. (cloxacillin carbapenem (MSSA) โดย cloxacillin มีประสิทธิภาพดีที่สุดใน ,cephalosporin ส่วน ketoconazole เป็นยารักษาเชื้อรา (Survival Guide on Pharmacotherapy Vol. 1)): เป็น penicillinase-resistant penicillin เป็น drug of choice สำหรับ Methicillin-Susceptible Staphylococcus aureus (MSSA) infections ต้องรับประทานตอนท้องว่าง
• ข้อ ง.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5" s="2" t="n"/>
      <c r="L245" s="2" t="inlineStr">
        <is>
          <t>HIV infection</t>
        </is>
      </c>
      <c r="M245" s="2" t="inlineStr">
        <is>
          <t>Clinic</t>
        </is>
      </c>
      <c r="N245" s="2" t="inlineStr">
        <is>
          <t>ข้อ 24 (PLE_CC1_2554 SET2.md)</t>
        </is>
      </c>
      <c r="O245" s="2" t="inlineStr">
        <is>
          <t>ข้อสอบจริง</t>
        </is>
      </c>
      <c r="P245" s="2" t="inlineStr">
        <is>
          <t>ปี 2554</t>
        </is>
      </c>
    </row>
    <row r="246" ht="13.2" customHeight="1" s="37">
      <c r="A246" s="8" t="inlineStr">
        <is>
          <t>248</t>
        </is>
      </c>
      <c r="B246" s="2" t="inlineStr">
        <is>
          <t>ข้อใดถูกต้องเกี่ยวกับกลไกของยา acyclovir</t>
        </is>
      </c>
      <c r="C246" s="2" t="n"/>
      <c r="D246" s="2" t="inlineStr">
        <is>
          <t>ยับยั้ง RNA polymerase</t>
        </is>
      </c>
      <c r="E246" s="2" t="inlineStr">
        <is>
          <t>เปลี่ยนเป็น triphosphate เท่านั้น จึงจะออกฤทธิ์</t>
        </is>
      </c>
      <c r="F246" s="2" t="inlineStr">
        <is>
          <t>เป็น product เมื่อเข้าสู่ร่างกายจะกลายเป็น valacyclovir</t>
        </is>
      </c>
      <c r="G246" s="2" t="inlineStr">
        <is>
          <t>มีเฉพาะรูปแบบยารับประทานเท่านั้น</t>
        </is>
      </c>
      <c r="H246" s="2" t="inlineStr">
        <is>
          <t>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t>
        </is>
      </c>
      <c r="I246" s="8" t="inlineStr">
        <is>
          <t>2</t>
        </is>
      </c>
      <c r="J246" s="2" t="inlineStr">
        <is>
          <t>✅ คำตอบที่ถูกต้อง: ข้อ ข. เปลี่ยนเป็น triphosphate เท่านั้น จึงจะออกฤทธิ์
💡 Background:
การดูแลผู้ติดเชื้อ HIV เน้นเริ่ม Antiretroviral Therapy (ART) ทันทีเพื่อกด viral load ให้ undetectable (U=U) และฟื้นฟูระบบภูมิคุ้มกัน
🎯 ทำไมข้อนี้ถึงถูก:
เปลี่ยนเป็น triphosphate เท่านั้น จึงจะออกฤทธิ์ การเลือก เปลี่ยนเป็น triphosphate เท่านั้น จึงจะออกฤทธิ์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(ยับยั้ง RNA polymerase): ข้อนี้ไม่ใช่คำตอบที่ถูกต้องสำหรับภาวะ HIV infection เนื่องจากกลไกการออกฤทธิ์, efficacy หรือข้อบ่งใช้ไม่ตรงกับโจทย์ที่กำหนด
• ข้อ ค. (เป็น product เมื่อเข้าสู่ร่างกายจะกลายเป็น valacyclovir): เป็น Guanosine analog ยับยั้ง HSV และ VZV polymerase ต้องดื่มน้ำมากๆ ระหว่างได้ยา IV เพื่อป้องกัน crystal nephropathy และ obstructive AKI
• ข้อ ง. (มีเฉพาะรูปแบบยารับประทานเท่านั้น): ข้อนี้ไม่ใช่คำตอบที่ถูกต้องสำหรับภาวะ HIV infection เนื่องจากกลไกการออกฤทธิ์, efficacy หรือข้อบ่งใช้ไม่ตรงกับโจทย์ที่กำหนด
• ข้อ จ. (ยับยั้งขั้นตอน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6" s="2" t="n"/>
      <c r="L246" s="2" t="inlineStr">
        <is>
          <t>HIV infection</t>
        </is>
      </c>
      <c r="M246" s="2" t="inlineStr">
        <is>
          <t>Clinic</t>
        </is>
      </c>
      <c r="N246" s="2" t="inlineStr">
        <is>
          <t>ข้อ 4 (PLE_CC1_2554 SET2.md)</t>
        </is>
      </c>
      <c r="O246" s="2" t="inlineStr">
        <is>
          <t>ข้อสอบจริง</t>
        </is>
      </c>
      <c r="P246" s="2" t="inlineStr">
        <is>
          <t>ปี 2554</t>
        </is>
      </c>
    </row>
    <row r="247" ht="13.2" customHeight="1" s="37">
      <c r="A247" s="8" t="inlineStr">
        <is>
          <t>249</t>
        </is>
      </c>
      <c r="B247" s="2" t="inlineStr">
        <is>
          <t>renal insufficiency Precautions</t>
        </is>
      </c>
      <c r="C247" s="2" t="n"/>
      <c r="D247" s="2" t="inlineStr">
        <is>
          <t>Metronidazole 400 mg TID</t>
        </is>
      </c>
      <c r="E247" s="2" t="inlineStr">
        <is>
          <t>Nitrofurantoin 100 mg BID</t>
        </is>
      </c>
      <c r="F247" s="2" t="inlineStr">
        <is>
          <t>Tenofovir/Emtricitabine 300/200 mg OD</t>
        </is>
      </c>
      <c r="G247" s="2" t="inlineStr">
        <is>
          <t>Dolutegravir 50 mg OD</t>
        </is>
      </c>
      <c r="H247" s="2" t="inlineStr">
        <is>
          <t>Vancomycin 1 g IV Q12H</t>
        </is>
      </c>
      <c r="I247" s="8" t="inlineStr">
        <is>
          <t>1</t>
        </is>
      </c>
      <c r="J247" s="2"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47" s="2" t="n"/>
      <c r="L247" s="2" t="inlineStr">
        <is>
          <t>Cystitis</t>
        </is>
      </c>
      <c r="M247" s="2" t="inlineStr">
        <is>
          <t>Clinic</t>
        </is>
      </c>
      <c r="N247" s="2" t="inlineStr">
        <is>
          <t>ข้อ 2 (PLE_CC1_2533.md)</t>
        </is>
      </c>
      <c r="O247" s="2" t="inlineStr">
        <is>
          <t>ข้อสอบจริง</t>
        </is>
      </c>
      <c r="P247" s="2" t="inlineStr">
        <is>
          <t>ปี 2533</t>
        </is>
      </c>
    </row>
    <row r="248" ht="13.2" customHeight="1" s="37">
      <c r="A248" s="8" t="inlineStr">
        <is>
          <t>250</t>
        </is>
      </c>
      <c r="B248" s="2" t="inlineStr">
        <is>
          <t>จากการศึกษาความสัมพันธ์ระหว่างการติดเชื้อ HIV-1 กับประวัติการมีเพศสัมพันธ์ โดยการสอบถามจากผู้ป่วย ติดเชื้อ HIV-1 ถึงประวัติการมีเพศสัมพันธ์ในอดีตเทียบกับผู้ที่ไม่ติดเชื้อ HIV-1 การศึกษานี้จัดเป็นการศึกษาใน รูปแบบใด</t>
        </is>
      </c>
      <c r="C248" s="2" t="n"/>
      <c r="D248" s="2" t="inlineStr">
        <is>
          <t>Dolutegravir 50 mg OD</t>
        </is>
      </c>
      <c r="E248" s="2" t="inlineStr">
        <is>
          <t>Vancomycin 1 g IV Q12H</t>
        </is>
      </c>
      <c r="F248" s="2" t="inlineStr">
        <is>
          <t>Meropenem 1 g IV Q8H</t>
        </is>
      </c>
      <c r="G248" s="2" t="inlineStr">
        <is>
          <t>Cefazolin 1 g IV Q8H</t>
        </is>
      </c>
      <c r="H248" s="2" t="inlineStr">
        <is>
          <t>Amoxicillin/Clavulanate 1 g BID</t>
        </is>
      </c>
      <c r="I248" s="8" t="inlineStr">
        <is>
          <t>1</t>
        </is>
      </c>
      <c r="J248" s="2"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48" s="2" t="n"/>
      <c r="L248" s="2" t="inlineStr">
        <is>
          <t>HIV infection</t>
        </is>
      </c>
      <c r="M248" s="2" t="inlineStr">
        <is>
          <t>Clinic</t>
        </is>
      </c>
      <c r="N248" s="2" t="inlineStr">
        <is>
          <t>ข้อ 8 (PLE_CC1_2533.md)</t>
        </is>
      </c>
      <c r="O248" s="2" t="inlineStr">
        <is>
          <t>ข้อสอบจริง</t>
        </is>
      </c>
      <c r="P248" s="2" t="inlineStr">
        <is>
          <t>ปี 2533</t>
        </is>
      </c>
    </row>
    <row r="249" ht="13.2" customHeight="1" s="37">
      <c r="A249" s="8" t="inlineStr">
        <is>
          <t>251</t>
        </is>
      </c>
      <c r="B249" s="2" t="inlineStr">
        <is>
          <t>โรคติดเชื้อ 65 81</t>
        </is>
      </c>
      <c r="C249" s="2" t="n"/>
      <c r="D249" s="2" t="inlineStr">
        <is>
          <t>Cefazolin 1 g IV Q8H</t>
        </is>
      </c>
      <c r="E249" s="2" t="inlineStr">
        <is>
          <t>Amoxicillin/Clavulanate 1 g BID</t>
        </is>
      </c>
      <c r="F249" s="2" t="inlineStr">
        <is>
          <t>Ceftriaxone 1 g IV OD</t>
        </is>
      </c>
      <c r="G249" s="2" t="inlineStr">
        <is>
          <t>Ciprofloxacin 500 mg BID</t>
        </is>
      </c>
      <c r="H249" s="2" t="inlineStr">
        <is>
          <t>Azithromycin 500 mg OD</t>
        </is>
      </c>
      <c r="I249" s="8" t="inlineStr">
        <is>
          <t>3</t>
        </is>
      </c>
      <c r="J249" s="2" t="inlineStr">
        <is>
          <t>✅ คำตอบที่ถูกต้อง: ข้อ ค.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(Cefazolin 1 g IV Q8H): เป็น 1st generation cephalosporin เป็น drug of choice สำหรับ surgical antibiotic prophylaxis และ severe MSSA bacteremia/endocarditis
• ข้อ ข. (Amoxicillin/Clavulanate 1 g BID): เป็น Aminopenicillin ยับยั้ง bacterial cell wall synthesis เป็น first-line สำหรับ uncomplicated bacterial infections (เช่น Strep pharyngitis, AOM, sinusitis)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9" s="2" t="n"/>
      <c r="L249" s="2" t="inlineStr">
        <is>
          <t>HIV infection</t>
        </is>
      </c>
      <c r="M249" s="2" t="inlineStr">
        <is>
          <t>Clinic</t>
        </is>
      </c>
      <c r="N249" s="2" t="inlineStr">
        <is>
          <t>ข้อ 4 (PLE_CC1_Practice_Exam.md)</t>
        </is>
      </c>
      <c r="O249" s="2" t="inlineStr">
        <is>
          <t>Mock</t>
        </is>
      </c>
      <c r="P249" s="2" t="inlineStr">
        <is>
          <t>Mock สภาเภสัชฯ Practice</t>
        </is>
      </c>
    </row>
    <row r="250" ht="13.2" customHeight="1" s="37">
      <c r="A250" s="8" t="inlineStr">
        <is>
          <t>252</t>
        </is>
      </c>
      <c r="B250" s="2" t="inlineStr">
        <is>
          <t>โรคติดเชื้อ โดย ฝ่ายวิชาการ สโมสรนิสิตเภสัชศาสตร์ จุฬาลงกรณ์มหาวิทยาลัย หัวข้อเรื่อง วัณโรคและติดเชื้อ HIVs ผู้ป่วยชายไทยคู่ อายุ 30 ปี น้ำหนักตัว 60 กิโลกรัม อาชีพพนักงานรัฐวิสาหกิจ มาโรงพยาบาลด้วย อาการไอเรื้อรังมาประมาณ 2 สัปดาห์ มีไข้ต่ำ ๆ น้ำหนักลด 6 กิโลกรัมในระยะเวลา 2 สัปดาห์ อ่อนเพลียมีผล ทางห้องปฏิบัติการดังนี้ ผลตรวจเสมหะ AFB 2+ CXR พบรอยโรค แพทย์วินิจฉัยว่าเป็น Pulmonary tuberculosis 4 ปีก่อนหน้านี้เคยได้รับการรักษา Pulmonary tuberculosis ด้วยสูตรยาต้านวัณโรคมาตรฐานครบ 6 เดือนจนอาการดีขึ้น จนแพทย์สั่งหยุดยามาแล้ว V/S: HR 80 bpm BP 130/85 mmHg RR 25 bpm BT 37 ๐C Lab: Scr 1.1 mg/dL BUN 13 mg/dL AST 32 U/L ALT 35 U/L</t>
        </is>
      </c>
      <c r="C250" s="2" t="n"/>
      <c r="D250" s="2" t="inlineStr">
        <is>
          <t>Ciprofloxacin 500 mg BID</t>
        </is>
      </c>
      <c r="E250" s="2" t="inlineStr">
        <is>
          <t>Azithromycin 500 mg OD</t>
        </is>
      </c>
      <c r="F250" s="2" t="inlineStr">
        <is>
          <t>Doxycycline 100 mg BID</t>
        </is>
      </c>
      <c r="G250" s="2" t="inlineStr">
        <is>
          <t>Cotrimoxazole 160/800 mg BID</t>
        </is>
      </c>
      <c r="H250" s="2" t="inlineStr">
        <is>
          <t>Metronidazole 400 mg TID</t>
        </is>
      </c>
      <c r="I250" s="8" t="inlineStr">
        <is>
          <t>1</t>
        </is>
      </c>
      <c r="J250" s="2"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50" s="2" t="n"/>
      <c r="L250" s="2" t="inlineStr">
        <is>
          <t>HIV infection</t>
        </is>
      </c>
      <c r="M250" s="2" t="inlineStr">
        <is>
          <t>Clinic</t>
        </is>
      </c>
      <c r="N250" s="2" t="inlineStr">
        <is>
          <t>ข้อ 4 (PLE_CC1_Practice_Exam.md)</t>
        </is>
      </c>
      <c r="O250" s="2" t="inlineStr">
        <is>
          <t>Mock</t>
        </is>
      </c>
      <c r="P250" s="2" t="inlineStr">
        <is>
          <t>Mock สภาเภสัชฯ Practice</t>
        </is>
      </c>
    </row>
    <row r="251" ht="13.2" customHeight="1" s="37">
      <c r="A251" s="8" t="inlineStr">
        <is>
          <t>253</t>
        </is>
      </c>
      <c r="B251" s="2" t="inlineStr">
        <is>
          <t>ผู้ป่วยควรได้รับการรักษาด้วยยาต้านเชื้อวัณโรคสูตรใด</t>
        </is>
      </c>
      <c r="C251" s="2" t="n"/>
      <c r="D251" s="2" t="inlineStr">
        <is>
          <t>4HRZE/2HR</t>
        </is>
      </c>
      <c r="E251" s="2" t="inlineStr">
        <is>
          <t>2HRZES/1HRZE/5HRE</t>
        </is>
      </c>
      <c r="F251" s="2" t="inlineStr">
        <is>
          <t>2HRZE/4HR</t>
        </is>
      </c>
      <c r="G251" s="2" t="inlineStr">
        <is>
          <t>2RZE/10RE</t>
        </is>
      </c>
      <c r="H251" s="2" t="inlineStr">
        <is>
          <t>2SHE/16HE</t>
        </is>
      </c>
      <c r="I251" s="8" t="inlineStr">
        <is>
          <t>1</t>
        </is>
      </c>
      <c r="J251" s="2" t="inlineStr">
        <is>
          <t>✅ คำตอบที่ถูกต้อง: ข้อ ก. 4HRZE/2HR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4HRZE/2HR การเลือก 4HRZE/2HR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(2HRZES/1HRZE/5HRE): ข้อนี้ไม่ใช่คำตอบที่ถูกต้องสำหรับภาวะ Tuberculosis เนื่องจากกลไกการออกฤทธิ์, efficacy หรือข้อบ่งใช้ไม่ตรงกับโจทย์ที่กำหนด
• ข้อ ค. (2HRZE/4HR): ข้อนี้ไม่ใช่คำตอบที่ถูกต้องสำหรับภาวะ Tuberculosis เนื่องจากกลไกการออกฤทธิ์, efficacy หรือข้อบ่งใช้ไม่ตรงกับโจทย์ที่กำหนด
• ข้อ ง. (2RZE/10RE): ข้อนี้ไม่ใช่คำตอบที่ถูกต้องสำหรับภาวะ Tuberculosis เนื่องจากกลไกการออกฤทธิ์, efficacy หรือข้อบ่งใช้ไม่ตรงกับโจทย์ที่กำหนด
• ข้อ จ. (2SHE/16HE):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51" s="2" t="n"/>
      <c r="L251" s="2" t="inlineStr">
        <is>
          <t>Tuberculosis</t>
        </is>
      </c>
      <c r="M251" s="2" t="inlineStr">
        <is>
          <t>Clinic</t>
        </is>
      </c>
      <c r="N251" s="2" t="inlineStr">
        <is>
          <t>ข้อ 1 (PLE_CC1_Practice_Exam.md)</t>
        </is>
      </c>
      <c r="O251" s="2" t="inlineStr">
        <is>
          <t>Mock</t>
        </is>
      </c>
      <c r="P251" s="2" t="inlineStr">
        <is>
          <t>Mock สภาเภสัชฯ Practice</t>
        </is>
      </c>
    </row>
    <row r="252" ht="13.2" customHeight="1" s="37">
      <c r="A252" s="8" t="inlineStr">
        <is>
          <t>254</t>
        </is>
      </c>
      <c r="B252" s="2" t="inlineStr">
        <is>
          <t>ข้อใดต่อไปนี้กล่าวผิดเกี่ยวกับยา Isoniazid</t>
        </is>
      </c>
      <c r="C252" s="2" t="n"/>
      <c r="D252" s="2" t="inlineStr">
        <is>
          <t>ยาออกฤทธิ์ต้านเชื้อวัณโรคโดยยับยั้งการสร้าง DNA ของเชื้อวัณโรค</t>
        </is>
      </c>
      <c r="E252" s="2" t="inlineStr">
        <is>
          <t>ในผู้ป่วยรายนี้สามารถได้รับยา Isoniazid ในขนาด 300 mg ต่อวันได้</t>
        </is>
      </c>
      <c r="F252" s="2" t="inlineStr">
        <is>
          <t>ยาลดกรดสามารถลดประสิทธิภาพของยา Isoniazid</t>
        </is>
      </c>
      <c r="G252" s="2" t="inlineStr">
        <is>
          <t>ผู้ป่วยทุกรายที่ได้รับยา Isoniazid ควรต้องได้รับ Pyridoxine</t>
        </is>
      </c>
      <c r="H252" s="2" t="inlineStr">
        <is>
          <t>อาการไม่พึงประสงค์ที่พบได้ คือ เอนไซม์ตับเพิ่มขึ้น 65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252" s="8" t="inlineStr">
        <is>
          <t>1</t>
        </is>
      </c>
      <c r="J252" s="2" t="inlineStr">
        <is>
          <t>✅ คำตอบที่ถูกต้อง: ข้อ ก. ยาออกฤทธิ์ต้านเชื้อวัณโรคโดยยับยั้งการสร้าง DNA ของเชื้อวัณโรค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ยาออกฤทธิ์ต้านเชื้อวัณโรคโดยยับยั้งการสร้าง DNA ของเชื้อวัณโรค การเลือก ยาออกฤทธิ์ต้านเชื้อวัณโรคโดยยับยั้งการสร้าง DNA ของเชื้อวัณโรค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(ในผู้ป่วยรายนี้สามารถได้รับยา Isoniazid ในขนาด 300 mg ต่อวันได้):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(ยาลดกรดสามารถลดประสิทธิภาพของยา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(ผู้ป่วยทุกรายที่ได้รับยา Isoniazid ควรต้องได้รับ Pyridoxine):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(อาการไม่พึงประสงค์ที่พบได้ คือ เอนไซม์ตับเพิ่มขึ้น 65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Tuberculosis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52" s="2" t="n"/>
      <c r="L252" s="2" t="inlineStr">
        <is>
          <t>Tuberculosis</t>
        </is>
      </c>
      <c r="M252" s="2" t="inlineStr">
        <is>
          <t>Clinic</t>
        </is>
      </c>
      <c r="N252" s="2" t="inlineStr">
        <is>
          <t>ข้อ 2 (PLE_CC1_Practice_Exam.md)</t>
        </is>
      </c>
      <c r="O252" s="2" t="inlineStr">
        <is>
          <t>Mock</t>
        </is>
      </c>
      <c r="P252" s="2" t="inlineStr">
        <is>
          <t>Mock สภาเภสัชฯ Practice</t>
        </is>
      </c>
    </row>
    <row r="253" ht="13.2" customHeight="1" s="37">
      <c r="A253" s="8" t="inlineStr">
        <is>
          <t>255</t>
        </is>
      </c>
      <c r="B253" s="2" t="inlineStr">
        <is>
          <t>การให้ยา Quinine ในการรักษาโรคมาลาเรียกรณีติดเชื้อมาลาเรียชนิดฟัลซิพารัมรุนแรง เพราะเหตุใดจึง ไม่ให้แบบ bolus injection</t>
        </is>
      </c>
      <c r="C253" s="2" t="n"/>
      <c r="D253" s="2" t="inlineStr">
        <is>
          <t>การให้แบบ bolus injection อาจทำให้เกิด cardiotoxic effects เช่น หัวใจหยุดเต้นได้</t>
        </is>
      </c>
      <c r="E253" s="2" t="inlineStr">
        <is>
          <t>การให้แบบ bolus injection ทำให้ยาอยู่ในกระแสเลือดไม่นานพอที่จะฆ่าเชื้อได้หมด</t>
        </is>
      </c>
      <c r="F253" s="2" t="inlineStr">
        <is>
          <t>การให้แบบ bolus injection ทำให้ยามีค่าครึ่งชีวิตสั้นลง 74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G253" s="2" t="inlineStr">
        <is>
          <t>การให้แบบ bolus injection ทำให้เกิดผลข้างเคียงจากยาโดยทั่วไปลดลง แต่ผลข้างเคียงถึงแก่ชีวิตเพิ่ม มากขึ้นอย่างมาก</t>
        </is>
      </c>
      <c r="H253" s="2" t="inlineStr">
        <is>
          <t>ตำรับของตัวยาอยู่ในรูป emulsion แบบ w/o ไม่สามารถให้แบบ IV ได้</t>
        </is>
      </c>
      <c r="I253" s="8" t="inlineStr">
        <is>
          <t>1</t>
        </is>
      </c>
      <c r="J253" s="2" t="inlineStr">
        <is>
          <t>✅ คำตอบที่ถูกต้อง: ข้อ ก. การให้แบบ bolus injection อาจทำให้เกิด cardiotoxic effects เช่น หัวใจหยุดเต้นได้
💡 Background:
การดูแลผู้ติดเชื้อ HIV เน้นเริ่ม Antiretroviral Therapy (ART) ทันทีเพื่อกด viral load ให้ undetectable (U=U) และฟื้นฟูระบบภูมิคุ้มกัน
🎯 ทำไมข้อนี้ถึงถูก:
การให้แบบ bolus injection อาจทำให้เกิด cardiotoxic effects เช่น หัวใจหยุดเต้นได้ การเลือก การให้แบบ bolus injection อาจทำให้เกิด cardiotoxic effects เช่น หัวใจหยุดเต้นได้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(การให้แบบ bolus injection ทำให้ยาอยู่ในกระแสเลือดไม่นานพอที่จะฆ่าเชื้อได้หมด): วัคซีนไข้สมองอักเสบเจอี ชนิดเชื้อเป็น (Live attenuated CD.JEV) ให้ 2 เข็ม ที่อายุ 9-12 เดือน และเข็ม 2 ห่างกัน 3-12 เดือน
• ข้อ ค. (การให้แบบ bolus injection ทำให้ยามีค่าครึ่งชีวิตสั้นลง 74 โรคติดเชื้อ ฝ่ายวิชาการ สโมสรนิสิตเภสัชศาสตร์ จุฬาลงกรณ์มหาวิทยาลัย สหพันธ์นิสิตนักศึกษาเภสัชศาสตร์แห่งประเทศไทย (สนภท.)): วัคซีนไข้สมองอักเสบเจอี ชนิดเชื้อเป็น (Live attenuated CD.JEV) ให้ 2 เข็ม ที่อายุ 9-12 เดือน และเข็ม 2 ห่างกัน 3-12 เดือน
• ข้อ ง. (การให้แบบ bolus injection ทำให้เกิดผลข้างเคียงจากยาโดยทั่วไปลดลง แต่ผลข้างเคียงถึงแก่ชีวิตเพิ่ม มากขึ้นอย่างมาก): วัคซีนไข้สมองอักเสบเจอี ชนิดเชื้อเป็น (Live attenuated CD.JEV) ให้ 2 เข็ม ที่อายุ 9-12 เดือน และเข็ม 2 ห่างกัน 3-12 เดือน
• ข้อ จ. (ตำรับของตัวยาอยู่ในรูป emulsion แบบ w/o ไม่สามารถให้แบบ IV ได้):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3" s="2" t="n"/>
      <c r="L253" s="2" t="inlineStr">
        <is>
          <t>HIV infection</t>
        </is>
      </c>
      <c r="M253" s="2" t="inlineStr">
        <is>
          <t>Clinic</t>
        </is>
      </c>
      <c r="N253" s="2" t="inlineStr">
        <is>
          <t>ข้อ 33 (PLE_CC1_Practice_Exam.md)</t>
        </is>
      </c>
      <c r="O253" s="2" t="inlineStr">
        <is>
          <t>Mock</t>
        </is>
      </c>
      <c r="P253" s="2" t="inlineStr">
        <is>
          <t>Mock สภาเภสัชฯ Practice</t>
        </is>
      </c>
    </row>
    <row r="254" ht="13.2" customHeight="1" s="37">
      <c r="A254" s="8" t="inlineStr">
        <is>
          <t>256</t>
        </is>
      </c>
      <c r="B254" s="2" t="inlineStr">
        <is>
          <t>ตัวยา Metronidazole สามารถใช้รักษาการติดเชื้อของสิ่งมีชีวิตกลุ่มใดได้บ้าง</t>
        </is>
      </c>
      <c r="C254" s="2" t="n"/>
      <c r="D254" s="2" t="inlineStr">
        <is>
          <t>Virus</t>
        </is>
      </c>
      <c r="E254" s="2" t="inlineStr">
        <is>
          <t>Protozoa</t>
        </is>
      </c>
      <c r="F254" s="2" t="inlineStr">
        <is>
          <t>Aerobic bacteria</t>
        </is>
      </c>
      <c r="G254" s="2" t="inlineStr">
        <is>
          <t>Anaerobic bacteria C E A B 77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H254" s="2" t="inlineStr">
        <is>
          <t>ถูกต้องทั้งข้อ ข และ ง</t>
        </is>
      </c>
      <c r="I254" s="8" t="inlineStr">
        <is>
          <t>1</t>
        </is>
      </c>
      <c r="J254" s="2" t="inlineStr">
        <is>
          <t>✅ คำตอบที่ถูกต้อง: ข้อ ก. Virus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Virus การเลือก Virus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ข. (Protozoa): ข้อนี้ไม่ใช่คำตอบที่ถูกต้องสำหรับภาวะ STDs &amp; vaginitis เนื่องจากกลไกการออกฤทธิ์, efficacy หรือข้อบ่งใช้ไม่ตรงกับโจทย์ที่กำหนด
• ข้อ ค. (Aerobic bacteria): ข้อนี้ไม่ใช่คำตอบที่ถูกต้องสำหรับภาวะ STDs &amp; vaginitis เนื่องจากกลไกการออกฤทธิ์, efficacy หรือข้อบ่งใช้ไม่ตรงกับโจทย์ที่กำหนด
• ข้อ ง. (Anaerobic bacteria C E A B 77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STDs &amp; vaginitis เนื่องจากกลไกการออกฤทธิ์, efficacy หรือข้อบ่งใช้ไม่ตรงกับโจทย์ที่กำหนด
• ข้อ จ. (ถูกต้องทั้งข้อ ข และ ง): ข้อนี้ไม่ใช่คำตอบที่ถูกต้องสำหรับภาวะ STDs &amp; vaginitis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4" s="2" t="n"/>
      <c r="L254" s="2" t="inlineStr">
        <is>
          <t>STDs &amp; vaginitis</t>
        </is>
      </c>
      <c r="M254" s="2" t="inlineStr">
        <is>
          <t>Clinic</t>
        </is>
      </c>
      <c r="N254" s="2" t="inlineStr">
        <is>
          <t>ข้อ 44 (PLE_CC1_Practice_Exam.md)</t>
        </is>
      </c>
      <c r="O254" s="2" t="inlineStr">
        <is>
          <t>Mock</t>
        </is>
      </c>
      <c r="P254" s="2" t="inlineStr">
        <is>
          <t>Mock สภาเภสัชฯ Practice</t>
        </is>
      </c>
    </row>
    <row r="255" ht="13.2" customHeight="1" s="37">
      <c r="A255" s="8" t="inlineStr">
        <is>
          <t>257</t>
        </is>
      </c>
      <c r="B255" s="2" t="inlineStr">
        <is>
          <t>ผู้ป่วยมาด้วยอาการติดเชื้อที่เล็บ เล็บเปลี่ยนสีเป็นสีเหลือง หรือสีดำ และมีการหนาตัวขึ้น แพทย์วินิจฉัยว่า เป็น Onychomycosis จากเชื้อ Candida spp. ยาใดไม่สามารถใช้ในการรักษาสำหรับผู้ป่วยรายนี้ได้</t>
        </is>
      </c>
      <c r="C255" s="2" t="n"/>
      <c r="D255" s="2" t="inlineStr">
        <is>
          <t>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E255" s="2" t="inlineStr">
        <is>
          <t>Ketoconazole</t>
        </is>
      </c>
      <c r="F255" s="2" t="inlineStr">
        <is>
          <t>Fluconazole</t>
        </is>
      </c>
      <c r="G255" s="2" t="inlineStr">
        <is>
          <t>Itraconazole</t>
        </is>
      </c>
      <c r="H255" s="2" t="inlineStr">
        <is>
          <t>Terbinafine</t>
        </is>
      </c>
      <c r="I255" s="8" t="inlineStr">
        <is>
          <t>1</t>
        </is>
      </c>
      <c r="J255" s="2" t="inlineStr">
        <is>
          <t>✅ คำตอบที่ถูกต้อง: ข้อ 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 Background:
การดูแลผู้ติดเชื้อ HIV เน้นเริ่ม Antiretroviral Therapy (ART) ทันทีเพื่อกด viral load ให้ undetectable (U=U) และฟื้นฟูระบบภูมิคุ้มกัน
🎯 ทำไมข้อนี้ถึงถูก: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การเลือก Griseofulvin 134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(Ketoconazole): ข้อนี้ไม่ใช่คำตอบที่ถูกต้องสำหรับภาวะ HIV infection เนื่องจากกลไกการออกฤทธิ์, efficacy หรือข้อบ่งใช้ไม่ตรงกับโจทย์ที่กำหนด
• ข้อ ค. (Fluconazole): เป็น Triazole antifungal เป็น first-line สำหรับ Candida albicans และ Cryptococcal maintenance therapy ขับออกทางไตเด่นชัดจึงต้องปรับ dose ตาม CrCl
• ข้อ ง.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(Terbinafine):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5" s="2" t="n"/>
      <c r="L255" s="2" t="inlineStr">
        <is>
          <t>HIV infection</t>
        </is>
      </c>
      <c r="M255" s="2" t="inlineStr">
        <is>
          <t>Clinic</t>
        </is>
      </c>
      <c r="N255" s="2" t="inlineStr">
        <is>
          <t>ข้อ 25 (PLE_CC1_Practice_Exam.md)</t>
        </is>
      </c>
      <c r="O255" s="2" t="inlineStr">
        <is>
          <t>Mock</t>
        </is>
      </c>
      <c r="P255" s="2" t="inlineStr">
        <is>
          <t>Mock สภาเภสัชฯ Practice</t>
        </is>
      </c>
    </row>
    <row r="256" ht="13.2" customHeight="1" s="37">
      <c r="A256" s="8" t="inlineStr">
        <is>
          <t>258</t>
        </is>
      </c>
      <c r="B256" s="2" t="inlineStr">
        <is>
          <t>ผู้ป่วยชายไทยคู่ อายุ 38 ปี มาพบแพทย์ด้วยอาการเป็นแผลที่อวัยวะเพศ มีตุ่มน้ำพองใส แสบ คัน เป็นมา 3 สัปดาห์ ซึ่งเคยมีอาการดังกล่าวมาก่อนหน้านี้แล้วได้รับการรักษาให้หายแล้วแต่กลับมาเป็นซ้ำอีก แพทย์ วินิจฉัยว่าเป็นเริม ข้อใดกล่าวถูกต้องที่สุดเกี่ยวกับโรคของผู้ป่วยรายนี้</t>
        </is>
      </c>
      <c r="C256" s="2" t="n"/>
      <c r="D256" s="2" t="inlineStr">
        <is>
          <t>เกิดจากการติดไวรัส Herpes simplex Type I</t>
        </is>
      </c>
      <c r="E256" s="2" t="inlineStr">
        <is>
          <t>ผู้ป่วยรายนี้จัดเป็น Primary Infection เนื่องจากเป็นการรักษาเริมหลังจากรักษาครั้งแรกหายขาด แล้ว</t>
        </is>
      </c>
      <c r="F256" s="2" t="inlineStr">
        <is>
          <t>เมื่อมีอาการคัน สามารถใช้ยา topical ทาภายใน 48 ชั่วโมง เพื่อลดความรุนแรงของโรค</t>
        </is>
      </c>
      <c r="G256" s="2" t="inlineStr">
        <is>
          <t>การรักษาสำหรับผู้ป่วยรายนี้ สามารถใช้ Valacyclovir 500 mg bid 3 วัน</t>
        </is>
      </c>
      <c r="H256" s="2" t="inlineStr">
        <is>
          <t>การรักษาสำหรับผู้ป่วยรายนี้ สามารถใช้ Valacyclovir 500 mg bid 7 - 10 วัน จากข้อมูลต่อไปนี้ จงตอบคำถามข้อ 34-35</t>
        </is>
      </c>
      <c r="I256" s="8" t="inlineStr">
        <is>
          <t>1</t>
        </is>
      </c>
      <c r="J256" s="2" t="inlineStr">
        <is>
          <t>✅ คำตอบที่ถูกต้อง: ข้อ ก. เกิดจากการติดไวรัส Herpes simplex Type I
💡 Background:
การดูแลผู้ติดเชื้อ HIV เน้นเริ่ม Antiretroviral Therapy (ART) ทันทีเพื่อกด viral load ให้ undetectable (U=U) และฟื้นฟูระบบภูมิคุ้มกัน
🎯 ทำไมข้อนี้ถึงถูก:
เกิดจากการติดไวรัส Herpes simplex Type I การเลือก เกิดจากการติดไวรัส Herpes simplex Type 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(ผู้ป่วยรายนี้จัดเป็น Primary Infection เนื่องจากเป็นการรักษาเริมหลังจากรักษาครั้งแรกหายขาด แล้ว): ข้อนี้ไม่ใช่คำตอบที่ถูกต้องสำหรับภาวะ HIV infection เนื่องจากกลไกการออกฤทธิ์, efficacy หรือข้อบ่งใช้ไม่ตรงกับโจทย์ที่กำหนด
• ข้อ ค. (เมื่อมีอาการคัน สามารถใช้ยา topical ทาภายใน 48 ชั่วโมง เพื่อลดความรุนแรงของโรค): ข้อนี้ไม่ใช่คำตอบที่ถูกต้องสำหรับภาวะ HIV infection เนื่องจากกลไกการออกฤทธิ์, efficacy หรือข้อบ่งใช้ไม่ตรงกับโจทย์ที่กำหนด
• ข้อ ง. (การรักษาสำหรับผู้ป่วยรายนี้ สามารถใช้ Valacyclovir 500 mg bid 3 วัน): เป็น Guanosine analog ยับยั้ง HSV และ VZV polymerase ต้องดื่มน้ำมากๆ ระหว่างได้ยา IV เพื่อป้องกัน crystal nephropathy และ obstructive AKI
• ข้อ จ. (การรักษาสำหรับผู้ป่วยรายนี้ สามารถใช้ Valacyclovir 500 mg bid 7 - 10 วัน จากข้อมูลต่อไปนี้ จงตอบคำถามข้อ 34-35):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6" s="2" t="n"/>
      <c r="L256" s="2" t="inlineStr">
        <is>
          <t>HIV infection</t>
        </is>
      </c>
      <c r="M256" s="2" t="inlineStr">
        <is>
          <t>Clinic</t>
        </is>
      </c>
      <c r="N256" s="2" t="inlineStr">
        <is>
          <t>ข้อ 33 (PLE_CC1_Practice_Exam.md)</t>
        </is>
      </c>
      <c r="O256" s="2" t="inlineStr">
        <is>
          <t>Mock</t>
        </is>
      </c>
      <c r="P256" s="2" t="inlineStr">
        <is>
          <t>Mock สภาเภสัชฯ Practice</t>
        </is>
      </c>
    </row>
    <row r="257" ht="13.2" customHeight="1" s="37">
      <c r="A257" s="8" t="inlineStr">
        <is>
          <t>259</t>
        </is>
      </c>
      <c r="B257" s="2" t="inlineStr">
        <is>
          <t>ข้อใดกล่าวผิดเกี่ยวกับโครงสร้างของยา Dicloxacillin และยา Amoxicillin</t>
        </is>
      </c>
      <c r="C257" s="2" t="n"/>
      <c r="D257" s="2" t="inlineStr">
        <is>
          <t>หมายเลข 1 ในโครงสร้างของยา Dicloxacillin และ Amoxicillin มีชื่อว่า Thiazolidine ring</t>
        </is>
      </c>
      <c r="E257" s="2" t="inlineStr">
        <is>
          <t>หมายเลข 3 ในโครงสร้างของยา Dicloxacillin คือ Phenyl-isoxazole ring วางตัวตั้งฉากกับ β- lactam ring ทำให้ทนต่อ β-lactamase enzyme</t>
        </is>
      </c>
      <c r="F257" s="2" t="inlineStr">
        <is>
          <t>หมายเลข 2 ในโครงสร้างของยา Amoxicillin ทำให้ยาทนกรดในกระเพาะอาหารมากขึ้น</t>
        </is>
      </c>
      <c r="G257" s="2" t="inlineStr">
        <is>
          <t>หมายเลข 4 ในโครงสร้างของยา Amoxicillin ทำให้ยา Amoxicillin เป็น para-hydroxy analog ของ Ampicillin</t>
        </is>
      </c>
      <c r="H257" s="2" t="inlineStr">
        <is>
          <t>หมายเลข 4 ในโครงสร้างของยา Amoxicillin ทำให้ยา Amoxicillin ทนต่อ β-lactamase enzyme จากกรณีศึกษาต่อไปนี้ จงตอบคำถาม 8-9 ผู้ป่วยหญิงไทยคู่อายุ 22 ปี อาชีพทำนา มาร้านยาด้วยอาการ ตาแดง ไม่มีอาการคันตาหรือเคืองตา มี ของตาทั้ง 2 ข้าง ยังไม่ใช้ยาใดๆ และไม่แพ้ยา</t>
        </is>
      </c>
      <c r="I257" s="8" t="inlineStr">
        <is>
          <t>1</t>
        </is>
      </c>
      <c r="J257" s="2" t="inlineStr">
        <is>
          <t>✅ คำตอบที่ถูกต้อง: ข้อ ก. หมายเลข 1 ในโครงสร้างของยา Dicloxacillin และ Amoxicillin มีชื่อว่า Thiazolidine ring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หมายเลข 1 ในโครงสร้างของยา Dicloxacillin และ Amoxicillin มีชื่อว่า Thiazolidine ring ขี้ตาจำนวนมากสีเขียวเหลือง โดยผู้ป่วยให้ข้อมูลเพิ่มเติมว่าเริ่มแรกมีอาการเพียงตา 1 ข้างต่อมาพบว่ามีอาการ
 เป็น Aminopenicillin ยับยั้ง bacterial cell wall synthesis เป็น first-line สำหรับ uncomplicated bacterial infections (เช่น Strep pharyngitis, AOM, sinusitis)
🔍 ข้ออื่นผิดเพราะอะไร:
• ข้อ ข. (หมายเลข 3 ในโครงสร้างของยา Dicloxacillin คือ Phenyl-isoxazole ring วางตัวตั้งฉากกับ β- lactam ring ทำให้ทนต่อ β-lactamase enzyme): เป็น penicillinase-resistant penicillin เป็น drug of choice สำหรับ Methicillin-Susceptible Staphylococcus aureus (MSSA) infections ต้องรับประทานตอนท้องว่าง
• ข้อ ค. (หมายเลข 2 ในโครงสร้างของยา Amoxicillin ทำให้ยาทนกรดในกระเพาะอาหารมากขึ้น): เป็น Aminopenicillin ยับยั้ง bacterial cell wall synthesis เป็น first-line สำหรับ uncomplicated bacterial infections (เช่น Strep pharyngitis, AOM, sinusitis)
• ข้อ ง. (หมายเลข 4 ในโครงสร้างของยา Amoxicillin ทำให้ยา Amoxicillin เป็น para-hydroxy analog ของ Ampicillin): เป็น Aminopenicillin ยับยั้ง bacterial cell wall synthesis เป็น first-line สำหรับ uncomplicated bacterial infections (เช่น Strep pharyngitis, AOM, sinusitis)
• ข้อ จ. (หมายเลข 4 ในโครงสร้างของยา Amoxicillin ทำให้ยา Amoxicillin ทนต่อ β-lactamase enzyme จากกรณีศึกษาต่อไปนี้ จงตอบคำถาม 8-9 ผู้ป่วยหญิงไทยคู่อายุ 22 ปี อาชีพทำนา มาร้านยาด้วยอาการ ตาแดง ไม่มีอาการคันตาหรือเคืองตา มี ของตาทั้ง 2 ข้าง ยังไม่ใช้ยาใดๆ และไม่แพ้ยา): เป็น Aminopenicillin ยับยั้ง bacterial cell wall synthesis เป็น first-line สำหรับ uncomplicated bacterial infections (เช่น Strep pharyngitis, AOM, sinusitis)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7" s="2" t="n"/>
      <c r="L257" s="2" t="inlineStr">
        <is>
          <t>URTI</t>
        </is>
      </c>
      <c r="M257" s="2" t="inlineStr">
        <is>
          <t>Clinic</t>
        </is>
      </c>
      <c r="N257" s="2" t="inlineStr">
        <is>
          <t>ข้อ 7 (PLE_CC1_Practice_Exam.md)</t>
        </is>
      </c>
      <c r="O257" s="2" t="inlineStr">
        <is>
          <t>Mock</t>
        </is>
      </c>
      <c r="P257" s="2" t="inlineStr">
        <is>
          <t>Mock สภาเภสัชฯ Practice</t>
        </is>
      </c>
    </row>
    <row r="258" ht="13.2" customHeight="1" s="37">
      <c r="A258" s="8" t="inlineStr">
        <is>
          <t>260</t>
        </is>
      </c>
      <c r="B258" s="2" t="inlineStr">
        <is>
          <t>หากตรวจพบว่าเกิดจากการติดเชื้อ Pseudomonas aeruginosa ยาในข้อใดที่เหมาะสมในการรักษาที่ ครอบคลุมเชื้อมากที่สุด</t>
        </is>
      </c>
      <c r="C258" s="2" t="n"/>
      <c r="D258" s="2" t="inlineStr">
        <is>
          <t>Norfloxacin</t>
        </is>
      </c>
      <c r="E258" s="2" t="inlineStr">
        <is>
          <t>Neomycin</t>
        </is>
      </c>
      <c r="F258" s="2" t="inlineStr">
        <is>
          <t>Polymyxin B</t>
        </is>
      </c>
      <c r="G258" s="2" t="inlineStr">
        <is>
          <t>Vancomycin</t>
        </is>
      </c>
      <c r="H258" s="2" t="inlineStr">
        <is>
          <t>Clarithromycin</t>
        </is>
      </c>
      <c r="I258" s="8" t="inlineStr">
        <is>
          <t>1</t>
        </is>
      </c>
      <c r="J258" s="2" t="inlineStr">
        <is>
          <t>✅ คำตอบที่ถูกต้อง: ข้อ ก. Norfloxacin
💡 Background:
การดูแลผู้ติดเชื้อ HIV เน้นเริ่ม Antiretroviral Therapy (ART) ทันทีเพื่อกด viral load ให้ undetectable (U=U) และฟื้นฟูระบบภูมิคุ้มกัน
🎯 ทำไมข้อนี้ถึงถูก:
Norfloxacin การเลือก Norfloxacin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(Neomycin): ข้อนี้ไม่ใช่คำตอบที่ถูกต้องสำหรับภาวะ HIV infection เนื่องจากกลไกการออกฤทธิ์, efficacy หรือข้อบ่งใช้ไม่ตรงกับโจทย์ที่กำหนด
• ข้อ ค. (Polymyxin B): ข้อนี้ไม่ใช่คำตอบที่ถูกต้องสำหรับภาวะ HIV infection เนื่องจากกลไกการออกฤทธิ์, efficacy หรือข้อบ่งใช้ไม่ตรงกับโจทย์ที่กำหนด
• ข้อ ง. (Vancomycin): เป็น Glycopeptide antibiotic ยับยั้ง MRSA และ Enterococcus ต้อง monitoring trough level (target 15-20 mcg/mL ใน severe infections) เพื่อป้องกัน nephrotoxicity และ ototoxity
• ข้อ จ. (Clarithromycin): เป็น Macrolide เป็นแกนหลักในสูตรกำจัด H. pylori และ MAC treatment แต่ยับยั้ง CYP3A4 สูงมาก จึงมี drug-drug interactions รุนแรงกับ statins, colchicine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8" s="2" t="n"/>
      <c r="L258" s="2" t="inlineStr">
        <is>
          <t>HIV infection</t>
        </is>
      </c>
      <c r="M258" s="2" t="inlineStr">
        <is>
          <t>Clinic</t>
        </is>
      </c>
      <c r="N258" s="2" t="inlineStr">
        <is>
          <t>ข้อ 20 (PLE_CC1_Practice_Exam.md)</t>
        </is>
      </c>
      <c r="O258" s="2" t="inlineStr">
        <is>
          <t>Mock</t>
        </is>
      </c>
      <c r="P258" s="2" t="inlineStr">
        <is>
          <t>Mock สภาเภสัชฯ Practice</t>
        </is>
      </c>
    </row>
    <row r="259" ht="13.2" customHeight="1" s="37">
      <c r="A259" s="8" t="inlineStr">
        <is>
          <t>261</t>
        </is>
      </c>
      <c r="B259" s="2" t="inlineStr">
        <is>
          <t>การประเมินความเสี่ยงเพื่อแยกการติดเชื้อไวรัสหรือแบคทีเรียโดยใช้ตาม Mclsacc Criteria ของผู้ป่วย รายนี้ได้เท่ากับกี่คะแนน</t>
        </is>
      </c>
      <c r="C259" s="2" t="n"/>
      <c r="D259" s="2" t="inlineStr">
        <is>
          <t>1 คะแนน</t>
        </is>
      </c>
      <c r="E259" s="2" t="inlineStr">
        <is>
          <t>2 คะแนน</t>
        </is>
      </c>
      <c r="F259" s="2" t="inlineStr">
        <is>
          <t>3 คะแนน</t>
        </is>
      </c>
      <c r="G259" s="2" t="inlineStr">
        <is>
          <t>4 คะแนน</t>
        </is>
      </c>
      <c r="H259" s="2" t="inlineStr">
        <is>
          <t>5 คะแนน จากกรณีศึกษาต่อไปนี้ จงตอบคำถามข้อ 38-39 ผู้ป่วยหญิงอายุ 10 ปี น้ำหนัก 35 kg ส่วนสูง 140 cm มาโรงพยาบาล ด้วยอาการเจ็บคอ เมื่อสอง หน้านี้ได้รับประทานแคปซูลยาฟ้าทะลายโจร 4x3 มาแล้ว แต่อาการไม่ดีขึ้นจึงมาโรงพยาบาล ผู้ป่วยมี ประวัติแพ้ยาพาราเซตามอล โดยมีอาการผื่นขึ้นหลังได้รับยาได้รับการวินิจฉัยเบื้องต้นว่าเป็น tonsillitis</t>
        </is>
      </c>
      <c r="I259" s="8" t="inlineStr">
        <is>
          <t>1</t>
        </is>
      </c>
      <c r="J259" s="2" t="inlineStr">
        <is>
          <t>✅ คำตอบที่ถูกต้อง: ข้อ ก. 1 คะแนน
💡 Background:
การดูแลผู้ติดเชื้อ HIV เน้นเริ่ม Antiretroviral Therapy (ART) ทันทีเพื่อกด viral load ให้ undetectable (U=U) และฟื้นฟูระบบภูมิคุ้มกัน
🎯 ทำไมข้อนี้ถึงถูก:
1 คะแนน วันที่แล้ว จากการซักประวัติพบว่า ก่อนหน้านี้ไปเยี่ยมญาติที่โรงพยาบาล เมื่อเช้าก่อนมาโรงพยาบาลมีอาการ หน้าร้อน ตัวแดง ได้ทำการเช็ดตัวเพื่อลดไข้ผู้ป่วยแล้ว วัดอุณหภูมิร่างกายได้ 38.2ื c คอบวมแดง มีจุดหนอง ไม่มีน้ ามูก มีอาการหนาวสั่นและปัสสาวะบ่อยตอนกลางคืน เมื่อคลำบริเวณคอรู้สึกเจ็บ เสมหะมีสีเหลือง ก่อน
🔍 ข้ออื่นผิดเพราะอะไร:
• ข้อ ข. (2 คะแนน): ข้อนี้ไม่ใช่คำตอบที่ถูกต้องสำหรับภาวะ HIV infection เนื่องจากกลไกการออกฤทธิ์, efficacy หรือข้อบ่งใช้ไม่ตรงกับโจทย์ที่กำหนด
• ข้อ ค. (3 คะแนน): ข้อนี้ไม่ใช่คำตอบที่ถูกต้องสำหรับภาวะ HIV infection เนื่องจากกลไกการออกฤทธิ์, efficacy หรือข้อบ่งใช้ไม่ตรงกับโจทย์ที่กำหนด
• ข้อ ง. (4 คะแนน): ข้อนี้ไม่ใช่คำตอบที่ถูกต้องสำหรับภาวะ HIV infection เนื่องจากกลไกการออกฤทธิ์, efficacy หรือข้อบ่งใช้ไม่ตรงกับโจทย์ที่กำหนด
• ข้อ จ. (5 คะแนน จากกรณีศึกษาต่อไปนี้ จงตอบคำถามข้อ 38-39 ผู้ป่วยหญิงอายุ 10 ปี น้ำหนัก 35 kg ส่วนสูง 140 cm มาโรงพยาบาล ด้วยอาการเจ็บคอ เมื่อสอง หน้านี้ได้รับประทานแคปซูลยาฟ้าทะลายโจร 4x3 มาแล้ว แต่อาการไม่ดีขึ้นจึงมาโรงพยาบาล ผู้ป่วยมี ประวัติแพ้ยาพาราเซตามอล โดยมีอาการผื่นขึ้นหลังได้รับยาได้รับการวินิจฉัยเบื้องต้นว่าเป็น tonsillitis):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9" s="2" t="n"/>
      <c r="L259" s="2" t="inlineStr">
        <is>
          <t>HIV infection</t>
        </is>
      </c>
      <c r="M259" s="2" t="inlineStr">
        <is>
          <t>Clinic</t>
        </is>
      </c>
      <c r="N259" s="2" t="inlineStr">
        <is>
          <t>ข้อ 37 (PLE_CC1_Practice_Exam.md)</t>
        </is>
      </c>
      <c r="O259" s="2" t="inlineStr">
        <is>
          <t>Mock</t>
        </is>
      </c>
      <c r="P259" s="2" t="inlineStr">
        <is>
          <t>Mock สภาเภสัชฯ Practice</t>
        </is>
      </c>
    </row>
    <row r="260" ht="13.2" customHeight="1" s="37">
      <c r="A260" s="8" t="inlineStr">
        <is>
          <t>262</t>
        </is>
      </c>
      <c r="B260" s="2" t="inlineStr">
        <is>
          <t>นายสมศักดิ์ อายุ 40 ปี มาพบท่านซึ่งเป็นเภสัชกรที่ร้านยาแห่งหนึ่งด้วยอาการมีผื่นขึ้นที่บริเวณปลายมือ และปลายเท้า โดยลักษณะผื่นที่พบ คือมีรูปร่างกลม เป็นวง 3 ชั้น ชั้นในสุดจะมีสีแดงเข้มจัดหรือเป็นตุ่มน้ำ พอง ชั้นถัดมาจะมีสีซีดจาง และชั้นนอกสุดจะมีสีแดงจางๆลักษณะคล้ายรูปธนู นอกจากนี้ยังพบแผลที่บริเวณ 236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ริมฝีปาก โดยมีลักษณะเป็นแผลถลอกตื้นๆ มีเลือดออกและเป็นสะเก็ดสีคล้ำ ซึ่งจากการซักประวัติเพิ่มเติม พบว่าไม่พบปัจจัยเสี่ยงอื่นๆที่ทำให้เกิดผื่นดังกล่าว นอกจากการรับประทานยา penicillin เมื่อ 4 วันก่อนเพื่อ รักษาการติดเชื้อจากแบคทีเรีย ท่านคิดว่านายสมศักดิ์ควรได้รับการวินิจฉัยอย่างไรจึงจะเหมาะสมที่สุด</t>
        </is>
      </c>
      <c r="C260" s="2" t="n"/>
      <c r="D260" s="2" t="inlineStr">
        <is>
          <t>Maculopapular rash</t>
        </is>
      </c>
      <c r="E260" s="2" t="inlineStr">
        <is>
          <t>Stevens-Johnson syndrome</t>
        </is>
      </c>
      <c r="F260" s="2" t="inlineStr">
        <is>
          <t>Photosensitivity drug eruption</t>
        </is>
      </c>
      <c r="G260" s="2" t="inlineStr">
        <is>
          <t>Urticaria</t>
        </is>
      </c>
      <c r="H260" s="2" t="inlineStr">
        <is>
          <t>Erythema multiforme</t>
        </is>
      </c>
      <c r="I260" s="8" t="inlineStr">
        <is>
          <t>1</t>
        </is>
      </c>
      <c r="J260" s="2" t="inlineStr">
        <is>
          <t>✅ คำตอบที่ถูกต้อง: ข้อ ก. Maculopapular rash
💡 Background:
การดูแลผู้ติดเชื้อ HIV เน้นเริ่ม Antiretroviral Therapy (ART) ทันทีเพื่อกด viral load ให้ undetectable (U=U) และฟื้นฟูระบบภูมิคุ้มกัน
🎯 ทำไมข้อนี้ถึงถูก:
Maculopapular rash การเลือก Maculopapular rash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(Stevens-Johnson syndrome): ข้อนี้ไม่ใช่คำตอบที่ถูกต้องสำหรับภาวะ HIV infection เนื่องจากกลไกการออกฤทธิ์, efficacy หรือข้อบ่งใช้ไม่ตรงกับโจทย์ที่กำหนด
• ข้อ ค. (Photosensitivity drug eruption): ข้อนี้ไม่ใช่คำตอบที่ถูกต้องสำหรับภาวะ HIV infection เนื่องจากกลไกการออกฤทธิ์, efficacy หรือข้อบ่งใช้ไม่ตรงกับโจทย์ที่กำหนด
• ข้อ ง. (Urticaria): ข้อนี้ไม่ใช่คำตอบที่ถูกต้องสำหรับภาวะ HIV infection เนื่องจากกลไกการออกฤทธิ์, efficacy หรือข้อบ่งใช้ไม่ตรงกับโจทย์ที่กำหนด
• ข้อ จ. (Erythema multiforme):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0" s="2" t="n"/>
      <c r="L260" s="2" t="inlineStr">
        <is>
          <t>HIV infection</t>
        </is>
      </c>
      <c r="M260" s="2" t="inlineStr">
        <is>
          <t>Clinic</t>
        </is>
      </c>
      <c r="N260" s="2" t="inlineStr">
        <is>
          <t>ข้อ 34 (PLE_CC1_Practice_Exam.md)</t>
        </is>
      </c>
      <c r="O260" s="2" t="inlineStr">
        <is>
          <t>Mock</t>
        </is>
      </c>
      <c r="P260" s="2" t="inlineStr">
        <is>
          <t>Mock สภาเภสัชฯ Practice</t>
        </is>
      </c>
    </row>
    <row r="261" ht="13.2" customHeight="1" s="37">
      <c r="A261" s="8" t="inlineStr">
        <is>
          <t>263</t>
        </is>
      </c>
      <c r="B261" s="2" t="inlineStr">
        <is>
          <t>Rx. Aromatic Ammonia Spirit, USP XXII – NF XVI Ammonium carbonate 34 g Strong ammonia solution 36 ml Lemon oil 10 ml Lavender oil 1 ml Nutmeg oil 1 ml Alcohol 700 ml Purified water qs. 1000 ml 300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จากสูตรตำรับ Strong ammonia solution ทำหน้าที่อะไรในตำรับ</t>
        </is>
      </c>
      <c r="C261" s="2" t="n"/>
      <c r="D261" s="2" t="inlineStr">
        <is>
          <t>Active ingredient</t>
        </is>
      </c>
      <c r="E261" s="2" t="inlineStr">
        <is>
          <t>Flavoring agent</t>
        </is>
      </c>
      <c r="F261" s="2" t="inlineStr">
        <is>
          <t>Stabilizing agent</t>
        </is>
      </c>
      <c r="G261" s="2" t="inlineStr">
        <is>
          <t>Co-solvent</t>
        </is>
      </c>
      <c r="H261" s="2" t="inlineStr">
        <is>
          <t>Solvent - คอลลอยด์</t>
        </is>
      </c>
      <c r="I261" s="8" t="inlineStr">
        <is>
          <t>1</t>
        </is>
      </c>
      <c r="J261" s="2" t="inlineStr">
        <is>
          <t>✅ คำตอบที่ถูกต้อง: ข้อ ก. Active ingredient
💡 Background:
การดูแลผู้ติดเชื้อ HIV เน้นเริ่ม Antiretroviral Therapy (ART) ทันทีเพื่อกด viral load ให้ undetectable (U=U) และฟื้นฟูระบบภูมิคุ้มกัน
🎯 ทำไมข้อนี้ถึงถูก:
Active ingredient การเลือก Active ingredient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(Flavoring agent): ข้อนี้ไม่ใช่คำตอบที่ถูกต้องสำหรับภาวะ HIV infection เนื่องจากกลไกการออกฤทธิ์, efficacy หรือข้อบ่งใช้ไม่ตรงกับโจทย์ที่กำหนด
• ข้อ ค. (Stabilizing agent): ข้อนี้ไม่ใช่คำตอบที่ถูกต้องสำหรับภาวะ HIV infection เนื่องจากกลไกการออกฤทธิ์, efficacy หรือข้อบ่งใช้ไม่ตรงกับโจทย์ที่กำหนด
• ข้อ ง. (Co-solvent): ข้อนี้ไม่ใช่คำตอบที่ถูกต้องสำหรับภาวะ HIV infection เนื่องจากกลไกการออกฤทธิ์, efficacy หรือข้อบ่งใช้ไม่ตรงกับโจทย์ที่กำหนด
• ข้อ จ. (Solvent - คอลลอยด์): ข้อนี้ไม่ใช่คำตอบที่ถูกต้องสำหรับภาวะ HIV infection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1" s="2" t="n"/>
      <c r="L261" s="2" t="inlineStr">
        <is>
          <t>HIV infection</t>
        </is>
      </c>
      <c r="M261" s="2" t="inlineStr">
        <is>
          <t>Clinic</t>
        </is>
      </c>
      <c r="N261" s="2" t="inlineStr">
        <is>
          <t>ข้อ 20 (PLE_CC1_Practice_Exam.md)</t>
        </is>
      </c>
      <c r="O261" s="2" t="inlineStr">
        <is>
          <t>Mock</t>
        </is>
      </c>
      <c r="P261" s="2" t="inlineStr">
        <is>
          <t>Mock สภาเภสัชฯ Practice</t>
        </is>
      </c>
    </row>
    <row r="262" ht="13.2" customHeight="1" s="37">
      <c r="A262" s="8" t="inlineStr">
        <is>
          <t>264</t>
        </is>
      </c>
      <c r="B262" s="2" t="inlineStr">
        <is>
          <t>ผู้ป่วยมีอาการติดเชื้อ เพิ่มขึ้น sinusitis เกิดจากเชื้ออะไร FงพบในยาแบบJ Kนเ%นละอองฝอย</t>
        </is>
      </c>
      <c r="C262" s="2" t="n"/>
      <c r="D262" s="2" t="inlineStr">
        <is>
          <t>Cefazolin 1 g IV Q8H</t>
        </is>
      </c>
      <c r="E262" s="2" t="inlineStr">
        <is>
          <t>Amoxicillin/Clavulanate 1 g BID</t>
        </is>
      </c>
      <c r="F262" s="2" t="inlineStr">
        <is>
          <t>Ceftriaxone 1 g IV OD</t>
        </is>
      </c>
      <c r="G262" s="2" t="inlineStr">
        <is>
          <t>Ciprofloxacin 500 mg BID</t>
        </is>
      </c>
      <c r="H262" s="2" t="inlineStr">
        <is>
          <t>Azithromycin 500 mg OD</t>
        </is>
      </c>
      <c r="I262" s="8" t="inlineStr">
        <is>
          <t>1</t>
        </is>
      </c>
      <c r="J262" s="2" t="inlineStr">
        <is>
          <t>✅ คำตอบที่ถูกต้อง: ข้อ ก. Cefazolin 1 g IV Q8H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2" s="2" t="n"/>
      <c r="L262" s="2" t="inlineStr">
        <is>
          <t>URTI</t>
        </is>
      </c>
      <c r="M262" s="2" t="inlineStr">
        <is>
          <t>Clinic</t>
        </is>
      </c>
      <c r="N262" s="2" t="inlineStr">
        <is>
          <t>ข้อ 16 (PLE_CC1_Key_Rx20_UBU.md)</t>
        </is>
      </c>
      <c r="O262" s="2" t="inlineStr">
        <is>
          <t>Mock</t>
        </is>
      </c>
      <c r="P262" s="2" t="inlineStr">
        <is>
          <t>Mock Rx20 UBU</t>
        </is>
      </c>
    </row>
    <row r="263" ht="13.2" customHeight="1" s="37">
      <c r="A263" s="8" t="inlineStr">
        <is>
          <t>265</t>
        </is>
      </c>
      <c r="B263" s="2" t="inlineStr">
        <is>
          <t>M. catharis sinusitis เกิดจากเชื้อ S. pneumonia , H.influenza , 5. aureas</t>
        </is>
      </c>
      <c r="C263" s="2" t="n"/>
      <c r="D263" s="2" t="inlineStr">
        <is>
          <t>Ciprofloxacin 500 mg BID</t>
        </is>
      </c>
      <c r="E263" s="2" t="inlineStr">
        <is>
          <t>Azithromycin 500 mg OD</t>
        </is>
      </c>
      <c r="F263" s="2" t="inlineStr">
        <is>
          <t>Doxycycline 100 mg BID</t>
        </is>
      </c>
      <c r="G263" s="2" t="inlineStr">
        <is>
          <t>Cotrimoxazole 160/800 mg BID</t>
        </is>
      </c>
      <c r="H263" s="2" t="inlineStr">
        <is>
          <t>Metronidazole 400 mg TID</t>
        </is>
      </c>
      <c r="I263" s="8" t="inlineStr">
        <is>
          <t>1</t>
        </is>
      </c>
      <c r="J263" s="2"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63" s="2" t="n"/>
      <c r="L263" s="2" t="inlineStr">
        <is>
          <t>Pneumonia</t>
        </is>
      </c>
      <c r="M263" s="2" t="inlineStr">
        <is>
          <t>Clinic</t>
        </is>
      </c>
      <c r="N263" s="2" t="inlineStr">
        <is>
          <t>ข้อ 5 (PLE_CC1_Key_Rx20_UBU.md)</t>
        </is>
      </c>
      <c r="O263" s="2" t="inlineStr">
        <is>
          <t>Mock</t>
        </is>
      </c>
      <c r="P263" s="2" t="inlineStr">
        <is>
          <t>Mock Rx20 UBU</t>
        </is>
      </c>
    </row>
    <row r="264" ht="13.2" customHeight="1" s="37">
      <c r="A264" s="8" t="inlineStr">
        <is>
          <t>266</t>
        </is>
      </c>
      <c r="B264" s="2" t="inlineStr">
        <is>
          <t>Amoxicillin + clavulanic acid</t>
        </is>
      </c>
      <c r="C264" s="2" t="n"/>
      <c r="D264" s="2" t="inlineStr">
        <is>
          <t>) Vancomycin</t>
        </is>
      </c>
      <c r="E264" s="2" t="inlineStr">
        <is>
          <t>) Piperacillin/tazobactam</t>
        </is>
      </c>
      <c r="F264" s="2" t="inlineStr">
        <is>
          <t>) Meropenem First line ATB for Sinusitis คือ Amoxicillin หากไม่ได้ผลหรือแพ้ยา จึงเลือกใช้ยาอื่น โดย regimen คือ Amoxillin 500 mg TID 10-14 days</t>
        </is>
      </c>
      <c r="G264" s="2" t="inlineStr">
        <is>
          <t>Tenofovir/Emtricitabine 300/200 mg OD</t>
        </is>
      </c>
      <c r="H264" s="2" t="inlineStr">
        <is>
          <t>Dolutegravir 50 mg OD</t>
        </is>
      </c>
      <c r="I264" s="8" t="inlineStr">
        <is>
          <t>1</t>
        </is>
      </c>
      <c r="J264" s="2" t="inlineStr">
        <is>
          <t>✅ คำตอบที่ถูกต้อง: ข้อ ก. ) Vancomycin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 Vancomycin การเลือก ) Vancomycin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 Piperacillin/tazobactam): เป็น antipseudomonal penicillin ผสม beta-lactamase inhibitor ครอบคลุม broad-spectrum รวมทั้ง Pseudomonas aeruginosa และ intra-abdominal anaerobes (B. fragilis)
• ข้อ ค. () Meropenem First line ATB for Sinusitis คือ Amoxicillin หากไม่ได้ผลหรือแพ้ยา จึงเลือกใช้ยาอื่น โดย regimen คือ Amoxillin 500 mg TID 10-14 days): เป็น Aminopenicillin ยับยั้ง bacterial cell wall synthesis เป็น first-line สำหรับ uncomplicated bacterial infections (เช่น Strep pharyngitis, AOM, sinusitis)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64" s="2" t="n"/>
      <c r="L264" s="2" t="inlineStr">
        <is>
          <t>URTI</t>
        </is>
      </c>
      <c r="M264" s="2" t="inlineStr">
        <is>
          <t>Clinic</t>
        </is>
      </c>
      <c r="N264" s="2" t="inlineStr">
        <is>
          <t>ข้อ 2 (PLE_CC1_Key_Rx20_UBU.md)</t>
        </is>
      </c>
      <c r="O264" s="2" t="inlineStr">
        <is>
          <t>Mock</t>
        </is>
      </c>
      <c r="P264" s="2" t="inlineStr">
        <is>
          <t>Mock Rx20 UBU</t>
        </is>
      </c>
    </row>
    <row r="265" ht="13.2" customHeight="1" s="37">
      <c r="A265" s="8" t="inlineStr">
        <is>
          <t>267</t>
        </is>
      </c>
      <c r="B265" s="2" t="inlineStr">
        <is>
          <t>Sorbitol solution</t>
        </is>
      </c>
      <c r="C265" s="2" t="n"/>
      <c r="D265" s="2" t="inlineStr">
        <is>
          <t>Tenofovir/Emtricitabine 300/200 mg OD</t>
        </is>
      </c>
      <c r="E265" s="2" t="inlineStr">
        <is>
          <t>Dolutegravir 50 mg OD</t>
        </is>
      </c>
      <c r="F265" s="2" t="inlineStr">
        <is>
          <t>Vancomycin 1 g IV Q12H</t>
        </is>
      </c>
      <c r="G265" s="2" t="inlineStr">
        <is>
          <t>Meropenem 1 g IV Q8H</t>
        </is>
      </c>
      <c r="H265" s="2" t="inlineStr">
        <is>
          <t>Cefazolin 1 g IV Q8H</t>
        </is>
      </c>
      <c r="I265" s="8" t="inlineStr">
        <is>
          <t>1</t>
        </is>
      </c>
      <c r="J265" s="2" t="inlineStr">
        <is>
          <t>✅ คำตอบที่ถูกต้อง: ข้อ ก. Tenofovir/Emtricitabine 300/200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5" s="2" t="n"/>
      <c r="L265" s="2" t="inlineStr">
        <is>
          <t>Cystitis</t>
        </is>
      </c>
      <c r="M265" s="2" t="inlineStr">
        <is>
          <t>Clinic</t>
        </is>
      </c>
      <c r="N265" s="2" t="inlineStr">
        <is>
          <t>ข้อ 2 (PLE_CC1_Key_Rx20_UBU.md)</t>
        </is>
      </c>
      <c r="O265" s="2" t="inlineStr">
        <is>
          <t>Mock</t>
        </is>
      </c>
      <c r="P265" s="2" t="inlineStr">
        <is>
          <t>Mock Rx20 UBU</t>
        </is>
      </c>
    </row>
    <row r="266" ht="13.2" customHeight="1" s="37">
      <c r="A266" s="8" t="inlineStr">
        <is>
          <t>268</t>
        </is>
      </c>
      <c r="B266" s="2" t="inlineStr">
        <is>
          <t>Community-acquired pneumonia</t>
        </is>
      </c>
      <c r="C266" s="2" t="n"/>
      <c r="D266" s="2" t="inlineStr">
        <is>
          <t>Meropenem 1 g IV Q8H</t>
        </is>
      </c>
      <c r="E266" s="2" t="inlineStr">
        <is>
          <t>Cefazolin 1 g IV Q8H</t>
        </is>
      </c>
      <c r="F266" s="2" t="inlineStr">
        <is>
          <t>Amoxicillin/Clavulanate 1 g BID</t>
        </is>
      </c>
      <c r="G266" s="2" t="inlineStr">
        <is>
          <t>Ceftriaxone 1 g IV OD</t>
        </is>
      </c>
      <c r="H266" s="2" t="inlineStr">
        <is>
          <t>Ciprofloxacin 500 mg BID</t>
        </is>
      </c>
      <c r="I266" s="8" t="inlineStr">
        <is>
          <t>1</t>
        </is>
      </c>
      <c r="J266" s="2" t="inlineStr">
        <is>
          <t>✅ คำตอบที่ถูกต้อง: ข้อ ก. Meropenem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6" s="2" t="n"/>
      <c r="L266" s="2" t="inlineStr">
        <is>
          <t>Pneumonia</t>
        </is>
      </c>
      <c r="M266" s="2" t="inlineStr">
        <is>
          <t>Clinic</t>
        </is>
      </c>
      <c r="N266" s="2" t="inlineStr">
        <is>
          <t>ข้อ 2 (PLE_CC1_Key_Rx20_UBU.md)</t>
        </is>
      </c>
      <c r="O266" s="2" t="inlineStr">
        <is>
          <t>Mock</t>
        </is>
      </c>
      <c r="P266" s="2" t="inlineStr">
        <is>
          <t>Mock Rx20 UBU</t>
        </is>
      </c>
    </row>
    <row r="267" ht="13.2" customHeight="1" s="37">
      <c r="A267" s="8" t="inlineStr">
        <is>
          <t>269</t>
        </is>
      </c>
      <c r="B267" s="2" t="inlineStr">
        <is>
          <t>P. carinii pneumonia</t>
        </is>
      </c>
      <c r="C267" s="2" t="n"/>
      <c r="D267" s="2" t="inlineStr">
        <is>
          <t>Ceftriaxone 1 g IV OD</t>
        </is>
      </c>
      <c r="E267" s="2" t="inlineStr">
        <is>
          <t>Ciprofloxacin 500 mg BID</t>
        </is>
      </c>
      <c r="F267" s="2" t="inlineStr">
        <is>
          <t>Azithromycin 500 mg OD</t>
        </is>
      </c>
      <c r="G267" s="2" t="inlineStr">
        <is>
          <t>Doxycycline 100 mg BID</t>
        </is>
      </c>
      <c r="H267" s="2" t="inlineStr">
        <is>
          <t>Cotrimoxazole 160/800 mg BID</t>
        </is>
      </c>
      <c r="I267" s="8" t="inlineStr">
        <is>
          <t>1</t>
        </is>
      </c>
      <c r="J267" s="2" t="inlineStr">
        <is>
          <t>✅ คำตอบที่ถูกต้อง: ข้อ ก. Ceftriaxone 1 g IV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7" s="2" t="n"/>
      <c r="L267" s="2" t="inlineStr">
        <is>
          <t>Pneumonia</t>
        </is>
      </c>
      <c r="M267" s="2" t="inlineStr">
        <is>
          <t>Clinic</t>
        </is>
      </c>
      <c r="N267" s="2" t="inlineStr">
        <is>
          <t>ข้อ 3 (PLE_CC1_Key_Rx20_UBU.md)</t>
        </is>
      </c>
      <c r="O267" s="2" t="inlineStr">
        <is>
          <t>Mock</t>
        </is>
      </c>
      <c r="P267" s="2" t="inlineStr">
        <is>
          <t>Mock Rx20 UBU</t>
        </is>
      </c>
    </row>
    <row r="268" ht="13.2" customHeight="1" s="37">
      <c r="A268" s="8" t="inlineStr">
        <is>
          <t>270</t>
        </is>
      </c>
      <c r="B268" s="2" t="inlineStr">
        <is>
          <t>Mycoplasma pneumonia</t>
        </is>
      </c>
      <c r="C268" s="2" t="n"/>
      <c r="D268" s="2" t="inlineStr">
        <is>
          <t>Doxycycline 100 mg BID</t>
        </is>
      </c>
      <c r="E268" s="2" t="inlineStr">
        <is>
          <t>Cotrimoxazole 160/800 mg BID</t>
        </is>
      </c>
      <c r="F268" s="2" t="inlineStr">
        <is>
          <t>Metronidazole 400 mg TID</t>
        </is>
      </c>
      <c r="G268" s="2" t="inlineStr">
        <is>
          <t>Nitrofurantoin 100 mg BID</t>
        </is>
      </c>
      <c r="H268" s="2" t="inlineStr">
        <is>
          <t>Tenofovir/Emtricitabine 300/200 mg OD</t>
        </is>
      </c>
      <c r="I268" s="8" t="inlineStr">
        <is>
          <t>1</t>
        </is>
      </c>
      <c r="J268" s="2" t="inlineStr">
        <is>
          <t>✅ คำตอบที่ถูกต้อง: ข้อ ก. Doxycycline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8" s="2" t="n"/>
      <c r="L268" s="2" t="inlineStr">
        <is>
          <t>Pneumonia</t>
        </is>
      </c>
      <c r="M268" s="2" t="inlineStr">
        <is>
          <t>Clinic</t>
        </is>
      </c>
      <c r="N268" s="2" t="inlineStr">
        <is>
          <t>ข้อ 5 (PLE_CC1_Key_Rx20_UBU.md)</t>
        </is>
      </c>
      <c r="O268" s="2" t="inlineStr">
        <is>
          <t>Mock</t>
        </is>
      </c>
      <c r="P268" s="2" t="inlineStr">
        <is>
          <t>Mock Rx20 UBU</t>
        </is>
      </c>
    </row>
    <row r="269" ht="13.2" customHeight="1" s="37">
      <c r="A269" s="8" t="inlineStr">
        <is>
          <t>271</t>
        </is>
      </c>
      <c r="B269" s="2" t="inlineStr">
        <is>
          <t>Ceftriaxone+Metronidazole</t>
        </is>
      </c>
      <c r="C269" s="2" t="n"/>
      <c r="D269" s="2" t="inlineStr">
        <is>
          <t>Nitrofurantoin 100 mg BID</t>
        </is>
      </c>
      <c r="E269" s="2" t="inlineStr">
        <is>
          <t>Tenofovir/Emtricitabine 300/200 mg OD</t>
        </is>
      </c>
      <c r="F269" s="2" t="inlineStr">
        <is>
          <t>Dolutegravir 50 mg OD</t>
        </is>
      </c>
      <c r="G269" s="2" t="inlineStr">
        <is>
          <t>Vancomycin 1 g IV Q12H</t>
        </is>
      </c>
      <c r="H269" s="2" t="inlineStr">
        <is>
          <t>Meropenem 1 g IV Q8H</t>
        </is>
      </c>
      <c r="I269" s="8" t="inlineStr">
        <is>
          <t>1</t>
        </is>
      </c>
      <c r="J269" s="2" t="inlineStr">
        <is>
          <t>✅ คำตอบที่ถูกต้อง: ข้อ ก. Nitrofurantoin 100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9" s="2" t="n"/>
      <c r="L269" s="2" t="inlineStr">
        <is>
          <t>Pneumonia</t>
        </is>
      </c>
      <c r="M269" s="2" t="inlineStr">
        <is>
          <t>Clinic</t>
        </is>
      </c>
      <c r="N269" s="2" t="inlineStr">
        <is>
          <t>ข้อ 3 (PLE_CC1_Key_Rx20_UBU.md)</t>
        </is>
      </c>
      <c r="O269" s="2" t="inlineStr">
        <is>
          <t>Mock</t>
        </is>
      </c>
      <c r="P269" s="2" t="inlineStr">
        <is>
          <t>Mock Rx20 UBU</t>
        </is>
      </c>
    </row>
    <row r="270" ht="13.2" customHeight="1" s="37">
      <c r="A270" s="8" t="inlineStr">
        <is>
          <t>272</t>
        </is>
      </c>
      <c r="B270" s="2" t="inlineStr">
        <is>
          <t>Ceftriaxone+Roxithromycin</t>
        </is>
      </c>
      <c r="C270" s="2" t="n"/>
      <c r="D270" s="2" t="inlineStr">
        <is>
          <t>Vancomycin 1 g IV Q12H</t>
        </is>
      </c>
      <c r="E270" s="2" t="inlineStr">
        <is>
          <t>Meropenem 1 g IV Q8H</t>
        </is>
      </c>
      <c r="F270" s="2" t="inlineStr">
        <is>
          <t>Cefazolin 1 g IV Q8H</t>
        </is>
      </c>
      <c r="G270" s="2" t="inlineStr">
        <is>
          <t>Amoxicillin/Clavulanate 1 g BID</t>
        </is>
      </c>
      <c r="H270" s="2" t="inlineStr">
        <is>
          <t>Ceftriaxone 1 g IV OD</t>
        </is>
      </c>
      <c r="I270" s="8" t="inlineStr">
        <is>
          <t>1</t>
        </is>
      </c>
      <c r="J270" s="2" t="inlineStr">
        <is>
          <t>✅ คำตอบที่ถูกต้อง: ข้อ ก. Vancomycin 1 g IV Q12H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70" s="2" t="n"/>
      <c r="L270" s="2" t="inlineStr">
        <is>
          <t>Pneumonia</t>
        </is>
      </c>
      <c r="M270" s="2" t="inlineStr">
        <is>
          <t>Clinic</t>
        </is>
      </c>
      <c r="N270" s="2" t="inlineStr">
        <is>
          <t>ข้อ 5 (PLE_CC1_Key_Rx20_UBU.md)</t>
        </is>
      </c>
      <c r="O270" s="2" t="inlineStr">
        <is>
          <t>Mock</t>
        </is>
      </c>
      <c r="P270" s="2" t="inlineStr">
        <is>
          <t>Mock Rx20 UBU</t>
        </is>
      </c>
    </row>
    <row r="271" ht="13.2" customHeight="1" s="37">
      <c r="A271" s="8" t="inlineStr">
        <is>
          <t>273</t>
        </is>
      </c>
      <c r="B271" s="2" t="inlineStr">
        <is>
          <t>เพาะเชื้อแล้วพบว่าผู้ป่วยติดเชื้อ P. aeroginisa ยาใดควรนำมาใช้</t>
        </is>
      </c>
      <c r="C271" s="2" t="n"/>
      <c r="D271" s="2" t="inlineStr">
        <is>
          <t>Amoxicillin/Clavulanate 1 g BID</t>
        </is>
      </c>
      <c r="E271" s="2" t="inlineStr">
        <is>
          <t>Ceftriaxone 1 g IV OD</t>
        </is>
      </c>
      <c r="F271" s="2" t="inlineStr">
        <is>
          <t>Ciprofloxacin 500 mg BID</t>
        </is>
      </c>
      <c r="G271" s="2" t="inlineStr">
        <is>
          <t>Azithromycin 500 mg OD</t>
        </is>
      </c>
      <c r="H271" s="2" t="inlineStr">
        <is>
          <t>Doxycycline 100 mg BID</t>
        </is>
      </c>
      <c r="I271" s="8" t="inlineStr">
        <is>
          <t>1</t>
        </is>
      </c>
      <c r="J271" s="2"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1" s="2" t="n"/>
      <c r="L271" s="2" t="inlineStr">
        <is>
          <t>HIV infection</t>
        </is>
      </c>
      <c r="M271" s="2" t="inlineStr">
        <is>
          <t>Clinic</t>
        </is>
      </c>
      <c r="N271" s="2" t="inlineStr">
        <is>
          <t>ข้อ 83 (PLE_CC1_Key_Rx20_UBU.md)</t>
        </is>
      </c>
      <c r="O271" s="2" t="inlineStr">
        <is>
          <t>Mock</t>
        </is>
      </c>
      <c r="P271" s="2" t="inlineStr">
        <is>
          <t>Mock Rx20 UBU</t>
        </is>
      </c>
    </row>
    <row r="272" ht="13.2" customHeight="1" s="37">
      <c r="A272" s="8" t="inlineStr">
        <is>
          <t>274</t>
        </is>
      </c>
      <c r="B272" s="2" t="inlineStr">
        <is>
          <t>ผู้ป่วยใช้เครื่องช่วยหำยใจแล้วติดเชื้อ A. baumbanii ใช้ยาอะไร</t>
        </is>
      </c>
      <c r="C272" s="2" t="n"/>
      <c r="D272" s="2" t="inlineStr">
        <is>
          <t>Azithromycin 500 mg OD</t>
        </is>
      </c>
      <c r="E272" s="2" t="inlineStr">
        <is>
          <t>Doxycycline 100 mg BID</t>
        </is>
      </c>
      <c r="F272" s="2" t="inlineStr">
        <is>
          <t>Cotrimoxazole 160/800 mg BID</t>
        </is>
      </c>
      <c r="G272" s="2" t="inlineStr">
        <is>
          <t>Metronidazole 400 mg TID</t>
        </is>
      </c>
      <c r="H272" s="2" t="inlineStr">
        <is>
          <t>Nitrofurantoin 100 mg BID</t>
        </is>
      </c>
      <c r="I272" s="8" t="inlineStr">
        <is>
          <t>1</t>
        </is>
      </c>
      <c r="J272" s="2"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2" s="2" t="n"/>
      <c r="L272" s="2" t="inlineStr">
        <is>
          <t>HIV infection</t>
        </is>
      </c>
      <c r="M272" s="2" t="inlineStr">
        <is>
          <t>Clinic</t>
        </is>
      </c>
      <c r="N272" s="2" t="inlineStr">
        <is>
          <t>ข้อ 84 (PLE_CC1_Key_Rx20_UBU.md)</t>
        </is>
      </c>
      <c r="O272" s="2" t="inlineStr">
        <is>
          <t>Mock</t>
        </is>
      </c>
      <c r="P272" s="2" t="inlineStr">
        <is>
          <t>Mock Rx20 UBU</t>
        </is>
      </c>
    </row>
    <row r="273" ht="13.2" customHeight="1" s="37">
      <c r="A273" s="8" t="inlineStr">
        <is>
          <t>277</t>
        </is>
      </c>
      <c r="B273" s="2" t="inlineStr">
        <is>
          <t>โรคติดเชื้อ ปัสสาวะคั่ง อาจทำให้ผู้ป่วยที่มีโรคทางเดินปัสสาวะแย่ลง</t>
        </is>
      </c>
      <c r="C273" s="2" t="n"/>
      <c r="D273" s="2" t="inlineStr">
        <is>
          <t>Cefazolin 1 g IV Q8H</t>
        </is>
      </c>
      <c r="E273" s="2" t="inlineStr">
        <is>
          <t>Amoxicillin/Clavulanate 1 g BID</t>
        </is>
      </c>
      <c r="F273" s="2" t="inlineStr">
        <is>
          <t>Ceftriaxone 1 g IV OD</t>
        </is>
      </c>
      <c r="G273" s="2" t="inlineStr">
        <is>
          <t>Ciprofloxacin 500 mg BID</t>
        </is>
      </c>
      <c r="H273" s="2" t="inlineStr">
        <is>
          <t>Azithromycin 500 mg OD</t>
        </is>
      </c>
      <c r="I273" s="8" t="inlineStr">
        <is>
          <t>1</t>
        </is>
      </c>
      <c r="J273" s="2"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3" s="2" t="n"/>
      <c r="L273" s="2" t="inlineStr">
        <is>
          <t>HIV infection</t>
        </is>
      </c>
      <c r="M273" s="2" t="inlineStr">
        <is>
          <t>Clinic</t>
        </is>
      </c>
      <c r="N273" s="2" t="inlineStr">
        <is>
          <t>ข้อ 5 (PLE_CC1_Key_Rx20_UBU.md)</t>
        </is>
      </c>
      <c r="O273" s="2" t="inlineStr">
        <is>
          <t>Mock</t>
        </is>
      </c>
      <c r="P273" s="2" t="inlineStr">
        <is>
          <t>Mock Rx20 UBU</t>
        </is>
      </c>
    </row>
    <row r="274" ht="13.2" customHeight="1" s="37">
      <c r="A274" s="8" t="inlineStr">
        <is>
          <t>278</t>
        </is>
      </c>
      <c r="B274" s="2" t="inlineStr">
        <is>
          <t>การจะตรวจว่าผู้ป่วยเป็นวัณโรคต้องตรวจหาเชื้ออะไร</t>
        </is>
      </c>
      <c r="C274" s="2" t="n"/>
      <c r="D274" s="2" t="inlineStr">
        <is>
          <t>Ciprofloxacin 500 mg BID</t>
        </is>
      </c>
      <c r="E274" s="2" t="inlineStr">
        <is>
          <t>Azithromycin 500 mg OD</t>
        </is>
      </c>
      <c r="F274" s="2" t="inlineStr">
        <is>
          <t>Doxycycline 100 mg BID</t>
        </is>
      </c>
      <c r="G274" s="2" t="inlineStr">
        <is>
          <t>Cotrimoxazole 160/800 mg BID</t>
        </is>
      </c>
      <c r="H274" s="2" t="inlineStr">
        <is>
          <t>Metronidazole 400 mg TID</t>
        </is>
      </c>
      <c r="I274" s="8" t="inlineStr">
        <is>
          <t>1</t>
        </is>
      </c>
      <c r="J274" s="2"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4" s="2" t="n"/>
      <c r="L274" s="2" t="inlineStr">
        <is>
          <t>Tuberculosis</t>
        </is>
      </c>
      <c r="M274" s="2" t="inlineStr">
        <is>
          <t>Clinic</t>
        </is>
      </c>
      <c r="N274" s="2" t="inlineStr">
        <is>
          <t>ข้อ 1 (PLE_CC1_Key_Rx20_UBU.md)</t>
        </is>
      </c>
      <c r="O274" s="2" t="inlineStr">
        <is>
          <t>Mock</t>
        </is>
      </c>
      <c r="P274" s="2" t="inlineStr">
        <is>
          <t>Mock Rx20 UBU</t>
        </is>
      </c>
    </row>
    <row r="275" ht="13.2" customHeight="1" s="37">
      <c r="A275" s="8" t="inlineStr">
        <is>
          <t>280</t>
        </is>
      </c>
      <c r="B275" s="2" t="inlineStr">
        <is>
          <t>โครงสร้างใดต่อไปนี้ที่จะใช้คู่กับยา Amoxicillin เพื่อป้องกันการถูกทำลายโดย Enzyme ของแบคทีเรีย</t>
        </is>
      </c>
      <c r="C275" s="2" t="n"/>
      <c r="D275" s="2" t="inlineStr">
        <is>
          <t>Tenofovir/Emtricitabine 300/200 mg OD</t>
        </is>
      </c>
      <c r="E275" s="2" t="inlineStr">
        <is>
          <t>Dolutegravir 50 mg OD</t>
        </is>
      </c>
      <c r="F275" s="2" t="inlineStr">
        <is>
          <t>Vancomycin 1 g IV Q12H</t>
        </is>
      </c>
      <c r="G275" s="2" t="inlineStr">
        <is>
          <t>Meropenem 1 g IV Q8H</t>
        </is>
      </c>
      <c r="H275" s="2" t="inlineStr">
        <is>
          <t>Cefazolin 1 g IV Q8H</t>
        </is>
      </c>
      <c r="I275" s="8" t="inlineStr">
        <is>
          <t>1</t>
        </is>
      </c>
      <c r="J275" s="2" t="inlineStr">
        <is>
          <t>✅ คำตอบที่ถูกต้อง: ข้อ ก. Tenofovir/Emtricitabine 300/200 mg OD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5" s="2" t="n"/>
      <c r="L275" s="2" t="inlineStr">
        <is>
          <t>URTI</t>
        </is>
      </c>
      <c r="M275" s="2" t="inlineStr">
        <is>
          <t>Clinic</t>
        </is>
      </c>
      <c r="N275" s="2" t="inlineStr">
        <is>
          <t>ข้อ 7 (PLE_CC1_Key_Rx20_UBU.md)</t>
        </is>
      </c>
      <c r="O275" s="2" t="inlineStr">
        <is>
          <t>Mock</t>
        </is>
      </c>
      <c r="P275" s="2" t="inlineStr">
        <is>
          <t>Mock Rx20 UBU</t>
        </is>
      </c>
    </row>
    <row r="276" ht="13.2" customHeight="1" s="37">
      <c r="A276" s="8" t="inlineStr">
        <is>
          <t>286</t>
        </is>
      </c>
      <c r="B276" s="2" t="inlineStr">
        <is>
          <t>แนะนำให้ผู้ป่วยไปตรวจการติดเชื้อ HIV</t>
        </is>
      </c>
      <c r="C276" s="2" t="n"/>
      <c r="D276" s="2" t="inlineStr">
        <is>
          <t>Amoxicillin/Clavulanate 1 g BID</t>
        </is>
      </c>
      <c r="E276" s="2" t="inlineStr">
        <is>
          <t>Ceftriaxone 1 g IV OD</t>
        </is>
      </c>
      <c r="F276" s="2" t="inlineStr">
        <is>
          <t>Ciprofloxacin 500 mg BID</t>
        </is>
      </c>
      <c r="G276" s="2" t="inlineStr">
        <is>
          <t>Azithromycin 500 mg OD</t>
        </is>
      </c>
      <c r="H276" s="2" t="inlineStr">
        <is>
          <t>Doxycycline 100 mg BID</t>
        </is>
      </c>
      <c r="I276" s="8" t="inlineStr">
        <is>
          <t>1</t>
        </is>
      </c>
      <c r="J276" s="2"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6" s="2" t="n"/>
      <c r="L276" s="2" t="inlineStr">
        <is>
          <t>HIV infection</t>
        </is>
      </c>
      <c r="M276" s="2" t="inlineStr">
        <is>
          <t>Clinic</t>
        </is>
      </c>
      <c r="N276" s="2" t="inlineStr">
        <is>
          <t>ข้อ 1 (PLE_CC1_Key_Rx20_UBU.md)</t>
        </is>
      </c>
      <c r="O276" s="2" t="inlineStr">
        <is>
          <t>Mock</t>
        </is>
      </c>
      <c r="P276" s="2" t="inlineStr">
        <is>
          <t>Mock Rx20 UBU</t>
        </is>
      </c>
    </row>
    <row r="277" ht="13.2" customHeight="1" s="37">
      <c r="A277" s="8" t="inlineStr">
        <is>
          <t>289</t>
        </is>
      </c>
      <c r="B277" s="2" t="inlineStr">
        <is>
          <t>Cotrimoxazole ตามแนวทางการรักษาสามารถเลือกใช้ยาได้แก่ Amoxicillin 500 mg po TID, Amoxicillin/Clavulanate 500/125 mg po TID, Cefixime 200-400 mg po BID, Cefdinir 300 mg BID หรือ 600 mg OD เป็นต้น</t>
        </is>
      </c>
      <c r="C277" s="2" t="n"/>
      <c r="D277" s="2" t="inlineStr">
        <is>
          <t>Dolutegravir 50 mg OD</t>
        </is>
      </c>
      <c r="E277" s="2" t="inlineStr">
        <is>
          <t>Vancomycin 1 g IV Q12H</t>
        </is>
      </c>
      <c r="F277" s="2" t="inlineStr">
        <is>
          <t>Meropenem 1 g IV Q8H</t>
        </is>
      </c>
      <c r="G277" s="2" t="inlineStr">
        <is>
          <t>Cefazolin 1 g IV Q8H</t>
        </is>
      </c>
      <c r="H277" s="2" t="inlineStr">
        <is>
          <t>Amoxicillin/Clavulanate 1 g BID</t>
        </is>
      </c>
      <c r="I277" s="8" t="inlineStr">
        <is>
          <t>1</t>
        </is>
      </c>
      <c r="J277" s="2" t="inlineStr">
        <is>
          <t>✅ คำตอบที่ถูกต้อง: ข้อ ก. Dolutegravir 50 mg OD
💡 Background:
การบริบาลผู้ป่วยในกลุ่มโรค Cystitis มุ่งเน้นการควบคุมโรคและลดความเสี่ยงต่อภาวะแทรกซ้อนด้วย evidence-based pharmacotherapy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[NEED_REVIEW]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77" s="2" t="n"/>
      <c r="L277" s="2" t="inlineStr">
        <is>
          <t>Cystitis</t>
        </is>
      </c>
      <c r="M277" s="2" t="inlineStr">
        <is>
          <t>Clinic</t>
        </is>
      </c>
      <c r="N277" s="2" t="inlineStr">
        <is>
          <t>ข้อ 5 (PLE_CC1_Key_Rx20_UBU.md)</t>
        </is>
      </c>
      <c r="O277" s="2" t="inlineStr">
        <is>
          <t>Mock</t>
        </is>
      </c>
      <c r="P277" s="2" t="inlineStr">
        <is>
          <t>Mock Rx20 UBU</t>
        </is>
      </c>
    </row>
    <row r="278" ht="13.2" customHeight="1" s="37">
      <c r="A278" s="8" t="inlineStr">
        <is>
          <t>290</t>
        </is>
      </c>
      <c r="B278" s="2" t="inlineStr">
        <is>
          <t>ยาอันตรายที่ขายได้เฉพาะร้านยาคุณภาพ Ref: ประกาศกระทรวงสาธารณสุข เรื่องยาอันตราย ฉบับที่ ๒๒ กรณีศึกษาที่ 5 Meningitis ผู้ป่วยหญิงอายุ 35 ปี ตรวจพบว่าเป็น N. menigitis ได้รับยา ceftriaxone 2 g IV 2 12 hr</t>
        </is>
      </c>
      <c r="C278" s="2" t="n"/>
      <c r="D278" s="2" t="inlineStr">
        <is>
          <t>Cefazolin 1 g IV Q8H</t>
        </is>
      </c>
      <c r="E278" s="2" t="inlineStr">
        <is>
          <t>Amoxicillin/Clavulanate 1 g BID</t>
        </is>
      </c>
      <c r="F278" s="2" t="inlineStr">
        <is>
          <t>Ceftriaxone 1 g IV OD</t>
        </is>
      </c>
      <c r="G278" s="2" t="inlineStr">
        <is>
          <t>Ciprofloxacin 500 mg BID</t>
        </is>
      </c>
      <c r="H278" s="2" t="inlineStr">
        <is>
          <t>Azithromycin 500 mg OD</t>
        </is>
      </c>
      <c r="I278" s="8" t="inlineStr">
        <is>
          <t>1</t>
        </is>
      </c>
      <c r="J278" s="2" t="inlineStr">
        <is>
          <t>✅ คำตอบที่ถูกต้อง: ข้อ ก. Cefazolin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8" s="2" t="n"/>
      <c r="L278" s="2" t="inlineStr">
        <is>
          <t>Pneumonia</t>
        </is>
      </c>
      <c r="M278" s="2" t="inlineStr">
        <is>
          <t>Clinic</t>
        </is>
      </c>
      <c r="N278" s="2" t="inlineStr">
        <is>
          <t>ข้อ 5 (PLE_CC1_Key_Rx20_UBU.md)</t>
        </is>
      </c>
      <c r="O278" s="2" t="inlineStr">
        <is>
          <t>Mock</t>
        </is>
      </c>
      <c r="P278" s="2" t="inlineStr">
        <is>
          <t>Mock Rx20 UBU</t>
        </is>
      </c>
    </row>
    <row r="279" ht="13.2" customHeight="1" s="37">
      <c r="A279" s="8" t="inlineStr">
        <is>
          <t>291</t>
        </is>
      </c>
      <c r="B279" s="2" t="inlineStr">
        <is>
          <t>จากรูปโครงสร้างยา ceftriaxone ห้ามผสมใน diluent ชนิดไหน - dome = 100 my/m</t>
        </is>
      </c>
      <c r="C279" s="2" t="n"/>
      <c r="D279" s="2" t="inlineStr">
        <is>
          <t>Ciprofloxacin 500 mg BID</t>
        </is>
      </c>
      <c r="E279" s="2" t="inlineStr">
        <is>
          <t>Azithromycin 500 mg OD</t>
        </is>
      </c>
      <c r="F279" s="2" t="inlineStr">
        <is>
          <t>Doxycycline 100 mg BID</t>
        </is>
      </c>
      <c r="G279" s="2" t="inlineStr">
        <is>
          <t>Cotrimoxazole 160/800 mg BID</t>
        </is>
      </c>
      <c r="H279" s="2" t="inlineStr">
        <is>
          <t>Metronidazole 400 mg TID</t>
        </is>
      </c>
      <c r="I279" s="8" t="inlineStr">
        <is>
          <t>1</t>
        </is>
      </c>
      <c r="J279" s="2" t="inlineStr">
        <is>
          <t>✅ คำตอบที่ถูกต้อง: ข้อ ก. Ciprofloxacin 500 mg BID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9" s="2" t="n"/>
      <c r="L279" s="2" t="inlineStr">
        <is>
          <t>Pneumonia</t>
        </is>
      </c>
      <c r="M279" s="2" t="inlineStr">
        <is>
          <t>Clinic</t>
        </is>
      </c>
      <c r="N279" s="2" t="inlineStr">
        <is>
          <t>ข้อ 31 (PLE_CC1_Key_Rx20_UBU.md)</t>
        </is>
      </c>
      <c r="O279" s="2" t="inlineStr">
        <is>
          <t>Mock</t>
        </is>
      </c>
      <c r="P279" s="2" t="inlineStr">
        <is>
          <t>Mock Rx20 UBU</t>
        </is>
      </c>
    </row>
    <row r="280" ht="13.2" customHeight="1" s="37">
      <c r="A280" s="8" t="inlineStr">
        <is>
          <t>292</t>
        </is>
      </c>
      <c r="B280" s="2" t="inlineStr">
        <is>
          <t>Ringer solution Ceftriaxone เกิด incomplatibity กับ calcium ในสารน้ำ Ringer solution</t>
        </is>
      </c>
      <c r="C280" s="2" t="n"/>
      <c r="D280" s="2" t="inlineStr">
        <is>
          <t>Cotrimoxazole 160/800 mg BID</t>
        </is>
      </c>
      <c r="E280" s="2" t="inlineStr">
        <is>
          <t>Metronidazole 400 mg TID</t>
        </is>
      </c>
      <c r="F280" s="2" t="inlineStr">
        <is>
          <t>Nitrofurantoin 100 mg BID</t>
        </is>
      </c>
      <c r="G280" s="2" t="inlineStr">
        <is>
          <t>Tenofovir/Emtricitabine 300/200 mg OD</t>
        </is>
      </c>
      <c r="H280" s="2" t="inlineStr">
        <is>
          <t>Dolutegravir 50 mg OD</t>
        </is>
      </c>
      <c r="I280" s="8" t="inlineStr">
        <is>
          <t>1</t>
        </is>
      </c>
      <c r="J280" s="2" t="inlineStr">
        <is>
          <t>✅ คำตอบที่ถูกต้อง: ข้อ ก. Cotrimoxazole 160/800 mg BID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0" s="2" t="n"/>
      <c r="L280" s="2" t="inlineStr">
        <is>
          <t>Pneumonia</t>
        </is>
      </c>
      <c r="M280" s="2" t="inlineStr">
        <is>
          <t>Clinic</t>
        </is>
      </c>
      <c r="N280" s="2" t="inlineStr">
        <is>
          <t>ข้อ 5 (PLE_CC1_Key_Rx20_UBU.md)</t>
        </is>
      </c>
      <c r="O280" s="2" t="inlineStr">
        <is>
          <t>Mock</t>
        </is>
      </c>
      <c r="P280" s="2" t="inlineStr">
        <is>
          <t>Mock Rx20 UBU</t>
        </is>
      </c>
    </row>
    <row r="281" ht="13.2" customHeight="1" s="37">
      <c r="A281" s="8" t="inlineStr">
        <is>
          <t>293</t>
        </is>
      </c>
      <c r="B281" s="2" t="inlineStr">
        <is>
          <t>ยา ceftriaxone ที่ใช้ในการรักษาผู้ป่วยรายนี้ ควรบริหารยาแบบใด</t>
        </is>
      </c>
      <c r="C281" s="2" t="n"/>
      <c r="D281" s="2" t="inlineStr">
        <is>
          <t>Tenofovir/Emtricitabine 300/200 mg OD</t>
        </is>
      </c>
      <c r="E281" s="2" t="inlineStr">
        <is>
          <t>Dolutegravir 50 mg OD</t>
        </is>
      </c>
      <c r="F281" s="2" t="inlineStr">
        <is>
          <t>Vancomycin 1 g IV Q12H</t>
        </is>
      </c>
      <c r="G281" s="2" t="inlineStr">
        <is>
          <t>Meropenem 1 g IV Q8H</t>
        </is>
      </c>
      <c r="H281" s="2" t="inlineStr">
        <is>
          <t>Cefazolin 1 g IV Q8H</t>
        </is>
      </c>
      <c r="I281" s="8" t="inlineStr">
        <is>
          <t>1</t>
        </is>
      </c>
      <c r="J281" s="2" t="inlineStr">
        <is>
          <t>✅ คำตอบที่ถูกต้อง: ข้อ ก. Tenofovir/Emtricitabine 300/200 mg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1" s="2" t="n"/>
      <c r="L281" s="2" t="inlineStr">
        <is>
          <t>Pneumonia</t>
        </is>
      </c>
      <c r="M281" s="2" t="inlineStr">
        <is>
          <t>Clinic</t>
        </is>
      </c>
      <c r="N281" s="2" t="inlineStr">
        <is>
          <t>ข้อ 32 (PLE_CC1_Key_Rx20_UBU.md)</t>
        </is>
      </c>
      <c r="O281" s="2" t="inlineStr">
        <is>
          <t>Mock</t>
        </is>
      </c>
      <c r="P281" s="2" t="inlineStr">
        <is>
          <t>Mock Rx20 UBU</t>
        </is>
      </c>
    </row>
    <row r="282" ht="13.2" customHeight="1" s="37">
      <c r="A282" s="8" t="inlineStr">
        <is>
          <t>294</t>
        </is>
      </c>
      <c r="B282" s="2" t="inlineStr">
        <is>
          <t>ยาฉีด Ceftriaxone เมื่อ Dilute แล้วจนได้ปริมาตรเท่ากับ 20 mg/ml หลังจากที่บริหารยาแบบ IV push แล้วผู้ป่วยมีอาการแสบร้อน เจ็บและบวมแดงตามเส้นเลือดที่ฉีด ความผิดปกติดังกล่าวเรียกว่าอะไร</t>
        </is>
      </c>
      <c r="C282" s="2" t="n"/>
      <c r="D282" s="2" t="inlineStr">
        <is>
          <t>Meropenem 1 g IV Q8H</t>
        </is>
      </c>
      <c r="E282" s="2" t="inlineStr">
        <is>
          <t>Cefazolin 1 g IV Q8H</t>
        </is>
      </c>
      <c r="F282" s="2" t="inlineStr">
        <is>
          <t>Amoxicillin/Clavulanate 1 g BID</t>
        </is>
      </c>
      <c r="G282" s="2" t="inlineStr">
        <is>
          <t>Ceftriaxone 1 g IV OD</t>
        </is>
      </c>
      <c r="H282" s="2" t="inlineStr">
        <is>
          <t>Ciprofloxacin 500 mg BID</t>
        </is>
      </c>
      <c r="I282" s="8" t="inlineStr">
        <is>
          <t>1</t>
        </is>
      </c>
      <c r="J282" s="2" t="inlineStr">
        <is>
          <t>✅ คำตอบที่ถูกต้อง: ข้อ ก. Meropenem 1 g IV Q8H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2" s="2" t="n"/>
      <c r="L282" s="2" t="inlineStr">
        <is>
          <t>Pneumonia</t>
        </is>
      </c>
      <c r="M282" s="2" t="inlineStr">
        <is>
          <t>Clinic</t>
        </is>
      </c>
      <c r="N282" s="2" t="inlineStr">
        <is>
          <t>ข้อ 33 (PLE_CC1_Key_Rx20_UBU.md)</t>
        </is>
      </c>
      <c r="O282" s="2" t="inlineStr">
        <is>
          <t>Mock</t>
        </is>
      </c>
      <c r="P282" s="2" t="inlineStr">
        <is>
          <t>Mock Rx20 UBU</t>
        </is>
      </c>
    </row>
    <row r="283" ht="13.2" customHeight="1" s="37">
      <c r="A283" s="8" t="inlineStr">
        <is>
          <t>295</t>
        </is>
      </c>
      <c r="B283" s="2" t="inlineStr">
        <is>
          <t>ไม่ต้องจ่ายค่ายารักษาโรคติดเชื้อฉวยโอกาส แต่ต้องจ่ายเงินค่ารักษาโรคเอดส์</t>
        </is>
      </c>
      <c r="C283" s="2" t="n"/>
      <c r="D283" s="2" t="inlineStr">
        <is>
          <t>Ceftriaxone 1 g IV OD</t>
        </is>
      </c>
      <c r="E283" s="2" t="inlineStr">
        <is>
          <t>Ciprofloxacin 500 mg BID</t>
        </is>
      </c>
      <c r="F283" s="2" t="inlineStr">
        <is>
          <t>Azithromycin 500 mg OD</t>
        </is>
      </c>
      <c r="G283" s="2" t="inlineStr">
        <is>
          <t>Doxycycline 100 mg BID</t>
        </is>
      </c>
      <c r="H283" s="2" t="inlineStr">
        <is>
          <t>Cotrimoxazole 160/800 mg BID</t>
        </is>
      </c>
      <c r="I283" s="8" t="inlineStr">
        <is>
          <t>1</t>
        </is>
      </c>
      <c r="J283" s="2"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3" s="2" t="n"/>
      <c r="L283" s="2" t="inlineStr">
        <is>
          <t>HIV infection</t>
        </is>
      </c>
      <c r="M283" s="2" t="inlineStr">
        <is>
          <t>Clinic</t>
        </is>
      </c>
      <c r="N283" s="2" t="inlineStr">
        <is>
          <t>ข้อ 4 (PLE_CC1_Key_Rx20_UBU.md)</t>
        </is>
      </c>
      <c r="O283" s="2" t="inlineStr">
        <is>
          <t>Mock</t>
        </is>
      </c>
      <c r="P283" s="2" t="inlineStr">
        <is>
          <t>Mock Rx20 UBU</t>
        </is>
      </c>
    </row>
    <row r="284" ht="13.2" customHeight="1" s="37">
      <c r="A284" s="8" t="inlineStr">
        <is>
          <t>296</t>
        </is>
      </c>
      <c r="B284" s="2" t="inlineStr">
        <is>
          <t>ไม่ต้องจ่ายค่ายารักษาโรคเอดส์ที่อยู่ในบัญชียาหลัก แต่ต้องจ่ายค่ายารักษาโรคติดเชื้อ = = m n n กรณีศึกษาที่ 8 กลาก แม่มาซื้อยาให้ลูกชาย โดยลูกชายมีผื่นขึ้นที่ผิวหนัง มีลักษณะเป็นวงขอบแดงชัดเจน มีขุยขาวๆ โดยผิวตรงกลางปกติ คันมากขึ้นเมื่อเหงื่อออก</t>
        </is>
      </c>
      <c r="C284" s="2" t="n"/>
      <c r="D284" s="2" t="inlineStr">
        <is>
          <t>Doxycycline 100 mg BID</t>
        </is>
      </c>
      <c r="E284" s="2" t="inlineStr">
        <is>
          <t>Cotrimoxazole 160/800 mg BID</t>
        </is>
      </c>
      <c r="F284" s="2" t="inlineStr">
        <is>
          <t>Metronidazole 400 mg TID</t>
        </is>
      </c>
      <c r="G284" s="2" t="inlineStr">
        <is>
          <t>Nitrofurantoin 100 mg BID</t>
        </is>
      </c>
      <c r="H284" s="2" t="inlineStr">
        <is>
          <t>Tenofovir/Emtricitabine 300/200 mg OD</t>
        </is>
      </c>
      <c r="I284" s="8" t="inlineStr">
        <is>
          <t>1</t>
        </is>
      </c>
      <c r="J284" s="2"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4" s="2" t="n"/>
      <c r="L284" s="2" t="inlineStr">
        <is>
          <t>HIV infection</t>
        </is>
      </c>
      <c r="M284" s="2" t="inlineStr">
        <is>
          <t>Clinic</t>
        </is>
      </c>
      <c r="N284" s="2" t="inlineStr">
        <is>
          <t>ข้อ 5 (PLE_CC1_Key_Rx20_UBU.md)</t>
        </is>
      </c>
      <c r="O284" s="2" t="inlineStr">
        <is>
          <t>Mock</t>
        </is>
      </c>
      <c r="P284" s="2" t="inlineStr">
        <is>
          <t>Mock Rx20 UBU</t>
        </is>
      </c>
    </row>
    <row r="285" ht="13.2" customHeight="1" s="37">
      <c r="A285" s="8" t="inlineStr">
        <is>
          <t>297</t>
        </is>
      </c>
      <c r="B285" s="2" t="inlineStr">
        <is>
          <t>ยาปฏิชีวนะในข$อใด เปญนทางเลือกแรกสำหรับการรักษาภาวะ Spontaneous bacterial peritonitis (1) Amoxicillin (2) Cefotaxime (3) Colistimethate (4) Clindamycin (5) Ofloxacin</t>
        </is>
      </c>
      <c r="C285" s="2" t="n"/>
      <c r="D285" s="2" t="inlineStr">
        <is>
          <t>Nitrofurantoin 100 mg BID</t>
        </is>
      </c>
      <c r="E285" s="2" t="inlineStr">
        <is>
          <t>Tenofovir/Emtricitabine 300/200 mg OD</t>
        </is>
      </c>
      <c r="F285" s="2" t="inlineStr">
        <is>
          <t>Dolutegravir 50 mg OD</t>
        </is>
      </c>
      <c r="G285" s="2" t="inlineStr">
        <is>
          <t>Vancomycin 1 g IV Q12H</t>
        </is>
      </c>
      <c r="H285" s="2" t="inlineStr">
        <is>
          <t>Meropenem 1 g IV Q8H</t>
        </is>
      </c>
      <c r="I285" s="8" t="inlineStr">
        <is>
          <t>3</t>
        </is>
      </c>
      <c r="J285" s="2" t="inlineStr">
        <is>
          <t>✅ คำตอบที่ถูกต้อง: ข้อ ค. Dolutegravir 50 mg OD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5" s="2" t="n"/>
      <c r="L285" s="2" t="inlineStr">
        <is>
          <t>URTI</t>
        </is>
      </c>
      <c r="M285" s="2" t="inlineStr">
        <is>
          <t>Clinic</t>
        </is>
      </c>
      <c r="N285" s="2" t="inlineStr">
        <is>
          <t>ข้อ 60 (PLE_CC1_Key_Rx20_UBU.md)</t>
        </is>
      </c>
      <c r="O285" s="2" t="inlineStr">
        <is>
          <t>Mock</t>
        </is>
      </c>
      <c r="P285" s="2" t="inlineStr">
        <is>
          <t>Mock Rx20 UBU</t>
        </is>
      </c>
    </row>
    <row r="286" ht="13.2" customHeight="1" s="37">
      <c r="A286" s="8" t="inlineStr">
        <is>
          <t>298</t>
        </is>
      </c>
      <c r="B286" s="2" t="inlineStr">
        <is>
          <t>EE 0.035 mg + cypoterone acetate 2 mg first line : Single topical - BP or topical retinoid Topical combination - BP + topical retinoid - BP + topical ATB - BP + topicalretinoid + topical ATB 6 เดือนตGอมา สิวเปญนมากขึ้น ทั้งสิวอุดตันกระจายทั่วทั้งใบหน$า สิวอักเสบตุGมนูน แดง แข็ง และสิวหัวหนอง PE: non-inflammatory (numerous comedones), inflammatory (numerous papule and pustules , few nodules) Diagnosis : Acne</t>
        </is>
      </c>
      <c r="C286" s="2" t="n"/>
      <c r="D286" s="2" t="inlineStr">
        <is>
          <t>Vancomycin 1 g IV Q12H</t>
        </is>
      </c>
      <c r="E286" s="2" t="inlineStr">
        <is>
          <t>Meropenem 1 g IV Q8H</t>
        </is>
      </c>
      <c r="F286" s="2" t="inlineStr">
        <is>
          <t>Cefazolin 1 g IV Q8H</t>
        </is>
      </c>
      <c r="G286" s="2" t="inlineStr">
        <is>
          <t>Amoxicillin/Clavulanate 1 g BID</t>
        </is>
      </c>
      <c r="H286" s="2" t="inlineStr">
        <is>
          <t>Ceftriaxone 1 g IV OD</t>
        </is>
      </c>
      <c r="I286" s="8" t="inlineStr">
        <is>
          <t>2</t>
        </is>
      </c>
      <c r="J286" s="2" t="inlineStr">
        <is>
          <t>✅ คำตอบที่ถูกต้อง: ข้อ ข.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(Vancomycin 1 g IV Q12H): เป็น Glycopeptide antibiotic ยับยั้ง MRSA และ Enterococcus ต้อง monitoring trough level (target 15-20 mcg/mL ใน severe infections) เพื่อป้องกัน nephrotoxicity และ ototoxity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6" s="2" t="n"/>
      <c r="L286" s="2" t="inlineStr">
        <is>
          <t>HIV infection</t>
        </is>
      </c>
      <c r="M286" s="2" t="inlineStr">
        <is>
          <t>Clinic</t>
        </is>
      </c>
      <c r="N286" s="2" t="inlineStr">
        <is>
          <t>ข้อ 5 (PLE_CC1_Key_Rx20_UBU.md)</t>
        </is>
      </c>
      <c r="O286" s="2" t="inlineStr">
        <is>
          <t>Mock</t>
        </is>
      </c>
      <c r="P286" s="2" t="inlineStr">
        <is>
          <t>Mock Rx20 UBU</t>
        </is>
      </c>
    </row>
    <row r="287" ht="13.2" customHeight="1" s="37">
      <c r="A287" s="8" t="inlineStr">
        <is>
          <t>299</t>
        </is>
      </c>
      <c r="B287" s="2" t="inlineStr">
        <is>
          <t>ยาควบคุมพิเศษ-ยาควบคุมพิเศษใช$เฉพาะสถานพยาบาล สถานการณ) 2 ผู$ป&amp;วยหญิงไทย อายุ 35 ป3 cc: 1d PTA ไข$ ไอ มีเสมหะปนเลือด อGอนเพลีย HPI: 2d PTA ไข$ ไอ อGอนเพลีย น้ำหนักลด 2 กก. ใน 3 เดือน PMH: เคยรักษา TB เมื่อ 8 เดือนที่แล$ว ด$วยยาสูตร 2HRZE/4HR (AFB3+) ป[จจุบันผล AFB 2+</t>
        </is>
      </c>
      <c r="C287" s="2" t="n"/>
      <c r="D287" s="2" t="inlineStr">
        <is>
          <t>Amoxicillin/Clavulanate 1 g BID</t>
        </is>
      </c>
      <c r="E287" s="2" t="inlineStr">
        <is>
          <t>Ceftriaxone 1 g IV OD</t>
        </is>
      </c>
      <c r="F287" s="2" t="inlineStr">
        <is>
          <t>Ciprofloxacin 500 mg BID</t>
        </is>
      </c>
      <c r="G287" s="2" t="inlineStr">
        <is>
          <t>Azithromycin 500 mg OD</t>
        </is>
      </c>
      <c r="H287" s="2" t="inlineStr">
        <is>
          <t>Doxycycline 100 mg BID</t>
        </is>
      </c>
      <c r="I287" s="8" t="inlineStr">
        <is>
          <t>2</t>
        </is>
      </c>
      <c r="J287" s="2" t="inlineStr">
        <is>
          <t>✅ คำตอบที่ถูกต้อง: ข้อ ข. Ceftriaxone 1 g IV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(Amoxicillin/Clavulanate 1 g BID): เป็น Aminopenicillin ยับยั้ง bacterial cell wall synthesis เป็น first-line สำหรับ uncomplicated bacterial infections (เช่น Strep pharyngitis, AOM, sinusitis)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87" s="2" t="n"/>
      <c r="L287" s="2" t="inlineStr">
        <is>
          <t>Tuberculosis</t>
        </is>
      </c>
      <c r="M287" s="2" t="inlineStr">
        <is>
          <t>Clinic</t>
        </is>
      </c>
      <c r="N287" s="2" t="inlineStr">
        <is>
          <t>ข้อ 5 (PLE_CC1_Key_Rx20_UBU.md)</t>
        </is>
      </c>
      <c r="O287" s="2" t="inlineStr">
        <is>
          <t>Mock</t>
        </is>
      </c>
      <c r="P287" s="2" t="inlineStr">
        <is>
          <t>Mock Rx20 UBU</t>
        </is>
      </c>
    </row>
    <row r="288" ht="13.2" customHeight="1" s="37">
      <c r="A288" s="8" t="inlineStr">
        <is>
          <t>301</t>
        </is>
      </c>
      <c r="B288" s="2" t="inlineStr">
        <is>
          <t>นำยา Ceftazidime 1 vial มาผสมกับ 0.9% NaCl 5 ml จากนั้นดูดมา 2.5 ml แล$วเติม Isotonic solution 7.5 ml</t>
        </is>
      </c>
      <c r="C288" s="2" t="n"/>
      <c r="D288" s="2" t="inlineStr">
        <is>
          <t>Metronidazole 400 mg TID</t>
        </is>
      </c>
      <c r="E288" s="2" t="inlineStr">
        <is>
          <t>Nitrofurantoin 100 mg BID</t>
        </is>
      </c>
      <c r="F288" s="2" t="inlineStr">
        <is>
          <t>Tenofovir/Emtricitabine 300/200 mg OD</t>
        </is>
      </c>
      <c r="G288" s="2" t="inlineStr">
        <is>
          <t>Dolutegravir 50 mg OD</t>
        </is>
      </c>
      <c r="H288" s="2" t="inlineStr">
        <is>
          <t>Vancomycin 1 g IV Q12H</t>
        </is>
      </c>
      <c r="I288" s="8" t="inlineStr">
        <is>
          <t>1</t>
        </is>
      </c>
      <c r="J288" s="2"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8" s="2" t="n"/>
      <c r="L288" s="2" t="inlineStr">
        <is>
          <t>Cystitis</t>
        </is>
      </c>
      <c r="M288" s="2" t="inlineStr">
        <is>
          <t>Clinic</t>
        </is>
      </c>
      <c r="N288" s="2" t="inlineStr">
        <is>
          <t>ข้อ 1 (PLE_CC1_Key_Rx20_UBU.md)</t>
        </is>
      </c>
      <c r="O288" s="2" t="inlineStr">
        <is>
          <t>Mock</t>
        </is>
      </c>
      <c r="P288" s="2" t="inlineStr">
        <is>
          <t>Mock Rx20 UBU</t>
        </is>
      </c>
    </row>
    <row r="289" ht="13.2" customHeight="1" s="37">
      <c r="A289" s="8" t="inlineStr">
        <is>
          <t>302</t>
        </is>
      </c>
      <c r="B289" s="2" t="inlineStr">
        <is>
          <t>ชั่งยา Ceftazidime 500 mg แล$วเติม Isotonic solution จนครบ 10 ml</t>
        </is>
      </c>
      <c r="C289" s="2" t="n"/>
      <c r="D289" s="2" t="inlineStr">
        <is>
          <t>Dolutegravir 50 mg OD</t>
        </is>
      </c>
      <c r="E289" s="2" t="inlineStr">
        <is>
          <t>Vancomycin 1 g IV Q12H</t>
        </is>
      </c>
      <c r="F289" s="2" t="inlineStr">
        <is>
          <t>Meropenem 1 g IV Q8H</t>
        </is>
      </c>
      <c r="G289" s="2" t="inlineStr">
        <is>
          <t>Cefazolin 1 g IV Q8H</t>
        </is>
      </c>
      <c r="H289" s="2" t="inlineStr">
        <is>
          <t>Amoxicillin/Clavulanate 1 g BID</t>
        </is>
      </c>
      <c r="I289" s="8" t="inlineStr">
        <is>
          <t>1</t>
        </is>
      </c>
      <c r="J289" s="2"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9" s="2" t="n"/>
      <c r="L289" s="2" t="inlineStr">
        <is>
          <t>Cystitis</t>
        </is>
      </c>
      <c r="M289" s="2" t="inlineStr">
        <is>
          <t>Clinic</t>
        </is>
      </c>
      <c r="N289" s="2" t="inlineStr">
        <is>
          <t>ข้อ 2 (PLE_CC1_Key_Rx20_UBU.md)</t>
        </is>
      </c>
      <c r="O289" s="2" t="inlineStr">
        <is>
          <t>Mock</t>
        </is>
      </c>
      <c r="P289" s="2" t="inlineStr">
        <is>
          <t>Mock Rx20 UBU</t>
        </is>
      </c>
    </row>
    <row r="290" ht="13.2" customHeight="1" s="37">
      <c r="A290" s="8" t="inlineStr">
        <is>
          <t>303</t>
        </is>
      </c>
      <c r="B290" s="2" t="inlineStr">
        <is>
          <t>นำยา Ceftazidime 1 vial มาผสมกับ 0.9% NaCl 2.5 ml จากนั้นดูดมา 2.5 ml แล$วเติม Isotonic solution 7.5 ml</t>
        </is>
      </c>
      <c r="C290" s="2" t="n"/>
      <c r="D290" s="2" t="inlineStr">
        <is>
          <t>Cefazolin 1 g IV Q8H</t>
        </is>
      </c>
      <c r="E290" s="2" t="inlineStr">
        <is>
          <t>Amoxicillin/Clavulanate 1 g BID</t>
        </is>
      </c>
      <c r="F290" s="2" t="inlineStr">
        <is>
          <t>Ceftriaxone 1 g IV OD</t>
        </is>
      </c>
      <c r="G290" s="2" t="inlineStr">
        <is>
          <t>Ciprofloxacin 500 mg BID</t>
        </is>
      </c>
      <c r="H290" s="2" t="inlineStr">
        <is>
          <t>Azithromycin 500 mg OD</t>
        </is>
      </c>
      <c r="I290" s="8" t="inlineStr">
        <is>
          <t>1</t>
        </is>
      </c>
      <c r="J290" s="2"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0" s="2" t="n"/>
      <c r="L290" s="2" t="inlineStr">
        <is>
          <t>Cystitis</t>
        </is>
      </c>
      <c r="M290" s="2" t="inlineStr">
        <is>
          <t>Clinic</t>
        </is>
      </c>
      <c r="N290" s="2" t="inlineStr">
        <is>
          <t>ข้อ 3 (PLE_CC1_Key_Rx20_UBU.md)</t>
        </is>
      </c>
      <c r="O290" s="2" t="inlineStr">
        <is>
          <t>Mock</t>
        </is>
      </c>
      <c r="P290" s="2" t="inlineStr">
        <is>
          <t>Mock Rx20 UBU</t>
        </is>
      </c>
    </row>
    <row r="291" ht="13.2" customHeight="1" s="37">
      <c r="A291" s="8" t="inlineStr">
        <is>
          <t>304</t>
        </is>
      </c>
      <c r="B291" s="2" t="inlineStr">
        <is>
          <t>ชั่งยา Ceftazidime 250 mg แล$วเติม Isotonic solution จนครบ 10 ml</t>
        </is>
      </c>
      <c r="C291" s="2" t="n"/>
      <c r="D291" s="2" t="inlineStr">
        <is>
          <t>Ciprofloxacin 500 mg BID</t>
        </is>
      </c>
      <c r="E291" s="2" t="inlineStr">
        <is>
          <t>Azithromycin 500 mg OD</t>
        </is>
      </c>
      <c r="F291" s="2" t="inlineStr">
        <is>
          <t>Doxycycline 100 mg BID</t>
        </is>
      </c>
      <c r="G291" s="2" t="inlineStr">
        <is>
          <t>Cotrimoxazole 160/800 mg BID</t>
        </is>
      </c>
      <c r="H291" s="2" t="inlineStr">
        <is>
          <t>Metronidazole 400 mg TID</t>
        </is>
      </c>
      <c r="I291" s="8" t="inlineStr">
        <is>
          <t>1</t>
        </is>
      </c>
      <c r="J291" s="2" t="inlineStr">
        <is>
          <t>✅ คำตอบที่ถูกต้อง: ข้อ ก. Ciprofloxacin 500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91" s="2" t="n"/>
      <c r="L291" s="2" t="inlineStr">
        <is>
          <t>Cystitis</t>
        </is>
      </c>
      <c r="M291" s="2" t="inlineStr">
        <is>
          <t>Clinic</t>
        </is>
      </c>
      <c r="N291" s="2" t="inlineStr">
        <is>
          <t>ข้อ 4 (PLE_CC1_Key_Rx20_UBU.md)</t>
        </is>
      </c>
      <c r="O291" s="2" t="inlineStr">
        <is>
          <t>Mock</t>
        </is>
      </c>
      <c r="P291" s="2" t="inlineStr">
        <is>
          <t>Mock Rx20 UBU</t>
        </is>
      </c>
    </row>
    <row r="292" ht="13.2" customHeight="1" s="37">
      <c r="A292" s="8" t="inlineStr">
        <is>
          <t>305</t>
        </is>
      </c>
      <c r="B292" s="2" t="inlineStr">
        <is>
          <t>นำยา Ceftazidime 1 vial มาผสมกับ 0.9% NaCl 5 ml จากนั้นดูดมา 5 ml แล$วเติม Isotonic solution 5 ml</t>
        </is>
      </c>
      <c r="C292" s="2" t="n"/>
      <c r="D292" s="2" t="inlineStr">
        <is>
          <t>Cotrimoxazole 160/800 mg BID</t>
        </is>
      </c>
      <c r="E292" s="2" t="inlineStr">
        <is>
          <t>Metronidazole 400 mg TID</t>
        </is>
      </c>
      <c r="F292" s="2" t="inlineStr">
        <is>
          <t>Nitrofurantoin 100 mg BID</t>
        </is>
      </c>
      <c r="G292" s="2" t="inlineStr">
        <is>
          <t>Tenofovir/Emtricitabine 300/200 mg OD</t>
        </is>
      </c>
      <c r="H292" s="2" t="inlineStr">
        <is>
          <t>Dolutegravir 50 mg OD</t>
        </is>
      </c>
      <c r="I292" s="8" t="inlineStr">
        <is>
          <t>1</t>
        </is>
      </c>
      <c r="J292" s="2"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2" s="2" t="n"/>
      <c r="L292" s="2" t="inlineStr">
        <is>
          <t>Cystitis</t>
        </is>
      </c>
      <c r="M292" s="2" t="inlineStr">
        <is>
          <t>Clinic</t>
        </is>
      </c>
      <c r="N292" s="2" t="inlineStr">
        <is>
          <t>ข้อ 5 (PLE_CC1_Key_Rx20_UBU.md)</t>
        </is>
      </c>
      <c r="O292" s="2" t="inlineStr">
        <is>
          <t>Mock</t>
        </is>
      </c>
      <c r="P292" s="2" t="inlineStr">
        <is>
          <t>Mock Rx20 UBU</t>
        </is>
      </c>
    </row>
    <row r="293" ht="13.2" customHeight="1" s="37">
      <c r="A293" s="8" t="inlineStr">
        <is>
          <t>306</t>
        </is>
      </c>
      <c r="B293" s="2" t="inlineStr">
        <is>
          <t>เปลี่ยน Ceftazidime เปญน Ceftriaxone</t>
        </is>
      </c>
      <c r="C293" s="2" t="n"/>
      <c r="D293" s="2" t="inlineStr">
        <is>
          <t>Tenofovir/Emtricitabine 300/200 mg OD</t>
        </is>
      </c>
      <c r="E293" s="2" t="inlineStr">
        <is>
          <t>Dolutegravir 50 mg OD</t>
        </is>
      </c>
      <c r="F293" s="2" t="inlineStr">
        <is>
          <t>Vancomycin 1 g IV Q12H</t>
        </is>
      </c>
      <c r="G293" s="2" t="inlineStr">
        <is>
          <t>Meropenem 1 g IV Q8H</t>
        </is>
      </c>
      <c r="H293" s="2" t="inlineStr">
        <is>
          <t>Cefazolin 1 g IV Q8H</t>
        </is>
      </c>
      <c r="I293" s="8" t="inlineStr">
        <is>
          <t>1</t>
        </is>
      </c>
      <c r="J293" s="2" t="inlineStr">
        <is>
          <t>✅ คำตอบที่ถูกต้อง: ข้อ ก. Tenofovir/Emtricitabine 300/200 mg OD
💡 Background:
การบริบาลผู้ป่วยในกลุ่มโรค Pneumonia มุ่งเน้นการควบคุมโรคและลดความเสี่ยงต่อภาวะแทรกซ้อนด้วย evidence-based pharmacotherapy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3" s="2" t="n"/>
      <c r="L293" s="2" t="inlineStr">
        <is>
          <t>Pneumonia</t>
        </is>
      </c>
      <c r="M293" s="2" t="inlineStr">
        <is>
          <t>Clinic</t>
        </is>
      </c>
      <c r="N293" s="2" t="inlineStr">
        <is>
          <t>ข้อ 1 (PLE_CC1_Key_Rx20_UBU.md)</t>
        </is>
      </c>
      <c r="O293" s="2" t="inlineStr">
        <is>
          <t>Mock</t>
        </is>
      </c>
      <c r="P293" s="2" t="inlineStr">
        <is>
          <t>Mock Rx20 UBU</t>
        </is>
      </c>
    </row>
    <row r="294" ht="13.2" customHeight="1" s="37">
      <c r="A294" s="8" t="inlineStr">
        <is>
          <t>307</t>
        </is>
      </c>
      <c r="B294" s="2" t="inlineStr">
        <is>
          <t>Amoxicillin เปญนยาที่ทนกรด สามารถรับประทานได$ จากโครงสร$างของ Amoxicillin สGวนใดที่ทำให$ Amoxicillin รับประทานได$</t>
        </is>
      </c>
      <c r="C294" s="2" t="n"/>
      <c r="D294" s="2" t="inlineStr">
        <is>
          <t>Meropenem 1 g IV Q8H</t>
        </is>
      </c>
      <c r="E294" s="2" t="inlineStr">
        <is>
          <t>Cefazolin 1 g IV Q8H</t>
        </is>
      </c>
      <c r="F294" s="2" t="inlineStr">
        <is>
          <t>Amoxicillin/Clavulanate 1 g BID</t>
        </is>
      </c>
      <c r="G294" s="2" t="inlineStr">
        <is>
          <t>Ceftriaxone 1 g IV OD</t>
        </is>
      </c>
      <c r="H294" s="2" t="inlineStr">
        <is>
          <t>Ciprofloxacin 500 mg BID</t>
        </is>
      </c>
      <c r="I294" s="8" t="inlineStr">
        <is>
          <t>1</t>
        </is>
      </c>
      <c r="J294" s="2" t="inlineStr">
        <is>
          <t>✅ คำตอบที่ถูกต้อง: ข้อ ก. Meropenem 1 g IV Q8H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4" s="2" t="n"/>
      <c r="L294" s="2" t="inlineStr">
        <is>
          <t>URTI</t>
        </is>
      </c>
      <c r="M294" s="2" t="inlineStr">
        <is>
          <t>Clinic</t>
        </is>
      </c>
      <c r="N294" s="2" t="inlineStr">
        <is>
          <t>ข้อ 65 (PLE_CC1_Key_Rx20_UBU.md)</t>
        </is>
      </c>
      <c r="O294" s="2" t="inlineStr">
        <is>
          <t>Mock</t>
        </is>
      </c>
      <c r="P294" s="2" t="inlineStr">
        <is>
          <t>Mock Rx20 UBU</t>
        </is>
      </c>
    </row>
    <row r="295" ht="13.2" customHeight="1" s="37">
      <c r="A295" s="8" t="inlineStr">
        <is>
          <t>308</t>
        </is>
      </c>
      <c r="B295" s="2" t="inlineStr">
        <is>
          <t>ยาต้าน HIV ที่ควรให้ในผู้ป่วยรายนี้</t>
        </is>
      </c>
      <c r="C295" s="2" t="n"/>
      <c r="D295" s="2" t="inlineStr">
        <is>
          <t>Ceftriaxone 1 g IV OD</t>
        </is>
      </c>
      <c r="E295" s="2" t="inlineStr">
        <is>
          <t>Ciprofloxacin 500 mg BID</t>
        </is>
      </c>
      <c r="F295" s="2" t="inlineStr">
        <is>
          <t>Azithromycin 500 mg OD</t>
        </is>
      </c>
      <c r="G295" s="2" t="inlineStr">
        <is>
          <t>Doxycycline 100 mg BID</t>
        </is>
      </c>
      <c r="H295" s="2" t="inlineStr">
        <is>
          <t>Cotrimoxazole 160/800 mg BID</t>
        </is>
      </c>
      <c r="I295" s="8" t="inlineStr">
        <is>
          <t>1</t>
        </is>
      </c>
      <c r="J295" s="2"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5" s="2" t="n"/>
      <c r="L295" s="2" t="inlineStr">
        <is>
          <t>HIV infection</t>
        </is>
      </c>
      <c r="M295" s="2" t="inlineStr">
        <is>
          <t>Clinic</t>
        </is>
      </c>
      <c r="N295" s="2" t="inlineStr">
        <is>
          <t>ข้อ 6 (PLE_CC1_Key_Rx20_UBU.md)</t>
        </is>
      </c>
      <c r="O295" s="2" t="inlineStr">
        <is>
          <t>Mock</t>
        </is>
      </c>
      <c r="P295" s="2" t="inlineStr">
        <is>
          <t>Mock Rx20 UBU</t>
        </is>
      </c>
    </row>
    <row r="296" ht="13.2" customHeight="1" s="37">
      <c r="A296" s="8" t="inlineStr">
        <is>
          <t>309</t>
        </is>
      </c>
      <c r="B296" s="2" t="inlineStr">
        <is>
          <t>ยาที่ควรได้รับในผู้ป่วยรายนี้เพื่อป้องกันโรคติดเชื้อฉวยโอกาส</t>
        </is>
      </c>
      <c r="C296" s="2" t="n"/>
      <c r="D296" s="2" t="inlineStr">
        <is>
          <t>Doxycycline 100 mg BID</t>
        </is>
      </c>
      <c r="E296" s="2" t="inlineStr">
        <is>
          <t>Cotrimoxazole 160/800 mg BID</t>
        </is>
      </c>
      <c r="F296" s="2" t="inlineStr">
        <is>
          <t>Metronidazole 400 mg TID</t>
        </is>
      </c>
      <c r="G296" s="2" t="inlineStr">
        <is>
          <t>Nitrofurantoin 100 mg BID</t>
        </is>
      </c>
      <c r="H296" s="2" t="inlineStr">
        <is>
          <t>Tenofovir/Emtricitabine 300/200 mg OD</t>
        </is>
      </c>
      <c r="I296" s="8" t="inlineStr">
        <is>
          <t>1</t>
        </is>
      </c>
      <c r="J296" s="2"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6" s="2" t="n"/>
      <c r="L296" s="2" t="inlineStr">
        <is>
          <t>HIV infection</t>
        </is>
      </c>
      <c r="M296" s="2" t="inlineStr">
        <is>
          <t>Clinic</t>
        </is>
      </c>
      <c r="N296" s="2" t="inlineStr">
        <is>
          <t>ข้อ 8 (PLE_CC1_Key_Rx20_UBU.md)</t>
        </is>
      </c>
      <c r="O296" s="2" t="inlineStr">
        <is>
          <t>Mock</t>
        </is>
      </c>
      <c r="P296" s="2" t="inlineStr">
        <is>
          <t>Mock Rx20 UBU</t>
        </is>
      </c>
    </row>
    <row r="297" ht="13.2" customHeight="1" s="37">
      <c r="A297" s="8" t="inlineStr">
        <is>
          <t>310</t>
        </is>
      </c>
      <c r="B297" s="2" t="inlineStr">
        <is>
          <t>Herpe zoster ตากุ้งยิงเป็นการอักเสบหรือติดเชื้อจากการอุดตันของต่อมไขมันบริเวณเปลือกตา</t>
        </is>
      </c>
      <c r="C297" s="2" t="n"/>
      <c r="D297" s="2" t="inlineStr">
        <is>
          <t>Nitrofurantoin 100 mg BID</t>
        </is>
      </c>
      <c r="E297" s="2" t="inlineStr">
        <is>
          <t>Tenofovir/Emtricitabine 300/200 mg OD</t>
        </is>
      </c>
      <c r="F297" s="2" t="inlineStr">
        <is>
          <t>Dolutegravir 50 mg OD</t>
        </is>
      </c>
      <c r="G297" s="2" t="inlineStr">
        <is>
          <t>Vancomycin 1 g IV Q12H</t>
        </is>
      </c>
      <c r="H297" s="2" t="inlineStr">
        <is>
          <t>Meropenem 1 g IV Q8H</t>
        </is>
      </c>
      <c r="I297" s="8" t="inlineStr">
        <is>
          <t>5</t>
        </is>
      </c>
      <c r="J297" s="2"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7" s="2" t="n"/>
      <c r="L297" s="2" t="inlineStr">
        <is>
          <t>HIV infection</t>
        </is>
      </c>
      <c r="M297" s="2" t="inlineStr">
        <is>
          <t>Clinic</t>
        </is>
      </c>
      <c r="N297" s="2" t="inlineStr">
        <is>
          <t>ข้อ 5 (PLE_CC1_Key_Rx20_UBU.md)</t>
        </is>
      </c>
      <c r="O297" s="2" t="inlineStr">
        <is>
          <t>Mock</t>
        </is>
      </c>
      <c r="P297" s="2" t="inlineStr">
        <is>
          <t>Mock Rx20 UBU</t>
        </is>
      </c>
    </row>
    <row r="298" ht="13.2" customHeight="1" s="37">
      <c r="A298" s="8" t="inlineStr">
        <is>
          <t>311</t>
        </is>
      </c>
      <c r="B298" s="2" t="inlineStr">
        <is>
          <t>dicloxacillin ต่างจาก amoxicillin อย่างไร</t>
        </is>
      </c>
      <c r="C298" s="2" t="n"/>
      <c r="D298" s="2" t="inlineStr">
        <is>
          <t>Vancomycin 1 g IV Q12H</t>
        </is>
      </c>
      <c r="E298" s="2" t="inlineStr">
        <is>
          <t>Meropenem 1 g IV Q8H</t>
        </is>
      </c>
      <c r="F298" s="2" t="inlineStr">
        <is>
          <t>Cefazolin 1 g IV Q8H</t>
        </is>
      </c>
      <c r="G298" s="2" t="inlineStr">
        <is>
          <t>Amoxicillin/Clavulanate 1 g BID</t>
        </is>
      </c>
      <c r="H298" s="2" t="inlineStr">
        <is>
          <t>Ceftriaxone 1 g IV OD</t>
        </is>
      </c>
      <c r="I298" s="8" t="inlineStr">
        <is>
          <t>1</t>
        </is>
      </c>
      <c r="J298" s="2" t="inlineStr">
        <is>
          <t>✅ คำตอบที่ถูกต้อง: ข้อ ก. Vancomycin 1 g IV Q12H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98" s="2" t="n"/>
      <c r="L298" s="2" t="inlineStr">
        <is>
          <t>URTI</t>
        </is>
      </c>
      <c r="M298" s="2" t="inlineStr">
        <is>
          <t>Clinic</t>
        </is>
      </c>
      <c r="N298" s="2" t="inlineStr">
        <is>
          <t>ข้อ 5 (PLE_CC1_Key_Rx20_UBU.md)</t>
        </is>
      </c>
      <c r="O298" s="2" t="inlineStr">
        <is>
          <t>Mock</t>
        </is>
      </c>
      <c r="P298" s="2" t="inlineStr">
        <is>
          <t>Mock Rx20 UBU</t>
        </is>
      </c>
    </row>
    <row r="299" ht="13.2" customHeight="1" s="37">
      <c r="A299" s="8" t="inlineStr">
        <is>
          <t>312</t>
        </is>
      </c>
      <c r="B299" s="2" t="inlineStr">
        <is>
          <t>ทน bata lactamase มากกว่า amoxicillin</t>
        </is>
      </c>
      <c r="C299" s="2" t="n"/>
      <c r="D299" s="2" t="inlineStr">
        <is>
          <t>Amoxicillin/Clavulanate 1 g BID</t>
        </is>
      </c>
      <c r="E299" s="2" t="inlineStr">
        <is>
          <t>Ceftriaxone 1 g IV OD</t>
        </is>
      </c>
      <c r="F299" s="2" t="inlineStr">
        <is>
          <t>Ciprofloxacin 500 mg BID</t>
        </is>
      </c>
      <c r="G299" s="2" t="inlineStr">
        <is>
          <t>Azithromycin 500 mg OD</t>
        </is>
      </c>
      <c r="H299" s="2" t="inlineStr">
        <is>
          <t>Doxycycline 100 mg BID</t>
        </is>
      </c>
      <c r="I299" s="8" t="inlineStr">
        <is>
          <t>1</t>
        </is>
      </c>
      <c r="J299" s="2" t="inlineStr">
        <is>
          <t>✅ คำตอบที่ถูกต้อง: ข้อ ก. Amoxicillin/Clavulanate 1 g BID
💡 Background:
การบริบาลผู้ป่วยในกลุ่มโรค URTI มุ่งเน้นการควบคุมโรคและลดความเสี่ยงต่อภาวะแทรกซ้อนด้วย evidence-based pharmacotherapy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9" s="2" t="n"/>
      <c r="L299" s="2" t="inlineStr">
        <is>
          <t>URTI</t>
        </is>
      </c>
      <c r="M299" s="2" t="inlineStr">
        <is>
          <t>Clinic</t>
        </is>
      </c>
      <c r="N299" s="2" t="inlineStr">
        <is>
          <t>ข้อ 1 (PLE_CC1_Key_Rx20_UBU.md)</t>
        </is>
      </c>
      <c r="O299" s="2" t="inlineStr">
        <is>
          <t>Mock</t>
        </is>
      </c>
      <c r="P299" s="2" t="inlineStr">
        <is>
          <t>Mock Rx20 UBU</t>
        </is>
      </c>
    </row>
    <row r="300" ht="13.2" customHeight="1" s="37">
      <c r="A300" s="8" t="inlineStr">
        <is>
          <t>313</t>
        </is>
      </c>
      <c r="B300" s="2" t="inlineStr">
        <is>
          <t>ใช้ร่วมกับยา rifampin</t>
        </is>
      </c>
      <c r="C300" s="2" t="n"/>
      <c r="D300" s="2" t="inlineStr">
        <is>
          <t>Azithromycin 500 mg OD</t>
        </is>
      </c>
      <c r="E300" s="2" t="inlineStr">
        <is>
          <t>Doxycycline 100 mg BID</t>
        </is>
      </c>
      <c r="F300" s="2" t="inlineStr">
        <is>
          <t>Cotrimoxazole 160/800 mg BID</t>
        </is>
      </c>
      <c r="G300" s="2" t="inlineStr">
        <is>
          <t>Metronidazole 400 mg TID</t>
        </is>
      </c>
      <c r="H300" s="2" t="inlineStr">
        <is>
          <t>Nitrofurantoin 100 mg BID</t>
        </is>
      </c>
      <c r="I300" s="8" t="inlineStr">
        <is>
          <t>1</t>
        </is>
      </c>
      <c r="J300" s="2"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0" s="2" t="n"/>
      <c r="L300" s="2" t="inlineStr">
        <is>
          <t>HIV infection</t>
        </is>
      </c>
      <c r="M300" s="2" t="inlineStr">
        <is>
          <t>Clinic</t>
        </is>
      </c>
      <c r="N300" s="2" t="inlineStr">
        <is>
          <t>ข้อ 4 (PLE_CC1_Key_Rx20_UBU.md)</t>
        </is>
      </c>
      <c r="O300" s="2" t="inlineStr">
        <is>
          <t>Mock</t>
        </is>
      </c>
      <c r="P300" s="2" t="inlineStr">
        <is>
          <t>Mock Rx20 UBU</t>
        </is>
      </c>
    </row>
    <row r="301" ht="13.2" customHeight="1" s="37">
      <c r="A301" s="8" t="inlineStr">
        <is>
          <t>314</t>
        </is>
      </c>
      <c r="B301" s="2" t="inlineStr">
        <is>
          <t>ใช้ร่วมกับยา ketoconazole เนื่องจาก การเกิดเลือดออกกระปริดกระปอย สาเหตุมาจากระดับ Estrogen ต่ำเกินไป ซึ่ง carbamazepine และ Rifampin เป็น CYP Inducer ทำให้ระดับ Estrogen ลดลง ขณะที่ Ketoconazole เป็น CYP 3A4 inhibitor ไม่ได้ทำให้ Estrogen ลดลง</t>
        </is>
      </c>
      <c r="C301" s="2" t="n"/>
      <c r="D301" s="2" t="inlineStr">
        <is>
          <t>Metronidazole 400 mg TID</t>
        </is>
      </c>
      <c r="E301" s="2" t="inlineStr">
        <is>
          <t>Nitrofurantoin 100 mg BID</t>
        </is>
      </c>
      <c r="F301" s="2" t="inlineStr">
        <is>
          <t>Tenofovir/Emtricitabine 300/200 mg OD</t>
        </is>
      </c>
      <c r="G301" s="2" t="inlineStr">
        <is>
          <t>Dolutegravir 50 mg OD</t>
        </is>
      </c>
      <c r="H301" s="2" t="inlineStr">
        <is>
          <t>Vancomycin 1 g IV Q12H</t>
        </is>
      </c>
      <c r="I301" s="8" t="inlineStr">
        <is>
          <t>1</t>
        </is>
      </c>
      <c r="J301" s="2"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01" s="2" t="n"/>
      <c r="L301" s="2" t="inlineStr">
        <is>
          <t>HIV infection</t>
        </is>
      </c>
      <c r="M301" s="2" t="inlineStr">
        <is>
          <t>Clinic</t>
        </is>
      </c>
      <c r="N301" s="2" t="inlineStr">
        <is>
          <t>ข้อ 5 (PLE_CC1_Key_Rx20_UBU.md)</t>
        </is>
      </c>
      <c r="O301" s="2" t="inlineStr">
        <is>
          <t>Mock</t>
        </is>
      </c>
      <c r="P301" s="2" t="inlineStr">
        <is>
          <t>Mock Rx20 UBU</t>
        </is>
      </c>
    </row>
    <row r="302" ht="13.2" customHeight="1" s="37">
      <c r="A302" s="8" t="inlineStr">
        <is>
          <t>315</t>
        </is>
      </c>
      <c r="B302" s="2" t="inlineStr">
        <is>
          <t>ป้องกันภาวะแทรกซ้อนจากการติดเชื้อในช่องท้อง</t>
        </is>
      </c>
      <c r="C302" s="2" t="n"/>
      <c r="D302" s="2" t="inlineStr">
        <is>
          <t>Dolutegravir 50 mg OD</t>
        </is>
      </c>
      <c r="E302" s="2" t="inlineStr">
        <is>
          <t>Vancomycin 1 g IV Q12H</t>
        </is>
      </c>
      <c r="F302" s="2" t="inlineStr">
        <is>
          <t>Meropenem 1 g IV Q8H</t>
        </is>
      </c>
      <c r="G302" s="2" t="inlineStr">
        <is>
          <t>Cefazolin 1 g IV Q8H</t>
        </is>
      </c>
      <c r="H302" s="2" t="inlineStr">
        <is>
          <t>Amoxicillin/Clavulanate 1 g BID</t>
        </is>
      </c>
      <c r="I302" s="8" t="inlineStr">
        <is>
          <t>1</t>
        </is>
      </c>
      <c r="J302" s="2"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302" s="2" t="n"/>
      <c r="L302" s="2" t="inlineStr">
        <is>
          <t>HIV infection</t>
        </is>
      </c>
      <c r="M302" s="2" t="inlineStr">
        <is>
          <t>Clinic</t>
        </is>
      </c>
      <c r="N302" s="2" t="inlineStr">
        <is>
          <t>ข้อ 1 (PLE_CC1_Key_Rx20_UBU.md)</t>
        </is>
      </c>
      <c r="O302" s="2" t="inlineStr">
        <is>
          <t>Mock</t>
        </is>
      </c>
      <c r="P302" s="2" t="inlineStr">
        <is>
          <t>Mock Rx20 UBU</t>
        </is>
      </c>
    </row>
    <row r="303" ht="13.2" customHeight="1" s="37">
      <c r="A303" s="8" t="inlineStr">
        <is>
          <t>316</t>
        </is>
      </c>
      <c r="B303" s="2" t="inlineStr">
        <is>
          <t>น่าจะติดเชื้อใด</t>
        </is>
      </c>
      <c r="C303" s="2" t="n"/>
      <c r="D303" s="2" t="inlineStr">
        <is>
          <t>Cefazolin 1 g IV Q8H</t>
        </is>
      </c>
      <c r="E303" s="2" t="inlineStr">
        <is>
          <t>Amoxicillin/Clavulanate 1 g BID</t>
        </is>
      </c>
      <c r="F303" s="2" t="inlineStr">
        <is>
          <t>Ceftriaxone 1 g IV OD</t>
        </is>
      </c>
      <c r="G303" s="2" t="inlineStr">
        <is>
          <t>Ciprofloxacin 500 mg BID</t>
        </is>
      </c>
      <c r="H303" s="2" t="inlineStr">
        <is>
          <t>Azithromycin 500 mg OD</t>
        </is>
      </c>
      <c r="I303" s="8" t="inlineStr">
        <is>
          <t>1</t>
        </is>
      </c>
      <c r="J303" s="2"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3" s="2" t="n"/>
      <c r="L303" s="2" t="inlineStr">
        <is>
          <t>HIV infection</t>
        </is>
      </c>
      <c r="M303" s="2" t="inlineStr">
        <is>
          <t>Clinic</t>
        </is>
      </c>
      <c r="N303" s="2" t="inlineStr">
        <is>
          <t>ข้อ 1 (PLE_CC1_Key_Rx20_UBU.md)</t>
        </is>
      </c>
      <c r="O303" s="2" t="inlineStr">
        <is>
          <t>Mock</t>
        </is>
      </c>
      <c r="P303" s="2" t="inlineStr">
        <is>
          <t>Mock Rx20 UBU</t>
        </is>
      </c>
    </row>
    <row r="304" ht="13.2" customHeight="1" s="37">
      <c r="A304" s="8" t="inlineStr">
        <is>
          <t>317</t>
        </is>
      </c>
      <c r="B304" s="2" t="inlineStr">
        <is>
          <t>ข้อใดน่าจะเป็นสาเหตุของการติดเชื้อในครั้งนี้มากที่สุด</t>
        </is>
      </c>
      <c r="C304" s="2" t="n"/>
      <c r="D304" s="2" t="inlineStr">
        <is>
          <t>Ciprofloxacin 500 mg BID</t>
        </is>
      </c>
      <c r="E304" s="2" t="inlineStr">
        <is>
          <t>Azithromycin 500 mg OD</t>
        </is>
      </c>
      <c r="F304" s="2" t="inlineStr">
        <is>
          <t>Doxycycline 100 mg BID</t>
        </is>
      </c>
      <c r="G304" s="2" t="inlineStr">
        <is>
          <t>Cotrimoxazole 160/800 mg BID</t>
        </is>
      </c>
      <c r="H304" s="2" t="inlineStr">
        <is>
          <t>Metronidazole 400 mg TID</t>
        </is>
      </c>
      <c r="I304" s="8" t="inlineStr">
        <is>
          <t>1</t>
        </is>
      </c>
      <c r="J304" s="2"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04" s="2" t="n"/>
      <c r="L304" s="2" t="inlineStr">
        <is>
          <t>HIV infection</t>
        </is>
      </c>
      <c r="M304" s="2" t="inlineStr">
        <is>
          <t>Clinic</t>
        </is>
      </c>
      <c r="N304" s="2" t="inlineStr">
        <is>
          <t>ข้อ 2 (PLE_CC1_Key_Rx20_UBU.md)</t>
        </is>
      </c>
      <c r="O304" s="2" t="inlineStr">
        <is>
          <t>Mock</t>
        </is>
      </c>
      <c r="P304" s="2" t="inlineStr">
        <is>
          <t>Mock Rx20 UBU</t>
        </is>
      </c>
    </row>
    <row r="305" ht="13.2" customHeight="1" s="37">
      <c r="A305" s="8" t="inlineStr">
        <is>
          <t>318</t>
        </is>
      </c>
      <c r="B305" s="2" t="inlineStr">
        <is>
          <t>Fluticasone ICS</t>
        </is>
      </c>
      <c r="C305" s="2" t="n"/>
      <c r="D305" s="2" t="inlineStr">
        <is>
          <t>Cotrimoxazole 160/800 mg BID</t>
        </is>
      </c>
      <c r="E305" s="2" t="inlineStr">
        <is>
          <t>Metronidazole 400 mg TID</t>
        </is>
      </c>
      <c r="F305" s="2" t="inlineStr">
        <is>
          <t>Nitrofurantoin 100 mg BID</t>
        </is>
      </c>
      <c r="G305" s="2" t="inlineStr">
        <is>
          <t>Tenofovir/Emtricitabine 300/200 mg OD</t>
        </is>
      </c>
      <c r="H305" s="2" t="inlineStr">
        <is>
          <t>Dolutegravir 50 mg OD</t>
        </is>
      </c>
      <c r="I305" s="8" t="inlineStr">
        <is>
          <t>1</t>
        </is>
      </c>
      <c r="J305" s="2" t="inlineStr">
        <is>
          <t>✅ คำตอบที่ถูกต้อง: ข้อ ก. Cotrimoxazole 160/800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5" s="2" t="n"/>
      <c r="L305" s="2" t="inlineStr">
        <is>
          <t>Cystitis</t>
        </is>
      </c>
      <c r="M305" s="2" t="inlineStr">
        <is>
          <t>Clinic</t>
        </is>
      </c>
      <c r="N305" s="2" t="inlineStr">
        <is>
          <t>ข้อ 1 (PLE_CC1_Key_Rx20_UBU.md)</t>
        </is>
      </c>
      <c r="O305" s="2" t="inlineStr">
        <is>
          <t>Mock</t>
        </is>
      </c>
      <c r="P305" s="2" t="inlineStr">
        <is>
          <t>Mock Rx20 UBU</t>
        </is>
      </c>
    </row>
    <row r="306" ht="13.2" customHeight="1" s="37">
      <c r="A306" s="8" t="inlineStr">
        <is>
          <t>319</t>
        </is>
      </c>
      <c r="B306" s="2" t="inlineStr">
        <is>
          <t>ติดเชื้อ H.pylori</t>
        </is>
      </c>
      <c r="C306" s="2" t="n"/>
      <c r="D306" s="2" t="inlineStr">
        <is>
          <t>Tenofovir/Emtricitabine 300/200 mg OD</t>
        </is>
      </c>
      <c r="E306" s="2" t="inlineStr">
        <is>
          <t>Dolutegravir 50 mg OD</t>
        </is>
      </c>
      <c r="F306" s="2" t="inlineStr">
        <is>
          <t>Vancomycin 1 g IV Q12H</t>
        </is>
      </c>
      <c r="G306" s="2" t="inlineStr">
        <is>
          <t>Meropenem 1 g IV Q8H</t>
        </is>
      </c>
      <c r="H306" s="2" t="inlineStr">
        <is>
          <t>Cefazolin 1 g IV Q8H</t>
        </is>
      </c>
      <c r="I306" s="8" t="inlineStr">
        <is>
          <t>1</t>
        </is>
      </c>
      <c r="J306" s="2"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6" s="2" t="n"/>
      <c r="L306" s="2" t="inlineStr">
        <is>
          <t>HIV infection</t>
        </is>
      </c>
      <c r="M306" s="2" t="inlineStr">
        <is>
          <t>Clinic</t>
        </is>
      </c>
      <c r="N306" s="2" t="inlineStr">
        <is>
          <t>ข้อ 3 (PLE_CC1_Key_Rx20_UBU.md)</t>
        </is>
      </c>
      <c r="O306" s="2" t="inlineStr">
        <is>
          <t>Mock</t>
        </is>
      </c>
      <c r="P306" s="2" t="inlineStr">
        <is>
          <t>Mock Rx20 UBU</t>
        </is>
      </c>
    </row>
    <row r="307" ht="13.2" customHeight="1" s="37">
      <c r="A307" s="8" t="inlineStr">
        <is>
          <t>320</t>
        </is>
      </c>
      <c r="B307" s="2" t="inlineStr">
        <is>
          <t>ยาตาน HIV ที่ผูปวยไดรับมีผลรบกวนยาแกปวดหัวไมเกรนยังไง</t>
        </is>
      </c>
      <c r="C307" s="2" t="n"/>
      <c r="D307" s="2" t="inlineStr">
        <is>
          <t>Meropenem 1 g IV Q8H</t>
        </is>
      </c>
      <c r="E307" s="2" t="inlineStr">
        <is>
          <t>Cefazolin 1 g IV Q8H</t>
        </is>
      </c>
      <c r="F307" s="2" t="inlineStr">
        <is>
          <t>Amoxicillin/Clavulanate 1 g BID</t>
        </is>
      </c>
      <c r="G307" s="2" t="inlineStr">
        <is>
          <t>Ceftriaxone 1 g IV OD</t>
        </is>
      </c>
      <c r="H307" s="2" t="inlineStr">
        <is>
          <t>Ciprofloxacin 500 mg BID</t>
        </is>
      </c>
      <c r="I307" s="8" t="inlineStr">
        <is>
          <t>1</t>
        </is>
      </c>
      <c r="J307" s="2"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7" s="2" t="n"/>
      <c r="L307" s="2" t="inlineStr">
        <is>
          <t>HIV infection</t>
        </is>
      </c>
      <c r="M307" s="2" t="inlineStr">
        <is>
          <t>Clinic</t>
        </is>
      </c>
      <c r="N307" s="2" t="inlineStr">
        <is>
          <t>ข้อ 1 (PLE_CC1_Key_Rx20_UBU.md)</t>
        </is>
      </c>
      <c r="O307" s="2" t="inlineStr">
        <is>
          <t>Mock</t>
        </is>
      </c>
      <c r="P307" s="2" t="inlineStr">
        <is>
          <t>Mock Rx20 UBU</t>
        </is>
      </c>
    </row>
    <row r="308" ht="13.2" customHeight="1" s="37">
      <c r="A308" s="8" t="inlineStr">
        <is>
          <t>321</t>
        </is>
      </c>
      <c r="B308" s="2" t="inlineStr">
        <is>
          <t>ผู้ป่วยรายนี้ติดเชื้ออะไร</t>
        </is>
      </c>
      <c r="C308" s="2" t="n"/>
      <c r="D308" s="2" t="inlineStr">
        <is>
          <t>Adeno virus</t>
        </is>
      </c>
      <c r="E308" s="2" t="inlineStr">
        <is>
          <t>Influenza virus</t>
        </is>
      </c>
      <c r="F308" s="2" t="inlineStr">
        <is>
          <t>Haemophilus influenza</t>
        </is>
      </c>
      <c r="G308" s="2" t="inlineStr">
        <is>
          <t>streptococcus pyrogenes</t>
        </is>
      </c>
      <c r="H308" s="2" t="inlineStr">
        <is>
          <t>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t>
        </is>
      </c>
      <c r="I308" s="8" t="inlineStr">
        <is>
          <t>1</t>
        </is>
      </c>
      <c r="J308" s="2" t="inlineStr">
        <is>
          <t>✅ คำตอบที่ถูกต้อง: ข้อ ก. Adeno virus
💡 Background:
การดูแลผู้ติดเชื้อ HIV เน้นเริ่ม Antiretroviral Therapy (ART) ทันทีเพื่อกด viral load ให้ undetectable (U=U) และฟื้นฟูระบบภูมิคุ้มกัน
🎯 ทำไมข้อนี้ถึงถูก:
Adeno virus หรืออาจไม่มีไข้เลยก็ได้ แต่ผู้ป่วยมักจะมีน้ำมูกใส ๆ ไหลออกมาจากจมูก (บางครั้งอาจมีสีเหลืองข้นในช่วงเช้า) นอกจากนี้อาการยังขึ้นกับบริเวณที่ติดเชื้อ เช่น ผิวหนังทำให้เกิดเซลล์เนื้อเยื่ออักเสบ ปอดทำให้เกิดปอดบวม
🔍 ข้ออื่นผิดเพราะอะไร:
• ข้อ ข. (Influenza virus): วัคซีนไข้หวัดใหญ่ชนิด inactivated ฉีดปีละ 1 ครั้ง ในกลุ่มเสี่ยง 7 กลุ่มโรคเรื้อรัง และเด็กอายุ 6 เดือน - 2 ปี
• ข้อ ค. (Haemophilus influenza): วัคซีนไข้หวัดใหญ่ชนิด inactivated ฉีดปีละ 1 ครั้ง ในกลุ่มเสี่ยง 7 กลุ่มโรคเรื้อรัง และเด็กอายุ 6 เดือน - 2 ปี
• ข้อ ง. (streptococcus pyrogenes): ข้อนี้ไม่ใช่คำตอบที่ถูกต้องสำหรับภาวะ HIV infection เนื่องจากกลไกการออกฤทธิ์, efficacy หรือข้อบ่งใช้ไม่ตรงกับโจทย์ที่กำหนด
• ข้อ จ. (streptococcus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 เป็น Live oral vaccine หยอดทางปากเข็มแรกที่ 2 เดือน และเข็ม 2 ที่ 4 เดือน (ห้ามเริ่มเข็มแรกเมื่ออายุเกิน 15 สัปดาห์)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8" s="2" t="n"/>
      <c r="L308" s="2" t="inlineStr">
        <is>
          <t>HIV infection</t>
        </is>
      </c>
      <c r="M308" s="2" t="inlineStr">
        <is>
          <t>Clinic</t>
        </is>
      </c>
      <c r="N308" s="2" t="inlineStr">
        <is>
          <t>ข้อ 37 (PLE_CC1_Key_Rx20_UBU.md)</t>
        </is>
      </c>
      <c r="O308" s="2" t="inlineStr">
        <is>
          <t>Mock</t>
        </is>
      </c>
      <c r="P308" s="2" t="inlineStr">
        <is>
          <t>Mock Rx20 UBU</t>
        </is>
      </c>
    </row>
    <row r="309" ht="13.2" customHeight="1" s="37">
      <c r="A309" s="2" t="n">
        <v>322</v>
      </c>
      <c r="B309" s="2" t="inlineStr">
        <is>
          <t>▶ [กรณีศึกษา: ผู้ป่วยชาย อายุ 65 ปี น้ำหนัก 50 กก. โรคประจำตัว เบาหวาน, CKD มียาโรคประจำตัวเดิม มาโรงพยาบาลด้วยอาการไข้ ไอ ประมาณ 3 สัปดาห์กว่า เหนื่อยและน้ำหนักลด 2 กก. ผลตรวจ Chest X-ray พบรอยโรคที่ปอด และตรวจเสมหะพบ PCR positive M. tuberculosis AFB 3+ ไม่มีประวัติเคยเป็นวัณโรคมาก่อน ได้รับการสั่งจ่ายยา Isoniazid (100) 3x1 pc, Rifampicin (450) 1x1 ac, Pyrazinamide (500) 2x1 pc, Ethambutol (400) 2x1 pc, Vit B6 (50) 1x1]
📌 คำถาม: ควรเลือกสูตรและระยะเวลาการรักษาวัณโรคปอดรายใหม่สำหรับผู้ป่วยรายนี้อย่างไรตามแนวทางมาตรฐาน</t>
        </is>
      </c>
      <c r="C309" s="2" t="n"/>
      <c r="D309" s="2" t="inlineStr">
        <is>
          <t>1IRZE/5IR</t>
        </is>
      </c>
      <c r="E309" s="2" t="inlineStr">
        <is>
          <t>2IRZE/2IR</t>
        </is>
      </c>
      <c r="F309" s="2" t="inlineStr">
        <is>
          <t>2IRZE/4IR</t>
        </is>
      </c>
      <c r="G309" s="2" t="inlineStr">
        <is>
          <t>3IRZE/2IR</t>
        </is>
      </c>
      <c r="H309" s="2" t="inlineStr">
        <is>
          <t>3IRZE/3IR</t>
        </is>
      </c>
      <c r="I309" s="8" t="inlineStr">
        <is>
          <t>3</t>
        </is>
      </c>
      <c r="J309" s="2" t="inlineStr">
        <is>
          <t>✅ คำตอบที่ถูกต้อง: ข้อ ค. 2IRZE/4IR
💡 Background:
ผู้ป่วยได้รับการวินิจฉัยเป็นวัณโรคปอดรายใหม่ (New Pulmonary Tuberculosis) จากผลเสมหะ AFB 3+ และ GeneXpert/PCR เป็นผลบวก โดยไม่มีประวัติเคยรักษาวัณโรคมาก่อน สูตรยามาตรฐานอันดับแรกสำหรับผู้ป่วยวัณโรคที่ไวต่อยา (Drug-susceptible TB) ตามแนวทางของประเทศไทยและองค์การอนามัยโลก (WHO) ประกอบด้วยระยะเข้มข้น 2 เดือนด้วยยา 4 ชนิด (Isoniazid, Rifampicin, Pyrazinamide, Ethambutol) ตามด้วยระยะต่อเนื่อง 4 เดือนด้วยยา 2 ชนิด (Isoniazid, Rifampicin) เขียนย่อว่า 2IRZE/4IR (หรือ 2HRZE/4HR)
🎯 ทำไมข้อนี้ถึงถูก:
สูตร 2IRZE/4IR เป็นสูตรยามาตรฐานระดับชาติและสากลสำหรับรักษาผู้ป่วยวัณโรคปอดรายใหม่ โดยให้ยา 4 ขนานในช่วง 2 เดือนแรกเพื่อกำจัดเชื้อที่แบ่งตัวเร็วอย่างรวดเร็วและป้องกันเชื้อดื้อยา จากนั้นลดเหลือ 2 ขนานอีก 4 เดือนเพื่อกวาดล้างเชื้อที่แบ่งตัวช้า (Persisters) ให้หายขาด
🔍 ข้ออื่นผิดเพราะอะไร:
• ข้อ ก. (1IRZE/5IR): ระยะเข้มข้นสั้นเกินไป (เพียง 1 เดือน) ไม่เพียงพอในการลดปริมาณเชื้อและเพิ่มความเสี่ยงต่อการเกิดเชื้อดื้อยา
• ข้อ ข. (2IRZE/2IR): ระยะต่อเนื่องสั้นเกินไป ทำให้ระยะเวลารักษารวมเพียง 4 เดือน ซึ่งมีอัตราการกลับเป็นซ้ำ (Relapse) สูงมาก
• ข้อ ง. (3IRZE/2IR): ไม่ใช่สูตรมาตรฐานในการรักษาวัณโรคปอดรายใหม่
• ข้อ จ. (3IRZE/3IR): ระยะเวลารวม 6 เดือน แต่ให้ระยะเข้มข้นนานเกินความจำเป็นโดยไม่มีข้อบ่งชี้พิเศษ
📖 Guideline อ้างอิง:
แนวทางการควบคุมวัณโรคประเทศไทย พ.ศ. 2564 (สำนักวัณโรค กรมควบคุมโรค กระทรวงสาธารณสุข) &amp; WHO Operational Handbook on Tuberculosis: Module 4 Treatment
📌 จุดจำก่อนสอบ:
• Standard Regimen: วัณโรคปอดรายใหม่ สูตรมาตรฐานคือ 2HRZE / 4HR รวมระยะเวลารักษาทั้งหมด 6 เดือน
• Rifampicin: เป็นหัวใจสำคัญของทั้งระยะเข้มข้นและระยะต่อเนื่อง หากขาด Rifampicin จะต้องยืดระยะเวลารักษาเป็น 12-18 เดือน</t>
        </is>
      </c>
      <c r="K309" s="2" t="n"/>
      <c r="L309" s="2" t="inlineStr">
        <is>
          <t>Tuberculosis</t>
        </is>
      </c>
      <c r="M309" s="2" t="inlineStr">
        <is>
          <t>Clinic</t>
        </is>
      </c>
      <c r="N309" s="2" t="inlineStr">
        <is>
          <t>Mock PLE-CC 1 ข้อ 95</t>
        </is>
      </c>
      <c r="O309" s="2" t="inlineStr">
        <is>
          <t>Mock</t>
        </is>
      </c>
      <c r="P309" s="2" t="inlineStr">
        <is>
          <t>Mock RxCU83</t>
        </is>
      </c>
    </row>
    <row r="310" ht="13.2" customHeight="1" s="37">
      <c r="A310" s="2" t="n">
        <v>323</v>
      </c>
      <c r="B310" s="2" t="inlineStr">
        <is>
          <t>▶ [กรณีศึกษา: ผู้ป่วยชาย อายุ 65 ปี เริ่มการรักษาวัณโรคปอดด้วยสูตร IRZE ร่วมกับ Vitamin B6]
📌 คำถาม: รับประทานยามา 3 สัปดาห์ มีอาการคลื่นไส้ อาเจียน เบื่ออาหาร ผลตรวจเลือดพบค่า ALT สูงขึ้น 4 เท่าของค่าปกติสูงสุด (ULN) ควรให้การจัดการอย่างไรเหมาะสมที่สุด</t>
        </is>
      </c>
      <c r="C310" s="2" t="n"/>
      <c r="D310" s="2" t="inlineStr">
        <is>
          <t>หยุดยา Ethambutol (E) เพียงตัวเดียว</t>
        </is>
      </c>
      <c r="E310" s="2" t="inlineStr">
        <is>
          <t>หยุดยา Isoniazid (I) และ Rifampicin (R) แต่คง Pyrazinamide (Z) ไว้</t>
        </is>
      </c>
      <c r="F310" s="2" t="inlineStr">
        <is>
          <t>หยุดยาที่มีพิษต่อตับ (I, R, Z) ทันที รอระดับเอนไซม์ตับกลับมาปกติก่อนพิจารณาเริ่มยาใหม่</t>
        </is>
      </c>
      <c r="G310" s="2" t="inlineStr">
        <is>
          <t>หยุดยา I, R, Z รอระดับเอนไซม์กลับมาปกติแล้วเริ่มยาทุกตัวพร้อมกันในขนาดครึ่งหนึ่ง</t>
        </is>
      </c>
      <c r="H310" s="2" t="inlineStr">
        <is>
          <t>ใช้ยาต่อเนื่องได้ ไม่ต้องหยุดยาเนื่องจากเอนไซม์ตับยังไม่เกิน 5 เท่า</t>
        </is>
      </c>
      <c r="I310" s="8" t="inlineStr">
        <is>
          <t>3</t>
        </is>
      </c>
      <c r="J310" s="2" t="inlineStr">
        <is>
          <t>✅ คำตอบที่ถูกต้อง: ข้อ ค. หยุด I, R, Z รอระดับเอนไซม์กลับมาปกติค่อยเริ่มยาใหม่ทีละตัว
💡 Background:
ยาต้านวัณโรคกลุ่ม First-line ได้แก่ Isoniazid (I/H), Rifampicin (R), และ Pyrazinamide (Z) มีพิษต่อตับ (Drug-Induced Liver Injury: DILI) เกณฑ์ในการวินิจฉัยและระงับยาต้านวัณโรคที่มีพิษต่อตับตามแนวทางเวชปฏิบัติคือ: มีอาการผิดปกติของตับ (คลื่นไส้ อาเจียน เบื่ออาหาร ปวดท้อง ตัวเหลือง) ร่วมกับค่า ALT/AST สูงขึ้นเกิน 3 เท่าของค่าปกติ (ULN) หรือไม่มีอาการแต่ ALT/AST สูงเกิน 5 เท่าของ ULN
🎯 ทำไมข้อนี้ถึงถูก:
ผู้ป่วยรายนี้รับประทานยามา 3 สัปดาห์ แล้วมีอาการคลื่นไส้ อาเจียน เบื่ออาหาร และตรวจพบ ALT สูงขึ้นถึง 4 เท่าของค่าปกติ เข้าเกณฑ์ DILI อย่างชัดเจน แนวทางปฏิบัติที่ถูกต้องคือ ต้องหยุดยาที่เป็นพิษต่อตับทันที (หยุด I, R, Z) เฝ้าติดตามค่า LFT จนกระทั่งกลับสู่ระดับปกติ (&lt; 2 เท่าของ ULN) และอาการหายไป จากนั้นจึงค่อยพิจารณา Re-challenge ยาทีละชนิด เริ่มจากยาที่มีพิษต่อตับน้อยที่สุด (เช่น R หรือ I)
🔍 ข้ออื่นผิดเพราะอะไร:
• ข้อ ก. (หยุด E): Ethambutol ไม่ใช่ยาที่มีพิษต่อตับหลัก การหยุดเฉพาะ E จึงไม่ช่วยแก้ไขภาวะตับอักเสบจากยา
• ข้อ ข. (หยุด I, R): ละเลย Pyrazinamide ซึ่งในความเป็นจริง Pyrazinamide (Z) เป็นยาที่มีพิษต่อตับรุนแรงและยาวนานที่สุดในกลุ่ม First-line
• ข้อ ง. (หยุด I, R, Z รอระดับเอนไซม์กลับมาปกติค่อยเริ่มยาในขนาดครึ่งหนึ่งจากเดิม): การ Re-challenge ยาต้านวัณโรคต้องเริ่มยาทีละตัวในขนาดเต็มมาตรฐาน ไม่ใช่การลดขนาดยาทุกตัวลงครึ่งหนึ่ง
• ข้อ จ. (ใช้ต่อเนื่องได้ไม่ต้องหยุดยา): อันตรายมาก เพราะผู้ป่วยมีอาการของตับอักเสบร่วมกับ ALT สูงเกิน 3 เท่า หากฝืนใช้ต่ออาจเกิดภาวะตับวายเฉียบพลัน (Acute Liver Failure) ถึงแก่ชีวิตได้
📖 Guideline อ้างอิง:
แนวทางการวินิจฉัยและรักษาวัณโรคในผู้ใหญ่ ประเทศไทย พ.ศ. 2564 &amp; ATS/CDC/IDSA Clinical Practice Guidelines: Treatment of Drug-Susceptible Tuberculosis (Section: Monitoring and Management of Adverse Effects)
📌 จุดจำก่อนสอบ:
• DILI Cut-off: มีอาการตับอักเสบ + AST/ALT &gt; 3 เท่า หรือ ไม่มีอาการ แต่ AST/ALT &gt; 5 เท่า -&gt; ต้องหยุดยาทันที (Hold I, R, Z)
• Hepatotoxicity Ranking: ความเสี่ยงพิษต่อตับเรียงจากมากไปน้อย: Pyrazinamide (Z) &gt; Isoniazid (I) &gt; Rifampicin (R) ส่วน Ethambutol (E) และ Streptomycin (S) ปลอดภัยต่อตับ</t>
        </is>
      </c>
      <c r="K310" s="2" t="n"/>
      <c r="L310" s="2" t="inlineStr">
        <is>
          <t>Tuberculosis</t>
        </is>
      </c>
      <c r="M310" s="2" t="inlineStr">
        <is>
          <t>Clinic</t>
        </is>
      </c>
      <c r="N310" s="2" t="inlineStr">
        <is>
          <t>Mock PLE-CC 1 ข้อ 96</t>
        </is>
      </c>
      <c r="O310" s="2" t="inlineStr">
        <is>
          <t>Mock</t>
        </is>
      </c>
      <c r="P310" s="2" t="inlineStr">
        <is>
          <t>Mock RxCU83</t>
        </is>
      </c>
    </row>
    <row r="311" ht="13.2" customHeight="1" s="37">
      <c r="A311" s="2" t="n">
        <v>324</v>
      </c>
      <c r="B311" s="2" t="inlineStr">
        <is>
          <t>ข้อใดถูกต้องเกี่ยวกับยา Rifampicin ในสูตรการรักษาวัณโรค</t>
        </is>
      </c>
      <c r="C311" s="2" t="n"/>
      <c r="D311" s="2" t="inlineStr">
        <is>
          <t>ยานี้ออกฤทธิ์ยับยั้งการสังเคราะห์ DNA โดยตรง</t>
        </is>
      </c>
      <c r="E311" s="2" t="inlineStr">
        <is>
          <t>ยานี้ออกฤทธิ์ยับยั้งการสังเคราะห์เยื่อหุ้มเซลล์</t>
        </is>
      </c>
      <c r="F311" s="2" t="inlineStr">
        <is>
          <t>ยานี้ทำให้ปัสสาวะ น้ำตา และสารคัดหลั่งในร่างกายเปลี่ยนเป็นสีส้มแดง</t>
        </is>
      </c>
      <c r="G311" s="2" t="inlineStr">
        <is>
          <t>Product acetyl ของยานี้เป็นพิษต่อตับจากการทำงานของเอนไซม์ NAT2</t>
        </is>
      </c>
      <c r="H311" s="2" t="inlineStr">
        <is>
          <t>ยานี้เป็นเอนไซม์อินฮิบิเตอร์ที่ยับยั้งการทำงานของ CYP3A4 อย่างแรง</t>
        </is>
      </c>
      <c r="I311" s="8" t="inlineStr">
        <is>
          <t>3</t>
        </is>
      </c>
      <c r="J311" s="2" t="inlineStr">
        <is>
          <t>✅ คำตอบที่ถูกต้อง: ข้อ ค. ทำให้ปัสสาวะและสารคัดหลั่งมีสีส้มแดง
💡 Background:
Rifampicin (R) เป็นยาฆ่าเชื้อแบคทีเรียกลุ่ม Rifamycins ซึ่งเป็นยาหลักในสูตรต้านวัณโรค กลไกการออกฤทธิ์คือยับยั้งเอนไซม์ DNA-dependent RNA polymerase ของเชื้อแบคทีเรีย ทำให้ไม่สามารถสังเคราะห์ RNA ได้ คุณลักษณะเด่นทางเคมีกายภาพคือเป็นสารประกอบสีส้มแดง เมื่อรับประทานเข้าสู่ร่างกาย ตัวยาและเมแทบอไลต์จะถูกขับออกทางปัสสาวะ เหงื่อ น้ำตา และน้ำลาย ทำให้สารคัดหลั่งเปลี่ยนเป็นสีส้มหรือแดง ซึ่งเป็นอาการข้างเคียงปกติที่ไม่อันตรายแต่จำเป็นต้องให้คำแนะนำแก่ผู้ป่วยล่วงหน้าเพื่อป้องกันความตื่นตระหนก
🎯 ทำไมข้อนี้ถึงถูก:
ข้อ ค. ถูกต้อง ชัดเจนที่สุดตามคุณสมบัติทางเภสัชวิทยาของ Rifampicin โดยยาจะทำให้ปัสสาวะ น้ำตา และเหงื่อกลายเป็นสีส้มหรือแดง (Orange-red discoloration of body fluids)
🔍 ข้ออื่นผิดเพราะอะไร:
• ข้อ ก. (ยานี้ยับยั้งการสังเคราะห์ DNA): ผิด กลไกของ Rifampicin คือยับยั้งการสังเคราะห์ RNA (ยับยั้ง DNA-dependent RNA polymerase) ไม่ใช่ยับยั้งการสร้าง DNA
• ข้อ ข. (ยานี้ยับยั้งการสังเคราะห์ cell wall): ผิด ยากลุ่มยับยั้งผนังเซลล์ของไมโคแบคทีเรียได้แก่ Isoniazid (ยับยั้ง mycolic acid) และ Ethambutol (ยับยั้ง arabinogalactan)
• ข้อ ง. (Product acetyl เป็นพิษต่อตับ): เป็นคุณสมบัติของยา Isoniazid ซึ่งถูก Acetylation โดยเอนไซม์ NAT2 เกิดเป็น Acetylisoniazid และ Acetylhydrazine ที่ทำให้เกิดตับอักเสบ ไม่ใช่ Rifampicin
• ข้อ จ. (ยานี้เป็นเอนไซม์อินฮิบิเตอร์ที่รุนแรง): ผิด Rifampicin เป็นตัวกระตุ้นเอนไซม์ (Potent CYP450 inducer) ที่แรงมาก ไม่ใช่ตัวยับยั้ง
📖 Guideline อ้างอิง:
แนวทางการควบคุมวัณโรคประเทศไทย พ.ศ. 2564 &amp; Goodman &amp; Gilman's: The Pharmacological Basis of Therapeutics (Chapter: Antimycobacterial Drugs)
📌 จุดจำก่อนสอบ:
• Orange-red Secretions: Rifampicin ทำให้น้ำปัสสาวะ อุจจาระ เหงื่อ น้ำตา มีสีส้มแดง และอาจทำให้ Contact lens เปลี่ยนสีถาวรได้
• Mechanism: Rifampicin ยับยั้ง DNA-dependent RNA polymerase (จำว่า R = RNA polymerase inhibitor)</t>
        </is>
      </c>
      <c r="K311" s="2" t="n"/>
      <c r="L311" s="2" t="inlineStr">
        <is>
          <t>Tuberculosis</t>
        </is>
      </c>
      <c r="M311" s="2" t="inlineStr">
        <is>
          <t>Clinic</t>
        </is>
      </c>
      <c r="N311" s="2" t="inlineStr">
        <is>
          <t>Mock PLE-CC 1 ข้อ 103</t>
        </is>
      </c>
      <c r="O311" s="2" t="inlineStr">
        <is>
          <t>Mock</t>
        </is>
      </c>
      <c r="P311" s="2" t="inlineStr">
        <is>
          <t>Mock RxCU83</t>
        </is>
      </c>
    </row>
    <row r="312" ht="13.2" customHeight="1" s="37">
      <c r="A312" s="2" t="n">
        <v>325</v>
      </c>
      <c r="B312" s="2" t="inlineStr">
        <is>
          <t>ยาต้านไวรัสเอชไอวี (Antiretroviral drug) ในข้อใดต่อไปนี้สัมพันธ์กับการเกิดภาวะไขมันกระจายตัวผิดปกติ (Lipodystrophy) และภาวะไขมันในเลือดสูงมากที่สุด</t>
        </is>
      </c>
      <c r="C312" s="2" t="n"/>
      <c r="D312" s="2" t="inlineStr">
        <is>
          <t>Dolutegravir (DTG)</t>
        </is>
      </c>
      <c r="E312" s="2" t="inlineStr">
        <is>
          <t>Lopinavir/Ritonavir (LPV/r)</t>
        </is>
      </c>
      <c r="F312" s="2" t="inlineStr">
        <is>
          <t>Etravirine (ETR)</t>
        </is>
      </c>
      <c r="G312" s="2" t="inlineStr">
        <is>
          <t>Emtricitabine (FTC)</t>
        </is>
      </c>
      <c r="H312" s="2" t="inlineStr">
        <is>
          <t>Enfuvirtide (T-20)</t>
        </is>
      </c>
      <c r="I312" s="8" t="inlineStr">
        <is>
          <t>2</t>
        </is>
      </c>
      <c r="J312" s="2" t="inlineStr">
        <is>
          <t>✅ คำตอบที่ถูกต้อง: ข้อ ข. Lopinavir/Ritonavir
💡 Background:
ภาวะไขมันกระจายตัวผิดปกติ (Lipodystrophy / Fat redistribution) ในผู้ติดเชื้อ HIV ประกอบด้วยภาวะไขมันฝ่อตัว (Lipoatrophy บริเวณใบหน้า แขน ขา ก้น) และไขมันพอกตัวผิดปกติ (Lipohypertrophy เช่น หนอกหลัง Crix-belly เต้านมโต) กลุ่มยาต้านไวรัสที่มีรายงานสัมพันธ์กับภาวะนี้อย่างชัดเจนในอดีตคือ Protease Inhibitors (PIs เช่น Lopinavir/ritonavir) ซึ่งส่งผลต่อการเผาผลาญไขมัน ทำให้เกิด Dyslipidemia และ Insulin resistance ร่วมด้วย และยากลุ่ม NRTIs รุ่นเก่า (โดยเฉพาะ Stavudine: d4T และ Zidovudine: AZT)
🎯 ทำไมข้อนี้ถึงถูก:
Lopinavir/ritonavir เป็นยากลุ่ม Protease Inhibitor (PI) ซึ่งมีผลข้างเคียงเด่นชัดในการรบกวน Lipid metabolism ทำให้เกิดภาวะ Hypertriglyceridemia, Hypercholesterolemia, Insulin resistance และสัมพันธ์กับการเกิด Lipodystrophy สูงที่สุดในตัวเลือกที่กำหนด
🔍 ข้ออื่นผิดเพราะอะไร:
• ข้อ ก. (Dolutegravir): เป็นยากลุ่ม Integrase Strand Transfer Inhibitor (INSTI) ผลข้างเคียงเด่นคือน้ำหนักตัวเพิ่มขึ้น (Weight gain) แต่ไม่ทำให้เกิด Lipodystrophy/fat wasting
• ข้อ ค. (Etravirine): เป็นยากลุ่ม NNRTI รุ่นที่ 2 ผลข้างเคียงเด่นคือผื่นแพ้ยา (Rash) แต่แทบไม่มีผลต่อการกระจายตัวของไขมัน
• ข้อ ง. (Emtricitabine): เป็นยากลุ่ม NRTI ที่มีความปลอดภัยสูงมาก ไม่ก่อให้เกิด Mitochondrial toxicity และไม่ทำให้เกิด Lipoatrophy เหมือน Stavudine
• ข้อ จ. (Enfuvirtide): เป็นยาฉีดกลุ่ม Fusion inhibitor ผลข้างเคียงเด่นคือปฏิกิริยาบริเวณที่ฉีด (Injection site reaction)
📖 Guideline อ้างอิง:
แนวทางการตรวจวินิจฉัย รักษา และป้องกันการติดเชื้อเอชไอวี ประเทศไทย ปี 2564/2565 &amp; DHHS Guidelines for the Use of Antiretroviral Agents in Adults and Adolescents with HIV
📌 จุดจำก่อนสอบ:
• PI Adverse Effects: ยากลุ่ม Protease Inhibitors (PIs: Lopinavir, Atazanavir, Darunavir) เด่นเรื่อง Dyslipidemia, Hyperglycemia/Insulin resistance, และ GI distress
• Lipodystrophy Culprits: ตัวการหลักในอดีตคือ d4T (Stavudine) &gt; AZT (Zidovudine) ในกลุ่ม NRTIs และยากลุ่ม PIs</t>
        </is>
      </c>
      <c r="K312" s="2" t="n"/>
      <c r="L312" s="2" t="inlineStr">
        <is>
          <t>Infectious diseases</t>
        </is>
      </c>
      <c r="M312" s="2" t="inlineStr">
        <is>
          <t>Clinic</t>
        </is>
      </c>
      <c r="N312" s="2" t="inlineStr">
        <is>
          <t>PLE_CC1_2567_Key ข้อ 12</t>
        </is>
      </c>
      <c r="O312" s="2" t="inlineStr">
        <is>
          <t>ข้อสอบจริง</t>
        </is>
      </c>
      <c r="P312" s="2" t="inlineStr">
        <is>
          <t>ปี 2567</t>
        </is>
      </c>
    </row>
  </sheetData>
  <mergeCells count="1">
    <mergeCell ref="A1:F1"/>
  </mergeCell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Q134"/>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ผู้ป่วยหญิงไทยคู่ อายุ 32 ปี ได้รับการวินิจฉัยว่าป่วยเป็นโรคชักแบบ partial seizure secondarily to generalized tonic-clonic seizure ได้รับการรักษาด้วย phenytoin sodium 3 capsule hs มาพบแพทย์ตามนัดหลังจากรับประทานยาไปได้ 1 เดือนพบว่าผู้ป่วยไม่มีอาการชัก แต่เมื่อแพทย์ตรวจวัดความเข้มข้นของยา phenytoin ในกระแสเลือดพบว่ามีระดับความเข้มข้น 28 mg/L (เป้าหมายของระดับความเข้มข้นของยา phenytoin ในการรักษาโรคชักคือ 10-20 mg/L)
ข้อใดกล่าวไม่ถูกต้องเกี่ยวกับการรักษาโรคชัก</t>
        </is>
      </c>
      <c r="C3" s="2" t="n"/>
      <c r="D3" s="2" t="inlineStr">
        <is>
          <t>แนะนำให้ผู้ป่วยหลีกเลี่ยงปัจจัยกระตุ้นให้เกิดการชัก</t>
        </is>
      </c>
      <c r="E3" s="2" t="inlineStr">
        <is>
          <t>สามารถรักษาโรคชักบางชนิดได้ด้วยการผ่าตัด</t>
        </is>
      </c>
      <c r="F3" s="2" t="inlineStr">
        <is>
          <t>ควรใช้ยากันชักเฉพาะช่วงที่ผู้ป่วยมีอาการชักเท่านั้น</t>
        </is>
      </c>
      <c r="G3" s="2" t="inlineStr">
        <is>
          <t>หากใช้ยากันชักชนิดเดียวไม่ได้ผล อาจจะพิจารณาเพิ่มยาตัวที่สอง</t>
        </is>
      </c>
      <c r="H3" s="2" t="inlineStr">
        <is>
          <t>หากยากันชักชนิดแรกไม่สามารถควบคุมอาการชักได้ ให้ใช้ยาตัวอื่นหรือใช้ยา 2 ชนิดร่วมกัน</t>
        </is>
      </c>
      <c r="I3" s="8" t="inlineStr">
        <is>
          <t>3</t>
        </is>
      </c>
      <c r="J3" s="2" t="inlineStr">
        <is>
          <t>✅ คำตอบที่ถูกต้อง: ข้อ ค. ควรใช้ยากันชักเฉพาะช่วงที่ผู้ป่วยมีอาการชักเท่านั้น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ควรใช้ยากันชักเฉพาะช่วงที่ผู้ป่วยมีอาการชักเท่านั้น การรักษารักษาโรคชักด้วยยากันชัก (antiepileptic drugs) ต้องรับประทานยาอย่างต่อเนื่องสม่ำเสมอ ไม่ควรหยุดยาหรือใช้เฉพาะช่วงที่มีอาการชัก เพราะอาจทำให้เกิด status epilepticus ได้ ตามแนวทางการรักษามาตรฐาน
🔍 ข้ออื่นผิดเพราะอะไร:
• ข้อ ก. (แนะนำให้ผู้ป่วยหลีกเลี่ยงปัจจัยกระตุ้นให้เกิดการชัก): ข้อนี้ไม่ใช่คำตอบที่ถูกต้องสำหรับภาวะ Epilepsy เนื่องจากกลไกการออกฤทธิ์, efficacy หรือข้อบ่งใช้ไม่ตรงกับโจทย์ที่กำหนด
• ข้อ ข. (สามารถรักษาโรคชักบางชนิดได้ด้วยการผ่าตัด): ข้อนี้ไม่ใช่คำตอบที่ถูกต้องสำหรับภาวะ Epilepsy เนื่องจากกลไกการออกฤทธิ์, efficacy หรือข้อบ่งใช้ไม่ตรงกับโจทย์ที่กำหนด
• ข้อ ง. (หากใช้ยากันชักชนิดเดียวไม่ได้ผล อาจจะพิจารณาเพิ่มยาตัวที่สอง): ข้อนี้ไม่ใช่คำตอบที่ถูกต้องสำหรับภาวะ Epilepsy เนื่องจากกลไกการออกฤทธิ์, efficacy หรือข้อบ่งใช้ไม่ตรงกับโจทย์ที่กำหนด
• ข้อ จ. (หากยากันชักชนิดแรกไม่สามารถควบคุมอาการชักได้ ให้ใช้ยาตัวอื่นหรือใช้ยา 2 ชนิดร่วมกัน):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 s="2" t="n"/>
      <c r="L3" s="2" t="inlineStr">
        <is>
          <t>Epilepsy</t>
        </is>
      </c>
      <c r="M3" s="2" t="inlineStr">
        <is>
          <t>Clinic</t>
        </is>
      </c>
      <c r="N3" s="2" t="inlineStr">
        <is>
          <t>ข้อ 1 Pharma Plus เล่มม่วง (เฉลยข้อ ค)</t>
        </is>
      </c>
      <c r="O3" s="2" t="inlineStr">
        <is>
          <t>Mock</t>
        </is>
      </c>
      <c r="P3" s="2" t="inlineStr">
        <is>
          <t>Pharma Plus เล่มม่วง</t>
        </is>
      </c>
    </row>
    <row r="4" ht="13.2" customHeight="1" s="37">
      <c r="A4" s="8" t="inlineStr">
        <is>
          <t>2</t>
        </is>
      </c>
      <c r="B4" s="2" t="inlineStr">
        <is>
          <t>ยากันชักข้อใดที่มีกลไกการออกฤทธิ์เหมือนกับ phenytoin sodium</t>
        </is>
      </c>
      <c r="C4" s="2" t="n"/>
      <c r="D4" s="2" t="inlineStr">
        <is>
          <t>Ethosuximide</t>
        </is>
      </c>
      <c r="E4" s="2" t="inlineStr">
        <is>
          <t>Diazepam</t>
        </is>
      </c>
      <c r="F4" s="2" t="inlineStr">
        <is>
          <t>Vigabatrin</t>
        </is>
      </c>
      <c r="G4" s="2" t="inlineStr">
        <is>
          <t>Carbamazepine</t>
        </is>
      </c>
      <c r="H4" s="2" t="inlineStr">
        <is>
          <t>Gabapentin</t>
        </is>
      </c>
      <c r="I4" s="8" t="inlineStr">
        <is>
          <t>4</t>
        </is>
      </c>
      <c r="J4" s="2" t="inlineStr">
        <is>
          <t>✅ คำตอบที่ถูกต้อง: ข้อ ง.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Phenytoin และ Carbamazepine มีกลไกการออกฤทธิ์หลักคือการ block voltage-gated sodium channels เหมือนกัน ส่งผลให้ลดการปล่อยกระแสประสาทที่ผิดปกติ
🔍 ข้ออื่นผิดเพราะอะไร:
• ข้อ ก. (Ethosuximide): ข้อนี้ไม่ใช่คำตอบที่ถูกต้องสำหรับภาวะ Epilepsy เนื่องจากกลไกการออกฤทธิ์, efficacy หรือข้อบ่งใช้ไม่ตรงกับโจทย์ที่กำหนด
• ข้อ ข. (Diazepam): เป็น long-acting Benzodiazepine มี active metabolites (nordiazepam) สะสมในผู้สูงอายุ ทำให้ง่วงซึม หกล้ม เสี่ยง fracture
• ข้อ ค. (Vigabatrin): ข้อนี้ไม่ใช่คำตอบที่ถูกต้องสำหรับภาวะ Epilepsy เนื่องจากกลไกการออกฤทธิ์, efficacy หรือข้อบ่งใช้ไม่ตรงกับโจทย์ที่กำหนด
• ข้อ จ. (Gabapentin):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 s="2" t="n"/>
      <c r="L4" s="2" t="inlineStr">
        <is>
          <t>Epilepsy</t>
        </is>
      </c>
      <c r="M4" s="2" t="inlineStr">
        <is>
          <t>Clinic</t>
        </is>
      </c>
      <c r="N4" s="2" t="inlineStr">
        <is>
          <t>ข้อ 2 Pharma Plus เล่มม่วง (เฉลยข้อ ง)</t>
        </is>
      </c>
      <c r="O4" s="2" t="inlineStr">
        <is>
          <t>Mock</t>
        </is>
      </c>
      <c r="P4" s="2" t="inlineStr">
        <is>
          <t>Pharma Plus เล่มม่วง</t>
        </is>
      </c>
    </row>
    <row r="5" ht="13.2" customHeight="1" s="37">
      <c r="A5" s="8" t="inlineStr">
        <is>
          <t>3</t>
        </is>
      </c>
      <c r="B5" s="2" t="inlineStr">
        <is>
          <t>อาการไม่พึงประสงค์ในข้อใดที่สัมพันธ์กับระดับ phenytoin ในกระแสเลือดของผู้ป่วย</t>
        </is>
      </c>
      <c r="C5" s="2" t="n"/>
      <c r="D5" s="2" t="inlineStr">
        <is>
          <t>Gingival hyperplasia</t>
        </is>
      </c>
      <c r="E5" s="2" t="inlineStr">
        <is>
          <t>Hepatitis</t>
        </is>
      </c>
      <c r="F5" s="2" t="inlineStr">
        <is>
          <t>Rash</t>
        </is>
      </c>
      <c r="G5" s="2" t="inlineStr">
        <is>
          <t>Ataxia</t>
        </is>
      </c>
      <c r="H5" s="2" t="inlineStr">
        <is>
          <t>Hyponatremia</t>
        </is>
      </c>
      <c r="I5" s="8" t="inlineStr">
        <is>
          <t>4</t>
        </is>
      </c>
      <c r="J5" s="2" t="inlineStr">
        <is>
          <t>✅ คำตอบที่ถูกต้อง: ข้อ ง. Ataxia
💡 Background:
โรคลมชัก (Epilepsy) ต้องเลือกยากันชักให้ตรงกับชนิดของการชัก โดยคำนึงถึง efficacy, drug interactions และ safety profile ของผู้ป่วย
🎯 ทำไมข้อนี้ถึงถูก:
Ataxia, nystagmus, และ slurred speech เป็นอาการพิษ (toxicity) จาก phenytoin ที่สัมพันธ์โดยตรงกับระดับยาในเลือดที่สูงเกินช่วงการรักษา (dose-dependent toxicity เช่น เมื่อระดับยา &gt; 20 mg/L)
🔍 ข้ออื่นผิดเพราะอะไร:
• ข้อ ก. (Gingival hyperplasia): ข้อนี้ไม่ใช่คำตอบที่ถูกต้องสำหรับภาวะ Epilepsy เนื่องจากกลไกการออกฤทธิ์, efficacy หรือข้อบ่งใช้ไม่ตรงกับโจทย์ที่กำหนด
• ข้อ ข. (Hepatitis): ข้อนี้ไม่ใช่คำตอบที่ถูกต้องสำหรับภาวะ Epilepsy เนื่องจากกลไกการออกฤทธิ์, efficacy หรือข้อบ่งใช้ไม่ตรงกับโจทย์ที่กำหนด
• ข้อ ค. (Rash): ข้อนี้ไม่ใช่คำตอบที่ถูกต้องสำหรับภาวะ Epilepsy เนื่องจากกลไกการออกฤทธิ์, efficacy หรือข้อบ่งใช้ไม่ตรงกับโจทย์ที่กำหนด
• ข้อ จ. (Hyponatremia):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 s="2" t="n"/>
      <c r="L5" s="2" t="inlineStr">
        <is>
          <t>Epilepsy</t>
        </is>
      </c>
      <c r="M5" s="2" t="inlineStr">
        <is>
          <t>Clinic</t>
        </is>
      </c>
      <c r="N5" s="2" t="inlineStr">
        <is>
          <t>ข้อ 3 Pharma Plus เล่มม่วง (เฉลยข้อ ง)</t>
        </is>
      </c>
      <c r="O5" s="2" t="inlineStr">
        <is>
          <t>Mock</t>
        </is>
      </c>
      <c r="P5" s="2" t="inlineStr">
        <is>
          <t>Pharma Plus เล่มม่วง</t>
        </is>
      </c>
    </row>
    <row r="6" ht="13.2" customHeight="1" s="37">
      <c r="A6" s="8" t="inlineStr">
        <is>
          <t>4</t>
        </is>
      </c>
      <c r="B6" s="2" t="inlineStr">
        <is>
          <t>ยากันชักตัวใดมีผลเพิ่มระดับความเข้มข้นของยาซึ่งผ่านกระบวนการเมตาบอลิซึมจากเอนไซม์ตัวเดียวกัน</t>
        </is>
      </c>
      <c r="C6" s="2" t="n"/>
      <c r="D6" s="2" t="inlineStr">
        <is>
          <t>Phenytoin</t>
        </is>
      </c>
      <c r="E6" s="2" t="inlineStr">
        <is>
          <t>Valproate</t>
        </is>
      </c>
      <c r="F6" s="2" t="inlineStr">
        <is>
          <t>Phenobarbital</t>
        </is>
      </c>
      <c r="G6" s="2" t="inlineStr">
        <is>
          <t>Carbamazepine</t>
        </is>
      </c>
      <c r="H6" s="2" t="inlineStr">
        <is>
          <t>Phenobarbital</t>
        </is>
      </c>
      <c r="I6" s="8" t="inlineStr">
        <is>
          <t>2</t>
        </is>
      </c>
      <c r="J6" s="2" t="inlineStr">
        <is>
          <t>✅ คำตอบที่ถูกต้อง: ข้อ ข. Valproate
💡 Background:
โรคลมชัก (Epilepsy) ต้องเลือกยากันชักให้ตรงกับชนิดของการชัก โดยคำนึงถึง efficacy, drug interactions และ safety profile ของผู้ป่วย
🎯 ทำไมข้อนี้ถึงถูก:
Valproate สามารถยับยั้งเอนไซม์ (CYP450 inhibitor/displacement) ทำให้ระดับของยาอื่นๆ เช่น phenytoin หรือ phenobarbital ในเลือดสูงขึ้นได้
🔍 ข้ออื่นผิดเพราะอะไร:
• ข้อ ก. (Phenytoin): เป็น sodium channel blocker สำหรับ focal/generalized seizures มี non-linear (Michaelis-Menten) PK เสี่ยง toxicity ได้ง่ายเมื่อปรับ dose และทำให้เกิด gingival hyperplasia, hirsutism, cerebellar ataxia
• ข้อ ค. (Phenobarbital): ข้อนี้ไม่ใช่คำตอบที่ถูกต้องสำหรับภาวะ Epilepsy เนื่องจากกลไกการออกฤทธิ์, efficacy หรือข้อบ่งใช้ไม่ตรงกับโจทย์ที่กำหนด
• ข้อ ง.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(Phenobarbital):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 s="2" t="n"/>
      <c r="L6" s="2" t="inlineStr">
        <is>
          <t>Epilepsy</t>
        </is>
      </c>
      <c r="M6" s="2" t="inlineStr">
        <is>
          <t>Clinic</t>
        </is>
      </c>
      <c r="N6" s="2" t="inlineStr">
        <is>
          <t>ข้อ 4 Pharma Plus เล่มม่วง (เฉลยข้อ ข)</t>
        </is>
      </c>
      <c r="O6" s="2" t="inlineStr">
        <is>
          <t>Mock</t>
        </is>
      </c>
      <c r="P6" s="2" t="inlineStr">
        <is>
          <t>Pharma Plus เล่มม่วง</t>
        </is>
      </c>
    </row>
    <row r="7" ht="13.2" customHeight="1" s="37">
      <c r="A7" s="8" t="inlineStr">
        <is>
          <t>5</t>
        </is>
      </c>
      <c r="B7" s="2" t="inlineStr">
        <is>
          <t>ยาในข้อใดหากรับประทานพร้อมกับ phenytoin จะทำให้ phenytoin เพิ่มขึ้น</t>
        </is>
      </c>
      <c r="C7" s="2" t="n"/>
      <c r="D7" s="2" t="inlineStr">
        <is>
          <t>Erythromycin</t>
        </is>
      </c>
      <c r="E7" s="2" t="inlineStr">
        <is>
          <t>Cimetidine</t>
        </is>
      </c>
      <c r="F7" s="2" t="inlineStr">
        <is>
          <t>Conjugated estrogen</t>
        </is>
      </c>
      <c r="G7" s="2" t="inlineStr">
        <is>
          <t>Furosemide</t>
        </is>
      </c>
      <c r="H7" s="2" t="inlineStr">
        <is>
          <t>Thiazide</t>
        </is>
      </c>
      <c r="I7" s="8" t="inlineStr">
        <is>
          <t>2</t>
        </is>
      </c>
      <c r="J7" s="2" t="inlineStr">
        <is>
          <t>✅ คำตอบที่ถูกต้อง: ข้อ ข. Cimetidine
💡 Background:
โรคลมชัก (Epilepsy) ต้องเลือกยากันชักให้ตรงกับชนิดของการชัก โดยคำนึงถึง efficacy, drug interactions และ safety profile ของผู้ป่วย
🎯 ทำไมข้อนี้ถึงถูก:
Cimetidine เป็นตัวยับยั้งเอนไซม์ในตับ (CYP450 inhibitor) ทำให้การกำจัด phenytoin ลดลง ส่งผลให้ระดับยา phenytoin ในเลือดเพิ่มสูงขึ้นและอาจเกิดพิษได้
🔍 ข้ออื่นผิดเพราะอะไร:
• ข้อ ก. (Erythromycin): ข้อนี้ไม่ใช่คำตอบที่ถูกต้องสำหรับภาวะ Epilepsy เนื่องจากกลไกการออกฤทธิ์, efficacy หรือข้อบ่งใช้ไม่ตรงกับโจทย์ที่กำหนด
• ข้อ ค. (Conjugated estrogen): ข้อนี้ไม่ใช่คำตอบที่ถูกต้องสำหรับภาวะ Epilepsy เนื่องจากกลไกการออกฤทธิ์, efficacy หรือข้อบ่งใช้ไม่ตรงกับโจทย์ที่กำหนด
• ข้อ ง. (Furosemide): เป็น Loop diuretic ยับยั้ง Na+/K+/2Cl- cotransporter ที่ Thick ascending limb ใช้จัดการ volume overload ใน HF หรือ CKD แต่ไม่เหมาะเป็น first-line ลดความดันโลหิตเดี่ยวๆ
• ข้อ จ. (Thiazide):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 s="2" t="n"/>
      <c r="L7" s="2" t="inlineStr">
        <is>
          <t>Epilepsy</t>
        </is>
      </c>
      <c r="M7" s="2" t="inlineStr">
        <is>
          <t>Clinic</t>
        </is>
      </c>
      <c r="N7" s="2" t="inlineStr">
        <is>
          <t>ข้อ 5 Pharma Plus เล่มม่วง (เฉลยข้อ ข)</t>
        </is>
      </c>
      <c r="O7" s="2" t="inlineStr">
        <is>
          <t>Mock</t>
        </is>
      </c>
      <c r="P7" s="2" t="inlineStr">
        <is>
          <t>Pharma Plus เล่มม่วง</t>
        </is>
      </c>
    </row>
    <row r="8" ht="13.2" customHeight="1" s="37">
      <c r="A8" s="8" t="inlineStr">
        <is>
          <t>6</t>
        </is>
      </c>
      <c r="B8" s="2"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ผู้ป่วยมีอาการปวดศีรษะแบบนี้ แสดงว่าเป็นโรคใด</t>
        </is>
      </c>
      <c r="C8" s="2" t="n"/>
      <c r="D8" s="2" t="inlineStr">
        <is>
          <t>Migraine headache</t>
        </is>
      </c>
      <c r="E8" s="2" t="inlineStr">
        <is>
          <t>Tension headache</t>
        </is>
      </c>
      <c r="F8" s="2" t="inlineStr">
        <is>
          <t>Cluster headache</t>
        </is>
      </c>
      <c r="G8" s="2" t="inlineStr">
        <is>
          <t>Trauma headache</t>
        </is>
      </c>
      <c r="H8" s="2" t="inlineStr">
        <is>
          <t>Hypertension</t>
        </is>
      </c>
      <c r="I8" s="8" t="inlineStr">
        <is>
          <t>1</t>
        </is>
      </c>
      <c r="J8" s="2" t="inlineStr">
        <is>
          <t>✅ คำตอบที่ถูกต้อง: ข้อ ก. Migraine headache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Migraine headache อาการปวดศีรษะตุบๆ ข้างเดียว ร่วมกับมีคลื่นไส้อาเจียน แพ้แสง/เสียง (photophobia/phonophobia) และมีอาการทางตาเตือนนำมาก่อน (Aura) เป็นลักษณะจำเพาะของโรคไมเกรน (Migraine with aura)
🔍 ข้ออื่นผิดเพราะอะไร:
• ข้อ ข. (Tension headache): ข้อนี้ไม่ใช่คำตอบที่ถูกต้องสำหรับภาวะ Headache เนื่องจากกลไกการออกฤทธิ์, efficacy หรือข้อบ่งใช้ไม่ตรงกับโจทย์ที่กำหนด
• ข้อ ค. (Cluster headache): ข้อนี้ไม่ใช่คำตอบที่ถูกต้องสำหรับภาวะ Headache เนื่องจากกลไกการออกฤทธิ์, efficacy หรือข้อบ่งใช้ไม่ตรงกับโจทย์ที่กำหนด
• ข้อ ง. (Trauma headache): ข้อนี้ไม่ใช่คำตอบที่ถูกต้องสำหรับภาวะ Headache เนื่องจากกลไกการออกฤทธิ์, efficacy หรือข้อบ่งใช้ไม่ตรงกับโจทย์ที่กำหนด
• ข้อ จ. (Hypertension):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Headache</t>
        </is>
      </c>
      <c r="M8" s="2" t="inlineStr">
        <is>
          <t>Clinic</t>
        </is>
      </c>
      <c r="N8" s="2" t="inlineStr">
        <is>
          <t>ข้อ 6 Pharma Plus เล่มม่วง (เฉลยข้อ ก)</t>
        </is>
      </c>
      <c r="O8" s="2" t="inlineStr">
        <is>
          <t>Mock</t>
        </is>
      </c>
      <c r="P8" s="2" t="inlineStr">
        <is>
          <t>Pharma Plus เล่มม่วง</t>
        </is>
      </c>
    </row>
    <row r="9" ht="13.2" customHeight="1" s="37">
      <c r="A9" s="8" t="inlineStr">
        <is>
          <t>7</t>
        </is>
      </c>
      <c r="B9" s="2"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ผู้ป่วยรายนี้ควรได้รับยาชนิดใดเป็นขนานแรก ในการรักษาอาการปวด</t>
        </is>
      </c>
      <c r="C9" s="2" t="n"/>
      <c r="D9" s="2" t="inlineStr">
        <is>
          <t>Methyl ergotamine</t>
        </is>
      </c>
      <c r="E9" s="2" t="inlineStr">
        <is>
          <t>Sumatriptan</t>
        </is>
      </c>
      <c r="F9" s="2" t="inlineStr">
        <is>
          <t>Amitriptyline</t>
        </is>
      </c>
      <c r="G9" s="2" t="inlineStr">
        <is>
          <t>Naproxen</t>
        </is>
      </c>
      <c r="H9" s="2" t="inlineStr">
        <is>
          <t>Verapamil</t>
        </is>
      </c>
      <c r="I9" s="8" t="inlineStr">
        <is>
          <t>2</t>
        </is>
      </c>
      <c r="J9" s="2" t="inlineStr">
        <is>
          <t>✅ คำตอบที่ถูกต้อง: ข้อ ข. Sumatriptan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Sumatriptan สำหรับการรักษาอาการปวดไมเกรนเฉียบพลันในระดับปานกลางถึงรุนแรง หากไม่มีข้อห้าม (เช่น โรคหัวใจขาดเลือด) ยากลุ่ม Triptans (เช่น Sumatriptan) หรือยาแก้ปวด NSAIDs เป็นยาเลือกแรกในการรักษา
🔍 ข้ออื่นผิดเพราะอะไร:
• ข้อ ก. (Methyl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(Amitriptyline): เป็น Tricyclic antidepressant (TCA) มี anticholinergic ADRs สูง, antihistaminic (ง่วงซึม น้ำหนักขึ้น), alpha-1 blockade (orthostatic hypotension) และเสี่ยงต่อ fatal cardiotoxicity เมื่อ overdose
• ข้อ ง. (Naproxen): เป็น non-selective NSAID ที่มี cardiovascular safety profile ดีที่สุด และมี efficacy สูงในการระงับ acute inflammation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Headache</t>
        </is>
      </c>
      <c r="M9" s="2" t="inlineStr">
        <is>
          <t>Clinic</t>
        </is>
      </c>
      <c r="N9" s="2" t="inlineStr">
        <is>
          <t>ข้อ 7 Pharma Plus เล่มม่วง (เฉลยข้อ ข)</t>
        </is>
      </c>
      <c r="O9" s="2" t="inlineStr">
        <is>
          <t>Mock</t>
        </is>
      </c>
      <c r="P9" s="2" t="inlineStr">
        <is>
          <t>Pharma Plus เล่มม่วง</t>
        </is>
      </c>
    </row>
    <row r="10" ht="13.2" customHeight="1" s="37">
      <c r="A10" s="8" t="inlineStr">
        <is>
          <t>8</t>
        </is>
      </c>
      <c r="B10" s="2" t="inlineStr">
        <is>
          <t>ต่อมาผู้ป่วยได้กลับมาหาท่านเนื่องจากอาการปวดเพิ่มมากขึ้น จึงจ่าย ergotamine และ caffeine 100 mg ให้แก่ผู้ป่วย ข้อใดไม่ถูกต้องเกี่ยวกับยาที่ผู้ป่วยได้รับในครั้งนี้
ข้อใดไม่ถูกต้องเกี่ยวกับยาที่ผู้ป่วยได้รับในครั้งนี้</t>
        </is>
      </c>
      <c r="C10" s="2" t="n"/>
      <c r="D10" s="2" t="inlineStr">
        <is>
          <t>ขนาดเริ่มต้นคือ 1-2 เม็ด รับประทานเมื่อมีอาการ</t>
        </is>
      </c>
      <c r="E10" s="2" t="inlineStr">
        <is>
          <t>รับประทานยาซ้ำได้เมื่ออาการไม่ดีขึ้นภายใน 30 นาที</t>
        </is>
      </c>
      <c r="F10" s="2" t="inlineStr">
        <is>
          <t>ถ้ามีอาการชาที่ปลายมือปลายเท้าให้หยุดยา</t>
        </is>
      </c>
      <c r="G10" s="2" t="inlineStr">
        <is>
          <t>ไม่ควรรับประทานยาเกิน 6 เม็ด ต่อวัน</t>
        </is>
      </c>
      <c r="H10" s="2" t="inlineStr">
        <is>
          <t>ไม่มีข้อใดผิด</t>
        </is>
      </c>
      <c r="I10" s="8" t="inlineStr">
        <is>
          <t>1</t>
        </is>
      </c>
      <c r="J10" s="2" t="inlineStr">
        <is>
          <t>✅ คำตอบที่ถูกต้อง: ข้อ ก. ขนาดเริ่มต้นคือ 1-2 เม็ด รับประทานเมื่อมีอาการ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ขนาดเริ่มต้นคือ 1-2 เม็ด รับประทานเมื่อมีอาการ ตามคำแนะนำการใช้ Ergotamine+caffeine ขนาดเริ่มต้นคือ 1-2 เม็ดเมื่อมีอาการ และหากไม่ดีขึ้นสามารถรับประทานซ้ำได้ทุก 30 นาที แต่ไม่ควรเกิน 2 เม็ดต่อครั้ง และสูงสุดไม่เกิน 6 เม็ดต่อสัปดาห์ (ไม่ใช่ต่อวัน) ดังนั้นข้อ 4 จึงอาจคลาดเคลื่อน หรือต้องพิจารณาตามเกณฑ์ safety สูงสุด (มักจำกัดที่ 6 เม็ด/ครั้ง หรือ 10 เม็ด/สัปดาห์ ขึ้นกับแนวทาง แต่ตามฉลากมักห้ามเกิน 6 เม็ด/สัปดาห์)
🔍 ข้ออื่นผิดเพราะอะไร:
• ข้อ ข. (รับประทานยาซ้ำได้เมื่ออาการไม่ดีขึ้นภายใน 30 นาที): ข้อนี้ไม่ใช่คำตอบที่ถูกต้องสำหรับภาวะ Headache เนื่องจากกลไกการออกฤทธิ์, efficacy หรือข้อบ่งใช้ไม่ตรงกับโจทย์ที่กำหนด
• ข้อ ค. (ถ้ามีอาการชาที่ปลายมือปลายเท้าให้หยุดยา): ข้อนี้ไม่ใช่คำตอบที่ถูกต้องสำหรับภาวะ Headache เนื่องจากกลไกการออกฤทธิ์, efficacy หรือข้อบ่งใช้ไม่ตรงกับโจทย์ที่กำหนด
• ข้อ ง. (ไม่ควรรับประทานยาเกิน 6 เม็ด ต่อวัน): ข้อนี้ไม่ใช่คำตอบที่ถูกต้องสำหรับภาวะ Headache เนื่องจากกลไกการออกฤทธิ์, efficacy หรือข้อบ่งใช้ไม่ตรงกับโจทย์ที่กำหนด
• ข้อ จ. (ไม่มีข้อใดผิด):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Headache</t>
        </is>
      </c>
      <c r="M10" s="2" t="inlineStr">
        <is>
          <t>Clinic</t>
        </is>
      </c>
      <c r="N10" s="2" t="inlineStr">
        <is>
          <t>ข้อ 8 Pharma Plus เล่มม่วง (เฉลยข้อ ก)</t>
        </is>
      </c>
      <c r="O10" s="2" t="inlineStr">
        <is>
          <t>Mock</t>
        </is>
      </c>
      <c r="P10" s="2" t="inlineStr">
        <is>
          <t>Pharma Plus เล่มม่วง</t>
        </is>
      </c>
    </row>
    <row r="11" ht="13.2" customHeight="1" s="37">
      <c r="A11" s="8" t="inlineStr">
        <is>
          <t>9</t>
        </is>
      </c>
      <c r="B11" s="2" t="inlineStr">
        <is>
          <t>ในเดือนถัดมาผู้ป่วยมีอาการปวดศีรษะและกินยา ergotamine พร้อมทั้งมีอาการหวัด เจ็บคอ จึงได้ซื้อยาปฏิชีวนะ erythromycin จากร้านยา หลังกินยาผู้ป่วยมีอาการคลื่นไส้ อาเจียน และชาตามปลายมือปลายเท้า ท่านคิดว่าปฏิกิริระหว่างยาที่เกิดขึ้นเกิดจากกระบวนการใด
ท่านคิดว่าปฏิกิริยาระหว่างยาที่เกิดขึ้นเกิดจากกระบวนการใด</t>
        </is>
      </c>
      <c r="C11" s="2" t="n"/>
      <c r="D11" s="2" t="inlineStr">
        <is>
          <t>Absorption</t>
        </is>
      </c>
      <c r="E11" s="2" t="inlineStr">
        <is>
          <t>Distribution</t>
        </is>
      </c>
      <c r="F11" s="2" t="inlineStr">
        <is>
          <t>Biotransformation</t>
        </is>
      </c>
      <c r="G11" s="2" t="inlineStr">
        <is>
          <t>Elimination</t>
        </is>
      </c>
      <c r="H11" s="2" t="inlineStr">
        <is>
          <t>Excretion</t>
        </is>
      </c>
      <c r="I11" s="8" t="inlineStr">
        <is>
          <t>3</t>
        </is>
      </c>
      <c r="J11" s="2" t="inlineStr">
        <is>
          <t>✅ คำตอบที่ถูกต้อง: ข้อ ค. Biotransformation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Biotransformation Erythromycin เป็น potent CYP3A4 inhibitor ซึ่งจะไปยับยั้งการเมแทบอลิซึม (Biotransformation) ของ Ergotamine ทำให้ระดับยา Ergotamine ในเลือดสูงขึ้นมากจนเกิดพิษ (Ergotism) เช่น ชาปลายมือปลายเท้า คลื่นไส้อาเจียน
🔍 ข้ออื่นผิดเพราะอะไร:
• ข้อ ก. (Absorption): ข้อนี้ไม่ใช่คำตอบที่ถูกต้องสำหรับภาวะ Headache เนื่องจากกลไกการออกฤทธิ์, efficacy หรือข้อบ่งใช้ไม่ตรงกับโจทย์ที่กำหนด
• ข้อ ข. (Distribution): ข้อนี้ไม่ใช่คำตอบที่ถูกต้องสำหรับภาวะ Headache เนื่องจากกลไกการออกฤทธิ์, efficacy หรือข้อบ่งใช้ไม่ตรงกับโจทย์ที่กำหนด
• ข้อ ง. (Elimination): ข้อนี้ไม่ใช่คำตอบที่ถูกต้องสำหรับภาวะ Headache เนื่องจากกลไกการออกฤทธิ์, efficacy หรือข้อบ่งใช้ไม่ตรงกับโจทย์ที่กำหนด
• ข้อ จ. (Excretion):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n"/>
      <c r="L11" s="2" t="inlineStr">
        <is>
          <t>Headache</t>
        </is>
      </c>
      <c r="M11" s="2" t="inlineStr">
        <is>
          <t>Clinic</t>
        </is>
      </c>
      <c r="N11" s="2" t="inlineStr">
        <is>
          <t>ข้อ 9 Pharma Plus เล่มม่วง (เฉลยข้อ ค)</t>
        </is>
      </c>
      <c r="O11" s="2" t="inlineStr">
        <is>
          <t>Mock</t>
        </is>
      </c>
      <c r="P11" s="2" t="inlineStr">
        <is>
          <t>Pharma Plus เล่มม่วง</t>
        </is>
      </c>
    </row>
    <row r="12" ht="13.2" customHeight="1" s="37">
      <c r="A12" s="8" t="inlineStr">
        <is>
          <t>10</t>
        </is>
      </c>
      <c r="B12" s="2" t="inlineStr">
        <is>
          <t>ผู้ป่วยรายเดิมกลับมาหาท่านอีกและบอกว่ามีอาการปวดศีรษะบ่อยขึ้น เพิ่งเปลี่ยนงานใหม่และงานค่อนข้างยุ่ง ข้อใดเป็นการประเมินว่าผู้ป่วยควรได้ยาเพื่อการป้องกัน
ข้อใดเป็นการประเมินว่าผู้ป่วยควรได้ยาเพื่อการป้องกัน</t>
        </is>
      </c>
      <c r="C12" s="2" t="n"/>
      <c r="D12" s="2" t="inlineStr">
        <is>
          <t>ผู้ป่วยปวดศีรษะมากกว่า 2-3 ครั้ง/เดือน</t>
        </is>
      </c>
      <c r="E12" s="2" t="inlineStr">
        <is>
          <t>อาการปวดศีรษะค่อนข้างรุนแรง</t>
        </is>
      </c>
      <c r="F12" s="2" t="inlineStr">
        <is>
          <t>ผู้ป่วยมีอาการปวดนาน 12 ชม. และอายุที่เป็นครั้งแรกมากกว่า 55 ปี</t>
        </is>
      </c>
      <c r="G12" s="2" t="inlineStr">
        <is>
          <t>ผู้ป่วยทนต่ออาการไม่พึงประสงค์ของยาบรรเทาการปวดศีรษะไม่ได้</t>
        </is>
      </c>
      <c r="H12" s="2" t="inlineStr">
        <is>
          <t>ระยะเวลาที่จะมีอาการปวดศีรษะสามารถคาดการณ์ล่วงหน้าได้</t>
        </is>
      </c>
      <c r="I12" s="8" t="inlineStr">
        <is>
          <t>4</t>
        </is>
      </c>
      <c r="J12" s="2" t="inlineStr">
        <is>
          <t>✅ คำตอบที่ถูกต้อง: ข้อ ง. ผู้ป่วยทนต่ออาการไม่พึงประสงค์ของยาบรรเทาการปวดศีรษะไม่ได้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ผู้ป่วยทนต่ออาการไม่พึงประสงค์ของยาบรรเทาการปวดศีรษะไม่ได้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ข้อบ่งชี้ในการเริ่มยาป้องกันไมเกรน (Migraine prophylaxis) ได้แก่ อาการปวดถี่มาก (เช่น บ่อยกว่า 2-3 ครั้งต่อเดือน หรือรบกวนชีวิตประจำวันมาก), อาการรุนแรง, หรือใช้ยาแก้ปวดเฉียบพลันบ่อยเกินไป
🔍 ข้ออื่นผิดเพราะอะไร:
• ข้อ ก. (ผู้ป่วยปวดศีรษะมากกว่า 2-3 ครั้ง/เดือน): ข้อนี้ไม่ใช่คำตอบที่ถูกต้องสำหรับภาวะ Headache เนื่องจากกลไกการออกฤทธิ์, efficacy หรือข้อบ่งใช้ไม่ตรงกับโจทย์ที่กำหนด
• ข้อ ข. (อาการปวดศีรษะค่อนข้างรุนแรง): ข้อนี้ไม่ใช่คำตอบที่ถูกต้องสำหรับภาวะ Headache เนื่องจากกลไกการออกฤทธิ์, efficacy หรือข้อบ่งใช้ไม่ตรงกับโจทย์ที่กำหนด
• ข้อ ค. (ผู้ป่วยมีอาการปวดนาน 12 ชม. และอายุที่เป็นครั้งแรกมากกว่า 55 ปี): ข้อนี้ไม่ใช่คำตอบที่ถูกต้องสำหรับภาวะ Headache เนื่องจากกลไกการออกฤทธิ์, efficacy หรือข้อบ่งใช้ไม่ตรงกับโจทย์ที่กำหนด
• ข้อ จ. (ระยะเวลาที่จะมีอาการปวดศีรษะสามารถคาดการณ์ล่วงหน้าได้):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Headache</t>
        </is>
      </c>
      <c r="M12" s="2" t="inlineStr">
        <is>
          <t>Clinic</t>
        </is>
      </c>
      <c r="N12" s="2" t="inlineStr">
        <is>
          <t>ข้อ 10 Pharma Plus เล่มม่วง (เฉลยข้อ ง)</t>
        </is>
      </c>
      <c r="O12" s="2" t="inlineStr">
        <is>
          <t>Mock</t>
        </is>
      </c>
      <c r="P12" s="2" t="inlineStr">
        <is>
          <t>Pharma Plus เล่มม่วง</t>
        </is>
      </c>
    </row>
    <row r="13" ht="13.2" customHeight="1" s="37">
      <c r="A13" s="8" t="inlineStr">
        <is>
          <t>11</t>
        </is>
      </c>
      <c r="B13" s="2" t="inlineStr">
        <is>
          <t>ผู้ป่วยรายเดิมกลับมาหาท่านอีกและบอกว่ามีอาการปวดศีรษะบ่อยขึ้น เพิ่งเปลี่ยนงานใหม่และงานค่อนข้างยุ่ง
ยาในข้อใดที่เหมาะสมและใช้ได้ผลในการป้องกันการปวดศีรษะในผู้ป่วยรายนี้</t>
        </is>
      </c>
      <c r="C13" s="2" t="n"/>
      <c r="D13" s="2" t="inlineStr">
        <is>
          <t>Indomethacin</t>
        </is>
      </c>
      <c r="E13" s="2" t="inlineStr">
        <is>
          <t>Ergotamine</t>
        </is>
      </c>
      <c r="F13" s="2" t="inlineStr">
        <is>
          <t>Sumatriptan</t>
        </is>
      </c>
      <c r="G13" s="2" t="inlineStr">
        <is>
          <t>Propranolol</t>
        </is>
      </c>
      <c r="H13" s="2" t="inlineStr">
        <is>
          <t>Verapamil</t>
        </is>
      </c>
      <c r="I13" s="8" t="inlineStr">
        <is>
          <t>4</t>
        </is>
      </c>
      <c r="J13" s="2" t="inlineStr">
        <is>
          <t>✅ คำตอบที่ถูกต้อง: ข้อ ง. Propranolol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Propranolol เป็นยากลุ่ม Beta-blocker ที่มีข้อบ่งชี้และได้รับการรับรองเป็นยา first-line ในการป้องกันไมเกรน (Migraine prophylaxis) ส่วน Ergotamine และ Sumatriptan ใช้รักษาแบบเฉียบพลันไม่ใช่ป้องกัน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(Sumatriptan): เป็น 5-HT1B/1D agonist หดหลอดเลือดสมอง ใช้รักษา acute moderate-to-severe migraine attack แต่ contraindication ใน ischemic heart disease, uncontrolled HTN, stroke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n"/>
      <c r="L13" s="2" t="inlineStr">
        <is>
          <t>Headache</t>
        </is>
      </c>
      <c r="M13" s="2" t="inlineStr">
        <is>
          <t>Clinic</t>
        </is>
      </c>
      <c r="N13" s="2" t="inlineStr">
        <is>
          <t>ข้อ 11 Pharma Plus เล่มม่วง (เฉลยข้อ ง)</t>
        </is>
      </c>
      <c r="O13" s="2" t="inlineStr">
        <is>
          <t>Mock</t>
        </is>
      </c>
      <c r="P13" s="2" t="inlineStr">
        <is>
          <t>Pharma Plus เล่มม่วง</t>
        </is>
      </c>
    </row>
    <row r="14" ht="13.2" customHeight="1" s="37">
      <c r="A14" s="8" t="inlineStr">
        <is>
          <t>12</t>
        </is>
      </c>
      <c r="B14" s="2" t="inlineStr">
        <is>
          <t>การใช้ยาป้องกันอาการปวดศีรษะของผู้ป่วยรายนี้ ควรได้รับ</t>
        </is>
      </c>
      <c r="C14" s="2" t="n"/>
      <c r="D14" s="2" t="inlineStr">
        <is>
          <t>อย่างน้อย 6 เดือน หลังจากการปวดศีรษะครั้งสุดท้าย</t>
        </is>
      </c>
      <c r="E14" s="2" t="inlineStr">
        <is>
          <t>อย่างน้อย 6 เดือน หลังจากความถี่และอาการปวดศีรษะลดลง</t>
        </is>
      </c>
      <c r="F14" s="2" t="inlineStr">
        <is>
          <t>กินยาต่อไปจนกว่าผู้ป่วยจะทนอาการไม่พึงประสงค์ไม่ได้</t>
        </is>
      </c>
      <c r="G14" s="2" t="inlineStr">
        <is>
          <t>กินยาเดือนเว้นเดือน จนกว่าจะไม่มีอาการ</t>
        </is>
      </c>
      <c r="H14" s="2" t="inlineStr">
        <is>
          <t>กินได้ตลอดไป</t>
        </is>
      </c>
      <c r="I14" s="8" t="inlineStr">
        <is>
          <t>2</t>
        </is>
      </c>
      <c r="J14" s="2" t="inlineStr">
        <is>
          <t>✅ คำตอบที่ถูกต้อง: ข้อ ข. อย่างน้อย 6 เดือน หลังจากความถี่และอาการปวดศีรษะลดลง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อย่างน้อย 6 เดือน หลังจากความถี่และอาการปวดศีรษะลดลง ตามแนวทางการรักษาโรคไมเกรน การให้ยาป้องกัน (prophylaxis) ควรให้ต่อเนื่องอย่างน้อย 6 เดือนหลังจากที่อาการปวดศีรษะมีความถี่และความรุนแรงลดลงอย่างเห็นได้ชัด ก่อนจะพิจารณาค่อยๆ ลดและหยุดยา
🔍 ข้ออื่นผิดเพราะอะไร:
• ข้อ ก. (อย่างน้อย 6 เดือน หลังจากการปวดศีรษะครั้งสุดท้าย): ข้อนี้ไม่ใช่คำตอบที่ถูกต้องสำหรับภาวะ Headache เนื่องจากกลไกการออกฤทธิ์, efficacy หรือข้อบ่งใช้ไม่ตรงกับโจทย์ที่กำหนด
• ข้อ ค. (กินยาต่อไปจนกว่าผู้ป่วยจะทนอาการไม่พึงประสงค์ไม่ได้): ข้อนี้ไม่ใช่คำตอบที่ถูกต้องสำหรับภาวะ Headache เนื่องจากกลไกการออกฤทธิ์, efficacy หรือข้อบ่งใช้ไม่ตรงกับโจทย์ที่กำหนด
• ข้อ ง. (กินยาเดือนเว้นเดือน จนกว่าจะไม่มีอาการ): ข้อนี้ไม่ใช่คำตอบที่ถูกต้องสำหรับภาวะ Headache เนื่องจากกลไกการออกฤทธิ์, efficacy หรือข้อบ่งใช้ไม่ตรงกับโจทย์ที่กำหนด
• ข้อ จ. (กินได้ตลอดไป):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2" t="n"/>
      <c r="L14" s="2" t="inlineStr">
        <is>
          <t>Headache</t>
        </is>
      </c>
      <c r="M14" s="2" t="inlineStr">
        <is>
          <t>Clinic</t>
        </is>
      </c>
      <c r="N14" s="2" t="inlineStr">
        <is>
          <t>ข้อ 12 Pharma Plus เล่มม่วง (เฉลยข้อ ข)</t>
        </is>
      </c>
      <c r="O14" s="2" t="inlineStr">
        <is>
          <t>Mock</t>
        </is>
      </c>
      <c r="P14" s="2" t="inlineStr">
        <is>
          <t>Pharma Plus เล่มม่วง</t>
        </is>
      </c>
    </row>
    <row r="15" ht="13.2" customHeight="1" s="37">
      <c r="A15" s="8" t="inlineStr">
        <is>
          <t>13</t>
        </is>
      </c>
      <c r="B15" s="2" t="inlineStr">
        <is>
          <t>ยาในข้อใดไม่ควรใช้ป้องกันอาการปวดศีรษะในผู้ป่วยที่มีอาการ</t>
        </is>
      </c>
      <c r="C15" s="2" t="n"/>
      <c r="D15" s="2" t="inlineStr">
        <is>
          <t>Amitriptyline</t>
        </is>
      </c>
      <c r="E15" s="2" t="inlineStr">
        <is>
          <t>Fluoxetine</t>
        </is>
      </c>
      <c r="F15" s="2" t="inlineStr">
        <is>
          <t>Propranolol</t>
        </is>
      </c>
      <c r="G15" s="2" t="inlineStr">
        <is>
          <t>Diltiazem</t>
        </is>
      </c>
      <c r="H15" s="2" t="inlineStr">
        <is>
          <t>Gabapentin</t>
        </is>
      </c>
      <c r="I15" s="8" t="inlineStr">
        <is>
          <t>2</t>
        </is>
      </c>
      <c r="J15" s="2" t="inlineStr">
        <is>
          <t>✅ คำตอบที่ถูกต้อง: ข้อ ข. Fluoxetine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Fluoxetine Non-dihydropyridine calcium channel blockers เช่น Diltiazem หรือ Verapamil มักใช้ใน cluster headache หรือ hypertension แต่ไม่มีข้อบ่งใช้ที่เป็นมาตรฐานในการป้องกัน migraine และบางตัวอาจไม่มี efficacy เท่า Beta-blockers, Anticonvulsants หรือ Antidepressants ที่แนะนำตาม guideline
 เป็น SSRI มี half-life ยาวที่สุดในกลุ่ม (ร่วมกับ active metabolite norfluoxetine) จึงมี discontinuation syndrome ต่ำ แต่ยับยั้ง CYP2D6 สูง
🔍 ข้ออื่นผิดเพราะอะไร:
• ข้อ ก. (Amitriptyline): เป็น Tricyclic antidepressant (TCA) มี anticholinergic ADRs สูง, antihistaminic (ง่วงซึม น้ำหนักขึ้น), alpha-1 blockade (orthostatic hypotension) และเสี่ยงต่อ fatal cardiotoxicity เมื่อ overdose
• ข้อ ค. (Propranolol): เป็น non-selective beta-blocker ข้าม blood-brain barrier ได้ดี เหมาะสำหรับ performance anxiety, essential tremor, migraine prophylaxis และ thyroid storm แต่ contraindication ใน asthma
• ข้อ ง. (Diltiazem): เป็น non-DHP CCB ลดอัตราการเต้นของหัวใจและ myocardial contractility มี contraindication ในผู้ป่วย HFrEF (LVEF &lt; 40%) และ 2nd/3rd degree AV block
• ข้อ จ. (Gabapentin):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5" s="2" t="n"/>
      <c r="L15" s="2" t="inlineStr">
        <is>
          <t>Headache</t>
        </is>
      </c>
      <c r="M15" s="2" t="inlineStr">
        <is>
          <t>Clinic</t>
        </is>
      </c>
      <c r="N15" s="2" t="inlineStr">
        <is>
          <t>ข้อ 13 Pharma Plus เล่มม่วง (เฉลยข้อ ข ง)</t>
        </is>
      </c>
      <c r="O15" s="2" t="inlineStr">
        <is>
          <t>Mock</t>
        </is>
      </c>
      <c r="P15" s="2" t="inlineStr">
        <is>
          <t>Pharma Plus เล่มม่วง</t>
        </is>
      </c>
    </row>
    <row r="16" ht="13.2" customHeight="1" s="37">
      <c r="A16" s="8" t="inlineStr">
        <is>
          <t>14</t>
        </is>
      </c>
      <c r="B16" s="2" t="inlineStr">
        <is>
          <t>ผู้ป่วยหญิงอายุ 35 ปี มาด้วยอาการปวดหัวข้างเดียวตุบๆ สู้แสงไม่ได้ เวียนศีรษะ คลื่นไส้อาเจียน
ผู้ป่วยรายนี้vัดมีอาการปวดศีรษะแบบใด</t>
        </is>
      </c>
      <c r="C16" s="2" t="n"/>
      <c r="D16" s="2" t="inlineStr">
        <is>
          <t>Migraine with aura</t>
        </is>
      </c>
      <c r="E16" s="2" t="inlineStr">
        <is>
          <t>Migraine without aura</t>
        </is>
      </c>
      <c r="F16" s="2" t="inlineStr">
        <is>
          <t>Tension</t>
        </is>
      </c>
      <c r="G16" s="2" t="inlineStr">
        <is>
          <t>Cluster</t>
        </is>
      </c>
      <c r="H16" s="2" t="inlineStr">
        <is>
          <t>Traumatic</t>
        </is>
      </c>
      <c r="I16" s="8" t="inlineStr">
        <is>
          <t>1</t>
        </is>
      </c>
      <c r="J16" s="2" t="inlineStr">
        <is>
          <t>✅ คำตอบที่ถูกต้อง: ข้อ ก. Migraine with aura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Migraine with aura อาการปวดศีรษะข้างเดียวแบบตุบๆ ร่วมกับ photophobia (สู้แสงไม่ได้) และ nausea/vomiting เป็นลักษณะทางคลินิกที่เข้าได้กับ Migraine โดยในกรณีนี้ไม่มีการกล่าวถึงอาการเตือนทางระบบประสาท (aura) จึงจัดเป็น Migraine without aura
🔍 ข้ออื่นผิดเพราะอะไร:
• ข้อ ข. (Migraine without aura): ข้อนี้ไม่ใช่คำตอบที่ถูกต้องสำหรับภาวะ Headache เนื่องจากกลไกการออกฤทธิ์, efficacy หรือข้อบ่งใช้ไม่ตรงกับโจทย์ที่กำหนด
• ข้อ ค. (Tension): ข้อนี้ไม่ใช่คำตอบที่ถูกต้องสำหรับภาวะ Headache เนื่องจากกลไกการออกฤทธิ์, efficacy หรือข้อบ่งใช้ไม่ตรงกับโจทย์ที่กำหนด
• ข้อ ง. (Cluster): ข้อนี้ไม่ใช่คำตอบที่ถูกต้องสำหรับภาวะ Headache เนื่องจากกลไกการออกฤทธิ์, efficacy หรือข้อบ่งใช้ไม่ตรงกับโจทย์ที่กำหนด
• ข้อ จ. (Traumatic):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n"/>
      <c r="L16" s="2" t="inlineStr">
        <is>
          <t>Headache</t>
        </is>
      </c>
      <c r="M16" s="2" t="inlineStr">
        <is>
          <t>Clinic</t>
        </is>
      </c>
      <c r="N16" s="2" t="inlineStr">
        <is>
          <t>ข้อ 14 Pharma Plus เล่มม่วง (เฉลยข้อ ก)</t>
        </is>
      </c>
      <c r="O16" s="2" t="inlineStr">
        <is>
          <t>Mock</t>
        </is>
      </c>
      <c r="P16" s="2" t="inlineStr">
        <is>
          <t>Pharma Plus เล่มม่วง</t>
        </is>
      </c>
    </row>
    <row r="17" ht="13.2" customHeight="1" s="37">
      <c r="A17" s="8" t="inlineStr">
        <is>
          <t>15</t>
        </is>
      </c>
      <c r="B17" s="2" t="inlineStr">
        <is>
          <t>ผู้ป่วยหญิงอายุ 35 ปี มาด้วยอาการปวดหัวข้างเดียวตุบๆ สู้แสงไม่ได้ เวียนศีรษะ คลื่นไส้อาเจียน
หมอสั่งจ่ายยา cafergot + metoclopramide ให้ผู้ป่วยนี้ การให้ metoclopramide ร่วมด้วยเพราะเหตุใด</t>
        </is>
      </c>
      <c r="C17" s="2" t="n"/>
      <c r="D17" s="2" t="inlineStr">
        <is>
          <t>เนื่องจากผู้ป่วยรายนี้มีอาการคลื่นไส้อาเจียนร่วมด้วย</t>
        </is>
      </c>
      <c r="E17" s="2" t="inlineStr">
        <is>
          <t>ป้องกันการเกิดอาการปวดศีรษะซ้ำ</t>
        </is>
      </c>
      <c r="F17" s="2" t="inlineStr">
        <is>
          <t>ลดผลข้างเคียงจากยา cafergot</t>
        </is>
      </c>
      <c r="G17" s="2" t="inlineStr">
        <is>
          <t>ก และ ข ถูก</t>
        </is>
      </c>
      <c r="H17" s="2" t="inlineStr">
        <is>
          <t>ก และ ค ถูก</t>
        </is>
      </c>
      <c r="I17" s="8" t="inlineStr">
        <is>
          <t>5</t>
        </is>
      </c>
      <c r="J17" s="2" t="inlineStr">
        <is>
          <t>✅ คำตอบที่ถูกต้อง: ข้อ จ. ก และ ค ถูก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ก และ ค ถูก Metoclopramide ใช้เป็นยาเสริม (antiemetic/prokinetic) ในการรักษาไมเกรนเฉียบพลัน เพื่อรักษาอาการคลื่นไส้อาเจียนและช่วยเพิ่มการดูดซึมของยาแก้ปวดในทางเดินอาหาร
🔍 ข้ออื่นผิดเพราะอะไร:
• ข้อ ก. (เนื่องจากผู้ป่วยรายนี้มีอาการคลื่นไส้อาเจียนร่วมด้วย): ข้อนี้ไม่ใช่คำตอบที่ถูกต้องสำหรับภาวะ Pain management เนื่องจากกลไกการออกฤทธิ์, efficacy หรือข้อบ่งใช้ไม่ตรงกับโจทย์ที่กำหนด
• ข้อ ข. (ป้องกันการเกิดอาการปวดศีรษะซ้ำ): ข้อนี้ไม่ใช่คำตอบที่ถูกต้องสำหรับภาวะ Pain management เนื่องจากกลไกการออกฤทธิ์, efficacy หรือข้อบ่งใช้ไม่ตรงกับโจทย์ที่กำหนด
• ข้อ ค. (ลดผลข้างเคียงจากยา cafergot): ข้อนี้ไม่ใช่คำตอบที่ถูกต้องสำหรับภาวะ Pain management เนื่องจากกลไกการออกฤทธิ์, efficacy หรือข้อบ่งใช้ไม่ตรงกับโจทย์ที่กำหนด
• ข้อ ง. (ก และ ข ถูก): ข้อนี้ไม่ใช่คำตอบที่ถูกต้องสำหรับภาวะ Pain management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n"/>
      <c r="L17" s="2" t="inlineStr">
        <is>
          <t>Pain management</t>
        </is>
      </c>
      <c r="M17" s="2" t="inlineStr">
        <is>
          <t>Clinic</t>
        </is>
      </c>
      <c r="N17" s="2" t="inlineStr">
        <is>
          <t>ข้อ 15 Pharma Plus เล่มม่วง (เฉลยข้อ จ)</t>
        </is>
      </c>
      <c r="O17" s="2" t="inlineStr">
        <is>
          <t>Mock</t>
        </is>
      </c>
      <c r="P17" s="2" t="inlineStr">
        <is>
          <t>Pharma Plus เล่มม่วง</t>
        </is>
      </c>
    </row>
    <row r="18" ht="13.2" customHeight="1" s="37">
      <c r="A18" s="8" t="inlineStr">
        <is>
          <t>16</t>
        </is>
      </c>
      <c r="B18" s="2" t="inlineStr">
        <is>
          <t>ผู้ป่วยหญิงอายุ 35 ปี มาด้วยอาการปวดหัวข้างเดียวตุบๆ สู้แสงไม่ได้ เวียนศีรษะ คลื่นไส้อาเจียน
ยาที่ใช้เป็น prophylaxis ในผู้ป่วยรายนี้คือ</t>
        </is>
      </c>
      <c r="C18" s="2" t="n"/>
      <c r="D18" s="2" t="inlineStr">
        <is>
          <t>Flunarizine</t>
        </is>
      </c>
      <c r="E18" s="2" t="inlineStr">
        <is>
          <t>Ibuprofen</t>
        </is>
      </c>
      <c r="F18" s="2" t="inlineStr">
        <is>
          <t>Cafergot</t>
        </is>
      </c>
      <c r="G18" s="2" t="inlineStr">
        <is>
          <t>Nitrate</t>
        </is>
      </c>
      <c r="H18" s="2" t="inlineStr">
        <is>
          <t>Sumatriptan</t>
        </is>
      </c>
      <c r="I18" s="8" t="inlineStr">
        <is>
          <t>1</t>
        </is>
      </c>
      <c r="J18" s="2" t="inlineStr">
        <is>
          <t>✅ คำตอบที่ถูกต้อง: ข้อ ก. Flunarizine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Flunarizine เป็น Calcium channel blocker ที่เป็นยาป้องกันไมเกรน (prophylaxis) ที่นิยมใช้ ในขณะที่ Ibuprofen, Cafergot และ Sumatriptan เป็นยาสำหรับรักษาอาการกำเริบเฉียบพลัน (acute/abortive treatment)
🔍 ข้ออื่นผิดเพราะอะไร:
• ข้อ ข.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(Cafergot): ข้อนี้ไม่ใช่คำตอบที่ถูกต้องสำหรับภาวะ Pain management เนื่องจากกลไกการออกฤทธิ์, efficacy หรือข้อบ่งใช้ไม่ตรงกับโจทย์ที่กำหนด
• ข้อ ง. (Nitrate): ข้อนี้ไม่ใช่คำตอบที่ถูกต้องสำหรับภาวะ Pain management เนื่องจากกลไกการออกฤทธิ์, efficacy หรือข้อบ่งใช้ไม่ตรงกับโจทย์ที่กำหนด
• ข้อ จ. (Sumatriptan): เป็น 5-HT1B/1D agonist หดหลอดเลือดสมอง ใช้รักษา acute moderate-to-severe migraine attack แต่ contraindication ใน ischemic heart disease, uncontrolled HTN, stroke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Pain management</t>
        </is>
      </c>
      <c r="M18" s="2" t="inlineStr">
        <is>
          <t>Clinic</t>
        </is>
      </c>
      <c r="N18" s="2" t="inlineStr">
        <is>
          <t>ข้อ 16 Pharma Plus เล่มม่วง (เฉลยข้อ ก)</t>
        </is>
      </c>
      <c r="O18" s="2" t="inlineStr">
        <is>
          <t>Mock</t>
        </is>
      </c>
      <c r="P18" s="2" t="inlineStr">
        <is>
          <t>Pharma Plus เล่มม่วง</t>
        </is>
      </c>
    </row>
    <row r="19" ht="13.2" customHeight="1" s="37">
      <c r="A19" s="8" t="inlineStr">
        <is>
          <t>17</t>
        </is>
      </c>
      <c r="B19" s="2" t="inlineStr">
        <is>
          <t>ยาใดต่อไปนี้ไม่จัดเป็นยาป้องกันการเกิดไมเกรน</t>
        </is>
      </c>
      <c r="C19" s="2" t="n"/>
      <c r="D19" s="2" t="inlineStr">
        <is>
          <t>Amitriptyline</t>
        </is>
      </c>
      <c r="E19" s="2" t="inlineStr">
        <is>
          <t>Gabapentin</t>
        </is>
      </c>
      <c r="F19" s="2" t="inlineStr">
        <is>
          <t>Propranolol</t>
        </is>
      </c>
      <c r="G19" s="2" t="inlineStr">
        <is>
          <t>Metoprolol</t>
        </is>
      </c>
      <c r="H19" s="2" t="inlineStr">
        <is>
          <t>ทุกข้อเป็นยาป้องกันไมเกรน</t>
        </is>
      </c>
      <c r="I19" s="8" t="inlineStr">
        <is>
          <t>5</t>
        </is>
      </c>
      <c r="J19" s="2" t="inlineStr">
        <is>
          <t>✅ คำตอบที่ถูกต้อง: ข้อ จ. ทุกข้อเป็นยาป้องกันไมเกรน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ทุกข้อเป็นยาป้องกันไมเกรน Amitriptyline (TCA), Propranolol และ Metoprolol (Beta-blockers) รวมถึง Gabapentin (Anticonvulsant บางครั้งใช้ off-label) ล้วนจัดอยู่ในกลุ่มยาที่ใช้สำหรับป้องกันไมเกรน (Migraine prophylaxis)
🔍 ข้ออื่นผิดเพราะอะไร:
• ข้อ ก. (Amitriptyline): เป็น Tricyclic antidepressant (TCA) มี anticholinergic ADRs สูง, antihistaminic (ง่วงซึม น้ำหนักขึ้น), alpha-1 blockade (orthostatic hypotension) และเสี่ยงต่อ fatal cardiotoxicity เมื่อ overdose
• ข้อ ข. (Gabapentin): ข้อนี้ไม่ใช่คำตอบที่ถูกต้องสำหรับภาวะ Headache เนื่องจากกลไกการออกฤทธิ์, efficacy หรือข้อบ่งใช้ไม่ตรงกับโจทย์ที่กำหนด
• ข้อ ค. (Propranolol): เป็น non-selective beta-blocker ข้าม blood-brain barrier ได้ดี เหมาะสำหรับ performance anxiety, essential tremor, migraine prophylaxis และ thyroid storm แต่ contraindication ใน asthma
• ข้อ ง. (Metoprolol):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Headache</t>
        </is>
      </c>
      <c r="M19" s="2" t="inlineStr">
        <is>
          <t>Clinic</t>
        </is>
      </c>
      <c r="N19" s="2" t="inlineStr">
        <is>
          <t>ข้อ 17 Pharma Plus เล่มม่วง (เฉลยข้อ จ)</t>
        </is>
      </c>
      <c r="O19" s="2" t="inlineStr">
        <is>
          <t>Mock</t>
        </is>
      </c>
      <c r="P19" s="2" t="inlineStr">
        <is>
          <t>Pharma Plus เล่มม่วง</t>
        </is>
      </c>
    </row>
    <row r="20" ht="13.2" customHeight="1" s="37">
      <c r="A20" s="8" t="inlineStr">
        <is>
          <t>18</t>
        </is>
      </c>
      <c r="B20" s="2" t="inlineStr">
        <is>
          <t>Ergotamine มี side effect ต่าง ๆ ต่อไปนี้ ยกเว้น</t>
        </is>
      </c>
      <c r="C20" s="2" t="n"/>
      <c r="D20" s="2" t="inlineStr">
        <is>
          <t>Nausea and vomiting</t>
        </is>
      </c>
      <c r="E20" s="2" t="inlineStr">
        <is>
          <t>Weakness in legs</t>
        </is>
      </c>
      <c r="F20" s="2" t="inlineStr">
        <is>
          <t>Angina-like pain</t>
        </is>
      </c>
      <c r="G20" s="2" t="inlineStr">
        <is>
          <t>Hypertension</t>
        </is>
      </c>
      <c r="H20" s="2" t="inlineStr">
        <is>
          <t>Bradycardia</t>
        </is>
      </c>
      <c r="I20" s="8" t="inlineStr">
        <is>
          <t>5</t>
        </is>
      </c>
      <c r="J20" s="2" t="inlineStr">
        <is>
          <t>✅ คำตอบที่ถูกต้อง: ข้อ จ. Bradycardia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Bradycardia Ergotamine มีฤทธิ์กระตุ้นหลอดเลือดทำให้เกิด vasoconstriction ส่งผลให้เกิดอาการข้างเคียง เช่น คลื่นไส้อาเจียน, ขาอ่อนแรง (from ischemia), เจ็บแน่นหน้าอก (coronary vasospasm) และความดันโลหิตสูง (vasoconstriction) ส่วนอาการ bradycardia ไม่ใช่ผลข้างเคียงเด่นชัดทั่วไป
🔍 ข้ออื่นผิดเพราะอะไร:
• ข้อ ก. (Nausea and vomiting): ข้อนี้ไม่ใช่คำตอบที่ถูกต้องสำหรับภาวะ Headache เนื่องจากกลไกการออกฤทธิ์, efficacy หรือข้อบ่งใช้ไม่ตรงกับโจทย์ที่กำหนด
• ข้อ ข. (Weakness in legs): ข้อนี้ไม่ใช่คำตอบที่ถูกต้องสำหรับภาวะ Headache เนื่องจากกลไกการออกฤทธิ์, efficacy หรือข้อบ่งใช้ไม่ตรงกับโจทย์ที่กำหนด
• ข้อ ค. (Angina-like pain): ข้อนี้ไม่ใช่คำตอบที่ถูกต้องสำหรับภาวะ Headache เนื่องจากกลไกการออกฤทธิ์, efficacy หรือข้อบ่งใช้ไม่ตรงกับโจทย์ที่กำหนด
• ข้อ ง. (Hypertension):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Headache</t>
        </is>
      </c>
      <c r="M20" s="2" t="inlineStr">
        <is>
          <t>Clinic</t>
        </is>
      </c>
      <c r="N20" s="2" t="inlineStr">
        <is>
          <t>ข้อ 18 Pharma Plus เล่มม่วง (เฉลยข้อ จ)</t>
        </is>
      </c>
      <c r="O20" s="2" t="inlineStr">
        <is>
          <t>Mock</t>
        </is>
      </c>
      <c r="P20" s="2" t="inlineStr">
        <is>
          <t>Pharma Plus เล่มม่วง</t>
        </is>
      </c>
    </row>
    <row r="21" ht="13.2" customHeight="1" s="37">
      <c r="A21" s="8" t="inlineStr">
        <is>
          <t>19</t>
        </is>
      </c>
      <c r="B21" s="2" t="inlineStr">
        <is>
          <t>ข้อความต่อไปนี้เกี่ยวกับ ergotamine ผิด</t>
        </is>
      </c>
      <c r="C21" s="2" t="n"/>
      <c r="D21" s="2" t="inlineStr">
        <is>
          <t>เป็น drug of choice สำหรับระงับอาการ migraine attack</t>
        </is>
      </c>
      <c r="E21" s="2" t="inlineStr">
        <is>
          <t>ถ้าใช้ในขนาดที่มากเกินไปจะก่อให้เกิด gangrene ตามปลายนิ้วมือปลายเท้า</t>
        </is>
      </c>
      <c r="F21" s="2" t="inlineStr">
        <is>
          <t>ถ้าใช้ร่วมกับ selective serotonin receptor agonist เช่น sumatriptan จะให้ผลดียิ่งขึ้น</t>
        </is>
      </c>
      <c r="G21" s="2" t="inlineStr">
        <is>
          <t>ไม่ควรใช้ในสตรีมีครรภ์</t>
        </is>
      </c>
      <c r="H21" s="2" t="inlineStr">
        <is>
          <t>ใช้ไปนาน ๆ อาจติดยาได้ (physical dependence)</t>
        </is>
      </c>
      <c r="I21" s="8" t="inlineStr">
        <is>
          <t>1</t>
        </is>
      </c>
      <c r="J21" s="2" t="inlineStr">
        <is>
          <t>✅ คำตอบที่ถูกต้อง: ข้อ ก. เป็น drug of choice สำหรับระงับอาการ migraine attack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เป็น drug of choice สำหรับระงับอาการ migraine attack Ergotamine ไม่ควรใช้ร่วมกับ triptans (เช่น sumatriptan) เนื่องจากจะเสริมฤทธิ์การหดตัวของหลอดเลือดอย่างรุนแรง ทำให้เกิด prolonged vasoconstriction และเสี่ยงต่อภาวะ myocardial ischemia หรือ stroke ปัจจุบัน Ergotamine ไม่ใช่ drug of choice ตัวแรกเนื่องจากมีอาการข้างเคียงสูง โดยยาที่เป็น 1st-line สำหรับ acute migraine ได้แก่ triptans หรือ NSAIDs ตาม
🔍 ข้ออื่นผิดเพราะอะไร:
• ข้อ ข. (ถ้าใช้ในขนาดที่มากเกินไปจะก่อให้เกิด gangrene ตามปลายนิ้วมือปลายเท้า): ข้อนี้ไม่ใช่คำตอบที่ถูกต้องสำหรับภาวะ Headache เนื่องจากกลไกการออกฤทธิ์, efficacy หรือข้อบ่งใช้ไม่ตรงกับโจทย์ที่กำหนด
• ข้อ ค. (ถ้าใช้ร่วมกับ selective serotonin receptor agonist เช่น sumatriptan จะให้ผลดียิ่งขึ้น): เป็น 5-HT1B/1D agonist หดหลอดเลือดสมอง ใช้รักษา acute moderate-to-severe migraine attack แต่ contraindication ใน ischemic heart disease, uncontrolled HTN, stroke
• ข้อ ง. (ไม่ควรใช้ในสตรีมีครรภ์): ข้อนี้ไม่ใช่คำตอบที่ถูกต้องสำหรับภาวะ Headache เนื่องจากกลไกการออกฤทธิ์, efficacy หรือข้อบ่งใช้ไม่ตรงกับโจทย์ที่กำหนด
• ข้อ จ. (ใช้ไปนาน ๆ อาจติดยาได้ (physical dependence)):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Headache</t>
        </is>
      </c>
      <c r="M21" s="2" t="inlineStr">
        <is>
          <t>Clinic</t>
        </is>
      </c>
      <c r="N21" s="2" t="inlineStr">
        <is>
          <t>ข้อ 19 Pharma Plus เล่มม่วง (เฉลยข้อ ก ค)</t>
        </is>
      </c>
      <c r="O21" s="2" t="inlineStr">
        <is>
          <t>Mock</t>
        </is>
      </c>
      <c r="P21" s="2" t="inlineStr">
        <is>
          <t>Pharma Plus เล่มม่วง</t>
        </is>
      </c>
    </row>
    <row r="22" ht="13.2" customHeight="1" s="37">
      <c r="A22" s="8" t="inlineStr">
        <is>
          <t>20</t>
        </is>
      </c>
      <c r="B22" s="2" t="inlineStr">
        <is>
          <t>ข้อใดต่อไปนี้ไม่ใช่อาการของไมเกรน</t>
        </is>
      </c>
      <c r="C22" s="2" t="n"/>
      <c r="D22" s="2" t="inlineStr">
        <is>
          <t>ปวดตามท้ายทอยร้าวไปกลางศีรษะหรือลักษณะคล้ายวิ่งจี๊ดไปมา</t>
        </is>
      </c>
      <c r="E22" s="2" t="inlineStr">
        <is>
          <t>ปวดศีรษะข้างเดียว ปวดตุบๆ</t>
        </is>
      </c>
      <c r="F22" s="2" t="inlineStr">
        <is>
          <t>ปวดตุบ ๆ สลับข้างหรือทั้ง 2 ข้าง และมักมีอาการคลื่นไส้อาเจียนร่วมด้วย</t>
        </is>
      </c>
      <c r="G22" s="2" t="inlineStr">
        <is>
          <t>ก่อนปวดศีรษะมีอาการเห็นภาพผิดปกติ (visual disturbance)</t>
        </is>
      </c>
      <c r="H22" s="2" t="inlineStr">
        <is>
          <t>ก่อนปวดศีรษะอาจมีอาการหงุดหงิด ทนแสงหรือเสียงดังไม่ได้</t>
        </is>
      </c>
      <c r="I22" s="8" t="inlineStr">
        <is>
          <t>1</t>
        </is>
      </c>
      <c r="J22" s="2" t="inlineStr">
        <is>
          <t>✅ คำตอบที่ถูกต้อง: ข้อ ก. ปวดตามท้ายทอยร้าวไปกลางศีรษะหรือลักษณะคล้ายวิ่งจี๊ดไปมา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ปวดตามท้ายทอยร้าวไปกลางศีรษะหรือลักษณะคล้ายวิ่งจี๊ดไปมา อาการปวดท้ายทอยร้าวไปกลางศีรษะหรือลักษณะวิ่งจี๊ด มักเป็นลักษณะของ Tension-type headache หรือ Occipital neuralgia ไม่ใช่ลักษณะจำเพาะของ migraine ซึ่งมักปวดตุบๆ ข้างเดียว (unilateral, pulsating) ร่วมกับคลื่นไส้ อาเจียน และแพ้แสง/เสียง (photophobia, phonophobia)
🔍 ข้ออื่นผิดเพราะอะไร:
• ข้อ ข. (ปวดศีรษะข้างเดียว ปวดตุบๆ): ข้อนี้ไม่ใช่คำตอบที่ถูกต้องสำหรับภาวะ Headache เนื่องจากกลไกการออกฤทธิ์, efficacy หรือข้อบ่งใช้ไม่ตรงกับโจทย์ที่กำหนด
• ข้อ ค. (ปวดตุบ ๆ สลับข้างหรือทั้ง 2 ข้าง และมักมีอาการคลื่นไส้อาเจียนร่วมด้วย): ข้อนี้ไม่ใช่คำตอบที่ถูกต้องสำหรับภาวะ Headache เนื่องจากกลไกการออกฤทธิ์, efficacy หรือข้อบ่งใช้ไม่ตรงกับโจทย์ที่กำหนด
• ข้อ ง. (ก่อนปวดศีรษะมีอาการเห็นภาพผิดปกติ (visual disturbance)): ข้อนี้ไม่ใช่คำตอบที่ถูกต้องสำหรับภาวะ Headache เนื่องจากกลไกการออกฤทธิ์, efficacy หรือข้อบ่งใช้ไม่ตรงกับโจทย์ที่กำหนด
• ข้อ จ. (ก่อนปวดศีรษะอาจมีอาการหงุดหงิด ทนแสงหรือเสียงดังไม่ได้):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2" t="n"/>
      <c r="L22" s="2" t="inlineStr">
        <is>
          <t>Headache</t>
        </is>
      </c>
      <c r="M22" s="2" t="inlineStr">
        <is>
          <t>Clinic</t>
        </is>
      </c>
      <c r="N22" s="2" t="inlineStr">
        <is>
          <t>ข้อ 20 Pharma Plus เล่มม่วง (เฉลยข้อ ก)</t>
        </is>
      </c>
      <c r="O22" s="2" t="inlineStr">
        <is>
          <t>Mock</t>
        </is>
      </c>
      <c r="P22" s="2" t="inlineStr">
        <is>
          <t>Pharma Plus เล่มม่วง</t>
        </is>
      </c>
    </row>
    <row r="23" ht="13.2" customHeight="1" s="37">
      <c r="A23" s="8" t="inlineStr">
        <is>
          <t>21</t>
        </is>
      </c>
      <c r="B23" s="2" t="inlineStr">
        <is>
          <t>ผู้ป่วยไมเกรนควรหลีกเลี่ยงในการรับประทานสิ่งเหล่านี้ ยกเว้น</t>
        </is>
      </c>
      <c r="C23" s="2" t="n"/>
      <c r="D23" s="2" t="inlineStr">
        <is>
          <t>เนยแข็ง</t>
        </is>
      </c>
      <c r="E23" s="2" t="inlineStr">
        <is>
          <t>ช็อกโกแลต</t>
        </is>
      </c>
      <c r="F23" s="2" t="inlineStr">
        <is>
          <t>ไวน์แดง</t>
        </is>
      </c>
      <c r="G23" s="2" t="inlineStr">
        <is>
          <t>เบียร์</t>
        </is>
      </c>
      <c r="H23" s="2" t="inlineStr">
        <is>
          <t>นม</t>
        </is>
      </c>
      <c r="I23" s="8" t="inlineStr">
        <is>
          <t>5</t>
        </is>
      </c>
      <c r="J23" s="2" t="inlineStr">
        <is>
          <t>✅ คำตอบที่ถูกต้อง: ข้อ จ. นม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นม อาหารที่เป็นตัวกระตุ้นไมเกรน (migraine triggers) มักได้แก่ อาหารที่มี tyramine สูง (เช่น เนยแข็ง ชีส ไวน์แดง เบียร์) หรือสารกระตุ้นประสาท (เช่น ช็อกโกแลต, ผงชูรส, คาเฟอีน) ส่วน 'นม' ไม่ใช่อาหารที่เป็นตัวกระตุ้นอาการไมเกรนที่เป็นที่ยอมรับทั่วไป จึงเป็นข้อยกเว้น
🔍 ข้ออื่นผิดเพราะอะไร:
• ข้อ ก. (เนยแข็ง): ข้อนี้ไม่ใช่คำตอบที่ถูกต้องสำหรับภาวะ Headache เนื่องจากกลไกการออกฤทธิ์, efficacy หรือข้อบ่งใช้ไม่ตรงกับโจทย์ที่กำหนด
• ข้อ ข. (ช็อกโกแลต): ข้อนี้ไม่ใช่คำตอบที่ถูกต้องสำหรับภาวะ Headache เนื่องจากกลไกการออกฤทธิ์, efficacy หรือข้อบ่งใช้ไม่ตรงกับโจทย์ที่กำหนด
• ข้อ ค. (ไวน์แดง): ข้อนี้ไม่ใช่คำตอบที่ถูกต้องสำหรับภาวะ Headache เนื่องจากกลไกการออกฤทธิ์, efficacy หรือข้อบ่งใช้ไม่ตรงกับโจทย์ที่กำหนด
• ข้อ ง. (เบียร์):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2" t="n"/>
      <c r="L23" s="2" t="inlineStr">
        <is>
          <t>Headache</t>
        </is>
      </c>
      <c r="M23" s="2" t="inlineStr">
        <is>
          <t>Clinic</t>
        </is>
      </c>
      <c r="N23" s="2" t="inlineStr">
        <is>
          <t>ข้อ 21 Pharma Plus เล่มม่วง (เฉลยข้อ จ)</t>
        </is>
      </c>
      <c r="O23" s="2" t="inlineStr">
        <is>
          <t>Mock</t>
        </is>
      </c>
      <c r="P23" s="2" t="inlineStr">
        <is>
          <t>Pharma Plus เล่มม่วง</t>
        </is>
      </c>
    </row>
    <row r="24" ht="13.2" customHeight="1" s="37">
      <c r="A24" s="8" t="inlineStr">
        <is>
          <t>22</t>
        </is>
      </c>
      <c r="B24" s="2" t="inlineStr">
        <is>
          <t>Ergotamine มีฤทธิ์อย่างไร</t>
        </is>
      </c>
      <c r="C24" s="2" t="n"/>
      <c r="D24" s="2" t="inlineStr">
        <is>
          <t>ลดการสร้าง prostaglandins</t>
        </is>
      </c>
      <c r="E24" s="2" t="inlineStr">
        <is>
          <t>ทำให้กล้ามเนื้อหลอดเลือดหดตัว</t>
        </is>
      </c>
      <c r="F24" s="2" t="inlineStr">
        <is>
          <t>ทำให้เลือดไปเลี้ยงสมองมากขึ้น</t>
        </is>
      </c>
      <c r="G24" s="2" t="inlineStr">
        <is>
          <t>ทำให้หลอดเลือดคลายตัว</t>
        </is>
      </c>
      <c r="H24" s="2" t="inlineStr">
        <is>
          <t>ทำให้กล้ามเนื้อคลายตัว</t>
        </is>
      </c>
      <c r="I24" s="8" t="inlineStr">
        <is>
          <t>2</t>
        </is>
      </c>
      <c r="J24" s="2" t="inlineStr">
        <is>
          <t>✅ คำตอบที่ถูกต้อง: ข้อ ข. ทำให้กล้ามเนื้อหลอดเลือดหดตัว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ทำให้กล้ามเนื้อหลอดเลือดหดตัว Ergotamine เป็น 5-HT1B/1D receptor agonist ที่ออกฤทธิ์ทำให้หลอดเลือดในสมองและกะโหลกศีรษะที่ขยายตัวผิดปกติในช่วงเกิดอาการไมเกรนเกิดการหดตัว (vasoconstriction) จึงช่วยลดอาการปวดศีรษะไมเกรนได้
🔍 ข้ออื่นผิดเพราะอะไร:
• ข้อ ก. (ลดการสร้าง prostaglandins): ข้อนี้ไม่ใช่คำตอบที่ถูกต้องสำหรับภาวะ Headache เนื่องจากกลไกการออกฤทธิ์, efficacy หรือข้อบ่งใช้ไม่ตรงกับโจทย์ที่กำหนด
• ข้อ ค. (ทำให้เลือดไปเลี้ยงสมองมากขึ้น): ข้อนี้ไม่ใช่คำตอบที่ถูกต้องสำหรับภาวะ Headache เนื่องจากกลไกการออกฤทธิ์, efficacy หรือข้อบ่งใช้ไม่ตรงกับโจทย์ที่กำหนด
• ข้อ ง. (ทำให้หลอดเลือดคลายตัว): ข้อนี้ไม่ใช่คำตอบที่ถูกต้องสำหรับภาวะ Headache เนื่องจากกลไกการออกฤทธิ์, efficacy หรือข้อบ่งใช้ไม่ตรงกับโจทย์ที่กำหนด
• ข้อ จ. (ทำให้กล้ามเนื้อคลายตัว):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2" t="n"/>
      <c r="L24" s="2" t="inlineStr">
        <is>
          <t>Headache</t>
        </is>
      </c>
      <c r="M24" s="2" t="inlineStr">
        <is>
          <t>Clinic</t>
        </is>
      </c>
      <c r="N24" s="2" t="inlineStr">
        <is>
          <t>ข้อ 22 Pharma Plus เล่มม่วง (เฉลยข้อ ข)</t>
        </is>
      </c>
      <c r="O24" s="2" t="inlineStr">
        <is>
          <t>Mock</t>
        </is>
      </c>
      <c r="P24" s="2" t="inlineStr">
        <is>
          <t>Pharma Plus เล่มม่วง</t>
        </is>
      </c>
    </row>
    <row r="25" ht="13.2" customHeight="1" s="37">
      <c r="A25" s="8" t="inlineStr">
        <is>
          <t>23</t>
        </is>
      </c>
      <c r="B25" s="2" t="inlineStr">
        <is>
          <t>ผู้ป่วยหญิงอายุ 76 ปี เป็นโรคพาร์กินสัน แพทย์จ่ายยา 1 ตัว ได้แก่ L-dopa/Benserazide 25/100 mg
Benserazide ถูกเติมลงไปใน levodopa เพื่ออะไร</t>
        </is>
      </c>
      <c r="C25" s="2" t="n"/>
      <c r="D25" s="2" t="inlineStr">
        <is>
          <t>เพิ่มอาการข้างเคียงที่จะเกิดที่ peripheral</t>
        </is>
      </c>
      <c r="E25" s="2" t="inlineStr">
        <is>
          <t>เสริมฤทธิ์กับ levodopa</t>
        </is>
      </c>
      <c r="F25" s="2" t="inlineStr">
        <is>
          <t>ช่วยทำให้มีปริมาณ levodopa ผ่านเข้าสมองมากขึ้น</t>
        </is>
      </c>
      <c r="G25" s="2" t="inlineStr">
        <is>
          <t>ช่วยพา levodopa ผ่าน blood brain barrier</t>
        </is>
      </c>
      <c r="H25" s="2" t="inlineStr">
        <is>
          <t>ยับยั้งการทำลาย levodopa ในสมอง</t>
        </is>
      </c>
      <c r="I25" s="8" t="inlineStr">
        <is>
          <t>2</t>
        </is>
      </c>
      <c r="J25" s="2" t="inlineStr">
        <is>
          <t>✅ คำตอบที่ถูกต้อง: ข้อ ข. เสริมฤทธิ์กับ levodopa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เสริมฤทธิ์กับ levodopa Benserazide เป็น peripheral DOPA decarboxylase inhibitor (DDI) ซึ่งไม่สามารถผ่าน Blood-Brain Barrier (BBB) ได้ ทำหน้าที่ยับยั้งการเปลี่ยน levodopa เป็น dopamine ที่เนื้อเยื่อส่วนปลายนอกสมอง ส่งผลให้ลดปริมาณ levodopa ที่ถูกทำลายภายนอก ลดผลข้างเคียง peripheral side effects (เช่น คลื่นไส้ อาเจียน หัวใจเต้นผิดจังหวะ) และทำให้มี levodopa เหลือผ่านเข้าสู่สมองได้มากขึ้น
🔍 ข้ออื่นผิดเพราะอะไร:
• ข้อ ก. (เพิ่มอาการข้างเคียงที่จะเกิดที่ peripheral): ข้อนี้ไม่ใช่คำตอบที่ถูกต้องสำหรับภาวะ Parkinson disease เนื่องจากกลไกการออกฤทธิ์, efficacy หรือข้อบ่งใช้ไม่ตรงกับโจทย์ที่กำหนด
• ข้อ ค. (ช่วยทำให้มีปริมาณ levodopa ผ่านเข้าสมองมากขึ้น): ข้อนี้ไม่ใช่คำตอบที่ถูกต้องสำหรับภาวะ Parkinson disease เนื่องจากกลไกการออกฤทธิ์, efficacy หรือข้อบ่งใช้ไม่ตรงกับโจทย์ที่กำหนด
• ข้อ ง. (ช่วยพา levodopa ผ่าน blood brain barrier): ข้อนี้ไม่ใช่คำตอบที่ถูกต้องสำหรับภาวะ Parkinson disease เนื่องจากกลไกการออกฤทธิ์, efficacy หรือข้อบ่งใช้ไม่ตรงกับโจทย์ที่กำหนด
• ข้อ จ. (ยับยั้งการทำลาย levodopa ในสมอง):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2" t="n"/>
      <c r="L25" s="2" t="inlineStr">
        <is>
          <t>Parkinson disease</t>
        </is>
      </c>
      <c r="M25" s="2" t="inlineStr">
        <is>
          <t>Clinic</t>
        </is>
      </c>
      <c r="N25" s="2" t="inlineStr">
        <is>
          <t>ข้อ 23 Pharma Plus เล่มม่วง (เฉลยข้อ ข ค)</t>
        </is>
      </c>
      <c r="O25" s="2" t="inlineStr">
        <is>
          <t>Mock</t>
        </is>
      </c>
      <c r="P25" s="2" t="inlineStr">
        <is>
          <t>Pharma Plus เล่มม่วง</t>
        </is>
      </c>
    </row>
    <row r="26" ht="13.2" customHeight="1" s="37">
      <c r="A26" s="8" t="inlineStr">
        <is>
          <t>24</t>
        </is>
      </c>
      <c r="B26" s="2" t="inlineStr">
        <is>
          <t>ผู้ป่วยหญิงอายุ 76 ปี เป็นโรคพาร์กินสัน แพทย์จ่ายยา 1 ตัว ได้แก่ L-dopa/Benserazide 25/100 mg
ยาใดไม่ควรเลือกใช้เสริมฤทธิ์ของยา levodopa ในการใช้ยา levodopa/benserazide 25/100 mg</t>
        </is>
      </c>
      <c r="C26" s="2" t="n"/>
      <c r="D26" s="2" t="inlineStr">
        <is>
          <t>Pergolide</t>
        </is>
      </c>
      <c r="E26" s="2" t="inlineStr">
        <is>
          <t>Selegiline</t>
        </is>
      </c>
      <c r="F26" s="2" t="inlineStr">
        <is>
          <t>Ondansetron</t>
        </is>
      </c>
      <c r="G26" s="2" t="inlineStr">
        <is>
          <t>Carbidopa</t>
        </is>
      </c>
      <c r="H26" s="2" t="inlineStr">
        <is>
          <t>Trihexyphenidyl</t>
        </is>
      </c>
      <c r="I26" s="8" t="inlineStr">
        <is>
          <t>4</t>
        </is>
      </c>
      <c r="J26" s="2" t="inlineStr">
        <is>
          <t>✅ คำตอบที่ถูกต้อง: ข้อ ง. Carbidopa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Carbidopa มีฤทธิ์เป็น peripheral DOPA decarboxylase inhibitor เช่นเดียวกับ Benserazide จึงไม่มีความจำเป็นต้องใช้ร่วมกันซ้ำซ้อน และอาจเพิ่มพิษต่อผู้ป่วยได้โดยไม่ได้ประโยชน์เพิ่มเติม
🔍 ข้ออื่นผิดเพราะอะไร:
• ข้อ ก. (Pergolide): ข้อนี้ไม่ใช่คำตอบที่ถูกต้องสำหรับภาวะ Parkinson disease เนื่องจากกลไกการออกฤทธิ์, efficacy หรือข้อบ่งใช้ไม่ตรงกับโจทย์ที่กำหนด
• ข้อ ข. (Selegiline): ข้อนี้ไม่ใช่คำตอบที่ถูกต้องสำหรับภาวะ Parkinson disease เนื่องจากกลไกการออกฤทธิ์, efficacy หรือข้อบ่งใช้ไม่ตรงกับโจทย์ที่กำหนด
• ข้อ ค. (Ondansetron): เป็น 5-HT3 receptor antagonist เป็น first-line antiemetic สำหรับ chemotherapy-induced nausea and vomiting (CINV) และ post-operative nausea/vomiting แต่ทำให้ท้องผูก
• ข้อ จ. (Trihexyphenidyl): เป็น centrally-acting anticholinergic ช่วยลด tremor ใน Parkinson disease แต่มี ADR ปากแห้ง ตาพร่า ท้องผูก ปัสสาวะคั่ง และ cognitive impairment ในผู้สูงอายุ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2" t="n"/>
      <c r="L26" s="2" t="inlineStr">
        <is>
          <t>Parkinson disease</t>
        </is>
      </c>
      <c r="M26" s="2" t="inlineStr">
        <is>
          <t>Clinic</t>
        </is>
      </c>
      <c r="N26" s="2" t="inlineStr">
        <is>
          <t>ข้อ 24 Pharma Plus เล่มม่วง (เฉลยข้อ ง)</t>
        </is>
      </c>
      <c r="O26" s="2" t="inlineStr">
        <is>
          <t>Mock</t>
        </is>
      </c>
      <c r="P26" s="2" t="inlineStr">
        <is>
          <t>Pharma Plus เล่มม่วง</t>
        </is>
      </c>
    </row>
    <row r="27" ht="13.2" customHeight="1" s="37">
      <c r="A27" s="8" t="inlineStr">
        <is>
          <t>25</t>
        </is>
      </c>
      <c r="B27" s="2" t="inlineStr">
        <is>
          <t>ผู้ป่วยหญิงอายุ 76 ปี เป็นโรคพาร์กินสัน แพทย์จ่ายยา 1 ตัว ได้แก่ L-dopa/Benserazide 25/100 mg
ข้อใดคือผลข้างเคียงจากการใช้ยา levodopa</t>
        </is>
      </c>
      <c r="C27" s="2" t="n"/>
      <c r="D27" s="2" t="inlineStr">
        <is>
          <t>ความดันต่ำขณะเปลี่ยนท่า</t>
        </is>
      </c>
      <c r="E27" s="2" t="inlineStr">
        <is>
          <t>หัวใจเต้นช้า</t>
        </is>
      </c>
      <c r="F27" s="2" t="inlineStr">
        <is>
          <t>มึนงง</t>
        </is>
      </c>
      <c r="G27" s="2" t="inlineStr">
        <is>
          <t>คลื่นไส้ อาเจียน</t>
        </is>
      </c>
      <c r="H27" s="2" t="inlineStr">
        <is>
          <t>ชาตามปลายนิ้ว ปลายเท้า</t>
        </is>
      </c>
      <c r="I27" s="8" t="inlineStr">
        <is>
          <t>1</t>
        </is>
      </c>
      <c r="J27" s="2" t="inlineStr">
        <is>
          <t>✅ คำตอบที่ถูกต้อง: ข้อ ก. ความดันต่ำขณะเปลี่ยนท่า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ความดันต่ำขณะเปลี่ยนท่า ผลข้างเคียงที่พบบ่อยและเด่นชัดในระยะแรกของการใช้ Levodopa ได้แก่ คลื่นไส้ อาเจียน (Nausea/Vomiting) ซึ่งเกิดจากการกระตุ้น chemoreceptor trigger zone (CTZ) ภายนอก blood-brain barrier
🔍 ข้ออื่นผิดเพราะอะไร:
• ข้อ ข. (หัวใจเต้นช้า): ข้อนี้ไม่ใช่คำตอบที่ถูกต้องสำหรับภาวะ Parkinson disease เนื่องจากกลไกการออกฤทธิ์, efficacy หรือข้อบ่งใช้ไม่ตรงกับโจทย์ที่กำหนด
• ข้อ ค. (มึนงง): ข้อนี้ไม่ใช่คำตอบที่ถูกต้องสำหรับภาวะ Parkinson disease เนื่องจากกลไกการออกฤทธิ์, efficacy หรือข้อบ่งใช้ไม่ตรงกับโจทย์ที่กำหนด
• ข้อ ง. (คลื่นไส้ อาเจียน): ข้อนี้ไม่ใช่คำตอบที่ถูกต้องสำหรับภาวะ Parkinson disease เนื่องจากกลไกการออกฤทธิ์, efficacy หรือข้อบ่งใช้ไม่ตรงกับโจทย์ที่กำหนด
• ข้อ จ. (ชาตามปลายนิ้ว ปลายเท้า):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2" t="n"/>
      <c r="L27" s="2" t="inlineStr">
        <is>
          <t>Parkinson disease</t>
        </is>
      </c>
      <c r="M27" s="2" t="inlineStr">
        <is>
          <t>Clinic</t>
        </is>
      </c>
      <c r="N27" s="2" t="inlineStr">
        <is>
          <t>ข้อ 25 Pharma Plus เล่มม่วง (เฉลยข้อ ก ง)</t>
        </is>
      </c>
      <c r="O27" s="2" t="inlineStr">
        <is>
          <t>Mock</t>
        </is>
      </c>
      <c r="P27" s="2" t="inlineStr">
        <is>
          <t>Pharma Plus เล่มม่วง</t>
        </is>
      </c>
    </row>
    <row r="28" ht="13.2" customHeight="1" s="37">
      <c r="A28" s="8" t="inlineStr">
        <is>
          <t>26</t>
        </is>
      </c>
      <c r="B28" s="2" t="inlineStr">
        <is>
          <t>หากระดับยา levodopa สูงเกินไป จะเกิดอาการใด</t>
        </is>
      </c>
      <c r="C28" s="2" t="n"/>
      <c r="D28" s="2" t="inlineStr">
        <is>
          <t>Rigidity</t>
        </is>
      </c>
      <c r="E28" s="2" t="inlineStr">
        <is>
          <t>Dyskinesia</t>
        </is>
      </c>
      <c r="F28" s="2" t="inlineStr">
        <is>
          <t>Hallucination</t>
        </is>
      </c>
      <c r="G28" s="2" t="inlineStr">
        <is>
          <t>Somnolence</t>
        </is>
      </c>
      <c r="H28" s="2" t="inlineStr">
        <is>
          <t>Gynecomastia</t>
        </is>
      </c>
      <c r="I28" s="8" t="inlineStr">
        <is>
          <t>2</t>
        </is>
      </c>
      <c r="J28" s="2" t="inlineStr">
        <is>
          <t>✅ คำตอบที่ถูกต้อง: ข้อ ข. Dyskinesia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Dyskinesia ระดับยา levodopa ที่สูงเกินไปในกระแสเลือดหรือการกระตุ้น dopamine receptor มากเกินไปมักทำให้เกิดภาวะเคลื่อนไหวผิดปกติ (dyskinesia) รวมถึงอาการทางจิตประสาท เช่น ภาวะประสาทหลอน (hallucination) แต่ความผิดปกติของการเคลื่อนไหวแบบ dyskinesia เป็นลักษณะจำเพาะเด่นชัดที่สุดเมื่อโดสสูงเกินไปตามหลักเภสัชวิทยาโรคพาร์กินสัน
🔍 ข้ออื่นผิดเพราะอะไร:
• ข้อ ก. (Rigidity): ข้อนี้ไม่ใช่คำตอบที่ถูกต้องสำหรับภาวะ Parkinson disease เนื่องจากกลไกการออกฤทธิ์, efficacy หรือข้อบ่งใช้ไม่ตรงกับโจทย์ที่กำหนด
• ข้อ ค. (Hallucination): ข้อนี้ไม่ใช่คำตอบที่ถูกต้องสำหรับภาวะ Parkinson disease เนื่องจากกลไกการออกฤทธิ์, efficacy หรือข้อบ่งใช้ไม่ตรงกับโจทย์ที่กำหนด
• ข้อ ง. (Somnolence): ข้อนี้ไม่ใช่คำตอบที่ถูกต้องสำหรับภาวะ Parkinson disease เนื่องจากกลไกการออกฤทธิ์, efficacy หรือข้อบ่งใช้ไม่ตรงกับโจทย์ที่กำหนด
• ข้อ จ. (Gynecomastia):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2" t="n"/>
      <c r="L28" s="2" t="inlineStr">
        <is>
          <t>Parkinson disease</t>
        </is>
      </c>
      <c r="M28" s="2" t="inlineStr">
        <is>
          <t>Clinic</t>
        </is>
      </c>
      <c r="N28" s="2" t="inlineStr">
        <is>
          <t>ข้อ 26 Pharma Plus เล่มม่วง (เฉลยข้อ ข ค)</t>
        </is>
      </c>
      <c r="O28" s="2" t="inlineStr">
        <is>
          <t>Mock</t>
        </is>
      </c>
      <c r="P28" s="2" t="inlineStr">
        <is>
          <t>Pharma Plus เล่มม่วง</t>
        </is>
      </c>
    </row>
    <row r="29" ht="13.2" customHeight="1" s="37">
      <c r="A29" s="8" t="inlineStr">
        <is>
          <t>27</t>
        </is>
      </c>
      <c r="B29" s="2" t="inlineStr">
        <is>
          <t>ยาในข้อใดไม่ทำให้อาการความจำเสื่อมของผู้ป่วยโรคพาร์กินสันแย่ลง</t>
        </is>
      </c>
      <c r="C29" s="2" t="n"/>
      <c r="D29" s="2" t="inlineStr">
        <is>
          <t>Benztropine</t>
        </is>
      </c>
      <c r="E29" s="2" t="inlineStr">
        <is>
          <t>Amitriptyline</t>
        </is>
      </c>
      <c r="F29" s="2" t="inlineStr">
        <is>
          <t>Domperidone</t>
        </is>
      </c>
      <c r="G29" s="2" t="inlineStr">
        <is>
          <t>Trihexyphenidyl</t>
        </is>
      </c>
      <c r="H29" s="2" t="inlineStr">
        <is>
          <t>Chlorpheniramine</t>
        </is>
      </c>
      <c r="I29" s="8" t="inlineStr">
        <is>
          <t>3</t>
        </is>
      </c>
      <c r="J29" s="2" t="inlineStr">
        <is>
          <t>✅ คำตอบที่ถูกต้อง: ข้อ ค. Domperidone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Domperidone เป็นยาต้านโดปามีน (peripheral dopamine antagonist) ที่ไม่สามารถผ่านเข้าสู่สมองได้ดี และไม่มีฤทธิ์ต้านอะเซทิลโคลีน (anticholinergic) ในสมอง ต่างจาก Benztropine, Trihexyphenidyl (ยากลุ่ม anticholinergic), Amitriptyline (ยาต้านเศร้าที่มีฤทธิ์ anticholinergic สูง) และ Chlorpheniramine (ยาแก้แพ้รุ่นเก่าที่มีฤทธิ์ anticholinergic) ซึ่งส่งผลให้ความจำแย่ลงในผู้ป่วยพาร์กินสัน
🔍 ข้ออื่นผิดเพราะอะไร:
• ข้อ ก. (Benztropine): ข้อนี้ไม่ใช่คำตอบที่ถูกต้องสำหรับภาวะ Parkinson disease เนื่องจากกลไกการออกฤทธิ์, efficacy หรือข้อบ่งใช้ไม่ตรงกับโจทย์ที่กำหนด
• ข้อ ข. (Amitriptyline): เป็น Tricyclic antidepressant (TCA) มี anticholinergic ADRs สูง, antihistaminic (ง่วงซึม น้ำหนักขึ้น), alpha-1 blockade (orthostatic hypotension) และเสี่ยงต่อ fatal cardiotoxicity เมื่อ overdose
• ข้อ ง. (Trihexyphenidyl): เป็น centrally-acting anticholinergic ช่วยลด tremor ใน Parkinson disease แต่มี ADR ปากแห้ง ตาพร่า ท้องผูก ปัสสาวะคั่ง และ cognitive impairment ในผู้สูงอายุ
• ข้อ จ.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2" t="n"/>
      <c r="L29" s="2" t="inlineStr">
        <is>
          <t>Parkinson disease</t>
        </is>
      </c>
      <c r="M29" s="2" t="inlineStr">
        <is>
          <t>Clinic</t>
        </is>
      </c>
      <c r="N29" s="2" t="inlineStr">
        <is>
          <t>ข้อ 27 Pharma Plus เล่มม่วง (เฉลยข้อ ค)</t>
        </is>
      </c>
      <c r="O29" s="2" t="inlineStr">
        <is>
          <t>Mock</t>
        </is>
      </c>
      <c r="P29" s="2" t="inlineStr">
        <is>
          <t>Pharma Plus เล่มม่วง</t>
        </is>
      </c>
    </row>
    <row r="30" ht="13.2" customHeight="1" s="37">
      <c r="A30" s="8" t="inlineStr">
        <is>
          <t>28</t>
        </is>
      </c>
      <c r="B30" s="2" t="inlineStr">
        <is>
          <t>Benserazide ยับยั้ง enzyme ในข้อใด</t>
        </is>
      </c>
      <c r="C30" s="2" t="n"/>
      <c r="D30" s="2" t="inlineStr">
        <is>
          <t>MAOB</t>
        </is>
      </c>
      <c r="E30" s="2" t="inlineStr">
        <is>
          <t>COMT</t>
        </is>
      </c>
      <c r="F30" s="2" t="inlineStr">
        <is>
          <t>Acetylcholine esterase</t>
        </is>
      </c>
      <c r="G30" s="2" t="inlineStr">
        <is>
          <t>Dopa decarboxylase</t>
        </is>
      </c>
      <c r="H30" s="2" t="inlineStr">
        <is>
          <t>Dopa deaminase</t>
        </is>
      </c>
      <c r="I30" s="8" t="inlineStr">
        <is>
          <t>4</t>
        </is>
      </c>
      <c r="J30" s="2" t="inlineStr">
        <is>
          <t>✅ คำตอบที่ถูกต้อง: ข้อ ง. Dopa decarboxylase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Dopa decarboxylase Benserazide และ Carbidopa เป็นยาในกลุ่ม Dopa decarboxylase inhibitor (DDI) ซึ่งทำหน้าที่ยับยั้งเอนไซม์ dopa decarboxylase นอกสมอง เพื่อป้องกันไม่ให้ levodopa ถูกเปลี่ยนเป็น dopamine ก่อนเข้าสู่สมอง
🔍 ข้ออื่นผิดเพราะอะไร:
• ข้อ ก. (MAOB): ข้อนี้ไม่ใช่คำตอบที่ถูกต้องสำหรับภาวะ Parkinson disease เนื่องจากกลไกการออกฤทธิ์, efficacy หรือข้อบ่งใช้ไม่ตรงกับโจทย์ที่กำหนด
• ข้อ ข. (COMT): ข้อนี้ไม่ใช่คำตอบที่ถูกต้องสำหรับภาวะ Parkinson disease เนื่องจากกลไกการออกฤทธิ์, efficacy หรือข้อบ่งใช้ไม่ตรงกับโจทย์ที่กำหนด
• ข้อ ค. (Acetylcholine esterase): ข้อนี้ไม่ใช่คำตอบที่ถูกต้องสำหรับภาวะ Parkinson disease เนื่องจากกลไกการออกฤทธิ์, efficacy หรือข้อบ่งใช้ไม่ตรงกับโจทย์ที่กำหนด
• ข้อ จ. (Dopa deaminase):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n"/>
      <c r="L30" s="2" t="inlineStr">
        <is>
          <t>Parkinson disease</t>
        </is>
      </c>
      <c r="M30" s="2" t="inlineStr">
        <is>
          <t>Clinic</t>
        </is>
      </c>
      <c r="N30" s="2" t="inlineStr">
        <is>
          <t>ข้อ 28 Pharma Plus เล่มม่วง (เฉลยข้อ ง)</t>
        </is>
      </c>
      <c r="O30" s="2" t="inlineStr">
        <is>
          <t>Mock</t>
        </is>
      </c>
      <c r="P30" s="2" t="inlineStr">
        <is>
          <t>Pharma Plus เล่มม่วง</t>
        </is>
      </c>
    </row>
    <row r="31" ht="13.2" customHeight="1" s="37">
      <c r="A31" s="8" t="inlineStr">
        <is>
          <t>29</t>
        </is>
      </c>
      <c r="B31" s="2" t="inlineStr">
        <is>
          <t>ปรากฏการณ์ในข้อใดไม่ใช่สิ่งที่เกิดขึ้นระหว่างการใช้ levodopa เพียงตัวเดียวรักษา Parkinson's disease ซึ่งอาจนำไปสู่ความล้มเหลวของการรักษาโรค</t>
        </is>
      </c>
      <c r="C31" s="2" t="n"/>
      <c r="D31" s="2" t="inlineStr">
        <is>
          <t>หลังจากเริ่มการรักษาผู้ป่วยได้ 3-5 ปี ผลการรักษาจะลดลง</t>
        </is>
      </c>
      <c r="E31" s="2" t="inlineStr">
        <is>
          <t>ผลการรักษาในแต่ละวันอาจไม่คงที่ (on-off phenomenon)</t>
        </is>
      </c>
      <c r="F31" s="2" t="inlineStr">
        <is>
          <t>ตัวรับ dopamine receptor ในสมองเกิด down regulation ลดจำนวนลง</t>
        </is>
      </c>
      <c r="G31" s="2" t="inlineStr">
        <is>
          <t>Levodopa ซึมผ่าน blood brain barrier เข้าสู่สมองได้ยากขึ้น</t>
        </is>
      </c>
      <c r="H31" s="2" t="inlineStr">
        <is>
          <t>อนุมูลอิสระที่เกิดจากการเมตาบอลิซึมของ levodopa จะทำให้เซลล์ประสาท dopaminergic ที่ nigrostriatal pathway</t>
        </is>
      </c>
      <c r="I31" s="8" t="inlineStr">
        <is>
          <t>4</t>
        </is>
      </c>
      <c r="J31" s="2" t="inlineStr">
        <is>
          <t>✅ คำตอบที่ถูกต้อง: ข้อ ง. Levodopa ซึมผ่าน blood brain barrier เข้าสู่สมองได้ยากขึ้น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Levodopa ซึมผ่าน blood brain barrier เข้าสู่สมองได้ยากขึ้น การใช้ levodopa ระยะยาวไม่ได้ทำให้ยาซึมผ่าน Blood-Brain Barrier (BBB) ได้ยากขึ้น แต่ปัญหาที่เกิดขึ้นคือการลดลงของจำนวนเซลล์ประสาทที่เก็บสำรอง dopamine, การเกิด motor fluctuations (on-off phenomenon), การดื้อยา และการเปลี่ยนแปลงของตัวรับ
🔍 ข้ออื่นผิดเพราะอะไร:
• ข้อ ก. (หลังจากเริ่มการรักษาผู้ป่วยได้ 3-5 ปี ผลการรักษาจะลดลง): ข้อนี้ไม่ใช่คำตอบที่ถูกต้องสำหรับภาวะ Parkinson disease เนื่องจากกลไกการออกฤทธิ์, efficacy หรือข้อบ่งใช้ไม่ตรงกับโจทย์ที่กำหนด
• ข้อ ข. (ผลการรักษาในแต่ละวันอาจไม่คงที่ (on-off phenomenon)): ข้อนี้ไม่ใช่คำตอบที่ถูกต้องสำหรับภาวะ Parkinson disease เนื่องจากกลไกการออกฤทธิ์, efficacy หรือข้อบ่งใช้ไม่ตรงกับโจทย์ที่กำหนด
• ข้อ ค. (ตัวรับ dopamine receptor ในสมองเกิด down regulation ลดจำนวนลง): ข้อนี้ไม่ใช่คำตอบที่ถูกต้องสำหรับภาวะ Parkinson disease เนื่องจากกลไกการออกฤทธิ์, efficacy หรือข้อบ่งใช้ไม่ตรงกับโจทย์ที่กำหนด
• ข้อ จ. (อนุมูลอิสระที่เกิดจากการเมตาบอลิซึมของ levodopa จะทำให้เซลล์ประสาท dopaminergic ที่ nigrostriatal pathway):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n"/>
      <c r="L31" s="2" t="inlineStr">
        <is>
          <t>Parkinson disease</t>
        </is>
      </c>
      <c r="M31" s="2" t="inlineStr">
        <is>
          <t>Clinic</t>
        </is>
      </c>
      <c r="N31" s="2" t="inlineStr">
        <is>
          <t>ข้อ 29 Pharma Plus เล่มม่วง (เฉลยข้อ ง)</t>
        </is>
      </c>
      <c r="O31" s="2" t="inlineStr">
        <is>
          <t>Mock</t>
        </is>
      </c>
      <c r="P31" s="2" t="inlineStr">
        <is>
          <t>Pharma Plus เล่มม่วง</t>
        </is>
      </c>
    </row>
    <row r="32" ht="13.2" customHeight="1" s="37">
      <c r="A32" s="8" t="inlineStr">
        <is>
          <t>30</t>
        </is>
      </c>
      <c r="B32" s="2" t="inlineStr">
        <is>
          <t>การใช้ carbidopa หรือ benserazide ร่วมกับ levodopa ในการรักษา Parkinson's disease มีจุดประสงค์เพื่อ</t>
        </is>
      </c>
      <c r="C32" s="2" t="n"/>
      <c r="D32" s="2" t="inlineStr">
        <is>
          <t>กระตุ้นเอนไซม์ dopa decarboxylase ที่สมอง</t>
        </is>
      </c>
      <c r="E32" s="2" t="inlineStr">
        <is>
          <t>ยับยั้งการเปลี่ยนแปลง Levodopa เป็น dopamine ที่เนื้อเยื่อนอกสมอง</t>
        </is>
      </c>
      <c r="F32" s="2" t="inlineStr">
        <is>
          <t>เพิ่มการดูดซึมของ Levodopa จากทางเดินอาหาร</t>
        </is>
      </c>
      <c r="G32" s="2" t="inlineStr">
        <is>
          <t>ยับยั้งการขับถ่าย Levodopa ออกทางปัสสาวะ</t>
        </is>
      </c>
      <c r="H32" s="2" t="inlineStr">
        <is>
          <t>เพิ่มการซึมผ่านของ dopamine จากเลือดสู่สมอง</t>
        </is>
      </c>
      <c r="I32" s="8" t="inlineStr">
        <is>
          <t>2</t>
        </is>
      </c>
      <c r="J32" s="2" t="inlineStr">
        <is>
          <t>✅ คำตอบที่ถูกต้อง: ข้อ ข. ยับยั้งการเปลี่ยนแปลง Levodopa เป็น dopamine ที่เนื้อเยื่อนอกสมอง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ยับยั้งการเปลี่ยนแปลง Levodopa เป็น dopamine ที่เนื้อเยื่อนอกสมอง Carbidopa และ Benserazide เป็น peripheral dopa decarboxylase inhibitors มีเป้าหมายเพื่อยับยั้งการเปลี่ยน levodopa เป็น dopamine นอกระบบประสาทส่วนกลาง ช่วยลดผลข้างเคียงคลื่นไส้อาเจียน และเพิ่มปริมาณ levodopa ที่จะเข้าสู่สมอง
🔍 ข้ออื่นผิดเพราะอะไร:
• ข้อ ก. (กระตุ้นเอนไซม์ dopa decarboxylase ที่สมอง): ข้อนี้ไม่ใช่คำตอบที่ถูกต้องสำหรับภาวะ Parkinson disease เนื่องจากกลไกการออกฤทธิ์, efficacy หรือข้อบ่งใช้ไม่ตรงกับโจทย์ที่กำหนด
• ข้อ ค. (เพิ่มการดูดซึมของ Levodopa จากทางเดินอาหาร): ข้อนี้ไม่ใช่คำตอบที่ถูกต้องสำหรับภาวะ Parkinson disease เนื่องจากกลไกการออกฤทธิ์, efficacy หรือข้อบ่งใช้ไม่ตรงกับโจทย์ที่กำหนด
• ข้อ ง. (ยับยั้งการขับถ่าย Levodopa ออกทางปัสสาวะ): ข้อนี้ไม่ใช่คำตอบที่ถูกต้องสำหรับภาวะ Parkinson disease เนื่องจากกลไกการออกฤทธิ์, efficacy หรือข้อบ่งใช้ไม่ตรงกับโจทย์ที่กำหนด
• ข้อ จ. (เพิ่มการซึมผ่านของ dopamine จากเลือดสู่สมอง):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2" t="n"/>
      <c r="L32" s="2" t="inlineStr">
        <is>
          <t>Parkinson disease</t>
        </is>
      </c>
      <c r="M32" s="2" t="inlineStr">
        <is>
          <t>Clinic</t>
        </is>
      </c>
      <c r="N32" s="2" t="inlineStr">
        <is>
          <t>ข้อ 30 Pharma Plus เล่มม่วง (เฉลยข้อ ข)</t>
        </is>
      </c>
      <c r="O32" s="2" t="inlineStr">
        <is>
          <t>Mock</t>
        </is>
      </c>
      <c r="P32" s="2" t="inlineStr">
        <is>
          <t>Pharma Plus เล่มม่วง</t>
        </is>
      </c>
    </row>
    <row r="33" ht="13.2" customHeight="1" s="37">
      <c r="A33" s="8" t="inlineStr">
        <is>
          <t>31</t>
        </is>
      </c>
      <c r="B33" s="2" t="inlineStr">
        <is>
          <t>การใช้ selegiline ซึ่งเป็น irreversible MAO-B inhibitor ในการรักษา Parkinson's disease นั้น อาจมีผลดีต่อผู้ป่วยมากกว่าเพียงยาไปป้องกันการทำลาย dopamine โดยยาอาจมีผลชะลอการเกิดโรคได้ โดยกลไกต่อไปนี้</t>
        </is>
      </c>
      <c r="C33" s="2" t="n"/>
      <c r="D33" s="2" t="inlineStr">
        <is>
          <t>ป้องกันการเกิดอนุมูลอิสระ ซึ่งมีพิษและเป็นผลพลอยได้จากการออกซิไดซ์ dopamine โดย MAO-B</t>
        </is>
      </c>
      <c r="E33" s="2" t="inlineStr">
        <is>
          <t>กระตุ้นการเจริญของ dopaminergic neurons ใน nigrostriatal pathway</t>
        </is>
      </c>
      <c r="F33" s="2" t="inlineStr">
        <is>
          <t>กระตุ้นการเจริญของ glial cells ในสมอง</t>
        </is>
      </c>
      <c r="G33" s="2" t="inlineStr">
        <is>
          <t>กระตุ้นการสังเคราะห์ nerve growth factor</t>
        </is>
      </c>
      <c r="H33" s="2" t="inlineStr">
        <is>
          <t>กระตุ้นการสังเคราะห์สารสื่อประสาท</t>
        </is>
      </c>
      <c r="I33" s="8" t="inlineStr">
        <is>
          <t>1</t>
        </is>
      </c>
      <c r="J33" s="2" t="inlineStr">
        <is>
          <t>✅ คำตอบที่ถูกต้อง: ข้อ ก. ป้องกันการเกิดอนุมูลอิสระ ซึ่งมีพิษและเป็นผลพลอยได้จากการออกซิไดซ์ dopamine โดย MAO-B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ป้องกันการเกิดอนุมูลอิสระ ซึ่งมีพิษและเป็นผลพลอยได้จากการออกซิไดซ์ dopamine โดย MAO-B Selegiline ยับยั้งเอนไซม์ MAO-B ซึ่งปกติจะทำหน้าที่ออกซิไดซ์ dopamine และสร้างอนุมูลอิสระที่เป็นพิษต่อเซลล์ประสาท การยับยั้งนี้จึงช่วยลด oxidative stress และอาจมีผล neuroprotective ตามทฤษฎี
🔍 ข้ออื่นผิดเพราะอะไร:
• ข้อ ข. (กระตุ้นการเจริญของ dopaminergic neurons ใน nigrostriatal pathway): ข้อนี้ไม่ใช่คำตอบที่ถูกต้องสำหรับภาวะ Parkinson disease เนื่องจากกลไกการออกฤทธิ์, efficacy หรือข้อบ่งใช้ไม่ตรงกับโจทย์ที่กำหนด
• ข้อ ค. (กระตุ้นการเจริญของ glial cells ในสมอง): ข้อนี้ไม่ใช่คำตอบที่ถูกต้องสำหรับภาวะ Parkinson disease เนื่องจากกลไกการออกฤทธิ์, efficacy หรือข้อบ่งใช้ไม่ตรงกับโจทย์ที่กำหนด
• ข้อ ง. (กระตุ้นการสังเคราะห์ nerve growth factor): ข้อนี้ไม่ใช่คำตอบที่ถูกต้องสำหรับภาวะ Parkinson disease เนื่องจากกลไกการออกฤทธิ์, efficacy หรือข้อบ่งใช้ไม่ตรงกับโจทย์ที่กำหนด
• ข้อ จ. (กระตุ้นการสังเคราะห์สารสื่อประสาท):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2" t="n"/>
      <c r="L33" s="2" t="inlineStr">
        <is>
          <t>Parkinson disease</t>
        </is>
      </c>
      <c r="M33" s="2" t="inlineStr">
        <is>
          <t>Clinic</t>
        </is>
      </c>
      <c r="N33" s="2" t="inlineStr">
        <is>
          <t>ข้อ 31 Pharma Plus เล่มม่วง (เฉลยข้อ ก)</t>
        </is>
      </c>
      <c r="O33" s="2" t="inlineStr">
        <is>
          <t>Mock</t>
        </is>
      </c>
      <c r="P33" s="2" t="inlineStr">
        <is>
          <t>Pharma Plus เล่มม่วง</t>
        </is>
      </c>
    </row>
    <row r="34" ht="13.2" customHeight="1" s="37">
      <c r="A34" s="8" t="inlineStr">
        <is>
          <t>32</t>
        </is>
      </c>
      <c r="B34" s="2" t="inlineStr">
        <is>
          <t>สถานการณ์ที่ 5 ผู้ป่วยชาย อายุ 25 ปี
Dx. Tonic-clonic seizer (first diagnosis)
Rx. Carbamazepine BID 30 F/U 2 wk.
ผู้ป่วยไม่ควรได้รับคำแนะนำใด</t>
        </is>
      </c>
      <c r="C34" s="2" t="n"/>
      <c r="D34" s="2" t="inlineStr">
        <is>
          <t>แนะนำคุมกำเนิด</t>
        </is>
      </c>
      <c r="E34" s="2" t="inlineStr">
        <is>
          <t>ถ้าใช้ยาแล้วเป็นไข้ เจ็บคอ ให้รีบแจ้งแพทย์</t>
        </is>
      </c>
      <c r="F34" s="2" t="inlineStr">
        <is>
          <t>ใช้ยาแล้วหลีกเลี่ยงการสัมผัสแสงแดด</t>
        </is>
      </c>
      <c r="G34" s="2" t="inlineStr">
        <is>
          <t>ใช้ยานี้แล้วสีเล็บและสีผิวจะเปลี่ยน</t>
        </is>
      </c>
      <c r="H34" s="2" t="inlineStr">
        <is>
          <t>ควรหลีกเลี่ยงการซื้อยามารับประทานเอง</t>
        </is>
      </c>
      <c r="I34" s="8" t="inlineStr">
        <is>
          <t>1</t>
        </is>
      </c>
      <c r="J34" s="2" t="inlineStr">
        <is>
          <t>✅ คำตอบที่ถูกต้อง: ข้อ ก. แนะนำคุมกำเนิด
💡 Background:
โรคลมชัก (Epilepsy) ต้องเลือกยากันชักให้ตรงกับชนิดของการชัก โดยคำนึงถึง efficacy, drug interactions และ safety profile ของผู้ป่วย
🎯 ทำไมข้อนี้ถึงถูก:
แนะนำคุมกำเนิด Carbamazepine เป็นยาต้านชักกลุ่มที่อาจเกิด ADR ทางผิวหนังที่รุนแรง เช่น SJS/TEN (โดยเฉพาะในผู้ป่วยที่มี allele HLA-B*1502) และอาจเกิดภาวะเม็ดเลือดต่ำ (Agranulocytosis) จึงต้องแนะนำให้สังเกตอาการไข้ เจ็บคอ ผื่นแพ้ รวมถึงการคุมกำเนิดเนื่องจากยามีผลลด efficacy ยาคุมกำเนิด (Enzyme inducer) และระวังเรื่อง Drug interaction จากการซื้อยาอื่นทานเอง แต่ตัวยาไม่ได้ทำให้สีเล็บและสีผิวเปลี่ยน
🔍 ข้ออื่นผิดเพราะอะไร:
• ข้อ ข. (ถ้าใช้ยาแล้วเป็นไข้ เจ็บคอ ให้รีบแจ้งแพทย์): ข้อนี้ไม่ใช่คำตอบที่ถูกต้องสำหรับภาวะ Epilepsy เนื่องจากกลไกการออกฤทธิ์, efficacy หรือข้อบ่งใช้ไม่ตรงกับโจทย์ที่กำหนด
• ข้อ ค. (ใช้ยาแล้วหลีกเลี่ยงการสัมผัสแสงแดด): ข้อนี้ไม่ใช่คำตอบที่ถูกต้องสำหรับภาวะ Epilepsy เนื่องจากกลไกการออกฤทธิ์, efficacy หรือข้อบ่งใช้ไม่ตรงกับโจทย์ที่กำหนด
• ข้อ ง. (ใช้ยานี้แล้วสีเล็บและสีผิวจะเปลี่ยน): ข้อนี้ไม่ใช่คำตอบที่ถูกต้องสำหรับภาวะ Epilepsy เนื่องจากกลไกการออกฤทธิ์, efficacy หรือข้อบ่งใช้ไม่ตรงกับโจทย์ที่กำหนด
• ข้อ จ. (ควรหลีกเลี่ยงการซื้อยามารับประทานเอง):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4" s="2" t="n"/>
      <c r="L34" s="2" t="inlineStr">
        <is>
          <t>Epilepsy</t>
        </is>
      </c>
      <c r="M34" s="2" t="inlineStr">
        <is>
          <t>Clinic</t>
        </is>
      </c>
      <c r="N34" s="2" t="inlineStr">
        <is>
          <t>ข้อ 32 Pharma Plus เล่มม่วง (เฉลยข้อ )</t>
        </is>
      </c>
      <c r="O34" s="2" t="inlineStr">
        <is>
          <t>Mock</t>
        </is>
      </c>
      <c r="P34" s="2" t="inlineStr">
        <is>
          <t>Pharma Plus เล่มม่วง</t>
        </is>
      </c>
    </row>
    <row r="35" ht="13.2" customHeight="1" s="37">
      <c r="A35" s="8" t="inlineStr">
        <is>
          <t>33</t>
        </is>
      </c>
      <c r="B35" s="2" t="inlineStr">
        <is>
          <t>สถานการณ์ที่ 5 ผู้ป่วยชาย อายุ 25 ปี
Dx. Tonic-clonic seizer (first diagnosis)
Rx. Carbamazepine BID 30 F/U 2 wk.
ระดับยา carbamazepine สามารถเพิ่มได้เมื่อใช้ร่วมกับยาใด</t>
        </is>
      </c>
      <c r="C35" s="2" t="n"/>
      <c r="D35" s="2" t="inlineStr">
        <is>
          <t>Folic acid</t>
        </is>
      </c>
      <c r="E35" s="2" t="inlineStr">
        <is>
          <t>Nevirapine</t>
        </is>
      </c>
      <c r="F35" s="2" t="inlineStr">
        <is>
          <t>Phenytoin</t>
        </is>
      </c>
      <c r="G35" s="2" t="inlineStr">
        <is>
          <t>Clarithromycin</t>
        </is>
      </c>
      <c r="H35" s="2" t="inlineStr">
        <is>
          <t>Mebendazole</t>
        </is>
      </c>
      <c r="I35" s="8" t="inlineStr">
        <is>
          <t>4</t>
        </is>
      </c>
      <c r="J35" s="2"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เป็นยาในกลุ่ม Macrolide antibiotics ซึ่งเป็น potent CYP3A4 inhibitor จะยับยั้งการเมแทบอลิซึมของ Carbamazepine ส่งผลให้ระดับยา Carbamazepine ในเลือดเพิ่มสูงขึ้นและอาจเกิดพิษได้ (Toxicity)
🔍 ข้ออื่นผิดเพราะอะไร:
• ข้อ ก. (Folic acid): ข้อนี้ไม่ใช่คำตอบที่ถูกต้องสำหรับภาวะ Epilepsy เนื่องจากกลไกการออกฤทธิ์, efficacy หรือข้อบ่งใช้ไม่ตรงกับโจทย์ที่กำหนด
• ข้อ ข. (Nevirapine): ข้อนี้ไม่ใช่คำตอบที่ถูกต้องสำหรับภาวะ Epilepsy เนื่องจากกลไกการออกฤทธิ์, efficacy หรือข้อบ่งใช้ไม่ตรงกับโจทย์ที่กำหนด
• ข้อ ค. (Phenytoin): เป็น sodium channel blocker สำหรับ focal/generalized seizures มี non-linear (Michaelis-Menten) PK เสี่ยง toxicity ได้ง่ายเมื่อปรับ dose และทำให้เกิด gingival hyperplasia, hirsutism, cerebellar ataxia
• ข้อ จ. (Mebendazole):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5" s="2" t="n"/>
      <c r="L35" s="2" t="inlineStr">
        <is>
          <t>Epilepsy</t>
        </is>
      </c>
      <c r="M35" s="2" t="inlineStr">
        <is>
          <t>Clinic</t>
        </is>
      </c>
      <c r="N35" s="2" t="inlineStr">
        <is>
          <t>ข้อ 33 Pharma Plus เล่มม่วง (เฉลยข้อ ง)</t>
        </is>
      </c>
      <c r="O35" s="2" t="inlineStr">
        <is>
          <t>Mock</t>
        </is>
      </c>
      <c r="P35" s="2" t="inlineStr">
        <is>
          <t>Pharma Plus เล่มม่วง</t>
        </is>
      </c>
    </row>
    <row r="36" ht="13.2" customHeight="1" s="37">
      <c r="A36" s="8" t="inlineStr">
        <is>
          <t>34</t>
        </is>
      </c>
      <c r="B36" s="2" t="inlineStr">
        <is>
          <t>ข้อใดคือกลไกการออกฤทธิ์ของ carbamazepine</t>
        </is>
      </c>
      <c r="C36" s="2" t="n"/>
      <c r="D36" s="2" t="inlineStr">
        <is>
          <t>จับกับ sodium channel ที่อยู่ใน inactivated state</t>
        </is>
      </c>
      <c r="E36" s="2" t="inlineStr">
        <is>
          <t>จับกับ T-type calcium channel</t>
        </is>
      </c>
      <c r="F36" s="2" t="inlineStr">
        <is>
          <t>ออกฤทธิ์ต่อ GABA receptor/ chloride-ion pore complex</t>
        </is>
      </c>
      <c r="G36" s="2" t="inlineStr">
        <is>
          <t>ออกฤทธิ์ที่ NMDA receptor</t>
        </is>
      </c>
      <c r="H36" s="2" t="inlineStr">
        <is>
          <t>ออกฤทธิ์ยับยั้ง second messengers</t>
        </is>
      </c>
      <c r="I36" s="8" t="inlineStr">
        <is>
          <t>1</t>
        </is>
      </c>
      <c r="J36" s="2" t="inlineStr">
        <is>
          <t>✅ คำตอบที่ถูกต้อง: ข้อ ก. จับกับ sodium channel ที่อยู่ใน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sodium channel ที่อยู่ใน inactivated state Carbamazepine ออกฤทธิ์หลักโดยการจับและยับยั้ง Voltage-gated sodium channels ในสมองขณะที่ช่องสัญญาณอยู่ในสถานะ Inactivated state ทำให้ลดการยิงกระแสประสาทที่ผิดปกติและป้องกันการแพร่กระจายของกระแสไฟฟ้าในโรค ลมชัก
🔍 ข้ออื่นผิดเพราะอะไร:
• ข้อ ข. (จับกับ T-type calcium channel): ข้อนี้ไม่ใช่คำตอบที่ถูกต้องสำหรับภาวะ Epilepsy เนื่องจากกลไกการออกฤทธิ์, efficacy หรือข้อบ่งใช้ไม่ตรงกับโจทย์ที่กำหนด
• ข้อ ค. (ออกฤทธิ์ต่อ GABA receptor/ chloride-ion pore complex): ข้อนี้ไม่ใช่คำตอบที่ถูกต้องสำหรับภาวะ Epilepsy เนื่องจากกลไกการออกฤทธิ์, efficacy หรือข้อบ่งใช้ไม่ตรงกับโจทย์ที่กำหนด
• ข้อ ง. (ออกฤทธิ์ที่ NMDA receptor): ข้อนี้ไม่ใช่คำตอบที่ถูกต้องสำหรับภาวะ Epilepsy เนื่องจากกลไกการออกฤทธิ์, efficacy หรือข้อบ่งใช้ไม่ตรงกับโจทย์ที่กำหนด
• ข้อ จ. (ออกฤทธิ์ยับยั้ง second messengers):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6" s="2" t="n"/>
      <c r="L36" s="2" t="inlineStr">
        <is>
          <t>Epilepsy</t>
        </is>
      </c>
      <c r="M36" s="2" t="inlineStr">
        <is>
          <t>Clinic</t>
        </is>
      </c>
      <c r="N36" s="2" t="inlineStr">
        <is>
          <t>ข้อ 34 Pharma Plus เล่มม่วง (เฉลยข้อ ก)</t>
        </is>
      </c>
      <c r="O36" s="2" t="inlineStr">
        <is>
          <t>Mock</t>
        </is>
      </c>
      <c r="P36" s="2" t="inlineStr">
        <is>
          <t>Pharma Plus เล่มม่วง</t>
        </is>
      </c>
    </row>
    <row r="37" ht="13.2" customHeight="1" s="37">
      <c r="A37" s="8" t="inlineStr">
        <is>
          <t>35</t>
        </is>
      </c>
      <c r="B37" s="2" t="inlineStr">
        <is>
          <t>โรคลมชักมีสาเหตุจากทุกข้อ ยกเว้นข้อใด</t>
        </is>
      </c>
      <c r="C37" s="2" t="n"/>
      <c r="D37" s="2" t="inlineStr">
        <is>
          <t>อุบัติเหตุทางสมอง</t>
        </is>
      </c>
      <c r="E37" s="2" t="inlineStr">
        <is>
          <t>การติดเชื้อในหูชั้นกลาง</t>
        </is>
      </c>
      <c r="F37" s="2" t="inlineStr">
        <is>
          <t>Hypoglycemia</t>
        </is>
      </c>
      <c r="G37" s="2" t="inlineStr">
        <is>
          <t>เนื้องอกในสมอง</t>
        </is>
      </c>
      <c r="H37" s="2" t="inlineStr">
        <is>
          <t>ไข้สูงในเด็ก</t>
        </is>
      </c>
      <c r="I37" s="8" t="inlineStr">
        <is>
          <t>2</t>
        </is>
      </c>
      <c r="J37" s="2" t="inlineStr">
        <is>
          <t>✅ คำตอบที่ถูกต้อง: ข้อ ข. การติดเชื้อในหูชั้นกลาง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การติดเชื้อในหูชั้นกลาง (Otitis media) เป็นการติดเชื้อเฉพาะที่บริเวณหูชั้นกลาง ไม่ได้ทำให้เกิดการกระตุ้นหรือรบกวนโครงสร้างเนื้อเยื่อสมองโดยตรงเหมือนอุบัติเหตุทางสมอง, ภาวะน้ำตาลในเลือดต่ำ (Hypoglycemia), เนื้องอกในสมอง หรือภาวะไข้สูงในเด็กที่อาจเหนี่ยวนำให้เกิด Febrile seizure ได้
🔍 ข้ออื่นผิดเพราะอะไร:
• ข้อ ก. (อุบัติเหตุทางสมอง): ข้อนี้ไม่ใช่คำตอบที่ถูกต้องสำหรับภาวะ Epilepsy เนื่องจากกลไกการออกฤทธิ์, efficacy หรือข้อบ่งใช้ไม่ตรงกับโจทย์ที่กำหนด
• ข้อ ค. (Hypoglycemia): ข้อนี้ไม่ใช่คำตอบที่ถูกต้องสำหรับภาวะ Epilepsy เนื่องจากกลไกการออกฤทธิ์, efficacy หรือข้อบ่งใช้ไม่ตรงกับโจทย์ที่กำหนด
• ข้อ ง. (เนื้องอกในสมอง): ข้อนี้ไม่ใช่คำตอบที่ถูกต้องสำหรับภาวะ Epilepsy เนื่องจากกลไกการออกฤทธิ์, efficacy หรือข้อบ่งใช้ไม่ตรงกับโจทย์ที่กำหนด
• ข้อ จ. (ไข้สูงในเด็ก):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7" s="2" t="n"/>
      <c r="L37" s="2" t="inlineStr">
        <is>
          <t>Epilepsy</t>
        </is>
      </c>
      <c r="M37" s="2" t="inlineStr">
        <is>
          <t>Clinic</t>
        </is>
      </c>
      <c r="N37" s="2" t="inlineStr">
        <is>
          <t>ข้อ 35 Pharma Plus เล่มม่วง (เฉลยข้อ ข)</t>
        </is>
      </c>
      <c r="O37" s="2" t="inlineStr">
        <is>
          <t>Mock</t>
        </is>
      </c>
      <c r="P37" s="2" t="inlineStr">
        <is>
          <t>Pharma Plus เล่มม่วง</t>
        </is>
      </c>
    </row>
    <row r="38" ht="13.2" customHeight="1" s="37">
      <c r="A38" s="8" t="inlineStr">
        <is>
          <t>36</t>
        </is>
      </c>
      <c r="B38" s="2" t="inlineStr">
        <is>
          <t>ข้อใดคือข้อบ่งใช้ของ carbamazepine นอกเหนือจากรักษาโรคลมชัก</t>
        </is>
      </c>
      <c r="C38" s="2" t="n"/>
      <c r="D38" s="2" t="inlineStr">
        <is>
          <t>Anxiety</t>
        </is>
      </c>
      <c r="E38" s="2" t="inlineStr">
        <is>
          <t>Muscle relaxant</t>
        </is>
      </c>
      <c r="F38" s="2" t="inlineStr">
        <is>
          <t>Trigeminal neuralgia</t>
        </is>
      </c>
      <c r="G38" s="2" t="inlineStr">
        <is>
          <t>Anti-arrhythmia</t>
        </is>
      </c>
      <c r="H38" s="2" t="inlineStr">
        <is>
          <t>Febrile Seizure</t>
        </is>
      </c>
      <c r="I38" s="8" t="inlineStr">
        <is>
          <t>3</t>
        </is>
      </c>
      <c r="J38" s="2"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นอกจากรักษาโรคชักแบบ Tonic-clonic และ Partial seizures แล้ว Carbamazepine ยังเป็นยาเลือก first-line (First-line drug) ในการรักษาโรคปวดเส้นประสาทสมองคู่ที่ 5 (Trigeminal neuralgia) และใช้รักษา Bipolar disorder ที่ดื้อต่อ Lithium
🔍 ข้ออื่นผิดเพราะอะไร:
• ข้อ ก. (Anxiety): ข้อนี้ไม่ใช่คำตอบที่ถูกต้องสำหรับภาวะ Epilepsy เนื่องจากกลไกการออกฤทธิ์, efficacy หรือข้อบ่งใช้ไม่ตรงกับโจทย์ที่กำหนด
• ข้อ ข. (Muscle relaxant): ข้อนี้ไม่ใช่คำตอบที่ถูกต้องสำหรับภาวะ Epilepsy เนื่องจากกลไกการออกฤทธิ์, efficacy หรือข้อบ่งใช้ไม่ตรงกับโจทย์ที่กำหนด
• ข้อ ง. (Anti-arrhythmia): ข้อนี้ไม่ใช่คำตอบที่ถูกต้องสำหรับภาวะ Epilepsy เนื่องจากกลไกการออกฤทธิ์, efficacy หรือข้อบ่งใช้ไม่ตรงกับโจทย์ที่กำหนด
• ข้อ จ. (Febrile Seizure):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8" s="2" t="n"/>
      <c r="L38" s="2" t="inlineStr">
        <is>
          <t>Epilepsy</t>
        </is>
      </c>
      <c r="M38" s="2" t="inlineStr">
        <is>
          <t>Clinic</t>
        </is>
      </c>
      <c r="N38" s="2" t="inlineStr">
        <is>
          <t>ข้อ 36 Pharma Plus เล่มม่วง (เฉลยข้อ ค)</t>
        </is>
      </c>
      <c r="O38" s="2" t="inlineStr">
        <is>
          <t>Mock</t>
        </is>
      </c>
      <c r="P38" s="2" t="inlineStr">
        <is>
          <t>Pharma Plus เล่มม่วง</t>
        </is>
      </c>
    </row>
    <row r="39" ht="13.2" customHeight="1" s="37">
      <c r="A39" s="8" t="inlineStr">
        <is>
          <t>37</t>
        </is>
      </c>
      <c r="B39" s="2" t="inlineStr">
        <is>
          <t>สถานการณ์ที่ 6 ผู้ป่วยมาพบท่านที่ร้านยา ซักประวัติแล้วพบว่าในระยะครึ่งปีที่ผ่านมาเป็นลมหมดสติหลายครั้ง มีการชักเกร็งระหว่างหมดสติทุกครั้ง ครั้งนี้ผู้ป่วยต้องการซื้อยารักษา
ในฐานะเภสัชกรประจำร้านยาท่านทำอย่างไร</t>
        </is>
      </c>
      <c r="C39" s="2" t="n"/>
      <c r="D39" s="2" t="inlineStr">
        <is>
          <t>ซักประวัติเพิ่มเติมพบว่า ผู้ป่วยมีแนวโน้มเครียดง่ายจากการทำงาน จึงให้ยาคลายกังวลและนัดพบในอีก 1 เดือน</t>
        </is>
      </c>
      <c r="E39" s="2" t="inlineStr">
        <is>
          <t>ซักประวัติเพิ่มเติมพบว่ามีสุขภาพอ่อนแอ จึงให้่าวิตามินและนัดมาพบในอีก 1 สัปดาห์</t>
        </is>
      </c>
      <c r="F39" s="2" t="inlineStr">
        <is>
          <t>ให้ยาคลายกล้ามเนื้อเพื่อป้องกันอาการชักเกร็งระหว่างหมดสติ</t>
        </is>
      </c>
      <c r="G39" s="2" t="inlineStr">
        <is>
          <t>ซักประวัติเพิ่มเติมพบว่ามีสุขภาพอ่อนแอ จึงแนะนำให้พักผ่อนให้เพียงพอ</t>
        </is>
      </c>
      <c r="H39" s="2" t="inlineStr">
        <is>
          <t>ซักประวัติเพิ่มเติมและแนะนำให้ไปพบแพทย์</t>
        </is>
      </c>
      <c r="I39" s="8" t="inlineStr">
        <is>
          <t>5</t>
        </is>
      </c>
      <c r="J39" s="2" t="inlineStr">
        <is>
          <t>✅ คำตอบที่ถูกต้อง: ข้อ จ. ซักประวัติเพิ่มเติมและแนะนำให้ไปพบแพทย์
💡 Background:
โรคลมชัก (Epilepsy) ต้องเลือกยากันชักให้ตรงกับชนิดของการชัก โดยคำนึงถึง efficacy, drug interactions และ safety profile ของผู้ป่วย
🎯 ทำไมข้อนี้ถึงถูก:
ซักประวัติเพิ่มเติมและแนะนำให้ไปพบแพทย์ อาการลมหมดสติร่วมกับอาการชักเกร็งซ้ำๆ เป็นอาการแสดงที่รุนแรงและบ่งบอกถึงความผิดปกติทางระบบประสาทที่ต้องได้รับการวินิจฉัยโดยแพทย์ผู้เชี่ยวชาญ (Neurologist) รวมถึงการตรวจวินิจฉัยเพิ่มเติม เช่น EEG เภสัชกรชุมชนจึงควรซักประวัติเบื้องต้นและส่งต่อผู้ป่วยไปพบแพทย์ทันที (Refer)
🔍 ข้ออื่นผิดเพราะอะไร:
• ข้อ ก. (ซักประวัติเพิ่มเติมพบว่า ผู้ป่วยมีแนวโน้มเครียดง่ายจากการทำงาน จึงให้ยาคลายกังวลและนัดพบในอีก 1 เดือน): ข้อนี้ไม่ใช่คำตอบที่ถูกต้องสำหรับภาวะ Epilepsy เนื่องจากกลไกการออกฤทธิ์, efficacy หรือข้อบ่งใช้ไม่ตรงกับโจทย์ที่กำหนด
• ข้อ ข. (ซักประวัติเพิ่มเติมพบว่ามีสุขภาพอ่อนแอ จึงให้่าวิตามินและนัดมาพบในอีก 1 สัปดาห์): ข้อนี้ไม่ใช่คำตอบที่ถูกต้องสำหรับภาวะ Epilepsy เนื่องจากกลไกการออกฤทธิ์, efficacy หรือข้อบ่งใช้ไม่ตรงกับโจทย์ที่กำหนด
• ข้อ ค. (ให้ยาคลายกล้ามเนื้อเพื่อป้องกันอาการชักเกร็งระหว่างหมดสติ): ข้อนี้ไม่ใช่คำตอบที่ถูกต้องสำหรับภาวะ Epilepsy เนื่องจากกลไกการออกฤทธิ์, efficacy หรือข้อบ่งใช้ไม่ตรงกับโจทย์ที่กำหนด
• ข้อ ง. (ซักประวัติเพิ่มเติมพบว่ามีสุขภาพอ่อนแอ จึงแนะนำให้พักผ่อนให้เพียงพอ):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2" t="n"/>
      <c r="L39" s="2" t="inlineStr">
        <is>
          <t>Epilepsy</t>
        </is>
      </c>
      <c r="M39" s="2" t="inlineStr">
        <is>
          <t>Clinic</t>
        </is>
      </c>
      <c r="N39" s="2" t="inlineStr">
        <is>
          <t>ข้อ 37 Pharma Plus เล่มม่วง (เฉลยข้อ จ)</t>
        </is>
      </c>
      <c r="O39" s="2" t="inlineStr">
        <is>
          <t>Mock</t>
        </is>
      </c>
      <c r="P39" s="2" t="inlineStr">
        <is>
          <t>Pharma Plus เล่มม่วง</t>
        </is>
      </c>
    </row>
    <row r="40" ht="13.2" customHeight="1" s="37">
      <c r="A40" s="8" t="inlineStr">
        <is>
          <t>38</t>
        </is>
      </c>
      <c r="B40" s="2" t="inlineStr">
        <is>
          <t>หนึ่งเดือนต่อมาผู้ป่วยได้นำใบสั่งยามาซื้อยา ดังนี้ นางสุดใจ อายุเยาว์ อายุ 25 ปี Dx: F/U Epilepsy Rx Dilantin® 100 mg 3 x 1 hs 30 วัน
Phenytoin มีกลไกการออกฤทธิ์ในการรักษาโรคลมชักอย่างไร</t>
        </is>
      </c>
      <c r="C40" s="2" t="n"/>
      <c r="D40" s="2" t="inlineStr">
        <is>
          <t>Block PTP (post tetanic potentiation)</t>
        </is>
      </c>
      <c r="E40" s="2" t="inlineStr">
        <is>
          <t>Decrease post-synaptic excitation</t>
        </is>
      </c>
      <c r="F40" s="2" t="inlineStr">
        <is>
          <t>Increase GABA activity</t>
        </is>
      </c>
      <c r="G40" s="2" t="inlineStr">
        <is>
          <t>Decrease excitatory neurotransmitter</t>
        </is>
      </c>
      <c r="H40" s="2" t="inlineStr">
        <is>
          <t>Inhibit protein kinase-C</t>
        </is>
      </c>
      <c r="I40" s="8" t="inlineStr">
        <is>
          <t>2</t>
        </is>
      </c>
      <c r="J40" s="2" t="inlineStr">
        <is>
          <t>✅ คำตอบที่ถูกต้อง: ข้อ ข. Decrease post-synaptic excitation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Decrease post-synaptic excitation Phenytoin ออกฤทธิ์หลักโดยการ block voltage-gated sodium channels ที่สมอง ซึ่งช่วยลด post-tetanic potentiation (PTP) และจำกัดการแพร่กระจายของกระแสไฟฟ้าที่ผิดปกติในสมอง (seizure discharge)
🔍 ข้ออื่นผิดเพราะอะไร:
• ข้อ ก. (Block PTP (post tetanic potentiation)): ข้อนี้ไม่ใช่คำตอบที่ถูกต้องสำหรับภาวะ Epilepsy เนื่องจากกลไกการออกฤทธิ์, efficacy หรือข้อบ่งใช้ไม่ตรงกับโจทย์ที่กำหนด
• ข้อ ค. (Increase GABA activity): ข้อนี้ไม่ใช่คำตอบที่ถูกต้องสำหรับภาวะ Epilepsy เนื่องจากกลไกการออกฤทธิ์, efficacy หรือข้อบ่งใช้ไม่ตรงกับโจทย์ที่กำหนด
• ข้อ ง. (Decrease excitatory neurotransmitter): ข้อนี้ไม่ใช่คำตอบที่ถูกต้องสำหรับภาวะ Epilepsy เนื่องจากกลไกการออกฤทธิ์, efficacy หรือข้อบ่งใช้ไม่ตรงกับโจทย์ที่กำหนด
• ข้อ จ. (Inhibit protein kinase-C):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0" s="2" t="n"/>
      <c r="L40" s="2" t="inlineStr">
        <is>
          <t>Epilepsy</t>
        </is>
      </c>
      <c r="M40" s="2" t="inlineStr">
        <is>
          <t>Clinic</t>
        </is>
      </c>
      <c r="N40" s="2" t="inlineStr">
        <is>
          <t>ข้อ 38 Pharma Plus เล่มม่วง (เฉลยข้อ ข ง)</t>
        </is>
      </c>
      <c r="O40" s="2" t="inlineStr">
        <is>
          <t>Mock</t>
        </is>
      </c>
      <c r="P40" s="2" t="inlineStr">
        <is>
          <t>Pharma Plus เล่มม่วง</t>
        </is>
      </c>
    </row>
    <row r="41" ht="13.2" customHeight="1" s="37">
      <c r="A41" s="8" t="inlineStr">
        <is>
          <t>39</t>
        </is>
      </c>
      <c r="B41" s="2" t="inlineStr">
        <is>
          <t>หนึ่งเดือนต่อมาผู้ป่วยได้นำใบสั่งยามาซื้อยา ดังนี้ นางสุดใจ อายุเยาว์ อายุ 25 ปี Dx: F/U Epilepsy Rx Dilantin® 100 mg 3 x 1 hs 30 วัน
ก่อนจ่ายยานี้ ท่านจะให้คำแนะนำในการใช้ยาแก่ผู้ป่วยรายนี้อย่างไร</t>
        </is>
      </c>
      <c r="C41" s="2" t="n"/>
      <c r="D41" s="2" t="inlineStr">
        <is>
          <t>รับประทานยานี้หลังอาหารทันที</t>
        </is>
      </c>
      <c r="E41" s="2" t="inlineStr">
        <is>
          <t>ดื่มน้ำมาก ๆ หลังรับประทานยา</t>
        </is>
      </c>
      <c r="F41" s="2" t="inlineStr">
        <is>
          <t>เมื่ออาการดีขึ้นสามารถปรับลดขนาดยาได้</t>
        </is>
      </c>
      <c r="G41" s="2" t="inlineStr">
        <is>
          <t>ห้ามรับประทานพร้อมนม</t>
        </is>
      </c>
      <c r="H41" s="2" t="inlineStr">
        <is>
          <t>กินยาติดต่อกันเป็นประจำทุกวัน</t>
        </is>
      </c>
      <c r="I41" s="8" t="inlineStr">
        <is>
          <t>5</t>
        </is>
      </c>
      <c r="J41" s="2" t="inlineStr">
        <is>
          <t>✅ คำตอบที่ถูกต้อง: ข้อ จ. กินยาติดต่อกันเป็นประจำทุกวัน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กินยาติดต่อกันเป็นประจำทุกวัน การรับประทานยาต้านชัก (Antiepileptic drugs) เช่น Phenytoin ต้องรับประทานอย่างสม่ำเสมอทุกวันตรงเวลา ห้ามหยุดยาหรือปรับลดขนาดเองเด็ดขาดเพราะอาจทำให้เกิด status epilepticus ได้
🔍 ข้ออื่นผิดเพราะอะไร:
• ข้อ ก. (รับประทานยานี้หลังอาหารทันที): ข้อนี้ไม่ใช่คำตอบที่ถูกต้องสำหรับภาวะ Epilepsy เนื่องจากกลไกการออกฤทธิ์, efficacy หรือข้อบ่งใช้ไม่ตรงกับโจทย์ที่กำหนด
• ข้อ ข. (ดื่มน้ำมาก ๆ หลังรับประทานยา): ข้อนี้ไม่ใช่คำตอบที่ถูกต้องสำหรับภาวะ Epilepsy เนื่องจากกลไกการออกฤทธิ์, efficacy หรือข้อบ่งใช้ไม่ตรงกับโจทย์ที่กำหนด
• ข้อ ค. (เมื่ออาการดีขึ้นสามารถปรับลดขนาดยาได้): ข้อนี้ไม่ใช่คำตอบที่ถูกต้องสำหรับภาวะ Epilepsy เนื่องจากกลไกการออกฤทธิ์, efficacy หรือข้อบ่งใช้ไม่ตรงกับโจทย์ที่กำหนด
• ข้อ ง. (ห้ามรับประทานพร้อมนม):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1" s="2" t="n"/>
      <c r="L41" s="2" t="inlineStr">
        <is>
          <t>Epilepsy</t>
        </is>
      </c>
      <c r="M41" s="2" t="inlineStr">
        <is>
          <t>Clinic</t>
        </is>
      </c>
      <c r="N41" s="2" t="inlineStr">
        <is>
          <t>ข้อ 39 Pharma Plus เล่มม่วง (เฉลยข้อ จ)</t>
        </is>
      </c>
      <c r="O41" s="2" t="inlineStr">
        <is>
          <t>Mock</t>
        </is>
      </c>
      <c r="P41" s="2" t="inlineStr">
        <is>
          <t>Pharma Plus เล่มม่วง</t>
        </is>
      </c>
    </row>
    <row r="42" ht="13.2" customHeight="1" s="37">
      <c r="A42" s="8" t="inlineStr">
        <is>
          <t>40</t>
        </is>
      </c>
      <c r="B42" s="2" t="inlineStr">
        <is>
          <t>นางสุดใจมาถามเภสัชกรที่ห้องยาโดยสงสัยว่าในการรับประทานยาแต่ละวัน ไม่เป็นเวลาเดียวกันทุกวันคลาดเคลื่อนไม่เกิน 2-3 ชั่วโมง จะเกิดปัญหาต่อการรักษาหรือไม่ เภสัชกรให้คำตอบว่าไม่เป็นไร ท่านคิดว่าปัจจัยในข้อใดทำให้เภสัชกรตอบเช่นนี้
ปัจจัยในข้อใดทำให้เภสัชกรตอบเช่นนี้</t>
        </is>
      </c>
      <c r="C42" s="2" t="n"/>
      <c r="D42" s="2" t="inlineStr">
        <is>
          <t>ค่าครึ่งชีวิตของ phenytoin ยาว</t>
        </is>
      </c>
      <c r="E42" s="2" t="inlineStr">
        <is>
          <t>Phenytoin ถูกกำจัดทางไตน้อยกว่า 5%</t>
        </is>
      </c>
      <c r="F42" s="2" t="inlineStr">
        <is>
          <t>เภสัชจลนศาสตร์ของยาเป็นแบบไม่เป็นเส้นตรง</t>
        </is>
      </c>
      <c r="G42" s="2" t="inlineStr">
        <is>
          <t>ยามีผลต่อเอนไซม์ Cytochrome P450 system</t>
        </is>
      </c>
      <c r="H42" s="2" t="inlineStr">
        <is>
          <t>Phenytoin ไม่เกิด first pass metabolism</t>
        </is>
      </c>
      <c r="I42" s="8" t="inlineStr">
        <is>
          <t>1</t>
        </is>
      </c>
      <c r="J42" s="2" t="inlineStr">
        <is>
          <t>✅ คำตอบที่ถูกต้อง: ข้อ ก. ค่าครึ่งชีวิตของ phenytoin ยาว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ค่าครึ่งชีวิตของ phenytoin ยาว Phenytoin มีค่าครึ่งชีวิต (half-life) ค่อนข้างยาว (ประมาณ 22 ชั่วโมง หรือช่วง 10-30 ชั่วโมง) ทำให้ระดับยาในเลือดค่อนข้างคงที่ แม้เวลาทานจะคลาดเคลื่อนเล็กน้อย 2-3 ชั่วโมงก็ยังอยู่ใน therapeutic window
🔍 ข้ออื่นผิดเพราะอะไร:
• ข้อ ข. (Phenytoin ถูกกำจัดทางไตน้อยกว่า 5%): เป็น sodium channel blocker สำหรับ focal/generalized seizures มี non-linear (Michaelis-Menten) PK เสี่ยง toxicity ได้ง่ายเมื่อปรับ dose และทำให้เกิด gingival hyperplasia, hirsutism, cerebellar ataxia
• ข้อ ค. (เภสัชจลนศาสตร์ของยาเป็นแบบไม่เป็นเส้นตรง): ข้อนี้ไม่ใช่คำตอบที่ถูกต้องสำหรับภาวะ Epilepsy เนื่องจากกลไกการออกฤทธิ์, efficacy หรือข้อบ่งใช้ไม่ตรงกับโจทย์ที่กำหนด
• ข้อ ง. (ยามีผลต่อเอนไซม์ Cytochrome P450 system): ข้อนี้ไม่ใช่คำตอบที่ถูกต้องสำหรับภาวะ Epilepsy เนื่องจากกลไกการออกฤทธิ์, efficacy หรือข้อบ่งใช้ไม่ตรงกับโจทย์ที่กำหนด
• ข้อ จ. (Phenytoin ไม่เกิด first pass metabolism):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2" s="2" t="n"/>
      <c r="L42" s="2" t="inlineStr">
        <is>
          <t>Epilepsy</t>
        </is>
      </c>
      <c r="M42" s="2" t="inlineStr">
        <is>
          <t>Clinic</t>
        </is>
      </c>
      <c r="N42" s="2" t="inlineStr">
        <is>
          <t>ข้อ 40 Pharma Plus เล่มม่วง (เฉลยข้อ ก)</t>
        </is>
      </c>
      <c r="O42" s="2" t="inlineStr">
        <is>
          <t>Mock</t>
        </is>
      </c>
      <c r="P42" s="2" t="inlineStr">
        <is>
          <t>Pharma Plus เล่มม่วง</t>
        </is>
      </c>
    </row>
    <row r="43" ht="13.2" customHeight="1" s="37">
      <c r="A43" s="8" t="inlineStr">
        <is>
          <t>41</t>
        </is>
      </c>
      <c r="B43" s="2" t="inlineStr">
        <is>
          <t>เภสัชจลนศาสตร์ของ phenytoin ที่เป็นแบบไม่เป็นเส้นตรง (non-linear pharmacokinetic) หมายความว่าอย่างไร</t>
        </is>
      </c>
      <c r="C43" s="2" t="n"/>
      <c r="D43" s="2" t="inlineStr">
        <is>
          <t>หาก plot graph ระหว่างขนาดยาและความเข้มข้นไม่มีส่วนที่เป็นเส้นตรง</t>
        </is>
      </c>
      <c r="E43" s="2" t="inlineStr">
        <is>
          <t>ยาถูกกำจัดจากร่างกายได้หลายกลไก</t>
        </is>
      </c>
      <c r="F43" s="2" t="inlineStr">
        <is>
          <t>ขนาดยาที่สูงขึ้น จะได้ฤทธิ์ยาเพิ่มขึ้นน้อยกว่าที่ควรจะเป็น</t>
        </is>
      </c>
      <c r="G43" s="2" t="inlineStr">
        <is>
          <t>ความเข้มข้นของยาในกระแสเลือดที่เพิ่มขึ้นไม่เป็นสัดส่วนโดยตรงกับขนาดยา</t>
        </is>
      </c>
      <c r="H43" s="2" t="inlineStr">
        <is>
          <t>เมื่อขนาดยาที่สูงขึ้น ณ จุดหนึ่ง ความสัมพันธ์ของขนาดยาและความเข้มข้นในกระแสเลือดจะเป็นสัดส่วนผกผัน</t>
        </is>
      </c>
      <c r="I43" s="8" t="inlineStr">
        <is>
          <t>4</t>
        </is>
      </c>
      <c r="J43" s="2" t="inlineStr">
        <is>
          <t>✅ คำตอบที่ถูกต้อง: ข้อ ง. ความเข้มข้นของยาในกระแสเลือดที่เพิ่มขึ้นไม่เป็นสัดส่วนโดยตรงกับขนาดยา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ความเข้มข้นของยาในกระแสเลือดที่เพิ่มขึ้นไม่เป็นสัดส่วนโดยตรงกับขนาดยา Phenytoin มี Michaelis-Menten (saturable) metabolism เมื่อเพิ่มขนาดยาเพียงเล็กน้อยในช่วงที่เอนไซม์เริ่มอิ่มตัว จะทำให้ความเข้มข้นของยาในเลือดเพิ่มขึ้นอย่างไม่เป็นสัดส่วน (disproportionate increase) ซึ่งเสี่ยงต่อการเกิดพิษ
🔍 ข้ออื่นผิดเพราะอะไร:
• ข้อ ก. (หาก plot graph ระหว่างขนาดยาและความเข้มข้นไม่มีส่วนที่เป็นเส้นตรง): ข้อนี้ไม่ใช่คำตอบที่ถูกต้องสำหรับภาวะ Epilepsy เนื่องจากกลไกการออกฤทธิ์, efficacy หรือข้อบ่งใช้ไม่ตรงกับโจทย์ที่กำหนด
• ข้อ ข. (ยาถูกกำจัดจากร่างกายได้หลายกลไก): ข้อนี้ไม่ใช่คำตอบที่ถูกต้องสำหรับภาวะ Epilepsy เนื่องจากกลไกการออกฤทธิ์, efficacy หรือข้อบ่งใช้ไม่ตรงกับโจทย์ที่กำหนด
• ข้อ ค. (ขนาดยาที่สูงขึ้น จะได้ฤทธิ์ยาเพิ่มขึ้นน้อยกว่าที่ควรจะเป็น): ข้อนี้ไม่ใช่คำตอบที่ถูกต้องสำหรับภาวะ Epilepsy เนื่องจากกลไกการออกฤทธิ์, efficacy หรือข้อบ่งใช้ไม่ตรงกับโจทย์ที่กำหนด
• ข้อ จ. (เมื่อขนาดยาที่สูงขึ้น ณ จุดหนึ่ง ความสัมพันธ์ของขนาดยาและความเข้มข้นในกระแสเลือดจะเป็นสัดส่วนผกผัน):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3" s="2" t="n"/>
      <c r="L43" s="2" t="inlineStr">
        <is>
          <t>Epilepsy</t>
        </is>
      </c>
      <c r="M43" s="2" t="inlineStr">
        <is>
          <t>Clinic</t>
        </is>
      </c>
      <c r="N43" s="2" t="inlineStr">
        <is>
          <t>ข้อ 41 Pharma Plus เล่มม่วง (เฉลยข้อ ง)</t>
        </is>
      </c>
      <c r="O43" s="2" t="inlineStr">
        <is>
          <t>Mock</t>
        </is>
      </c>
      <c r="P43" s="2" t="inlineStr">
        <is>
          <t>Pharma Plus เล่มม่วง</t>
        </is>
      </c>
    </row>
    <row r="44" ht="13.2" customHeight="1" s="37">
      <c r="A44" s="8" t="inlineStr">
        <is>
          <t>42</t>
        </is>
      </c>
      <c r="B44" s="2" t="inlineStr">
        <is>
          <t>ข้อใดเป็นผลข้างเคียงจากการใช้ phenytoin ติดต่อกันเป็นระยะเวลานาน</t>
        </is>
      </c>
      <c r="C44" s="2" t="n"/>
      <c r="D44" s="2" t="inlineStr">
        <is>
          <t>Gingival hyperplasia</t>
        </is>
      </c>
      <c r="E44" s="2" t="inlineStr">
        <is>
          <t>Ataxia</t>
        </is>
      </c>
      <c r="F44" s="2" t="inlineStr">
        <is>
          <t>Mental retardation</t>
        </is>
      </c>
      <c r="G44" s="2" t="inlineStr">
        <is>
          <t>Blurred vision</t>
        </is>
      </c>
      <c r="H44" s="2" t="inlineStr">
        <is>
          <t>Hyperactivity</t>
        </is>
      </c>
      <c r="I44" s="8" t="inlineStr">
        <is>
          <t>1</t>
        </is>
      </c>
      <c r="J44" s="2" t="inlineStr">
        <is>
          <t>✅ คำตอบที่ถูกต้อง: ข้อ ก. Gingival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Gingival hyperplasia (เหงือกบวมโต) เป็น ADR ที่พบบ่อยเมื่อใช้ Phenytoin เป็นเวลานาน ผู้ป่วยจึงควรดูแลสุขอนามัยในช่องปากและพบทันตแพทย์สม่ำเสมอ
🔍 ข้ออื่นผิดเพราะอะไร:
• ข้อ ข. (Ataxia): ข้อนี้ไม่ใช่คำตอบที่ถูกต้องสำหรับภาวะ Epilepsy เนื่องจากกลไกการออกฤทธิ์, efficacy หรือข้อบ่งใช้ไม่ตรงกับโจทย์ที่กำหนด
• ข้อ ค. (Mental retardation): ข้อนี้ไม่ใช่คำตอบที่ถูกต้องสำหรับภาวะ Epilepsy เนื่องจากกลไกการออกฤทธิ์, efficacy หรือข้อบ่งใช้ไม่ตรงกับโจทย์ที่กำหนด
• ข้อ ง. (Blurred vision): ข้อนี้ไม่ใช่คำตอบที่ถูกต้องสำหรับภาวะ Epilepsy เนื่องจากกลไกการออกฤทธิ์, efficacy หรือข้อบ่งใช้ไม่ตรงกับโจทย์ที่กำหนด
• ข้อ จ. (Hyperactivity):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4" s="2" t="n"/>
      <c r="L44" s="2" t="inlineStr">
        <is>
          <t>Epilepsy</t>
        </is>
      </c>
      <c r="M44" s="2" t="inlineStr">
        <is>
          <t>Clinic</t>
        </is>
      </c>
      <c r="N44" s="2" t="inlineStr">
        <is>
          <t>ข้อ 42 Pharma Plus เล่มม่วง (เฉลยข้อ ก)</t>
        </is>
      </c>
      <c r="O44" s="2" t="inlineStr">
        <is>
          <t>Mock</t>
        </is>
      </c>
      <c r="P44" s="2" t="inlineStr">
        <is>
          <t>Pharma Plus เล่มม่วง</t>
        </is>
      </c>
    </row>
    <row r="45" ht="13.2" customHeight="1" s="37">
      <c r="A45" s="8" t="inlineStr">
        <is>
          <t>43</t>
        </is>
      </c>
      <c r="B45" s="2" t="inlineStr">
        <is>
          <t>ผู้ป่วยมาพบแพทย์ตามนัด แพทย์พบว่าผู้ป่วยมีอาการตากระตุก (nystagmus) แพทย์สงสัยว่าอาการดังกล่าวเกิดจากพิษของยา เมื่อปรึกษาเภสัชกร ท่านจะให้คำแนะนำต่อไปนี้ ยกเว้น
ข้อใดคือคำแนะนำที่ไม่ถูกต้องเมื่อผู้ป่วยเกิดอาการตากระตุกจากพิษยา</t>
        </is>
      </c>
      <c r="C45" s="2" t="n"/>
      <c r="D45" s="2" t="inlineStr">
        <is>
          <t>ควรตรวจสอบอาการเดินเซ (ataxia) ร่วมด้วย</t>
        </is>
      </c>
      <c r="E45" s="2" t="inlineStr">
        <is>
          <t>สอบถามประวัติการใช้ยาของผู้ป่วย</t>
        </is>
      </c>
      <c r="F45" s="2" t="inlineStr">
        <is>
          <t>ตรวจวัดระดับยาในเลือด</t>
        </is>
      </c>
      <c r="G45" s="2" t="inlineStr">
        <is>
          <t>ใช้ diazepam เพื่อควบคุมอาการ nystagmus ก่อนให้การรักษาต่อไป</t>
        </is>
      </c>
      <c r="H45" s="2" t="inlineStr">
        <is>
          <t>ผู้ป่วยควรหยุดยา phenytoin และรอดูอาการ</t>
        </is>
      </c>
      <c r="I45" s="8" t="inlineStr">
        <is>
          <t>4</t>
        </is>
      </c>
      <c r="J45" s="2" t="inlineStr">
        <is>
          <t>✅ คำตอบที่ถูกต้อง: ข้อ ง. ใช้ diazepam เพื่อควบคุมอาการ nystagmus ก่อนให้การรักษาต่อไป
💡 Background:
โรคลมชัก (Epilepsy) ต้องเลือกยากันชักให้ตรงกับชนิดของการชัก โดยคำนึงถึง efficacy, drug interactions และ safety profile ของผู้ป่วย
🎯 ทำไมข้อนี้ถึงถูก:
ใช้ diazepam เพื่อควบคุมอาการ nystagmus ก่อนให้การรักษาต่อไป Nystagmus, ataxia และ dysarthria เป็นสัญญาณเตือนของพิษจาก phenytoin (dose-dependent toxicity) การจัดการคือการประเมินระดับยาในเลือดและปรับลดขนาดยา ไม่ควรใช้ diazepam เพื่อกดอาการ nystagmus และการหยุดยาทันทีโดยไม่มีการประเมินอย่างละเอียดอาจเสี่ยงต่อการเกิด status epilepticus ได้ ทั้งนี้ข้อ จ. ระบุให้ผู้ป่วยหยุดยาและรอ ซึ่งในความเป็นจริงต้องอยู่ภายใต้ดุลยพินิจของแพทย์และปรับลดอย่างเหมาะสม
🔍 ข้ออื่นผิดเพราะอะไร:
• ข้อ ก. (ควรตรวจสอบอาการเดินเซ (ataxia) ร่วมด้วย): ข้อนี้ไม่ใช่คำตอบที่ถูกต้องสำหรับภาวะ Epilepsy เนื่องจากกลไกการออกฤทธิ์, efficacy หรือข้อบ่งใช้ไม่ตรงกับโจทย์ที่กำหนด
• ข้อ ข. (สอบถามประวัติการใช้ยาของผู้ป่วย): ข้อนี้ไม่ใช่คำตอบที่ถูกต้องสำหรับภาวะ Epilepsy เนื่องจากกลไกการออกฤทธิ์, efficacy หรือข้อบ่งใช้ไม่ตรงกับโจทย์ที่กำหนด
• ข้อ ค. (ตรวจวัดระดับยาในเลือด): ข้อนี้ไม่ใช่คำตอบที่ถูกต้องสำหรับภาวะ Epilepsy เนื่องจากกลไกการออกฤทธิ์, efficacy หรือข้อบ่งใช้ไม่ตรงกับโจทย์ที่กำหนด
• ข้อ จ. (ผู้ป่วยควรหยุดยา phenytoin และรอดูอาการ):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5" s="2" t="n"/>
      <c r="L45" s="2" t="inlineStr">
        <is>
          <t>Epilepsy</t>
        </is>
      </c>
      <c r="M45" s="2" t="inlineStr">
        <is>
          <t>Clinic</t>
        </is>
      </c>
      <c r="N45" s="2" t="inlineStr">
        <is>
          <t>ข้อ 43 Pharma Plus เล่มม่วง (เฉลยข้อ ง จ)</t>
        </is>
      </c>
      <c r="O45" s="2" t="inlineStr">
        <is>
          <t>Mock</t>
        </is>
      </c>
      <c r="P45" s="2" t="inlineStr">
        <is>
          <t>Pharma Plus เล่มม่วง</t>
        </is>
      </c>
    </row>
    <row r="46" ht="13.2" customHeight="1" s="37">
      <c r="A46" s="8" t="inlineStr">
        <is>
          <t>44</t>
        </is>
      </c>
      <c r="B46" s="2" t="inlineStr">
        <is>
          <t>ข้อใดไม่ถูกต้องเกี่ยวกับหลักการใช้ยากันชัก</t>
        </is>
      </c>
      <c r="C46" s="2" t="n"/>
      <c r="D46" s="2" t="inlineStr">
        <is>
          <t>ควรเริ่มต้นการรักษาด้วยยาทีละตัว (monotherapy)</t>
        </is>
      </c>
      <c r="E46" s="2" t="inlineStr">
        <is>
          <t>ควรเริ่มต้นด้วยขนาดยาต่ำ ๆ แล้วจึงเพิ่มขนาดยาขึ้น</t>
        </is>
      </c>
      <c r="F46" s="2" t="inlineStr">
        <is>
          <t>การตรวจวัดระดับยาในเลือดอาจไม่จำเป็นในทางปฏิบัติ</t>
        </is>
      </c>
      <c r="G46" s="2" t="inlineStr">
        <is>
          <t>ขนาดของยาไม่จำเป็นต้องเท่ากัน (fixed dose) ในผู้ป่วยทุกราย</t>
        </is>
      </c>
      <c r="H46" s="2" t="inlineStr">
        <is>
          <t>ควรเลือกยากันชักชนิดใหม่เช่น gabapentin เป็นอันดับแรกในการรักษาเนื่องจากมีประสิทธิภาพสูง</t>
        </is>
      </c>
      <c r="I46" s="8" t="inlineStr">
        <is>
          <t>5</t>
        </is>
      </c>
      <c r="J46" s="2" t="inlineStr">
        <is>
          <t>✅ คำตอบที่ถูกต้อง: ข้อ จ. ควรเลือกยากันชักชนิดใหม่เช่น gabapentin เป็นอันดับแรกในการรักษาเนื่องจากมีประสิทธิภาพสูง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ควรเลือกยากันชักชนิดใหม่เช่น gabapentin เป็นอันดับแรกในการรักษาเนื่องจากมีประสิทธิภาพสูง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ตามแนวทางการรักษา epilepsy สากล (เช่น NICE guidelines) การรักษาเริ่มต้นควรใช้ยาเดี่ยว (monotherapy) ด้วยยากันชักรุ่นเก่า (First-generation AEDs เช่น carbamazepine, phenytoin, valproate) เป็น first-line เนื่องจากมีข้อมูล efficacy และความคุ้มค่าชัดเจน ส่วน gabapentin ไม่ใช่ยาเลือกแรกสำหรับรักษา generalized/focal seizures ทั่วไปในปัจจุบัน
🔍 ข้ออื่นผิดเพราะอะไร:
• ข้อ ก. (ควรเริ่มต้นการรักษาด้วยยาทีละตัว (monotherapy)): ข้อนี้ไม่ใช่คำตอบที่ถูกต้องสำหรับภาวะ Epilepsy เนื่องจากกลไกการออกฤทธิ์, efficacy หรือข้อบ่งใช้ไม่ตรงกับโจทย์ที่กำหนด
• ข้อ ข. (ควรเริ่มต้นด้วยขนาดยาต่ำ ๆ แล้วจึงเพิ่มขนาดยาขึ้น): ข้อนี้ไม่ใช่คำตอบที่ถูกต้องสำหรับภาวะ Epilepsy เนื่องจากกลไกการออกฤทธิ์, efficacy หรือข้อบ่งใช้ไม่ตรงกับโจทย์ที่กำหนด
• ข้อ ค. (การตรวจวัดระดับยาในเลือดอาจไม่จำเป็นในทางปฏิบัติ): ข้อนี้ไม่ใช่คำตอบที่ถูกต้องสำหรับภาวะ Epilepsy เนื่องจากกลไกการออกฤทธิ์, efficacy หรือข้อบ่งใช้ไม่ตรงกับโจทย์ที่กำหนด
• ข้อ ง. (ขนาดของยาไม่จำเป็นต้องเท่ากัน (fixed dose) ในผู้ป่วยทุกราย):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6" s="2" t="n"/>
      <c r="L46" s="2" t="inlineStr">
        <is>
          <t>Epilepsy</t>
        </is>
      </c>
      <c r="M46" s="2" t="inlineStr">
        <is>
          <t>Clinic</t>
        </is>
      </c>
      <c r="N46" s="2" t="inlineStr">
        <is>
          <t>ข้อ 44 Pharma Plus เล่มม่วง (เฉลยข้อ จ)</t>
        </is>
      </c>
      <c r="O46" s="2" t="inlineStr">
        <is>
          <t>Mock</t>
        </is>
      </c>
      <c r="P46" s="2" t="inlineStr">
        <is>
          <t>Pharma Plus เล่มม่วง</t>
        </is>
      </c>
    </row>
    <row r="47" ht="13.2" customHeight="1" s="37">
      <c r="A47" s="8" t="inlineStr">
        <is>
          <t>45</t>
        </is>
      </c>
      <c r="B47" s="2" t="inlineStr">
        <is>
          <t>ข้อใดต่อไปนี้คืออาการข้างเคียงที่จะเกิดจากการได้รับยา phenytoin</t>
        </is>
      </c>
      <c r="C47" s="2" t="n"/>
      <c r="D47" s="2" t="inlineStr">
        <is>
          <t>Gum hyperplasia</t>
        </is>
      </c>
      <c r="E47" s="2" t="inlineStr">
        <is>
          <t>Tachycardia</t>
        </is>
      </c>
      <c r="F47" s="2" t="inlineStr">
        <is>
          <t>Dry mouth</t>
        </is>
      </c>
      <c r="G47" s="2" t="inlineStr">
        <is>
          <t>Gastric irritation</t>
        </is>
      </c>
      <c r="H47" s="2" t="inlineStr">
        <is>
          <t>Hair loss</t>
        </is>
      </c>
      <c r="I47" s="8" t="inlineStr">
        <is>
          <t>1</t>
        </is>
      </c>
      <c r="J47" s="2" t="inlineStr">
        <is>
          <t>✅ คำตอบที่ถูกต้อง: ข้อ ก. Gum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Gum hyperplasia Gingival hyperplasia (เหงือกบวมโต) เป็น ADR ที่พบบ่อยในการใช้ยา phenytoin ระยะยาว นอกจากนี้ยังอาจพบ hirsutism (ขนดก) และ megaloblastic anemia ได้
🔍 ข้ออื่นผิดเพราะอะไร:
• ข้อ ข. (Tachycardia): ข้อนี้ไม่ใช่คำตอบที่ถูกต้องสำหรับภาวะ Epilepsy เนื่องจากกลไกการออกฤทธิ์, efficacy หรือข้อบ่งใช้ไม่ตรงกับโจทย์ที่กำหนด
• ข้อ ค. (Dry mouth): ข้อนี้ไม่ใช่คำตอบที่ถูกต้องสำหรับภาวะ Epilepsy เนื่องจากกลไกการออกฤทธิ์, efficacy หรือข้อบ่งใช้ไม่ตรงกับโจทย์ที่กำหนด
• ข้อ ง. (Gastric irritation): ข้อนี้ไม่ใช่คำตอบที่ถูกต้องสำหรับภาวะ Epilepsy เนื่องจากกลไกการออกฤทธิ์, efficacy หรือข้อบ่งใช้ไม่ตรงกับโจทย์ที่กำหนด
• ข้อ จ. (Hair loss):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7" s="2" t="n"/>
      <c r="L47" s="2" t="inlineStr">
        <is>
          <t>Epilepsy</t>
        </is>
      </c>
      <c r="M47" s="2" t="inlineStr">
        <is>
          <t>Clinic</t>
        </is>
      </c>
      <c r="N47" s="2" t="inlineStr">
        <is>
          <t>ข้อ 45 Pharma Plus เล่มม่วง (เฉลยข้อ ก)</t>
        </is>
      </c>
      <c r="O47" s="2" t="inlineStr">
        <is>
          <t>Mock</t>
        </is>
      </c>
      <c r="P47" s="2" t="inlineStr">
        <is>
          <t>Pharma Plus เล่มม่วง</t>
        </is>
      </c>
    </row>
    <row r="48" ht="13.2" customHeight="1" s="37">
      <c r="A48" s="8" t="inlineStr">
        <is>
          <t>46</t>
        </is>
      </c>
      <c r="B48" s="2" t="inlineStr">
        <is>
          <t>กลไกการออกฤทธิ์ของ phenobarbital คือข้อใด</t>
        </is>
      </c>
      <c r="C48" s="2" t="n"/>
      <c r="D48" s="2" t="inlineStr">
        <is>
          <t>กระตุ้น Glutamate neurotransmission</t>
        </is>
      </c>
      <c r="E48" s="2" t="inlineStr">
        <is>
          <t>กระตุ้น GABA neurotransmission</t>
        </is>
      </c>
      <c r="F48" s="2" t="inlineStr">
        <is>
          <t>กระตุ้น Serotonin neurotransmission</t>
        </is>
      </c>
      <c r="G48" s="2" t="inlineStr">
        <is>
          <t>ยับยั้ง Dopamine neurotransmission</t>
        </is>
      </c>
      <c r="H48" s="2" t="inlineStr">
        <is>
          <t>ยับยั้ง Norepinephrine neurotransmission</t>
        </is>
      </c>
      <c r="I48" s="8" t="inlineStr">
        <is>
          <t>2</t>
        </is>
      </c>
      <c r="J48" s="2" t="inlineStr">
        <is>
          <t>✅ คำตอบที่ถูกต้อง: ข้อ ข. กระตุ้น GABA neurotransmission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กระตุ้น GABA neurotransmission Phenobarbital เป็นยากลุ่ม barbiturates มีกลไกออกฤทธิ์โดยการจับกับ GABA_A receptor complex ทำให้ช่อง chloride เปิดนานขึ้น เพิ่มการไหลเข้าของ chloride ion ส่งผลให้เกิด hyperpolarization และยับยั้งการทำงานของระบบประสาทส่วนกลาง
🔍 ข้ออื่นผิดเพราะอะไร:
• ข้อ ก. (กระตุ้น Glutamate neurotransmission): ข้อนี้ไม่ใช่คำตอบที่ถูกต้องสำหรับภาวะ Headache เนื่องจากกลไกการออกฤทธิ์, efficacy หรือข้อบ่งใช้ไม่ตรงกับโจทย์ที่กำหนด
• ข้อ ค. (กระตุ้น Serotonin neurotransmission): ข้อนี้ไม่ใช่คำตอบที่ถูกต้องสำหรับภาวะ Headache เนื่องจากกลไกการออกฤทธิ์, efficacy หรือข้อบ่งใช้ไม่ตรงกับโจทย์ที่กำหนด
• ข้อ ง. (ยับยั้ง Dopamine neurotransmission): ข้อนี้ไม่ใช่คำตอบที่ถูกต้องสำหรับภาวะ Headache เนื่องจากกลไกการออกฤทธิ์, efficacy หรือข้อบ่งใช้ไม่ตรงกับโจทย์ที่กำหนด
• ข้อ จ. (ยับยั้ง Norepinephrine neurotransmission):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2" t="n"/>
      <c r="L48" s="2" t="inlineStr">
        <is>
          <t>Headache</t>
        </is>
      </c>
      <c r="M48" s="2" t="inlineStr">
        <is>
          <t>Clinic</t>
        </is>
      </c>
      <c r="N48" s="2" t="inlineStr">
        <is>
          <t>ข้อ 46 Pharma Plus เล่มม่วง (เฉลยข้อ ข)</t>
        </is>
      </c>
      <c r="O48" s="2" t="inlineStr">
        <is>
          <t>Mock</t>
        </is>
      </c>
      <c r="P48" s="2" t="inlineStr">
        <is>
          <t>Pharma Plus เล่มม่วง</t>
        </is>
      </c>
    </row>
    <row r="49" ht="13.2" customHeight="1" s="37">
      <c r="A49" s="8" t="inlineStr">
        <is>
          <t>47</t>
        </is>
      </c>
      <c r="B49" s="2" t="inlineStr">
        <is>
          <t>Phenobarbital ให้ผลการรักษา epilepsy ชนิดใดได้ดีที่สุด</t>
        </is>
      </c>
      <c r="C49" s="2" t="n"/>
      <c r="D49" s="2" t="inlineStr">
        <is>
          <t>Generalized tonic-clonic (Grand mal) seizure</t>
        </is>
      </c>
      <c r="E49" s="2" t="inlineStr">
        <is>
          <t>Absence (Petit mal) seizure</t>
        </is>
      </c>
      <c r="F49" s="2" t="inlineStr">
        <is>
          <t>Atonic seizure</t>
        </is>
      </c>
      <c r="G49" s="2" t="inlineStr">
        <is>
          <t>Clonic and myoclonic seizure</t>
        </is>
      </c>
      <c r="H49" s="2" t="inlineStr">
        <is>
          <t>Tonic seizure</t>
        </is>
      </c>
      <c r="I49" s="8" t="inlineStr">
        <is>
          <t>1</t>
        </is>
      </c>
      <c r="J49" s="2" t="inlineStr">
        <is>
          <t>✅ คำตอบที่ถูกต้อง: ข้อ ก. Generalized tonic-clonic (Grand mal) seizure
💡 Background:
โรคลมชัก (Epilepsy) ต้องเลือกยากันชักให้ตรงกับชนิดของการชัก โดยคำนึงถึง efficacy, drug interactions และ safety profile ของผู้ป่วย
🎯 ทำไมข้อนี้ถึงถูก:
Generalized tonic-clonic (Grand mal) seizure Phenobarbital มี efficacy ดีในการรักษา generalized tonic-clonic seizures และ focal seizures แต่ไม่ใช้ใน absence seizures เนื่องจากอาจทำให้อาการแย่ลง
🔍 ข้ออื่นผิดเพราะอะไร:
• ข้อ ข. (Absence (Petit mal) seizure): ข้อนี้ไม่ใช่คำตอบที่ถูกต้องสำหรับภาวะ Epilepsy เนื่องจากกลไกการออกฤทธิ์, efficacy หรือข้อบ่งใช้ไม่ตรงกับโจทย์ที่กำหนด
• ข้อ ค. (Atonic seizure): ข้อนี้ไม่ใช่คำตอบที่ถูกต้องสำหรับภาวะ Epilepsy เนื่องจากกลไกการออกฤทธิ์, efficacy หรือข้อบ่งใช้ไม่ตรงกับโจทย์ที่กำหนด
• ข้อ ง. (Clonic and myoclonic seizure): ข้อนี้ไม่ใช่คำตอบที่ถูกต้องสำหรับภาวะ Epilepsy เนื่องจากกลไกการออกฤทธิ์, efficacy หรือข้อบ่งใช้ไม่ตรงกับโจทย์ที่กำหนด
• ข้อ จ. (Tonic seizure):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9" s="2" t="n"/>
      <c r="L49" s="2" t="inlineStr">
        <is>
          <t>Epilepsy</t>
        </is>
      </c>
      <c r="M49" s="2" t="inlineStr">
        <is>
          <t>Clinic</t>
        </is>
      </c>
      <c r="N49" s="2" t="inlineStr">
        <is>
          <t>ข้อ 47 Pharma Plus เล่มม่วง (เฉลยข้อ ก)</t>
        </is>
      </c>
      <c r="O49" s="2" t="inlineStr">
        <is>
          <t>Mock</t>
        </is>
      </c>
      <c r="P49" s="2" t="inlineStr">
        <is>
          <t>Pharma Plus เล่มม่วง</t>
        </is>
      </c>
    </row>
    <row r="50" ht="13.2" customHeight="1" s="37">
      <c r="A50" s="8" t="inlineStr">
        <is>
          <t>48</t>
        </is>
      </c>
      <c r="B50" s="2" t="inlineStr">
        <is>
          <t>Lorazepam มีฤทธิ์ต่าง ๆ ต่อไปนี้ ยกเว้น</t>
        </is>
      </c>
      <c r="C50" s="2" t="n"/>
      <c r="D50" s="2" t="inlineStr">
        <is>
          <t>Hypnotic effect</t>
        </is>
      </c>
      <c r="E50" s="2" t="inlineStr">
        <is>
          <t>Muscle-relaxing effect</t>
        </is>
      </c>
      <c r="F50" s="2" t="inlineStr">
        <is>
          <t>Anticonvulsant effect</t>
        </is>
      </c>
      <c r="G50" s="2" t="inlineStr">
        <is>
          <t>Antianxiety effect</t>
        </is>
      </c>
      <c r="H50" s="2" t="inlineStr">
        <is>
          <t>Antidepressant effect</t>
        </is>
      </c>
      <c r="I50" s="8" t="inlineStr">
        <is>
          <t>5</t>
        </is>
      </c>
      <c r="J50" s="2" t="inlineStr">
        <is>
          <t>✅ คำตอบที่ถูกต้อง: ข้อ จ. Antidepressant effect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Antidepressant effect ยากลุ่ม Benzodiazepines (รวมถึง lorazepam) มีฤทธิ์หลัก 5 ประการ ได้แก่ ลดวิตกกังวล (antianxiety), ทำให้นอนหลับ (hypnotic), คลายกล้ามเนื้อ (muscle-relaxant), กันชัก (anticonvulsant) และทำให้สงบระงับก่อนผ่าตัด แต่ไม่มีฤทธิ์ต้านเศร้า (antidepressant)
🔍 ข้ออื่นผิดเพราะอะไร:
• ข้อ ก. (Hypnotic effect): ข้อนี้ไม่ใช่คำตอบที่ถูกต้องสำหรับภาวะ Headache เนื่องจากกลไกการออกฤทธิ์, efficacy หรือข้อบ่งใช้ไม่ตรงกับโจทย์ที่กำหนด
• ข้อ ข. (Muscle-relaxing effect): ข้อนี้ไม่ใช่คำตอบที่ถูกต้องสำหรับภาวะ Headache เนื่องจากกลไกการออกฤทธิ์, efficacy หรือข้อบ่งใช้ไม่ตรงกับโจทย์ที่กำหนด
• ข้อ ค. (Anticonvulsant effect): ข้อนี้ไม่ใช่คำตอบที่ถูกต้องสำหรับภาวะ Headache เนื่องจากกลไกการออกฤทธิ์, efficacy หรือข้อบ่งใช้ไม่ตรงกับโจทย์ที่กำหนด
• ข้อ ง. (Antianxiety effect):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2" t="n"/>
      <c r="L50" s="2" t="inlineStr">
        <is>
          <t>Headache</t>
        </is>
      </c>
      <c r="M50" s="2" t="inlineStr">
        <is>
          <t>Clinic</t>
        </is>
      </c>
      <c r="N50" s="2" t="inlineStr">
        <is>
          <t>ข้อ 48 Pharma Plus เล่มม่วง (เฉลยข้อ จ)</t>
        </is>
      </c>
      <c r="O50" s="2" t="inlineStr">
        <is>
          <t>Mock</t>
        </is>
      </c>
      <c r="P50" s="2" t="inlineStr">
        <is>
          <t>Pharma Plus เล่มม่วง</t>
        </is>
      </c>
    </row>
    <row r="51" ht="13.2" customHeight="1" s="37">
      <c r="A51" s="8" t="inlineStr">
        <is>
          <t>49</t>
        </is>
      </c>
      <c r="B51" s="2" t="inlineStr">
        <is>
          <t>ข้อความต่อไปนี้ เกี่ยวกับ lorazepam ผิด</t>
        </is>
      </c>
      <c r="C51" s="2" t="n"/>
      <c r="D51" s="2" t="inlineStr">
        <is>
          <t>ออกฤทธิ์โดยการกระตุ้น GABA neurotransmission</t>
        </is>
      </c>
      <c r="E51" s="2" t="inlineStr">
        <is>
          <t>Overdose ของ lorazepam สามารถใช้ flumazenil ซึ่งเป็น antidote รักษาได้</t>
        </is>
      </c>
      <c r="F51" s="2" t="inlineStr">
        <is>
          <t>ถ้าใช้เป็นระยะเวลานานแล้วหยุดยา จะก่อให้เกิด withdrawal symptoms ได้</t>
        </is>
      </c>
      <c r="G51" s="2" t="inlineStr">
        <is>
          <t>เป็น hepatic drug-metabolizing enzyme inducer</t>
        </is>
      </c>
      <c r="H51" s="2" t="inlineStr">
        <is>
          <t>ไม่ก่อให้เกิด hang over effect เหมือน diazepam</t>
        </is>
      </c>
      <c r="I51" s="8" t="inlineStr">
        <is>
          <t>4</t>
        </is>
      </c>
      <c r="J51" s="2" t="inlineStr">
        <is>
          <t>✅ คำตอบที่ถูกต้อง: ข้อ ง. เป็น hepatic drug-metabolizing enzyme inducer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เป็น hepatic drug-metabolizing enzyme inducer Lorazepam และ Benzodiazepines ส่วนใหญ่ไม่ได้มีฤทธิ์เหนี่ยวนำเอนไซม์ในตับ (hepatic enzyme inducer) แบบที่ยา phenytoin หรือ phenobarbital เป็น นอกจากนี้ lorazepam มีค่าครึ่งชีวิตปานกลางและไม่มี active metabolite ที่ออกฤทธิ์นานเหมือน diazepam จึงมักไม่ค่อยพบ hang over effect ที่รุนแรง และการใช้ติดต่อกันนานแล้วหยุดทันทีอาจเกิดอาการถอนยา (withdrawal symptoms) ได้ ส่วน flumazenil เป็น competitive antagonist ใช้แก้พิษ benzodiazepines
🔍 ข้ออื่นผิดเพราะอะไร:
• ข้อ ก. (ออกฤทธิ์โดยการกระตุ้น GABA neurotransmission): ข้อนี้ไม่ใช่คำตอบที่ถูกต้องสำหรับภาวะ Headache เนื่องจากกลไกการออกฤทธิ์, efficacy หรือข้อบ่งใช้ไม่ตรงกับโจทย์ที่กำหนด
• ข้อ ข. (Overdose ของ lorazepam สามารถใช้ flumazenil ซึ่งเป็น antidote รักษาได้): เป็น Benzodiazepine กลุ่ม LOT (Lorazepam, Oxazepam, Temazepam) ที่ผ่าน hepatic Phase II glucuronidation โดยตรง ไม่ผ่าน CYP oxidation จึงปลอดภัยกว่าในผู้สูงอายุและโรคตับ
• ข้อ ค. (ถ้าใช้เป็นระยะเวลานานแล้วหยุดยา จะก่อให้เกิด withdrawal symptoms ได้): ข้อนี้ไม่ใช่คำตอบที่ถูกต้องสำหรับภาวะ Headache เนื่องจากกลไกการออกฤทธิ์, efficacy หรือข้อบ่งใช้ไม่ตรงกับโจทย์ที่กำหนด
• ข้อ จ. (ไม่ก่อให้เกิด hang over effect เหมือน diazepam): เป็น long-acting Benzodiazepine มี active metabolites (nordiazepam) สะสมในผู้สูงอายุ ทำให้ง่วงซึม หกล้ม เสี่ยง fracture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2" t="n"/>
      <c r="L51" s="2" t="inlineStr">
        <is>
          <t>Headache</t>
        </is>
      </c>
      <c r="M51" s="2" t="inlineStr">
        <is>
          <t>Clinic</t>
        </is>
      </c>
      <c r="N51" s="2" t="inlineStr">
        <is>
          <t>ข้อ 49 Pharma Plus เล่มม่วง (เฉลยข้อ ง)</t>
        </is>
      </c>
      <c r="O51" s="2" t="inlineStr">
        <is>
          <t>Mock</t>
        </is>
      </c>
      <c r="P51" s="2" t="inlineStr">
        <is>
          <t>Pharma Plus เล่มม่วง</t>
        </is>
      </c>
    </row>
    <row r="52" ht="13.2" customHeight="1" s="37">
      <c r="A52" s="8" t="inlineStr">
        <is>
          <t>50</t>
        </is>
      </c>
      <c r="B52" s="2" t="inlineStr">
        <is>
          <t>Alzheimer's disease เป็นโรคของระบบประสาทส่วนกลางชนิดหนึ่งซึ่งทำให้เกิดอาการความจำเสื่อม (dementia) ก่อนวัยอันสมควร เซลล์ประสาทที่พบว่ามีสภาพเสื่อมอย่างเด่นชัดคือ</t>
        </is>
      </c>
      <c r="C52" s="2" t="n"/>
      <c r="D52" s="2" t="inlineStr">
        <is>
          <t>Noradrenergic neurons จาก locus ceruleus ไปยัง cerebral cortex</t>
        </is>
      </c>
      <c r="E52" s="2" t="inlineStr">
        <is>
          <t>Serotoninergic neurons จาก raphe nucleus ไปยัง cerebral cortex</t>
        </is>
      </c>
      <c r="F52" s="2" t="inlineStr">
        <is>
          <t>Cholinergic neurons จาก septum ไปยัง hippocampus</t>
        </is>
      </c>
      <c r="G52" s="2" t="inlineStr">
        <is>
          <t>Dopaminergic neurons จาก midbrain ไปยัง limbic system</t>
        </is>
      </c>
      <c r="H52" s="2" t="inlineStr">
        <is>
          <t>GABAergic neurons จาก striatum ไปยัง substantial nigra</t>
        </is>
      </c>
      <c r="I52" s="8" t="inlineStr">
        <is>
          <t>3</t>
        </is>
      </c>
      <c r="J52" s="2" t="inlineStr">
        <is>
          <t>✅ คำตอบที่ถูกต้อง: ข้อ ค. Cholinergic neurons จาก septum ไปยัง hippocampus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Cholinergic neurons จาก septum ไปยัง hippocampus ในผู้ป่วย Alzheimer's disease จะมีการเสื่อมสลายของ cholinergic neurons โดยเฉพาะกลุ่มที่ส่งกระแสประสาทจาก basal nucleus of Meynert และ septum ไปยัง cortex และ hippocampus ส่งผลให้ระดับ acetylcholine ลดลงอย่างมาก สอดคล้องกับ cholinergic hypothesis
🔍 ข้ออื่นผิดเพราะอะไร:
• ข้อ ก. (Noradrenergic neurons จาก locus ceruleus ไปยัง cerebral cortex): ข้อนี้ไม่ใช่คำตอบที่ถูกต้องสำหรับภาวะ Dementia, Alzheimer's เนื่องจากกลไกการออกฤทธิ์, efficacy หรือข้อบ่งใช้ไม่ตรงกับโจทย์ที่กำหนด
• ข้อ ข. (Serotoninergic neurons จาก raphe nucleus ไปยัง cerebral cortex): ข้อนี้ไม่ใช่คำตอบที่ถูกต้องสำหรับภาวะ Dementia, Alzheimer's เนื่องจากกลไกการออกฤทธิ์, efficacy หรือข้อบ่งใช้ไม่ตรงกับโจทย์ที่กำหนด
• ข้อ ง. (Dopaminergic neurons จาก midbrain ไปยัง limbic system): ข้อนี้ไม่ใช่คำตอบที่ถูกต้องสำหรับภาวะ Dementia, Alzheimer's เนื่องจากกลไกการออกฤทธิ์, efficacy หรือข้อบ่งใช้ไม่ตรงกับโจทย์ที่กำหนด
• ข้อ จ. (GABAergic neurons จาก striatum ไปยัง substantial nigra): ข้อนี้ไม่ใช่คำตอบที่ถูกต้องสำหรับภาวะ Dementia, Alzheimer's เนื่องจากกลไกการออกฤทธิ์, efficacy หรือข้อบ่งใช้ไม่ตรงกับโจทย์ที่กำหนด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2" s="2" t="n"/>
      <c r="L52" s="2" t="inlineStr">
        <is>
          <t>Dementia, Alzheimer's</t>
        </is>
      </c>
      <c r="M52" s="2" t="inlineStr">
        <is>
          <t>Clinic</t>
        </is>
      </c>
      <c r="N52" s="2" t="inlineStr">
        <is>
          <t>ข้อ 50 Pharma Plus เล่มม่วง (เฉลยข้อ ค)</t>
        </is>
      </c>
      <c r="O52" s="2" t="inlineStr">
        <is>
          <t>Mock</t>
        </is>
      </c>
      <c r="P52" s="2" t="inlineStr">
        <is>
          <t>Pharma Plus เล่มม่วง</t>
        </is>
      </c>
    </row>
    <row r="53" ht="13.2" customHeight="1" s="37">
      <c r="A53" s="8" t="inlineStr">
        <is>
          <t>51</t>
        </is>
      </c>
      <c r="B53" s="2" t="inlineStr">
        <is>
          <t>พยาธิสภาพที่พบในสมองของผู้ป่วย Alzheimer's disease นั้น ได้แก่ลักษณะดังต่อไปนี้</t>
        </is>
      </c>
      <c r="C53" s="2" t="n"/>
      <c r="D53" s="2" t="inlineStr">
        <is>
          <t>ปริมาณ choline ในสมองมากกว่าปกติ</t>
        </is>
      </c>
      <c r="E53" s="2" t="inlineStr">
        <is>
          <t>เนื้อสมองมี neurofibrillary tangles และ senile plaque มากกว่าปกติ</t>
        </is>
      </c>
      <c r="F53" s="2" t="inlineStr">
        <is>
          <t>มี enzyme choline acetyltransferase มากกว่าปกติ</t>
        </is>
      </c>
      <c r="G53" s="2" t="inlineStr">
        <is>
          <t>สมองมีขนาดใหญ่กว่าปกติ</t>
        </is>
      </c>
      <c r="H53" s="2" t="inlineStr">
        <is>
          <t>มีปริมาณ enzyme Monoamine oxidase ในสมองมากกว่าปกติ</t>
        </is>
      </c>
      <c r="I53" s="8" t="inlineStr">
        <is>
          <t>2</t>
        </is>
      </c>
      <c r="J53" s="2" t="inlineStr">
        <is>
          <t>✅ คำตอบที่ถูกต้อง: ข้อ ข. เนื้อสมองมี neurofibrillary tangles และ senile plaque มากกว่าปกติ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เนื้อสมองมี neurofibrillary tangles และ senile plaque มากกว่าปกติ พยาธิสภาพหลักที่จำเพาะต่อการวินิจฉัย Alzheimer's disease คือ การสะสมของ Extracellular amyloid-beta plaques (senile plaques) และ Intracellular neurofibrillary tangles (hyperphosphorylated tau protein) รวมถึงการลดลงของเอนไซม์ Choline acetyltransferase (ChAT)
🔍 ข้ออื่นผิดเพราะอะไร:
• ข้อ ก. (ปริมาณ choline ในสมองมากกว่าปกติ): ข้อนี้ไม่ใช่คำตอบที่ถูกต้องสำหรับภาวะ Dementia, Alzheimer's เนื่องจากกลไกการออกฤทธิ์, efficacy หรือข้อบ่งใช้ไม่ตรงกับโจทย์ที่กำหนด
• ข้อ ค. (มี enzyme choline acetyltransferase มากกว่าปกติ): ข้อนี้ไม่ใช่คำตอบที่ถูกต้องสำหรับภาวะ Dementia, Alzheimer's เนื่องจากกลไกการออกฤทธิ์, efficacy หรือข้อบ่งใช้ไม่ตรงกับโจทย์ที่กำหนด
• ข้อ ง. (สมองมีขนาดใหญ่กว่าปกติ): ข้อนี้ไม่ใช่คำตอบที่ถูกต้องสำหรับภาวะ Dementia, Alzheimer's เนื่องจากกลไกการออกฤทธิ์, efficacy หรือข้อบ่งใช้ไม่ตรงกับโจทย์ที่กำหนด
• ข้อ จ. (มีปริมาณ enzyme Monoamine oxidase ในสมองมากกว่าปกติ): ข้อนี้ไม่ใช่คำตอบที่ถูกต้องสำหรับภาวะ Dementia, Alzheimer's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2" t="n"/>
      <c r="L53" s="2" t="inlineStr">
        <is>
          <t>Dementia, Alzheimer's</t>
        </is>
      </c>
      <c r="M53" s="2" t="inlineStr">
        <is>
          <t>Clinic</t>
        </is>
      </c>
      <c r="N53" s="2" t="inlineStr">
        <is>
          <t>ข้อ 51 Pharma Plus เล่มม่วง (เฉลยข้อ ข)</t>
        </is>
      </c>
      <c r="O53" s="2" t="inlineStr">
        <is>
          <t>Mock</t>
        </is>
      </c>
      <c r="P53" s="2" t="inlineStr">
        <is>
          <t>Pharma Plus เล่มม่วง</t>
        </is>
      </c>
    </row>
    <row r="54" ht="13.2" customHeight="1" s="37">
      <c r="A54" s="8" t="inlineStr">
        <is>
          <t>52</t>
        </is>
      </c>
      <c r="B54" s="2" t="inlineStr">
        <is>
          <t>การรักษาผู้ป่วย Alzheimer's disease นั้นได้เพียงการประคับประคองให้ผู้ป่วยมีคุณภาพชีวิตในแต่ละวันดีขึ้น และเน้นการบรรเทาอาการความจำเสื่อมโดยอาจใช้ยาต่อไปนี้ ยกเว้น</t>
        </is>
      </c>
      <c r="C54" s="2" t="n"/>
      <c r="D54" s="2" t="inlineStr">
        <is>
          <t>Cholinergic antagonists</t>
        </is>
      </c>
      <c r="E54" s="2" t="inlineStr">
        <is>
          <t>Acetylcholine esterase inhibitors</t>
        </is>
      </c>
      <c r="F54" s="2" t="inlineStr">
        <is>
          <t>Estrogen hormone</t>
        </is>
      </c>
      <c r="G54" s="2" t="inlineStr">
        <is>
          <t>Acetylcholine precursors</t>
        </is>
      </c>
      <c r="H54" s="2" t="inlineStr">
        <is>
          <t>NSAID (Non-Steroidal Anti-inflammatory Drugs)</t>
        </is>
      </c>
      <c r="I54" s="8" t="inlineStr">
        <is>
          <t>1</t>
        </is>
      </c>
      <c r="J54" s="2" t="inlineStr">
        <is>
          <t>✅ คำตอบที่ถูกต้อง: ข้อ ก. Cholinergic antagonists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Cholinergic antagonists การรักษาหลักเน้นการเพิ่มระดับ Acetylcholine เช่น Acetylcholine esterase inhibitors หรือการใช้สารตั้งต้น (precursors) รวมถึงฮอร์โมนและสารต้านอักเสบตามแนวทางการศึกษา ส่วน Cholinergic antagonists จะยิ่งทำให้อาการความจำเสื่อมแย่ลงเนื่องจากไปบล็อกฤทธิ์ของ Acetylcholine เพิ่มเติม
🔍 ข้ออื่นผิดเพราะอะไร:
• ข้อ ข. (Acetylcholine esterase inhibitors): ข้อนี้ไม่ใช่คำตอบที่ถูกต้องสำหรับภาวะ Dementia, Alzheimer's เนื่องจากกลไกการออกฤทธิ์, efficacy หรือข้อบ่งใช้ไม่ตรงกับโจทย์ที่กำหนด
• ข้อ ค. (Estrogen hormone): ข้อนี้ไม่ใช่คำตอบที่ถูกต้องสำหรับภาวะ Dementia, Alzheimer's เนื่องจากกลไกการออกฤทธิ์, efficacy หรือข้อบ่งใช้ไม่ตรงกับโจทย์ที่กำหนด
• ข้อ ง. (Acetylcholine precursors): ข้อนี้ไม่ใช่คำตอบที่ถูกต้องสำหรับภาวะ Dementia, Alzheimer's เนื่องจากกลไกการออกฤทธิ์, efficacy หรือข้อบ่งใช้ไม่ตรงกับโจทย์ที่กำหนด
• ข้อ จ. (NSAID (Non-Steroidal Anti-inflammatory Drugs)): ข้อนี้ไม่ใช่คำตอบที่ถูกต้องสำหรับภาวะ Dementia, Alzheimer's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 s="2" t="n"/>
      <c r="L54" s="2" t="inlineStr">
        <is>
          <t>Dementia, Alzheimer's</t>
        </is>
      </c>
      <c r="M54" s="2" t="inlineStr">
        <is>
          <t>Clinic</t>
        </is>
      </c>
      <c r="N54" s="2" t="inlineStr">
        <is>
          <t>ข้อ 52 Pharma Plus เล่มม่วง (เฉลยข้อ ก)</t>
        </is>
      </c>
      <c r="O54" s="2" t="inlineStr">
        <is>
          <t>Mock</t>
        </is>
      </c>
      <c r="P54" s="2" t="inlineStr">
        <is>
          <t>Pharma Plus เล่มม่วง</t>
        </is>
      </c>
    </row>
    <row r="55" ht="13.2" customHeight="1" s="37">
      <c r="A55" s="8" t="inlineStr">
        <is>
          <t>53</t>
        </is>
      </c>
      <c r="B55" s="2" t="inlineStr">
        <is>
          <t>นายสุรชาติเป็นผู้ป่วย Alzheimer's disease จากการตรวจร่างกายพบว่า เอนไซม์ของตับ (aspartate aminotransferase และ alkaline phosphate) ในเซรั่มสูงกว่าปกติมาก ท่านคิดว่ายาบรรเทาอาการความจำเสื่อมตัวใดไม่ควรใช้
ยาบรรเทาอาการความจำเสื่อมตัวใดไม่ควรใช้ในผู้ป่วยรายนี้</t>
        </is>
      </c>
      <c r="C55" s="2" t="n"/>
      <c r="D55" s="2" t="inlineStr">
        <is>
          <t>Galantamine</t>
        </is>
      </c>
      <c r="E55" s="2" t="inlineStr">
        <is>
          <t>Tacrine</t>
        </is>
      </c>
      <c r="F55" s="2" t="inlineStr">
        <is>
          <t>Donepezil</t>
        </is>
      </c>
      <c r="G55" s="2" t="inlineStr">
        <is>
          <t>Rivastigmine</t>
        </is>
      </c>
      <c r="H55" s="2" t="inlineStr">
        <is>
          <t>ทุกตัวในข้อ ก ถึง ง</t>
        </is>
      </c>
      <c r="I55" s="8" t="inlineStr">
        <is>
          <t>2</t>
        </is>
      </c>
      <c r="J55" s="2" t="inlineStr">
        <is>
          <t>✅ คำตอบที่ถูกต้อง: ข้อ ข. Tacrine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Tacrine เป็น AChEI รุ่นแรกที่มีรายงานการเกิดพิษต่อตับ (hepatotoxicity) สูงมาก ทำให้ค่าเอนไซม์ตับสูงขึ้นอย่างชัดเจน ปัจจุบันจึงไม่แนะนำให้ใช้ Tacrine ในผู้ป่วยที่มีความผิดปกติของตับ
🔍 ข้ออื่นผิดเพราะอะไร:
• ข้อ ก. (Galantamine): ข้อนี้ไม่ใช่คำตอบที่ถูกต้องสำหรับภาวะ Dementia, Alzheimer's เนื่องจากกลไกการออกฤทธิ์, efficacy หรือข้อบ่งใช้ไม่ตรงกับโจทย์ที่กำหนด
• ข้อ ค. (Donepezil): ข้อนี้ไม่ใช่คำตอบที่ถูกต้องสำหรับภาวะ Dementia, Alzheimer's เนื่องจากกลไกการออกฤทธิ์, efficacy หรือข้อบ่งใช้ไม่ตรงกับโจทย์ที่กำหนด
• ข้อ ง. (Rivastigmine): ข้อนี้ไม่ใช่คำตอบที่ถูกต้องสำหรับภาวะ Dementia, Alzheimer's เนื่องจากกลไกการออกฤทธิ์, efficacy หรือข้อบ่งใช้ไม่ตรงกับโจทย์ที่กำหนด
• ข้อ จ. (ทุกตัวในข้อ ก ถึง ง): ข้อนี้ไม่ใช่คำตอบที่ถูกต้องสำหรับภาวะ Dementia, Alzheimer's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2" t="n"/>
      <c r="L55" s="2" t="inlineStr">
        <is>
          <t>Dementia, Alzheimer's</t>
        </is>
      </c>
      <c r="M55" s="2" t="inlineStr">
        <is>
          <t>Clinic</t>
        </is>
      </c>
      <c r="N55" s="2" t="inlineStr">
        <is>
          <t>ข้อ 53 Pharma Plus เล่มม่วง (เฉลยข้อ ข)</t>
        </is>
      </c>
      <c r="O55" s="2" t="inlineStr">
        <is>
          <t>Mock</t>
        </is>
      </c>
      <c r="P55" s="2" t="inlineStr">
        <is>
          <t>Pharma Plus เล่มม่วง</t>
        </is>
      </c>
    </row>
    <row r="56" ht="13.2" customHeight="1" s="37">
      <c r="A56" s="8" t="inlineStr">
        <is>
          <t>54</t>
        </is>
      </c>
      <c r="B56" s="2" t="inlineStr">
        <is>
          <t>ยาใดต่อไปนี้เป็นยารักษาโรคอัลไซเมอร์ ระดับ severe ได้</t>
        </is>
      </c>
      <c r="C56" s="2" t="n"/>
      <c r="D56" s="2" t="inlineStr">
        <is>
          <t>Donepezil</t>
        </is>
      </c>
      <c r="E56" s="2" t="inlineStr">
        <is>
          <t>Rivastigmine</t>
        </is>
      </c>
      <c r="F56" s="2" t="inlineStr">
        <is>
          <t>Galantamine</t>
        </is>
      </c>
      <c r="G56" s="2" t="inlineStr">
        <is>
          <t>Tacrine</t>
        </is>
      </c>
      <c r="H56" s="2" t="inlineStr">
        <is>
          <t>Memantine</t>
        </is>
      </c>
      <c r="I56" s="8" t="inlineStr">
        <is>
          <t>1</t>
        </is>
      </c>
      <c r="J56" s="2" t="inlineStr">
        <is>
          <t>✅ คำตอบที่ถูกต้อง: ข้อ ก. Donepezil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Donepezil Memantine เป็น NMDA receptor antagonist ที่ข้อบ่งใช้หลักคือใช้รักษาโรคอัลไซเมอร์ในระดับปานกลางถึงรุนแรง (moderate to severe) ในขณะที่ AChEIs ส่วนใหญ่ใช้ในระดับ mild to moderate
🔍 ข้ออื่นผิดเพราะอะไร:
• ข้อ ข. (Rivastigmine): ข้อนี้ไม่ใช่คำตอบที่ถูกต้องสำหรับภาวะ Dementia, Alzheimer's เนื่องจากกลไกการออกฤทธิ์, efficacy หรือข้อบ่งใช้ไม่ตรงกับโจทย์ที่กำหนด
• ข้อ ค. (Galantamine): ข้อนี้ไม่ใช่คำตอบที่ถูกต้องสำหรับภาวะ Dementia, Alzheimer's เนื่องจากกลไกการออกฤทธิ์, efficacy หรือข้อบ่งใช้ไม่ตรงกับโจทย์ที่กำหนด
• ข้อ ง. (Tacrine): ข้อนี้ไม่ใช่คำตอบที่ถูกต้องสำหรับภาวะ Dementia, Alzheimer's เนื่องจากกลไกการออกฤทธิ์, efficacy หรือข้อบ่งใช้ไม่ตรงกับโจทย์ที่กำหนด
• ข้อ จ. (Memantine): ข้อนี้ไม่ใช่คำตอบที่ถูกต้องสำหรับภาวะ Dementia, Alzheimer's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2" t="n"/>
      <c r="L56" s="2" t="inlineStr">
        <is>
          <t>Dementia, Alzheimer's</t>
        </is>
      </c>
      <c r="M56" s="2" t="inlineStr">
        <is>
          <t>Clinic</t>
        </is>
      </c>
      <c r="N56" s="2" t="inlineStr">
        <is>
          <t>ข้อ 54 Pharma Plus เล่มม่วง (เฉลยข้อ ก จ)</t>
        </is>
      </c>
      <c r="O56" s="2" t="inlineStr">
        <is>
          <t>Mock</t>
        </is>
      </c>
      <c r="P56" s="2" t="inlineStr">
        <is>
          <t>Pharma Plus เล่มม่วง</t>
        </is>
      </c>
    </row>
    <row r="57" ht="13.2" customHeight="1" s="37">
      <c r="A57" s="8" t="inlineStr">
        <is>
          <t>55</t>
        </is>
      </c>
      <c r="B57" s="2" t="inlineStr">
        <is>
          <t>“Plaques protein” ต้นเหตุของโรคอัลไซเมอร์เกิดจากทำลายโปรตีนใดผิดปกติไป</t>
        </is>
      </c>
      <c r="C57" s="2" t="n"/>
      <c r="D57" s="2" t="inlineStr">
        <is>
          <t>β - Amyloid protein</t>
        </is>
      </c>
      <c r="E57" s="2" t="inlineStr">
        <is>
          <t>Intracellular Neurofibrillary Tangles (NFTs)</t>
        </is>
      </c>
      <c r="F57" s="2" t="inlineStr">
        <is>
          <t>Tau protein</t>
        </is>
      </c>
      <c r="G57" s="2" t="inlineStr">
        <is>
          <t>Myelin</t>
        </is>
      </c>
      <c r="H57" s="2" t="inlineStr">
        <is>
          <t>N-acetylgalactosamine-4-sulfatase</t>
        </is>
      </c>
      <c r="I57" s="8" t="inlineStr">
        <is>
          <t>1</t>
        </is>
      </c>
      <c r="J57" s="2" t="inlineStr">
        <is>
          <t>✅ คำตอบที่ถูกต้อง: ข้อ ก. β - Amyloid protein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β - Amyloid protein Senile plaques หรือ Amyloid plaques เกิดจากการสะสมที่ผิดปกติของโปรตีน Beta-amyloid ซึ่งเป็นผลมาจากการตัดโปรตีน Amyloid precursor protein (APP) ด้วยเอนไซม์ Beta และ Gamma secretase ที่ผิดปกติ
🔍 ข้ออื่นผิดเพราะอะไร:
• ข้อ ข. (Intracellular Neurofibrillary Tangles (NFTs)): ข้อนี้ไม่ใช่คำตอบที่ถูกต้องสำหรับภาวะ Headache เนื่องจากกลไกการออกฤทธิ์, efficacy หรือข้อบ่งใช้ไม่ตรงกับโจทย์ที่กำหนด
• ข้อ ค. (Tau protein): ข้อนี้ไม่ใช่คำตอบที่ถูกต้องสำหรับภาวะ Headache เนื่องจากกลไกการออกฤทธิ์, efficacy หรือข้อบ่งใช้ไม่ตรงกับโจทย์ที่กำหนด
• ข้อ ง. (Myelin): ข้อนี้ไม่ใช่คำตอบที่ถูกต้องสำหรับภาวะ Headache เนื่องจากกลไกการออกฤทธิ์, efficacy หรือข้อบ่งใช้ไม่ตรงกับโจทย์ที่กำหนด
• ข้อ จ. (N-acetylgalactosamine-4-sulfatase):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2" t="n"/>
      <c r="L57" s="2" t="inlineStr">
        <is>
          <t>Headache</t>
        </is>
      </c>
      <c r="M57" s="2" t="inlineStr">
        <is>
          <t>Clinic</t>
        </is>
      </c>
      <c r="N57" s="2" t="inlineStr">
        <is>
          <t>ข้อ 55 Pharma Plus เล่มม่วง (เฉลยข้อ ก)</t>
        </is>
      </c>
      <c r="O57" s="2" t="inlineStr">
        <is>
          <t>Mock</t>
        </is>
      </c>
      <c r="P57" s="2" t="inlineStr">
        <is>
          <t>Pharma Plus เล่มม่วง</t>
        </is>
      </c>
    </row>
    <row r="58" ht="13.2" customHeight="1" s="37">
      <c r="A58" s="8" t="inlineStr">
        <is>
          <t>56</t>
        </is>
      </c>
      <c r="B58" s="2" t="inlineStr">
        <is>
          <t>ข้อใดไม่ใช่กลไกการเกิดโรคอัลไซเมอร์</t>
        </is>
      </c>
      <c r="C58" s="2" t="n"/>
      <c r="D58" s="2" t="inlineStr">
        <is>
          <t>ขาด serotonin และ dopamine ทำให้ behavioral disturbances</t>
        </is>
      </c>
      <c r="E58" s="2" t="inlineStr">
        <is>
          <t>ขาด Acetylcholine ทำให้ memory loss</t>
        </is>
      </c>
      <c r="F58" s="2" t="inlineStr">
        <is>
          <t>Glutamate มีน้อยเกินไปโดยหลั่งจากการกระตุ้น receptor ด้วย แคลเซียม</t>
        </is>
      </c>
      <c r="G58" s="2" t="inlineStr">
        <is>
          <t>การทำงานของ monoamine oxidase type B เพิ่มขึ้น</t>
        </is>
      </c>
      <c r="H58" s="2" t="inlineStr">
        <is>
          <t>เกิดการสะสมของ plaques และ tangles protein</t>
        </is>
      </c>
      <c r="I58" s="8" t="inlineStr">
        <is>
          <t>1</t>
        </is>
      </c>
      <c r="J58" s="2" t="inlineStr">
        <is>
          <t>✅ คำตอบที่ถูกต้อง: ข้อ ก. ขาด serotonin และ dopamine ทำให้ behavioral disturbances
💡 Background:
การบริบาลผู้ป่วยในกลุ่มโรค Dementia, Alzheimer's มุ่งเน้นการควบคุมโรคและลดความเสี่ยงต่อภาวะแทรกซ้อนด้วย evidence-based pharmacotherapy
🎯 ทำไมข้อนี้ถึงถูก:
ขาด serotonin และ dopamine ทำให้ behavioral disturbances พยาธิ生理ของ Alzheimer's disease เกี่ยวข้องกับการลดลงของ Acetylcholine (cholinergic hypothesis), การสะสมของ amyloid plaques และ neurofibrillary tangles (tau protein), รวมถึง excitotoxicity จาก Glutamate ที่ *มากเกินไป• (excessive glutamate) ไม่ใช่น้อยเกินไป ส่วนการขาด serotonin/dopamine และการเพิ่มขึ้นของ MAO-B เกี่ยวข้องกับอาการทางพฤติกรรมและจิตเวชในผู้ป่วยสมองเสื่อม
🔍 ข้ออื่นผิดเพราะอะไร:
• ข้อ ข. (ขาด Acetylcholine ทำให้ memory loss): ข้อนี้ไม่ใช่คำตอบที่ถูกต้องสำหรับภาวะ Dementia, Alzheimer's เนื่องจากกลไกการออกฤทธิ์, efficacy หรือข้อบ่งใช้ไม่ตรงกับโจทย์ที่กำหนด
• ข้อ ค. (Glutamate มีน้อยเกินไปโดยหลั่งจากการกระตุ้น receptor ด้วย แคลเซียม): ข้อนี้ไม่ใช่คำตอบที่ถูกต้องสำหรับภาวะ Dementia, Alzheimer's เนื่องจากกลไกการออกฤทธิ์, efficacy หรือข้อบ่งใช้ไม่ตรงกับโจทย์ที่กำหนด
• ข้อ ง. (การทำงานของ monoamine oxidase type B เพิ่มขึ้น): ข้อนี้ไม่ใช่คำตอบที่ถูกต้องสำหรับภาวะ Dementia, Alzheimer's เนื่องจากกลไกการออกฤทธิ์, efficacy หรือข้อบ่งใช้ไม่ตรงกับโจทย์ที่กำหนด
• ข้อ จ. (เกิดการสะสมของ plaques และ tangles protein): ข้อนี้ไม่ใช่คำตอบที่ถูกต้องสำหรับภาวะ Dementia, Alzheimer's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2" t="n"/>
      <c r="L58" s="2" t="inlineStr">
        <is>
          <t>Dementia, Alzheimer's</t>
        </is>
      </c>
      <c r="M58" s="2" t="inlineStr">
        <is>
          <t>Clinic</t>
        </is>
      </c>
      <c r="N58" s="2" t="inlineStr">
        <is>
          <t>ข้อ 56 Pharma Plus เล่มม่วง (เฉลยข้อ ก ค)</t>
        </is>
      </c>
      <c r="O58" s="2" t="inlineStr">
        <is>
          <t>Mock</t>
        </is>
      </c>
      <c r="P58" s="2" t="inlineStr">
        <is>
          <t>Pharma Plus เล่มม่วง</t>
        </is>
      </c>
    </row>
    <row r="59" ht="13.2" customHeight="1" s="37">
      <c r="A59" s="8" t="inlineStr">
        <is>
          <t>57</t>
        </is>
      </c>
      <c r="B59" s="2" t="inlineStr">
        <is>
          <t>ชายไทย อายุ 75 ปี มีประวัติเป็นโรคความดันโลหิตสูงมาประมาณ 5 ปี และมักปวดหัวเข่าเป็นประจำ ระยะหลังเริ่มมีอาการ tremor มากขึ้น เดินตัวแข็ง ก้าวช้า ๆ ล้มลง 4 ครั้งในช่วง 2 เดือนที่ผ่านมา ได้รับการวินิจฉัยว่าเป็นโรค Parkinson ยาที่ผู้ป่วยได้รับมีดังนี้ Reserpine 0.1 mg, Hydralazine HCL 25 mg, Hydrochlorothiazide 15 mg tablet 1x2, Naproxen 250 mg 1x2 prn, Selegiline 5 mg 1x1, Benserazide/levodopa 50/200 mg 1x3, Multivitamin 1x3
ยาตัวที่อาจมีผลทำให้อาการของโรค Parkinson เลวลงในผู้ป่วยรายนี้</t>
        </is>
      </c>
      <c r="C59" s="2" t="n"/>
      <c r="D59" s="2" t="inlineStr">
        <is>
          <t>Reserpine</t>
        </is>
      </c>
      <c r="E59" s="2" t="inlineStr">
        <is>
          <t>Hydralazine</t>
        </is>
      </c>
      <c r="F59" s="2" t="inlineStr">
        <is>
          <t>Hydrochlorothiazide</t>
        </is>
      </c>
      <c r="G59" s="2" t="inlineStr">
        <is>
          <t>Naproxen</t>
        </is>
      </c>
      <c r="H59" s="2" t="inlineStr">
        <is>
          <t>Selegiline</t>
        </is>
      </c>
      <c r="I59" s="8" t="inlineStr">
        <is>
          <t>1</t>
        </is>
      </c>
      <c r="J59" s="2" t="inlineStr">
        <is>
          <t>✅ คำตอบที่ถูกต้อง: ข้อ ก. Reserpine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Reserpine มีกลไก deplete catecholamines (รวมถึง dopamine) ในปลายประสาทส่วนกลาง ทำให้เกิดภาวะ drug-induced Parkinsonism หรือทำให้อาการของโรค Parkinson แย่ลงได้อย่างชัดเจน
🔍 ข้ออื่นผิดเพราะอะไร:
• ข้อ ข. (Hydralazine): เป็น direct arteriolar vasodilator ใช้ร่วมกับ isosorbide dinitrate ใน HFrEF (โดยเฉพาะคนผิวดำ) หรือรักษา severe HTN ในหญิงตั้งครรภ์ แต่เสี่ยงต่อ drug-induced lupus
• ข้อ ค. (Hydrochlorothiazide): เป็น Thiazide diuretic ลด plasma volume แต่อาจทำให้เกิด hypokalemia, hyponatremia, hyperuricemia และ hyperglycemia และ efficacy ลดลงมากเมื่อ eGFR &lt; 30 mL/min
• ข้อ ง. (Naproxen): เป็น non-selective NSAID ที่มี cardiovascular safety profile ดีที่สุด และมี efficacy สูงในการระงับ acute inflammation
• ข้อ จ. (Selegiline):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9" s="2" t="n"/>
      <c r="L59" s="2" t="inlineStr">
        <is>
          <t>Parkinson disease</t>
        </is>
      </c>
      <c r="M59" s="2" t="inlineStr">
        <is>
          <t>Clinic</t>
        </is>
      </c>
      <c r="N59" s="2" t="inlineStr">
        <is>
          <t>ข้อ 57 Pharma Plus เล่มม่วง (เฉลยข้อ ก)</t>
        </is>
      </c>
      <c r="O59" s="2" t="inlineStr">
        <is>
          <t>Mock</t>
        </is>
      </c>
      <c r="P59" s="2" t="inlineStr">
        <is>
          <t>Pharma Plus เล่มม่วง</t>
        </is>
      </c>
    </row>
    <row r="60" ht="13.2" customHeight="1" s="37">
      <c r="A60" s="8" t="inlineStr">
        <is>
          <t>58</t>
        </is>
      </c>
      <c r="B60" s="2" t="inlineStr">
        <is>
          <t>ยา benserazide ที่ผู้ป่วยได้รับ ออกฤทธิ์ยับยั้งที่ enzyme ใด</t>
        </is>
      </c>
      <c r="C60" s="2" t="n"/>
      <c r="D60" s="2" t="inlineStr">
        <is>
          <t>Monoamine oxidase-A</t>
        </is>
      </c>
      <c r="E60" s="2" t="inlineStr">
        <is>
          <t>Monoamine oxidase-B</t>
        </is>
      </c>
      <c r="F60" s="2" t="inlineStr">
        <is>
          <t>Dopa decarboxylase</t>
        </is>
      </c>
      <c r="G60" s="2" t="inlineStr">
        <is>
          <t>Catechol-O-methyltransferase</t>
        </is>
      </c>
      <c r="H60" s="2" t="inlineStr">
        <is>
          <t>Acetyltransferase</t>
        </is>
      </c>
      <c r="I60" s="8" t="inlineStr">
        <is>
          <t>3</t>
        </is>
      </c>
      <c r="J60" s="2" t="inlineStr">
        <is>
          <t>✅ คำตอบที่ถูกต้อง: ข้อ ค. Dopa decarboxylase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Dopa decarboxylase Benserazide เป็นยา peripheral dopa decarboxylase inhibitor (DDI) ซึ่งใช้ร่วมกับ Levodopa เพื่อป้องกันการเปลี่ยน levodopa เป็น dopamine ในกระแสเลือดก่อนเข้าสู่สมอง ช่วยลดผลข้างเคียง peripheral side effects เช่นคลื่นไส้อาเจียน และเพิ่มปริมาณยาที่เข้าสู่สมอง
🔍 ข้ออื่นผิดเพราะอะไร:
• ข้อ ก. (Monoamine oxidase-A): ข้อนี้ไม่ใช่คำตอบที่ถูกต้องสำหรับภาวะ Parkinson disease เนื่องจากกลไกการออกฤทธิ์, efficacy หรือข้อบ่งใช้ไม่ตรงกับโจทย์ที่กำหนด
• ข้อ ข. (Monoamine oxidase-B): ข้อนี้ไม่ใช่คำตอบที่ถูกต้องสำหรับภาวะ Parkinson disease เนื่องจากกลไกการออกฤทธิ์, efficacy หรือข้อบ่งใช้ไม่ตรงกับโจทย์ที่กำหนด
• ข้อ ง. (Catechol-O-methyltransferase): ข้อนี้ไม่ใช่คำตอบที่ถูกต้องสำหรับภาวะ Parkinson disease เนื่องจากกลไกการออกฤทธิ์, efficacy หรือข้อบ่งใช้ไม่ตรงกับโจทย์ที่กำหนด
• ข้อ จ. (Acetyltransferase):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n"/>
      <c r="L60" s="2" t="inlineStr">
        <is>
          <t>Parkinson disease</t>
        </is>
      </c>
      <c r="M60" s="2" t="inlineStr">
        <is>
          <t>Clinic</t>
        </is>
      </c>
      <c r="N60" s="2" t="inlineStr">
        <is>
          <t>ข้อ 58 Pharma Plus เล่มม่วง (เฉลยข้อ ค)</t>
        </is>
      </c>
      <c r="O60" s="2" t="inlineStr">
        <is>
          <t>Mock</t>
        </is>
      </c>
      <c r="P60" s="2" t="inlineStr">
        <is>
          <t>Pharma Plus เล่มม่วง</t>
        </is>
      </c>
    </row>
    <row r="61" ht="13.2" customHeight="1" s="37">
      <c r="A61" s="8" t="inlineStr">
        <is>
          <t>59</t>
        </is>
      </c>
      <c r="B61" s="2" t="inlineStr">
        <is>
          <t>ยา selegiline ที่ผู้ป่วยได้รับ มีกลไกการออกฤทธิ์อย่างไร</t>
        </is>
      </c>
      <c r="C61" s="2" t="n"/>
      <c r="D61" s="2" t="inlineStr">
        <is>
          <t>Dopamine reuptake inhibitor</t>
        </is>
      </c>
      <c r="E61" s="2" t="inlineStr">
        <is>
          <t>NMDA receptor antagonist</t>
        </is>
      </c>
      <c r="F61" s="2" t="inlineStr">
        <is>
          <t>Catechol-O-methyltransferase inhibitor</t>
        </is>
      </c>
      <c r="G61" s="2" t="inlineStr">
        <is>
          <t>Dopa decarboxylase inhibitor</t>
        </is>
      </c>
      <c r="H61" s="2" t="inlineStr">
        <is>
          <t>Monoamine oxidase-B inhibitor</t>
        </is>
      </c>
      <c r="I61" s="8" t="inlineStr">
        <is>
          <t>5</t>
        </is>
      </c>
      <c r="J61" s="2" t="inlineStr">
        <is>
          <t>✅ คำตอบที่ถูกต้อง: ข้อ จ. Monoamine oxidase-B inhibitor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Monoamine oxidase-B inhibitor Selegiline เป็นยาในกลุ่ม selective Monoamine oxidase-B (MAO-B) inhibitor ที่ช่วยยับยั้งการสลายตัวของ dopamine ในสมอง ทำให้ระดับ dopamine ใน CNS เพิ่มขึ้น
🔍 ข้ออื่นผิดเพราะอะไร:
• ข้อ ก. (Dopamine reuptake inhibitor): ข้อนี้ไม่ใช่คำตอบที่ถูกต้องสำหรับภาวะ Parkinson disease เนื่องจากกลไกการออกฤทธิ์, efficacy หรือข้อบ่งใช้ไม่ตรงกับโจทย์ที่กำหนด
• ข้อ ข. (NMDA receptor antagonist): ข้อนี้ไม่ใช่คำตอบที่ถูกต้องสำหรับภาวะ Parkinson disease เนื่องจากกลไกการออกฤทธิ์, efficacy หรือข้อบ่งใช้ไม่ตรงกับโจทย์ที่กำหนด
• ข้อ ค. (Catechol-O-methyltransferase inhibitor): ข้อนี้ไม่ใช่คำตอบที่ถูกต้องสำหรับภาวะ Parkinson disease เนื่องจากกลไกการออกฤทธิ์, efficacy หรือข้อบ่งใช้ไม่ตรงกับโจทย์ที่กำหนด
• ข้อ ง. (Dopa decarboxylase inhibitor):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2" t="n"/>
      <c r="L61" s="2" t="inlineStr">
        <is>
          <t>Parkinson disease</t>
        </is>
      </c>
      <c r="M61" s="2" t="inlineStr">
        <is>
          <t>Clinic</t>
        </is>
      </c>
      <c r="N61" s="2" t="inlineStr">
        <is>
          <t>ข้อ 59 Pharma Plus เล่มม่วง (เฉลยข้อ จ)</t>
        </is>
      </c>
      <c r="O61" s="2" t="inlineStr">
        <is>
          <t>Mock</t>
        </is>
      </c>
      <c r="P61" s="2" t="inlineStr">
        <is>
          <t>Pharma Plus เล่มม่วง</t>
        </is>
      </c>
    </row>
    <row r="62" ht="13.2" customHeight="1" s="37">
      <c r="A62" s="8" t="inlineStr">
        <is>
          <t>60</t>
        </is>
      </c>
      <c r="B62" s="2" t="inlineStr">
        <is>
          <t>ยาชนิดใดห้ามใช้ร่วมกับ selegiline</t>
        </is>
      </c>
      <c r="C62" s="2" t="n"/>
      <c r="D62" s="2" t="inlineStr">
        <is>
          <t>Pindolol</t>
        </is>
      </c>
      <c r="E62" s="2" t="inlineStr">
        <is>
          <t>Pethidine</t>
        </is>
      </c>
      <c r="F62" s="2" t="inlineStr">
        <is>
          <t>Propranolol</t>
        </is>
      </c>
      <c r="G62" s="2" t="inlineStr">
        <is>
          <t>Pentamidine</t>
        </is>
      </c>
      <c r="H62" s="2" t="inlineStr">
        <is>
          <t>Pentoxifylline</t>
        </is>
      </c>
      <c r="I62" s="8" t="inlineStr">
        <is>
          <t>2</t>
        </is>
      </c>
      <c r="J62" s="2" t="inlineStr">
        <is>
          <t>✅ คำตอบที่ถูกต้อง: ข้อ ข. Pethidine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Pethidine การใช้ Selegiline ร่วมกับยากลุ่ม opioids โดยเฉพาะ Pethidine (meperidine) หรือ SSRIs/TCAs อาจทำให้เกิดกลุ่มอาการรุนแรง Serotonin syndrome หรือความดันโลหิตสูงวิกฤตได้ เนื่องจากฤทธิ์ยับยั้ง MAO
🔍 ข้ออื่นผิดเพราะอะไร:
• ข้อ ก. (Pindolol): ข้อนี้ไม่ใช่คำตอบที่ถูกต้องสำหรับภาวะ Headache เนื่องจากกลไกการออกฤทธิ์, efficacy หรือข้อบ่งใช้ไม่ตรงกับโจทย์ที่กำหนด
• ข้อ ค. (Propranolol): เป็น non-selective beta-blocker ข้าม blood-brain barrier ได้ดี เหมาะสำหรับ performance anxiety, essential tremor, migraine prophylaxis และ thyroid storm แต่ contraindication ใน asthma
• ข้อ ง. (Pentamidine): ข้อนี้ไม่ใช่คำตอบที่ถูกต้องสำหรับภาวะ Headache เนื่องจากกลไกการออกฤทธิ์, efficacy หรือข้อบ่งใช้ไม่ตรงกับโจทย์ที่กำหนด
• ข้อ จ. (Pentoxifylline):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2" t="n"/>
      <c r="L62" s="2" t="inlineStr">
        <is>
          <t>Headache</t>
        </is>
      </c>
      <c r="M62" s="2" t="inlineStr">
        <is>
          <t>Clinic</t>
        </is>
      </c>
      <c r="N62" s="2" t="inlineStr">
        <is>
          <t>ข้อ 60 Pharma Plus เล่มม่วง (เฉลยข้อ ข)</t>
        </is>
      </c>
      <c r="O62" s="2" t="inlineStr">
        <is>
          <t>Mock</t>
        </is>
      </c>
      <c r="P62" s="2" t="inlineStr">
        <is>
          <t>Pharma Plus เล่มม่วง</t>
        </is>
      </c>
    </row>
    <row r="63" ht="13.2" customHeight="1" s="37">
      <c r="A63" s="8" t="inlineStr">
        <is>
          <t>61</t>
        </is>
      </c>
      <c r="B63" s="2" t="inlineStr">
        <is>
          <t>ถ้าช่วงนี้ผู้ป่วยเริ่มมีปัญหาการเกิดอาการของ dyskinesia ควรจะแก้ไขอย่างไร</t>
        </is>
      </c>
      <c r="C63" s="2" t="n"/>
      <c r="D63" s="2" t="inlineStr">
        <is>
          <t>หยุดยา selegiline</t>
        </is>
      </c>
      <c r="E63" s="2" t="inlineStr">
        <is>
          <t>ให้ bromocriptine</t>
        </is>
      </c>
      <c r="F63" s="2" t="inlineStr">
        <is>
          <t>ลดขนาดยา benserazide</t>
        </is>
      </c>
      <c r="G63" s="2" t="inlineStr">
        <is>
          <t>หยุดยา selegiline และให้ bromocriptine</t>
        </is>
      </c>
      <c r="H63" s="2" t="inlineStr">
        <is>
          <t>หยุดยา selegiline ร่วมกับการลดขนาดยา benserazide และให้ bromocriptine</t>
        </is>
      </c>
      <c r="I63" s="8" t="inlineStr">
        <is>
          <t>1</t>
        </is>
      </c>
      <c r="J63" s="2" t="inlineStr">
        <is>
          <t>✅ คำตอบที่ถูกต้อง: ข้อ ก. หยุดยา selegiline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หยุดยา selegiline Levodopa-induced dyskinesia (LID) มักเกิดจากการใช้ Levodopa (Benserazide/levodopa) ในขนาดที่สูงเกินไปหรือใช้มาเป็นเวลานาน แนวทางแก้ไขหลักคือการปรับลดขนาดยา levodopa/benserazide ลง หรืออาจแบ่งมื้อยาให้ถี่ขึ้นแต่ขนาดน้อยลง
🔍 ข้ออื่นผิดเพราะอะไร:
• ข้อ ข. (ให้ bromocriptine): ข้อนี้ไม่ใช่คำตอบที่ถูกต้องสำหรับภาวะ Parkinson disease เนื่องจากกลไกการออกฤทธิ์, efficacy หรือข้อบ่งใช้ไม่ตรงกับโจทย์ที่กำหนด
• ข้อ ค. (ลดขนาดยา benserazide): ข้อนี้ไม่ใช่คำตอบที่ถูกต้องสำหรับภาวะ Parkinson disease เนื่องจากกลไกการออกฤทธิ์, efficacy หรือข้อบ่งใช้ไม่ตรงกับโจทย์ที่กำหนด
• ข้อ ง. (หยุดยา selegiline และให้ bromocriptine): ข้อนี้ไม่ใช่คำตอบที่ถูกต้องสำหรับภาวะ Parkinson disease เนื่องจากกลไกการออกฤทธิ์, efficacy หรือข้อบ่งใช้ไม่ตรงกับโจทย์ที่กำหนด
• ข้อ จ. (หยุดยา selegiline ร่วมกับการลดขนาดยา benserazide และให้ bromocriptine):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n"/>
      <c r="L63" s="2" t="inlineStr">
        <is>
          <t>Parkinson disease</t>
        </is>
      </c>
      <c r="M63" s="2" t="inlineStr">
        <is>
          <t>Clinic</t>
        </is>
      </c>
      <c r="N63" s="2" t="inlineStr">
        <is>
          <t>ข้อ 61 Pharma Plus เล่มม่วง (เฉลยข้อ )</t>
        </is>
      </c>
      <c r="O63" s="2" t="inlineStr">
        <is>
          <t>Mock</t>
        </is>
      </c>
      <c r="P63" s="2" t="inlineStr">
        <is>
          <t>Pharma Plus เล่มม่วง</t>
        </is>
      </c>
    </row>
    <row r="64" ht="13.2" customHeight="1" s="37">
      <c r="A64" s="8" t="inlineStr">
        <is>
          <t>63</t>
        </is>
      </c>
      <c r="B64" s="2" t="inlineStr">
        <is>
          <t>ผู้ป่วยอายุ 65ปี จะทำอย่างไรเมื่อผู้ป่วยต้องใช้ยาเยอะ ในการให้ฉลากยาหลายตัวในการคำนึงถึง pharmaco
technology และการออกแบบเพื่อผู้ใช้ universal center design</t>
        </is>
      </c>
      <c r="C64" s="2" t="n"/>
      <c r="D64" s="2" t="inlineStr">
        <is>
          <t>เขียนฉลากตัวบรรจงให้ผู้ป่วยอ่าน</t>
        </is>
      </c>
      <c r="E64" s="2" t="inlineStr">
        <is>
          <t>จัด pillbox ตามวันให้ผู้ป่วย และสอนให้ผู้ป่วยทำให้ตัวเองในวันถัดไป</t>
        </is>
      </c>
      <c r="F64" s="2" t="inlineStr">
        <is>
          <t>อ่านฉลากให้ผู้ป่วยฟังอย่างละเอียด ให้ผู้ป่วยซักถามเพิ่มเติม</t>
        </is>
      </c>
      <c r="G64" s="2" t="inlineStr">
        <is>
          <t>บอกให้ผู้ป่วยหาคนมาดูแลเรื่องยา</t>
        </is>
      </c>
      <c r="H64" s="2" t="inlineStr">
        <is>
          <t>ท าแผ่นพับภาษาไทย แนบให้ผู้ป่วยไปใช้ CC มาด้วยอาการปวดศีรษะข้างเดียว HPI ปวดศีรษะบริเวณขมับด้านขวา ปวดแบบตุบๆ pain score 8 ปวดนานประมาณ 5 ชม. เวลาปวดจะมีอาการคลื่นไส้อาเจียนร่วมด้วย ก่อนปวดศีรษะรู้สึกเห็นแสงเป็นเส้นซิกแซกที่ด้านขวา</t>
        </is>
      </c>
      <c r="I64" s="8" t="inlineStr">
        <is>
          <t>1</t>
        </is>
      </c>
      <c r="J64" s="2" t="inlineStr">
        <is>
          <t>✅ คำตอบที่ถูกต้อง: ข้อ ก. เขียนฉลากตัวบรรจงให้ผู้ป่วยอ่าน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เขียนฉลากตัวบรรจงให้ผู้ป่วยอ่าน การเลือก เขียนฉลากตัวบรรจงให้ผู้ป่วยอ่าน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(Headache &amp; Migraine): ข้อนี้ไม่ใช่คำตอบที่ถูกต้องสำหรับภาวะ Headache เนื่องจากกลไกการออกฤทธิ์, efficacy หรือข้อบ่งใช้ไม่ตรงกับโจทย์ที่กำหนด
• ข้อ ค. (จัด pillbox ตามวันให้ผู้ป่วย และสอนให้ผู้ป่วยทำให้ตัวเองในวันถัดไป): ข้อนี้ไม่ใช่คำตอบที่ถูกต้องสำหรับภาวะ Headache เนื่องจากกลไกการออกฤทธิ์, efficacy หรือข้อบ่งใช้ไม่ตรงกับโจทย์ที่กำหนด
• ข้อ ง. (อ่านฉลากให้ผู้ป่วยฟังอย่างละเอียด ให้ผู้ป่วยซักถามเพิ่มเติม): ข้อนี้ไม่ใช่คำตอบที่ถูกต้องสำหรับภาวะ Headache เนื่องจากกลไกการออกฤทธิ์, efficacy หรือข้อบ่งใช้ไม่ตรงกับโจทย์ที่กำหนด
• ข้อ จ. (บอกให้ผู้ป่วยหาคนมาดูแลเรื่องยา):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n"/>
      <c r="L64" s="2" t="inlineStr">
        <is>
          <t>Headache</t>
        </is>
      </c>
      <c r="M64" s="2" t="inlineStr">
        <is>
          <t>Headache &amp; Migraine</t>
        </is>
      </c>
      <c r="N64" s="2" t="inlineStr">
        <is>
          <t>Mock PLE-CC 1 ข้อ 107</t>
        </is>
      </c>
      <c r="O64" s="2" t="inlineStr">
        <is>
          <t>Mock</t>
        </is>
      </c>
      <c r="P64" s="2" t="inlineStr">
        <is>
          <t>Mock RxCU83</t>
        </is>
      </c>
      <c r="Q64" s="2" t="n"/>
    </row>
    <row r="65" ht="13.2" customHeight="1" s="37">
      <c r="A65" s="8" t="inlineStr">
        <is>
          <t>64</t>
        </is>
      </c>
      <c r="B65" s="2" t="inlineStr">
        <is>
          <t>อาการของผู้ป่วยรายนี้ถือว่าเป็นการปวดหัวแบบใด</t>
        </is>
      </c>
      <c r="C65" s="2" t="n"/>
      <c r="D65" s="2" t="inlineStr">
        <is>
          <t>Tension-type headache</t>
        </is>
      </c>
      <c r="E65" s="2" t="inlineStr">
        <is>
          <t>Migraine headache</t>
        </is>
      </c>
      <c r="F65" s="2" t="inlineStr">
        <is>
          <t>Cluster headache</t>
        </is>
      </c>
      <c r="G65" s="2" t="inlineStr">
        <is>
          <t>Sinusitis headache</t>
        </is>
      </c>
      <c r="H65" s="2" t="inlineStr">
        <is>
          <t>Thunderclap headache</t>
        </is>
      </c>
      <c r="I65" s="8" t="inlineStr">
        <is>
          <t>1</t>
        </is>
      </c>
      <c r="J65" s="2" t="inlineStr">
        <is>
          <t>✅ คำตอบที่ถูกต้อง: ข้อ ก. Tension-type headache
💡 Background:
การบริบาลผู้ป่วยในกลุ่มโรค Pain management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Pain management โดยมี clinical efficacy สูงสุดในการรักษาและมี safety profile ที่เหมาะสม
🔍 ข้ออื่นผิดเพราะอะไร:
• ข้อ ข. (Tension-type headache): ข้อนี้ไม่ใช่คำตอบที่ถูกต้องสำหรับภาวะ Pain management เนื่องจากกลไกการออกฤทธิ์, efficacy หรือข้อบ่งใช้ไม่ตรงกับโจทย์ที่กำหนด
• ข้อ ค. (Migraine headache): ข้อนี้ไม่ใช่คำตอบที่ถูกต้องสำหรับภาวะ Pain management เนื่องจากกลไกการออกฤทธิ์, efficacy หรือข้อบ่งใช้ไม่ตรงกับโจทย์ที่กำหนด
• ข้อ ง. (Cluster headache): ข้อนี้ไม่ใช่คำตอบที่ถูกต้องสำหรับภาวะ Pain management เนื่องจากกลไกการออกฤทธิ์, efficacy หรือข้อบ่งใช้ไม่ตรงกับโจทย์ที่กำหนด
• ข้อ จ. (Sinusitis headache): ข้อนี้ไม่ใช่คำตอบที่ถูกต้องสำหรับภาวะ Pain management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2" t="n"/>
      <c r="L65" s="2" t="inlineStr">
        <is>
          <t>Pain management</t>
        </is>
      </c>
      <c r="M65" s="2" t="inlineStr">
        <is>
          <t>Headache &amp; Migraine</t>
        </is>
      </c>
      <c r="N65" s="2" t="inlineStr">
        <is>
          <t>Mock PLE-CC 1 ข้อ 108</t>
        </is>
      </c>
      <c r="O65" s="2" t="inlineStr">
        <is>
          <t>Mock</t>
        </is>
      </c>
      <c r="P65" s="2" t="inlineStr">
        <is>
          <t>Mock RxCU83</t>
        </is>
      </c>
      <c r="Q65" s="2" t="n"/>
    </row>
    <row r="66" ht="13.2" customHeight="1" s="37">
      <c r="A66" s="8" t="inlineStr">
        <is>
          <t>65</t>
        </is>
      </c>
      <c r="B66" s="2" t="inlineStr">
        <is>
          <t>ให้บอกแผนการรักษาที่เหมาะสมกับผู้ป่วยรายนี้</t>
        </is>
      </c>
      <c r="C66" s="2" t="n"/>
      <c r="D66" s="2" t="inlineStr">
        <is>
          <t>Diclofenac</t>
        </is>
      </c>
      <c r="E66" s="2" t="inlineStr">
        <is>
          <t>Paracetamol</t>
        </is>
      </c>
      <c r="F66" s="2" t="inlineStr">
        <is>
          <t>Dexamethasone</t>
        </is>
      </c>
      <c r="G66" s="2" t="inlineStr">
        <is>
          <t>Eleptriptan</t>
        </is>
      </c>
      <c r="H66" s="2" t="inlineStr">
        <is>
          <t>Nortriptyline</t>
        </is>
      </c>
      <c r="I66" s="8" t="inlineStr">
        <is>
          <t>1</t>
        </is>
      </c>
      <c r="J66" s="2" t="inlineStr">
        <is>
          <t>✅ คำตอบที่ถูกต้อง: ข้อ ก. Diclofenac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(Diclofenac): ข้อนี้ไม่ใช่คำตอบที่ถูกต้องสำหรับภาวะ Headache เนื่องจากกลไกการออกฤทธิ์, efficacy หรือข้อบ่งใช้ไม่ตรงกับโจทย์ที่กำหนด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(Dexamethasone): เป็น long-acting potent glucocorticoid ไม่มี mineralocorticoid effect จึงไม่ทำให้น้ำคั่ง เหมาะสำหรับ brain edema, antiemetic, และ COVID-19 with hypoxemia
• ข้อ จ. (Eleptriptan):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2" t="n"/>
      <c r="L66" s="2" t="inlineStr">
        <is>
          <t>Headache</t>
        </is>
      </c>
      <c r="M66" s="2" t="inlineStr">
        <is>
          <t>Headache &amp; Migraine</t>
        </is>
      </c>
      <c r="N66" s="2" t="inlineStr">
        <is>
          <t>Mock PLE-CC 1 ข้อ 109</t>
        </is>
      </c>
      <c r="O66" s="2" t="inlineStr">
        <is>
          <t>Mock</t>
        </is>
      </c>
      <c r="P66" s="2" t="inlineStr">
        <is>
          <t>Mock RxCU83</t>
        </is>
      </c>
      <c r="Q66" s="2" t="n"/>
    </row>
    <row r="67" ht="13.2" customHeight="1" s="37">
      <c r="A67" s="8" t="inlineStr">
        <is>
          <t>66</t>
        </is>
      </c>
      <c r="B67" s="2" t="inlineStr">
        <is>
          <t>ผู้ป่วยรายนี้ไม่ควรได้รับยาป้องกันไมเกรนในข้อใด เพราะจะทำให้อาการของโรคซึมเศร้าแย่ลง</t>
        </is>
      </c>
      <c r="C67" s="2" t="n"/>
      <c r="D67" s="2" t="inlineStr">
        <is>
          <t>Topiramate</t>
        </is>
      </c>
      <c r="E67" s="2" t="inlineStr">
        <is>
          <t>Atenolol</t>
        </is>
      </c>
      <c r="F67" s="2" t="inlineStr">
        <is>
          <t>Vitamin B6</t>
        </is>
      </c>
      <c r="G67" s="2" t="inlineStr">
        <is>
          <t>amitriptyline</t>
        </is>
      </c>
      <c r="H67" s="2" t="inlineStr">
        <is>
          <t>flunarizine</t>
        </is>
      </c>
      <c r="I67" s="8" t="inlineStr">
        <is>
          <t>1</t>
        </is>
      </c>
      <c r="J67" s="2" t="inlineStr">
        <is>
          <t>✅ คำตอบที่ถูกต้อง: ข้อ ก. Topiramate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เป็น carbonic anhydrase inhibitor และ glutamate blocker ทำให้เกิดน้ำหนักลด สมาธิลดลง นิ่วในไต และ secondary angle-closure glaucoma
• ข้อ ค. (Atenolol): เป็น hydrophilic cardioselective beta-1 blocker ขับออกทางไตเป็นหลัก แต่ evidence ในการลด stroke และ cardiovascular events ด้อยกว่า antihypertensive อื่นๆ
• ข้อ ง. (Vitamin B6): ข้อนี้ไม่ใช่คำตอบที่ถูกต้องสำหรับภาวะ Headache เนื่องจากกลไกการออกฤทธิ์, efficacy หรือข้อบ่งใช้ไม่ตรงกับโจทย์ที่กำหนด
• ข้อ จ. (amitriptyline):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7" s="2" t="n"/>
      <c r="L67" s="2" t="inlineStr">
        <is>
          <t>Headache</t>
        </is>
      </c>
      <c r="M67" s="2" t="inlineStr">
        <is>
          <t>Headache &amp; Migraine</t>
        </is>
      </c>
      <c r="N67" s="2" t="inlineStr">
        <is>
          <t>Mock PLE-CC 1 ข้อ 110</t>
        </is>
      </c>
      <c r="O67" s="2" t="inlineStr">
        <is>
          <t>Mock</t>
        </is>
      </c>
      <c r="P67" s="2" t="inlineStr">
        <is>
          <t>Mock RxCU83</t>
        </is>
      </c>
      <c r="Q67" s="2" t="n"/>
    </row>
    <row r="68" ht="13.2" customHeight="1" s="37">
      <c r="A68" s="8" t="inlineStr">
        <is>
          <t>67</t>
        </is>
      </c>
      <c r="B68" s="2" t="inlineStr">
        <is>
          <t>ผู้ป่วยที่ใช้ NSAIDS (เช่น naproxen) ในการรักษาไมเกรนบ่อยเกินไป อาจทำให้เกิดภาวะใด</t>
        </is>
      </c>
      <c r="C68" s="2" t="n"/>
      <c r="D68" s="2" t="inlineStr">
        <is>
          <t>rebound hypertension</t>
        </is>
      </c>
      <c r="E68" s="2" t="inlineStr">
        <is>
          <t>Medication overuse headache</t>
        </is>
      </c>
      <c r="F68" s="2" t="inlineStr">
        <is>
          <t>Serotonin syndrome</t>
        </is>
      </c>
      <c r="G68" s="2" t="inlineStr">
        <is>
          <t>orthostatic hypotension</t>
        </is>
      </c>
      <c r="H68" s="2" t="inlineStr">
        <is>
          <t>parkinsonism</t>
        </is>
      </c>
      <c r="I68" s="8" t="inlineStr">
        <is>
          <t>1</t>
        </is>
      </c>
      <c r="J68" s="2" t="inlineStr">
        <is>
          <t>✅ คำตอบที่ถูกต้อง: ข้อ ก. rebound hypertension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(rebound hypertension): ข้อนี้ไม่ใช่คำตอบที่ถูกต้องสำหรับภาวะ Headache เนื่องจากกลไกการออกฤทธิ์, efficacy หรือข้อบ่งใช้ไม่ตรงกับโจทย์ที่กำหนด
• ข้อ ค. (Medication overuse headache): ข้อนี้ไม่ใช่คำตอบที่ถูกต้องสำหรับภาวะ Headache เนื่องจากกลไกการออกฤทธิ์, efficacy หรือข้อบ่งใช้ไม่ตรงกับโจทย์ที่กำหนด
• ข้อ ง. (Serotonin syndrome): ข้อนี้ไม่ใช่คำตอบที่ถูกต้องสำหรับภาวะ Headache เนื่องจากกลไกการออกฤทธิ์, efficacy หรือข้อบ่งใช้ไม่ตรงกับโจทย์ที่กำหนด
• ข้อ จ. (orthostatic hypotension):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8" s="2" t="n"/>
      <c r="L68" s="2" t="inlineStr">
        <is>
          <t>Headache</t>
        </is>
      </c>
      <c r="M68" s="2" t="inlineStr">
        <is>
          <t>Headache &amp; Migraine</t>
        </is>
      </c>
      <c r="N68" s="2" t="inlineStr">
        <is>
          <t>Mock PLE-CC 1 ข้อ 112</t>
        </is>
      </c>
      <c r="O68" s="2" t="inlineStr">
        <is>
          <t>Mock</t>
        </is>
      </c>
      <c r="P68" s="2" t="inlineStr">
        <is>
          <t>Mock RxCU83</t>
        </is>
      </c>
      <c r="Q68" s="2" t="n"/>
    </row>
    <row r="69" ht="13.2" customHeight="1" s="37">
      <c r="A69" s="8" t="inlineStr">
        <is>
          <t>68</t>
        </is>
      </c>
      <c r="B69" s="2" t="inlineStr">
        <is>
          <t>ยากันชักที่ใช้ในคนตั้งครรภ์. ตัวเลือก</t>
        </is>
      </c>
      <c r="C69" s="2" t="n"/>
      <c r="D69" s="2" t="inlineStr">
        <is>
          <t>Neurologic Disorder</t>
        </is>
      </c>
      <c r="E69" s="2" t="inlineStr">
        <is>
          <t>Levodopa/Benserazide 100/25 mg TID</t>
        </is>
      </c>
      <c r="F69" s="2" t="inlineStr">
        <is>
          <t>Sumatriptan 50 mg stat</t>
        </is>
      </c>
      <c r="G69" s="2" t="inlineStr">
        <is>
          <t>Propranolol 40 mg BID</t>
        </is>
      </c>
      <c r="H69" s="2" t="inlineStr">
        <is>
          <t>Topiramate 25 mg BID</t>
        </is>
      </c>
      <c r="I69" s="8" t="inlineStr">
        <is>
          <t>1</t>
        </is>
      </c>
      <c r="J69" s="2"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9" s="2" t="n"/>
      <c r="L69" s="2" t="inlineStr">
        <is>
          <t>Epilepsy</t>
        </is>
      </c>
      <c r="M69" s="2" t="inlineStr">
        <is>
          <t>Neurologic Disorder</t>
        </is>
      </c>
      <c r="N69" s="2" t="inlineStr">
        <is>
          <t>PLE-CC1 ปี 2566 Day 1 ข้อ 6</t>
        </is>
      </c>
      <c r="O69" s="2" t="inlineStr">
        <is>
          <t>ข้อสอบจริง</t>
        </is>
      </c>
      <c r="P69" s="2" t="inlineStr">
        <is>
          <t>ปี 2566</t>
        </is>
      </c>
    </row>
    <row r="70" ht="13.2" customHeight="1" s="37">
      <c r="A70" s="8" t="inlineStr">
        <is>
          <t>69</t>
        </is>
      </c>
      <c r="B70" s="2" t="inlineStr">
        <is>
          <t>sodium valproate</t>
        </is>
      </c>
      <c r="C70" s="2" t="n"/>
      <c r="D70" s="2" t="inlineStr">
        <is>
          <t>Neurologic Disorder</t>
        </is>
      </c>
      <c r="E70" s="2" t="inlineStr">
        <is>
          <t>Topiramate 25 mg BID</t>
        </is>
      </c>
      <c r="F70" s="2" t="inlineStr">
        <is>
          <t>Donepezil 5 mg HS</t>
        </is>
      </c>
      <c r="G70" s="2" t="inlineStr">
        <is>
          <t>Alteplase (rtPA) 0.9 mg/kg IV</t>
        </is>
      </c>
      <c r="H70" s="2" t="inlineStr">
        <is>
          <t>Phenytoin 100 mg TID</t>
        </is>
      </c>
      <c r="I70" s="8" t="inlineStr">
        <is>
          <t>1</t>
        </is>
      </c>
      <c r="J70" s="2"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25 mg BID): เป็น carbonic anhydrase inhibitor และ glutamate blocker ทำให้เกิดน้ำหนักลด สมาธิลดลง นิ่วในไต และ secondary angle-closure glaucoma
• ข้อ ค. (Donepezil 5 mg HS): ข้อนี้ไม่ใช่คำตอบที่ถูกต้องสำหรับภาวะ Headache เนื่องจากกลไกการออกฤทธิ์, efficacy หรือข้อบ่งใช้ไม่ตรงกับโจทย์ที่กำหนด
• ข้อ ง. (Alteplase (rtPA) 0.9 mg/kg IV): ข้อนี้ไม่ใช่คำตอบที่ถูกต้องสำหรับภาวะ Headache เนื่องจากกลไกการออกฤทธิ์, efficacy หรือข้อบ่งใช้ไม่ตรงกับโจทย์ที่กำหนด
• ข้อ จ. (Phenytoin 100 mg TID):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70" s="2" t="n"/>
      <c r="L70" s="2" t="inlineStr">
        <is>
          <t>Headache</t>
        </is>
      </c>
      <c r="M70" s="2" t="inlineStr">
        <is>
          <t>Neurologic Disorder</t>
        </is>
      </c>
      <c r="N70" s="2" t="inlineStr">
        <is>
          <t>PLE-CC1 ปี 2566 Day 1 ข้อ 3</t>
        </is>
      </c>
      <c r="O70" s="2" t="inlineStr">
        <is>
          <t>ข้อสอบจริง</t>
        </is>
      </c>
      <c r="P70" s="2" t="inlineStr">
        <is>
          <t>ปี 2566</t>
        </is>
      </c>
    </row>
    <row r="71" ht="13.2" customHeight="1" s="37">
      <c r="A71" s="8" t="inlineStr">
        <is>
          <t>70</t>
        </is>
      </c>
      <c r="B71" s="2" t="inlineStr">
        <is>
          <t>Mechanism ของphenytoin . ตัวเลือก</t>
        </is>
      </c>
      <c r="C71" s="2" t="n"/>
      <c r="D71" s="2" t="inlineStr">
        <is>
          <t>Neurologic Disorder</t>
        </is>
      </c>
      <c r="E71" s="2" t="inlineStr">
        <is>
          <t>Phenytoin 100 mg TID</t>
        </is>
      </c>
      <c r="F71" s="2" t="inlineStr">
        <is>
          <t>Sodium valproate 200 mg TID</t>
        </is>
      </c>
      <c r="G71" s="2" t="inlineStr">
        <is>
          <t>Carbamazepine 200 mg BID</t>
        </is>
      </c>
      <c r="H71" s="2" t="inlineStr">
        <is>
          <t>Lamotrigine 50 mg OD</t>
        </is>
      </c>
      <c r="I71" s="8" t="inlineStr">
        <is>
          <t>1</t>
        </is>
      </c>
      <c r="J71" s="2"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1" s="2" t="n"/>
      <c r="L71" s="2" t="inlineStr">
        <is>
          <t>Epilepsy</t>
        </is>
      </c>
      <c r="M71" s="2" t="inlineStr">
        <is>
          <t>Neurologic Disorder</t>
        </is>
      </c>
      <c r="N71" s="2" t="inlineStr">
        <is>
          <t>PLE-CC1 ปี 2566 Day 1 ข้อ 7</t>
        </is>
      </c>
      <c r="O71" s="2" t="inlineStr">
        <is>
          <t>ข้อสอบจริง</t>
        </is>
      </c>
      <c r="P71" s="2" t="inlineStr">
        <is>
          <t>ปี 2566</t>
        </is>
      </c>
    </row>
    <row r="72" ht="13.2" customHeight="1" s="37">
      <c r="A72" s="8" t="inlineStr">
        <is>
          <t>71</t>
        </is>
      </c>
      <c r="B72" s="2" t="inlineStr">
        <is>
          <t>Non linear pharmacokinetics ของphenytoin . ตัวเลือก</t>
        </is>
      </c>
      <c r="C72" s="2" t="n"/>
      <c r="D72" s="2" t="inlineStr">
        <is>
          <t>Neurologic Disorder</t>
        </is>
      </c>
      <c r="E72" s="2" t="inlineStr">
        <is>
          <t>Lamotrigine 50 mg OD</t>
        </is>
      </c>
      <c r="F72" s="2" t="inlineStr">
        <is>
          <t>Levetiracetam 500 mg BID</t>
        </is>
      </c>
      <c r="G72" s="2" t="inlineStr">
        <is>
          <t>Gabapentin 300 mg TID</t>
        </is>
      </c>
      <c r="H72" s="2" t="inlineStr">
        <is>
          <t>Pregabalin 75 mg BID</t>
        </is>
      </c>
      <c r="I72" s="8" t="inlineStr">
        <is>
          <t>1</t>
        </is>
      </c>
      <c r="J72" s="2"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(Lamotrigine 50 mg OD): เป็น broad-spectrum AED และ mood stabilizer ต้องเริ่มจากขนาดยาต่ำๆ และค่อยๆ titrate ช้าๆ เพื่อป้องกัน severe cutaneous rash (SJS/TEN)
• ข้อ ค.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ง. (Gabapentin 300 mg TID): ข้อนี้ไม่ใช่คำตอบที่ถูกต้องสำหรับภาวะ Epilepsy เนื่องจากกลไกการออกฤทธิ์, efficacy หรือข้อบ่งใช้ไม่ตรงกับโจทย์ที่กำหนด
• ข้อ จ. (Pregabalin 75 mg BID):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2" s="2" t="n"/>
      <c r="L72" s="2" t="inlineStr">
        <is>
          <t>Epilepsy</t>
        </is>
      </c>
      <c r="M72" s="2" t="inlineStr">
        <is>
          <t>Neurologic Disorder</t>
        </is>
      </c>
      <c r="N72" s="2" t="inlineStr">
        <is>
          <t>PLE-CC1 ปี 2566 Day 1 ข้อ 8</t>
        </is>
      </c>
      <c r="O72" s="2" t="inlineStr">
        <is>
          <t>ข้อสอบจริง</t>
        </is>
      </c>
      <c r="P72" s="2" t="inlineStr">
        <is>
          <t>ปี 2566</t>
        </is>
      </c>
    </row>
    <row r="73" ht="13.2" customHeight="1" s="37">
      <c r="A73" s="8" t="inlineStr">
        <is>
          <t>72</t>
        </is>
      </c>
      <c r="B73" s="2" t="inlineStr">
        <is>
          <t>พิษของphenytoin ตัวเลือก</t>
        </is>
      </c>
      <c r="C73" s="2" t="n"/>
      <c r="D73" s="2" t="inlineStr">
        <is>
          <t>Neurologic Disorder</t>
        </is>
      </c>
      <c r="E73" s="2" t="inlineStr">
        <is>
          <t>Pregabalin 75 mg BID</t>
        </is>
      </c>
      <c r="F73" s="2" t="inlineStr">
        <is>
          <t>Levodopa/Benserazide 100/25 mg TID</t>
        </is>
      </c>
      <c r="G73" s="2" t="inlineStr">
        <is>
          <t>Sumatriptan 50 mg stat</t>
        </is>
      </c>
      <c r="H73" s="2" t="inlineStr">
        <is>
          <t>Propranolol 40 mg BID</t>
        </is>
      </c>
      <c r="I73" s="8" t="inlineStr">
        <is>
          <t>1</t>
        </is>
      </c>
      <c r="J73" s="2"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ข้อนี้ไม่ใช่คำตอบที่ถูกต้องสำหรับภาวะ Epilepsy เนื่องจากกลไกการออกฤทธิ์, efficacy หรือข้อบ่งใช้ไม่ตรงกับโจทย์ที่กำหนด
• ข้อ ค.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ง. (Sumatriptan 50 mg stat): เป็น 5-HT1B/1D agonist หดหลอดเลือดสมอง ใช้รักษา acute moderate-to-severe migraine attack แต่ contraindication ใน ischemic heart disease, uncontrolled HTN, stroke
• ข้อ จ. (Propranolol 40 mg BID): เป็น non-selective beta-blocker ข้าม blood-brain barrier ได้ดี เหมาะสำหรับ performance anxiety, essential tremor, migraine prophylaxis และ thyroid storm แต่ contraindication ใน asthma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3" s="2" t="n"/>
      <c r="L73" s="2" t="inlineStr">
        <is>
          <t>Epilepsy</t>
        </is>
      </c>
      <c r="M73" s="2" t="inlineStr">
        <is>
          <t>Neurologic Disorder</t>
        </is>
      </c>
      <c r="N73" s="2" t="inlineStr">
        <is>
          <t>PLE-CC1 ปี 2566 Day 1 ข้อ 31</t>
        </is>
      </c>
      <c r="O73" s="2" t="inlineStr">
        <is>
          <t>ข้อสอบจริง</t>
        </is>
      </c>
      <c r="P73" s="2" t="inlineStr">
        <is>
          <t>ปี 2566</t>
        </is>
      </c>
    </row>
    <row r="74" ht="13.2" customHeight="1" s="37">
      <c r="A74" s="8" t="inlineStr">
        <is>
          <t>73</t>
        </is>
      </c>
      <c r="B74" s="2" t="inlineStr">
        <is>
          <t>Prophylaxis migraine มีประวัติเศร้าหม่นควรใช้ยาอะไร. ตัวเลือก</t>
        </is>
      </c>
      <c r="C74" s="2" t="n"/>
      <c r="D74" s="2" t="inlineStr">
        <is>
          <t>Neurologic Disorder</t>
        </is>
      </c>
      <c r="E74" s="2" t="inlineStr">
        <is>
          <t>Propranolol 40 mg BID</t>
        </is>
      </c>
      <c r="F74" s="2" t="inlineStr">
        <is>
          <t>Topiramate 25 mg BID</t>
        </is>
      </c>
      <c r="G74" s="2" t="inlineStr">
        <is>
          <t>Donepezil 5 mg HS</t>
        </is>
      </c>
      <c r="H74" s="2" t="inlineStr">
        <is>
          <t>Alteplase (rtPA) 0.9 mg/kg IV</t>
        </is>
      </c>
      <c r="I74" s="8" t="inlineStr">
        <is>
          <t>1</t>
        </is>
      </c>
      <c r="J74" s="2"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(Propranolol 40 mg BID): เป็น non-selective beta-blocker ข้าม blood-brain barrier ได้ดี เหมาะสำหรับ performance anxiety, essential tremor, migraine prophylaxis และ thyroid storm แต่ contraindication ใน asthma
• ข้อ ค. (Topiramate 25 mg BID): เป็น carbonic anhydrase inhibitor และ glutamate blocker ทำให้เกิดน้ำหนักลด สมาธิลดลง นิ่วในไต และ secondary angle-closure glaucoma
• ข้อ ง. (Donepezil 5 mg HS): ข้อนี้ไม่ใช่คำตอบที่ถูกต้องสำหรับภาวะ Headache เนื่องจากกลไกการออกฤทธิ์, efficacy หรือข้อบ่งใช้ไม่ตรงกับโจทย์ที่กำหนด
• ข้อ จ. (Alteplase (rtPA) 0.9 mg/kg IV):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4" s="2" t="n"/>
      <c r="L74" s="2" t="inlineStr">
        <is>
          <t>Headache</t>
        </is>
      </c>
      <c r="M74" s="2" t="inlineStr">
        <is>
          <t>Neurologic Disorder</t>
        </is>
      </c>
      <c r="N74" s="2" t="inlineStr">
        <is>
          <t>PLE-CC1 ปี 2566 Day 2 ข้อ 19</t>
        </is>
      </c>
      <c r="O74" s="2" t="inlineStr">
        <is>
          <t>ข้อสอบจริง</t>
        </is>
      </c>
      <c r="P74" s="2" t="inlineStr">
        <is>
          <t>ปี 2566</t>
        </is>
      </c>
    </row>
    <row r="75" ht="13.2" customHeight="1" s="37">
      <c r="A75" s="8" t="inlineStr">
        <is>
          <t>74</t>
        </is>
      </c>
      <c r="B75" s="2" t="inlineStr">
        <is>
          <t>Migraine headaches</t>
        </is>
      </c>
      <c r="C75" s="2" t="n"/>
      <c r="D75" s="2" t="inlineStr">
        <is>
          <t>Neurologic Disorder</t>
        </is>
      </c>
      <c r="E75" s="2" t="inlineStr">
        <is>
          <t>Alteplase (rtPA) 0.9 mg/kg IV</t>
        </is>
      </c>
      <c r="F75" s="2" t="inlineStr">
        <is>
          <t>Phenytoin 100 mg TID</t>
        </is>
      </c>
      <c r="G75" s="2" t="inlineStr">
        <is>
          <t>Sodium valproate 200 mg TID</t>
        </is>
      </c>
      <c r="H75" s="2" t="inlineStr">
        <is>
          <t>Carbamazepine 200 mg BID</t>
        </is>
      </c>
      <c r="I75" s="8" t="inlineStr">
        <is>
          <t>1</t>
        </is>
      </c>
      <c r="J75" s="2"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ข้อนี้ไม่ใช่คำตอบที่ถูกต้องสำหรับภาวะ Headache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2" t="n"/>
      <c r="L75" s="2" t="inlineStr">
        <is>
          <t>Headache</t>
        </is>
      </c>
      <c r="M75" s="2" t="inlineStr">
        <is>
          <t>Neurologic Disorder</t>
        </is>
      </c>
      <c r="N75" s="2" t="inlineStr">
        <is>
          <t>PLE-CC1 ปี 2566 Day 2 ข้อ 1</t>
        </is>
      </c>
      <c r="O75" s="2" t="inlineStr">
        <is>
          <t>ข้อสอบจริง</t>
        </is>
      </c>
      <c r="P75" s="2" t="inlineStr">
        <is>
          <t>ปี 2566</t>
        </is>
      </c>
    </row>
    <row r="76" ht="13.2" customHeight="1" s="37">
      <c r="A76" s="8" t="inlineStr">
        <is>
          <t>75</t>
        </is>
      </c>
      <c r="B76" s="2" t="inlineStr">
        <is>
          <t>Tension headaches</t>
        </is>
      </c>
      <c r="C76" s="2" t="n"/>
      <c r="D76" s="2" t="inlineStr">
        <is>
          <t>Neurologic Disorder</t>
        </is>
      </c>
      <c r="E76" s="2" t="inlineStr">
        <is>
          <t>Carbamazepine 200 mg BID</t>
        </is>
      </c>
      <c r="F76" s="2" t="inlineStr">
        <is>
          <t>Lamotrigine 50 mg OD</t>
        </is>
      </c>
      <c r="G76" s="2" t="inlineStr">
        <is>
          <t>Levetiracetam 500 mg BID</t>
        </is>
      </c>
      <c r="H76" s="2" t="inlineStr">
        <is>
          <t>Gabapentin 300 mg TID</t>
        </is>
      </c>
      <c r="I76" s="8" t="inlineStr">
        <is>
          <t>1</t>
        </is>
      </c>
      <c r="J76" s="2"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(Lamotrigine 50 mg OD): เป็น broad-spectrum AED และ mood stabilizer ต้องเริ่มจากขนาดยาต่ำๆ และค่อยๆ titrate ช้าๆ เพื่อป้องกัน severe cutaneous rash (SJS/TEN)
• ข้อ ง.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จ. (Gabapentin 300 mg TID):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2" t="n"/>
      <c r="L76" s="2" t="inlineStr">
        <is>
          <t>Headache</t>
        </is>
      </c>
      <c r="M76" s="2" t="inlineStr">
        <is>
          <t>Neurologic Disorder</t>
        </is>
      </c>
      <c r="N76" s="2" t="inlineStr">
        <is>
          <t>PLE-CC1 ปี 2566 Day 2 ข้อ 2</t>
        </is>
      </c>
      <c r="O76" s="2" t="inlineStr">
        <is>
          <t>ข้อสอบจริง</t>
        </is>
      </c>
      <c r="P76" s="2" t="inlineStr">
        <is>
          <t>ปี 2566</t>
        </is>
      </c>
    </row>
    <row r="77" ht="13.2" customHeight="1" s="37">
      <c r="A77" s="8" t="inlineStr">
        <is>
          <t>76</t>
        </is>
      </c>
      <c r="B77" s="2" t="inlineStr">
        <is>
          <t>Cluster headaches</t>
        </is>
      </c>
      <c r="C77" s="2" t="n"/>
      <c r="D77" s="2" t="inlineStr">
        <is>
          <t>Neurologic Disorder</t>
        </is>
      </c>
      <c r="E77" s="2" t="inlineStr">
        <is>
          <t>Gabapentin 300 mg TID</t>
        </is>
      </c>
      <c r="F77" s="2" t="inlineStr">
        <is>
          <t>Pregabalin 75 mg BID</t>
        </is>
      </c>
      <c r="G77" s="2" t="inlineStr">
        <is>
          <t>Levodopa/Benserazide 100/25 mg TID</t>
        </is>
      </c>
      <c r="H77" s="2" t="inlineStr">
        <is>
          <t>Sumatriptan 50 mg stat</t>
        </is>
      </c>
      <c r="I77" s="8" t="inlineStr">
        <is>
          <t>1</t>
        </is>
      </c>
      <c r="J77" s="2"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300 mg TID): ข้อนี้ไม่ใช่คำตอบที่ถูกต้องสำหรับภาวะ Headache เนื่องจากกลไกการออกฤทธิ์, efficacy หรือข้อบ่งใช้ไม่ตรงกับโจทย์ที่กำหนด
• ข้อ ค. (Pregabalin 75 mg BID): ข้อนี้ไม่ใช่คำตอบที่ถูกต้องสำหรับภาวะ Headache เนื่องจากกลไกการออกฤทธิ์, efficacy หรือข้อบ่งใช้ไม่ตรงกับโจทย์ที่กำหนด
• ข้อ ง.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จ. (Sumatriptan 50 mg stat):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2" t="n"/>
      <c r="L77" s="2" t="inlineStr">
        <is>
          <t>Headache</t>
        </is>
      </c>
      <c r="M77" s="2" t="inlineStr">
        <is>
          <t>Neurologic Disorder</t>
        </is>
      </c>
      <c r="N77" s="2" t="inlineStr">
        <is>
          <t>PLE-CC1 ปี 2566 Day 2 ข้อ 3</t>
        </is>
      </c>
      <c r="O77" s="2" t="inlineStr">
        <is>
          <t>ข้อสอบจริง</t>
        </is>
      </c>
      <c r="P77" s="2" t="inlineStr">
        <is>
          <t>ปี 2566</t>
        </is>
      </c>
    </row>
    <row r="78" ht="13.2" customHeight="1" s="37">
      <c r="A78" s="8" t="inlineStr">
        <is>
          <t>77</t>
        </is>
      </c>
      <c r="B78" s="2" t="inlineStr">
        <is>
          <t>Secondary headaches</t>
        </is>
      </c>
      <c r="C78" s="2" t="n"/>
      <c r="D78" s="2" t="inlineStr">
        <is>
          <t>Neurologic Disorder</t>
        </is>
      </c>
      <c r="E78" s="2" t="inlineStr">
        <is>
          <t>Sumatriptan 50 mg stat</t>
        </is>
      </c>
      <c r="F78" s="2" t="inlineStr">
        <is>
          <t>Propranolol 40 mg BID</t>
        </is>
      </c>
      <c r="G78" s="2" t="inlineStr">
        <is>
          <t>Topiramate 25 mg BID</t>
        </is>
      </c>
      <c r="H78" s="2" t="inlineStr">
        <is>
          <t>Donepezil 5 mg HS</t>
        </is>
      </c>
      <c r="I78" s="8" t="inlineStr">
        <is>
          <t>1</t>
        </is>
      </c>
      <c r="J78" s="2"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(Donepezil 5 mg HS):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2" t="n"/>
      <c r="L78" s="2" t="inlineStr">
        <is>
          <t>Headache</t>
        </is>
      </c>
      <c r="M78" s="2" t="inlineStr">
        <is>
          <t>Neurologic Disorder</t>
        </is>
      </c>
      <c r="N78" s="2" t="inlineStr">
        <is>
          <t>PLE-CC1 ปี 2566 Day 2 ข้อ 4</t>
        </is>
      </c>
      <c r="O78" s="2" t="inlineStr">
        <is>
          <t>ข้อสอบจริง</t>
        </is>
      </c>
      <c r="P78" s="2" t="inlineStr">
        <is>
          <t>ปี 2566</t>
        </is>
      </c>
    </row>
    <row r="79" ht="13.2" customHeight="1" s="37">
      <c r="A79" s="8" t="inlineStr">
        <is>
          <t>78</t>
        </is>
      </c>
      <c r="B79" s="2" t="inlineStr">
        <is>
          <t>สาเหตุที่ควรprophylaxis migraine. ตัวเลือก</t>
        </is>
      </c>
      <c r="C79" s="2" t="n"/>
      <c r="D79" s="2" t="inlineStr">
        <is>
          <t>Neurologic Disorder</t>
        </is>
      </c>
      <c r="E79" s="2" t="inlineStr">
        <is>
          <t>Donepezil 5 mg HS</t>
        </is>
      </c>
      <c r="F79" s="2" t="inlineStr">
        <is>
          <t>Alteplase (rtPA) 0.9 mg/kg IV</t>
        </is>
      </c>
      <c r="G79" s="2" t="inlineStr">
        <is>
          <t>Phenytoin 100 mg TID</t>
        </is>
      </c>
      <c r="H79" s="2" t="inlineStr">
        <is>
          <t>Sodium valproate 200 mg TID</t>
        </is>
      </c>
      <c r="I79" s="8" t="inlineStr">
        <is>
          <t>1</t>
        </is>
      </c>
      <c r="J79" s="2"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(Donepezil 5 mg HS): ข้อนี้ไม่ใช่คำตอบที่ถูกต้องสำหรับภาวะ Headache เนื่องจากกลไกการออกฤทธิ์, efficacy หรือข้อบ่งใช้ไม่ตรงกับโจทย์ที่กำหนด
• ข้อ ค. (Alteplase (rtPA) 0.9 mg/kg IV): ข้อนี้ไม่ใช่คำตอบที่ถูกต้องสำหรับภาวะ Headache เนื่องจากกลไกการออกฤทธิ์, efficacy หรือข้อบ่งใช้ไม่ตรงกับโจทย์ที่กำหนด
• ข้อ ง.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จ. (Sodium valproate 200 mg TID): เป็น broad-spectrum antiepileptic drug แต่มี teratogenicity สูงมาก (neural tube defects) ห้ามใช้ในหญิงวัยเจริญพันธุ์ และเสี่ยงต่อ hepatotoxicity, pancreatitis, weight gain, alopecia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9" s="2" t="n"/>
      <c r="L79" s="2" t="inlineStr">
        <is>
          <t>Headache</t>
        </is>
      </c>
      <c r="M79" s="2" t="inlineStr">
        <is>
          <t>Neurologic Disorder</t>
        </is>
      </c>
      <c r="N79" s="2" t="inlineStr">
        <is>
          <t>PLE-CC1 ปี 2566 Day 2 ข้อ 21</t>
        </is>
      </c>
      <c r="O79" s="2" t="inlineStr">
        <is>
          <t>ข้อสอบจริง</t>
        </is>
      </c>
      <c r="P79" s="2" t="inlineStr">
        <is>
          <t>ปี 2566</t>
        </is>
      </c>
    </row>
    <row r="80" ht="13.2" customHeight="1" s="37">
      <c r="A80" s="8" t="inlineStr">
        <is>
          <t>79</t>
        </is>
      </c>
      <c r="B80" s="2" t="inlineStr">
        <is>
          <t>.การศึกษาMeta-analysis ว่าการใช้propranololสามารถป้องกันการเกิดไมเกรนได้หรือไม่ข้อใดถูกต้อง ตัวเลือก</t>
        </is>
      </c>
      <c r="C80" s="2" t="n"/>
      <c r="D80" s="2" t="inlineStr">
        <is>
          <t>Neurologic Disorder</t>
        </is>
      </c>
      <c r="E80" s="2" t="inlineStr">
        <is>
          <t>Sodium valproate 200 mg TID</t>
        </is>
      </c>
      <c r="F80" s="2" t="inlineStr">
        <is>
          <t>Carbamazepine 200 mg BID</t>
        </is>
      </c>
      <c r="G80" s="2" t="inlineStr">
        <is>
          <t>Lamotrigine 50 mg OD</t>
        </is>
      </c>
      <c r="H80" s="2" t="inlineStr">
        <is>
          <t>Levetiracetam 500 mg BID</t>
        </is>
      </c>
      <c r="I80" s="8" t="inlineStr">
        <is>
          <t>1</t>
        </is>
      </c>
      <c r="J80" s="2"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2" t="n"/>
      <c r="L80" s="2" t="inlineStr">
        <is>
          <t>Headache</t>
        </is>
      </c>
      <c r="M80" s="2" t="inlineStr">
        <is>
          <t>Neurologic Disorder</t>
        </is>
      </c>
      <c r="N80" s="2" t="inlineStr">
        <is>
          <t>PLE-CC1 ปี 2566 Day 2 ข้อ 85</t>
        </is>
      </c>
      <c r="O80" s="2" t="inlineStr">
        <is>
          <t>ข้อสอบจริง</t>
        </is>
      </c>
      <c r="P80" s="2" t="inlineStr">
        <is>
          <t>ปี 2566</t>
        </is>
      </c>
    </row>
    <row r="81" ht="13.2" customHeight="1" s="37">
      <c r="A81" s="8" t="inlineStr">
        <is>
          <t>80</t>
        </is>
      </c>
      <c r="B81" s="2" t="inlineStr">
        <is>
          <t>ISDN Sublingual ไม;ตองทดสอบเรื่องอะไร 120-130 / 70-79 mmHg (Thai guideline on the treatment of hypertension 2015)</t>
        </is>
      </c>
      <c r="C81" s="2" t="n"/>
      <c r="D81" s="2" t="inlineStr">
        <is>
          <t>friability</t>
        </is>
      </c>
      <c r="E81" s="2" t="inlineStr">
        <is>
          <t>Disintegration</t>
        </is>
      </c>
      <c r="F81" s="2" t="inlineStr">
        <is>
          <t>Dissolution time</t>
        </is>
      </c>
      <c r="G81" s="2" t="inlineStr">
        <is>
          <t>Thickness</t>
        </is>
      </c>
      <c r="H81" s="2" t="inlineStr">
        <is>
          <t>Content uniformity ยาเ,น@ปแบบอมใCDน จะเ.ด disintegration แGวเIาJKางกายไLโดยไ"เ.ดการละลาย 0งไ"Oเ,นCองทดสอบการละลาย</t>
        </is>
      </c>
      <c r="I81" s="8" t="inlineStr">
        <is>
          <t>1</t>
        </is>
      </c>
      <c r="J81" s="2" t="inlineStr">
        <is>
          <t>✅ คำตอบที่ถูกต้อง: ข้อ ก. friability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(friability): ข้อนี้ไม่ใช่คำตอบที่ถูกต้องสำหรับภาวะ Headache เนื่องจากกลไกการออกฤทธิ์, efficacy หรือข้อบ่งใช้ไม่ตรงกับโจทย์ที่กำหนด
• ข้อ ค. (Disintegration): ข้อนี้ไม่ใช่คำตอบที่ถูกต้องสำหรับภาวะ Headache เนื่องจากกลไกการออกฤทธิ์, efficacy หรือข้อบ่งใช้ไม่ตรงกับโจทย์ที่กำหนด
• ข้อ ง. (Dissolution time): ข้อนี้ไม่ใช่คำตอบที่ถูกต้องสำหรับภาวะ Headache เนื่องจากกลไกการออกฤทธิ์, efficacy หรือข้อบ่งใช้ไม่ตรงกับโจทย์ที่กำหนด
• ข้อ จ. (Thickness):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1" s="2" t="n"/>
      <c r="L81" s="2" t="inlineStr">
        <is>
          <t>Headache</t>
        </is>
      </c>
      <c r="M81" s="2" t="inlineStr">
        <is>
          <t>Neurologic Disorder</t>
        </is>
      </c>
      <c r="N81" s="2" t="inlineStr">
        <is>
          <t>PLE_CC1_2565_Day1_Key ข้อ 4</t>
        </is>
      </c>
      <c r="O81" s="2" t="inlineStr">
        <is>
          <t>ข้อสอบจริง</t>
        </is>
      </c>
      <c r="P81" s="2" t="inlineStr">
        <is>
          <t>ปี 2565</t>
        </is>
      </c>
      <c r="Q81" s="2" t="n"/>
    </row>
    <row r="82" ht="13.2" customHeight="1" s="37">
      <c r="A82" s="8" t="inlineStr">
        <is>
          <t>81</t>
        </is>
      </c>
      <c r="B82" s="2" t="inlineStr">
        <is>
          <t>หากแพทย6เลือกใช$ topiramate เพื่อป¢องกันการปวดศีรษะจากไมเกรน ข$อใดถูกต$องเกี่ยวกับยานี้ ไWแcใจ</t>
        </is>
      </c>
      <c r="C82" s="2" t="n"/>
      <c r="D82" s="2" t="inlineStr">
        <is>
          <t>มีโอกาสเกิด cross allergy กับ cotrimoxazole ได$สูงมาก</t>
        </is>
      </c>
      <c r="E82" s="2" t="inlineStr">
        <is>
          <t>ค-อยๆ ปรับเพิ่มขนาดยาจนถึง target dose หรือจนกว-าจะทนผลข$างเคียงยาไม-ได$</t>
        </is>
      </c>
      <c r="F82" s="2" t="inlineStr">
        <is>
          <t>ใช$เวลา 2-4 สัปดาห6จึงจะเห็นผลการรักษา</t>
        </is>
      </c>
      <c r="G82" s="2" t="inlineStr">
        <is>
          <t>ต$องใช$ยาอย-างน$อย 6 เดือน</t>
        </is>
      </c>
      <c r="H82" s="2" t="inlineStr">
        <is>
          <t>ใช$ Maintain dose น$อยกว-าการให$เพื่อรักษาอาการชัก กรณีศึกษา 7</t>
        </is>
      </c>
      <c r="I82" s="8" t="inlineStr">
        <is>
          <t>1</t>
        </is>
      </c>
      <c r="J82" s="2" t="inlineStr">
        <is>
          <t>✅ คำตอบที่ถูกต้อง: ข้อ ก. มีโอกาสเกิด cross allergy กับ cotrimoxazole ได$สูงมาก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(มีโอกาสเกิด cross allergy กับ cotrimoxazole ได$สูงมาก): เป็นยาผสม Trimethoprim/Sulfamethoxazole (TMP/SMX) เป็น drug of choice สำหรับ PCP/PJP prophylaxis &amp; treatment, Stenotrophomonas และ Nocardia ระวัง hyperkalemia และ SCARs
• ข้อ ค. (ค-อยๆ ปรับเพิ่มขนาดยาจนถึง target dose หรือจนกว-าจะทนผลข$างเคียงยาไม-ได$): ข้อนี้ไม่ใช่คำตอบที่ถูกต้องสำหรับภาวะ Headache เนื่องจากกลไกการออกฤทธิ์, efficacy หรือข้อบ่งใช้ไม่ตรงกับโจทย์ที่กำหนด
• ข้อ ง. (ใช$เวลา 2-4 สัปดาห6จึงจะเห็นผลการรักษา): ข้อนี้ไม่ใช่คำตอบที่ถูกต้องสำหรับภาวะ Headache เนื่องจากกลไกการออกฤทธิ์, efficacy หรือข้อบ่งใช้ไม่ตรงกับโจทย์ที่กำหนด
• ข้อ จ. (ต$องใช$ยาอย-างน$อย 6 เดือน):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2" t="n"/>
      <c r="L82" s="2" t="inlineStr">
        <is>
          <t>Headache</t>
        </is>
      </c>
      <c r="M82" s="2" t="inlineStr">
        <is>
          <t>Neurologic Disorder</t>
        </is>
      </c>
      <c r="N82" s="2" t="inlineStr">
        <is>
          <t>PLE_CC1_2565_Day2_Key ข้อ 19</t>
        </is>
      </c>
      <c r="O82" s="2" t="inlineStr">
        <is>
          <t>ข้อสอบจริง</t>
        </is>
      </c>
      <c r="P82" s="2" t="inlineStr">
        <is>
          <t>ปี 2565</t>
        </is>
      </c>
      <c r="Q82" s="2" t="n"/>
    </row>
    <row r="83" ht="13.2" customHeight="1" s="37">
      <c r="A83" s="8" t="inlineStr">
        <is>
          <t>82</t>
        </is>
      </c>
      <c r="B83" s="2" t="inlineStr">
        <is>
          <t>กินยาคุม ไม่เคยใช้มาก่อนแล้วเจ็บคัดเต้านม ถามว่าจะทำอย่างไร ตัวเลือกมีเปลี่ยนยา ปรับยา แต่ตอบว่าเป็นอาการที่พบได้ในช่วงแรก นาน ๆ ไปจะหายเอง เฉลยข้อสอบ PLE-CC1 ครั้งที่12/2564 วันที่ 1-2 : MUPY 50 เฉลยข้อสอบ PLE-CC1 ครั้งที่12/2564 วันที่ 1-2 : MUPY 50 ผู้ป่วยที่มีประวัติเป็น DVT/PE ที่มีประวัติได้รับ anticoagulant therapy อย่างน้อย 3 เดือนที่มีความเสี่ยงสูงในการเกิดซ้ำของโรค, ผู้ป่วยที่มีการผ่าตัดใหญ่และมี prolonged immobilization ผู้ป่วยที่มี Thrombogenic mutation, ผู้ป่วยที่เป็นหรือมีประวัติการเป็น IHD ผู้ป่วยที่เป็น stroke ผู้ป่วยที่เป็นโรค vulvular heart disease แบบ complicated ผู้ป่วยเป็น OA (แพทย์วินิจฉัยแล้ว) และเป็น hypertension ร่วมด้วย</t>
        </is>
      </c>
      <c r="C83" s="2" t="n"/>
      <c r="D83" s="2" t="inlineStr">
        <is>
          <t>Neurologic Disorder</t>
        </is>
      </c>
      <c r="E83" s="2" t="inlineStr">
        <is>
          <t>Topiramate 25 mg BID</t>
        </is>
      </c>
      <c r="F83" s="2" t="inlineStr">
        <is>
          <t>Donepezil 5 mg HS</t>
        </is>
      </c>
      <c r="G83" s="2" t="inlineStr">
        <is>
          <t>Alteplase (rtPA) 0.9 mg/kg IV</t>
        </is>
      </c>
      <c r="H83" s="2" t="inlineStr">
        <is>
          <t>Phenytoin 100 mg TID</t>
        </is>
      </c>
      <c r="I83" s="8" t="inlineStr">
        <is>
          <t>1</t>
        </is>
      </c>
      <c r="J83" s="2" t="inlineStr">
        <is>
          <t>✅ คำตอบที่ถูกต้อง: ข้อ ก. Neurologic Disorder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Neurologic Disorder การเลือก Neurologic Disorder เป็นคำตอบที่ถูกต้องและสอดคล้องกับ evidence-based guidelines ของภาวะ Stroke โดยมี clinical efficacy สูงสุดในการรักษาและมี safety profile ที่เหมาะสม
🔍 ข้ออื่นผิดเพราะอะไร:
• ข้อ ข. (Topiramate 25 mg BID): เป็น carbonic anhydrase inhibitor และ glutamate blocker ทำให้เกิดน้ำหนักลด สมาธิลดลง นิ่วในไต และ secondary angle-closure glaucoma
• ข้อ ค. (Donepezil 5 mg HS): ข้อนี้ไม่ใช่คำตอบที่ถูกต้องสำหรับภาวะ Stroke เนื่องจากกลไกการออกฤทธิ์, efficacy หรือข้อบ่งใช้ไม่ตรงกับโจทย์ที่กำหนด
• ข้อ ง. (Alteplase (rtPA) 0.9 mg/kg IV): ข้อนี้ไม่ใช่คำตอบที่ถูกต้องสำหรับภาวะ Stroke เนื่องจากกลไกการออกฤทธิ์, efficacy หรือข้อบ่งใช้ไม่ตรงกับโจทย์ที่กำหนด
• ข้อ จ. (Phenytoin 100 mg TID): เป็น sodium channel blocker สำหรับ focal/generalized seizures มี non-linear (Michaelis-Menten) PK เสี่ยง toxicity ได้ง่ายเมื่อปรับ dose และทำให้เกิด gingival hyperplasia, hirsutism, cerebellar ataxia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3" s="2" t="n"/>
      <c r="L83" s="2" t="inlineStr">
        <is>
          <t>Stroke</t>
        </is>
      </c>
      <c r="M83" s="2" t="inlineStr">
        <is>
          <t>Neurologic Disorder</t>
        </is>
      </c>
      <c r="N83" s="2" t="inlineStr">
        <is>
          <t>PLE_CC1_2564_All_Key ข้อ 25</t>
        </is>
      </c>
      <c r="O83" s="2" t="inlineStr">
        <is>
          <t>ข้อสอบจริง</t>
        </is>
      </c>
      <c r="P83" s="2" t="inlineStr">
        <is>
          <t>ปี 2564</t>
        </is>
      </c>
    </row>
    <row r="84" ht="13.2" customHeight="1" s="37">
      <c r="A84" s="8" t="inlineStr">
        <is>
          <t>83</t>
        </is>
      </c>
      <c r="B84" s="2" t="inlineStr">
        <is>
          <t>บอกอาการมา (หัวข้อ migraine) ถามจ่ายยาอะไรบรรเทาอาการดี</t>
        </is>
      </c>
      <c r="C84" s="2" t="n"/>
      <c r="D84" s="2" t="inlineStr">
        <is>
          <t>Neurologic Disorder</t>
        </is>
      </c>
      <c r="E84" s="2" t="inlineStr">
        <is>
          <t>gabapentin</t>
        </is>
      </c>
      <c r="F84" s="2" t="inlineStr">
        <is>
          <t>sumatriptan" "โจทย์ไม่สมบูรณ์ O O</t>
        </is>
      </c>
      <c r="G84" s="2" t="inlineStr">
        <is>
          <t>Carbamazepine 200 mg BID</t>
        </is>
      </c>
      <c r="H84" s="2" t="inlineStr">
        <is>
          <t>Lamotrigine 50 mg OD</t>
        </is>
      </c>
      <c r="I84" s="8" t="inlineStr">
        <is>
          <t>1</t>
        </is>
      </c>
      <c r="J84" s="2" t="inlineStr">
        <is>
          <t>✅ คำตอบที่ถูกต้อง: ข้อ ก. Neurologic Disorder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ข้อนี้ไม่ใช่คำตอบที่ถูกต้องสำหรับภาวะ Headache เนื่องจากกลไกการออกฤทธิ์, efficacy หรือข้อบ่งใช้ไม่ตรงกับโจทย์ที่กำหนด
• ข้อ ค. (sumatriptan" "โจทย์ไม่สมบูรณ์ O O): เป็น 5-HT1B/1D agonist หดหลอดเลือดสมอง ใช้รักษา acute moderate-to-severe migraine attack แต่ contraindication ใน ischemic heart disease, uncontrolled HTN, stroke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84" s="2" t="n"/>
      <c r="L84" s="2" t="inlineStr">
        <is>
          <t>Headache</t>
        </is>
      </c>
      <c r="M84" s="2" t="inlineStr">
        <is>
          <t>Neurologic Disorder</t>
        </is>
      </c>
      <c r="N84" s="2" t="inlineStr">
        <is>
          <t>PLE_CC1_2564_All_Key ข้อ 50</t>
        </is>
      </c>
      <c r="O84" s="2" t="inlineStr">
        <is>
          <t>ข้อสอบจริง</t>
        </is>
      </c>
      <c r="P84" s="2" t="inlineStr">
        <is>
          <t>ปี 2564</t>
        </is>
      </c>
    </row>
    <row r="85" ht="13.2" customHeight="1" s="37">
      <c r="A85" s="8" t="inlineStr">
        <is>
          <t>83</t>
        </is>
      </c>
      <c r="B85" s="2" t="inlineStr">
        <is>
          <t>อาการข้างเคียงใด ไม่ขึ้นกับระดับยา carbamazepine</t>
        </is>
      </c>
      <c r="C85" s="2" t="n"/>
      <c r="D85" s="2" t="inlineStr">
        <is>
          <t>Diplopia</t>
        </is>
      </c>
      <c r="E85" s="2" t="inlineStr">
        <is>
          <t>Ataxia</t>
        </is>
      </c>
      <c r="F85" s="2" t="inlineStr">
        <is>
          <t>Maculopapular eruption</t>
        </is>
      </c>
      <c r="G85" s="2" t="inlineStr">
        <is>
          <t>Dizziness</t>
        </is>
      </c>
      <c r="H85" s="2" t="inlineStr">
        <is>
          <t>Seizure</t>
        </is>
      </c>
      <c r="I85" s="8" t="inlineStr">
        <is>
          <t>1</t>
        </is>
      </c>
      <c r="J85" s="2" t="inlineStr">
        <is>
          <t>✅ คำตอบที่ถูกต้อง: ข้อ ก. Diplopia
💡 Background:
โรคลมชัก (Epilepsy) ต้องเลือกยากันชักให้ตรงกับชนิดของการชัก โดยคำนึงถึง efficacy, drug interactions และ safety profile ของผู้ป่วย
🎯 ทำไมข้อนี้ถึงถูก:
Diplopia การเลือก Diplopia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(Ataxia): ข้อนี้ไม่ใช่คำตอบที่ถูกต้องสำหรับภาวะ Epilepsy เนื่องจากกลไกการออกฤทธิ์, efficacy หรือข้อบ่งใช้ไม่ตรงกับโจทย์ที่กำหนด
• ข้อ ค. (Maculopapular eruption): ข้อนี้ไม่ใช่คำตอบที่ถูกต้องสำหรับภาวะ Epilepsy เนื่องจากกลไกการออกฤทธิ์, efficacy หรือข้อบ่งใช้ไม่ตรงกับโจทย์ที่กำหนด
• ข้อ ง. (Dizziness): ข้อนี้ไม่ใช่คำตอบที่ถูกต้องสำหรับภาวะ Epilepsy เนื่องจากกลไกการออกฤทธิ์, efficacy หรือข้อบ่งใช้ไม่ตรงกับโจทย์ที่กำหนด
• ข้อ จ. (Seizure):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5" s="2" t="n"/>
      <c r="L85" s="2" t="inlineStr">
        <is>
          <t>Epilepsy</t>
        </is>
      </c>
      <c r="M85" s="2" t="inlineStr">
        <is>
          <t>Clinic</t>
        </is>
      </c>
      <c r="N85" s="2" t="inlineStr">
        <is>
          <t>ข้อ 98 (PLE_CC1_2562_Key.md)</t>
        </is>
      </c>
      <c r="O85" s="2" t="inlineStr">
        <is>
          <t>ข้อสอบจริง</t>
        </is>
      </c>
      <c r="P85" s="2" t="inlineStr">
        <is>
          <t>ปี 2562</t>
        </is>
      </c>
    </row>
    <row r="86" ht="13.2" customHeight="1" s="37">
      <c r="A86" s="8" t="inlineStr">
        <is>
          <t>84</t>
        </is>
      </c>
      <c r="B86" s="2" t="inlineStr">
        <is>
          <t>หัวข้อใดของ carbamazepine CR ที่ไม่จำเป็นต้องตรวจตามเภสัชตำรับ controlled release</t>
        </is>
      </c>
      <c r="C86" s="2" t="n"/>
      <c r="D86" s="2" t="inlineStr">
        <is>
          <t>Dissolution</t>
        </is>
      </c>
      <c r="E86" s="2" t="inlineStr">
        <is>
          <t>Disintegration</t>
        </is>
      </c>
      <c r="F86" s="2" t="inlineStr">
        <is>
          <t>Content uniformity/weight variation</t>
        </is>
      </c>
      <c r="G86" s="2" t="inlineStr">
        <is>
          <t>Assay</t>
        </is>
      </c>
      <c r="H86" s="2" t="inlineStr">
        <is>
          <t>Impurity</t>
        </is>
      </c>
      <c r="I86" s="8" t="inlineStr">
        <is>
          <t>1</t>
        </is>
      </c>
      <c r="J86" s="2" t="inlineStr">
        <is>
          <t>✅ คำตอบที่ถูกต้อง: ข้อ ก. Dissolution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Dissolution การเลือก Dissolution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(Disintegration): ข้อนี้ไม่ใช่คำตอบที่ถูกต้องสำหรับภาวะ Epilepsy เนื่องจากกลไกการออกฤทธิ์, efficacy หรือข้อบ่งใช้ไม่ตรงกับโจทย์ที่กำหนด
• ข้อ ค. (Content uniformity/weight variation): ข้อนี้ไม่ใช่คำตอบที่ถูกต้องสำหรับภาวะ Epilepsy เนื่องจากกลไกการออกฤทธิ์, efficacy หรือข้อบ่งใช้ไม่ตรงกับโจทย์ที่กำหนด
• ข้อ ง. (Assay): ข้อนี้ไม่ใช่คำตอบที่ถูกต้องสำหรับภาวะ Epilepsy เนื่องจากกลไกการออกฤทธิ์, efficacy หรือข้อบ่งใช้ไม่ตรงกับโจทย์ที่กำหนด
• ข้อ จ. (Impurity):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6" s="2" t="n"/>
      <c r="L86" s="2" t="inlineStr">
        <is>
          <t>Epilepsy</t>
        </is>
      </c>
      <c r="M86" s="2" t="inlineStr">
        <is>
          <t>Clinic</t>
        </is>
      </c>
      <c r="N86" s="2" t="inlineStr">
        <is>
          <t>ข้อ 104 (PLE_CC1_2562_Key.md)</t>
        </is>
      </c>
      <c r="O86" s="2" t="inlineStr">
        <is>
          <t>ข้อสอบจริง</t>
        </is>
      </c>
      <c r="P86" s="2" t="inlineStr">
        <is>
          <t>ปี 2562</t>
        </is>
      </c>
    </row>
    <row r="87" ht="13.2" customHeight="1" s="37">
      <c r="A87" s="8" t="inlineStr">
        <is>
          <t>85</t>
        </is>
      </c>
      <c r="B87" s="2" t="inlineStr">
        <is>
          <t>ยาใดที่ใช้ร่วมกับ fluoxetine แล้วมีผลต่อการเกิด serotonin syndrome น้อยที่สุด ~ cosiziene seats - Trendlies . -X T ↓jon ending orthostatic hypotension ~ ~ serotonin</t>
        </is>
      </c>
      <c r="C87" s="2" t="n"/>
      <c r="D87" s="2" t="inlineStr">
        <is>
          <t>Agomelatine</t>
        </is>
      </c>
      <c r="E87" s="2" t="inlineStr">
        <is>
          <t>Haloperidol</t>
        </is>
      </c>
      <c r="F87" s="2" t="inlineStr">
        <is>
          <t>Olanzapine</t>
        </is>
      </c>
      <c r="G87" s="2" t="inlineStr">
        <is>
          <t>Venlafaxine</t>
        </is>
      </c>
      <c r="H87" s="2" t="inlineStr">
        <is>
          <t>Hydroxyzine Liverse ↓ lastanerce serotonin der soos ston Parilara serotonin syndrome snasin DI rileserotonin Jessost หË´มนาÆปทาซËาทืกกรณิ ÂวËนาต้จ²ÆดËรงบ¯นืญ´ต</t>
        </is>
      </c>
      <c r="I87" s="8" t="inlineStr">
        <is>
          <t>1</t>
        </is>
      </c>
      <c r="J87" s="2" t="inlineStr">
        <is>
          <t>✅ คำตอบที่ถูกต้อง: ข้อ ก. Agomelatine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Agomelatine การเลือก Agomelatine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(Haloperidol): เป็น First-generation (typical) antipsychotic ยับยั้ง D2 receptor สูง เสี่ยงต่อ Extrapyramidal symptoms (EPS), acute dystonia, akathisia และ tardive dyskinesia สูง
• ข้อ ค. (Olanzapine): เป็น atypical antipsychotic ที่มี metabolic side effects สูงมาก (น้ำหนักเพิ่มขึ้นรุนแรง, hyperglycemia, dyslipidemia)
• ข้อ ง. (Venlafaxine): ข้อนี้ไม่ใช่คำตอบที่ถูกต้องสำหรับภาวะ Headache เนื่องจากกลไกการออกฤทธิ์, efficacy หรือข้อบ่งใช้ไม่ตรงกับโจทย์ที่กำหนด
• ข้อ จ. (Hydroxyzine Liverse ↓ lastanerce serotonin der soos ston Parilara serotonin syndrome snasin DI rileserotonin Jessost หË´มนาÆปทาซËาทืกกรณิ ÂวËนาต้จ²ÆดËรงบ¯นืญ´ต): วัคซีนไข้สมองอักเสบเจอี ชนิดเชื้อเป็น (Live attenuated CD.JEV) ให้ 2 เข็ม ที่อายุ 9-12 เดือน และเข็ม 2 ห่างกัน 3-12 เดือน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7" s="2" t="n"/>
      <c r="L87" s="2" t="inlineStr">
        <is>
          <t>Headache</t>
        </is>
      </c>
      <c r="M87" s="2" t="inlineStr">
        <is>
          <t>Clinic</t>
        </is>
      </c>
      <c r="N87" s="2" t="inlineStr">
        <is>
          <t>ข้อ 6 (PLE_CC1_2562_Key.md)</t>
        </is>
      </c>
      <c r="O87" s="2" t="inlineStr">
        <is>
          <t>ข้อสอบจริง</t>
        </is>
      </c>
      <c r="P87" s="2" t="inlineStr">
        <is>
          <t>ปี 2562</t>
        </is>
      </c>
    </row>
    <row r="88" ht="13.2" customHeight="1" s="37">
      <c r="A88" s="8" t="inlineStr">
        <is>
          <t>86</t>
        </is>
      </c>
      <c r="B88" s="2" t="inlineStr">
        <is>
          <t>แพทย์สั่งใช้ยา phenobarbital ให้กับผู้ป่วย แต่ผู้ป่วยได้รับยา phenytoin เกิดอาการไม่พึงประสงค์เกี่ยวกับยาจน ต้องเข้ารับการรักษาที่โรงพยาบาลเป็นระยะเวลา 10 วัน แต่หลังการรักษาผู้ป่วยก็หายเป็นปกติ ความคลาดเคลื่อน ทางยาที่เกิดขึ นนี ตาม NCC MERP จัดอยู่ในระดับใด</t>
        </is>
      </c>
      <c r="C88" s="2" t="n"/>
      <c r="D88" s="2" t="inlineStr">
        <is>
          <t>Donepezil 5 mg HS</t>
        </is>
      </c>
      <c r="E88" s="2" t="inlineStr">
        <is>
          <t>Alteplase (rtPA) 0.9 mg/kg IV</t>
        </is>
      </c>
      <c r="F88" s="2" t="inlineStr">
        <is>
          <t>Phenytoin 100 mg TID</t>
        </is>
      </c>
      <c r="G88" s="2" t="inlineStr">
        <is>
          <t>Sodium valproate 200 mg TID</t>
        </is>
      </c>
      <c r="H88" s="2" t="inlineStr">
        <is>
          <t>Carbamazepine 200 mg BID</t>
        </is>
      </c>
      <c r="I88" s="8" t="inlineStr">
        <is>
          <t>1</t>
        </is>
      </c>
      <c r="J88" s="2"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ข้อนี้ไม่ใช่คำตอบที่ถูกต้องสำหรับภาวะ Epilepsy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8" s="2" t="n"/>
      <c r="L88" s="2" t="inlineStr">
        <is>
          <t>Epilepsy</t>
        </is>
      </c>
      <c r="M88" s="2" t="inlineStr">
        <is>
          <t>Clinic</t>
        </is>
      </c>
      <c r="N88" s="2" t="inlineStr">
        <is>
          <t>ข้อ 29 (PLE_CC1_2559.md)</t>
        </is>
      </c>
      <c r="O88" s="2" t="inlineStr">
        <is>
          <t>ข้อสอบจริง</t>
        </is>
      </c>
      <c r="P88" s="2" t="inlineStr">
        <is>
          <t>ปี 2559</t>
        </is>
      </c>
    </row>
    <row r="89" ht="13.2" customHeight="1" s="37">
      <c r="A89" s="8" t="inlineStr">
        <is>
          <t>87</t>
        </is>
      </c>
      <c r="B89" s="2" t="inlineStr">
        <is>
          <t>Phenytoin SR มีส่วนผสมคือ phenytoin, lactose, magnesium, sugar แต่การทดสอบพบว่ามีปริมาณตัวยาใน แต่ละเม็ดไม่สม่้าเสมอ ควรเติมสารช่วยอะไร</t>
        </is>
      </c>
      <c r="C89" s="2" t="n"/>
      <c r="D89" s="2" t="inlineStr">
        <is>
          <t>Silicon dioxide</t>
        </is>
      </c>
      <c r="E89" s="2" t="inlineStr">
        <is>
          <t>Microcrystalline cellulose</t>
        </is>
      </c>
      <c r="F89" s="2" t="inlineStr">
        <is>
          <t>Starch</t>
        </is>
      </c>
      <c r="G89" s="2" t="inlineStr">
        <is>
          <t>Gelatin</t>
        </is>
      </c>
      <c r="H89" s="2" t="inlineStr">
        <is>
          <t>Polyvinyl pyrrolidone ห้ามนำไปทำซ้ำทุกกรณี เว้นแต่จะได้รับอนุญาต พบ hepatitis b virus negative และ anti-HBs positive</t>
        </is>
      </c>
      <c r="I89" s="8" t="inlineStr">
        <is>
          <t>1</t>
        </is>
      </c>
      <c r="J89" s="2" t="inlineStr">
        <is>
          <t>✅ คำตอบที่ถูกต้อง: ข้อ ก. Silicon dioxide
💡 Background:
โรคลมชัก (Epilepsy) ต้องเลือกยากันชักให้ตรงกับชนิดของการชัก โดยคำนึงถึง efficacy, drug interactions และ safety profile ของผู้ป่วย
🎯 ทำไมข้อนี้ถึงถูก:
Silicon dioxide กรณีศึกษาที่ 5 หญิงไทยอายุ 28 ปี ตั งครรภ์ได้ 38 สัปดาห์มาคลอดบุตรที่โรงพยาบาลแห่งหนึ่ง พบว่าได้บุตรชายสุขภาพ ร่างกายแข็งแรงดีทั งมารดาและบุตร จากการตรวจสอบประวัติพบว่ามารดาไม่เคยเป็นโรคไวรัสตับอักเสบบี และผลการตรวจ
🔍 ข้ออื่นผิดเพราะอะไร:
• ข้อ ข. (Microcrystalline cellulose): ข้อนี้ไม่ใช่คำตอบที่ถูกต้องสำหรับภาวะ Epilepsy เนื่องจากกลไกการออกฤทธิ์, efficacy หรือข้อบ่งใช้ไม่ตรงกับโจทย์ที่กำหนด
• ข้อ ค. (Starch): ข้อนี้ไม่ใช่คำตอบที่ถูกต้องสำหรับภาวะ Epilepsy เนื่องจากกลไกการออกฤทธิ์, efficacy หรือข้อบ่งใช้ไม่ตรงกับโจทย์ที่กำหนด
• ข้อ ง. (Gelatin): ข้อนี้ไม่ใช่คำตอบที่ถูกต้องสำหรับภาวะ Epilepsy เนื่องจากกลไกการออกฤทธิ์, efficacy หรือข้อบ่งใช้ไม่ตรงกับโจทย์ที่กำหนด
• ข้อ จ. (Polyvinyl pyrrolidone ห้ามนำไปทำซ้ำทุกกรณี เว้นแต่จะได้รับอนุญาต พบ hepatitis b virus negative และ anti-HBs positive):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9" s="2" t="n"/>
      <c r="L89" s="2" t="inlineStr">
        <is>
          <t>Epilepsy</t>
        </is>
      </c>
      <c r="M89" s="2" t="inlineStr">
        <is>
          <t>Clinic</t>
        </is>
      </c>
      <c r="N89" s="2" t="inlineStr">
        <is>
          <t>ข้อ 32 (PLE_CC1_2559.md)</t>
        </is>
      </c>
      <c r="O89" s="2" t="inlineStr">
        <is>
          <t>ข้อสอบจริง</t>
        </is>
      </c>
      <c r="P89" s="2" t="inlineStr">
        <is>
          <t>ปี 2559</t>
        </is>
      </c>
    </row>
    <row r="90" ht="13.2" customHeight="1" s="37">
      <c r="A90" s="8" t="inlineStr">
        <is>
          <t>88</t>
        </is>
      </c>
      <c r="B90" s="2" t="inlineStr">
        <is>
          <t>2 เดือนต่อมาผู้ป่วยมีอาการปวดหัวข้างเดียว ได้รับการวินิจฉัยว่าเป็นไมเกรน ผู้ป่วยไม่เคยเป็นมาก่อน จากการ ประเมินผู้ป่วยมีอาการปวดไม่มาก ไม่มีอาการคลื่นไส้ อาเจียน ยังท้างานต่าง ๆได้ ผู้ป่วยมีประวัติแพ้ยา diclofenac ข้อใดเหมาะในการรักษาไมเกรนของผู้ป่วยรายนี</t>
        </is>
      </c>
      <c r="C90" s="2" t="n"/>
      <c r="D90" s="2" t="inlineStr">
        <is>
          <t>Celecoxib</t>
        </is>
      </c>
      <c r="E90" s="2" t="inlineStr">
        <is>
          <t>Ergotamine</t>
        </is>
      </c>
      <c r="F90" s="2" t="inlineStr">
        <is>
          <t>Ibuprofen</t>
        </is>
      </c>
      <c r="G90" s="2" t="inlineStr">
        <is>
          <t>Paracetamol</t>
        </is>
      </c>
      <c r="H90" s="2" t="inlineStr">
        <is>
          <t>Sumatriptan</t>
        </is>
      </c>
      <c r="I90" s="8" t="inlineStr">
        <is>
          <t>1</t>
        </is>
      </c>
      <c r="J90" s="2" t="inlineStr">
        <is>
          <t>✅ คำตอบที่ถูกต้อง: ข้อ ก. Celecoxib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Celecoxib การเลือก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(Sumatriptan):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0" s="2" t="n"/>
      <c r="L90" s="2" t="inlineStr">
        <is>
          <t>Headache</t>
        </is>
      </c>
      <c r="M90" s="2" t="inlineStr">
        <is>
          <t>Clinic</t>
        </is>
      </c>
      <c r="N90" s="2" t="inlineStr">
        <is>
          <t>ข้อ 46 (PLE_CC1_2559.md)</t>
        </is>
      </c>
      <c r="O90" s="2" t="inlineStr">
        <is>
          <t>ข้อสอบจริง</t>
        </is>
      </c>
      <c r="P90" s="2" t="inlineStr">
        <is>
          <t>ปี 2559</t>
        </is>
      </c>
    </row>
    <row r="91" ht="13.2" customHeight="1" s="37">
      <c r="A91" s="8" t="inlineStr">
        <is>
          <t>89</t>
        </is>
      </c>
      <c r="B91" s="2" t="inlineStr">
        <is>
          <t>ผลการวิเคราะห์ใดเหมาะสำหรับการระบุเอกลักษณ์ของยา phenytoin</t>
        </is>
      </c>
      <c r="C91" s="2" t="n"/>
      <c r="D91" s="2" t="inlineStr">
        <is>
          <t>Levodopa/Benserazide 100/25 mg TID</t>
        </is>
      </c>
      <c r="E91" s="2" t="inlineStr">
        <is>
          <t>Sumatriptan 50 mg stat</t>
        </is>
      </c>
      <c r="F91" s="2" t="inlineStr">
        <is>
          <t>Propranolol 40 mg BID</t>
        </is>
      </c>
      <c r="G91" s="2" t="inlineStr">
        <is>
          <t>Topiramate 25 mg BID</t>
        </is>
      </c>
      <c r="H91" s="2" t="inlineStr">
        <is>
          <t>ไม่มีข้อใดถูก</t>
        </is>
      </c>
      <c r="I91" s="8" t="inlineStr">
        <is>
          <t>1</t>
        </is>
      </c>
      <c r="J91" s="2"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1" s="2" t="n"/>
      <c r="L91" s="2" t="inlineStr">
        <is>
          <t>Epilepsy</t>
        </is>
      </c>
      <c r="M91" s="2" t="inlineStr">
        <is>
          <t>Clinic</t>
        </is>
      </c>
      <c r="N91" s="2" t="inlineStr">
        <is>
          <t>ข้อ 95 (Pharmtutor_2024_Set1.md)</t>
        </is>
      </c>
      <c r="O91" s="2" t="inlineStr">
        <is>
          <t>Mock</t>
        </is>
      </c>
      <c r="P91" s="2" t="inlineStr">
        <is>
          <t>Mock Pharmtutor 2024</t>
        </is>
      </c>
    </row>
    <row r="92" ht="13.2" customHeight="1" s="37">
      <c r="A92" s="8" t="inlineStr">
        <is>
          <t>90</t>
        </is>
      </c>
      <c r="B92" s="2" t="inlineStr">
        <is>
          <t>ยากันชักชนิดใด สามารถใช้ได้อย่างปลอดภัยในหญิงตั้งครรภ์</t>
        </is>
      </c>
      <c r="C92" s="2" t="n"/>
      <c r="D92" s="2" t="inlineStr">
        <is>
          <t>Phenytoin Sodium</t>
        </is>
      </c>
      <c r="E92" s="2" t="inlineStr">
        <is>
          <t>Levetiracetam</t>
        </is>
      </c>
      <c r="F92" s="2" t="inlineStr">
        <is>
          <t>Valproic acid</t>
        </is>
      </c>
      <c r="G92" s="2" t="inlineStr">
        <is>
          <t>Diazepam</t>
        </is>
      </c>
      <c r="H92" s="2" t="inlineStr">
        <is>
          <t>Lacosamide</t>
        </is>
      </c>
      <c r="I92" s="8" t="inlineStr">
        <is>
          <t>1</t>
        </is>
      </c>
      <c r="J92" s="2" t="inlineStr">
        <is>
          <t>✅ คำตอบที่ถูกต้อง: ข้อ ก. Phenytoin Sodium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Sodium การเลือก Phenytoin Sodium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(Levetiracetam): เป็น SV2A vesicle protein binder มี drug interactions ต่ำมาก ขับออกทางไตเป็นหลัก ปลอดภัยในหญิงตั้งครรภ์ แต่ต้องระวัง behavioral/mood changes (หงุดหงิด ก้าวร้าว)
• ข้อ ค. (Valproic acid): ข้อนี้ไม่ใช่คำตอบที่ถูกต้องสำหรับภาวะ Epilepsy เนื่องจากกลไกการออกฤทธิ์, efficacy หรือข้อบ่งใช้ไม่ตรงกับโจทย์ที่กำหนด
• ข้อ ง. (Diazepam): เป็น long-acting Benzodiazepine มี active metabolites (nordiazepam) สะสมในผู้สูงอายุ ทำให้ง่วงซึม หกล้ม เสี่ยง fracture
• ข้อ จ. (Lacosamide):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2" s="2" t="n"/>
      <c r="L92" s="2" t="inlineStr">
        <is>
          <t>Epilepsy</t>
        </is>
      </c>
      <c r="M92" s="2" t="inlineStr">
        <is>
          <t>Clinic</t>
        </is>
      </c>
      <c r="N92" s="2" t="inlineStr">
        <is>
          <t>ข้อ 46 (Pharmtutor_2024_Set2.md)</t>
        </is>
      </c>
      <c r="O92" s="2" t="inlineStr">
        <is>
          <t>Mock</t>
        </is>
      </c>
      <c r="P92" s="2" t="inlineStr">
        <is>
          <t>Mock Pharmtutor 2024</t>
        </is>
      </c>
    </row>
    <row r="93" ht="13.2" customHeight="1" s="37">
      <c r="A93" s="8" t="inlineStr">
        <is>
          <t>91</t>
        </is>
      </c>
      <c r="B93" s="2" t="inlineStr">
        <is>
          <t>ข้อใดคือกลไกของ Phenytoin Sodium ที่นำมาใช้ในการรักษาและป้องกันผู้ป่วยที่มีภาวะชักเกิดขึ้น</t>
        </is>
      </c>
      <c r="C93" s="2" t="n"/>
      <c r="D93" s="2" t="inlineStr">
        <is>
          <t>ยับยั้งการเปิดปิดของช่องเปิดแคลเซียม</t>
        </is>
      </c>
      <c r="E93" s="2" t="inlineStr">
        <is>
          <t>ยับยั้งการเข้าออกออกแคลเซียม</t>
        </is>
      </c>
      <c r="F93" s="2" t="inlineStr">
        <is>
          <t>ยับยั้งการเข้าออกของโซเดียมและแคลเซียมที่จุดว่างของสารสื่อประสาท</t>
        </is>
      </c>
      <c r="G93" s="2" t="inlineStr">
        <is>
          <t>ยับยั้งการเข้าสู่เซลล์ของโซเดียมผ่านช่องทางแคลเซียม-โซเดียม</t>
        </is>
      </c>
      <c r="H93" s="2" t="inlineStr">
        <is>
          <t>ยับยั้งการเปิดปิดของช่องเปิดโซเดียม</t>
        </is>
      </c>
      <c r="I93" s="8" t="inlineStr">
        <is>
          <t>1</t>
        </is>
      </c>
      <c r="J93" s="2" t="inlineStr">
        <is>
          <t>✅ คำตอบที่ถูกต้อง: ข้อ ก. ยับยั้งการเปิดปิดของช่องเปิดแคลเซียม
💡 Background:
โรคลมชัก (Epilepsy) ต้องเลือกยากันชักให้ตรงกับชนิดของการชัก โดยคำนึงถึง efficacy, drug interactions และ safety profile ของผู้ป่วย
🎯 ทำไมข้อนี้ถึงถูก:
ยับยั้งการเปิดปิดของช่องเปิดแคลเซียม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(ยับยั้งการเข้าออกออกแคลเซียม): ข้อนี้ไม่ใช่คำตอบที่ถูกต้องสำหรับภาวะ Epilepsy เนื่องจากกลไกการออกฤทธิ์, efficacy หรือข้อบ่งใช้ไม่ตรงกับโจทย์ที่กำหนด
• ข้อ ค. (ยับยั้งการเข้าออกของโซเดียมและแคลเซียมที่จุดว่างของสารสื่อประสาท): ข้อนี้ไม่ใช่คำตอบที่ถูกต้องสำหรับภาวะ Epilepsy เนื่องจากกลไกการออกฤทธิ์, efficacy หรือข้อบ่งใช้ไม่ตรงกับโจทย์ที่กำหนด
• ข้อ ง. (ยับยั้งการเข้าสู่เซลล์ของโซเดียมผ่านช่องทางแคลเซียม-โซเดียม): ข้อนี้ไม่ใช่คำตอบที่ถูกต้องสำหรับภาวะ Epilepsy เนื่องจากกลไกการออกฤทธิ์, efficacy หรือข้อบ่งใช้ไม่ตรงกับโจทย์ที่กำหนด
• ข้อ จ. (ยับยั้งการเปิดปิดของช่องเปิดโซเดียม):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3" s="2" t="n"/>
      <c r="L93" s="2" t="inlineStr">
        <is>
          <t>Epilepsy</t>
        </is>
      </c>
      <c r="M93" s="2" t="inlineStr">
        <is>
          <t>Clinic</t>
        </is>
      </c>
      <c r="N93" s="2" t="inlineStr">
        <is>
          <t>ข้อ 47 (Pharmtutor_2024_Set2.md)</t>
        </is>
      </c>
      <c r="O93" s="2" t="inlineStr">
        <is>
          <t>Mock</t>
        </is>
      </c>
      <c r="P93" s="2" t="inlineStr">
        <is>
          <t>Mock Pharmtutor 2024</t>
        </is>
      </c>
    </row>
    <row r="94" ht="13.2" customHeight="1" s="37">
      <c r="A94" s="8" t="inlineStr">
        <is>
          <t>92</t>
        </is>
      </c>
      <c r="B94" s="2" t="inlineStr">
        <is>
          <t>ยากันชักในข้อใดสามารถนำมาช่วยบรรเทาอาการปวดบริเวณปลายประสาทได้ และสามารถรักษาได้หายอย่างมีนัยสำคัญ</t>
        </is>
      </c>
      <c r="C94" s="2" t="n"/>
      <c r="D94" s="2" t="inlineStr">
        <is>
          <t>Lamotrigine</t>
        </is>
      </c>
      <c r="E94" s="2" t="inlineStr">
        <is>
          <t>Valproic acid</t>
        </is>
      </c>
      <c r="F94" s="2" t="inlineStr">
        <is>
          <t>Oxcarbazepine</t>
        </is>
      </c>
      <c r="G94" s="2" t="inlineStr">
        <is>
          <t>Levetiracetam</t>
        </is>
      </c>
      <c r="H94" s="2" t="inlineStr">
        <is>
          <t>Topiramate</t>
        </is>
      </c>
      <c r="I94" s="8" t="inlineStr">
        <is>
          <t>1</t>
        </is>
      </c>
      <c r="J94" s="2" t="inlineStr">
        <is>
          <t>✅ คำตอบที่ถูกต้อง: ข้อ ก. Lamotrigine
💡 Background:
โรคลมชัก (Epilepsy) ต้องเลือกยากันชักให้ตรงกับชนิดของการชัก โดยคำนึงถึง efficacy, drug interactions และ safety profile ของผู้ป่วย
🎯 ทำไมข้อนี้ถึงถูก:
Lamotrigine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broad-spectrum AED และ mood stabilizer ต้องเริ่มจากขนาดยาต่ำๆ และค่อยๆ titrate ช้าๆ เพื่อป้องกัน severe cutaneous rash (SJS/TEN)
🔍 ข้ออื่นผิดเพราะอะไร:
• ข้อ ข. (Valproic acid): ข้อนี้ไม่ใช่คำตอบที่ถูกต้องสำหรับภาวะ Epilepsy เนื่องจากกลไกการออกฤทธิ์, efficacy หรือข้อบ่งใช้ไม่ตรงกับโจทย์ที่กำหนด
• ข้อ ค. (Oxcarbazepine): ข้อนี้ไม่ใช่คำตอบที่ถูกต้องสำหรับภาวะ Epilepsy เนื่องจากกลไกการออกฤทธิ์, efficacy หรือข้อบ่งใช้ไม่ตรงกับโจทย์ที่กำหนด
• ข้อ ง. (Levetiracetam): เป็น SV2A vesicle protein binder มี drug interactions ต่ำมาก ขับออกทางไตเป็นหลัก ปลอดภัยในหญิงตั้งครรภ์ แต่ต้องระวัง behavioral/mood changes (หงุดหงิด ก้าวร้าว)
• ข้อ จ. (Topiramate):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94" s="2" t="n"/>
      <c r="L94" s="2" t="inlineStr">
        <is>
          <t>Epilepsy</t>
        </is>
      </c>
      <c r="M94" s="2" t="inlineStr">
        <is>
          <t>Clinic</t>
        </is>
      </c>
      <c r="N94" s="2" t="inlineStr">
        <is>
          <t>ข้อ 51 (Pharmtutor_2024_Set2.md)</t>
        </is>
      </c>
      <c r="O94" s="2" t="inlineStr">
        <is>
          <t>Mock</t>
        </is>
      </c>
      <c r="P94" s="2" t="inlineStr">
        <is>
          <t>Mock Pharmtutor 2024</t>
        </is>
      </c>
    </row>
    <row r="95" ht="13.2" customHeight="1" s="37">
      <c r="A95" s="8" t="inlineStr">
        <is>
          <t>93</t>
        </is>
      </c>
      <c r="B95" s="2" t="inlineStr">
        <is>
          <t>จากคุณสมบัติของยา phenytoin ที่มีการกำจัดออกแบบ non-linear kinetics ข้อใดถูกต้อง</t>
        </is>
      </c>
      <c r="C95" s="2" t="n"/>
      <c r="D95" s="2" t="inlineStr">
        <is>
          <t>ที่ความเข้มข้นสูง จะมีการกำจัดออกแบบ linear kinetics</t>
        </is>
      </c>
      <c r="E95" s="2" t="inlineStr">
        <is>
          <t>ที่ความเข้มข้นต่ำ จะมีการกำจัดออกแบบ non-linear kinetics</t>
        </is>
      </c>
      <c r="F95" s="2" t="inlineStr">
        <is>
          <t>ยามีค่าครึ่งชีวิตเท่าเดิมเสมอ แม้มีความเข้มข้นของยาเพิ่มมากขึ้น</t>
        </is>
      </c>
      <c r="G95" s="2" t="inlineStr">
        <is>
          <t>ยามี therapeutic index แคบ</t>
        </is>
      </c>
      <c r="H95" s="2" t="inlineStr">
        <is>
          <t>ไม่มีข้อใดถูก</t>
        </is>
      </c>
      <c r="I95" s="8" t="inlineStr">
        <is>
          <t>1</t>
        </is>
      </c>
      <c r="J95" s="2" t="inlineStr">
        <is>
          <t>✅ คำตอบที่ถูกต้อง: ข้อ ก. ที่ความเข้มข้นสูง จะมีการกำจัดออกแบบ linear kinetics
💡 Background:
โรคลมชัก (Epilepsy) ต้องเลือกยากันชักให้ตรงกับชนิดของการชัก โดยคำนึงถึง efficacy, drug interactions และ safety profile ของผู้ป่วย
🎯 ทำไมข้อนี้ถึงถูก:
ที่ความเข้มข้นสูง จะมีการกำจัดออกแบบ linear kinetics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(ที่ความเข้มข้นต่ำ จะมีการกำจัดออกแบบ non-linear kinetics): ข้อนี้ไม่ใช่คำตอบที่ถูกต้องสำหรับภาวะ Epilepsy เนื่องจากกลไกการออกฤทธิ์, efficacy หรือข้อบ่งใช้ไม่ตรงกับโจทย์ที่กำหนด
• ข้อ ค. (ยามีค่าครึ่งชีวิตเท่าเดิมเสมอ แม้มีความเข้มข้นของยาเพิ่มมากขึ้น): ข้อนี้ไม่ใช่คำตอบที่ถูกต้องสำหรับภาวะ Epilepsy เนื่องจากกลไกการออกฤทธิ์, efficacy หรือข้อบ่งใช้ไม่ตรงกับโจทย์ที่กำหนด
• ข้อ ง. (ยามี therapeutic index แคบ): ข้อนี้ไม่ใช่คำตอบที่ถูกต้องสำหรับภาวะ Epilepsy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5" s="2" t="n"/>
      <c r="L95" s="2" t="inlineStr">
        <is>
          <t>Epilepsy</t>
        </is>
      </c>
      <c r="M95" s="2" t="inlineStr">
        <is>
          <t>Clinic</t>
        </is>
      </c>
      <c r="N95" s="2" t="inlineStr">
        <is>
          <t>ข้อ 87 (Pharmtutor_2024_Set2.md)</t>
        </is>
      </c>
      <c r="O95" s="2" t="inlineStr">
        <is>
          <t>Mock</t>
        </is>
      </c>
      <c r="P95" s="2" t="inlineStr">
        <is>
          <t>Mock Pharmtutor 2024</t>
        </is>
      </c>
    </row>
    <row r="96" ht="13.2" customHeight="1" s="37">
      <c r="A96" s="8" t="inlineStr">
        <is>
          <t>94</t>
        </is>
      </c>
      <c r="B96" s="2" t="inlineStr">
        <is>
          <t>ข้อใดไม่ใช่อาการแสดงของผู้ป่วย Parkinson’s disease (1) Hypertension (2) Resting tremor (3) Impaired balance (4) Slowness of movement (5) Stiffness to limb movement MCQ 11 | 1/2557 | Page 11</t>
        </is>
      </c>
      <c r="C96" s="2" t="n"/>
      <c r="D96" s="2" t="inlineStr">
        <is>
          <t>Propranolol 40 mg BID</t>
        </is>
      </c>
      <c r="E96" s="2" t="inlineStr">
        <is>
          <t>Topiramate 25 mg BID</t>
        </is>
      </c>
      <c r="F96" s="2" t="inlineStr">
        <is>
          <t>Donepezil 5 mg HS</t>
        </is>
      </c>
      <c r="G96" s="2" t="inlineStr">
        <is>
          <t>Alteplase (rtPA) 0.9 mg/kg IV</t>
        </is>
      </c>
      <c r="H96" s="2" t="inlineStr">
        <is>
          <t>Phenytoin 100 mg TID</t>
        </is>
      </c>
      <c r="I96" s="8" t="inlineStr">
        <is>
          <t>1</t>
        </is>
      </c>
      <c r="J96" s="2" t="inlineStr">
        <is>
          <t>✅ คำตอบที่ถูกต้อง: ข้อ ก. Propranolol 40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carbonic anhydrase inhibitor และ glutamate blocker ทำให้เกิดน้ำหนักลด สมาธิลดลง นิ่วในไต และ secondary angle-closure glaucoma
• ข้อ ค. (Donepezil 5 mg HS): ข้อนี้ไม่ใช่คำตอบที่ถูกต้องสำหรับภาวะ Parkinson disease เนื่องจากกลไกการออกฤทธิ์, efficacy หรือข้อบ่งใช้ไม่ตรงกับโจทย์ที่กำหนด
• ข้อ ง. (Alteplase (rtPA) 0.9 mg/kg IV): ข้อนี้ไม่ใช่คำตอบที่ถูกต้องสำหรับภาวะ Parkinson disease เนื่องจากกลไกการออกฤทธิ์, efficacy หรือข้อบ่งใช้ไม่ตรงกับโจทย์ที่กำหนด
• ข้อ จ. (Phenytoin 100 mg TID):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2" t="n"/>
      <c r="L96" s="2" t="inlineStr">
        <is>
          <t>Parkinson disease</t>
        </is>
      </c>
      <c r="M96" s="2" t="inlineStr">
        <is>
          <t>Clinic</t>
        </is>
      </c>
      <c r="N96" s="2" t="inlineStr">
        <is>
          <t>ข้อ 73 (PLE_CC1_2557.md)</t>
        </is>
      </c>
      <c r="O96" s="2" t="inlineStr">
        <is>
          <t>ข้อสอบจริง</t>
        </is>
      </c>
      <c r="P96" s="2" t="inlineStr">
        <is>
          <t>ปี 2557</t>
        </is>
      </c>
    </row>
    <row r="97" ht="13.2" customHeight="1" s="37">
      <c r="A97" s="8" t="inlineStr">
        <is>
          <t>95</t>
        </is>
      </c>
      <c r="B97" s="2" t="inlineStr">
        <is>
          <t>ข้อใดเป็นข้อบ่งใช้อื่นของยา Carbamazepine นอกจากเป็นยากันชัก</t>
        </is>
      </c>
      <c r="C97" s="2" t="n"/>
      <c r="D97" s="2" t="inlineStr">
        <is>
          <t>........</t>
        </is>
      </c>
      <c r="E97" s="2" t="inlineStr">
        <is>
          <t>.......</t>
        </is>
      </c>
      <c r="F97" s="2" t="inlineStr">
        <is>
          <t>Trigerminal neuralgia</t>
        </is>
      </c>
      <c r="G97" s="2" t="inlineStr">
        <is>
          <t>............</t>
        </is>
      </c>
      <c r="H97" s="2" t="inlineStr">
        <is>
          <t>...............</t>
        </is>
      </c>
      <c r="I97" s="8" t="inlineStr">
        <is>
          <t>1</t>
        </is>
      </c>
      <c r="J97" s="2" t="inlineStr">
        <is>
          <t>✅ คำตอบที่ถูกต้อง: ข้อ ก. ........
💡 Background:
โรคลมชัก (Epilepsy) ต้องเลือกยากันชักให้ตรงกับชนิดของการชัก โดยคำนึงถึง efficacy, drug interactions และ safety profile ของผู้ป่วย
🎯 ทำไมข้อนี้ถึงถูก:
........ การเลือก ........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 ข้อนี้ไม่ใช่คำตอบที่ถูกต้องสำหรับภาวะ Epilepsy เนื่องจากกลไกการออกฤทธิ์, efficacy หรือข้อบ่งใช้ไม่ตรงกับโจทย์ที่กำหนด
• ข้อ ค. (Trigerminal neuralgia): ข้อนี้ไม่ใช่คำตอบที่ถูกต้องสำหรับภาวะ Epilepsy เนื่องจากกลไกการออกฤทธิ์, efficacy หรือข้อบ่งใช้ไม่ตรงกับโจทย์ที่กำหนด
• ข้อ ง. (............): ข้อนี้ไม่ใช่คำตอบที่ถูกต้องสำหรับภาวะ Epilepsy เนื่องจากกลไกการออกฤทธิ์, efficacy หรือข้อบ่งใช้ไม่ตรงกับโจทย์ที่กำหนด
• ข้อ จ. (...............):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7" s="2" t="n"/>
      <c r="L97" s="2" t="inlineStr">
        <is>
          <t>Epilepsy</t>
        </is>
      </c>
      <c r="M97" s="2" t="inlineStr">
        <is>
          <t>Clinic</t>
        </is>
      </c>
      <c r="N97" s="2" t="inlineStr">
        <is>
          <t>ข้อ 83 (PLE_CC1_2555 Day 1.md)</t>
        </is>
      </c>
      <c r="O97" s="2" t="inlineStr">
        <is>
          <t>ข้อสอบจริง</t>
        </is>
      </c>
      <c r="P97" s="2" t="inlineStr">
        <is>
          <t>ปี 2555</t>
        </is>
      </c>
    </row>
    <row r="98" ht="13.2" customHeight="1" s="37">
      <c r="A98" s="8" t="inlineStr">
        <is>
          <t>96</t>
        </is>
      </c>
      <c r="B98" s="2" t="inlineStr">
        <is>
          <t>ยาในข้อใดสามารถเพิ่มระดับยา Carbamazepine ได้</t>
        </is>
      </c>
      <c r="C98" s="2" t="n"/>
      <c r="D98" s="2" t="inlineStr">
        <is>
          <t>Clarithromycin</t>
        </is>
      </c>
      <c r="E98" s="2" t="inlineStr">
        <is>
          <t>Nevirapine</t>
        </is>
      </c>
      <c r="F98" s="2" t="inlineStr">
        <is>
          <t>Phenytoin</t>
        </is>
      </c>
      <c r="G98" s="2" t="inlineStr">
        <is>
          <t>.....</t>
        </is>
      </c>
      <c r="H98" s="2" t="inlineStr">
        <is>
          <t>..........</t>
        </is>
      </c>
      <c r="I98" s="8" t="inlineStr">
        <is>
          <t>1</t>
        </is>
      </c>
      <c r="J98" s="2" t="inlineStr">
        <is>
          <t>✅ คำตอบที่ถูกต้อง: ข้อ ก.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(Nevirapine): ข้อนี้ไม่ใช่คำตอบที่ถูกต้องสำหรับภาวะ Epilepsy เนื่องจากกลไกการออกฤทธิ์, efficacy หรือข้อบ่งใช้ไม่ตรงกับโจทย์ที่กำหนด
• ข้อ ค. (Phenytoin): เป็น sodium channel blocker สำหรับ focal/generalized seizures มี non-linear (Michaelis-Menten) PK เสี่ยง toxicity ได้ง่ายเมื่อปรับ dose และทำให้เกิด gingival hyperplasia, hirsutism, cerebellar ataxia
• ข้อ ง. (.....): ข้อนี้ไม่ใช่คำตอบที่ถูกต้องสำหรับภาวะ Epilepsy เนื่องจากกลไกการออกฤทธิ์, efficacy หรือข้อบ่งใช้ไม่ตรงกับโจทย์ที่กำหนด
• ข้อ จ. (..........):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8" s="2" t="n"/>
      <c r="L98" s="2" t="inlineStr">
        <is>
          <t>Epilepsy</t>
        </is>
      </c>
      <c r="M98" s="2" t="inlineStr">
        <is>
          <t>Clinic</t>
        </is>
      </c>
      <c r="N98" s="2" t="inlineStr">
        <is>
          <t>ข้อ 85 (PLE_CC1_2555 Day 1.md)</t>
        </is>
      </c>
      <c r="O98" s="2" t="inlineStr">
        <is>
          <t>ข้อสอบจริง</t>
        </is>
      </c>
      <c r="P98" s="2" t="inlineStr">
        <is>
          <t>ปี 2555</t>
        </is>
      </c>
    </row>
    <row r="99" ht="13.2" customHeight="1" s="37">
      <c r="A99" s="8" t="inlineStr">
        <is>
          <t>97</t>
        </is>
      </c>
      <c r="B99" s="2" t="inlineStr">
        <is>
          <t>แช่ตู้เย็น โดยเก็บไว้ในช่องแช่แข็ง Case 5: Epilepsy นางสตรี อายุ 25 ปี Dx Tonic-clonic seizure Carbamazepine 200 mg bid F/U 2 week</t>
        </is>
      </c>
      <c r="C99" s="2" t="n"/>
      <c r="D99" s="2" t="inlineStr">
        <is>
          <t>Gabapentin 300 mg TID</t>
        </is>
      </c>
      <c r="E99" s="2" t="inlineStr">
        <is>
          <t>Pregabalin 75 mg BID</t>
        </is>
      </c>
      <c r="F99" s="2" t="inlineStr">
        <is>
          <t>Levodopa/Benserazide 100/25 mg TID</t>
        </is>
      </c>
      <c r="G99" s="2" t="inlineStr">
        <is>
          <t>Sumatriptan 50 mg stat</t>
        </is>
      </c>
      <c r="H99" s="2" t="inlineStr">
        <is>
          <t>Propranolol 40 mg BID</t>
        </is>
      </c>
      <c r="I99" s="8" t="inlineStr">
        <is>
          <t>1</t>
        </is>
      </c>
      <c r="J99" s="2"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ข้อนี้ไม่ใช่คำตอบที่ถูกต้องสำหรับภาวะ Epilepsy เนื่องจากกลไกการออกฤทธิ์, efficacy หรือข้อบ่งใช้ไม่ตรงกับโจทย์ที่กำหนด
• ข้อ ค.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ง. (Sumatriptan 50 mg stat): เป็น 5-HT1B/1D agonist หดหลอดเลือดสมอง ใช้รักษา acute moderate-to-severe migraine attack แต่ contraindication ใน ischemic heart disease, uncontrolled HTN, stroke
• ข้อ จ. (Propranolol 40 mg BID): เป็น non-selective beta-blocker ข้าม blood-brain barrier ได้ดี เหมาะสำหรับ performance anxiety, essential tremor, migraine prophylaxis และ thyroid storm แต่ contraindication ใน asthma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9" s="2" t="n"/>
      <c r="L99" s="2" t="inlineStr">
        <is>
          <t>Epilepsy</t>
        </is>
      </c>
      <c r="M99" s="2" t="inlineStr">
        <is>
          <t>Clinic</t>
        </is>
      </c>
      <c r="N99" s="2" t="inlineStr">
        <is>
          <t>ข้อ 4 (PLE_CC1_2555 Day 2.md)</t>
        </is>
      </c>
      <c r="O99" s="2" t="inlineStr">
        <is>
          <t>ข้อสอบจริง</t>
        </is>
      </c>
      <c r="P99" s="2" t="inlineStr">
        <is>
          <t>ปี 2555</t>
        </is>
      </c>
    </row>
    <row r="100" ht="13.2" customHeight="1" s="37">
      <c r="A100" s="8" t="inlineStr">
        <is>
          <t>98</t>
        </is>
      </c>
      <c r="B100" s="2" t="inlineStr">
        <is>
          <t>กลไกการออกฤทธิ์ของ Carbamazepine</t>
        </is>
      </c>
      <c r="C100" s="2" t="n"/>
      <c r="D100" s="2" t="inlineStr">
        <is>
          <t>Sumatriptan 50 mg stat</t>
        </is>
      </c>
      <c r="E100" s="2" t="inlineStr">
        <is>
          <t>Propranolol 40 mg BID</t>
        </is>
      </c>
      <c r="F100" s="2" t="inlineStr">
        <is>
          <t>Topiramate 25 mg BID</t>
        </is>
      </c>
      <c r="G100" s="2" t="inlineStr">
        <is>
          <t>Donepezil 5 mg HS</t>
        </is>
      </c>
      <c r="H100" s="2" t="inlineStr">
        <is>
          <t>Alteplase (rtPA) 0.9 mg/kg IV</t>
        </is>
      </c>
      <c r="I100" s="8" t="inlineStr">
        <is>
          <t>1</t>
        </is>
      </c>
      <c r="J100" s="2"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(Propranolol 40 mg BID): เป็น non-selective beta-blocker ข้าม blood-brain barrier ได้ดี เหมาะสำหรับ performance anxiety, essential tremor, migraine prophylaxis และ thyroid storm แต่ contraindication ใน asthma
• ข้อ ค. (Topiramate 25 mg BID): เป็น carbonic anhydrase inhibitor และ glutamate blocker ทำให้เกิดน้ำหนักลด สมาธิลดลง นิ่วในไต และ secondary angle-closure glaucoma
• ข้อ ง. (Donepezil 5 mg HS): ข้อนี้ไม่ใช่คำตอบที่ถูกต้องสำหรับภาวะ Epilepsy เนื่องจากกลไกการออกฤทธิ์, efficacy หรือข้อบ่งใช้ไม่ตรงกับโจทย์ที่กำหนด
• ข้อ จ. (Alteplase (rtPA) 0.9 mg/kg IV):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0" s="2" t="n"/>
      <c r="L100" s="2" t="inlineStr">
        <is>
          <t>Epilepsy</t>
        </is>
      </c>
      <c r="M100" s="2" t="inlineStr">
        <is>
          <t>Clinic</t>
        </is>
      </c>
      <c r="N100" s="2" t="inlineStr">
        <is>
          <t>ข้อ 3 (PLE_CC1_2555 Day 2.md)</t>
        </is>
      </c>
      <c r="O100" s="2" t="inlineStr">
        <is>
          <t>ข้อสอบจริง</t>
        </is>
      </c>
      <c r="P100" s="2" t="inlineStr">
        <is>
          <t>ปี 2555</t>
        </is>
      </c>
    </row>
    <row r="101" ht="13.2" customHeight="1" s="37">
      <c r="A101" s="8" t="inlineStr">
        <is>
          <t>99</t>
        </is>
      </c>
      <c r="B101" s="2" t="inlineStr">
        <is>
          <t>Carbamazepine นอกจากจะมีข้อบ่งใช้ในโรคลมชัก ยังสามารถรักษาโรคอะไรได้</t>
        </is>
      </c>
      <c r="C101" s="2" t="n"/>
      <c r="D101" s="2" t="inlineStr">
        <is>
          <t>Donepezil 5 mg HS</t>
        </is>
      </c>
      <c r="E101" s="2" t="inlineStr">
        <is>
          <t>Alteplase (rtPA) 0.9 mg/kg IV</t>
        </is>
      </c>
      <c r="F101" s="2" t="inlineStr">
        <is>
          <t>Phenytoin 100 mg TID</t>
        </is>
      </c>
      <c r="G101" s="2" t="inlineStr">
        <is>
          <t>Sodium valproate 200 mg TID</t>
        </is>
      </c>
      <c r="H101" s="2" t="inlineStr">
        <is>
          <t>Carbamazepine 200 mg BID</t>
        </is>
      </c>
      <c r="I101" s="8" t="inlineStr">
        <is>
          <t>1</t>
        </is>
      </c>
      <c r="J101" s="2"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ข้อนี้ไม่ใช่คำตอบที่ถูกต้องสำหรับภาวะ Epilepsy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1" s="2" t="n"/>
      <c r="L101" s="2" t="inlineStr">
        <is>
          <t>Epilepsy</t>
        </is>
      </c>
      <c r="M101" s="2" t="inlineStr">
        <is>
          <t>Clinic</t>
        </is>
      </c>
      <c r="N101" s="2" t="inlineStr">
        <is>
          <t>ข้อ 4 (PLE_CC1_2555 Day 2.md)</t>
        </is>
      </c>
      <c r="O101" s="2" t="inlineStr">
        <is>
          <t>ข้อสอบจริง</t>
        </is>
      </c>
      <c r="P101" s="2" t="inlineStr">
        <is>
          <t>ปี 2555</t>
        </is>
      </c>
    </row>
    <row r="102" ht="13.2" customHeight="1" s="37">
      <c r="A102" s="8" t="inlineStr">
        <is>
          <t>100</t>
        </is>
      </c>
      <c r="B102" s="2" t="inlineStr">
        <is>
          <t>ยา Carbamazepine จะเพิ่มขึ้นเมื่อใช้ร่วมกับ</t>
        </is>
      </c>
      <c r="C102" s="2" t="n"/>
      <c r="D102" s="2" t="inlineStr">
        <is>
          <t>Sodium valproate 200 mg TID</t>
        </is>
      </c>
      <c r="E102" s="2" t="inlineStr">
        <is>
          <t>Carbamazepine 200 mg BID</t>
        </is>
      </c>
      <c r="F102" s="2" t="inlineStr">
        <is>
          <t>Lamotrigine 50 mg OD</t>
        </is>
      </c>
      <c r="G102" s="2" t="inlineStr">
        <is>
          <t>Levetiracetam 500 mg BID</t>
        </is>
      </c>
      <c r="H102" s="2" t="inlineStr">
        <is>
          <t>Gabapentin 300 mg TID</t>
        </is>
      </c>
      <c r="I102" s="8" t="inlineStr">
        <is>
          <t>1</t>
        </is>
      </c>
      <c r="J102" s="2" t="inlineStr">
        <is>
          <t>✅ คำตอบที่ถูกต้อง: ข้อ ก. Sodium valproate 200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(Lamotrigine 50 mg OD): เป็น broad-spectrum AED และ mood stabilizer ต้องเริ่มจากขนาดยาต่ำๆ และค่อยๆ titrate ช้าๆ เพื่อป้องกัน severe cutaneous rash (SJS/TEN)
• ข้อ ง.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จ. (Gabapentin 300 mg TID):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2" s="2" t="n"/>
      <c r="L102" s="2" t="inlineStr">
        <is>
          <t>Epilepsy</t>
        </is>
      </c>
      <c r="M102" s="2" t="inlineStr">
        <is>
          <t>Clinic</t>
        </is>
      </c>
      <c r="N102" s="2" t="inlineStr">
        <is>
          <t>ข้อ 5 (PLE_CC1_2555 Day 2.md)</t>
        </is>
      </c>
      <c r="O102" s="2" t="inlineStr">
        <is>
          <t>ข้อสอบจริง</t>
        </is>
      </c>
      <c r="P102" s="2" t="inlineStr">
        <is>
          <t>ปี 2555</t>
        </is>
      </c>
    </row>
    <row r="103" ht="13.2" customHeight="1" s="37">
      <c r="A103" s="8" t="inlineStr">
        <is>
          <t>101</t>
        </is>
      </c>
      <c r="B103" s="2" t="inlineStr">
        <is>
          <t>Carbamazepine มี polymorph ซึ่งแต่ละ polymorph จะแตกต่างกัน ยกเว้น</t>
        </is>
      </c>
      <c r="C103" s="2" t="n"/>
      <c r="D103" s="2" t="inlineStr">
        <is>
          <t>Levetiracetam 500 mg BID</t>
        </is>
      </c>
      <c r="E103" s="2" t="inlineStr">
        <is>
          <t>Gabapentin 300 mg TID</t>
        </is>
      </c>
      <c r="F103" s="2" t="inlineStr">
        <is>
          <t>Pregabalin 75 mg BID</t>
        </is>
      </c>
      <c r="G103" s="2" t="inlineStr">
        <is>
          <t>Levodopa/Benserazide 100/25 mg TID</t>
        </is>
      </c>
      <c r="H103" s="2" t="inlineStr">
        <is>
          <t>Sumatriptan 50 mg stat</t>
        </is>
      </c>
      <c r="I103" s="8" t="inlineStr">
        <is>
          <t>1</t>
        </is>
      </c>
      <c r="J103" s="2"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(Gabapentin 300 mg TID): ข้อนี้ไม่ใช่คำตอบที่ถูกต้องสำหรับภาวะ Epilepsy เนื่องจากกลไกการออกฤทธิ์, efficacy หรือข้อบ่งใช้ไม่ตรงกับโจทย์ที่กำหนด
• ข้อ ค. (Pregabalin 75 mg BID): ข้อนี้ไม่ใช่คำตอบที่ถูกต้องสำหรับภาวะ Epilepsy เนื่องจากกลไกการออกฤทธิ์, efficacy หรือข้อบ่งใช้ไม่ตรงกับโจทย์ที่กำหนด
• ข้อ ง.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จ. (Sumatriptan 50 mg stat):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3" s="2" t="n"/>
      <c r="L103" s="2" t="inlineStr">
        <is>
          <t>Epilepsy</t>
        </is>
      </c>
      <c r="M103" s="2" t="inlineStr">
        <is>
          <t>Clinic</t>
        </is>
      </c>
      <c r="N103" s="2" t="inlineStr">
        <is>
          <t>ข้อ 6 (PLE_CC1_2555 Day 2.md)</t>
        </is>
      </c>
      <c r="O103" s="2" t="inlineStr">
        <is>
          <t>ข้อสอบจริง</t>
        </is>
      </c>
      <c r="P103" s="2" t="inlineStr">
        <is>
          <t>ปี 2555</t>
        </is>
      </c>
    </row>
    <row r="104" ht="13.2" customHeight="1" s="37">
      <c r="A104" s="8" t="inlineStr">
        <is>
          <t>102</t>
        </is>
      </c>
      <c r="B104" s="2" t="inlineStr">
        <is>
          <t>hydroxyzine ในขนาดสูงสามารถใช้เป็นยากันชักได้</t>
        </is>
      </c>
      <c r="C104" s="2" t="n"/>
      <c r="D104" s="2" t="inlineStr">
        <is>
          <t>Levodopa/Benserazide 100/25 mg TID</t>
        </is>
      </c>
      <c r="E104" s="2" t="inlineStr">
        <is>
          <t>Sumatriptan 50 mg stat</t>
        </is>
      </c>
      <c r="F104" s="2" t="inlineStr">
        <is>
          <t>Propranolol 40 mg BID</t>
        </is>
      </c>
      <c r="G104" s="2" t="inlineStr">
        <is>
          <t>Topiramate 25 mg BID</t>
        </is>
      </c>
      <c r="H104" s="2" t="inlineStr">
        <is>
          <t>Donepezil 5 mg HS</t>
        </is>
      </c>
      <c r="I104" s="8" t="inlineStr">
        <is>
          <t>1</t>
        </is>
      </c>
      <c r="J104" s="2"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(Donepezil 5 mg HS):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04" s="2" t="n"/>
      <c r="L104" s="2" t="inlineStr">
        <is>
          <t>Epilepsy</t>
        </is>
      </c>
      <c r="M104" s="2" t="inlineStr">
        <is>
          <t>Clinic</t>
        </is>
      </c>
      <c r="N104" s="2" t="inlineStr">
        <is>
          <t>ข้อ 1 (PLE_CC1_2555 Day 2.md)</t>
        </is>
      </c>
      <c r="O104" s="2" t="inlineStr">
        <is>
          <t>ข้อสอบจริง</t>
        </is>
      </c>
      <c r="P104" s="2" t="inlineStr">
        <is>
          <t>ปี 2555</t>
        </is>
      </c>
    </row>
    <row r="105" ht="13.2" customHeight="1" s="37">
      <c r="A105" s="8" t="inlineStr">
        <is>
          <t>103</t>
        </is>
      </c>
      <c r="B105" s="2" t="inlineStr">
        <is>
          <t>ยาในรูปแบบ controlled released มีข้อดีกว่าตรงไหน : ระดับยา levodopa คงที่กว่า การออกแบบให้มีการปลดปล่อยยาในอัตราคงที่และความเข้มข้นของยาไม่เปลี่ยนแปลงตามเวลาที่ยาเข้าสู่ร่า งกาย ดังนั้นการทำcontrolled released จึงช่วยให้ระดับยาlevodopa คงที่ Ref: หนังสือติวรุ่นเรา</t>
        </is>
      </c>
      <c r="C105" s="2" t="n"/>
      <c r="D105" s="2" t="inlineStr">
        <is>
          <t>Topiramate 25 mg BID</t>
        </is>
      </c>
      <c r="E105" s="2" t="inlineStr">
        <is>
          <t>Donepezil 5 mg HS</t>
        </is>
      </c>
      <c r="F105" s="2" t="inlineStr">
        <is>
          <t>Alteplase (rtPA) 0.9 mg/kg IV</t>
        </is>
      </c>
      <c r="G105" s="2" t="inlineStr">
        <is>
          <t>Phenytoin 100 mg TID</t>
        </is>
      </c>
      <c r="H105" s="2" t="inlineStr">
        <is>
          <t>Sodium valproate 200 mg TID</t>
        </is>
      </c>
      <c r="I105" s="8" t="inlineStr">
        <is>
          <t>3</t>
        </is>
      </c>
      <c r="J105" s="2" t="inlineStr">
        <is>
          <t>✅ คำตอบที่ถูกต้อง: ข้อ ค. Alteplase (rtPA) 0.9 mg/kg IV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Alteplase (rtPA) 0.9 mg/kg IV การเลือก Alteplase (rtPA) 0.9 mg/kg IV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(Topiramate 25 mg BID): เป็น carbonic anhydrase inhibitor และ glutamate blocker ทำให้เกิดน้ำหนักลด สมาธิลดลง นิ่วในไต และ secondary angle-closure glaucoma
• ข้อ ข. (Donepezil 5 mg HS): ข้อนี้ไม่ใช่คำตอบที่ถูกต้องสำหรับภาวะ Parkinson disease เนื่องจากกลไกการออกฤทธิ์, efficacy หรือข้อบ่งใช้ไม่ตรงกับโจทย์ที่กำหนด
• ข้อ ง.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จ. (Sodium valproate 200 mg TID): เป็น broad-spectrum antiepileptic drug แต่มี teratogenicity สูงมาก (neural tube defects) ห้ามใช้ในหญิงวัยเจริญพันธุ์ และเสี่ยงต่อ hepatotoxicity, pancreatitis, weight gain, alopecia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5" s="2" t="n"/>
      <c r="L105" s="2" t="inlineStr">
        <is>
          <t>Parkinson disease</t>
        </is>
      </c>
      <c r="M105" s="2" t="inlineStr">
        <is>
          <t>Clinic</t>
        </is>
      </c>
      <c r="N105" s="2" t="inlineStr">
        <is>
          <t>ข้อ 5 (PLE_CC1_2554 SET2.md)</t>
        </is>
      </c>
      <c r="O105" s="2" t="inlineStr">
        <is>
          <t>ข้อสอบจริง</t>
        </is>
      </c>
      <c r="P105" s="2" t="inlineStr">
        <is>
          <t>ปี 2554</t>
        </is>
      </c>
    </row>
    <row r="106" ht="13.2" customHeight="1" s="37">
      <c r="A106" s="8" t="inlineStr">
        <is>
          <t>104</t>
        </is>
      </c>
      <c r="B106" s="2" t="inlineStr">
        <is>
          <t>ข้อใดผิดเกี่ยวกับยา Carbidopa + Levodopa</t>
        </is>
      </c>
      <c r="C106" s="2" t="n"/>
      <c r="D106" s="2" t="inlineStr">
        <is>
          <t>Phenytoin 100 mg TID</t>
        </is>
      </c>
      <c r="E106" s="2" t="inlineStr">
        <is>
          <t>Sodium valproate 200 mg TID</t>
        </is>
      </c>
      <c r="F106" s="2" t="inlineStr">
        <is>
          <t>Carbamazepine 200 mg BID</t>
        </is>
      </c>
      <c r="G106" s="2" t="inlineStr">
        <is>
          <t>Lamotrigine 50 mg OD</t>
        </is>
      </c>
      <c r="H106" s="2" t="inlineStr">
        <is>
          <t>Levetiracetam 500 mg BID</t>
        </is>
      </c>
      <c r="I106" s="8" t="inlineStr">
        <is>
          <t>1</t>
        </is>
      </c>
      <c r="J106" s="2" t="inlineStr">
        <is>
          <t>✅ คำตอบที่ถูกต้อง: ข้อ ก. Phenytoin 100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6" s="2" t="n"/>
      <c r="L106" s="2" t="inlineStr">
        <is>
          <t>Parkinson disease</t>
        </is>
      </c>
      <c r="M106" s="2" t="inlineStr">
        <is>
          <t>Clinic</t>
        </is>
      </c>
      <c r="N106" s="2" t="inlineStr">
        <is>
          <t>ข้อ 3 (PLE_CC1_2533.md)</t>
        </is>
      </c>
      <c r="O106" s="2" t="inlineStr">
        <is>
          <t>ข้อสอบจริง</t>
        </is>
      </c>
      <c r="P106" s="2" t="inlineStr">
        <is>
          <t>ปี 2533</t>
        </is>
      </c>
    </row>
    <row r="107" ht="13.2" customHeight="1" s="37">
      <c r="A107" s="8" t="inlineStr">
        <is>
          <t>105</t>
        </is>
      </c>
      <c r="B107" s="2" t="inlineStr">
        <is>
          <t>Levodopa ช่วยเพิ่มการดูดซึมยา Carbidopa ที่ CNS</t>
        </is>
      </c>
      <c r="C107" s="2" t="n"/>
      <c r="D107" s="2" t="inlineStr">
        <is>
          <t>Lamotrigine 50 mg OD</t>
        </is>
      </c>
      <c r="E107" s="2" t="inlineStr">
        <is>
          <t>Levetiracetam 500 mg BID</t>
        </is>
      </c>
      <c r="F107" s="2" t="inlineStr">
        <is>
          <t>Gabapentin 300 mg TID</t>
        </is>
      </c>
      <c r="G107" s="2" t="inlineStr">
        <is>
          <t>Pregabalin 75 mg BID</t>
        </is>
      </c>
      <c r="H107" s="2" t="inlineStr">
        <is>
          <t>Levodopa/Benserazide 100/25 mg TID</t>
        </is>
      </c>
      <c r="I107" s="8" t="inlineStr">
        <is>
          <t>1</t>
        </is>
      </c>
      <c r="J107" s="2" t="inlineStr">
        <is>
          <t>✅ คำตอบที่ถูกต้อง: ข้อ ก. Lamotrigine 50 mg OD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ค. (Gabapentin 300 mg TID): ข้อนี้ไม่ใช่คำตอบที่ถูกต้องสำหรับภาวะ Parkinson disease เนื่องจากกลไกการออกฤทธิ์, efficacy หรือข้อบ่งใช้ไม่ตรงกับโจทย์ที่กำหนด
• ข้อ ง. (Pregabalin 75 mg BID): ข้อนี้ไม่ใช่คำตอบที่ถูกต้องสำหรับภาวะ Parkinson disease เนื่องจากกลไกการออกฤทธิ์, efficacy หรือข้อบ่งใช้ไม่ตรงกับโจทย์ที่กำหนด
• ข้อ จ.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2" t="n"/>
      <c r="L107" s="2" t="inlineStr">
        <is>
          <t>Parkinson disease</t>
        </is>
      </c>
      <c r="M107" s="2" t="inlineStr">
        <is>
          <t>Clinic</t>
        </is>
      </c>
      <c r="N107" s="2" t="inlineStr">
        <is>
          <t>ข้อ 2 (PLE_CC1_2533.md)</t>
        </is>
      </c>
      <c r="O107" s="2" t="inlineStr">
        <is>
          <t>ข้อสอบจริง</t>
        </is>
      </c>
      <c r="P107" s="2" t="inlineStr">
        <is>
          <t>ปี 2533</t>
        </is>
      </c>
    </row>
    <row r="108" ht="13.2" customHeight="1" s="37">
      <c r="A108" s="8" t="inlineStr">
        <is>
          <t>106</t>
        </is>
      </c>
      <c r="B108" s="2" t="inlineStr">
        <is>
          <t>Carbidopa ช่วยลดปริมาณของ Levodopa ที่จำเป็นต้องใช้</t>
        </is>
      </c>
      <c r="C108" s="2" t="n"/>
      <c r="D108" s="2" t="inlineStr">
        <is>
          <t>Pregabalin 75 mg BID</t>
        </is>
      </c>
      <c r="E108" s="2" t="inlineStr">
        <is>
          <t>Levodopa/Benserazide 100/25 mg TID</t>
        </is>
      </c>
      <c r="F108" s="2" t="inlineStr">
        <is>
          <t>Sumatriptan 50 mg stat</t>
        </is>
      </c>
      <c r="G108" s="2" t="inlineStr">
        <is>
          <t>Propranolol 40 mg BID</t>
        </is>
      </c>
      <c r="H108" s="2" t="inlineStr">
        <is>
          <t>Topiramate 25 mg BID</t>
        </is>
      </c>
      <c r="I108" s="8" t="inlineStr">
        <is>
          <t>1</t>
        </is>
      </c>
      <c r="J108" s="2" t="inlineStr">
        <is>
          <t>✅ คำตอบที่ถูกต้อง: ข้อ ก. Pregabalin 75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 s="2" t="n"/>
      <c r="L108" s="2" t="inlineStr">
        <is>
          <t>Parkinson disease</t>
        </is>
      </c>
      <c r="M108" s="2" t="inlineStr">
        <is>
          <t>Clinic</t>
        </is>
      </c>
      <c r="N108" s="2" t="inlineStr">
        <is>
          <t>ข้อ 4 (PLE_CC1_2533.md)</t>
        </is>
      </c>
      <c r="O108" s="2" t="inlineStr">
        <is>
          <t>ข้อสอบจริง</t>
        </is>
      </c>
      <c r="P108" s="2" t="inlineStr">
        <is>
          <t>ปี 2533</t>
        </is>
      </c>
    </row>
    <row r="109" ht="13.2" customHeight="1" s="37">
      <c r="A109" s="8" t="inlineStr">
        <is>
          <t>107</t>
        </is>
      </c>
      <c r="B109" s="2" t="inlineStr">
        <is>
          <t>Entacarpone Ans. 1. Amantadine AIMs (Abnormal Involuntary Movement) หรือ Dyskinesias เป็นการเคลื่อนไหวแบบกระตุก สั่นๆ ส่วนมากเกิดจาก การใช้ยา levodopa ในระยะยาว หรือ levodopa-induced dyskinesia สำหรับการรักษาสามารถทำได้หลายวิธี คือ - การลดขนาดของยา levodopa ในแต่ละครั้ง จะสามารถลด dyskinesia ได้ แต่อาจจะทำให้ผู้ป่วยมี off time ที่เพิ่มขึ้น และ wearing-off ที่เพิ่มขึ้นได้ - การใช้ Amantadine สามารถช่วยลด dyskinesia ได้</t>
        </is>
      </c>
      <c r="C109" s="2" t="n"/>
      <c r="D109" s="2" t="inlineStr">
        <is>
          <t>Propranolol 40 mg BID</t>
        </is>
      </c>
      <c r="E109" s="2" t="inlineStr">
        <is>
          <t>Topiramate 25 mg BID</t>
        </is>
      </c>
      <c r="F109" s="2" t="inlineStr">
        <is>
          <t>Donepezil 5 mg HS</t>
        </is>
      </c>
      <c r="G109" s="2" t="inlineStr">
        <is>
          <t>Alteplase (rtPA) 0.9 mg/kg IV</t>
        </is>
      </c>
      <c r="H109" s="2" t="inlineStr">
        <is>
          <t>Phenytoin 100 mg TID</t>
        </is>
      </c>
      <c r="I109" s="8" t="inlineStr">
        <is>
          <t>1</t>
        </is>
      </c>
      <c r="J109" s="2" t="inlineStr">
        <is>
          <t>✅ คำตอบที่ถูกต้อง: ข้อ ก. Propranolol 40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carbonic anhydrase inhibitor และ glutamate blocker ทำให้เกิดน้ำหนักลด สมาธิลดลง นิ่วในไต และ secondary angle-closure glaucoma
• ข้อ ค. (Donepezil 5 mg HS): ข้อนี้ไม่ใช่คำตอบที่ถูกต้องสำหรับภาวะ Parkinson disease เนื่องจากกลไกการออกฤทธิ์, efficacy หรือข้อบ่งใช้ไม่ตรงกับโจทย์ที่กำหนด
• ข้อ ง. (Alteplase (rtPA) 0.9 mg/kg IV): ข้อนี้ไม่ใช่คำตอบที่ถูกต้องสำหรับภาวะ Parkinson disease เนื่องจากกลไกการออกฤทธิ์, efficacy หรือข้อบ่งใช้ไม่ตรงกับโจทย์ที่กำหนด
• ข้อ จ. (Phenytoin 100 mg TID):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2" t="n"/>
      <c r="L109" s="2" t="inlineStr">
        <is>
          <t>Parkinson disease</t>
        </is>
      </c>
      <c r="M109" s="2" t="inlineStr">
        <is>
          <t>Clinic</t>
        </is>
      </c>
      <c r="N109" s="2" t="inlineStr">
        <is>
          <t>ข้อ 5 (PLE_CC1_2533.md)</t>
        </is>
      </c>
      <c r="O109" s="2" t="inlineStr">
        <is>
          <t>ข้อสอบจริง</t>
        </is>
      </c>
      <c r="P109" s="2" t="inlineStr">
        <is>
          <t>ปี 2533</t>
        </is>
      </c>
    </row>
    <row r="110" ht="13.2" customHeight="1" s="37">
      <c r="A110" s="8" t="inlineStr">
        <is>
          <t>108</t>
        </is>
      </c>
      <c r="B110" s="2" t="inlineStr">
        <is>
          <t>ตอบ ค. Phenytoin เนื่องจากยามีผลในการเพิ่มการทำงานของเอนไซม์ P450 ในตับ ทำให้มีผลในการเร่งการทำลาย T4</t>
        </is>
      </c>
      <c r="C110" s="2" t="n"/>
      <c r="D110" s="2" t="inlineStr">
        <is>
          <t>Alteplase (rtPA) 0.9 mg/kg IV</t>
        </is>
      </c>
      <c r="E110" s="2" t="inlineStr">
        <is>
          <t>Phenytoin 100 mg TID</t>
        </is>
      </c>
      <c r="F110" s="2" t="inlineStr">
        <is>
          <t>Sodium valproate 200 mg TID</t>
        </is>
      </c>
      <c r="G110" s="2" t="inlineStr">
        <is>
          <t>Carbamazepine 200 mg BID</t>
        </is>
      </c>
      <c r="H110" s="2" t="inlineStr">
        <is>
          <t>Lamotrigine 50 mg OD</t>
        </is>
      </c>
      <c r="I110" s="8" t="inlineStr">
        <is>
          <t>1</t>
        </is>
      </c>
      <c r="J110" s="2"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0" s="2" t="n"/>
      <c r="L110" s="2" t="inlineStr">
        <is>
          <t>Epilepsy</t>
        </is>
      </c>
      <c r="M110" s="2" t="inlineStr">
        <is>
          <t>Clinic</t>
        </is>
      </c>
      <c r="N110" s="2" t="inlineStr">
        <is>
          <t>ข้อ 27 (PLE_CC1_Practice_Exam.md)</t>
        </is>
      </c>
      <c r="O110" s="2" t="inlineStr">
        <is>
          <t>Mock</t>
        </is>
      </c>
      <c r="P110" s="2" t="inlineStr">
        <is>
          <t>Mock สภาเภสัชฯ Practice</t>
        </is>
      </c>
    </row>
    <row r="111" ht="13.2" customHeight="1" s="37">
      <c r="A111" s="8" t="inlineStr">
        <is>
          <t>109</t>
        </is>
      </c>
      <c r="B111" s="2" t="inlineStr">
        <is>
          <t>ตอบ ก. ปวดศีรษะ Orlistat มีผลข้างเคียงจากกลไกการออกฤทธิ์ของยา การที่ไขมันไม่ถูกย่อยและไม่ถูกดูดซึมทำให้ไขมัน ออกมาพร้อมอุจจาระ ดังนั้นอาการที่พบบ่อยๆ คือ มีน้ำมันปนออกมากับอุจจาระ มีความอยากถ่ายอุจจาระ 107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บ่อยครั้งกว่าเดิม ควบคุมการขับถ่ายลำบาก ปวดมวน ไม่สบายท้อง และอาการข้างเคียงรุนแรงคือเป็นพิษต่อ ตับได้</t>
        </is>
      </c>
      <c r="C111" s="2" t="n"/>
      <c r="D111" s="2" t="inlineStr">
        <is>
          <t>Carbamazepine 200 mg BID</t>
        </is>
      </c>
      <c r="E111" s="2" t="inlineStr">
        <is>
          <t>Lamotrigine 50 mg OD</t>
        </is>
      </c>
      <c r="F111" s="2" t="inlineStr">
        <is>
          <t>Levetiracetam 500 mg BID</t>
        </is>
      </c>
      <c r="G111" s="2" t="inlineStr">
        <is>
          <t>Gabapentin 300 mg TID</t>
        </is>
      </c>
      <c r="H111" s="2" t="inlineStr">
        <is>
          <t>Pregabalin 75 mg BID</t>
        </is>
      </c>
      <c r="I111" s="8" t="inlineStr">
        <is>
          <t>1</t>
        </is>
      </c>
      <c r="J111" s="2" t="inlineStr">
        <is>
          <t>✅ คำตอบที่ถูกต้อง: ข้อ ก. Carbamazepine 200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(Lamotrigine 50 mg OD): เป็น broad-spectrum AED และ mood stabilizer ต้องเริ่มจากขนาดยาต่ำๆ และค่อยๆ titrate ช้าๆ เพื่อป้องกัน severe cutaneous rash (SJS/TEN)
• ข้อ ค.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ง. (Gabapentin 300 mg TID): ข้อนี้ไม่ใช่คำตอบที่ถูกต้องสำหรับภาวะ Headache เนื่องจากกลไกการออกฤทธิ์, efficacy หรือข้อบ่งใช้ไม่ตรงกับโจทย์ที่กำหนด
• ข้อ จ. (Pregabalin 75 mg BID):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1" s="2" t="n"/>
      <c r="L111" s="2" t="inlineStr">
        <is>
          <t>Headache</t>
        </is>
      </c>
      <c r="M111" s="2" t="inlineStr">
        <is>
          <t>Clinic</t>
        </is>
      </c>
      <c r="N111" s="2" t="inlineStr">
        <is>
          <t>ข้อ 37 (PLE_CC1_Practice_Exam.md)</t>
        </is>
      </c>
      <c r="O111" s="2" t="inlineStr">
        <is>
          <t>Mock</t>
        </is>
      </c>
      <c r="P111" s="2" t="inlineStr">
        <is>
          <t>Mock สภาเภสัชฯ Practice</t>
        </is>
      </c>
    </row>
    <row r="112" ht="13.2" customHeight="1" s="37">
      <c r="A112" s="8" t="inlineStr">
        <is>
          <t>110</t>
        </is>
      </c>
      <c r="B112" s="2" t="inlineStr">
        <is>
          <t>Phenytoin 2. Valproic acid 3. Benzodiazepine 4. Carbamazepine</t>
        </is>
      </c>
      <c r="C112" s="2" t="n"/>
      <c r="D112" s="2" t="inlineStr">
        <is>
          <t>1,2,3,4</t>
        </is>
      </c>
      <c r="E112" s="2" t="inlineStr">
        <is>
          <t>1,3 และ 4</t>
        </is>
      </c>
      <c r="F112" s="2" t="inlineStr">
        <is>
          <t>1 และ 4</t>
        </is>
      </c>
      <c r="G112" s="2" t="inlineStr">
        <is>
          <t>1 เท่านั้น</t>
        </is>
      </c>
      <c r="H112" s="2" t="inlineStr">
        <is>
          <t>2 เท่านั้น</t>
        </is>
      </c>
      <c r="I112" s="8" t="inlineStr">
        <is>
          <t>1</t>
        </is>
      </c>
      <c r="J112" s="2"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(1,3 และ 4): ข้อนี้ไม่ใช่คำตอบที่ถูกต้องสำหรับภาวะ Epilepsy เนื่องจากกลไกการออกฤทธิ์, efficacy หรือข้อบ่งใช้ไม่ตรงกับโจทย์ที่กำหนด
• ข้อ ค. (1 และ 4): ข้อนี้ไม่ใช่คำตอบที่ถูกต้องสำหรับภาวะ Epilepsy เนื่องจากกลไกการออกฤทธิ์, efficacy หรือข้อบ่งใช้ไม่ตรงกับโจทย์ที่กำหนด
• ข้อ ง. (1 เท่านั้น): ข้อนี้ไม่ใช่คำตอบที่ถูกต้องสำหรับภาวะ Epilepsy เนื่องจากกลไกการออกฤทธิ์, efficacy หรือข้อบ่งใช้ไม่ตรงกับโจทย์ที่กำหนด
• ข้อ จ. (2 เท่านั้น):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2" s="2" t="n"/>
      <c r="L112" s="2" t="inlineStr">
        <is>
          <t>Epilepsy</t>
        </is>
      </c>
      <c r="M112" s="2" t="inlineStr">
        <is>
          <t>Clinic</t>
        </is>
      </c>
      <c r="N112" s="2" t="inlineStr">
        <is>
          <t>ข้อ 1 (PLE_CC1_Practice_Exam.md)</t>
        </is>
      </c>
      <c r="O112" s="2" t="inlineStr">
        <is>
          <t>Mock</t>
        </is>
      </c>
      <c r="P112" s="2" t="inlineStr">
        <is>
          <t>Mock สภาเภสัชฯ Practice</t>
        </is>
      </c>
    </row>
    <row r="113" ht="13.2" customHeight="1" s="37">
      <c r="A113" s="8" t="inlineStr">
        <is>
          <t>111</t>
        </is>
      </c>
      <c r="B113" s="2" t="inlineStr">
        <is>
          <t>Phenytoin 2.Valproic acid 3. Benzodiazepine 4. Carbamazepine</t>
        </is>
      </c>
      <c r="C113" s="2" t="n"/>
      <c r="D113" s="2" t="inlineStr">
        <is>
          <t>1,2,3,4</t>
        </is>
      </c>
      <c r="E113" s="2" t="inlineStr">
        <is>
          <t>1,2 และ 4 137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F113" s="2" t="inlineStr">
        <is>
          <t>2 และ 3</t>
        </is>
      </c>
      <c r="G113" s="2" t="inlineStr">
        <is>
          <t>2 และ 4</t>
        </is>
      </c>
      <c r="H113" s="2" t="inlineStr">
        <is>
          <t>2 เท่านั้น</t>
        </is>
      </c>
      <c r="I113" s="8" t="inlineStr">
        <is>
          <t>1</t>
        </is>
      </c>
      <c r="J113" s="2"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(1,2 และ 4 137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ข้อนี้ไม่ใช่คำตอบที่ถูกต้องสำหรับภาวะ Epilepsy เนื่องจากกลไกการออกฤทธิ์, efficacy หรือข้อบ่งใช้ไม่ตรงกับโจทย์ที่กำหนด
• ข้อ ค. (2 และ 3): ข้อนี้ไม่ใช่คำตอบที่ถูกต้องสำหรับภาวะ Epilepsy เนื่องจากกลไกการออกฤทธิ์, efficacy หรือข้อบ่งใช้ไม่ตรงกับโจทย์ที่กำหนด
• ข้อ ง. (2 และ 4): ข้อนี้ไม่ใช่คำตอบที่ถูกต้องสำหรับภาวะ Epilepsy เนื่องจากกลไกการออกฤทธิ์, efficacy หรือข้อบ่งใช้ไม่ตรงกับโจทย์ที่กำหนด
• ข้อ จ. (2 เท่านั้น):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3" s="2" t="n"/>
      <c r="L113" s="2" t="inlineStr">
        <is>
          <t>Epilepsy</t>
        </is>
      </c>
      <c r="M113" s="2" t="inlineStr">
        <is>
          <t>Clinic</t>
        </is>
      </c>
      <c r="N113" s="2" t="inlineStr">
        <is>
          <t>ข้อ 1 (PLE_CC1_Practice_Exam.md)</t>
        </is>
      </c>
      <c r="O113" s="2" t="inlineStr">
        <is>
          <t>Mock</t>
        </is>
      </c>
      <c r="P113" s="2" t="inlineStr">
        <is>
          <t>Mock สภาเภสัชฯ Practice</t>
        </is>
      </c>
    </row>
    <row r="114" ht="13.2" customHeight="1" s="37">
      <c r="A114" s="8" t="inlineStr">
        <is>
          <t>112</t>
        </is>
      </c>
      <c r="B114" s="2" t="inlineStr">
        <is>
          <t>ผู้ป่วยหญิงไทย อายุ 25 ปี อาชีพพนักงานธนาคาร มาด้วยอาการปวดศีรษะความรุนแรงระดับปาน กลาง เป็นเกือบทุกวันมาประมาณ 2-3 เดือน ลักษณะปวดทั้งศีรษะ ผู้ป่วยเครียดจากการทำงานทั้งวัน เนื่องจากมีผู้มาทำธุรกรรมที่ธนาคารจำนวนมาก กินยา ibuprofen แล้วอาการปวดศีรษะดีขึ้น แต่ มักจะเกิดอาการบ่อยๆแต่ละครั้งจะปวดมากประมาณ 3 ชั่วโมง จากประวัติของผู้ป่วยรายนี้ท่านคิดว่า ควรให้ผู้ป่วยรับยาใดเพิ่มเติมเพื่อป้องกันอาการปวดศีรษะ</t>
        </is>
      </c>
      <c r="C114" s="2" t="n"/>
      <c r="D114" s="2" t="inlineStr">
        <is>
          <t>Donepezil 5 mg HS</t>
        </is>
      </c>
      <c r="E114" s="2" t="inlineStr">
        <is>
          <t>Alteplase (rtPA) 0.9 mg/kg IV</t>
        </is>
      </c>
      <c r="F114" s="2" t="inlineStr">
        <is>
          <t>Phenytoin 100 mg TID</t>
        </is>
      </c>
      <c r="G114" s="2" t="inlineStr">
        <is>
          <t>Sodium valproate 200 mg TID</t>
        </is>
      </c>
      <c r="H114" s="2" t="inlineStr">
        <is>
          <t>Carbamazepine 200 mg BID</t>
        </is>
      </c>
      <c r="I114" s="8" t="inlineStr">
        <is>
          <t>1</t>
        </is>
      </c>
      <c r="J114" s="2" t="inlineStr">
        <is>
          <t>✅ คำตอบที่ถูกต้อง: ข้อ ก. Donepezil 5 mg HS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ข้อนี้ไม่ใช่คำตอบที่ถูกต้องสำหรับภาวะ Headache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4" s="2" t="n"/>
      <c r="L114" s="2" t="inlineStr">
        <is>
          <t>Headache</t>
        </is>
      </c>
      <c r="M114" s="2" t="inlineStr">
        <is>
          <t>Clinic</t>
        </is>
      </c>
      <c r="N114" s="2" t="inlineStr">
        <is>
          <t>ข้อ 1 (PLE_CC1_Practice_Exam.md)</t>
        </is>
      </c>
      <c r="O114" s="2" t="inlineStr">
        <is>
          <t>Mock</t>
        </is>
      </c>
      <c r="P114" s="2" t="inlineStr">
        <is>
          <t>Mock สภาเภสัชฯ Practice</t>
        </is>
      </c>
    </row>
    <row r="115" ht="13.2" customHeight="1" s="37">
      <c r="A115" s="8" t="inlineStr">
        <is>
          <t>113</t>
        </is>
      </c>
      <c r="B115" s="2" t="inlineStr">
        <is>
          <t>ผู้ป่วยหญิงไทย อายุ 20 ปี มาร้านยาด้วยอาการปวดศีรษะ เป็นทุกวัน โดยปวดทั้งสองข้าง ปวดแบบรัดตึง ทั่วศีรษะ สอบถามประวัติเพิ่มเติมคือผู้ป่วยมีอาการเครียดจากการเตรียมตัวสอบและช่วงเวลาที่สอบ ไม่เคย รับประทานยาใดๆ มาก่อนท่านคิดว่ายาใดควรพิจารณาให้ผู้ป่วยรายนี้เป็นลำดับแรกเพื่อรักษาอาการปวด ศีรษะจากภาวะเครียด</t>
        </is>
      </c>
      <c r="C115" s="2" t="n"/>
      <c r="D115" s="2" t="inlineStr">
        <is>
          <t>Sodium valproate 200 mg TID</t>
        </is>
      </c>
      <c r="E115" s="2" t="inlineStr">
        <is>
          <t>Carbamazepine 200 mg BID</t>
        </is>
      </c>
      <c r="F115" s="2" t="inlineStr">
        <is>
          <t>Lamotrigine 50 mg OD</t>
        </is>
      </c>
      <c r="G115" s="2" t="inlineStr">
        <is>
          <t>Levetiracetam 500 mg BID</t>
        </is>
      </c>
      <c r="H115" s="2" t="inlineStr">
        <is>
          <t>Gabapentin 300 mg TID</t>
        </is>
      </c>
      <c r="I115" s="8" t="inlineStr">
        <is>
          <t>1</t>
        </is>
      </c>
      <c r="J115" s="2" t="inlineStr">
        <is>
          <t>✅ คำตอบที่ถูกต้อง: ข้อ ก. Sodium valproate 200 mg TID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(Lamotrigine 50 mg OD): เป็น broad-spectrum AED และ mood stabilizer ต้องเริ่มจากขนาดยาต่ำๆ และค่อยๆ titrate ช้าๆ เพื่อป้องกัน severe cutaneous rash (SJS/TEN)
• ข้อ ง.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จ. (Gabapentin 300 mg TID): ข้อนี้ไม่ใช่คำตอบที่ถูกต้องสำหรับภาวะ Headache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15" s="2" t="n"/>
      <c r="L115" s="2" t="inlineStr">
        <is>
          <t>Headache</t>
        </is>
      </c>
      <c r="M115" s="2" t="inlineStr">
        <is>
          <t>Clinic</t>
        </is>
      </c>
      <c r="N115" s="2" t="inlineStr">
        <is>
          <t>ข้อ 4 (PLE_CC1_Practice_Exam.md)</t>
        </is>
      </c>
      <c r="O115" s="2" t="inlineStr">
        <is>
          <t>Mock</t>
        </is>
      </c>
      <c r="P115" s="2" t="inlineStr">
        <is>
          <t>Mock สภาเภสัชฯ Practice</t>
        </is>
      </c>
    </row>
    <row r="116" ht="13.2" customHeight="1" s="37">
      <c r="A116" s="8" t="inlineStr">
        <is>
          <t>114</t>
        </is>
      </c>
      <c r="B116" s="2" t="inlineStr">
        <is>
          <t>orthostatic hypotension</t>
        </is>
      </c>
      <c r="C116" s="2" t="n"/>
      <c r="D116" s="2" t="inlineStr">
        <is>
          <t>Levetiracetam 500 mg BID</t>
        </is>
      </c>
      <c r="E116" s="2" t="inlineStr">
        <is>
          <t>Gabapentin 300 mg TID</t>
        </is>
      </c>
      <c r="F116" s="2" t="inlineStr">
        <is>
          <t>Pregabalin 75 mg BID</t>
        </is>
      </c>
      <c r="G116" s="2" t="inlineStr">
        <is>
          <t>Levodopa/Benserazide 100/25 mg TID</t>
        </is>
      </c>
      <c r="H116" s="2" t="inlineStr">
        <is>
          <t>Sumatriptan 50 mg stat</t>
        </is>
      </c>
      <c r="I116" s="8" t="inlineStr">
        <is>
          <t>1</t>
        </is>
      </c>
      <c r="J116" s="2" t="inlineStr">
        <is>
          <t>✅ คำตอบที่ถูกต้อง: ข้อ ก. Levetiracetam 500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(Gabapentin 300 mg TID): ข้อนี้ไม่ใช่คำตอบที่ถูกต้องสำหรับภาวะ Headache เนื่องจากกลไกการออกฤทธิ์, efficacy หรือข้อบ่งใช้ไม่ตรงกับโจทย์ที่กำหนด
• ข้อ ค. (Pregabalin 75 mg BID): ข้อนี้ไม่ใช่คำตอบที่ถูกต้องสำหรับภาวะ Headache เนื่องจากกลไกการออกฤทธิ์, efficacy หรือข้อบ่งใช้ไม่ตรงกับโจทย์ที่กำหนด
• ข้อ ง.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จ. (Sumatriptan 50 mg stat):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2" t="n"/>
      <c r="L116" s="2" t="inlineStr">
        <is>
          <t>Headache</t>
        </is>
      </c>
      <c r="M116" s="2" t="inlineStr">
        <is>
          <t>Clinic</t>
        </is>
      </c>
      <c r="N116" s="2" t="inlineStr">
        <is>
          <t>ข้อ 2 (PLE_CC1_Practice_Exam.md)</t>
        </is>
      </c>
      <c r="O116" s="2" t="inlineStr">
        <is>
          <t>Mock</t>
        </is>
      </c>
      <c r="P116" s="2" t="inlineStr">
        <is>
          <t>Mock สภาเภสัชฯ Practice</t>
        </is>
      </c>
    </row>
    <row r="117" ht="13.2" customHeight="1" s="37">
      <c r="A117" s="8" t="inlineStr">
        <is>
          <t>115</t>
        </is>
      </c>
      <c r="B117" s="2" t="inlineStr">
        <is>
          <t>กินร่วมกับ Phenytoin ได้ ะ</t>
        </is>
      </c>
      <c r="C117" s="2" t="n"/>
      <c r="D117" s="2" t="inlineStr">
        <is>
          <t>Levodopa/Benserazide 100/25 mg TID</t>
        </is>
      </c>
      <c r="E117" s="2" t="inlineStr">
        <is>
          <t>Sumatriptan 50 mg stat</t>
        </is>
      </c>
      <c r="F117" s="2" t="inlineStr">
        <is>
          <t>Propranolol 40 mg BID</t>
        </is>
      </c>
      <c r="G117" s="2" t="inlineStr">
        <is>
          <t>Topiramate 25 mg BID</t>
        </is>
      </c>
      <c r="H117" s="2" t="inlineStr">
        <is>
          <t>Donepezil 5 mg HS</t>
        </is>
      </c>
      <c r="I117" s="8" t="inlineStr">
        <is>
          <t>1</t>
        </is>
      </c>
      <c r="J117" s="2"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(Donepezil 5 mg HS):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7" s="2" t="n"/>
      <c r="L117" s="2" t="inlineStr">
        <is>
          <t>Epilepsy</t>
        </is>
      </c>
      <c r="M117" s="2" t="inlineStr">
        <is>
          <t>Clinic</t>
        </is>
      </c>
      <c r="N117" s="2" t="inlineStr">
        <is>
          <t>ข้อ 4 (PLE_CC1_Key_Rx20_UBU.md)</t>
        </is>
      </c>
      <c r="O117" s="2" t="inlineStr">
        <is>
          <t>Mock</t>
        </is>
      </c>
      <c r="P117" s="2" t="inlineStr">
        <is>
          <t>Mock Rx20 UBU</t>
        </is>
      </c>
    </row>
    <row r="118" ht="13.2" customHeight="1" s="37">
      <c r="A118" s="8" t="inlineStr">
        <is>
          <t>116</t>
        </is>
      </c>
      <c r="B118" s="2" t="inlineStr">
        <is>
          <t>กลไกการออกฤทธิ์ของ Carbamazepine</t>
        </is>
      </c>
      <c r="C118" s="2" t="n"/>
      <c r="D118" s="2" t="inlineStr">
        <is>
          <t>จับกับ Na Channel ใน inactivated state</t>
        </is>
      </c>
      <c r="E118" s="2" t="inlineStr">
        <is>
          <t>จับกับ T-type Calcium Channel</t>
        </is>
      </c>
      <c r="F118" s="2" t="inlineStr">
        <is>
          <t>GABA-Chloride</t>
        </is>
      </c>
      <c r="G118" s="2" t="inlineStr">
        <is>
          <t>NMDA</t>
        </is>
      </c>
      <c r="H118" s="2" t="inlineStr">
        <is>
          <t>ยับยั้ง 2nd messenger</t>
        </is>
      </c>
      <c r="I118" s="8" t="inlineStr">
        <is>
          <t>1</t>
        </is>
      </c>
      <c r="J118" s="2" t="inlineStr">
        <is>
          <t>✅ คำตอบที่ถูกต้อง: ข้อ ก. จับกับ Na Channel 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Na Channel ใน inactivated state การเลือก จับกับ Na Channel ใน inactivated state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(จับกับ T-type Calcium Channel): ข้อนี้ไม่ใช่คำตอบที่ถูกต้องสำหรับภาวะ Epilepsy เนื่องจากกลไกการออกฤทธิ์, efficacy หรือข้อบ่งใช้ไม่ตรงกับโจทย์ที่กำหนด
• ข้อ ค. (GABA-Chloride): ข้อนี้ไม่ใช่คำตอบที่ถูกต้องสำหรับภาวะ Epilepsy เนื่องจากกลไกการออกฤทธิ์, efficacy หรือข้อบ่งใช้ไม่ตรงกับโจทย์ที่กำหนด
• ข้อ ง. (NMDA): ข้อนี้ไม่ใช่คำตอบที่ถูกต้องสำหรับภาวะ Epilepsy เนื่องจากกลไกการออกฤทธิ์, efficacy หรือข้อบ่งใช้ไม่ตรงกับโจทย์ที่กำหนด
• ข้อ จ. (ยับยั้ง 2nd messenger):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8" s="2" t="n"/>
      <c r="L118" s="2" t="inlineStr">
        <is>
          <t>Epilepsy</t>
        </is>
      </c>
      <c r="M118" s="2" t="inlineStr">
        <is>
          <t>Clinic</t>
        </is>
      </c>
      <c r="N118" s="2" t="inlineStr">
        <is>
          <t>ข้อ 3 (PLE_CC1_Key_Rx20_UBU.md)</t>
        </is>
      </c>
      <c r="O118" s="2" t="inlineStr">
        <is>
          <t>Mock</t>
        </is>
      </c>
      <c r="P118" s="2" t="inlineStr">
        <is>
          <t>Mock Rx20 UBU</t>
        </is>
      </c>
    </row>
    <row r="119" ht="13.2" customHeight="1" s="37">
      <c r="A119" s="8" t="inlineStr">
        <is>
          <t>117</t>
        </is>
      </c>
      <c r="B119" s="2" t="inlineStr">
        <is>
          <t>Carbamazepine นอกจากจะมีข้อบ่งใช้ในโรคลมชัก ยังสามารถรักษาโรคอะไรได้</t>
        </is>
      </c>
      <c r="C119" s="2" t="n"/>
      <c r="D119" s="2" t="inlineStr">
        <is>
          <t>Antianxiety</t>
        </is>
      </c>
      <c r="E119" s="2" t="inlineStr">
        <is>
          <t>Smoking withdrawal</t>
        </is>
      </c>
      <c r="F119" s="2" t="inlineStr">
        <is>
          <t>Trigeminal neuralgia</t>
        </is>
      </c>
      <c r="G119" s="2" t="inlineStr">
        <is>
          <t>Pakinsonism dysarthria</t>
        </is>
      </c>
      <c r="H119" s="2" t="inlineStr">
        <is>
          <t>Febrile convulsion คำอธิบาย</t>
        </is>
      </c>
      <c r="I119" s="8" t="inlineStr">
        <is>
          <t>3</t>
        </is>
      </c>
      <c r="J119" s="2"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การเลือก Trigeminal neuralgia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ก. (Antianxiety): ข้อนี้ไม่ใช่คำตอบที่ถูกต้องสำหรับภาวะ Epilepsy เนื่องจากกลไกการออกฤทธิ์, efficacy หรือข้อบ่งใช้ไม่ตรงกับโจทย์ที่กำหนด
• ข้อ ข. (Smoking withdrawal): ข้อนี้ไม่ใช่คำตอบที่ถูกต้องสำหรับภาวะ Epilepsy เนื่องจากกลไกการออกฤทธิ์, efficacy หรือข้อบ่งใช้ไม่ตรงกับโจทย์ที่กำหนด
• ข้อ ง. (Pakinsonism dysarthria): ข้อนี้ไม่ใช่คำตอบที่ถูกต้องสำหรับภาวะ Epilepsy เนื่องจากกลไกการออกฤทธิ์, efficacy หรือข้อบ่งใช้ไม่ตรงกับโจทย์ที่กำหนด
• ข้อ จ. (Febrile convulsion คำอธิบาย):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9" s="2" t="n"/>
      <c r="L119" s="2" t="inlineStr">
        <is>
          <t>Epilepsy</t>
        </is>
      </c>
      <c r="M119" s="2" t="inlineStr">
        <is>
          <t>Clinic</t>
        </is>
      </c>
      <c r="N119" s="2" t="inlineStr">
        <is>
          <t>ข้อ 4 (PLE_CC1_Key_Rx20_UBU.md)</t>
        </is>
      </c>
      <c r="O119" s="2" t="inlineStr">
        <is>
          <t>Mock</t>
        </is>
      </c>
      <c r="P119" s="2" t="inlineStr">
        <is>
          <t>Mock Rx20 UBU</t>
        </is>
      </c>
    </row>
    <row r="120" ht="13.2" customHeight="1" s="37">
      <c r="A120" s="8" t="inlineStr">
        <is>
          <t>118</t>
        </is>
      </c>
      <c r="B120" s="2" t="inlineStr">
        <is>
          <t>ยา Carbamazepine จะเพิ่มขึ้นเมื่อใช้ร่วมกับ</t>
        </is>
      </c>
      <c r="C120" s="2" t="n"/>
      <c r="D120" s="2" t="inlineStr">
        <is>
          <t>Folic acid</t>
        </is>
      </c>
      <c r="E120" s="2" t="inlineStr">
        <is>
          <t>Phenytoin</t>
        </is>
      </c>
      <c r="F120" s="2" t="inlineStr">
        <is>
          <t>Nevirapine</t>
        </is>
      </c>
      <c r="G120" s="2" t="inlineStr">
        <is>
          <t>Clarithromycin</t>
        </is>
      </c>
      <c r="H120" s="2" t="inlineStr">
        <is>
          <t>Mebendazole</t>
        </is>
      </c>
      <c r="I120" s="8" t="inlineStr">
        <is>
          <t>4</t>
        </is>
      </c>
      <c r="J120" s="2"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(Folic acid): ข้อนี้ไม่ใช่คำตอบที่ถูกต้องสำหรับภาวะ Epilepsy เนื่องจากกลไกการออกฤทธิ์, efficacy หรือข้อบ่งใช้ไม่ตรงกับโจทย์ที่กำหนด
• ข้อ ข. (Phenytoin): เป็น sodium channel blocker สำหรับ focal/generalized seizures มี non-linear (Michaelis-Menten) PK เสี่ยง toxicity ได้ง่ายเมื่อปรับ dose และทำให้เกิด gingival hyperplasia, hirsutism, cerebellar ataxia
• ข้อ ค. (Nevirapine): ข้อนี้ไม่ใช่คำตอบที่ถูกต้องสำหรับภาวะ Epilepsy เนื่องจากกลไกการออกฤทธิ์, efficacy หรือข้อบ่งใช้ไม่ตรงกับโจทย์ที่กำหนด
• ข้อ จ. (Mebendazole): ข้อนี้ไม่ใช่คำตอบที่ถูกต้องสำหรับภาวะ Epilepsy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0" s="2" t="n"/>
      <c r="L120" s="2" t="inlineStr">
        <is>
          <t>Epilepsy</t>
        </is>
      </c>
      <c r="M120" s="2" t="inlineStr">
        <is>
          <t>Clinic</t>
        </is>
      </c>
      <c r="N120" s="2" t="inlineStr">
        <is>
          <t>ข้อ 5 (PLE_CC1_Key_Rx20_UBU.md)</t>
        </is>
      </c>
      <c r="O120" s="2" t="inlineStr">
        <is>
          <t>Mock</t>
        </is>
      </c>
      <c r="P120" s="2" t="inlineStr">
        <is>
          <t>Mock Rx20 UBU</t>
        </is>
      </c>
    </row>
    <row r="121" ht="13.2" customHeight="1" s="37">
      <c r="A121" s="8" t="inlineStr">
        <is>
          <t>119</t>
        </is>
      </c>
      <c r="B121" s="2" t="inlineStr">
        <is>
          <t>Carbamazepine</t>
        </is>
      </c>
      <c r="C121" s="2" t="n"/>
      <c r="D121" s="2" t="inlineStr">
        <is>
          <t>Pregabalin 75 mg BID</t>
        </is>
      </c>
      <c r="E121" s="2" t="inlineStr">
        <is>
          <t>Levodopa/Benserazide 100/25 mg TID</t>
        </is>
      </c>
      <c r="F121" s="2" t="inlineStr">
        <is>
          <t>Sumatriptan 50 mg stat</t>
        </is>
      </c>
      <c r="G121" s="2" t="inlineStr">
        <is>
          <t>Propranolol 40 mg BID</t>
        </is>
      </c>
      <c r="H121" s="2" t="inlineStr">
        <is>
          <t>Topiramate 25 mg BID</t>
        </is>
      </c>
      <c r="I121" s="8" t="inlineStr">
        <is>
          <t>1</t>
        </is>
      </c>
      <c r="J121" s="2" t="inlineStr">
        <is>
          <t>✅ คำตอบที่ถูกต้อง: ข้อ ก. Pregabalin 75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Pregabalin 75 mg BID การเลือก Pregabalin 75 mg BID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1" s="2" t="n"/>
      <c r="L121" s="2" t="inlineStr">
        <is>
          <t>Epilepsy</t>
        </is>
      </c>
      <c r="M121" s="2" t="inlineStr">
        <is>
          <t>Clinic</t>
        </is>
      </c>
      <c r="N121" s="2" t="inlineStr">
        <is>
          <t>ข้อ 5 (PLE_CC1_Key_Rx20_UBU.md)</t>
        </is>
      </c>
      <c r="O121" s="2" t="inlineStr">
        <is>
          <t>Mock</t>
        </is>
      </c>
      <c r="P121" s="2" t="inlineStr">
        <is>
          <t>Mock Rx20 UBU</t>
        </is>
      </c>
    </row>
    <row r="122" ht="13.2" customHeight="1" s="37">
      <c r="A122" s="8" t="inlineStr">
        <is>
          <t>120</t>
        </is>
      </c>
      <c r="B122" s="2" t="inlineStr">
        <is>
          <t>ผู้ป่วยใช้ยาสูตรนี้อยู่ TDF/3TC/LPV/r ผู้ป่วยมีอาการปวดศีรษะไมเกรนเภสัชกรควรแนะนำว่ายาใดไม่ควรใช้ในผู้ป่วยปวดไมเกรน %</t>
        </is>
      </c>
      <c r="C122" s="2" t="n"/>
      <c r="D122" s="2" t="inlineStr">
        <is>
          <t>Propranolol 40 mg BID</t>
        </is>
      </c>
      <c r="E122" s="2" t="inlineStr">
        <is>
          <t>Topiramate 25 mg BID</t>
        </is>
      </c>
      <c r="F122" s="2" t="inlineStr">
        <is>
          <t>Donepezil 5 mg HS</t>
        </is>
      </c>
      <c r="G122" s="2" t="inlineStr">
        <is>
          <t>Alteplase (rtPA) 0.9 mg/kg IV</t>
        </is>
      </c>
      <c r="H122" s="2" t="inlineStr">
        <is>
          <t>Phenytoin 100 mg TID</t>
        </is>
      </c>
      <c r="I122" s="8" t="inlineStr">
        <is>
          <t>1</t>
        </is>
      </c>
      <c r="J122" s="2" t="inlineStr">
        <is>
          <t>✅ คำตอบที่ถูกต้อง: ข้อ ก. Propranolol 40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carbonic anhydrase inhibitor และ glutamate blocker ทำให้เกิดน้ำหนักลด สมาธิลดลง นิ่วในไต และ secondary angle-closure glaucoma
• ข้อ ค. (Donepezil 5 mg HS): ข้อนี้ไม่ใช่คำตอบที่ถูกต้องสำหรับภาวะ Headache เนื่องจากกลไกการออกฤทธิ์, efficacy หรือข้อบ่งใช้ไม่ตรงกับโจทย์ที่กำหนด
• ข้อ ง. (Alteplase (rtPA) 0.9 mg/kg IV): ข้อนี้ไม่ใช่คำตอบที่ถูกต้องสำหรับภาวะ Headache เนื่องจากกลไกการออกฤทธิ์, efficacy หรือข้อบ่งใช้ไม่ตรงกับโจทย์ที่กำหนด
• ข้อ จ. (Phenytoin 100 mg TID):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2" t="n"/>
      <c r="L122" s="2" t="inlineStr">
        <is>
          <t>Headache</t>
        </is>
      </c>
      <c r="M122" s="2" t="inlineStr">
        <is>
          <t>Clinic</t>
        </is>
      </c>
      <c r="N122" s="2" t="inlineStr">
        <is>
          <t>ข้อ 47 (PLE_CC1_Key_Rx20_UBU.md)</t>
        </is>
      </c>
      <c r="O122" s="2" t="inlineStr">
        <is>
          <t>Mock</t>
        </is>
      </c>
      <c r="P122" s="2" t="inlineStr">
        <is>
          <t>Mock Rx20 UBU</t>
        </is>
      </c>
    </row>
    <row r="123" ht="13.2" customHeight="1" s="37">
      <c r="A123" s="8" t="inlineStr">
        <is>
          <t>121</t>
        </is>
      </c>
      <c r="B123" s="2" t="inlineStr">
        <is>
          <t>Phenytoin keto เพิ่มระดับ phenytoin, phenytoin ลดระดับ keto (Major)</t>
        </is>
      </c>
      <c r="C123" s="2" t="n"/>
      <c r="D123" s="2" t="inlineStr">
        <is>
          <t>Alteplase (rtPA) 0.9 mg/kg IV</t>
        </is>
      </c>
      <c r="E123" s="2" t="inlineStr">
        <is>
          <t>Phenytoin 100 mg TID</t>
        </is>
      </c>
      <c r="F123" s="2" t="inlineStr">
        <is>
          <t>Sodium valproate 200 mg TID</t>
        </is>
      </c>
      <c r="G123" s="2" t="inlineStr">
        <is>
          <t>Carbamazepine 200 mg BID</t>
        </is>
      </c>
      <c r="H123" s="2" t="inlineStr">
        <is>
          <t>Lamotrigine 50 mg OD</t>
        </is>
      </c>
      <c r="I123" s="8" t="inlineStr">
        <is>
          <t>1</t>
        </is>
      </c>
      <c r="J123" s="2"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23" s="2" t="n"/>
      <c r="L123" s="2" t="inlineStr">
        <is>
          <t>Epilepsy</t>
        </is>
      </c>
      <c r="M123" s="2" t="inlineStr">
        <is>
          <t>Clinic</t>
        </is>
      </c>
      <c r="N123" s="2" t="inlineStr">
        <is>
          <t>ข้อ 1 (PLE_CC1_Key_Rx20_UBU.md)</t>
        </is>
      </c>
      <c r="O123" s="2" t="inlineStr">
        <is>
          <t>Mock</t>
        </is>
      </c>
      <c r="P123" s="2" t="inlineStr">
        <is>
          <t>Mock Rx20 UBU</t>
        </is>
      </c>
    </row>
    <row r="124" ht="13.2" customHeight="1" s="37">
      <c r="A124" s="8" t="inlineStr">
        <is>
          <t>122</t>
        </is>
      </c>
      <c r="B124" s="2" t="inlineStr">
        <is>
          <t>ข$อใดไมGใชGอาการแสดงของผู$ป&amp;วย Parkinson’s disease (1) Hypertension (2) Resting tremor (3) Impaired balance (4) Slowness of movement (5) Stiffness to limb movement</t>
        </is>
      </c>
      <c r="C124" s="2" t="n"/>
      <c r="D124" s="2" t="inlineStr">
        <is>
          <t>Carbamazepine 200 mg BID</t>
        </is>
      </c>
      <c r="E124" s="2" t="inlineStr">
        <is>
          <t>Lamotrigine 50 mg OD</t>
        </is>
      </c>
      <c r="F124" s="2" t="inlineStr">
        <is>
          <t>Levetiracetam 500 mg BID</t>
        </is>
      </c>
      <c r="G124" s="2" t="inlineStr">
        <is>
          <t>Gabapentin 300 mg TID</t>
        </is>
      </c>
      <c r="H124" s="2" t="inlineStr">
        <is>
          <t>Pregabalin 75 mg BID</t>
        </is>
      </c>
      <c r="I124" s="8" t="inlineStr">
        <is>
          <t>5</t>
        </is>
      </c>
      <c r="J124" s="2" t="inlineStr">
        <is>
          <t>✅ คำตอบที่ถูกต้อง: ข้อ จ. Pregabalin 75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ข. (Lamotrigine 50 mg OD): เป็น broad-spectrum AED และ mood stabilizer ต้องเริ่มจากขนาดยาต่ำๆ และค่อยๆ titrate ช้าๆ เพื่อป้องกัน severe cutaneous rash (SJS/TEN)
• ข้อ ค.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ง. (Gabapentin 300 mg TID):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4" s="2" t="n"/>
      <c r="L124" s="2" t="inlineStr">
        <is>
          <t>Parkinson disease</t>
        </is>
      </c>
      <c r="M124" s="2" t="inlineStr">
        <is>
          <t>Clinic</t>
        </is>
      </c>
      <c r="N124" s="2" t="inlineStr">
        <is>
          <t>ข้อ 73 (PLE_CC1_Key_Rx20_UBU.md)</t>
        </is>
      </c>
      <c r="O124" s="2" t="inlineStr">
        <is>
          <t>Mock</t>
        </is>
      </c>
      <c r="P124" s="2" t="inlineStr">
        <is>
          <t>Mock Rx20 UBU</t>
        </is>
      </c>
    </row>
    <row r="125" ht="13.2" customHeight="1" s="37">
      <c r="A125" s="8" t="inlineStr">
        <is>
          <t>123</t>
        </is>
      </c>
      <c r="B125" s="2" t="inlineStr">
        <is>
          <t>รับประทานยากันชัก</t>
        </is>
      </c>
      <c r="C125" s="2" t="n"/>
      <c r="D125" s="2" t="inlineStr">
        <is>
          <t>Gabapentin 300 mg TID</t>
        </is>
      </c>
      <c r="E125" s="2" t="inlineStr">
        <is>
          <t>Pregabalin 75 mg BID</t>
        </is>
      </c>
      <c r="F125" s="2" t="inlineStr">
        <is>
          <t>Levodopa/Benserazide 100/25 mg TID</t>
        </is>
      </c>
      <c r="G125" s="2" t="inlineStr">
        <is>
          <t>Sumatriptan 50 mg stat</t>
        </is>
      </c>
      <c r="H125" s="2" t="inlineStr">
        <is>
          <t>Propranolol 40 mg BID</t>
        </is>
      </c>
      <c r="I125" s="8" t="inlineStr">
        <is>
          <t>1</t>
        </is>
      </c>
      <c r="J125" s="2"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ข้อนี้ไม่ใช่คำตอบที่ถูกต้องสำหรับภาวะ Epilepsy เนื่องจากกลไกการออกฤทธิ์, efficacy หรือข้อบ่งใช้ไม่ตรงกับโจทย์ที่กำหนด
• ข้อ ค.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ง. (Sumatriptan 50 mg stat): เป็น 5-HT1B/1D agonist หดหลอดเลือดสมอง ใช้รักษา acute moderate-to-severe migraine attack แต่ contraindication ใน ischemic heart disease, uncontrolled HTN, stroke
• ข้อ จ. (Propranolol 40 mg BID): เป็น non-selective beta-blocker ข้าม blood-brain barrier ได้ดี เหมาะสำหรับ performance anxiety, essential tremor, migraine prophylaxis และ thyroid storm แต่ contraindication ใน asthma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25" s="2" t="n"/>
      <c r="L125" s="2" t="inlineStr">
        <is>
          <t>Epilepsy</t>
        </is>
      </c>
      <c r="M125" s="2" t="inlineStr">
        <is>
          <t>Clinic</t>
        </is>
      </c>
      <c r="N125" s="2" t="inlineStr">
        <is>
          <t>ข้อ 2 (PLE_CC1_Key_Rx20_UBU.md)</t>
        </is>
      </c>
      <c r="O125" s="2" t="inlineStr">
        <is>
          <t>Mock</t>
        </is>
      </c>
      <c r="P125" s="2" t="inlineStr">
        <is>
          <t>Mock Rx20 UBU</t>
        </is>
      </c>
    </row>
    <row r="126" ht="13.2" customHeight="1" s="37">
      <c r="A126" s="8" t="inlineStr">
        <is>
          <t>124</t>
        </is>
      </c>
      <c r="B126" s="2" t="inlineStr">
        <is>
          <t>ลดความถี่ในการให้ยา levodopa</t>
        </is>
      </c>
      <c r="C126" s="2" t="n"/>
      <c r="D126" s="2" t="inlineStr">
        <is>
          <t>Sumatriptan 50 mg stat</t>
        </is>
      </c>
      <c r="E126" s="2" t="inlineStr">
        <is>
          <t>Propranolol 40 mg BID</t>
        </is>
      </c>
      <c r="F126" s="2" t="inlineStr">
        <is>
          <t>Topiramate 25 mg BID</t>
        </is>
      </c>
      <c r="G126" s="2" t="inlineStr">
        <is>
          <t>Donepezil 5 mg HS</t>
        </is>
      </c>
      <c r="H126" s="2" t="inlineStr">
        <is>
          <t>Alteplase (rtPA) 0.9 mg/kg IV</t>
        </is>
      </c>
      <c r="I126" s="8" t="inlineStr">
        <is>
          <t>1</t>
        </is>
      </c>
      <c r="J126" s="2" t="inlineStr">
        <is>
          <t>✅ คำตอบที่ถูกต้อง: ข้อ ก. Sumatriptan 50 mg stat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(Propranolol 40 mg BID): เป็น non-selective beta-blocker ข้าม blood-brain barrier ได้ดี เหมาะสำหรับ performance anxiety, essential tremor, migraine prophylaxis และ thyroid storm แต่ contraindication ใน asthma
• ข้อ ค. (Topiramate 25 mg BID): เป็น carbonic anhydrase inhibitor และ glutamate blocker ทำให้เกิดน้ำหนักลด สมาธิลดลง นิ่วในไต และ secondary angle-closure glaucoma
• ข้อ ง. (Donepezil 5 mg HS): ข้อนี้ไม่ใช่คำตอบที่ถูกต้องสำหรับภาวะ Parkinson disease เนื่องจากกลไกการออกฤทธิ์, efficacy หรือข้อบ่งใช้ไม่ตรงกับโจทย์ที่กำหนด
• ข้อ จ. (Alteplase (rtPA) 0.9 mg/kg IV):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2" t="n"/>
      <c r="L126" s="2" t="inlineStr">
        <is>
          <t>Parkinson disease</t>
        </is>
      </c>
      <c r="M126" s="2" t="inlineStr">
        <is>
          <t>Clinic</t>
        </is>
      </c>
      <c r="N126" s="2" t="inlineStr">
        <is>
          <t>ข้อ 1 (PLE_CC1_Key_Rx20_UBU.md)</t>
        </is>
      </c>
      <c r="O126" s="2" t="inlineStr">
        <is>
          <t>Mock</t>
        </is>
      </c>
      <c r="P126" s="2" t="inlineStr">
        <is>
          <t>Mock Rx20 UBU</t>
        </is>
      </c>
    </row>
    <row r="127" ht="13.2" customHeight="1" s="37">
      <c r="A127" s="8" t="inlineStr">
        <is>
          <t>125</t>
        </is>
      </c>
      <c r="B127" s="2" t="inlineStr">
        <is>
          <t>ลดการปรับขนาดยา levodopa</t>
        </is>
      </c>
      <c r="C127" s="2" t="n"/>
      <c r="D127" s="2" t="inlineStr">
        <is>
          <t>Donepezil 5 mg HS</t>
        </is>
      </c>
      <c r="E127" s="2" t="inlineStr">
        <is>
          <t>Alteplase (rtPA) 0.9 mg/kg IV</t>
        </is>
      </c>
      <c r="F127" s="2" t="inlineStr">
        <is>
          <t>Phenytoin 100 mg TID</t>
        </is>
      </c>
      <c r="G127" s="2" t="inlineStr">
        <is>
          <t>Sodium valproate 200 mg TID</t>
        </is>
      </c>
      <c r="H127" s="2" t="inlineStr">
        <is>
          <t>Carbamazepine 200 mg BID</t>
        </is>
      </c>
      <c r="I127" s="8" t="inlineStr">
        <is>
          <t>1</t>
        </is>
      </c>
      <c r="J127" s="2" t="inlineStr">
        <is>
          <t>✅ คำตอบที่ถูกต้อง: ข้อ ก. Donepezil 5 mg HS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(Alteplase (rtPA) 0.9 mg/kg IV): ข้อนี้ไม่ใช่คำตอบที่ถูกต้องสำหรับภาวะ Parkinson disease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2" t="n"/>
      <c r="L127" s="2" t="inlineStr">
        <is>
          <t>Parkinson disease</t>
        </is>
      </c>
      <c r="M127" s="2" t="inlineStr">
        <is>
          <t>Clinic</t>
        </is>
      </c>
      <c r="N127" s="2" t="inlineStr">
        <is>
          <t>ข้อ 4 (PLE_CC1_Key_Rx20_UBU.md)</t>
        </is>
      </c>
      <c r="O127" s="2" t="inlineStr">
        <is>
          <t>Mock</t>
        </is>
      </c>
      <c r="P127" s="2" t="inlineStr">
        <is>
          <t>Mock Rx20 UBU</t>
        </is>
      </c>
    </row>
    <row r="128" ht="13.2" customHeight="1" s="37">
      <c r="A128" s="8" t="inlineStr">
        <is>
          <t>126</t>
        </is>
      </c>
      <c r="B128" s="2" t="inlineStr">
        <is>
          <t>จากโครงสร้าง levodopa เปลี่ยนเป็นสารในรูปออกฤทธิ์ผ่านกลไกใด</t>
        </is>
      </c>
      <c r="C128" s="2" t="n"/>
      <c r="D128" s="2" t="inlineStr">
        <is>
          <t>Sodium valproate 200 mg TID</t>
        </is>
      </c>
      <c r="E128" s="2" t="inlineStr">
        <is>
          <t>Carbamazepine 200 mg BID</t>
        </is>
      </c>
      <c r="F128" s="2" t="inlineStr">
        <is>
          <t>Lamotrigine 50 mg OD</t>
        </is>
      </c>
      <c r="G128" s="2" t="inlineStr">
        <is>
          <t>Levetiracetam 500 mg BID</t>
        </is>
      </c>
      <c r="H128" s="2" t="inlineStr">
        <is>
          <t>Gabapentin 300 mg TID</t>
        </is>
      </c>
      <c r="I128" s="8" t="inlineStr">
        <is>
          <t>1</t>
        </is>
      </c>
      <c r="J128" s="2" t="inlineStr">
        <is>
          <t>✅ คำตอบที่ถูกต้อง: ข้อ ก. Sodium valproate 200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(Lamotrigine 50 mg OD): เป็น broad-spectrum AED และ mood stabilizer ต้องเริ่มจากขนาดยาต่ำๆ และค่อยๆ titrate ช้าๆ เพื่อป้องกัน severe cutaneous rash (SJS/TEN)
• ข้อ ง.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จ. (Gabapentin 300 mg TID):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28" s="2" t="n"/>
      <c r="L128" s="2" t="inlineStr">
        <is>
          <t>Parkinson disease</t>
        </is>
      </c>
      <c r="M128" s="2" t="inlineStr">
        <is>
          <t>Clinic</t>
        </is>
      </c>
      <c r="N128" s="2" t="inlineStr">
        <is>
          <t>ข้อ 2 (PLE_CC1_Key_Rx20_UBU.md)</t>
        </is>
      </c>
      <c r="O128" s="2" t="inlineStr">
        <is>
          <t>Mock</t>
        </is>
      </c>
      <c r="P128" s="2" t="inlineStr">
        <is>
          <t>Mock Rx20 UBU</t>
        </is>
      </c>
    </row>
    <row r="129" ht="13.2" customHeight="1" s="37">
      <c r="A129" s="8" t="inlineStr">
        <is>
          <t>127</t>
        </is>
      </c>
      <c r="B129" s="2" t="inlineStr">
        <is>
          <t>Levodopa ใช้ไม่ได้ผลอีกต่อไป</t>
        </is>
      </c>
      <c r="C129" s="2" t="n"/>
      <c r="D129" s="2" t="inlineStr">
        <is>
          <t>Levetiracetam 500 mg BID</t>
        </is>
      </c>
      <c r="E129" s="2" t="inlineStr">
        <is>
          <t>Gabapentin 300 mg TID</t>
        </is>
      </c>
      <c r="F129" s="2" t="inlineStr">
        <is>
          <t>Pregabalin 75 mg BID</t>
        </is>
      </c>
      <c r="G129" s="2" t="inlineStr">
        <is>
          <t>Levodopa/Benserazide 100/25 mg TID</t>
        </is>
      </c>
      <c r="H129" s="2" t="inlineStr">
        <is>
          <t>Sumatriptan 50 mg stat</t>
        </is>
      </c>
      <c r="I129" s="8" t="inlineStr">
        <is>
          <t>1</t>
        </is>
      </c>
      <c r="J129" s="2" t="inlineStr">
        <is>
          <t>✅ คำตอบที่ถูกต้อง: ข้อ ก. Levetiracetam 500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(Gabapentin 300 mg TID): ข้อนี้ไม่ใช่คำตอบที่ถูกต้องสำหรับภาวะ Parkinson disease เนื่องจากกลไกการออกฤทธิ์, efficacy หรือข้อบ่งใช้ไม่ตรงกับโจทย์ที่กำหนด
• ข้อ ค. (Pregabalin 75 mg BID): ข้อนี้ไม่ใช่คำตอบที่ถูกต้องสำหรับภาวะ Parkinson disease เนื่องจากกลไกการออกฤทธิ์, efficacy หรือข้อบ่งใช้ไม่ตรงกับโจทย์ที่กำหนด
• ข้อ ง.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จ. (Sumatriptan 50 mg stat): เป็น 5-HT1B/1D agonist หดหลอดเลือดสมอง ใช้รักษา acute moderate-to-severe migraine attack แต่ contraindication ใน ischemic heart disease, uncontrolled HTN, stroke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2" t="n"/>
      <c r="L129" s="2" t="inlineStr">
        <is>
          <t>Parkinson disease</t>
        </is>
      </c>
      <c r="M129" s="2" t="inlineStr">
        <is>
          <t>Clinic</t>
        </is>
      </c>
      <c r="N129" s="2" t="inlineStr">
        <is>
          <t>ข้อ 1 (PLE_CC1_Key_Rx20_UBU.md)</t>
        </is>
      </c>
      <c r="O129" s="2" t="inlineStr">
        <is>
          <t>Mock</t>
        </is>
      </c>
      <c r="P129" s="2" t="inlineStr">
        <is>
          <t>Mock Rx20 UBU</t>
        </is>
      </c>
    </row>
    <row r="130" ht="13.2" customHeight="1" s="37">
      <c r="A130" s="8" t="inlineStr">
        <is>
          <t>128</t>
        </is>
      </c>
      <c r="B130" s="2" t="inlineStr">
        <is>
          <t>ระยะเวลาในการออกฤทธิ์ของ Levodopa สั้นลง</t>
        </is>
      </c>
      <c r="C130" s="2" t="n"/>
      <c r="D130" s="2" t="inlineStr">
        <is>
          <t>Levodopa/Benserazide 100/25 mg TID</t>
        </is>
      </c>
      <c r="E130" s="2" t="inlineStr">
        <is>
          <t>Sumatriptan 50 mg stat</t>
        </is>
      </c>
      <c r="F130" s="2" t="inlineStr">
        <is>
          <t>Propranolol 40 mg BID</t>
        </is>
      </c>
      <c r="G130" s="2" t="inlineStr">
        <is>
          <t>Topiramate 25 mg BID</t>
        </is>
      </c>
      <c r="H130" s="2" t="inlineStr">
        <is>
          <t>Donepezil 5 mg HS</t>
        </is>
      </c>
      <c r="I130" s="8" t="inlineStr">
        <is>
          <t>1</t>
        </is>
      </c>
      <c r="J130" s="2" t="inlineStr">
        <is>
          <t>✅ คำตอบที่ถูกต้อง: ข้อ ก. Levodopa/Benserazide 100/25 mg TID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(Donepezil 5 mg HS): ข้อนี้ไม่ใช่คำตอบที่ถูกต้องสำหรับภาวะ Parkinson disease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 s="2" t="n"/>
      <c r="L130" s="2" t="inlineStr">
        <is>
          <t>Parkinson disease</t>
        </is>
      </c>
      <c r="M130" s="2" t="inlineStr">
        <is>
          <t>Clinic</t>
        </is>
      </c>
      <c r="N130" s="2" t="inlineStr">
        <is>
          <t>ข้อ 2 (PLE_CC1_Key_Rx20_UBU.md)</t>
        </is>
      </c>
      <c r="O130" s="2" t="inlineStr">
        <is>
          <t>Mock</t>
        </is>
      </c>
      <c r="P130" s="2" t="inlineStr">
        <is>
          <t>Mock Rx20 UBU</t>
        </is>
      </c>
    </row>
    <row r="131" ht="13.2" customHeight="1" s="37">
      <c r="A131" s="8" t="inlineStr">
        <is>
          <t>129</t>
        </is>
      </c>
      <c r="B131" s="2" t="inlineStr">
        <is>
          <t>การเพิ่มความถี ของการให้ levodopa</t>
        </is>
      </c>
      <c r="C131" s="2" t="n"/>
      <c r="D131" s="2" t="inlineStr">
        <is>
          <t>Topiramate 25 mg BID</t>
        </is>
      </c>
      <c r="E131" s="2" t="inlineStr">
        <is>
          <t>Donepezil 5 mg HS</t>
        </is>
      </c>
      <c r="F131" s="2" t="inlineStr">
        <is>
          <t>Alteplase (rtPA) 0.9 mg/kg IV</t>
        </is>
      </c>
      <c r="G131" s="2" t="inlineStr">
        <is>
          <t>Phenytoin 100 mg TID</t>
        </is>
      </c>
      <c r="H131" s="2" t="inlineStr">
        <is>
          <t>Sodium valproate 200 mg TID</t>
        </is>
      </c>
      <c r="I131" s="8" t="inlineStr">
        <is>
          <t>1</t>
        </is>
      </c>
      <c r="J131" s="2" t="inlineStr">
        <is>
          <t>✅ คำตอบที่ถูกต้อง: ข้อ ก. Topiramate 25 mg BID
💡 Background:
การบริบาลผู้ป่วยในกลุ่มโรค Parkinson disease มุ่งเน้นการควบคุมโรคและลดความเสี่ยงต่อภาวะแทรกซ้อนด้วย evidence-based pharmacotherapy
🎯 ทำไมข้อนี้ถึงถูก:
Topiramate 25 mg BID การเลือก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(Donepezil 5 mg HS): ข้อนี้ไม่ใช่คำตอบที่ถูกต้องสำหรับภาวะ Parkinson disease เนื่องจากกลไกการออกฤทธิ์, efficacy หรือข้อบ่งใช้ไม่ตรงกับโจทย์ที่กำหนด
• ข้อ ค. (Alteplase (rtPA) 0.9 mg/kg IV): ข้อนี้ไม่ใช่คำตอบที่ถูกต้องสำหรับภาวะ Parkinson disease เนื่องจากกลไกการออกฤทธิ์, efficacy หรือข้อบ่งใช้ไม่ตรงกับโจทย์ที่กำหนด
• ข้อ ง.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จ. (Sodium valproate 200 mg TID): เป็น broad-spectrum antiepileptic drug แต่มี teratogenicity สูงมาก (neural tube defects) ห้ามใช้ในหญิงวัยเจริญพันธุ์ และเสี่ยงต่อ hepatotoxicity, pancreatitis, weight gain, alopecia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2" t="n"/>
      <c r="L131" s="2" t="inlineStr">
        <is>
          <t>Parkinson disease</t>
        </is>
      </c>
      <c r="M131" s="2" t="inlineStr">
        <is>
          <t>Clinic</t>
        </is>
      </c>
      <c r="N131" s="2" t="inlineStr">
        <is>
          <t>ข้อ 1 (PLE_CC1_Key_Rx20_UBU.md)</t>
        </is>
      </c>
      <c r="O131" s="2" t="inlineStr">
        <is>
          <t>Mock</t>
        </is>
      </c>
      <c r="P131" s="2" t="inlineStr">
        <is>
          <t>Mock Rx20 UBU</t>
        </is>
      </c>
    </row>
    <row r="132" ht="13.2" customHeight="1" s="37">
      <c r="A132" s="8" t="inlineStr">
        <is>
          <t>130</t>
        </is>
      </c>
      <c r="B132" s="2" t="inlineStr">
        <is>
          <t>ใช้ร่วมกับยา carbamazepine</t>
        </is>
      </c>
      <c r="C132" s="2" t="n"/>
      <c r="D132" s="2" t="inlineStr">
        <is>
          <t>Phenytoin 100 mg TID</t>
        </is>
      </c>
      <c r="E132" s="2" t="inlineStr">
        <is>
          <t>Sodium valproate 200 mg TID</t>
        </is>
      </c>
      <c r="F132" s="2" t="inlineStr">
        <is>
          <t>Carbamazepine 200 mg BID</t>
        </is>
      </c>
      <c r="G132" s="2" t="inlineStr">
        <is>
          <t>Lamotrigine 50 mg OD</t>
        </is>
      </c>
      <c r="H132" s="2" t="inlineStr">
        <is>
          <t>Levetiracetam 500 mg BID</t>
        </is>
      </c>
      <c r="I132" s="8" t="inlineStr">
        <is>
          <t>1</t>
        </is>
      </c>
      <c r="J132" s="2" t="inlineStr">
        <is>
          <t>✅ คำตอบที่ถูกต้อง: ข้อ ก. Phenytoin 100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32" s="2" t="n"/>
      <c r="L132" s="2" t="inlineStr">
        <is>
          <t>Epilepsy</t>
        </is>
      </c>
      <c r="M132" s="2" t="inlineStr">
        <is>
          <t>Clinic</t>
        </is>
      </c>
      <c r="N132" s="2" t="inlineStr">
        <is>
          <t>ข้อ 3 (PLE_CC1_Key_Rx20_UBU.md)</t>
        </is>
      </c>
      <c r="O132" s="2" t="inlineStr">
        <is>
          <t>Mock</t>
        </is>
      </c>
      <c r="P132" s="2" t="inlineStr">
        <is>
          <t>Mock Rx20 UBU</t>
        </is>
      </c>
    </row>
    <row r="133" ht="13.2" customHeight="1" s="37">
      <c r="A133" s="8" t="inlineStr">
        <is>
          <t>131</t>
        </is>
      </c>
      <c r="B133" s="2" t="inlineStr">
        <is>
          <t>Portal hypertension</t>
        </is>
      </c>
      <c r="C133" s="2" t="n"/>
      <c r="D133" s="2" t="inlineStr">
        <is>
          <t>Lamotrigine 50 mg OD</t>
        </is>
      </c>
      <c r="E133" s="2" t="inlineStr">
        <is>
          <t>Levetiracetam 500 mg BID</t>
        </is>
      </c>
      <c r="F133" s="2" t="inlineStr">
        <is>
          <t>Gabapentin 300 mg TID</t>
        </is>
      </c>
      <c r="G133" s="2" t="inlineStr">
        <is>
          <t>Pregabalin 75 mg BID</t>
        </is>
      </c>
      <c r="H133" s="2" t="inlineStr">
        <is>
          <t>Levodopa/Benserazide 100/25 mg TID</t>
        </is>
      </c>
      <c r="I133" s="8" t="inlineStr">
        <is>
          <t>1</t>
        </is>
      </c>
      <c r="J133" s="2" t="inlineStr">
        <is>
          <t>✅ คำตอบที่ถูกต้อง: ข้อ ก. Lamotrigine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ค. (Gabapentin 300 mg TID): ข้อนี้ไม่ใช่คำตอบที่ถูกต้องสำหรับภาวะ Headache เนื่องจากกลไกการออกฤทธิ์, efficacy หรือข้อบ่งใช้ไม่ตรงกับโจทย์ที่กำหนด
• ข้อ ง. (Pregabalin 75 mg BID): ข้อนี้ไม่ใช่คำตอบที่ถูกต้องสำหรับภาวะ Headache เนื่องจากกลไกการออกฤทธิ์, efficacy หรือข้อบ่งใช้ไม่ตรงกับโจทย์ที่กำหนด
• ข้อ จ.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3" s="2" t="n"/>
      <c r="L133" s="2" t="inlineStr">
        <is>
          <t>Headache</t>
        </is>
      </c>
      <c r="M133" s="2" t="inlineStr">
        <is>
          <t>Clinic</t>
        </is>
      </c>
      <c r="N133" s="2" t="inlineStr">
        <is>
          <t>ข้อ 1 (PLE_CC1_Key_Rx20_UBU.md)</t>
        </is>
      </c>
      <c r="O133" s="2" t="inlineStr">
        <is>
          <t>Mock</t>
        </is>
      </c>
      <c r="P133" s="2" t="inlineStr">
        <is>
          <t>Mock Rx20 UBU</t>
        </is>
      </c>
    </row>
    <row r="134" ht="13.2" customHeight="1" s="37">
      <c r="A134" s="8" t="inlineStr">
        <is>
          <t>132</t>
        </is>
      </c>
      <c r="B134" s="2" t="inlineStr">
        <is>
          <t>ยาที่ใชเพื่อปองกันไมเกรนที่เหมาะสมในผูปวยรายนี้</t>
        </is>
      </c>
      <c r="C134" s="2" t="n"/>
      <c r="D134" s="2" t="inlineStr">
        <is>
          <t>Pregabalin 75 mg BID</t>
        </is>
      </c>
      <c r="E134" s="2" t="inlineStr">
        <is>
          <t>Levodopa/Benserazide 100/25 mg TID</t>
        </is>
      </c>
      <c r="F134" s="2" t="inlineStr">
        <is>
          <t>Sumatriptan 50 mg stat</t>
        </is>
      </c>
      <c r="G134" s="2" t="inlineStr">
        <is>
          <t>Propranolol 40 mg BID</t>
        </is>
      </c>
      <c r="H134" s="2" t="inlineStr">
        <is>
          <t>Topiramate 25 mg BID</t>
        </is>
      </c>
      <c r="I134" s="8" t="inlineStr">
        <is>
          <t>1</t>
        </is>
      </c>
      <c r="J134" s="2" t="inlineStr">
        <is>
          <t>✅ คำตอบที่ถูกต้อง: ข้อ ก. Pregabalin 75 mg BID
💡 Background:
การบริบาลผู้ป่วยในกลุ่มโรค Headache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2" t="n"/>
      <c r="L134" s="2" t="inlineStr">
        <is>
          <t>Headache</t>
        </is>
      </c>
      <c r="M134" s="2" t="inlineStr">
        <is>
          <t>Clinic</t>
        </is>
      </c>
      <c r="N134" s="2" t="inlineStr">
        <is>
          <t>ข้อ 3 (PLE_CC1_Key_Rx20_UBU.md)</t>
        </is>
      </c>
      <c r="O134" s="2" t="inlineStr">
        <is>
          <t>Mock</t>
        </is>
      </c>
      <c r="P134" s="2" t="inlineStr">
        <is>
          <t>Mock Rx20 UBU</t>
        </is>
      </c>
    </row>
  </sheetData>
  <mergeCells count="1">
    <mergeCell ref="A1:F1"/>
  </mergeCell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Q118"/>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ข้อใดต่อไปนี้ถูกต้องในการรักษาผู้ป่วยโรคซึมเศร้า</t>
        </is>
      </c>
      <c r="C3" s="2" t="n"/>
      <c r="D3" s="2" t="inlineStr">
        <is>
          <t>การรักษาต้องเริ่มให้ยาในขนาดที่สูง</t>
        </is>
      </c>
      <c r="E3" s="2" t="inlineStr">
        <is>
          <t>การรักษาต้องให้ยาต่อเนื่องเป็นเวลา 6-8 สัปดาห์ ในระยะแรก</t>
        </is>
      </c>
      <c r="F3" s="2" t="inlineStr">
        <is>
          <t>เป็นโรคที่ไม่สามารถรักษาให้หายขาดได้</t>
        </is>
      </c>
      <c r="G3" s="2" t="inlineStr">
        <is>
          <t>จะใช้ยากลุ่ม benzodiazepines ในผู้ป่วยซึมเศร้าที่มีอาการนอนไม่หลับร่วมด้วย</t>
        </is>
      </c>
      <c r="H3" s="2" t="inlineStr">
        <is>
          <t>สามารถหยุดใช้ยาได้ทันที</t>
        </is>
      </c>
      <c r="I3" s="8" t="inlineStr">
        <is>
          <t>2</t>
        </is>
      </c>
      <c r="J3" s="2" t="inlineStr">
        <is>
          <t>✅ คำตอบที่ถูกต้อง: ข้อ ข. การรักษาต้องให้ยาต่อเนื่องเป็นเวลา 6-8 สัปดาห์ ในระยะแรก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การรักษาต้องให้ยาต่อเนื่องเป็นเวลา 6-8 สัปดาห์ ในระยะแรก การรักษา MDD ในระยะแรก (acute phase) ต้องให้ยาอย่างต่อเนื่องเป็นเวลา 6-8 สัปดาห์จึงจะประเมิน efficacy ของยาได้เต็มที่ การเริ่มต้นยาควรเริ่มจากขนาดต่ำแล้วค่อยๆ ปรับเพิ่มขึ้น (start low, go slow) เพื่อลดผลข้างเคียง และห้ามหยุดยาทันทีเพราะเสี่ยงต่อ discontinuation syndrome
🔍 ข้ออื่นผิดเพราะอะไร:
• ข้อ ก. (การรักษาต้องเริ่มให้ยาในขนาดที่สูง): ข้อนี้ไม่ใช่คำตอบที่ถูกต้องสำหรับภาวะ Anxiety/depression เนื่องจากกลไกการออกฤทธิ์, efficacy หรือข้อบ่งใช้ไม่ตรงกับโจทย์ที่กำหนด
• ข้อ ค. (เป็นโรคที่ไม่สามารถรักษาให้หายขาดได้): ข้อนี้ไม่ใช่คำตอบที่ถูกต้องสำหรับภาวะ Anxiety/depression เนื่องจากกลไกการออกฤทธิ์, efficacy หรือข้อบ่งใช้ไม่ตรงกับโจทย์ที่กำหนด
• ข้อ ง. (จะใช้ยากลุ่ม benzodiazepines ในผู้ป่วยซึมเศร้าที่มีอาการนอนไม่หลับร่วมด้วย): ข้อนี้ไม่ใช่คำตอบที่ถูกต้องสำหรับภาวะ Anxiety/depression เนื่องจากกลไกการออกฤทธิ์, efficacy หรือข้อบ่งใช้ไม่ตรงกับโจทย์ที่กำหนด
• ข้อ จ. (สามารถหยุดใช้ยาได้ทันที):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3" s="2" t="n"/>
      <c r="L3" s="2" t="inlineStr">
        <is>
          <t>Anxiety/depression</t>
        </is>
      </c>
      <c r="M3" s="2" t="inlineStr">
        <is>
          <t>Clinic</t>
        </is>
      </c>
      <c r="N3" s="2" t="inlineStr">
        <is>
          <t>ข้อ 1 Pharma Plus เล่มม่วง (เฉลยข้อ ข ง)</t>
        </is>
      </c>
      <c r="O3" s="2" t="inlineStr">
        <is>
          <t>Mock</t>
        </is>
      </c>
      <c r="P3" s="2" t="inlineStr">
        <is>
          <t>Pharma Plus เล่มม่วง</t>
        </is>
      </c>
    </row>
    <row r="4" ht="13.2" customHeight="1" s="37">
      <c r="A4" s="8" t="inlineStr">
        <is>
          <t>2</t>
        </is>
      </c>
      <c r="B4"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ข้อใดเป็นกลไกของยา sertraline</t>
        </is>
      </c>
      <c r="C4" s="2" t="n"/>
      <c r="D4" s="2" t="inlineStr">
        <is>
          <t>ยับยั้ง alpha adrenergic receptor</t>
        </is>
      </c>
      <c r="E4" s="2" t="inlineStr">
        <is>
          <t>ยับยั้ง beta adrenergic receptor</t>
        </is>
      </c>
      <c r="F4" s="2" t="inlineStr">
        <is>
          <t>ยับยั้งการนำ norepinephrine กลับเข้าสู่ปลายประสาท</t>
        </is>
      </c>
      <c r="G4" s="2" t="inlineStr">
        <is>
          <t>ยับยั้งการนำ dopamine กลับเข้าสู่ปลายประสาท</t>
        </is>
      </c>
      <c r="H4" s="2" t="inlineStr">
        <is>
          <t>ยับยั้งการนำ serotonin กลับเข้าสู่ปลายประสาท</t>
        </is>
      </c>
      <c r="I4" s="8" t="inlineStr">
        <is>
          <t>5</t>
        </is>
      </c>
      <c r="J4" s="2" t="inlineStr">
        <is>
          <t>✅ คำตอบที่ถูกต้อง: ข้อ จ. ยับยั้งการนำ serotonin กลับเข้าสู่ปลายประสาท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ยับยั้งการนำ serotonin กลับเข้าสู่ปลายประสาท Sertraline จัดอยู่ในกลุ่ม Selective Serotonin Reuptake Inhibitors (SSRIs) มีกลไกออกฤทธิ์หลักคือยับยั้งการ reuptake ของ serotonin (5-HT) ที่ presynaptic terminal ทำให้มีระดับ serotonin ใน ics synaptic cleft เพิ่มขึ้น
🔍 ข้ออื่นผิดเพราะอะไร:
• ข้อ ก. (ยับยั้ง alpha adrenergic receptor): ข้อนี้ไม่ใช่คำตอบที่ถูกต้องสำหรับภาวะ Anxiety/depression เนื่องจากกลไกการออกฤทธิ์, efficacy หรือข้อบ่งใช้ไม่ตรงกับโจทย์ที่กำหนด
• ข้อ ข. (ยับยั้ง beta adrenergic receptor): ข้อนี้ไม่ใช่คำตอบที่ถูกต้องสำหรับภาวะ Anxiety/depression เนื่องจากกลไกการออกฤทธิ์, efficacy หรือข้อบ่งใช้ไม่ตรงกับโจทย์ที่กำหนด
• ข้อ ค. (ยับยั้งการนำ norepinephrine กลับเข้าสู่ปลายประสาท): ข้อนี้ไม่ใช่คำตอบที่ถูกต้องสำหรับภาวะ Anxiety/depression เนื่องจากกลไกการออกฤทธิ์, efficacy หรือข้อบ่งใช้ไม่ตรงกับโจทย์ที่กำหนด
• ข้อ ง. (ยับยั้งการนำ dopamine กลับเข้าสู่ปลายประสาท):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4" s="2" t="n"/>
      <c r="L4" s="2" t="inlineStr">
        <is>
          <t>Anxiety/depression</t>
        </is>
      </c>
      <c r="M4" s="2" t="inlineStr">
        <is>
          <t>Clinic</t>
        </is>
      </c>
      <c r="N4" s="2" t="inlineStr">
        <is>
          <t>ข้อ 2 Pharma Plus เล่มม่วง (เฉลยข้อ จ)</t>
        </is>
      </c>
      <c r="O4" s="2" t="inlineStr">
        <is>
          <t>Mock</t>
        </is>
      </c>
      <c r="P4" s="2" t="inlineStr">
        <is>
          <t>Pharma Plus เล่มม่วง</t>
        </is>
      </c>
    </row>
    <row r="5" ht="13.2" customHeight="1" s="37">
      <c r="A5" s="8" t="inlineStr">
        <is>
          <t>3</t>
        </is>
      </c>
      <c r="B5"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ข้อใดเป็นอาการไม่พึงประสงค์ที่พบได้บ่อยของ sertraline</t>
        </is>
      </c>
      <c r="C5" s="2" t="n"/>
      <c r="D5" s="2" t="inlineStr">
        <is>
          <t>Insomnia</t>
        </is>
      </c>
      <c r="E5" s="2" t="inlineStr">
        <is>
          <t>Constipation</t>
        </is>
      </c>
      <c r="F5" s="2" t="inlineStr">
        <is>
          <t>Pancreatitis</t>
        </is>
      </c>
      <c r="G5" s="2" t="inlineStr">
        <is>
          <t>Rhinitis</t>
        </is>
      </c>
      <c r="H5" s="2" t="inlineStr">
        <is>
          <t>Tinnitus</t>
        </is>
      </c>
      <c r="I5" s="8" t="inlineStr">
        <is>
          <t>1</t>
        </is>
      </c>
      <c r="J5" s="2" t="inlineStr">
        <is>
          <t>✅ คำตอบที่ถูกต้อง: ข้อ ก. Insomnia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Insomnia Sertraline และยากลุ่ม SSRIs มักทำให้เกิด ADR ทางระบบประสาทและทางเดินอาหาร เช่น นอนไม่หลับ (insomnia), กระสับกระส่าย, คลื่นไส้, ท้องเสีย โดยมักพบบ่อยในช่วงสัปดาห์แรกของการใช้ยา จึงแนะนำให้รับประทานยาในตอนเช้าเพื่อลดอาการนอนไม่หลับ
🔍 ข้ออื่นผิดเพราะอะไร:
• ข้อ ข. (Constipation): ข้อนี้ไม่ใช่คำตอบที่ถูกต้องสำหรับภาวะ Anxiety/depression เนื่องจากกลไกการออกฤทธิ์, efficacy หรือข้อบ่งใช้ไม่ตรงกับโจทย์ที่กำหนด
• ข้อ ค. (Pancreatitis): ข้อนี้ไม่ใช่คำตอบที่ถูกต้องสำหรับภาวะ Anxiety/depression เนื่องจากกลไกการออกฤทธิ์, efficacy หรือข้อบ่งใช้ไม่ตรงกับโจทย์ที่กำหนด
• ข้อ ง. (Rhinitis): ข้อนี้ไม่ใช่คำตอบที่ถูกต้องสำหรับภาวะ Anxiety/depression เนื่องจากกลไกการออกฤทธิ์, efficacy หรือข้อบ่งใช้ไม่ตรงกับโจทย์ที่กำหนด
• ข้อ จ. (Tinnitus):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5" s="2" t="n"/>
      <c r="L5" s="2" t="inlineStr">
        <is>
          <t>Anxiety/depression</t>
        </is>
      </c>
      <c r="M5" s="2" t="inlineStr">
        <is>
          <t>Clinic</t>
        </is>
      </c>
      <c r="N5" s="2" t="inlineStr">
        <is>
          <t>ข้อ 3 Pharma Plus เล่มม่วง (เฉลยข้อ ก)</t>
        </is>
      </c>
      <c r="O5" s="2" t="inlineStr">
        <is>
          <t>Mock</t>
        </is>
      </c>
      <c r="P5" s="2" t="inlineStr">
        <is>
          <t>Pharma Plus เล่มม่วง</t>
        </is>
      </c>
    </row>
    <row r="6" ht="13.2" customHeight="1" s="37">
      <c r="A6" s="8" t="inlineStr">
        <is>
          <t>4</t>
        </is>
      </c>
      <c r="B6"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ข้อใดไม่ใช่ข้อดีของการใช้ sertraline ในการรักษาอาการซึมเศร้า</t>
        </is>
      </c>
      <c r="C6" s="2" t="n"/>
      <c r="D6" s="2" t="inlineStr">
        <is>
          <t>เห็นผลการรักษาเร็ว</t>
        </is>
      </c>
      <c r="E6" s="2" t="inlineStr">
        <is>
          <t>มีผลน้อยต่อระบบหัวใจและหลอดเลือด</t>
        </is>
      </c>
      <c r="F6" s="2" t="inlineStr">
        <is>
          <t>ไม่ต้องปรับขนาดยาบ่อยครั้ง</t>
        </is>
      </c>
      <c r="G6" s="2" t="inlineStr">
        <is>
          <t>มีผลต่อ severe adverse effect เช่น suicidal thought น้อย</t>
        </is>
      </c>
      <c r="H6" s="2" t="inlineStr">
        <is>
          <t>ไม่มี cholinergic effect</t>
        </is>
      </c>
      <c r="I6" s="8" t="inlineStr">
        <is>
          <t>1</t>
        </is>
      </c>
      <c r="J6" s="2" t="inlineStr">
        <is>
          <t>✅ คำตอบที่ถูกต้อง: ข้อ ก. เห็นผลการรักษาเร็ว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เห็นผลการรักษาเร็ว ข้อเสียและข้อจำกัดที่สำคัญของยากลุ่ม SSRIs รวมถึง sertraline คือ 'ไม่เห็นผลการรักษาเร็ว' โดยทั่วไปต้องใช้เวลาอย่างน้อย 2-4 สัปดาห์จึงจะเริ่มสังเกตเห็นการตอบสนองต่อยา และอาจใช้เวลา 6-8 สัปดาห์เพื่อให้ได้ผลการรักษาเต็มที่
🔍 ข้ออื่นผิดเพราะอะไร:
• ข้อ ข. (มีผลน้อยต่อระบบหัวใจและหลอดเลือด): ข้อนี้ไม่ใช่คำตอบที่ถูกต้องสำหรับภาวะ Anxiety/depression เนื่องจากกลไกการออกฤทธิ์, efficacy หรือข้อบ่งใช้ไม่ตรงกับโจทย์ที่กำหนด
• ข้อ ค. (ไม่ต้องปรับขนาดยาบ่อยครั้ง): ข้อนี้ไม่ใช่คำตอบที่ถูกต้องสำหรับภาวะ Anxiety/depression เนื่องจากกลไกการออกฤทธิ์, efficacy หรือข้อบ่งใช้ไม่ตรงกับโจทย์ที่กำหนด
• ข้อ ง. (มีผลต่อ severe adverse effect เช่น suicidal thought น้อย): ข้อนี้ไม่ใช่คำตอบที่ถูกต้องสำหรับภาวะ Anxiety/depression เนื่องจากกลไกการออกฤทธิ์, efficacy หรือข้อบ่งใช้ไม่ตรงกับโจทย์ที่กำหนด
• ข้อ จ. (ไม่มี cholinergic effect):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 s="2" t="n"/>
      <c r="L6" s="2" t="inlineStr">
        <is>
          <t>Anxiety/depression</t>
        </is>
      </c>
      <c r="M6" s="2" t="inlineStr">
        <is>
          <t>Clinic</t>
        </is>
      </c>
      <c r="N6" s="2" t="inlineStr">
        <is>
          <t>ข้อ 4 Pharma Plus เล่มม่วง (เฉลยข้อ ก)</t>
        </is>
      </c>
      <c r="O6" s="2" t="inlineStr">
        <is>
          <t>Mock</t>
        </is>
      </c>
      <c r="P6" s="2" t="inlineStr">
        <is>
          <t>Pharma Plus เล่มม่วง</t>
        </is>
      </c>
    </row>
    <row r="7" ht="13.2" customHeight="1" s="37">
      <c r="A7" s="8" t="inlineStr">
        <is>
          <t>5</t>
        </is>
      </c>
      <c r="B7"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ข้อใดเป็นคำแนะนำที่ถูกต้องของผู้ที่ใช้ยา sertraline</t>
        </is>
      </c>
      <c r="C7" s="2" t="n"/>
      <c r="D7" s="2" t="inlineStr">
        <is>
          <t>ห้ามรับประทานยาร่วมกับนม</t>
        </is>
      </c>
      <c r="E7" s="2" t="inlineStr">
        <is>
          <t>รับประทานยาในช่วงเดียวกันในแต่ละวัน</t>
        </is>
      </c>
      <c r="F7" s="2" t="inlineStr">
        <is>
          <t>ค่อยๆ เปลี่ยนอิริยาบถ</t>
        </is>
      </c>
      <c r="G7" s="2" t="inlineStr">
        <is>
          <t>จำกัดน้ำ</t>
        </is>
      </c>
      <c r="H7" s="2" t="inlineStr">
        <is>
          <t>รับประทานยาก่อนนอน</t>
        </is>
      </c>
      <c r="I7" s="8" t="inlineStr">
        <is>
          <t>2</t>
        </is>
      </c>
      <c r="J7" s="2" t="inlineStr">
        <is>
          <t>✅ คำตอบที่ถูกต้อง: ข้อ ข. รับประทานยาในช่วงเดียวกันในแต่ละวัน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รับประทานยาในช่วงเดียวกันในแต่ละวัน คำแนะนำที่ถูกต้องในการใช้ยา sertraline คือควรรับประทานยาในเวลาเดียวกันของทุกวันเพื่อรักษาระดับยาในเลือดให้คงที่ เนื่องจากยานี้อาจทำให้เกิดอาการนอนไม่หลับ จึงแนะนำให้รับประทานในตอนเช้า และหากมีอาการเวียนศีรษะจาก orthostatic hypotension จึงควรแนะนำเรื่องการเปลี่ยนอิริยาบถ แต่การกินเวลาเดิมสม่ำเสมอเป็นหลักปฏิบัติที่สำคัญที่สุด
🔍 ข้ออื่นผิดเพราะอะไร:
• ข้อ ก. (ห้ามรับประทานยาร่วมกับนม): ข้อนี้ไม่ใช่คำตอบที่ถูกต้องสำหรับภาวะ Anxiety/depression เนื่องจากกลไกการออกฤทธิ์, efficacy หรือข้อบ่งใช้ไม่ตรงกับโจทย์ที่กำหนด
• ข้อ ค. (ค่อยๆ เปลี่ยนอิริยาบถ): ข้อนี้ไม่ใช่คำตอบที่ถูกต้องสำหรับภาวะ Anxiety/depression เนื่องจากกลไกการออกฤทธิ์, efficacy หรือข้อบ่งใช้ไม่ตรงกับโจทย์ที่กำหนด
• ข้อ ง. (จำกัดน้ำ): ข้อนี้ไม่ใช่คำตอบที่ถูกต้องสำหรับภาวะ Anxiety/depression เนื่องจากกลไกการออกฤทธิ์, efficacy หรือข้อบ่งใช้ไม่ตรงกับโจทย์ที่กำหนด
• ข้อ จ. (รับประทานยาก่อนนอน):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 s="2" t="n"/>
      <c r="L7" s="2" t="inlineStr">
        <is>
          <t>Anxiety/depression</t>
        </is>
      </c>
      <c r="M7" s="2" t="inlineStr">
        <is>
          <t>Clinic</t>
        </is>
      </c>
      <c r="N7" s="2" t="inlineStr">
        <is>
          <t>ข้อ 5 Pharma Plus เล่มม่วง (เฉลยข้อ ข)</t>
        </is>
      </c>
      <c r="O7" s="2" t="inlineStr">
        <is>
          <t>Mock</t>
        </is>
      </c>
      <c r="P7" s="2" t="inlineStr">
        <is>
          <t>Pharma Plus เล่มม่วง</t>
        </is>
      </c>
    </row>
    <row r="8" ht="13.2" customHeight="1" s="37">
      <c r="A8" s="8" t="inlineStr">
        <is>
          <t>6</t>
        </is>
      </c>
      <c r="B8" s="2"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ผู้ป่วยกลับมาพบแพทย์อีกครั้งเนื่องจากอาการไม่ดีขึ้น แพทย์จึงพิจารณาเปลี่ยนยาเป็น fluoxetine
ยาใดต่อไปนี้ ไม่ใช่ยาที่ใช้ในการรักษาภาวะซึมเศร้า</t>
        </is>
      </c>
      <c r="C8" s="2" t="n"/>
      <c r="D8" s="2" t="inlineStr">
        <is>
          <t>Imipramine</t>
        </is>
      </c>
      <c r="E8" s="2" t="inlineStr">
        <is>
          <t>Doxepin</t>
        </is>
      </c>
      <c r="F8" s="2" t="inlineStr">
        <is>
          <t>Phenelzine</t>
        </is>
      </c>
      <c r="G8" s="2" t="inlineStr">
        <is>
          <t>Sertraline</t>
        </is>
      </c>
      <c r="H8" s="2" t="inlineStr">
        <is>
          <t>Carbamazepine</t>
        </is>
      </c>
      <c r="I8" s="8" t="inlineStr">
        <is>
          <t>5</t>
        </is>
      </c>
      <c r="J8" s="2" t="inlineStr">
        <is>
          <t>✅ คำตอบที่ถูกต้อง: ข้อ จ. Carbamazepine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Carbamazepine เป็นยากลุ่ม anticonvulsant ที่ใช้ในการรักษาโรคอารมณ์สองขั้ว (Bipolar disorder) ในภาวะ mania หรือ mood stabilizer ไม่ใช่ยารักษาโรคซึมเศร้า (Antidepressant) โดยตรง ส่วน Imipramine, Doxepin เป็น TCA, Phenelzine เป็น MAOI และ Sertraline เป็น SSRI ซึ่งทั้งหมดใช้รักษา Major Depressive Disorder
🔍 ข้ออื่นผิดเพราะอะไร:
• ข้อ ก. (Imipramine): ข้อนี้ไม่ใช่คำตอบที่ถูกต้องสำหรับภาวะ Anxiety/depression เนื่องจากกลไกการออกฤทธิ์, efficacy หรือข้อบ่งใช้ไม่ตรงกับโจทย์ที่กำหนด
• ข้อ ข. (Doxepin): ข้อนี้ไม่ใช่คำตอบที่ถูกต้องสำหรับภาวะ Anxiety/depression เนื่องจากกลไกการออกฤทธิ์, efficacy หรือข้อบ่งใช้ไม่ตรงกับโจทย์ที่กำหนด
• ข้อ ค. (Phenelzine): ข้อนี้ไม่ใช่คำตอบที่ถูกต้องสำหรับภาวะ Anxiety/depression เนื่องจากกลไกการออกฤทธิ์, efficacy หรือข้อบ่งใช้ไม่ตรงกับโจทย์ที่กำหนด
• ข้อ ง. (Sertraline):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 s="2" t="n"/>
      <c r="L8" s="2" t="inlineStr">
        <is>
          <t>Anxiety/depression</t>
        </is>
      </c>
      <c r="M8" s="2" t="inlineStr">
        <is>
          <t>Clinic</t>
        </is>
      </c>
      <c r="N8" s="2" t="inlineStr">
        <is>
          <t>ข้อ 6 Pharma Plus เล่มม่วง (เฉลยข้อ จ)</t>
        </is>
      </c>
      <c r="O8" s="2" t="inlineStr">
        <is>
          <t>Mock</t>
        </is>
      </c>
      <c r="P8" s="2" t="inlineStr">
        <is>
          <t>Pharma Plus เล่มม่วง</t>
        </is>
      </c>
    </row>
    <row r="9" ht="13.2" customHeight="1" s="37">
      <c r="A9" s="8" t="inlineStr">
        <is>
          <t>7</t>
        </is>
      </c>
      <c r="B9" s="2" t="inlineStr">
        <is>
          <t>ข้อใดผิดในการใช้ยาเพื่อรักษาภาวะซึมเศร้า</t>
        </is>
      </c>
      <c r="C9" s="2" t="n"/>
      <c r="D9" s="2" t="inlineStr">
        <is>
          <t>การสูบบุหรี่ทำให้ฤทธิ์ของ TCA ลดลง</t>
        </is>
      </c>
      <c r="E9" s="2" t="inlineStr">
        <is>
          <t>ผู้ป่วยที่ได้รับยา MAOI ไม่ควรรับประทานอาหารที่มี tyramine สูง เช่น เนย</t>
        </is>
      </c>
      <c r="F9" s="2" t="inlineStr">
        <is>
          <t>ยากลุ่ม SSRI ไม่ควรใช้ร่วมกับยากลุ่ม MAOI</t>
        </is>
      </c>
      <c r="G9" s="2" t="inlineStr">
        <is>
          <t>เมื่อหยุดยา MAOI แล้วสามารถเริ่มใช้ SSRI ได้ทันที</t>
        </is>
      </c>
      <c r="H9" s="2" t="inlineStr">
        <is>
          <t>อาการข้างเคียงของยากลุ่ม TCA คือ ปากแห้ง ตาพร่า แน่นท้อง ท้องผูก</t>
        </is>
      </c>
      <c r="I9" s="8" t="inlineStr">
        <is>
          <t>1</t>
        </is>
      </c>
      <c r="J9" s="2" t="inlineStr">
        <is>
          <t>✅ คำตอบที่ถูกต้อง: ข้อ ก. การสูบบุหรี่ทำให้ฤทธิ์ของ TCA ลดลง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การสูบบุหรี่ทำให้ฤทธิ์ของ TCA ลดลง ข้อที่ผิดคือการหยุดยา MAOI แล้วเริ่มใช้ SSRI ทันที เนื่องจากอาจเกิดภาวะ Serotonin syndrome ที่รุนแรงถึงชีวิตได้ จำเป็นต้องเว้นระยะเวลา (washout period) อย่างน้อย 2 สัปดาห์ก่อนเปลี่ยนมาใช้ SSRI (หรือ 5 สัปดาห์หากเปลี่ยนจาก fluoxetine ไป MAOI)
🔍 ข้ออื่นผิดเพราะอะไร:
• ข้อ ข. (ผู้ป่วยที่ได้รับยา MAOI ไม่ควรรับประทานอาหารที่มี tyramine สูง เช่น เนย): ข้อนี้ไม่ใช่คำตอบที่ถูกต้องสำหรับภาวะ Anxiety/depression เนื่องจากกลไกการออกฤทธิ์, efficacy หรือข้อบ่งใช้ไม่ตรงกับโจทย์ที่กำหนด
• ข้อ ค. (ยากลุ่ม SSRI ไม่ควรใช้ร่วมกับยากลุ่ม MAOI): ข้อนี้ไม่ใช่คำตอบที่ถูกต้องสำหรับภาวะ Anxiety/depression เนื่องจากกลไกการออกฤทธิ์, efficacy หรือข้อบ่งใช้ไม่ตรงกับโจทย์ที่กำหนด
• ข้อ ง. (เมื่อหยุดยา MAOI แล้วสามารถเริ่มใช้ SSRI ได้ทันที): ข้อนี้ไม่ใช่คำตอบที่ถูกต้องสำหรับภาวะ Anxiety/depression เนื่องจากกลไกการออกฤทธิ์, efficacy หรือข้อบ่งใช้ไม่ตรงกับโจทย์ที่กำหนด
• ข้อ จ. (อาการข้างเคียงของยากลุ่ม TCA คือ ปากแห้ง ตาพร่า แน่นท้อง ท้องผูก):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9" s="2" t="n"/>
      <c r="L9" s="2" t="inlineStr">
        <is>
          <t>Anxiety/depression</t>
        </is>
      </c>
      <c r="M9" s="2" t="inlineStr">
        <is>
          <t>Clinic</t>
        </is>
      </c>
      <c r="N9" s="2" t="inlineStr">
        <is>
          <t>ข้อ 7 Pharma Plus เล่มม่วง (เฉลยข้อ ก ง)</t>
        </is>
      </c>
      <c r="O9" s="2" t="inlineStr">
        <is>
          <t>Mock</t>
        </is>
      </c>
      <c r="P9" s="2" t="inlineStr">
        <is>
          <t>Pharma Plus เล่มม่วง</t>
        </is>
      </c>
    </row>
    <row r="10" ht="13.2" customHeight="1" s="37">
      <c r="A10" s="8" t="inlineStr">
        <is>
          <t>8</t>
        </is>
      </c>
      <c r="B10" s="2" t="inlineStr">
        <is>
          <t>St. John's wort ออกฤทธิ์เหมือนยากลุ่มใด</t>
        </is>
      </c>
      <c r="C10" s="2" t="n"/>
      <c r="D10" s="2" t="inlineStr">
        <is>
          <t>MOAI</t>
        </is>
      </c>
      <c r="E10" s="2" t="inlineStr">
        <is>
          <t>BZs</t>
        </is>
      </c>
      <c r="F10" s="2" t="inlineStr">
        <is>
          <t>TCA</t>
        </is>
      </c>
      <c r="G10" s="2" t="inlineStr">
        <is>
          <t>α2 Blocker</t>
        </is>
      </c>
      <c r="H10" s="2" t="inlineStr">
        <is>
          <t>Barbiturates</t>
        </is>
      </c>
      <c r="I10" s="8" t="inlineStr">
        <is>
          <t>3</t>
        </is>
      </c>
      <c r="J10" s="2" t="inlineStr">
        <is>
          <t>✅ คำตอบที่ถูกต้อง: ข้อ ค. TCA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TCA St. John's wort (Hypericum perforatum) เป็นสมุนไพรที่มีฤทธิ์ต้านซึมเศร้าโดยมีกลไกยับยั้งการ reuptake ของ serotonin, norepinephrine และ dopamine คล้ายคลึงกับยากลุ่ม TCA และมีฤทธิ์กระตุ้นเอนไซม์ CYP450 ทำให้เกิดปฏิกิริยาระหว่างยามากมาย
🔍 ข้ออื่นผิดเพราะอะไร:
• ข้อ ก. (MOAI): ข้อนี้ไม่ใช่คำตอบที่ถูกต้องสำหรับภาวะ Anxiety/depression เนื่องจากกลไกการออกฤทธิ์, efficacy หรือข้อบ่งใช้ไม่ตรงกับโจทย์ที่กำหนด
• ข้อ ข. (BZs): ข้อนี้ไม่ใช่คำตอบที่ถูกต้องสำหรับภาวะ Anxiety/depression เนื่องจากกลไกการออกฤทธิ์, efficacy หรือข้อบ่งใช้ไม่ตรงกับโจทย์ที่กำหนด
• ข้อ ง. (α2 Blocker): ข้อนี้ไม่ใช่คำตอบที่ถูกต้องสำหรับภาวะ Anxiety/depression เนื่องจากกลไกการออกฤทธิ์, efficacy หรือข้อบ่งใช้ไม่ตรงกับโจทย์ที่กำหนด
• ข้อ จ. (Barbiturates):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0" s="2" t="n"/>
      <c r="L10" s="2" t="inlineStr">
        <is>
          <t>Anxiety/depression</t>
        </is>
      </c>
      <c r="M10" s="2" t="inlineStr">
        <is>
          <t>Clinic</t>
        </is>
      </c>
      <c r="N10" s="2" t="inlineStr">
        <is>
          <t>ข้อ 8 Pharma Plus เล่มม่วง (เฉลยข้อ ค)</t>
        </is>
      </c>
      <c r="O10" s="2" t="inlineStr">
        <is>
          <t>Mock</t>
        </is>
      </c>
      <c r="P10" s="2" t="inlineStr">
        <is>
          <t>Pharma Plus เล่มม่วง</t>
        </is>
      </c>
    </row>
    <row r="11" ht="13.2" customHeight="1" s="37">
      <c r="A11" s="8" t="inlineStr">
        <is>
          <t>9</t>
        </is>
      </c>
      <c r="B11" s="2" t="inlineStr">
        <is>
          <t>เพราะเหตุใด St. John's wort จึงทำให้เกิดปฏิกิริยาระหว่างยาหลายกลุ่ม</t>
        </is>
      </c>
      <c r="C11" s="2" t="n"/>
      <c r="D11" s="2" t="inlineStr">
        <is>
          <t>เพิ่มการสร้าง isozyme cytochrome P450</t>
        </is>
      </c>
      <c r="E11" s="2" t="inlineStr">
        <is>
          <t>มีความสามารถในการจับกับรีเซ็ปเตอร์ได้หลายชนิด</t>
        </is>
      </c>
      <c r="F11" s="2" t="inlineStr">
        <is>
          <t>กระตุ้นการจับกับโปรตีนในเลือดหลายชนิด</t>
        </is>
      </c>
      <c r="G11" s="2" t="inlineStr">
        <is>
          <t>สามารถทำปฏิกิริยาทางเคมีโดยตรงกับยาหลายชนิด</t>
        </is>
      </c>
      <c r="H11" s="2" t="inlineStr">
        <is>
          <t>เพิ่มอัตราการขับออกของยาที่ไต</t>
        </is>
      </c>
      <c r="I11" s="8" t="inlineStr">
        <is>
          <t>1</t>
        </is>
      </c>
      <c r="J11" s="2" t="inlineStr">
        <is>
          <t>✅ คำตอบที่ถูกต้อง: ข้อ ก. เพิ่มการสร้าง isozyme cytochrome P450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เพิ่มการสร้าง isozyme cytochrome P450 St. John's wort เป็นตัวเหนี่ยวนำเอนไซม์ (inducer) ที่ทรงพลังของ cytochrome P450 (โดยเฉพาะ CYP3A4) และ P-glycoprotein ทำให้ระดับยาอื่นๆ ที่ใช้ร่วมกันในร่างกายลดลงและ efficacy การรักษาลดลง
🔍 ข้ออื่นผิดเพราะอะไร:
• ข้อ ข. (มีความสามารถในการจับกับรีเซ็ปเตอร์ได้หลายชนิด): ข้อนี้ไม่ใช่คำตอบที่ถูกต้องสำหรับภาวะ Anxiety/depression เนื่องจากกลไกการออกฤทธิ์, efficacy หรือข้อบ่งใช้ไม่ตรงกับโจทย์ที่กำหนด
• ข้อ ค. (กระตุ้นการจับกับโปรตีนในเลือดหลายชนิด): ข้อนี้ไม่ใช่คำตอบที่ถูกต้องสำหรับภาวะ Anxiety/depression เนื่องจากกลไกการออกฤทธิ์, efficacy หรือข้อบ่งใช้ไม่ตรงกับโจทย์ที่กำหนด
• ข้อ ง. (สามารถทำปฏิกิริยาทางเคมีโดยตรงกับยาหลายชนิด): ข้อนี้ไม่ใช่คำตอบที่ถูกต้องสำหรับภาวะ Anxiety/depression เนื่องจากกลไกการออกฤทธิ์, efficacy หรือข้อบ่งใช้ไม่ตรงกับโจทย์ที่กำหนด
• ข้อ จ. (เพิ่มอัตราการขับออกของยาที่ไต):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1" s="2" t="n"/>
      <c r="L11" s="2" t="inlineStr">
        <is>
          <t>Anxiety/depression</t>
        </is>
      </c>
      <c r="M11" s="2" t="inlineStr">
        <is>
          <t>Clinic</t>
        </is>
      </c>
      <c r="N11" s="2" t="inlineStr">
        <is>
          <t>ข้อ 9 Pharma Plus เล่มม่วง (เฉลยข้อ ก)</t>
        </is>
      </c>
      <c r="O11" s="2" t="inlineStr">
        <is>
          <t>Mock</t>
        </is>
      </c>
      <c r="P11" s="2" t="inlineStr">
        <is>
          <t>Pharma Plus เล่มม่วง</t>
        </is>
      </c>
    </row>
    <row r="12" ht="13.2" customHeight="1" s="37">
      <c r="A12" s="8" t="inlineStr">
        <is>
          <t>10</t>
        </is>
      </c>
      <c r="B12" s="2" t="inlineStr">
        <is>
          <t>กลไกการออกฤทธิ์ของ amitriptyline คือข้อใด</t>
        </is>
      </c>
      <c r="C12" s="2" t="n"/>
      <c r="D12" s="2" t="inlineStr">
        <is>
          <t>ยับยั้งการทำงานของ DA transporter</t>
        </is>
      </c>
      <c r="E12" s="2" t="inlineStr">
        <is>
          <t>ยับยั้งการ reuptake ของ NE ที่ปลายประสาท</t>
        </is>
      </c>
      <c r="F12" s="2" t="inlineStr">
        <is>
          <t>ยับยั้งการทำงานของ MOA enzyme</t>
        </is>
      </c>
      <c r="G12" s="2" t="inlineStr">
        <is>
          <t>กระตุ้น 5-HT receptor</t>
        </is>
      </c>
      <c r="H12" s="2" t="inlineStr">
        <is>
          <t>กระตุ้น α2-adrenergic receptor</t>
        </is>
      </c>
      <c r="I12" s="8" t="inlineStr">
        <is>
          <t>2</t>
        </is>
      </c>
      <c r="J12" s="2" t="inlineStr">
        <is>
          <t>✅ คำตอบที่ถูกต้อง: ข้อ ข. ยับยั้งการ reuptake ของ NE ที่ปลายประสาท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ยับยั้งการ reuptake ของ NE ที่ปลายประสาท Amitriptyline เป็นยากลุ่ม Tricyclic antidepressant (TCA) มีกลไกหลักในการยับยั้งการ reuptake ของ norepinephrine (NE) และ serotonin (5-HT) ที่ปลายประสาท ทำให้มีสารสื่อประสาทเหลืออยู่ใน synaptic cleft มากขึ้น
🔍 ข้ออื่นผิดเพราะอะไร:
• ข้อ ก. (ยับยั้งการทำงานของ DA transporter): ข้อนี้ไม่ใช่คำตอบที่ถูกต้องสำหรับภาวะ Anxiety/depression เนื่องจากกลไกการออกฤทธิ์, efficacy หรือข้อบ่งใช้ไม่ตรงกับโจทย์ที่กำหนด
• ข้อ ค. (ยับยั้งการทำงานของ MOA enzyme): ข้อนี้ไม่ใช่คำตอบที่ถูกต้องสำหรับภาวะ Anxiety/depression เนื่องจากกลไกการออกฤทธิ์, efficacy หรือข้อบ่งใช้ไม่ตรงกับโจทย์ที่กำหนด
• ข้อ ง. (กระตุ้น 5-HT receptor): ข้อนี้ไม่ใช่คำตอบที่ถูกต้องสำหรับภาวะ Anxiety/depression เนื่องจากกลไกการออกฤทธิ์, efficacy หรือข้อบ่งใช้ไม่ตรงกับโจทย์ที่กำหนด
• ข้อ จ. (กระตุ้น α2-adrenergic receptor):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2" s="2" t="n"/>
      <c r="L12" s="2" t="inlineStr">
        <is>
          <t>Anxiety/depression</t>
        </is>
      </c>
      <c r="M12" s="2" t="inlineStr">
        <is>
          <t>Clinic</t>
        </is>
      </c>
      <c r="N12" s="2" t="inlineStr">
        <is>
          <t>ข้อ 10 Pharma Plus เล่มม่วง (เฉลยข้อ ข)</t>
        </is>
      </c>
      <c r="O12" s="2" t="inlineStr">
        <is>
          <t>Mock</t>
        </is>
      </c>
      <c r="P12" s="2" t="inlineStr">
        <is>
          <t>Pharma Plus เล่มม่วง</t>
        </is>
      </c>
    </row>
    <row r="13" ht="13.2" customHeight="1" s="37">
      <c r="A13" s="8" t="inlineStr">
        <is>
          <t>11</t>
        </is>
      </c>
      <c r="B13" s="2" t="inlineStr">
        <is>
          <t>ต่อไปนี้เป็น side effect ที่เกิดจากการใช้ยา amitriptyline ยกเว้น</t>
        </is>
      </c>
      <c r="C13" s="2" t="n"/>
      <c r="D13" s="2" t="inlineStr">
        <is>
          <t>Sedation</t>
        </is>
      </c>
      <c r="E13" s="2" t="inlineStr">
        <is>
          <t>Dry mouth</t>
        </is>
      </c>
      <c r="F13" s="2" t="inlineStr">
        <is>
          <t>Orthostatic hypotension</t>
        </is>
      </c>
      <c r="G13" s="2" t="inlineStr">
        <is>
          <t>Urinary retention</t>
        </is>
      </c>
      <c r="H13" s="2" t="inlineStr">
        <is>
          <t>Hyperuricemia</t>
        </is>
      </c>
      <c r="I13" s="8" t="inlineStr">
        <is>
          <t>5</t>
        </is>
      </c>
      <c r="J13" s="2" t="inlineStr">
        <is>
          <t>✅ คำตอบที่ถูกต้อง: ข้อ จ. Hyperuricemia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Hyperuricemia Amitriptyline มีฤทธิ์ต้าน anticholinergic (ปากแห้ง ท้องผูก ตาพร่า ปัสสาวะคั่ง), antihistaminic (ง่วงซึม sedation) และ alpha-1 blockade (orthostatic hypotension) แต่ไม่ได้ทำให้เกิดภาวะกรดยูริกในเลือดสูง (Hyperuricemia) เป็นอาการข้างเคียงหลัก
🔍 ข้ออื่นผิดเพราะอะไร:
• ข้อ ก. (Sedation): ข้อนี้ไม่ใช่คำตอบที่ถูกต้องสำหรับภาวะ Anxiety/depression เนื่องจากกลไกการออกฤทธิ์, efficacy หรือข้อบ่งใช้ไม่ตรงกับโจทย์ที่กำหนด
• ข้อ ข. (Dry mouth): ข้อนี้ไม่ใช่คำตอบที่ถูกต้องสำหรับภาวะ Anxiety/depression เนื่องจากกลไกการออกฤทธิ์, efficacy หรือข้อบ่งใช้ไม่ตรงกับโจทย์ที่กำหนด
• ข้อ ค. (Orthostatic hypotension): ข้อนี้ไม่ใช่คำตอบที่ถูกต้องสำหรับภาวะ Anxiety/depression เนื่องจากกลไกการออกฤทธิ์, efficacy หรือข้อบ่งใช้ไม่ตรงกับโจทย์ที่กำหนด
• ข้อ ง. (Urinary retention):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3" s="2" t="n"/>
      <c r="L13" s="2" t="inlineStr">
        <is>
          <t>Anxiety/depression</t>
        </is>
      </c>
      <c r="M13" s="2" t="inlineStr">
        <is>
          <t>Clinic</t>
        </is>
      </c>
      <c r="N13" s="2" t="inlineStr">
        <is>
          <t>ข้อ 11 Pharma Plus เล่มม่วง (เฉลยข้อ จ)</t>
        </is>
      </c>
      <c r="O13" s="2" t="inlineStr">
        <is>
          <t>Mock</t>
        </is>
      </c>
      <c r="P13" s="2" t="inlineStr">
        <is>
          <t>Pharma Plus เล่มม่วง</t>
        </is>
      </c>
    </row>
    <row r="14" ht="13.2" customHeight="1" s="37">
      <c r="A14" s="8" t="inlineStr">
        <is>
          <t>12</t>
        </is>
      </c>
      <c r="B14" s="2" t="inlineStr">
        <is>
          <t>กลไกการออกฤทธิ์ของ fluoxetine คือข้อใด</t>
        </is>
      </c>
      <c r="C14" s="2" t="n"/>
      <c r="D14" s="2" t="inlineStr">
        <is>
          <t>ยับยั้งการทำงานของ DA transporter</t>
        </is>
      </c>
      <c r="E14" s="2" t="inlineStr">
        <is>
          <t>ยับยั้งการทำงานของ NE transporter</t>
        </is>
      </c>
      <c r="F14" s="2" t="inlineStr">
        <is>
          <t>ยับยั้งการทำงานของ 5-HT transporter</t>
        </is>
      </c>
      <c r="G14" s="2" t="inlineStr">
        <is>
          <t>ยับยั้งการทำงานของ MOA-A enzyme</t>
        </is>
      </c>
      <c r="H14" s="2" t="inlineStr">
        <is>
          <t>ยับยั้งการทำงานของ MOA-B enzyme</t>
        </is>
      </c>
      <c r="I14" s="8" t="inlineStr">
        <is>
          <t>3</t>
        </is>
      </c>
      <c r="J14" s="2" t="inlineStr">
        <is>
          <t>✅ คำตอบที่ถูกต้อง: ข้อ ค. ยับยั้งการทำงานของ 5-HT transporter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ยับยั้งการทำงานของ 5-HT transporter Fluoxetine เป็นยาในกลุ่ม SSRIs (Selective Serotonin Reuptake Inhibitors) มีกลไกหลักในการยับยั้งการทำงานของ Serotonin transporter (5-HT transporter) ทำให้มีระดับ Serotonin ใน synaptic cleft สูงขึ้น ตามแนวทางการรักษาโรคซึมเศร้า
🔍 ข้ออื่นผิดเพราะอะไร:
• ข้อ ก. (ยับยั้งการทำงานของ DA transporter): ข้อนี้ไม่ใช่คำตอบที่ถูกต้องสำหรับภาวะ Anxiety/depression เนื่องจากกลไกการออกฤทธิ์, efficacy หรือข้อบ่งใช้ไม่ตรงกับโจทย์ที่กำหนด
• ข้อ ข. (ยับยั้งการทำงานของ NE transporter): ข้อนี้ไม่ใช่คำตอบที่ถูกต้องสำหรับภาวะ Anxiety/depression เนื่องจากกลไกการออกฤทธิ์, efficacy หรือข้อบ่งใช้ไม่ตรงกับโจทย์ที่กำหนด
• ข้อ ง. (ยับยั้งการทำงานของ MOA-A enzyme): ข้อนี้ไม่ใช่คำตอบที่ถูกต้องสำหรับภาวะ Anxiety/depression เนื่องจากกลไกการออกฤทธิ์, efficacy หรือข้อบ่งใช้ไม่ตรงกับโจทย์ที่กำหนด
• ข้อ จ. (ยับยั้งการทำงานของ MOA-B enzyme):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4" s="2" t="n"/>
      <c r="L14" s="2" t="inlineStr">
        <is>
          <t>Anxiety/depression</t>
        </is>
      </c>
      <c r="M14" s="2" t="inlineStr">
        <is>
          <t>Clinic</t>
        </is>
      </c>
      <c r="N14" s="2" t="inlineStr">
        <is>
          <t>ข้อ 12 Pharma Plus เล่มม่วง (เฉลยข้อ ค)</t>
        </is>
      </c>
      <c r="O14" s="2" t="inlineStr">
        <is>
          <t>Mock</t>
        </is>
      </c>
      <c r="P14" s="2" t="inlineStr">
        <is>
          <t>Pharma Plus เล่มม่วง</t>
        </is>
      </c>
    </row>
    <row r="15" ht="13.2" customHeight="1" s="37">
      <c r="A15" s="8" t="inlineStr">
        <is>
          <t>13</t>
        </is>
      </c>
      <c r="B15" s="2"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ไม่สามารถดำเนินชีวิตประจำวันและทำงานได้เป็นเวลา 6 เดือน
ท่านคิดว่ายาที่เหมาะสมผู้ป่วย คือ</t>
        </is>
      </c>
      <c r="C15" s="2" t="n"/>
      <c r="D15" s="2" t="inlineStr">
        <is>
          <t>Lithium carbonate</t>
        </is>
      </c>
      <c r="E15" s="2" t="inlineStr">
        <is>
          <t>Clozapine</t>
        </is>
      </c>
      <c r="F15" s="2" t="inlineStr">
        <is>
          <t>Chlorpromazine</t>
        </is>
      </c>
      <c r="G15" s="2" t="inlineStr">
        <is>
          <t>Haloperidol</t>
        </is>
      </c>
      <c r="H15" s="2" t="inlineStr">
        <is>
          <t>Diazepam</t>
        </is>
      </c>
      <c r="I15" s="8" t="inlineStr">
        <is>
          <t>5</t>
        </is>
      </c>
      <c r="J15" s="2" t="inlineStr">
        <is>
          <t>✅ คำตอบที่ถูกต้อง: ข้อ จ. Diazepam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Diazepam ผู้ป่วย Generalized Anxiety Disorder (GAD) สามารถใช้ยาในกลุ่ม Benzodiazepines (เช่น Diazepam) สำหรับการรักษาแบบเฉียบพลันเพื่อลดอาการวิตกกังวล หรือกลุ่ม SSRIs/SNRIs เป็น First-line สำหรับการรักษาในระยะยาว ตามแนวทางปฏิบัติการรักษาโรคทางจิตเวช
🔍 ข้ออื่นผิดเพราะอะไร:
• ข้อ ก. (Lithium carbonate): ข้อนี้ไม่ใช่คำตอบที่ถูกต้องสำหรับภาวะ Anxiety/depression เนื่องจากกลไกการออกฤทธิ์, efficacy หรือข้อบ่งใช้ไม่ตรงกับโจทย์ที่กำหนด
• ข้อ ข. (Clozapine): เป็น atypical antipsychotic สำหรับ treatment-resistant schizophrenia ที่มี efficacy สูงสุด แต่มี black box warning เรื่อง agranulocytosis (ต้องตรวจ CBC สม่ำเสมอ), myocarditis และชัก
• ข้อ ค. (Chlorpromazine): ข้อนี้ไม่ใช่คำตอบที่ถูกต้องสำหรับภาวะ Anxiety/depression เนื่องจากกลไกการออกฤทธิ์, efficacy หรือข้อบ่งใช้ไม่ตรงกับโจทย์ที่กำหนด
• ข้อ ง. (Haloperidol): เป็น First-generation (typical) antipsychotic ยับยั้ง D2 receptor สูง เสี่ยงต่อ Extrapyramidal symptoms (EPS), acute dystonia, akathisia และ tardive dyskinesia สูง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5" s="2" t="n"/>
      <c r="L15" s="2" t="inlineStr">
        <is>
          <t>Anxiety/depression</t>
        </is>
      </c>
      <c r="M15" s="2" t="inlineStr">
        <is>
          <t>Clinic</t>
        </is>
      </c>
      <c r="N15" s="2" t="inlineStr">
        <is>
          <t>ข้อ 13 Pharma Plus เล่มม่วง (เฉลยข้อ จ)</t>
        </is>
      </c>
      <c r="O15" s="2" t="inlineStr">
        <is>
          <t>Mock</t>
        </is>
      </c>
      <c r="P15" s="2" t="inlineStr">
        <is>
          <t>Pharma Plus เล่มม่วง</t>
        </is>
      </c>
    </row>
    <row r="16" ht="13.2" customHeight="1" s="37">
      <c r="A16" s="8" t="inlineStr">
        <is>
          <t>14</t>
        </is>
      </c>
      <c r="B16" s="2" t="inlineStr">
        <is>
          <t>น้องชายของนายเอกมีอาการซึมเศร้าตลอดเวลา นายเอกพาไปพบแพทย์ แพทย์วินิจฉัยว่าเป็น major depressive disorder และสั่งจ่ายยาตัวหนึ่งให้ หลังจากที่รับประทานยาแล้วเกิดอาการง่วงนอน ปากคอแห้ง หน้ามืดบ่อยๆ เวลาลุกขึ้น ท่านคิดว่ายาที่น้องชายนายเอกได้รับ คือ</t>
        </is>
      </c>
      <c r="C16" s="2" t="n"/>
      <c r="D16" s="2" t="inlineStr">
        <is>
          <t>Venlafaxine</t>
        </is>
      </c>
      <c r="E16" s="2" t="inlineStr">
        <is>
          <t>Paroxetine</t>
        </is>
      </c>
      <c r="F16" s="2" t="inlineStr">
        <is>
          <t>Amitriptyline</t>
        </is>
      </c>
      <c r="G16" s="2" t="inlineStr">
        <is>
          <t>Bupropion</t>
        </is>
      </c>
      <c r="H16" s="2" t="inlineStr">
        <is>
          <t>Sertraline</t>
        </is>
      </c>
      <c r="I16" s="8" t="inlineStr">
        <is>
          <t>3</t>
        </is>
      </c>
      <c r="J16" s="2" t="inlineStr">
        <is>
          <t>✅ คำตอบที่ถูกต้อง: ข้อ ค. Amitriptyline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Amitriptyline อาการง่วงนอน (Sedation จาก H1 blockade), ปากคอแห้ง (Anticholinergic effect), และหน้ามืดเวียนหัวเวลาลุกขึ้น (Orthostatic hypotension จาก alpha-1 blockade) เป็น ADR จำเพาะของยากลุ่ม Tricyclic Antidepressants (TCAs) เช่น Amitriptyline
🔍 ข้ออื่นผิดเพราะอะไร:
• ข้อ ก. (Venlafaxine): ข้อนี้ไม่ใช่คำตอบที่ถูกต้องสำหรับภาวะ Anxiety/depression เนื่องจากกลไกการออกฤทธิ์, efficacy หรือข้อบ่งใช้ไม่ตรงกับโจทย์ที่กำหนด
• ข้อ ข. (Paroxetine): ข้อนี้ไม่ใช่คำตอบที่ถูกต้องสำหรับภาวะ Anxiety/depression เนื่องจากกลไกการออกฤทธิ์, efficacy หรือข้อบ่งใช้ไม่ตรงกับโจทย์ที่กำหนด
• ข้อ ง. (Bupropion): เป็น NDRI ใช้ช่วยเลิกบุหรี่และรักษาซึมเศร้า แต่มี contraindication ในผู้ป่วยประวัติชัก (seizure disorder) หรือ anorexia/bulimia nervosa
• ข้อ จ. (Sertraline):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6" s="2" t="n"/>
      <c r="L16" s="2" t="inlineStr">
        <is>
          <t>Anxiety/depression</t>
        </is>
      </c>
      <c r="M16" s="2" t="inlineStr">
        <is>
          <t>Clinic</t>
        </is>
      </c>
      <c r="N16" s="2" t="inlineStr">
        <is>
          <t>ข้อ 14 Pharma Plus เล่มม่วง (เฉลยข้อ ค)</t>
        </is>
      </c>
      <c r="O16" s="2" t="inlineStr">
        <is>
          <t>Mock</t>
        </is>
      </c>
      <c r="P16" s="2" t="inlineStr">
        <is>
          <t>Pharma Plus เล่มม่วง</t>
        </is>
      </c>
    </row>
    <row r="17" ht="13.2" customHeight="1" s="37">
      <c r="A17" s="8" t="inlineStr">
        <is>
          <t>15</t>
        </is>
      </c>
      <c r="B17" s="2" t="inlineStr">
        <is>
          <t>หากน้องชายของนายเอกทนอาการข้างเคียงของยาข้างต้น คือ อาการง่วงนอน ปากคอแห้ง หน้ามืดบ่อยๆ เวลาลุกขึ้นไม่ได้แพทย์จึงมาปรึกท่าน ท่านจะให้คำแนะนำเป็นการสั่งยาได้</t>
        </is>
      </c>
      <c r="C17" s="2" t="n"/>
      <c r="D17" s="2" t="inlineStr">
        <is>
          <t>Imipramine</t>
        </is>
      </c>
      <c r="E17" s="2" t="inlineStr">
        <is>
          <t>Clomipramine</t>
        </is>
      </c>
      <c r="F17" s="2" t="inlineStr">
        <is>
          <t>Amitriptyline</t>
        </is>
      </c>
      <c r="G17" s="2" t="inlineStr">
        <is>
          <t>Doxepin</t>
        </is>
      </c>
      <c r="H17" s="2" t="inlineStr">
        <is>
          <t>Sertraline</t>
        </is>
      </c>
      <c r="I17" s="8" t="inlineStr">
        <is>
          <t>5</t>
        </is>
      </c>
      <c r="J17" s="2" t="inlineStr">
        <is>
          <t>✅ คำตอบที่ถูกต้อง: ข้อ จ. Sertraline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Sertraline เมื่อผู้ป่วยไม่สามารถทนอาการข้างเคียงจากยากลุ่ม TCAs ได้ ควรเปลี่ยนไปใช้ยากลุ่มที่มี safety และอาการข้างเคียงจากระบบ Anticholinergic และ Autonomic น้อยกว่า เช่น SSRIs (เช่น Sertraline)
🔍 ข้ออื่นผิดเพราะอะไร:
• ข้อ ก. (Imipramine): ข้อนี้ไม่ใช่คำตอบที่ถูกต้องสำหรับภาวะ Anxiety/depression เนื่องจากกลไกการออกฤทธิ์, efficacy หรือข้อบ่งใช้ไม่ตรงกับโจทย์ที่กำหนด
• ข้อ ข. (Clomipramine): ข้อนี้ไม่ใช่คำตอบที่ถูกต้องสำหรับภาวะ Anxiety/depression เนื่องจากกลไกการออกฤทธิ์, efficacy หรือข้อบ่งใช้ไม่ตรงกับโจทย์ที่กำหนด
• ข้อ ค. (Amitriptyline): เป็น Tricyclic antidepressant (TCA) มี anticholinergic ADRs สูง, antihistaminic (ง่วงซึม น้ำหนักขึ้น), alpha-1 blockade (orthostatic hypotension) และเสี่ยงต่อ fatal cardiotoxicity เมื่อ overdose
• ข้อ ง. (Doxepin):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7" s="2" t="n"/>
      <c r="L17" s="2" t="inlineStr">
        <is>
          <t>Anxiety/depression</t>
        </is>
      </c>
      <c r="M17" s="2" t="inlineStr">
        <is>
          <t>Clinic</t>
        </is>
      </c>
      <c r="N17" s="2" t="inlineStr">
        <is>
          <t>ข้อ 15 Pharma Plus เล่มม่วง (เฉลยข้อ จ)</t>
        </is>
      </c>
      <c r="O17" s="2" t="inlineStr">
        <is>
          <t>Mock</t>
        </is>
      </c>
      <c r="P17" s="2" t="inlineStr">
        <is>
          <t>Pharma Plus เล่มม่วง</t>
        </is>
      </c>
    </row>
    <row r="18" ht="13.2" customHeight="1" s="37">
      <c r="A18" s="8" t="inlineStr">
        <is>
          <t>16</t>
        </is>
      </c>
      <c r="B18" s="2" t="inlineStr">
        <is>
          <t>คำแนะนำในการใช้ยากลุ่ม antidepressant ที่สำคัญเพื่อช่วยเพิ่มความร่วมมือในการใช้ยาของผู้ป่วย คือ</t>
        </is>
      </c>
      <c r="C18" s="2" t="n"/>
      <c r="D18" s="2" t="inlineStr">
        <is>
          <t>ควรแนะนำให้ผู้ป่วยใช้ยาหลังอาหารเท่านั้นจะได้ไม่ลืมใช้ยา</t>
        </is>
      </c>
      <c r="E18" s="2" t="inlineStr">
        <is>
          <t>ควรแนะนำผู้ป่วยว่าในการใช้ยาส่วนใหญ่ จะเริ่มเห็นผลลดอาการซึมเศร้าได้ต้องใช้เวลา 2-3 สัปดาห์ เพื่อให้ผู้ป่วยใช้ยาอย่างต่อเนื่อง</t>
        </is>
      </c>
      <c r="F18" s="2" t="inlineStr">
        <is>
          <t>ควรแนะนำให้ผู้ป่วยดื่มน้ำมากๆ เพื่อลดการระคายเคืองกระเพาะอาหาร</t>
        </is>
      </c>
      <c r="G18" s="2" t="inlineStr">
        <is>
          <t>ควรแนะนำการเพิ่มและลดขนาดยาให้ผู้ป่วยเพื่อให้ผู้ป่วยสามารถปรับขนาดยาได้เองตามอาการ</t>
        </is>
      </c>
      <c r="H18" s="2" t="inlineStr">
        <is>
          <t>ควรแนะนำให้ผู้ป่วยหยุดยาทันทีเมื่อเกิดอาการข้างเคียง เช่น นอนไม่หลับ</t>
        </is>
      </c>
      <c r="I18" s="8" t="inlineStr">
        <is>
          <t>2</t>
        </is>
      </c>
      <c r="J18" s="2" t="inlineStr">
        <is>
          <t>✅ คำตอบที่ถูกต้อง: ข้อ ข.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ยากลุ่ม Antidepressants มักต้องใช้เวลาออกฤทธิ์ทางคลินิกประมาณ 2-4 สัปดาห์ การให้คำแนะนำที่ถูกต้องเกี่ยวกับ Latent period จะช่วยให้ผู้ป่วยมีความตระหนักและมีความร่วมมือในการใช้ยาต่อเนื่องอย่างสม่ำเสมอ
🔍 ข้ออื่นผิดเพราะอะไร:
• ข้อ ก. (ควรแนะนำให้ผู้ป่วยใช้ยาหลังอาหารเท่านั้นจะได้ไม่ลืมใช้ยา): ข้อนี้ไม่ใช่คำตอบที่ถูกต้องสำหรับภาวะ Anxiety/depression เนื่องจากกลไกการออกฤทธิ์, efficacy หรือข้อบ่งใช้ไม่ตรงกับโจทย์ที่กำหนด
• ข้อ ค. (ควรแนะนำให้ผู้ป่วยดื่มน้ำมากๆ เพื่อลดการระคายเคืองกระเพาะอาหาร): ข้อนี้ไม่ใช่คำตอบที่ถูกต้องสำหรับภาวะ Anxiety/depression เนื่องจากกลไกการออกฤทธิ์, efficacy หรือข้อบ่งใช้ไม่ตรงกับโจทย์ที่กำหนด
• ข้อ ง. (ควรแนะนำการเพิ่มและลดขนาดยาให้ผู้ป่วยเพื่อให้ผู้ป่วยสามารถปรับขนาดยาได้เองตามอาการ): ข้อนี้ไม่ใช่คำตอบที่ถูกต้องสำหรับภาวะ Anxiety/depression เนื่องจากกลไกการออกฤทธิ์, efficacy หรือข้อบ่งใช้ไม่ตรงกับโจทย์ที่กำหนด
• ข้อ จ. (ควรแนะนำให้ผู้ป่วยหยุดยาทันทีเมื่อเกิดอาการข้างเคียง เช่น นอนไม่หลับ):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8" s="2" t="n"/>
      <c r="L18" s="2" t="inlineStr">
        <is>
          <t>Anxiety/depression</t>
        </is>
      </c>
      <c r="M18" s="2" t="inlineStr">
        <is>
          <t>Clinic</t>
        </is>
      </c>
      <c r="N18" s="2" t="inlineStr">
        <is>
          <t>ข้อ 16 Pharma Plus เล่มม่วง (เฉลยข้อ ข)</t>
        </is>
      </c>
      <c r="O18" s="2" t="inlineStr">
        <is>
          <t>Mock</t>
        </is>
      </c>
      <c r="P18" s="2" t="inlineStr">
        <is>
          <t>Pharma Plus เล่มม่วง</t>
        </is>
      </c>
    </row>
    <row r="19" ht="13.2" customHeight="1" s="37">
      <c r="A19" s="8" t="inlineStr">
        <is>
          <t>17</t>
        </is>
      </c>
      <c r="B19" s="2" t="inlineStr">
        <is>
          <t>กรณีที่ผู้ป่วยได้รับยากลุ่ม benzodiazepine ซึ่งผู้ป่วยรับประทานอย่างสม่ำเสมอเป็นเวลา 6 เดือน อาการของผู้ป่วยกลับมาเป็นปกติ หากท่านต้องการหยุดยากลวดกล่าวควรทำอย่างไร</t>
        </is>
      </c>
      <c r="C19" s="2" t="n"/>
      <c r="D19" s="2" t="inlineStr">
        <is>
          <t>สามารถหยุดได้ทันทีโดยไม่ต้องปรับเปลี่ยนขนาดยาใหม่</t>
        </is>
      </c>
      <c r="E19" s="2" t="inlineStr">
        <is>
          <t>ให้ triazolam ก่อนแล้วค่อยๆ ลดขนาดยาที่ผู้ป่วยรับอยู่สัปดาห์ละ 25% ของขนาดยาที่ให้ผลรักษา</t>
        </is>
      </c>
      <c r="F19" s="2" t="inlineStr">
        <is>
          <t>ให้ olanzapine ก่อนแล้วค่อยๆ บดขนาดยาที่ผู้ป่วยได้รับอยู่สัปดาห์ละ 75% ของยาที่ให้ผลรักษา</t>
        </is>
      </c>
      <c r="G19" s="2" t="inlineStr">
        <is>
          <t>ค่อยๆ ลดขนาดยาที่ผู้ป่วยได้รับอยู่สัปดาห์ละ 25% ของขนาดยาที่ให้ผลในการรักษา</t>
        </is>
      </c>
      <c r="H19" s="2" t="inlineStr">
        <is>
          <t>ให้ผู้ป่วยรับประทานยาที่ได้รับต่อไปอีก 1 สัปดาห์ จากนั้นจึงสามารถหยุดยาได้ทันที</t>
        </is>
      </c>
      <c r="I19" s="8" t="inlineStr">
        <is>
          <t>4</t>
        </is>
      </c>
      <c r="J19" s="2" t="inlineStr">
        <is>
          <t>✅ คำตอบที่ถูกต้อง: ข้อ ง. ค่อยๆ ลดขนาดยาที่ผู้ป่วยได้รับอยู่สัปดาห์ละ 25% ของขนาดยาที่ให้ผลในการรักษา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ค่อยๆ ลดขนาดยาที่ผู้ป่วยได้รับอยู่สัปดาห์ละ 25% ของขนาดยาที่ให้ผลในการรักษา การหยุดยากลุ่ม Benzodiazepines ที่ใช้มานานกว่า 2-4 สัปดาห์ ห้ามหยุดทันทีเนื่องจากอาจเกิด Withdrawal symptoms ได้ จำเป็นต้องใช้วิธี Tapering โดยค่อยๆ ลดขนาดยาลงประมาณ 20-25% ทุก 1-2 สัปดาห์
🔍 ข้ออื่นผิดเพราะอะไร:
• ข้อ ก. (สามารถหยุดได้ทันทีโดยไม่ต้องปรับเปลี่ยนขนาดยาใหม่): ข้อนี้ไม่ใช่คำตอบที่ถูกต้องสำหรับภาวะ Anxiety/depression เนื่องจากกลไกการออกฤทธิ์, efficacy หรือข้อบ่งใช้ไม่ตรงกับโจทย์ที่กำหนด
• ข้อ ข. (ให้ triazolam ก่อนแล้วค่อยๆ ลดขนาดยาที่ผู้ป่วยรับอยู่สัปดาห์ละ 25% ของขนาดยาที่ให้ผลรักษา): ข้อนี้ไม่ใช่คำตอบที่ถูกต้องสำหรับภาวะ Anxiety/depression เนื่องจากกลไกการออกฤทธิ์, efficacy หรือข้อบ่งใช้ไม่ตรงกับโจทย์ที่กำหนด
• ข้อ ค. (ให้ olanzapine ก่อนแล้วค่อยๆ บดขนาดยาที่ผู้ป่วยได้รับอยู่สัปดาห์ละ 75% ของยาที่ให้ผลรักษา): เป็น atypical antipsychotic ที่มี metabolic side effects สูงมาก (น้ำหนักเพิ่มขึ้นรุนแรง, hyperglycemia, dyslipidemia)
• ข้อ จ. (ให้ผู้ป่วยรับประทานยาที่ได้รับต่อไปอีก 1 สัปดาห์ จากนั้นจึงสามารถหยุดยาได้ทันที):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9" s="2" t="n"/>
      <c r="L19" s="2" t="inlineStr">
        <is>
          <t>Anxiety/depression</t>
        </is>
      </c>
      <c r="M19" s="2" t="inlineStr">
        <is>
          <t>Clinic</t>
        </is>
      </c>
      <c r="N19" s="2" t="inlineStr">
        <is>
          <t>ข้อ 17 Pharma Plus เล่มม่วง (เฉลยข้อ ง)</t>
        </is>
      </c>
      <c r="O19" s="2" t="inlineStr">
        <is>
          <t>Mock</t>
        </is>
      </c>
      <c r="P19" s="2" t="inlineStr">
        <is>
          <t>Pharma Plus เล่มม่วง</t>
        </is>
      </c>
    </row>
    <row r="20" ht="13.2" customHeight="1" s="37">
      <c r="A20" s="8" t="inlineStr">
        <is>
          <t>18</t>
        </is>
      </c>
      <c r="B20" s="2" t="inlineStr">
        <is>
          <t>สถานการณ์ที่ 4 หญิงไทยอายุ 45 ปี ช่วงนี้เครียดนอนไม่หลับมาหลายวัน ต้องใช้เวลานานกว่าจะหลับ
ยาใดเหมาะสมที่สุด เมื่อพิจารณาตามประสิทธิภาพ ข้อบ่งใช้ หรือค่าครึ่งชีวิต</t>
        </is>
      </c>
      <c r="C20" s="2" t="n"/>
      <c r="D20" s="2" t="inlineStr">
        <is>
          <t>Clonazepam</t>
        </is>
      </c>
      <c r="E20" s="2" t="inlineStr">
        <is>
          <t>Diazepam</t>
        </is>
      </c>
      <c r="F20" s="2" t="inlineStr">
        <is>
          <t>Flunitrazepam</t>
        </is>
      </c>
      <c r="G20" s="2" t="inlineStr">
        <is>
          <t>Lorazepam</t>
        </is>
      </c>
      <c r="H20" s="2" t="inlineStr">
        <is>
          <t>Temazepam</t>
        </is>
      </c>
      <c r="I20" s="8" t="inlineStr">
        <is>
          <t>5</t>
        </is>
      </c>
      <c r="J20" s="2" t="inlineStr">
        <is>
          <t>✅ คำตอบที่ถูกต้อง: ข้อ จ. Temazepam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Temazepam เป็น Benzodiazepine ที่มีค่าครึ่งชีวิตปานกลางถึงสั้น (intermediate-acting) เหมาะสำหรับรักษาอาการนอนไม่หลับ (sleep-onset และ sleep-maintenance insomnia) โดยลดอาการง่วงซึมในวันถัดไปเมื่อเทียบกับยาที่มีค่าครึ่งชีวิตยาว เช่น Diazepam หรือ Clonazepam
🔍 ข้ออื่นผิดเพราะอะไร:
• ข้อ ก. (Clonazepam): ข้อนี้ไม่ใช่คำตอบที่ถูกต้องสำหรับภาวะ Insomnia เนื่องจากกลไกการออกฤทธิ์, efficacy หรือข้อบ่งใช้ไม่ตรงกับโจทย์ที่กำหนด
• ข้อ ข. (Diazepam): เป็น long-acting Benzodiazepine มี active metabolites (nordiazepam) สะสมในผู้สูงอายุ ทำให้ง่วงซึม หกล้ม เสี่ยง fracture
• ข้อ ค. (Flunitrazepam): ข้อนี้ไม่ใช่คำตอบที่ถูกต้องสำหรับภาวะ Insomnia เนื่องจากกลไกการออกฤทธิ์, efficacy หรือข้อบ่งใช้ไม่ตรงกับโจทย์ที่กำหนด
• ข้อ ง. (Lorazepam): เป็น Benzodiazepine กลุ่ม LOT (Lorazepam, Oxazepam, Temazepam) ที่ผ่าน hepatic Phase II glucuronidation โดยตรง ไม่ผ่าน CYP oxidation จึงปลอดภัยกว่าในผู้สูงอายุและโรคตับ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n"/>
      <c r="L20" s="2" t="inlineStr">
        <is>
          <t>Insomnia</t>
        </is>
      </c>
      <c r="M20" s="2" t="inlineStr">
        <is>
          <t>Clinic</t>
        </is>
      </c>
      <c r="N20" s="2" t="inlineStr">
        <is>
          <t>ข้อ 18 Pharma Plus เล่มม่วง (เฉลยข้อ จ)</t>
        </is>
      </c>
      <c r="O20" s="2" t="inlineStr">
        <is>
          <t>Mock</t>
        </is>
      </c>
      <c r="P20" s="2" t="inlineStr">
        <is>
          <t>Pharma Plus เล่มม่วง</t>
        </is>
      </c>
    </row>
    <row r="21" ht="13.2" customHeight="1" s="37">
      <c r="A21" s="8" t="inlineStr">
        <is>
          <t>19</t>
        </is>
      </c>
      <c r="B21" s="2" t="inlineStr">
        <is>
          <t>กลไการออกฤทธิ์ของยากลุ่ม benzodiazepine คือ</t>
        </is>
      </c>
      <c r="C21" s="2" t="n"/>
      <c r="D21" s="2" t="inlineStr">
        <is>
          <t>กระตุ้น 5-HT receptor</t>
        </is>
      </c>
      <c r="E21" s="2" t="inlineStr">
        <is>
          <t>กระตุ้น dopamine receptor</t>
        </is>
      </c>
      <c r="F21" s="2" t="inlineStr">
        <is>
          <t>กระตุ้น GABA receptor</t>
        </is>
      </c>
      <c r="G21" s="2" t="inlineStr">
        <is>
          <t>กระตุ้น glutamate receptor</t>
        </is>
      </c>
      <c r="H21" s="2" t="inlineStr">
        <is>
          <t>กระตุ้น muscarinic receptor</t>
        </is>
      </c>
      <c r="I21" s="8" t="inlineStr">
        <is>
          <t>3</t>
        </is>
      </c>
      <c r="J21" s="2" t="inlineStr">
        <is>
          <t>✅ คำตอบที่ถูกต้อง: ข้อ ค. กระตุ้น GABA receptor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กระตุ้น GABA receptor ยากลุ่ม Benzodiazepine ออกฤทธิ์จับกับ GABAA receptor บนตำแหน่ง Allosteric site (Benzodiazepine receptor) ทำให้เพิ่มความถี่ในการเปิดของช่องคลอไรด์ (chloride ion channels) ส่งผลให้เกิด hyperpolarization และเพิ่มฤทธิ์ยับยั้งของ GABA
🔍 ข้ออื่นผิดเพราะอะไร:
• ข้อ ก. (กระตุ้น 5-HT receptor): ข้อนี้ไม่ใช่คำตอบที่ถูกต้องสำหรับภาวะ Anxiety/depression เนื่องจากกลไกการออกฤทธิ์, efficacy หรือข้อบ่งใช้ไม่ตรงกับโจทย์ที่กำหนด
• ข้อ ข. (กระตุ้น dopamine receptor): ข้อนี้ไม่ใช่คำตอบที่ถูกต้องสำหรับภาวะ Anxiety/depression เนื่องจากกลไกการออกฤทธิ์, efficacy หรือข้อบ่งใช้ไม่ตรงกับโจทย์ที่กำหนด
• ข้อ ง. (กระตุ้น glutamate receptor): ข้อนี้ไม่ใช่คำตอบที่ถูกต้องสำหรับภาวะ Anxiety/depression เนื่องจากกลไกการออกฤทธิ์, efficacy หรือข้อบ่งใช้ไม่ตรงกับโจทย์ที่กำหนด
• ข้อ จ. (กระตุ้น muscarinic receptor):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1" s="2" t="n"/>
      <c r="L21" s="2" t="inlineStr">
        <is>
          <t>Anxiety/depression</t>
        </is>
      </c>
      <c r="M21" s="2" t="inlineStr">
        <is>
          <t>Clinic</t>
        </is>
      </c>
      <c r="N21" s="2" t="inlineStr">
        <is>
          <t>ข้อ 19 Pharma Plus เล่มม่วง (เฉลยข้อ ค)</t>
        </is>
      </c>
      <c r="O21" s="2" t="inlineStr">
        <is>
          <t>Mock</t>
        </is>
      </c>
      <c r="P21" s="2" t="inlineStr">
        <is>
          <t>Pharma Plus เล่มม่วง</t>
        </is>
      </c>
    </row>
    <row r="22" ht="13.2" customHeight="1" s="37">
      <c r="A22" s="8" t="inlineStr">
        <is>
          <t>20</t>
        </is>
      </c>
      <c r="B22" s="2" t="inlineStr">
        <is>
          <t>Benzodiazepine ไม่ใช้ในการรักษาใด</t>
        </is>
      </c>
      <c r="C22" s="2" t="n"/>
      <c r="D22" s="2" t="inlineStr">
        <is>
          <t>Anxiety</t>
        </is>
      </c>
      <c r="E22" s="2" t="inlineStr">
        <is>
          <t>OCD</t>
        </is>
      </c>
      <c r="F22" s="2" t="inlineStr">
        <is>
          <t>Epilepsy</t>
        </is>
      </c>
      <c r="G22" s="2" t="inlineStr">
        <is>
          <t>Muscle spasm</t>
        </is>
      </c>
      <c r="H22" s="2" t="inlineStr">
        <is>
          <t>Alcohol withdrawal</t>
        </is>
      </c>
      <c r="I22" s="8" t="inlineStr">
        <is>
          <t>2</t>
        </is>
      </c>
      <c r="J22" s="2" t="inlineStr">
        <is>
          <t>✅ คำตอบที่ถูกต้อง: ข้อ ข. OCD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OCD Obsessive-Compulsive Disorder (OCD) รักษาด้วยยากลุ่ม SSRIs เป็นหลัก เนื่องจาก Benzodiazepine ไม่มี efficacy ในการรักษา OCD (แม้บางครั้งอาจใช้เสริมในระยะสั้นเพื่อลดความวิตกกังวลร่วม)
🔍 ข้ออื่นผิดเพราะอะไร:
• ข้อ ก. (Anxiety): ข้อนี้ไม่ใช่คำตอบที่ถูกต้องสำหรับภาวะ Anxiety/depression เนื่องจากกลไกการออกฤทธิ์, efficacy หรือข้อบ่งใช้ไม่ตรงกับโจทย์ที่กำหนด
• ข้อ ค. (Epilepsy): ข้อนี้ไม่ใช่คำตอบที่ถูกต้องสำหรับภาวะ Anxiety/depression เนื่องจากกลไกการออกฤทธิ์, efficacy หรือข้อบ่งใช้ไม่ตรงกับโจทย์ที่กำหนด
• ข้อ ง. (Muscle spasm): ข้อนี้ไม่ใช่คำตอบที่ถูกต้องสำหรับภาวะ Anxiety/depression เนื่องจากกลไกการออกฤทธิ์, efficacy หรือข้อบ่งใช้ไม่ตรงกับโจทย์ที่กำหนด
• ข้อ จ. (Alcohol withdrawal):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2" s="2" t="n"/>
      <c r="L22" s="2" t="inlineStr">
        <is>
          <t>Anxiety/depression</t>
        </is>
      </c>
      <c r="M22" s="2" t="inlineStr">
        <is>
          <t>Clinic</t>
        </is>
      </c>
      <c r="N22" s="2" t="inlineStr">
        <is>
          <t>ข้อ 20 Pharma Plus เล่มม่วง (เฉลยข้อ ข)</t>
        </is>
      </c>
      <c r="O22" s="2" t="inlineStr">
        <is>
          <t>Mock</t>
        </is>
      </c>
      <c r="P22" s="2" t="inlineStr">
        <is>
          <t>Pharma Plus เล่มม่วง</t>
        </is>
      </c>
    </row>
    <row r="23" ht="13.2" customHeight="1" s="37">
      <c r="A23" s="8" t="inlineStr">
        <is>
          <t>21</t>
        </is>
      </c>
      <c r="B23" s="2" t="inlineStr">
        <is>
          <t>อาการไม่พึงประสงค์ของ benzodiazepine คือ</t>
        </is>
      </c>
      <c r="C23" s="2" t="n"/>
      <c r="D23" s="2" t="inlineStr">
        <is>
          <t>ชัก</t>
        </is>
      </c>
      <c r="E23" s="2" t="inlineStr">
        <is>
          <t>Anterograde amnesia</t>
        </is>
      </c>
      <c r="F23" s="2" t="inlineStr">
        <is>
          <t>สั่น</t>
        </is>
      </c>
      <c r="G23" s="2" t="inlineStr">
        <is>
          <t>ปากแห้ง</t>
        </is>
      </c>
      <c r="H23" s="2" t="inlineStr">
        <is>
          <t>ปวดศีรษะ</t>
        </is>
      </c>
      <c r="I23" s="8" t="inlineStr">
        <is>
          <t>2</t>
        </is>
      </c>
      <c r="J23" s="2" t="inlineStr">
        <is>
          <t>✅ คำตอบที่ถูกต้อง: ข้อ ข. Anterograde amnesia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Anterograde amnesia (ภาวะสูญเสียความทรงจำเหตุการณ์ภายหลัง) เป็นผลข้างเคียงที่สำคัญทางระบบประสาทของ Benzodiazepine โดยเฉพาะยาที่มีความแรงสูงและออกฤทธิ์เร็ว
🔍 ข้ออื่นผิดเพราะอะไร:
• ข้อ ก. (ชัก): ข้อนี้ไม่ใช่คำตอบที่ถูกต้องสำหรับภาวะ Anxiety/depression เนื่องจากกลไกการออกฤทธิ์, efficacy หรือข้อบ่งใช้ไม่ตรงกับโจทย์ที่กำหนด
• ข้อ ค. (สั่น): ข้อนี้ไม่ใช่คำตอบที่ถูกต้องสำหรับภาวะ Anxiety/depression เนื่องจากกลไกการออกฤทธิ์, efficacy หรือข้อบ่งใช้ไม่ตรงกับโจทย์ที่กำหนด
• ข้อ ง. (ปากแห้ง): ข้อนี้ไม่ใช่คำตอบที่ถูกต้องสำหรับภาวะ Anxiety/depression เนื่องจากกลไกการออกฤทธิ์, efficacy หรือข้อบ่งใช้ไม่ตรงกับโจทย์ที่กำหนด
• ข้อ จ. (ปวดศีรษะ):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3" s="2" t="n"/>
      <c r="L23" s="2" t="inlineStr">
        <is>
          <t>Anxiety/depression</t>
        </is>
      </c>
      <c r="M23" s="2" t="inlineStr">
        <is>
          <t>Clinic</t>
        </is>
      </c>
      <c r="N23" s="2" t="inlineStr">
        <is>
          <t>ข้อ 21 Pharma Plus เล่มม่วง (เฉลยข้อ ข)</t>
        </is>
      </c>
      <c r="O23" s="2" t="inlineStr">
        <is>
          <t>Mock</t>
        </is>
      </c>
      <c r="P23" s="2" t="inlineStr">
        <is>
          <t>Pharma Plus เล่มม่วง</t>
        </is>
      </c>
    </row>
    <row r="24" ht="13.2" customHeight="1" s="37">
      <c r="A24" s="8" t="inlineStr">
        <is>
          <t>22</t>
        </is>
      </c>
      <c r="B24" s="2" t="inlineStr">
        <is>
          <t>ข้อใดไม่ถูกต้องเกี่ยวกับ benzodiazepine</t>
        </is>
      </c>
      <c r="C24" s="2" t="n"/>
      <c r="D24" s="2" t="inlineStr">
        <is>
          <t>ประสิทธิผลเท่ากัน diazepam มีราคาถูกกว่า แต่ประสิทธิผลดี</t>
        </is>
      </c>
      <c r="E24" s="2" t="inlineStr">
        <is>
          <t>Pharmacokinetics ต่างกัน แต่ประสิทธิผลไม่ต่างกัน ถ้าไม่มีโรคประจำตัวไต diazepam สามารถใช้ได้</t>
        </is>
      </c>
      <c r="F24" s="2" t="inlineStr">
        <is>
          <t>ยาออกฤทธิ์ต่อจิตประสาท แต่ปลอดภัยมี therapeutic index กว้าง</t>
        </is>
      </c>
      <c r="G24" s="2" t="inlineStr">
        <is>
          <t>ใช้ยาในขนาดสูงเป็นเวลานาน ค่อยๆลดขนาดยาลงใน 1-2 สัปดาห์</t>
        </is>
      </c>
      <c r="H24" s="2" t="inlineStr">
        <is>
          <t>สามารถหยุดยาได้ทันที</t>
        </is>
      </c>
      <c r="I24" s="8" t="inlineStr">
        <is>
          <t>5</t>
        </is>
      </c>
      <c r="J24" s="2" t="inlineStr">
        <is>
          <t>✅ คำตอบที่ถูกต้อง: ข้อ จ. สามารถหยุดยาได้ทันที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สามารถหยุดยาได้ทันที การหยุดยากลุ่ม Benzodiazepine ทันทีหลังใช้ต่อเนื่องเป็นเวลานานจะทำให้เกิดอาการถอนยา (withdrawal symptoms) จึงไม่ควรหยุดยาฉับพลัน แต่ต้องค่อยๆ ลดขนาดยาลง (tapering)
🔍 ข้ออื่นผิดเพราะอะไร:
• ข้อ ก. (ประสิทธิผลเท่ากัน diazepam มีราคาถูกกว่า แต่ประสิทธิผลดี): เป็น long-acting Benzodiazepine มี active metabolites (nordiazepam) สะสมในผู้สูงอายุ ทำให้ง่วงซึม หกล้ม เสี่ยง fracture
• ข้อ ข. (Pharmacokinetics ต่างกัน แต่ประสิทธิผลไม่ต่างกัน ถ้าไม่มีโรคประจำตัวไต diazepam สามารถใช้ได้): เป็น long-acting Benzodiazepine มี active metabolites (nordiazepam) สะสมในผู้สูงอายุ ทำให้ง่วงซึม หกล้ม เสี่ยง fracture
• ข้อ ค. (ยาออกฤทธิ์ต่อจิตประสาท แต่ปลอดภัยมี therapeutic index กว้าง): ข้อนี้ไม่ใช่คำตอบที่ถูกต้องสำหรับภาวะ Anxiety/depression เนื่องจากกลไกการออกฤทธิ์, efficacy หรือข้อบ่งใช้ไม่ตรงกับโจทย์ที่กำหนด
• ข้อ ง. (ใช้ยาในขนาดสูงเป็นเวลานาน ค่อยๆลดขนาดยาลงใน 1-2 สัปดาห์):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4" s="2" t="n"/>
      <c r="L24" s="2" t="inlineStr">
        <is>
          <t>Anxiety/depression</t>
        </is>
      </c>
      <c r="M24" s="2" t="inlineStr">
        <is>
          <t>Clinic</t>
        </is>
      </c>
      <c r="N24" s="2" t="inlineStr">
        <is>
          <t>ข้อ 22 Pharma Plus เล่มม่วง (เฉลยข้อ จ)</t>
        </is>
      </c>
      <c r="O24" s="2" t="inlineStr">
        <is>
          <t>Mock</t>
        </is>
      </c>
      <c r="P24" s="2" t="inlineStr">
        <is>
          <t>Pharma Plus เล่มม่วง</t>
        </is>
      </c>
    </row>
    <row r="25" ht="13.2" customHeight="1" s="37">
      <c r="A25" s="8" t="inlineStr">
        <is>
          <t>23</t>
        </is>
      </c>
      <c r="B25" s="2" t="inlineStr">
        <is>
          <t>หากใช้ยากลุ่ม benzodiazepine พร้อมกับ alcohol จะเกิดผลอย่างไร</t>
        </is>
      </c>
      <c r="C25" s="2" t="n"/>
      <c r="D25" s="2" t="inlineStr">
        <is>
          <t>Flu-like symptoms</t>
        </is>
      </c>
      <c r="E25" s="2" t="inlineStr">
        <is>
          <t>Vasodilation</t>
        </is>
      </c>
      <c r="F25" s="2" t="inlineStr">
        <is>
          <t>เพิ่ม half life ของยา</t>
        </is>
      </c>
      <c r="G25" s="2" t="inlineStr">
        <is>
          <t>Respiratory depressions</t>
        </is>
      </c>
      <c r="H25" s="2" t="inlineStr">
        <is>
          <t>Vomiting</t>
        </is>
      </c>
      <c r="I25" s="8" t="inlineStr">
        <is>
          <t>4</t>
        </is>
      </c>
      <c r="J25" s="2" t="inlineStr">
        <is>
          <t>✅ คำตอบที่ถูกต้อง: ข้อ ง. Respiratory depressions
💡 Background:
การบริบาลผู้ป่วยในกลุ่มโรค Drug &amp; alcohol abuse มุ่งเน้นการควบคุมโรคและลดความเสี่ยงต่อภาวะแทรกซ้อนด้วย evidence-based pharmacotherapy
🎯 ทำไมข้อนี้ถึงถูก:
Respiratory depressions การใช้ Benzodiazepine ร่วมกับแอลกอฮอล์จะเกิดปฏิกิริยาเสริมฤทธิ์กันในระบบประสาทส่วนกลาง (CNS depression) อย่างรุนแรง ทำให้เกิดภาวะกดการหายใจ (Respiratory depression) ซึ่งอาจถึงแก่ชีวิตได้
🔍 ข้ออื่นผิดเพราะอะไร:
• ข้อ ก. (Flu-like symptoms): ข้อนี้ไม่ใช่คำตอบที่ถูกต้องสำหรับภาวะ Drug &amp; alcohol abuse เนื่องจากกลไกการออกฤทธิ์, efficacy หรือข้อบ่งใช้ไม่ตรงกับโจทย์ที่กำหนด
• ข้อ ข. (Vasodilation): ข้อนี้ไม่ใช่คำตอบที่ถูกต้องสำหรับภาวะ Drug &amp; alcohol abuse เนื่องจากกลไกการออกฤทธิ์, efficacy หรือข้อบ่งใช้ไม่ตรงกับโจทย์ที่กำหนด
• ข้อ ค. (เพิ่ม half life ของยา): ข้อนี้ไม่ใช่คำตอบที่ถูกต้องสำหรับภาวะ Drug &amp; alcohol abuse เนื่องจากกลไกการออกฤทธิ์, efficacy หรือข้อบ่งใช้ไม่ตรงกับโจทย์ที่กำหนด
• ข้อ จ. (Vomiting): ข้อนี้ไม่ใช่คำตอบที่ถูกต้องสำหรับภาวะ Drug &amp; alcohol abuse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Drug &amp; alcohol abuse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2" t="n"/>
      <c r="L25" s="2" t="inlineStr">
        <is>
          <t>Drug &amp; alcohol abuse</t>
        </is>
      </c>
      <c r="M25" s="2" t="inlineStr">
        <is>
          <t>Clinic</t>
        </is>
      </c>
      <c r="N25" s="2" t="inlineStr">
        <is>
          <t>ข้อ 23 Pharma Plus เล่มม่วง (เฉลยข้อ ง)</t>
        </is>
      </c>
      <c r="O25" s="2" t="inlineStr">
        <is>
          <t>Mock</t>
        </is>
      </c>
      <c r="P25" s="2" t="inlineStr">
        <is>
          <t>Pharma Plus เล่มม่วง</t>
        </is>
      </c>
    </row>
    <row r="26" ht="13.2" customHeight="1" s="37">
      <c r="A26" s="8" t="inlineStr">
        <is>
          <t>24</t>
        </is>
      </c>
      <c r="B26" s="2" t="inlineStr">
        <is>
          <t>ข้อใดถูกต้องเกี่ยวกับการใช้ยาในกลุ่ม benzodiazepine เป็นเวลานาน</t>
        </is>
      </c>
      <c r="C26" s="2" t="n"/>
      <c r="D26" s="2" t="inlineStr">
        <is>
          <t>สามารถหยุดยาได้ทันที</t>
        </is>
      </c>
      <c r="E26" s="2" t="inlineStr">
        <is>
          <t>หากจะหยุดยา ให้รับประทานต่อในขนาดเดิมอีก 10 วัน แล้วจึงหยุดยา</t>
        </is>
      </c>
      <c r="F26" s="2" t="inlineStr">
        <is>
          <t>หากจะหยุดยา ให้รับประทานต่อในขนาดลดลงครึ่งหนึ่งอีก 10 วัน แล้วจึงหยุดยา</t>
        </is>
      </c>
      <c r="G26" s="2" t="inlineStr">
        <is>
          <t>หากจะหยุดยา ให้ลดขนาดยาลง 25% ทุกๆ 3-7 วัน</t>
        </is>
      </c>
      <c r="H26" s="2" t="inlineStr">
        <is>
          <t>ทำให้ติดยาทางใจ</t>
        </is>
      </c>
      <c r="I26" s="8" t="inlineStr">
        <is>
          <t>4</t>
        </is>
      </c>
      <c r="J26" s="2" t="inlineStr">
        <is>
          <t>✅ คำตอบที่ถูกต้อง: ข้อ ง. หากจะหยุดยา ให้ลดขนาดยาลง 25% ทุกๆ 3-7 วัน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หากจะหยุดยา ให้ลดขนาดยาลง 25% ทุกๆ 3-7 วัน ตามแนวทางการปฏิบัติทางคลินิก การถอนยา Benzodiazepine ที่ใช้มานานควรลดขนาดยาลงประมาณ 20-25% ทุกๆ 1-2 สัปดาห์ (หรือ 3-7 วันตามบริบทข้อสอบ) เพื่อป้องกันอาการถอนยา (Withdrawal syndrome)
🔍 ข้ออื่นผิดเพราะอะไร:
• ข้อ ก. (สามารถหยุดยาได้ทันที): ข้อนี้ไม่ใช่คำตอบที่ถูกต้องสำหรับภาวะ Anxiety/depression เนื่องจากกลไกการออกฤทธิ์, efficacy หรือข้อบ่งใช้ไม่ตรงกับโจทย์ที่กำหนด
• ข้อ ข. (หากจะหยุดยา ให้รับประทานต่อในขนาดเดิมอีก 10 วัน แล้วจึงหยุดยา): ข้อนี้ไม่ใช่คำตอบที่ถูกต้องสำหรับภาวะ Anxiety/depression เนื่องจากกลไกการออกฤทธิ์, efficacy หรือข้อบ่งใช้ไม่ตรงกับโจทย์ที่กำหนด
• ข้อ ค. (หากจะหยุดยา ให้รับประทานต่อในขนาดลดลงครึ่งหนึ่งอีก 10 วัน แล้วจึงหยุดยา): ข้อนี้ไม่ใช่คำตอบที่ถูกต้องสำหรับภาวะ Anxiety/depression เนื่องจากกลไกการออกฤทธิ์, efficacy หรือข้อบ่งใช้ไม่ตรงกับโจทย์ที่กำหนด
• ข้อ จ. (ทำให้ติดยาทางใจ):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6" s="2" t="n"/>
      <c r="L26" s="2" t="inlineStr">
        <is>
          <t>Anxiety/depression</t>
        </is>
      </c>
      <c r="M26" s="2" t="inlineStr">
        <is>
          <t>Clinic</t>
        </is>
      </c>
      <c r="N26" s="2" t="inlineStr">
        <is>
          <t>ข้อ 24 Pharma Plus เล่มม่วง (เฉลยข้อ ง)</t>
        </is>
      </c>
      <c r="O26" s="2" t="inlineStr">
        <is>
          <t>Mock</t>
        </is>
      </c>
      <c r="P26" s="2" t="inlineStr">
        <is>
          <t>Pharma Plus เล่มม่วง</t>
        </is>
      </c>
    </row>
    <row r="27" ht="13.2" customHeight="1" s="37">
      <c r="A27" s="8" t="inlineStr">
        <is>
          <t>25</t>
        </is>
      </c>
      <c r="B27"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ข้อใดผิด</t>
        </is>
      </c>
      <c r="C27" s="2" t="n"/>
      <c r="D27" s="2" t="inlineStr">
        <is>
          <t>มีอาการทาง negative symptoms</t>
        </is>
      </c>
      <c r="E27" s="2" t="inlineStr">
        <is>
          <t>เกิดจากความผิดปกติของสารสื่อประสาท เช่น dopamine ซึ่งเชื่อว่าอาจเกี่ยวข้องกับพันธุกรรมด้วย</t>
        </is>
      </c>
      <c r="F27" s="2" t="inlineStr">
        <is>
          <t>จำเป็นต้องรักษาสภาพจิตใจร่วมด้วย</t>
        </is>
      </c>
      <c r="G27" s="2" t="inlineStr">
        <is>
          <t>เกิดจากความผิดปกติที่ nigrostriatal tract/extrapyramidal pathway</t>
        </is>
      </c>
      <c r="H27" s="2" t="inlineStr">
        <is>
          <t>มีจำนวนของ D-receptor เพิ่มมากขึ้น</t>
        </is>
      </c>
      <c r="I27" s="8" t="inlineStr">
        <is>
          <t>4</t>
        </is>
      </c>
      <c r="J27" s="2" t="inlineStr">
        <is>
          <t>✅ คำตอบที่ถูกต้อง: ข้อ ง. เกิดจากความผิดปกติที่ nigrostriatal tract/extrapyramidal pathway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เกิดจากความผิดปกติที่ nigrostriatal tract/extrapyramidal pathway อาการ negative symptoms ของ schizophrenia เกิดจากความผิดปกติของ mesocortical pathway (Dopamine hypofunction) ไม่ใช่ nigrostriatal pathway ซึ่งเกี่ยวข้องกับ extrapyramidal side effects (EPS) จากยาต้านโรคจิต
🔍 ข้ออื่นผิดเพราะอะไร:
• ข้อ ก. (มีอาการทาง negative symptoms): ข้อนี้ไม่ใช่คำตอบที่ถูกต้องสำหรับภาวะ Anxiety/depression เนื่องจากกลไกการออกฤทธิ์, efficacy หรือข้อบ่งใช้ไม่ตรงกับโจทย์ที่กำหนด
• ข้อ ข. (เกิดจากความผิดปกติของสารสื่อประสาท เช่น dopamine ซึ่งเชื่อว่าอาจเกี่ยวข้องกับพันธุกรรมด้วย): ข้อนี้ไม่ใช่คำตอบที่ถูกต้องสำหรับภาวะ Anxiety/depression เนื่องจากกลไกการออกฤทธิ์, efficacy หรือข้อบ่งใช้ไม่ตรงกับโจทย์ที่กำหนด
• ข้อ ค. (จำเป็นต้องรักษาสภาพจิตใจร่วมด้วย): ข้อนี้ไม่ใช่คำตอบที่ถูกต้องสำหรับภาวะ Anxiety/depression เนื่องจากกลไกการออกฤทธิ์, efficacy หรือข้อบ่งใช้ไม่ตรงกับโจทย์ที่กำหนด
• ข้อ จ. (มีจำนวนของ D-receptor เพิ่มมากขึ้น):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7" s="2" t="n"/>
      <c r="L27" s="2" t="inlineStr">
        <is>
          <t>Anxiety/depression</t>
        </is>
      </c>
      <c r="M27" s="2" t="inlineStr">
        <is>
          <t>Clinic</t>
        </is>
      </c>
      <c r="N27" s="2" t="inlineStr">
        <is>
          <t>ข้อ 25 Pharma Plus เล่มม่วง (เฉลยข้อ ง)</t>
        </is>
      </c>
      <c r="O27" s="2" t="inlineStr">
        <is>
          <t>Mock</t>
        </is>
      </c>
      <c r="P27" s="2" t="inlineStr">
        <is>
          <t>Pharma Plus เล่มม่วง</t>
        </is>
      </c>
    </row>
    <row r="28" ht="13.2" customHeight="1" s="37">
      <c r="A28" s="8" t="inlineStr">
        <is>
          <t>26</t>
        </is>
      </c>
      <c r="B28"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ยาที่เหมาะสมกับผู้ป่วยรายนี้ คือ</t>
        </is>
      </c>
      <c r="C28" s="2" t="n"/>
      <c r="D28" s="2" t="inlineStr">
        <is>
          <t>Haloperidol, Clozapine</t>
        </is>
      </c>
      <c r="E28" s="2" t="inlineStr">
        <is>
          <t>Chlorpromazine, Clozapine</t>
        </is>
      </c>
      <c r="F28" s="2" t="inlineStr">
        <is>
          <t>Risperidone, Quetiapine</t>
        </is>
      </c>
      <c r="G28" s="2" t="inlineStr">
        <is>
          <t>Thioridazine, Fluphenazine</t>
        </is>
      </c>
      <c r="H28" s="2" t="inlineStr">
        <is>
          <t>Perphenazine, Olanzapine</t>
        </is>
      </c>
      <c r="I28" s="8" t="inlineStr">
        <is>
          <t>1</t>
        </is>
      </c>
      <c r="J28" s="2" t="inlineStr">
        <is>
          <t>✅ คำตอบที่ถูกต้อง: ข้อ ก. Haloperidol, Clozapine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Haloperidol, Clozapine ผู้ป่วยรายนี้มีอาการ negative symptoms และอาจดื้อยา การเลือกใช้ Second-generation (atypical) antipsychotics เช่น Risperidone หรือ Quetiapine รวมถึง Clozapine (กรณีดื้อยา) จะมีความเหมาะสมกว่า FGA เนื่องจากครอบคลุมทั้ง positive และ negative symptoms และเกิด EPS น้อยกว่า
 เป็น First-generation (typical) antipsychotic ยับยั้ง D2 receptor สูง เสี่ยงต่อ Extrapyramidal symptoms (EPS), acute dystonia, akathisia และ tardive dyskinesia สูง
🔍 ข้ออื่นผิดเพราะอะไร:
• ข้อ ข. (Chlorpromazine, Clozapine): เป็น atypical antipsychotic สำหรับ treatment-resistant schizophrenia ที่มี efficacy สูงสุด แต่มี black box warning เรื่อง agranulocytosis (ต้องตรวจ CBC สม่ำเสมอ), myocarditis และชัก
• ข้อ ค. (Risperidone, Quetiapine): เป็น Second-generation (atypical) antipsychotic ยับยั้ง 5-HT2A/D2 เสี่ยง EPS ต่ำกว่า typical APs แต่เพิ่มระดับ prolactin สูงสุดในกลุ่ม atypical (gynecomastia, amenorrhea)
• ข้อ ง. (Thioridazine, Fluphenazine): ข้อนี้ไม่ใช่คำตอบที่ถูกต้องสำหรับภาวะ Anxiety/depression เนื่องจากกลไกการออกฤทธิ์, efficacy หรือข้อบ่งใช้ไม่ตรงกับโจทย์ที่กำหนด
• ข้อ จ. (Perphenazine, Olanzapine): เป็น atypical antipsychotic ที่มี metabolic side effects สูงมาก (น้ำหนักเพิ่มขึ้นรุนแรง, hyperglycemia, dyslipidemia)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8" s="2" t="n"/>
      <c r="L28" s="2" t="inlineStr">
        <is>
          <t>Anxiety/depression</t>
        </is>
      </c>
      <c r="M28" s="2" t="inlineStr">
        <is>
          <t>Clinic</t>
        </is>
      </c>
      <c r="N28" s="2" t="inlineStr">
        <is>
          <t>ข้อ 26 Pharma Plus เล่มม่วง (เฉลยข้อ )</t>
        </is>
      </c>
      <c r="O28" s="2" t="inlineStr">
        <is>
          <t>Mock</t>
        </is>
      </c>
      <c r="P28" s="2" t="inlineStr">
        <is>
          <t>Pharma Plus เล่มม่วง</t>
        </is>
      </c>
    </row>
    <row r="29" ht="13.2" customHeight="1" s="37">
      <c r="A29" s="8" t="inlineStr">
        <is>
          <t>27</t>
        </is>
      </c>
      <c r="B29"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ข้อใดไม่ใช่ผลอันไม่พึงประสงค์ของยา clozapine</t>
        </is>
      </c>
      <c r="C29" s="2" t="n"/>
      <c r="D29" s="2" t="inlineStr">
        <is>
          <t>Agranulocytosis</t>
        </is>
      </c>
      <c r="E29" s="2" t="inlineStr">
        <is>
          <t>Weight loss</t>
        </is>
      </c>
      <c r="F29" s="2" t="inlineStr">
        <is>
          <t>Orthostatic hypotension</t>
        </is>
      </c>
      <c r="G29" s="2" t="inlineStr">
        <is>
          <t>Sedative</t>
        </is>
      </c>
      <c r="H29" s="2" t="inlineStr">
        <is>
          <t>Potential QT-prolongation</t>
        </is>
      </c>
      <c r="I29" s="8" t="inlineStr">
        <is>
          <t>2</t>
        </is>
      </c>
      <c r="J29" s="2" t="inlineStr">
        <is>
          <t>✅ คำตอบที่ถูกต้อง: ข้อ ข. Weight loss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Weight loss Clozapine ทำให้เกิดน้ำหนักเพิ่มขึ้น (Weight gain) อย่างมาก ไม่ใช่ Weight loss นอกจากนี้ยังมีผลข้างเคียงสำคัญคือ Agranulocytosis, Sedation, Orthostatic hypotension และสามารถทำให้เกิด QT prolongation ได้
🔍 ข้ออื่นผิดเพราะอะไร:
• ข้อ ก. (Agranulocytosis): ข้อนี้ไม่ใช่คำตอบที่ถูกต้องสำหรับภาวะ Anxiety/depression เนื่องจากกลไกการออกฤทธิ์, efficacy หรือข้อบ่งใช้ไม่ตรงกับโจทย์ที่กำหนด
• ข้อ ค. (Orthostatic hypotension): ข้อนี้ไม่ใช่คำตอบที่ถูกต้องสำหรับภาวะ Anxiety/depression เนื่องจากกลไกการออกฤทธิ์, efficacy หรือข้อบ่งใช้ไม่ตรงกับโจทย์ที่กำหนด
• ข้อ ง. (Sedative): ข้อนี้ไม่ใช่คำตอบที่ถูกต้องสำหรับภาวะ Anxiety/depression เนื่องจากกลไกการออกฤทธิ์, efficacy หรือข้อบ่งใช้ไม่ตรงกับโจทย์ที่กำหนด
• ข้อ จ. (Potential QT-prolongation):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29" s="2" t="n"/>
      <c r="L29" s="2" t="inlineStr">
        <is>
          <t>Anxiety/depression</t>
        </is>
      </c>
      <c r="M29" s="2" t="inlineStr">
        <is>
          <t>Clinic</t>
        </is>
      </c>
      <c r="N29" s="2" t="inlineStr">
        <is>
          <t>ข้อ 27 Pharma Plus เล่มม่วง (เฉลยข้อ ข)</t>
        </is>
      </c>
      <c r="O29" s="2" t="inlineStr">
        <is>
          <t>Mock</t>
        </is>
      </c>
      <c r="P29" s="2" t="inlineStr">
        <is>
          <t>Pharma Plus เล่มม่วง</t>
        </is>
      </c>
    </row>
    <row r="30" ht="13.2" customHeight="1" s="37">
      <c r="A30" s="8" t="inlineStr">
        <is>
          <t>28</t>
        </is>
      </c>
      <c r="B30" s="2" t="inlineStr">
        <is>
          <t>ข้อมูลเพิ่มเติม: เดิมผู้ป่วยรักษาด้วยยา haloperidol มานานจนกระทั่งตรวจพบว่าเกิดภาวะ pseudo-parkinsonism ขึ้น
ข้อใดผิด</t>
        </is>
      </c>
      <c r="C30" s="2" t="n"/>
      <c r="D30" s="2" t="inlineStr">
        <is>
          <t>เกิดจากการใช้ยากลุ่ม conventional antipsychotic</t>
        </is>
      </c>
      <c r="E30" s="2" t="inlineStr">
        <is>
          <t>สามารถรักษาได้ด้วยการใช้ trihexyphenidyl</t>
        </is>
      </c>
      <c r="F30" s="2" t="inlineStr">
        <is>
          <t>ผู้ป่วยอาจมีอาการ tremor, akathisia, tardive dyskinesia ร่วมด้วยได้</t>
        </is>
      </c>
      <c r="G30" s="2" t="inlineStr">
        <is>
          <t>มักเกิดในช่วง 5-90 วัน หลังจากเริ่มใช้ยา</t>
        </is>
      </c>
      <c r="H30" s="2" t="inlineStr">
        <is>
          <t>เกี่ยวข้องกับ dopamine และ NE</t>
        </is>
      </c>
      <c r="I30" s="8" t="inlineStr">
        <is>
          <t>5</t>
        </is>
      </c>
      <c r="J30" s="2" t="inlineStr">
        <is>
          <t>✅ คำตอบที่ถูกต้อง: ข้อ จ. เกี่ยวข้องกับ dopamine และ 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เกี่ยวข้องกับ dopamine และ NE Pseudo-parkinsonism และ EPS ส่วนใหญ่เกี่ยวข้องกับการบล็อก Dopamine receptors ที่ nigrostriatal pathway โดยตรง (Dopamine blockade) ไม่ได้เกี่ยวข้องกับ Norepinephrine (NE) หลัก และ tardive dyskinesia เป็นภาวะระยะยาวที่ต่างจาก acute EPS
🔍 ข้ออื่นผิดเพราะอะไร:
• ข้อ ก. (เกิดจากการใช้ยากลุ่ม conventional antipsychotic): ข้อนี้ไม่ใช่คำตอบที่ถูกต้องสำหรับภาวะ Anxiety/depression เนื่องจากกลไกการออกฤทธิ์, efficacy หรือข้อบ่งใช้ไม่ตรงกับโจทย์ที่กำหนด
• ข้อ ข. (สามารถรักษาได้ด้วยการใช้ trihexyphenidyl): เป็น centrally-acting anticholinergic ช่วยลด tremor ใน Parkinson disease แต่มี ADR ปากแห้ง ตาพร่า ท้องผูก ปัสสาวะคั่ง และ cognitive impairment ในผู้สูงอายุ
• ข้อ ค. (ผู้ป่วยอาจมีอาการ tremor, akathisia, tardive dyskinesia ร่วมด้วยได้): ข้อนี้ไม่ใช่คำตอบที่ถูกต้องสำหรับภาวะ Anxiety/depression เนื่องจากกลไกการออกฤทธิ์, efficacy หรือข้อบ่งใช้ไม่ตรงกับโจทย์ที่กำหนด
• ข้อ ง. (มักเกิดในช่วง 5-90 วัน หลังจากเริ่มใช้ยา):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30" s="2" t="n"/>
      <c r="L30" s="2" t="inlineStr">
        <is>
          <t>Anxiety/depression</t>
        </is>
      </c>
      <c r="M30" s="2" t="inlineStr">
        <is>
          <t>Clinic</t>
        </is>
      </c>
      <c r="N30" s="2" t="inlineStr">
        <is>
          <t>ข้อ 28 Pharma Plus เล่มม่วง (เฉลยข้อ จ)</t>
        </is>
      </c>
      <c r="O30" s="2" t="inlineStr">
        <is>
          <t>Mock</t>
        </is>
      </c>
      <c r="P30" s="2" t="inlineStr">
        <is>
          <t>Pharma Plus เล่มม่วง</t>
        </is>
      </c>
    </row>
    <row r="31" ht="13.2" customHeight="1" s="37">
      <c r="A31" s="8" t="inlineStr">
        <is>
          <t>29</t>
        </is>
      </c>
      <c r="B31" s="2" t="inlineStr">
        <is>
          <t>Lorazepam มีฤทธิ์ต่างๆ ต่อไปนี้นยกเว้น</t>
        </is>
      </c>
      <c r="C31" s="2" t="n"/>
      <c r="D31" s="2" t="inlineStr">
        <is>
          <t>Hypnotic effect</t>
        </is>
      </c>
      <c r="E31" s="2" t="inlineStr">
        <is>
          <t>Muscle relaxant effect</t>
        </is>
      </c>
      <c r="F31" s="2" t="inlineStr">
        <is>
          <t>Anticonvulsant effect</t>
        </is>
      </c>
      <c r="G31" s="2" t="inlineStr">
        <is>
          <t>Antianxiety effect</t>
        </is>
      </c>
      <c r="H31" s="2" t="inlineStr">
        <is>
          <t>Antidepressant effect</t>
        </is>
      </c>
      <c r="I31" s="8" t="inlineStr">
        <is>
          <t>5</t>
        </is>
      </c>
      <c r="J31" s="2" t="inlineStr">
        <is>
          <t>✅ คำตอบที่ถูกต้อง: ข้อ จ. Antidepressant effect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Antidepressant effect Lorazepam เป็นยากลุ่ม Benzodiazepine มีฤทธิ์ Anxiolytic, Sedative/Hypnotic, Muscle relaxant และ Anticonvulsant แต่ไม่มีฤทธิ์ต้านเศร้า (Antidepressant effect)
🔍 ข้ออื่นผิดเพราะอะไร:
• ข้อ ก. (Hypnotic effect): ข้อนี้ไม่ใช่คำตอบที่ถูกต้องสำหรับภาวะ Insomnia เนื่องจากกลไกการออกฤทธิ์, efficacy หรือข้อบ่งใช้ไม่ตรงกับโจทย์ที่กำหนด
• ข้อ ข. (Muscle relaxant effect): ข้อนี้ไม่ใช่คำตอบที่ถูกต้องสำหรับภาวะ Insomnia เนื่องจากกลไกการออกฤทธิ์, efficacy หรือข้อบ่งใช้ไม่ตรงกับโจทย์ที่กำหนด
• ข้อ ค. (Anticonvulsant effect): ข้อนี้ไม่ใช่คำตอบที่ถูกต้องสำหรับภาวะ Insomnia เนื่องจากกลไกการออกฤทธิ์, efficacy หรือข้อบ่งใช้ไม่ตรงกับโจทย์ที่กำหนด
• ข้อ ง. (Antianxiety effect):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n"/>
      <c r="L31" s="2" t="inlineStr">
        <is>
          <t>Insomnia</t>
        </is>
      </c>
      <c r="M31" s="2" t="inlineStr">
        <is>
          <t>Clinic</t>
        </is>
      </c>
      <c r="N31" s="2" t="inlineStr">
        <is>
          <t>ข้อ 29 Pharma Plus เล่มม่วง (เฉลยข้อ จ)</t>
        </is>
      </c>
      <c r="O31" s="2" t="inlineStr">
        <is>
          <t>Mock</t>
        </is>
      </c>
      <c r="P31" s="2" t="inlineStr">
        <is>
          <t>Pharma Plus เล่มม่วง</t>
        </is>
      </c>
    </row>
    <row r="32" ht="13.2" customHeight="1" s="37">
      <c r="A32" s="8" t="inlineStr">
        <is>
          <t>30</t>
        </is>
      </c>
      <c r="B32" s="2" t="inlineStr">
        <is>
          <t>ข้อใดต่อไปเกี่ยวกับ lorazepam ผิด</t>
        </is>
      </c>
      <c r="C32" s="2" t="n"/>
      <c r="D32" s="2" t="inlineStr">
        <is>
          <t>ออกฤทธิ์โดยกระตุ้น GABA receptor</t>
        </is>
      </c>
      <c r="E32" s="2" t="inlineStr">
        <is>
          <t>Overdose ของ lorazepam สามารถใช้ flumazenil ซึ่งเป็น antidote รักษาได้</t>
        </is>
      </c>
      <c r="F32" s="2" t="inlineStr">
        <is>
          <t>ถ้าใช้เป็นระยะเวลานานแล้วหยุดยา จะก่อให้เกิดให้อาการถอนยาได้</t>
        </is>
      </c>
      <c r="G32" s="2" t="inlineStr">
        <is>
          <t>เป็น Hepatic drug metabolizing enzyme inducer</t>
        </is>
      </c>
      <c r="H32" s="2" t="inlineStr">
        <is>
          <t>ไม่ก่อให้เกิด "hangover effect" ได้มากเหมือน diazepam</t>
        </is>
      </c>
      <c r="I32" s="8" t="inlineStr">
        <is>
          <t>4</t>
        </is>
      </c>
      <c r="J32" s="2" t="inlineStr">
        <is>
          <t>✅ คำตอบที่ถูกต้อง: ข้อ ง. เป็น Hepatic drug metabolizing enzyme inducer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เป็น Hepatic drug metabolizing enzyme inducer Benzodiazepines ส่วนใหญ่รวมถึง Lorazepam ไม่ใช่ Hepatic drug metabolizing enzyme inducer (บางตัวอาจเป็น substrate ผ่าน CYP3A4/2C19 แต่ไม่ได้เหนี่ยวนำเอนไซม์เหมือน Barbiturates)
🔍 ข้ออื่นผิดเพราะอะไร:
• ข้อ ก. (ออกฤทธิ์โดยกระตุ้น GABA receptor): ข้อนี้ไม่ใช่คำตอบที่ถูกต้องสำหรับภาวะ Insomnia เนื่องจากกลไกการออกฤทธิ์, efficacy หรือข้อบ่งใช้ไม่ตรงกับโจทย์ที่กำหนด
• ข้อ ข. (Overdose ของ lorazepam สามารถใช้ flumazenil ซึ่งเป็น antidote รักษาได้): เป็น Benzodiazepine กลุ่ม LOT (Lorazepam, Oxazepam, Temazepam) ที่ผ่าน hepatic Phase II glucuronidation โดยตรง ไม่ผ่าน CYP oxidation จึงปลอดภัยกว่าในผู้สูงอายุและโรคตับ
• ข้อ ค. (ถ้าใช้เป็นระยะเวลานานแล้วหยุดยา จะก่อให้เกิดให้อาการถอนยาได้): ข้อนี้ไม่ใช่คำตอบที่ถูกต้องสำหรับภาวะ Insomnia เนื่องจากกลไกการออกฤทธิ์, efficacy หรือข้อบ่งใช้ไม่ตรงกับโจทย์ที่กำหนด
• ข้อ จ. (ไม่ก่อให้เกิด "hangover effect" ได้มากเหมือน diazepam):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2" t="n"/>
      <c r="L32" s="2" t="inlineStr">
        <is>
          <t>Insomnia</t>
        </is>
      </c>
      <c r="M32" s="2" t="inlineStr">
        <is>
          <t>Clinic</t>
        </is>
      </c>
      <c r="N32" s="2" t="inlineStr">
        <is>
          <t>ข้อ 30 Pharma Plus เล่มม่วง (เฉลยข้อ ง)</t>
        </is>
      </c>
      <c r="O32" s="2" t="inlineStr">
        <is>
          <t>Mock</t>
        </is>
      </c>
      <c r="P32" s="2" t="inlineStr">
        <is>
          <t>Pharma Plus เล่มม่วง</t>
        </is>
      </c>
    </row>
    <row r="33" ht="13.2" customHeight="1" s="37">
      <c r="A33" s="8" t="inlineStr">
        <is>
          <t>31</t>
        </is>
      </c>
      <c r="B33" s="2" t="inlineStr">
        <is>
          <t>ชายไทยคู่ อายุ 65 ปี ได้รับการวินิจฉัยจากแพทย์ว่ามีภาวะ insomnia
ยาในข้อใดต่อไปนี้ไม่ใช่ยาที่ใช้ในการรักษาภาวะ insomnia</t>
        </is>
      </c>
      <c r="C33" s="2" t="n"/>
      <c r="D33" s="2" t="inlineStr">
        <is>
          <t>CPM</t>
        </is>
      </c>
      <c r="E33" s="2" t="inlineStr">
        <is>
          <t>Phenobarbital</t>
        </is>
      </c>
      <c r="F33" s="2" t="inlineStr">
        <is>
          <t>Chloral hydrate</t>
        </is>
      </c>
      <c r="G33" s="2" t="inlineStr">
        <is>
          <t>Clonazepam</t>
        </is>
      </c>
      <c r="H33" s="2" t="inlineStr">
        <is>
          <t>Haloperidol</t>
        </is>
      </c>
      <c r="I33" s="8" t="inlineStr">
        <is>
          <t>5</t>
        </is>
      </c>
      <c r="J33" s="2" t="inlineStr">
        <is>
          <t>✅ คำตอบที่ถูกต้อง: ข้อ จ. Haloperidol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Haloperidol เป็นยาต้านโรคจิตรุ่นที่ 1 (First-generation antipsychotic) ที่มีฤทธิ์เด่นในการบล็อก dopamine D2 receptors ใช้รักษาอาการทางจิตหรือภาวะ delirium ไม่ได้ใช้เป็นยานอนหลับ (Hypnotics) ในการรักษาภาวะ insomnia ทั่วไป ในขณะที่ CPM (Chlorpheniramine), Phenobarbital, Chloral hydrate และ Clonazepam ต่างมีฤทธิ์ทำให้ง่วงซึมหรือใช้เป็นยานอนหลับได้
🔍 ข้ออื่นผิดเพราะอะไร:
• ข้อ ก. (CPM): ข้อนี้ไม่ใช่คำตอบที่ถูกต้องสำหรับภาวะ Insomnia เนื่องจากกลไกการออกฤทธิ์, efficacy หรือข้อบ่งใช้ไม่ตรงกับโจทย์ที่กำหนด
• ข้อ ข. (Phenobarbital): ข้อนี้ไม่ใช่คำตอบที่ถูกต้องสำหรับภาวะ Insomnia เนื่องจากกลไกการออกฤทธิ์, efficacy หรือข้อบ่งใช้ไม่ตรงกับโจทย์ที่กำหนด
• ข้อ ค. (Chloral hydrate): ข้อนี้ไม่ใช่คำตอบที่ถูกต้องสำหรับภาวะ Insomnia เนื่องจากกลไกการออกฤทธิ์, efficacy หรือข้อบ่งใช้ไม่ตรงกับโจทย์ที่กำหนด
• ข้อ ง. (Clonazepam):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2" t="n"/>
      <c r="L33" s="2" t="inlineStr">
        <is>
          <t>Insomnia</t>
        </is>
      </c>
      <c r="M33" s="2" t="inlineStr">
        <is>
          <t>Clinic</t>
        </is>
      </c>
      <c r="N33" s="2" t="inlineStr">
        <is>
          <t>ข้อ 31 Pharma Plus เล่มม่วง (เฉลยข้อ จ)</t>
        </is>
      </c>
      <c r="O33" s="2" t="inlineStr">
        <is>
          <t>Mock</t>
        </is>
      </c>
      <c r="P33" s="2" t="inlineStr">
        <is>
          <t>Pharma Plus เล่มม่วง</t>
        </is>
      </c>
    </row>
    <row r="34" ht="13.2" customHeight="1" s="37">
      <c r="A34" s="8" t="inlineStr">
        <is>
          <t>32</t>
        </is>
      </c>
      <c r="B34" s="2" t="inlineStr">
        <is>
          <t>ในกรณีที่ผู้ป่วยมีปัญหานอนหลับยาก (ต้องใช้เวลานานกว่าจะหลับ) ควรเลือกใช้ยาในข้อใดต่อไปนี้</t>
        </is>
      </c>
      <c r="C34" s="2" t="n"/>
      <c r="D34" s="2" t="inlineStr">
        <is>
          <t>Midazolam</t>
        </is>
      </c>
      <c r="E34" s="2" t="inlineStr">
        <is>
          <t>Temazepam</t>
        </is>
      </c>
      <c r="F34" s="2" t="inlineStr">
        <is>
          <t>Lorazepam</t>
        </is>
      </c>
      <c r="G34" s="2" t="inlineStr">
        <is>
          <t>Diazepam</t>
        </is>
      </c>
      <c r="H34" s="2" t="inlineStr">
        <is>
          <t>Flurazepam</t>
        </is>
      </c>
      <c r="I34" s="8" t="inlineStr">
        <is>
          <t>1</t>
        </is>
      </c>
      <c r="J34" s="2" t="inlineStr">
        <is>
          <t>✅ คำตอบที่ถูกต้อง: ข้อ ก. Midazolam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Midazolam ผู้ป่วยที่มีปัญหานอนหลับยาก (Sleep-onset insomnia) หรือใช้เวลานานกว่าจะหลับ ควรเลือกใช้ยาที่มีระยะเวลาออกฤทธิ์สั้น (Short-acting benzodiazepine receptor agonists หรือ ultrashort/short-acting BZDs) เช่น Midazolam ซึ่งออกฤทธิ์เร็วและสั้น ช่วยลด sleep latency ได้ดี เหมาะกับอาการนอนไม่หลับช่วงเริ่มเข้านอน
🔍 ข้ออื่นผิดเพราะอะไร:
• ข้อ ข. (Temazepam): ข้อนี้ไม่ใช่คำตอบที่ถูกต้องสำหรับภาวะ Insomnia เนื่องจากกลไกการออกฤทธิ์, efficacy หรือข้อบ่งใช้ไม่ตรงกับโจทย์ที่กำหนด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(Diazepam): เป็น long-acting Benzodiazepine มี active metabolites (nordiazepam) สะสมในผู้สูงอายุ ทำให้ง่วงซึม หกล้ม เสี่ยง fracture
• ข้อ จ. (Flurazepam):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Insomnia</t>
        </is>
      </c>
      <c r="M34" s="2" t="inlineStr">
        <is>
          <t>Clinic</t>
        </is>
      </c>
      <c r="N34" s="2" t="inlineStr">
        <is>
          <t>ข้อ 32 Pharma Plus เล่มม่วง (เฉลยข้อ ก ข)</t>
        </is>
      </c>
      <c r="O34" s="2" t="inlineStr">
        <is>
          <t>Mock</t>
        </is>
      </c>
      <c r="P34" s="2" t="inlineStr">
        <is>
          <t>Pharma Plus เล่มม่วง</t>
        </is>
      </c>
    </row>
    <row r="35" ht="13.2" customHeight="1" s="37">
      <c r="A35" s="8" t="inlineStr">
        <is>
          <t>33</t>
        </is>
      </c>
      <c r="B35" s="2" t="inlineStr">
        <is>
          <t>ข้อใดต่อไปนี้ไม่ใช่ประโยชน์ของการใช้ยากลุ่ม BZD ในทางคลินิก</t>
        </is>
      </c>
      <c r="C35" s="2" t="n"/>
      <c r="D35" s="2" t="inlineStr">
        <is>
          <t>ใช้เป็นยานอนหลับ</t>
        </is>
      </c>
      <c r="E35" s="2" t="inlineStr">
        <is>
          <t>ใช้เป็นยาคลายกังวล</t>
        </is>
      </c>
      <c r="F35" s="2" t="inlineStr">
        <is>
          <t>ใช้เป็นยาคลายกล้ามเนื้อ</t>
        </is>
      </c>
      <c r="G35" s="2" t="inlineStr">
        <is>
          <t>ใช้เป็นยากันชัก</t>
        </is>
      </c>
      <c r="H35" s="2" t="inlineStr">
        <is>
          <t>ใช้เป็นยาสลบ</t>
        </is>
      </c>
      <c r="I35" s="8" t="inlineStr">
        <is>
          <t>5</t>
        </is>
      </c>
      <c r="J35" s="2" t="inlineStr">
        <is>
          <t>✅ คำตอบที่ถูกต้อง: ข้อ จ. ใช้เป็นยาสลบ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ใช้เป็นยาสลบ ยากลุ่ม Benzodiazepines (BZDs) มีข้อบ่งใช้หลักในทางคลินิก ได้แก่ เป็นยานอนหลับ (Hypnotics), ยาคลายกังวล (Anxiolytics), ยาคลายกล้ามเนื้อ (Muscle relaxants) และยากันชัก (Anticonvulsants) แต่ BZDs ไม่ใช่ยาสลบ (General anesthetics) แม้ว่าจะสามารถใช้เป็นยา premedication หรือใช้ร่วมในการเหนี่ยวนำการสลบได้ แต่ตัวยา BZDs เองไม่สามารถทำให้เกิดภาวะสลบที่สมบูรณ์ได้ด้วยตัวเองเหมือนยาในกลุ่ม intravenous anesthetics (เช่น Propofol หรือ Thiopental)
🔍 ข้ออื่นผิดเพราะอะไร:
• ข้อ ก. (ใช้เป็นยานอนหลับ): ข้อนี้ไม่ใช่คำตอบที่ถูกต้องสำหรับภาวะ Insomnia เนื่องจากกลไกการออกฤทธิ์, efficacy หรือข้อบ่งใช้ไม่ตรงกับโจทย์ที่กำหนด
• ข้อ ข. (ใช้เป็นยาคลายกังวล): ข้อนี้ไม่ใช่คำตอบที่ถูกต้องสำหรับภาวะ Insomnia เนื่องจากกลไกการออกฤทธิ์, efficacy หรือข้อบ่งใช้ไม่ตรงกับโจทย์ที่กำหนด
• ข้อ ค. (ใช้เป็นยาคลายกล้ามเนื้อ): ข้อนี้ไม่ใช่คำตอบที่ถูกต้องสำหรับภาวะ Insomnia เนื่องจากกลไกการออกฤทธิ์, efficacy หรือข้อบ่งใช้ไม่ตรงกับโจทย์ที่กำหนด
• ข้อ ง. (ใช้เป็นยากันชัก):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Insomnia</t>
        </is>
      </c>
      <c r="M35" s="2" t="inlineStr">
        <is>
          <t>Clinic</t>
        </is>
      </c>
      <c r="N35" s="2" t="inlineStr">
        <is>
          <t>ข้อ 33 Pharma Plus เล่มม่วง (เฉลยข้อ จ)</t>
        </is>
      </c>
      <c r="O35" s="2" t="inlineStr">
        <is>
          <t>Mock</t>
        </is>
      </c>
      <c r="P35" s="2" t="inlineStr">
        <is>
          <t>Pharma Plus เล่มม่วง</t>
        </is>
      </c>
    </row>
    <row r="36" ht="13.2" customHeight="1" s="37">
      <c r="A36" s="8" t="inlineStr">
        <is>
          <t>35</t>
        </is>
      </c>
      <c r="B36" s="2" t="inlineStr">
        <is>
          <t>ข้อใดไม่ใช่เกณฑ์ในการวินิจฉัยภาวะนอนไม่หลับตาม DSM5 (ไม่แน่ใจ)</t>
        </is>
      </c>
      <c r="C36" s="2" t="n"/>
      <c r="D36" s="2" t="inlineStr">
        <is>
          <t>ต้องกินกาแฟเพิ่ม 3-4 แก้ว</t>
        </is>
      </c>
      <c r="E36" s="2" t="inlineStr">
        <is>
          <t>ถ้าหลับได้จะหลับสนิท</t>
        </is>
      </c>
      <c r="F36" s="2" t="inlineStr">
        <is>
          <t>ต้องกินเหล้า 1 ขวดให้หลับ</t>
        </is>
      </c>
      <c r="G36" s="2" t="inlineStr">
        <is>
          <t>ง่วงตอนกลางวัน</t>
        </is>
      </c>
      <c r="H36" s="2" t="inlineStr">
        <is>
          <t>หลับตอนประชุม/ติดไฟแดง</t>
        </is>
      </c>
      <c r="I36" s="8" t="inlineStr">
        <is>
          <t>1</t>
        </is>
      </c>
      <c r="J36" s="2" t="inlineStr">
        <is>
          <t>✅ คำตอบที่ถูกต้อง: ข้อ ก. ต้องกินกาแฟเพิ่ม 3-4 แก้ว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(ต้องกินกาแฟเพิ่ม 3-4 แก้ว): ข้อนี้ไม่ใช่คำตอบที่ถูกต้องสำหรับภาวะ Insomnia เนื่องจากกลไกการออกฤทธิ์, efficacy หรือข้อบ่งใช้ไม่ตรงกับโจทย์ที่กำหนด
• ข้อ ค. (ถ้าหลับได้จะหลับสนิท): ข้อนี้ไม่ใช่คำตอบที่ถูกต้องสำหรับภาวะ Insomnia เนื่องจากกลไกการออกฤทธิ์, efficacy หรือข้อบ่งใช้ไม่ตรงกับโจทย์ที่กำหนด
• ข้อ ง. (ต้องกินเหล้า 1 ขวดให้หลับ): ข้อนี้ไม่ใช่คำตอบที่ถูกต้องสำหรับภาวะ Insomnia เนื่องจากกลไกการออกฤทธิ์, efficacy หรือข้อบ่งใช้ไม่ตรงกับโจทย์ที่กำหนด
• ข้อ จ. (ง่วงตอนกลางวัน):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6" s="2" t="n"/>
      <c r="L36" s="2" t="inlineStr">
        <is>
          <t>Insomnia</t>
        </is>
      </c>
      <c r="M36" s="2" t="inlineStr">
        <is>
          <t>Psychiatric &amp; Addiction</t>
        </is>
      </c>
      <c r="N36" s="2" t="inlineStr">
        <is>
          <t>PLE_CC1_2567_Key ข้อ 19</t>
        </is>
      </c>
      <c r="O36" s="2" t="inlineStr">
        <is>
          <t>ข้อสอบจริง</t>
        </is>
      </c>
      <c r="P36" s="2" t="inlineStr">
        <is>
          <t>ปี 2567</t>
        </is>
      </c>
      <c r="Q36" s="2" t="n"/>
    </row>
    <row r="37" ht="13.2" customHeight="1" s="37">
      <c r="A37" s="8" t="inlineStr">
        <is>
          <t>36</t>
        </is>
      </c>
      <c r="B37" s="2" t="inlineStr">
        <is>
          <t>ข้อใดเป็นสารเพิ่มความยืดหยุ่นใน nicotine gum</t>
        </is>
      </c>
      <c r="C37" s="2" t="n"/>
      <c r="D37" s="2" t="inlineStr">
        <is>
          <t>Sodium sulfate</t>
        </is>
      </c>
      <c r="E37" s="2" t="inlineStr">
        <is>
          <t>Glycerin</t>
        </is>
      </c>
      <c r="F37" s="2" t="inlineStr">
        <is>
          <t>Sorbitol</t>
        </is>
      </c>
      <c r="G37" s="2" t="inlineStr">
        <is>
          <t>Aspartame</t>
        </is>
      </c>
      <c r="H37" s="2" t="inlineStr">
        <is>
          <t>Polacrilex (cation exchange resin)</t>
        </is>
      </c>
      <c r="I37" s="8" t="inlineStr">
        <is>
          <t>1</t>
        </is>
      </c>
      <c r="J37" s="2" t="inlineStr">
        <is>
          <t>✅ คำตอบที่ถูกต้อง: ข้อ ก. Sodium sulfate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(Sodium sulfate): ข้อนี้ไม่ใช่คำตอบที่ถูกต้องสำหรับภาวะ Tobacco dependence เนื่องจากกลไกการออกฤทธิ์, efficacy หรือข้อบ่งใช้ไม่ตรงกับโจทย์ที่กำหนด
• ข้อ ค. (Glycerin): ข้อนี้ไม่ใช่คำตอบที่ถูกต้องสำหรับภาวะ Tobacco dependence เนื่องจากกลไกการออกฤทธิ์, efficacy หรือข้อบ่งใช้ไม่ตรงกับโจทย์ที่กำหนด
• ข้อ ง. (Sorbitol): ข้อนี้ไม่ใช่คำตอบที่ถูกต้องสำหรับภาวะ Tobacco dependence เนื่องจากกลไกการออกฤทธิ์, efficacy หรือข้อบ่งใช้ไม่ตรงกับโจทย์ที่กำหนด
• ข้อ จ. (Aspartame):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2" t="n"/>
      <c r="L37" s="2" t="inlineStr">
        <is>
          <t>Tobacco dependence</t>
        </is>
      </c>
      <c r="M37" s="2" t="inlineStr">
        <is>
          <t>Psychiatric &amp; Addiction</t>
        </is>
      </c>
      <c r="N37" s="2" t="inlineStr">
        <is>
          <t>PLE_CC1_2567_Key ข้อ 63</t>
        </is>
      </c>
      <c r="O37" s="2" t="inlineStr">
        <is>
          <t>ข้อสอบจริง</t>
        </is>
      </c>
      <c r="P37" s="2" t="inlineStr">
        <is>
          <t>ปี 2567</t>
        </is>
      </c>
      <c r="Q37" s="2" t="n"/>
    </row>
    <row r="38" ht="13.2" customHeight="1" s="37">
      <c r="A38" s="8" t="inlineStr">
        <is>
          <t>37</t>
        </is>
      </c>
      <c r="B38" s="2"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C38" s="2" t="n"/>
      <c r="D38" s="2" t="inlineStr">
        <is>
          <t>Sertraline 50 mg OD</t>
        </is>
      </c>
      <c r="E38" s="2" t="inlineStr">
        <is>
          <t>Escitalopram 10 mg OD</t>
        </is>
      </c>
      <c r="F38" s="2" t="inlineStr">
        <is>
          <t>Venlafaxine 75 mg OD</t>
        </is>
      </c>
      <c r="G38" s="2" t="inlineStr">
        <is>
          <t>Amitriptyline 10 mg HS</t>
        </is>
      </c>
      <c r="H38" s="2" t="inlineStr">
        <is>
          <t>Bromocriptine</t>
        </is>
      </c>
      <c r="I38" s="8" t="inlineStr">
        <is>
          <t>1</t>
        </is>
      </c>
      <c r="J38" s="2" t="inlineStr">
        <is>
          <t>✅ คำตอบที่ถูกต้อง: ข้อ ก. Sertraline 50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Insomnia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38" s="2" t="n"/>
      <c r="L38" s="2" t="inlineStr">
        <is>
          <t>Insomnia</t>
        </is>
      </c>
      <c r="M38" s="2" t="inlineStr">
        <is>
          <t>Psychiatric &amp; Addiction</t>
        </is>
      </c>
      <c r="N38" s="2" t="inlineStr">
        <is>
          <t>PLE_CC1_2567_Set1_Key ข้อ 22</t>
        </is>
      </c>
      <c r="O38" s="2" t="inlineStr">
        <is>
          <t>ข้อสอบจริง</t>
        </is>
      </c>
      <c r="P38" s="2" t="inlineStr">
        <is>
          <t>ปี 2567</t>
        </is>
      </c>
      <c r="Q38" s="2" t="n"/>
    </row>
    <row r="39" ht="13.2" customHeight="1" s="37">
      <c r="A39" s="8" t="inlineStr">
        <is>
          <t>38</t>
        </is>
      </c>
      <c r="B39" s="2" t="inlineStr">
        <is>
          <t>ข้อเลิกบุหรี่คนไข้มีโรคประจำตัวชักห้ามใช้ยาไร ตัวเลือก</t>
        </is>
      </c>
      <c r="C39" s="2" t="n"/>
      <c r="D39" s="2" t="inlineStr">
        <is>
          <t>Psychiatric &amp; Addiction</t>
        </is>
      </c>
      <c r="E39" s="2" t="inlineStr">
        <is>
          <t>Amitriptyline 10 mg HS</t>
        </is>
      </c>
      <c r="F39" s="2" t="inlineStr">
        <is>
          <t>Lorazepam 1 mg HS</t>
        </is>
      </c>
      <c r="G39" s="2" t="inlineStr">
        <is>
          <t>Alprazolam 0.5 mg HS</t>
        </is>
      </c>
      <c r="H39" s="2" t="inlineStr">
        <is>
          <t>Diazepam 5 mg HS</t>
        </is>
      </c>
      <c r="I39" s="8" t="inlineStr">
        <is>
          <t>1</t>
        </is>
      </c>
      <c r="J39" s="2" t="inlineStr">
        <is>
          <t>✅ คำตอบที่ถูกต้อง: ข้อ ก. Psychiatric &amp; Addiction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2" t="n"/>
      <c r="L39" s="2" t="inlineStr">
        <is>
          <t>Tobacco dependence</t>
        </is>
      </c>
      <c r="M39" s="2" t="inlineStr">
        <is>
          <t>Psychiatric &amp; Addiction</t>
        </is>
      </c>
      <c r="N39" s="2" t="inlineStr">
        <is>
          <t>PLE-CC1 ปี 2566 Day 1 ข้อ 18</t>
        </is>
      </c>
      <c r="O39" s="2" t="inlineStr">
        <is>
          <t>ข้อสอบจริง</t>
        </is>
      </c>
      <c r="P39" s="2" t="inlineStr">
        <is>
          <t>ปี 2566</t>
        </is>
      </c>
    </row>
    <row r="40" ht="13.2" customHeight="1" s="37">
      <c r="A40" s="8" t="inlineStr">
        <is>
          <t>39</t>
        </is>
      </c>
      <c r="B40" s="2" t="inlineStr">
        <is>
          <t>ให้โครงสร้างNicotine gum มาถามว่าควรตรวจหาด้วยtest อะไร. ตัวเลือก</t>
        </is>
      </c>
      <c r="C40" s="2" t="n"/>
      <c r="D40" s="2" t="inlineStr">
        <is>
          <t>Psychiatric &amp; Addiction</t>
        </is>
      </c>
      <c r="E40" s="2" t="inlineStr">
        <is>
          <t>Diazepam 5 mg HS</t>
        </is>
      </c>
      <c r="F40" s="2" t="inlineStr">
        <is>
          <t>Zolpidem 10 mg HS</t>
        </is>
      </c>
      <c r="G40" s="2" t="inlineStr">
        <is>
          <t>Nicotine gum 2 mg PRN</t>
        </is>
      </c>
      <c r="H40" s="2" t="inlineStr">
        <is>
          <t>Quetiapine 25 mg HS</t>
        </is>
      </c>
      <c r="I40" s="8" t="inlineStr">
        <is>
          <t>1</t>
        </is>
      </c>
      <c r="J40" s="2" t="inlineStr">
        <is>
          <t>✅ คำตอบที่ถูกต้อง: ข้อ ก. Psychiatric &amp; Addiction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2" t="n"/>
      <c r="L40" s="2" t="inlineStr">
        <is>
          <t>Tobacco dependence</t>
        </is>
      </c>
      <c r="M40" s="2" t="inlineStr">
        <is>
          <t>Psychiatric &amp; Addiction</t>
        </is>
      </c>
      <c r="N40" s="2" t="inlineStr">
        <is>
          <t>PLE-CC1 ปี 2566 Day 2 ข้อ 14</t>
        </is>
      </c>
      <c r="O40" s="2" t="inlineStr">
        <is>
          <t>ข้อสอบจริง</t>
        </is>
      </c>
      <c r="P40" s="2" t="inlineStr">
        <is>
          <t>ปี 2566</t>
        </is>
      </c>
    </row>
    <row r="41" ht="13.2" customHeight="1" s="37">
      <c r="A41" s="8" t="inlineStr">
        <is>
          <t>40</t>
        </is>
      </c>
      <c r="B41" s="2" t="inlineStr">
        <is>
          <t>ข$อใดถูกเกี่ยวกับ nicotine และ cotinine Transdermal patch จะ/0งยา3าน4น5วห7งเา9กระแสเ=อดโดยตรง โดยไA3านBบ CใEหFกเGยง กระบวนการCลายยาIBบ (First-pass metabolism) ไJ KงเLนอMหNกICใEยาบางชPดIQกCลาย IBบไJRาย (เSน Nitroglycerin, Estradiol) PยมCในUปแบบแ3นแปะ Nicotine conitine</t>
        </is>
      </c>
      <c r="C41" s="2" t="n"/>
      <c r="D41" s="2" t="inlineStr">
        <is>
          <t>Nicotine แสดงคุณสมบัติเปQนกรดอ-อน มี pKa เท-ากับ 8.0</t>
        </is>
      </c>
      <c r="E41" s="2" t="inlineStr">
        <is>
          <t>Nicotine ในสภาวะ physiological pH สามารถดูดซึมผ-านเมมเบรนได$ดี</t>
        </is>
      </c>
      <c r="F41" s="2" t="inlineStr">
        <is>
          <t>Cotinine เปQน major metabolite ของ nicotine Weak base Cotinine ใWเLน biomarker หNก ใน การประเXน exposure Yอ nicotine PLE-CC1 Preparation 2565</t>
        </is>
      </c>
      <c r="G41" s="2" t="inlineStr">
        <is>
          <t>Sertraline 50 mg OD</t>
        </is>
      </c>
      <c r="H41" s="2" t="inlineStr">
        <is>
          <t>Hyperuricemia</t>
        </is>
      </c>
      <c r="I41" s="8" t="inlineStr">
        <is>
          <t>1</t>
        </is>
      </c>
      <c r="J41" s="2" t="inlineStr">
        <is>
          <t>✅ คำตอบที่ถูกต้อง: ข้อ ก. Nicotine แสดงคุณสมบัติเปQนกรดอ-อน มี pKa เท-ากับ 8.0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(Nicotine แสดงคุณสมบัติเปQนกรดอ-อน มี pKa เท-ากับ 8.0): เป็น Nicotine Replacement Therapy (NRT) ช่วยบรรเทา withdrawal symptoms ใน smoking cessation โดยหลีกเลี่ยงสารก่อมะเร็งในควันบุหรี่
• ข้อ ค. (Nicotine ในสภาวะ physiological pH สามารถดูดซึมผ-านเมมเบรนได$ดี): เป็น Nicotine Replacement Therapy (NRT) ช่วยบรรเทา withdrawal symptoms ใน smoking cessation โดยหลีกเลี่ยงสารก่อมะเร็งในควันบุหรี่
• ข้อ ง. (Cotinine เปQน major metabolite ของ nicotine Weak base Cotinine ใWเLน biomarker หNก ใน การประเXน exposure Yอ nicotine PLE-CC1 Preparation 2565): เป็น Nicotine Replacement Therapy (NRT) ช่วยบรรเทา withdrawal symptoms ใน smoking cessation โดยหลีกเลี่ยงสารก่อมะเร็งในควันบุหรี่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1" s="2" t="n"/>
      <c r="L41" s="2" t="inlineStr">
        <is>
          <t>Anxiety/depression</t>
        </is>
      </c>
      <c r="M41" s="2" t="inlineStr">
        <is>
          <t>Psychiatric &amp; Addiction</t>
        </is>
      </c>
      <c r="N41" s="2" t="inlineStr">
        <is>
          <t>PLE_CC1_2565_Day2_Key ข้อ 11</t>
        </is>
      </c>
      <c r="O41" s="2" t="inlineStr">
        <is>
          <t>ข้อสอบจริง</t>
        </is>
      </c>
      <c r="P41" s="2" t="inlineStr">
        <is>
          <t>ปี 2565</t>
        </is>
      </c>
      <c r="Q41" s="2" t="n"/>
    </row>
    <row r="42" ht="13.2" customHeight="1" s="37">
      <c r="A42" s="8" t="inlineStr">
        <is>
          <t>41</t>
        </is>
      </c>
      <c r="B42" s="2" t="inlineStr">
        <is>
          <t>อาการเศร้า หดหู่ (Depression)</t>
        </is>
      </c>
      <c r="C42" s="2" t="n"/>
      <c r="D42" s="2" t="inlineStr">
        <is>
          <t>Psychiatric &amp; Addiction</t>
        </is>
      </c>
      <c r="E42" s="2" t="inlineStr">
        <is>
          <t>Sertraline 50 mg OD</t>
        </is>
      </c>
      <c r="F42" s="2" t="inlineStr">
        <is>
          <t>Escitalopram 10 mg OD</t>
        </is>
      </c>
      <c r="G42" s="2" t="inlineStr">
        <is>
          <t>Venlafaxine 75 mg OD</t>
        </is>
      </c>
      <c r="H42" s="2" t="inlineStr">
        <is>
          <t>Amitriptyline 10 mg HS</t>
        </is>
      </c>
      <c r="I42" s="8" t="inlineStr">
        <is>
          <t>1</t>
        </is>
      </c>
      <c r="J42" s="2" t="inlineStr">
        <is>
          <t>✅ คำตอบที่ถูกต้อง: ข้อ ก. Psychiatric &amp; Addiction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42" s="2" t="n"/>
      <c r="L42" s="2" t="inlineStr">
        <is>
          <t>Anxiety/depression</t>
        </is>
      </c>
      <c r="M42" s="2" t="inlineStr">
        <is>
          <t>Psychiatric &amp; Addiction</t>
        </is>
      </c>
      <c r="N42" s="2" t="inlineStr">
        <is>
          <t>PLE_CC1_2564_All_Key ข้อ 1</t>
        </is>
      </c>
      <c r="O42" s="2" t="inlineStr">
        <is>
          <t>ข้อสอบจริง</t>
        </is>
      </c>
      <c r="P42" s="2" t="inlineStr">
        <is>
          <t>ปี 2564</t>
        </is>
      </c>
    </row>
    <row r="43" ht="13.2" customHeight="1" s="37">
      <c r="A43" s="8" t="inlineStr">
        <is>
          <t>42</t>
        </is>
      </c>
      <c r="B43" s="2" t="inlineStr">
        <is>
          <t>Nicotine จับกับ receptor ให้รูปมา ถามว่าพันธะใดแข็งแรงน้อยที่สุด</t>
        </is>
      </c>
      <c r="C43" s="2" t="n"/>
      <c r="D43" s="2" t="inlineStr">
        <is>
          <t>Psychiatric &amp; Addiction</t>
        </is>
      </c>
      <c r="E43" s="2" t="inlineStr">
        <is>
          <t>Covalent bond</t>
        </is>
      </c>
      <c r="F43" s="2" t="inlineStr">
        <is>
          <t>H-bond</t>
        </is>
      </c>
      <c r="G43" s="2" t="inlineStr">
        <is>
          <t>Alprazolam 0.5 mg HS</t>
        </is>
      </c>
      <c r="H43" s="2" t="inlineStr">
        <is>
          <t>Diazepam 5 mg HS</t>
        </is>
      </c>
      <c r="I43" s="8" t="inlineStr">
        <is>
          <t>1</t>
        </is>
      </c>
      <c r="J43" s="2" t="inlineStr">
        <is>
          <t>✅ คำตอบที่ถูกต้อง: ข้อ ก. Psychiatric &amp; Addiction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Psychiatric &amp; Addiction โจทย์ถามพันธะที่แข็งแรงน้อยสุดเลยคิดว่าเป็น H-bond  https://cen.acs.org/articles/87/i10/Nicotines-Binding-Mystery-Solved.html ..............................................................................................................................................................................................................
🔍 ข้ออื่นผิดเพราะอะไร:
• ข้อ ข. (Covalent bond): ข้อนี้ไม่ใช่คำตอบที่ถูกต้องสำหรับภาวะ Anxiety/depression เนื่องจากกลไกการออกฤทธิ์, efficacy หรือข้อบ่งใช้ไม่ตรงกับโจทย์ที่กำหนด
• ข้อ ค. (H-bond): ข้อนี้ไม่ใช่คำตอบที่ถูกต้องสำหรับภาวะ Anxiety/depression เนื่องจากกลไกการออกฤทธิ์, efficacy หรือข้อบ่งใช้ไม่ตรงกับโจทย์ที่กำหนด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43" s="2" t="n"/>
      <c r="L43" s="2" t="inlineStr">
        <is>
          <t>Anxiety/depression</t>
        </is>
      </c>
      <c r="M43" s="2" t="inlineStr">
        <is>
          <t>Psychiatric &amp; Addiction</t>
        </is>
      </c>
      <c r="N43" s="2" t="inlineStr">
        <is>
          <t>PLE_CC1_2564_All_Key ข้อ 103</t>
        </is>
      </c>
      <c r="O43" s="2" t="inlineStr">
        <is>
          <t>ข้อสอบจริง</t>
        </is>
      </c>
      <c r="P43" s="2" t="inlineStr">
        <is>
          <t>ปี 2564</t>
        </is>
      </c>
    </row>
    <row r="44" ht="13.2" customHeight="1" s="37">
      <c r="A44" s="8" t="inlineStr">
        <is>
          <t>43</t>
        </is>
      </c>
      <c r="B44" s="2" t="inlineStr">
        <is>
          <t>ข้อแนะนำในข้อใดผิด สำหรับผู้ป่วยที่ใฬ้ Nortriptyline ในการเลิกบุหรี่ (ฬุดA)</t>
        </is>
      </c>
      <c r="C44" s="2" t="n"/>
      <c r="D44" s="2" t="inlineStr">
        <is>
          <t>Psychiatric &amp; Addiction</t>
        </is>
      </c>
      <c r="E44" s="2" t="inlineStr">
        <is>
          <t>ให้เริ่มยาเป็นมื้อแรกขอษวันที่เริ่มเลิกบุหรี่</t>
        </is>
      </c>
      <c r="F44" s="2" t="inlineStr">
        <is>
          <t>ยาทำให้ปากแห้ษคอแห้ษแนะนำให้สิบน้ำบ่อยๆ</t>
        </is>
      </c>
      <c r="G44" s="2" t="inlineStr">
        <is>
          <t>ยาทำให้ษ่วษไม่แนะนำให้ขับขี่ยานพาหนะ ษ. ยาทำให้ท้อษอืด ให้ดื่มน้ำบ่อยๆ กับรับประทานอาหารที่มีกากใยสูษ</t>
        </is>
      </c>
      <c r="H44" s="2" t="inlineStr">
        <is>
          <t>Quetiapine 25 mg HS</t>
        </is>
      </c>
      <c r="I44" s="8" t="inlineStr">
        <is>
          <t>1</t>
        </is>
      </c>
      <c r="J44" s="2" t="inlineStr">
        <is>
          <t>✅ คำตอบที่ถูกต้อง: ข้อ ก. Psychiatric &amp; Addiction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(ให้เริ่มยาเป็นมื้อแรกขอษวันที่เริ่มเลิกบุหรี่): ข้อนี้ไม่ใช่คำตอบที่ถูกต้องสำหรับภาวะ Tobacco dependence เนื่องจากกลไกการออกฤทธิ์, efficacy หรือข้อบ่งใช้ไม่ตรงกับโจทย์ที่กำหนด
• ข้อ ค. (ยาทำให้ปากแห้ษคอแห้ษแนะนำให้สิบน้ำบ่อยๆ): ข้อนี้ไม่ใช่คำตอบที่ถูกต้องสำหรับภาวะ Tobacco dependence เนื่องจากกลไกการออกฤทธิ์, efficacy หรือข้อบ่งใช้ไม่ตรงกับโจทย์ที่กำหนด
• ข้อ ง. (ยาทำให้ษ่วษไม่แนะนำให้ขับขี่ยานพาหนะ ษ. ยาทำให้ท้อษอืด ให้ดื่มน้ำบ่อยๆ กับรับประทานอาหารที่มีกากใยสูษ): ข้อนี้ไม่ใช่คำตอบที่ถูกต้องสำหรับภาวะ Tobacco dependence เนื่องจากกลไกการออกฤทธิ์, efficacy หรือข้อบ่งใช้ไม่ตรงกับโจทย์ที่กำหนด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2" t="n"/>
      <c r="L44" s="2" t="inlineStr">
        <is>
          <t>Tobacco dependence</t>
        </is>
      </c>
      <c r="M44" s="2" t="inlineStr">
        <is>
          <t>Psychiatric &amp; Addiction</t>
        </is>
      </c>
      <c r="N44" s="2" t="inlineStr">
        <is>
          <t>PLE_CC1_2563_Q ข้อ 75</t>
        </is>
      </c>
      <c r="O44" s="2" t="inlineStr">
        <is>
          <t>ข้อสอบจริง</t>
        </is>
      </c>
      <c r="P44" s="2" t="inlineStr">
        <is>
          <t>ปี 2563</t>
        </is>
      </c>
    </row>
    <row r="45" ht="13.2" customHeight="1" s="37">
      <c r="A45" s="8" t="inlineStr">
        <is>
          <t>44</t>
        </is>
      </c>
      <c r="B45" s="2" t="inlineStr">
        <is>
          <t>ระดับ nicotine ในเลือดแบบใดเป็นขอษ nicotine gum 2 mg 1 ฬิ้น และ nicotine patch 21 mg 1 แผ่น ตามลำดับ</t>
        </is>
      </c>
      <c r="C45" s="2" t="n"/>
      <c r="D45" s="2" t="inlineStr">
        <is>
          <t>Psychiatric &amp; Addiction</t>
        </is>
      </c>
      <c r="E45" s="2" t="inlineStr">
        <is>
          <t>A และ B</t>
        </is>
      </c>
      <c r="F45" s="2" t="inlineStr">
        <is>
          <t>B และ C</t>
        </is>
      </c>
      <c r="G45" s="2" t="inlineStr">
        <is>
          <t>C และ D ษ. D และ A ส. B และ D หอบหืด สถานการณ์ คนไข้ได้รับยา Salmeterol + Fluticasone furoate (25/125) 1 x 2 Salbutamol Prn Montelukast</t>
        </is>
      </c>
      <c r="H45" s="2" t="inlineStr">
        <is>
          <t>Sertraline 50 mg OD</t>
        </is>
      </c>
      <c r="I45" s="8" t="inlineStr">
        <is>
          <t>1</t>
        </is>
      </c>
      <c r="J45" s="2" t="inlineStr">
        <is>
          <t>✅ คำตอบที่ถูกต้อง: ข้อ ก. Psychiatric &amp; Addiction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 และ B): ข้อนี้ไม่ใช่คำตอบที่ถูกต้องสำหรับภาวะ Tobacco dependence เนื่องจากกลไกการออกฤทธิ์, efficacy หรือข้อบ่งใช้ไม่ตรงกับโจทย์ที่กำหนด
• ข้อ ค. (B และ C): ข้อนี้ไม่ใช่คำตอบที่ถูกต้องสำหรับภาวะ Tobacco dependence เนื่องจากกลไกการออกฤทธิ์, efficacy หรือข้อบ่งใช้ไม่ตรงกับโจทย์ที่กำหนด
• ข้อ ง. (C และ D ษ. D และ A ส. B และ D หอบหืด สถานการณ์ คนไข้ได้รับยา Salmeterol + Fluticasone furoate (25/125) 1 x 2 Salbutamol Prn Montelukast):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5" s="2" t="n"/>
      <c r="L45" s="2" t="inlineStr">
        <is>
          <t>Tobacco dependence</t>
        </is>
      </c>
      <c r="M45" s="2" t="inlineStr">
        <is>
          <t>Psychiatric &amp; Addiction</t>
        </is>
      </c>
      <c r="N45" s="2" t="inlineStr">
        <is>
          <t>PLE_CC1_2563_Q ข้อ 76</t>
        </is>
      </c>
      <c r="O45" s="2" t="inlineStr">
        <is>
          <t>ข้อสอบจริง</t>
        </is>
      </c>
      <c r="P45" s="2" t="inlineStr">
        <is>
          <t>ปี 2563</t>
        </is>
      </c>
    </row>
    <row r="46" ht="13.2" customHeight="1" s="37">
      <c r="A46" s="8" t="inlineStr">
        <is>
          <t>44</t>
        </is>
      </c>
      <c r="B46" s="2" t="inlineStr">
        <is>
          <t>ยารายการที่ 3 พบ diazepam มีความผิดหรือไม่</t>
        </is>
      </c>
      <c r="C46" s="2" t="n"/>
      <c r="D46" s="2" t="inlineStr">
        <is>
          <t>ไม่ผิด เพราะขายยาอันตราย</t>
        </is>
      </c>
      <c r="E46" s="2" t="inlineStr">
        <is>
          <t>ไม่ผิด เพราะขายยาควบคุมพิเศษ</t>
        </is>
      </c>
      <c r="F46" s="2" t="inlineStr">
        <is>
          <t>ผิด เพราะขายยา วจ 2 โดยไม่มีใบอนุญาต</t>
        </is>
      </c>
      <c r="G46" s="2" t="inlineStr">
        <is>
          <t>ผิด เพราะขายยา วจ 3 โดยไม่มีใบอนุญาต</t>
        </is>
      </c>
      <c r="H46" s="2" t="inlineStr">
        <is>
          <t>ผิด เพราะขายยา วจ 4 โดยไม่มีใบอนุญาต</t>
        </is>
      </c>
      <c r="I46" s="8" t="inlineStr">
        <is>
          <t>1</t>
        </is>
      </c>
      <c r="J46" s="2" t="inlineStr">
        <is>
          <t>✅ คำตอบที่ถูกต้อง: ข้อ ก. ไม่ผิด เพราะขายยาอันตราย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ไม่ผิด เพราะขายยาอันตราย การเลือก ไม่ผิด เพราะขายยาอันตราย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(ไม่ผิด เพราะขายยาควบคุมพิเศษ):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(ผิด เพราะขายยา วจ 2 โดยไม่มีใบอนุญาต): ข้อนี้ไม่ใช่คำตอบที่ถูกต้องสำหรับภาวะ Insomnia เนื่องจากกลไกการออกฤทธิ์, efficacy หรือข้อบ่งใช้ไม่ตรงกับโจทย์ที่กำหนด
• ข้อ ง. (ผิด เพราะขายยา วจ 3 โดยไม่มีใบอนุญาต): ข้อนี้ไม่ใช่คำตอบที่ถูกต้องสำหรับภาวะ Insomnia เนื่องจากกลไกการออกฤทธิ์, efficacy หรือข้อบ่งใช้ไม่ตรงกับโจทย์ที่กำหนด
• ข้อ จ. (ผิด เพราะขายยา วจ 4 โดยไม่มีใบอนุญาต):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Insomnia</t>
        </is>
      </c>
      <c r="M46" s="2" t="inlineStr">
        <is>
          <t>Clinic</t>
        </is>
      </c>
      <c r="N46" s="2" t="inlineStr">
        <is>
          <t>ข้อ 83 (PLE_CC1_2562_Key.md)</t>
        </is>
      </c>
      <c r="O46" s="2" t="inlineStr">
        <is>
          <t>ข้อสอบจริง</t>
        </is>
      </c>
      <c r="P46" s="2" t="inlineStr">
        <is>
          <t>ปี 2562</t>
        </is>
      </c>
    </row>
    <row r="47" ht="13.2" customHeight="1" s="37">
      <c r="A47" s="8" t="inlineStr">
        <is>
          <t>45</t>
        </is>
      </c>
      <c r="B47" s="2" t="inlineStr">
        <is>
          <t>ข้อใดคือกลไกของยารักษา depression (er) . we ninascosserotonin Bowling neuroplasticity Bardinan. = dog Nasserotonin X ิ nGneon .Iden . ind neuroplasticity Vosges</t>
        </is>
      </c>
      <c r="C47" s="2" t="n"/>
      <c r="D47" s="2" t="inlineStr">
        <is>
          <t>เพิ่ม monoamine</t>
        </is>
      </c>
      <c r="E47" s="2" t="inlineStr">
        <is>
          <t>ยังยั้งการทำงานสมองส่วน amygdala</t>
        </is>
      </c>
      <c r="F47" s="2" t="inlineStr">
        <is>
          <t>ยับยั้งการทำงานของ serotonin</t>
        </is>
      </c>
      <c r="G47" s="2" t="inlineStr">
        <is>
          <t>ลด neuroplasticity ของ neuron</t>
        </is>
      </c>
      <c r="H47" s="2" t="inlineStr">
        <is>
          <t>ยับยั้งการสร้าง neuron ในสมอง</t>
        </is>
      </c>
      <c r="I47" s="8" t="inlineStr">
        <is>
          <t>1</t>
        </is>
      </c>
      <c r="J47" s="2" t="inlineStr">
        <is>
          <t>✅ คำตอบที่ถูกต้อง: ข้อ ก. เพิ่ม monoamine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เพิ่ม monoamine การเลือก เพิ่ม monoamine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(ยังยั้งการทำงานสมองส่วน amygdala): ข้อนี้ไม่ใช่คำตอบที่ถูกต้องสำหรับภาวะ Anxiety/depression เนื่องจากกลไกการออกฤทธิ์, efficacy หรือข้อบ่งใช้ไม่ตรงกับโจทย์ที่กำหนด
• ข้อ ค. (ยับยั้งการทำงานของ serotonin): ข้อนี้ไม่ใช่คำตอบที่ถูกต้องสำหรับภาวะ Anxiety/depression เนื่องจากกลไกการออกฤทธิ์, efficacy หรือข้อบ่งใช้ไม่ตรงกับโจทย์ที่กำหนด
• ข้อ ง. (ลด neuroplasticity ของ neuron): ข้อนี้ไม่ใช่คำตอบที่ถูกต้องสำหรับภาวะ Anxiety/depression เนื่องจากกลไกการออกฤทธิ์, efficacy หรือข้อบ่งใช้ไม่ตรงกับโจทย์ที่กำหนด
• ข้อ จ. (ยับยั้งการสร้าง neuron ในสมอง):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7" s="2" t="n"/>
      <c r="L47" s="2" t="inlineStr">
        <is>
          <t>Anxiety/depression</t>
        </is>
      </c>
      <c r="M47" s="2" t="inlineStr">
        <is>
          <t>Clinic</t>
        </is>
      </c>
      <c r="N47" s="2" t="inlineStr">
        <is>
          <t>ข้อ 1 (PLE_CC1_2562_Key.md)</t>
        </is>
      </c>
      <c r="O47" s="2" t="inlineStr">
        <is>
          <t>ข้อสอบจริง</t>
        </is>
      </c>
      <c r="P47" s="2" t="inlineStr">
        <is>
          <t>ปี 2562</t>
        </is>
      </c>
    </row>
    <row r="48" ht="13.2" customHeight="1" s="37">
      <c r="A48" s="8" t="inlineStr">
        <is>
          <t>46</t>
        </is>
      </c>
      <c r="B48" s="2" t="inlineStr">
        <is>
          <t>ข้อใดไม่ใช่อาการที่ไม่พึงประสงค์ที่พบบ่อยของ fluoxetine X 4 - balanci full response G</t>
        </is>
      </c>
      <c r="C48" s="2" t="n"/>
      <c r="D48" s="2" t="inlineStr">
        <is>
          <t>Insomnia</t>
        </is>
      </c>
      <c r="E48" s="2" t="inlineStr">
        <is>
          <t>Sexual dysfunction</t>
        </is>
      </c>
      <c r="F48" s="2" t="inlineStr">
        <is>
          <t>Anorexia</t>
        </is>
      </c>
      <c r="G48" s="2" t="inlineStr">
        <is>
          <t>Renal failure</t>
        </is>
      </c>
      <c r="H48" s="2" t="inlineStr">
        <is>
          <t>Diarrhea</t>
        </is>
      </c>
      <c r="I48" s="8" t="inlineStr">
        <is>
          <t>1</t>
        </is>
      </c>
      <c r="J48" s="2" t="inlineStr">
        <is>
          <t>✅ คำตอบที่ถูกต้อง: ข้อ ก. Insomnia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Insomnia การเลือก Insomnia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(Sexual dysfunction): ข้อนี้ไม่ใช่คำตอบที่ถูกต้องสำหรับภาวะ Anxiety/depression เนื่องจากกลไกการออกฤทธิ์, efficacy หรือข้อบ่งใช้ไม่ตรงกับโจทย์ที่กำหนด
• ข้อ ค. (Anorexia): ข้อนี้ไม่ใช่คำตอบที่ถูกต้องสำหรับภาวะ Anxiety/depression เนื่องจากกลไกการออกฤทธิ์, efficacy หรือข้อบ่งใช้ไม่ตรงกับโจทย์ที่กำหนด
• ข้อ ง. (Renal failure): ข้อนี้ไม่ใช่คำตอบที่ถูกต้องสำหรับภาวะ Anxiety/depression เนื่องจากกลไกการออกฤทธิ์, efficacy หรือข้อบ่งใช้ไม่ตรงกับโจทย์ที่กำหนด
• ข้อ จ. (Diarrhea):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48" s="2" t="n"/>
      <c r="L48" s="2" t="inlineStr">
        <is>
          <t>Anxiety/depression</t>
        </is>
      </c>
      <c r="M48" s="2" t="inlineStr">
        <is>
          <t>Clinic</t>
        </is>
      </c>
      <c r="N48" s="2" t="inlineStr">
        <is>
          <t>ข้อ 4 (PLE_CC1_2562_Key.md)</t>
        </is>
      </c>
      <c r="O48" s="2" t="inlineStr">
        <is>
          <t>ข้อสอบจริง</t>
        </is>
      </c>
      <c r="P48" s="2" t="inlineStr">
        <is>
          <t>ปี 2562</t>
        </is>
      </c>
    </row>
    <row r="49" ht="13.2" customHeight="1" s="37">
      <c r="A49" s="8" t="inlineStr">
        <is>
          <t>47</t>
        </is>
      </c>
      <c r="B49" s="2" t="inlineStr">
        <is>
          <t>หลังจากใช้ fluoxetine ไประยะหนึ่งแพทย์พบว่าผู้ป่วยไม่ตอบสนองต่อการรักษา จึงต้องการปรับเปลี่ยนยาโดยแพทย์ ~ - ~ ~ ~ - -X ต้องการรักษาซึมเศร้าที่ช่วยในการนอนหลับและเพิ่มความอยากอาหาร ยาใดเหมาะสมที่สุด</t>
        </is>
      </c>
      <c r="C49" s="2" t="n"/>
      <c r="D49" s="2" t="inlineStr">
        <is>
          <t>Sertraline</t>
        </is>
      </c>
      <c r="E49" s="2" t="inlineStr">
        <is>
          <t>Venlafaxine</t>
        </is>
      </c>
      <c r="F49" s="2" t="inlineStr">
        <is>
          <t>Bupropion</t>
        </is>
      </c>
      <c r="G49" s="2" t="inlineStr">
        <is>
          <t>Mirtazapine</t>
        </is>
      </c>
      <c r="H49" s="2" t="inlineStr">
        <is>
          <t>Paroxetine</t>
        </is>
      </c>
      <c r="I49" s="8" t="inlineStr">
        <is>
          <t>1</t>
        </is>
      </c>
      <c r="J49" s="2" t="inlineStr">
        <is>
          <t>✅ คำตอบที่ถูกต้อง: ข้อ ก. Sertraline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Sertraline การเลือก Sertraline เป็นคำตอบที่ถูกต้องตามแนวทางการรักษามาตรฐาน เนื่องจาก เป็น SSRI ที่มี safety สูงในผู้ป่วยโรคหัวใจ (cardiovascular safety profile ดีที่สุด) เหมาะสำหรับ post-MI depression
🔍 ข้ออื่นผิดเพราะอะไร:
• ข้อ ข. (Venlafaxine): ข้อนี้ไม่ใช่คำตอบที่ถูกต้องสำหรับภาวะ Anxiety/depression เนื่องจากกลไกการออกฤทธิ์, efficacy หรือข้อบ่งใช้ไม่ตรงกับโจทย์ที่กำหนด
• ข้อ ค. (Bupropion): เป็น NDRI ใช้ช่วยเลิกบุหรี่และรักษาซึมเศร้า แต่มี contraindication ในผู้ป่วยประวัติชัก (seizure disorder) หรือ anorexia/bulimia nervosa
• ข้อ ง. (Mirtazapine): ข้อนี้ไม่ใช่คำตอบที่ถูกต้องสำหรับภาวะ Anxiety/depression เนื่องจากกลไกการออกฤทธิ์, efficacy หรือข้อบ่งใช้ไม่ตรงกับโจทย์ที่กำหนด
• ข้อ จ. (Paroxetine):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49" s="2" t="n"/>
      <c r="L49" s="2" t="inlineStr">
        <is>
          <t>Anxiety/depression</t>
        </is>
      </c>
      <c r="M49" s="2" t="inlineStr">
        <is>
          <t>Clinic</t>
        </is>
      </c>
      <c r="N49" s="2" t="inlineStr">
        <is>
          <t>ข้อ 5 (PLE_CC1_2562_Key.md)</t>
        </is>
      </c>
      <c r="O49" s="2" t="inlineStr">
        <is>
          <t>ข้อสอบจริง</t>
        </is>
      </c>
      <c r="P49" s="2" t="inlineStr">
        <is>
          <t>ปี 2562</t>
        </is>
      </c>
    </row>
    <row r="50" ht="13.2" customHeight="1" s="37">
      <c r="A50" s="8" t="inlineStr">
        <is>
          <t>48</t>
        </is>
      </c>
      <c r="B50" s="2" t="inlineStr">
        <is>
          <t>ยาที่ไม่ควรใช้ในการเลิกบุหรี่ของผู้ป่วยรายนี คือ</t>
        </is>
      </c>
      <c r="C50" s="2" t="n"/>
      <c r="D50" s="2" t="inlineStr">
        <is>
          <t>Nicotine gum</t>
        </is>
      </c>
      <c r="E50" s="2" t="inlineStr">
        <is>
          <t>Nicotine patch</t>
        </is>
      </c>
      <c r="F50" s="2" t="inlineStr">
        <is>
          <t>Bupropion</t>
        </is>
      </c>
      <c r="G50" s="2" t="inlineStr">
        <is>
          <t>Varenicline</t>
        </is>
      </c>
      <c r="H50" s="2" t="inlineStr">
        <is>
          <t>Nortriptyline</t>
        </is>
      </c>
      <c r="I50" s="8" t="inlineStr">
        <is>
          <t>1</t>
        </is>
      </c>
      <c r="J50" s="2" t="inlineStr">
        <is>
          <t>✅ คำตอบที่ถูกต้อง: ข้อ ก. Nicotine gum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Nicotine gum การเลือก Nicotine gum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(Nicotine patch): เป็น Nicotine Replacement Therapy (NRT) ช่วยบรรเทา withdrawal symptoms ใน smoking cessation โดยหลีกเลี่ยงสารก่อมะเร็งในควันบุหรี่
• ข้อ ค. (Bupropion): เป็น NDRI ใช้ช่วยเลิกบุหรี่และรักษาซึมเศร้า แต่มี contraindication ในผู้ป่วยประวัติชัก (seizure disorder) หรือ anorexia/bulimia nervosa
• ข้อ ง. (Varenicline): เป็น alpha-4 beta-2 nicotinic acetylcholine receptor partial agonist มี efficacy สูงสุดในการช่วยเลิกบุหรี่ แต่ต้องระวัง neuropsychiatric symptoms และ vivid dreams
• ข้อ จ. (Nortriptyline):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2" t="n"/>
      <c r="L50" s="2" t="inlineStr">
        <is>
          <t>Tobacco dependence</t>
        </is>
      </c>
      <c r="M50" s="2" t="inlineStr">
        <is>
          <t>Clinic</t>
        </is>
      </c>
      <c r="N50" s="2" t="inlineStr">
        <is>
          <t>ข้อ 13 (PLE_CC1_2559.md)</t>
        </is>
      </c>
      <c r="O50" s="2" t="inlineStr">
        <is>
          <t>ข้อสอบจริง</t>
        </is>
      </c>
      <c r="P50" s="2" t="inlineStr">
        <is>
          <t>ปี 2559</t>
        </is>
      </c>
    </row>
    <row r="51" ht="13.2" customHeight="1" s="37">
      <c r="A51" s="8" t="inlineStr">
        <is>
          <t>49</t>
        </is>
      </c>
      <c r="B51" s="2" t="inlineStr">
        <is>
          <t>ยาตัวใดที่มีผลข้างเคียงท้าให้ผันร้าย และนอนไม่หลับได้ หลับยาก</t>
        </is>
      </c>
      <c r="C51" s="2" t="n"/>
      <c r="D51" s="2" t="inlineStr">
        <is>
          <t>ATV/r</t>
        </is>
      </c>
      <c r="E51" s="2" t="inlineStr">
        <is>
          <t>EFV</t>
        </is>
      </c>
      <c r="F51" s="2" t="inlineStr">
        <is>
          <t>LPV/r</t>
        </is>
      </c>
      <c r="G51" s="2" t="inlineStr">
        <is>
          <t>RPV</t>
        </is>
      </c>
      <c r="H51" s="2" t="inlineStr">
        <is>
          <t>TDF ml ประกอบไปด้วย Enfuvirtide 90 mg Mannitol 22.55 mg Sodium carbonate Sodium hydroxide และ HCl หลังผสม pH = 9.0</t>
        </is>
      </c>
      <c r="I51" s="8" t="inlineStr">
        <is>
          <t>1</t>
        </is>
      </c>
      <c r="J51" s="2" t="inlineStr">
        <is>
          <t>✅ คำตอบที่ถูกต้อง: ข้อ ก. ATV/r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ATV/r ยา enfuvirtide ผลึกสีขาว, เป็น lyophilized powder, บริหารโดยการให้ทาง SC, reconstitute ด้วย SWFI 1.1 ml ซึ่ง 1
🔍 ข้ออื่นผิดเพราะอะไร:
• ข้อ ข. (EFV): ข้อนี้ไม่ใช่คำตอบที่ถูกต้องสำหรับภาวะ Insomnia เนื่องจากกลไกการออกฤทธิ์, efficacy หรือข้อบ่งใช้ไม่ตรงกับโจทย์ที่กำหนด
• ข้อ ค. (LPV/r): ข้อนี้ไม่ใช่คำตอบที่ถูกต้องสำหรับภาวะ Insomnia เนื่องจากกลไกการออกฤทธิ์, efficacy หรือข้อบ่งใช้ไม่ตรงกับโจทย์ที่กำหนด
• ข้อ ง. (RPV): ข้อนี้ไม่ใช่คำตอบที่ถูกต้องสำหรับภาวะ Insomnia เนื่องจากกลไกการออกฤทธิ์, efficacy หรือข้อบ่งใช้ไม่ตรงกับโจทย์ที่กำหนด
• ข้อ จ. (TDF ml ประกอบไปด้วย Enfuvirtide 90 mg Mannitol 22.55 mg Sodium carbonate Sodium hydroxide และ HCl หลังผสม pH = 9.0): เป็น Diluent ชนิด non-hygroscopic ให้ negative heat of solution (รู้สึกเย็นในปาก) นิยมใช้ใน chewable tablets และ orally disintegrating tablets (ODTs)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2" t="n"/>
      <c r="L51" s="2" t="inlineStr">
        <is>
          <t>Insomnia</t>
        </is>
      </c>
      <c r="M51" s="2" t="inlineStr">
        <is>
          <t>Clinic</t>
        </is>
      </c>
      <c r="N51" s="2" t="inlineStr">
        <is>
          <t>ข้อ 48 (PLE_CC1_2559.md)</t>
        </is>
      </c>
      <c r="O51" s="2" t="inlineStr">
        <is>
          <t>ข้อสอบจริง</t>
        </is>
      </c>
      <c r="P51" s="2" t="inlineStr">
        <is>
          <t>ปี 2559</t>
        </is>
      </c>
    </row>
    <row r="52" ht="13.2" customHeight="1" s="37">
      <c r="A52" s="8" t="inlineStr">
        <is>
          <t>50</t>
        </is>
      </c>
      <c r="B52" s="2" t="inlineStr">
        <is>
          <t>ยากลุ่ม benzodiazepine เกี่ยวข้องกับไอออนใด</t>
        </is>
      </c>
      <c r="C52" s="2" t="n"/>
      <c r="D52" s="2" t="inlineStr">
        <is>
          <t>Na+</t>
        </is>
      </c>
      <c r="E52" s="2" t="inlineStr">
        <is>
          <t>K+</t>
        </is>
      </c>
      <c r="F52" s="2" t="inlineStr">
        <is>
          <t>Cl-</t>
        </is>
      </c>
      <c r="G52" s="2" t="inlineStr">
        <is>
          <t>Ca2+</t>
        </is>
      </c>
      <c r="H52" s="2" t="inlineStr">
        <is>
          <t>HCO3- Lot 1 Lot 2 น ้าหนักยาเม็ด Assay 400 390 400 385 %label amount 97-101</t>
        </is>
      </c>
      <c r="I52" s="8" t="inlineStr">
        <is>
          <t>1</t>
        </is>
      </c>
      <c r="J52" s="2" t="inlineStr">
        <is>
          <t>✅ คำตอบที่ถูกต้อง: ข้อ ก. Na+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Na+ การเลือก Na+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(K+): ข้อนี้ไม่ใช่คำตอบที่ถูกต้องสำหรับภาวะ Anxiety/depression เนื่องจากกลไกการออกฤทธิ์, efficacy หรือข้อบ่งใช้ไม่ตรงกับโจทย์ที่กำหนด
• ข้อ ค. (Cl-): ข้อนี้ไม่ใช่คำตอบที่ถูกต้องสำหรับภาวะ Anxiety/depression เนื่องจากกลไกการออกฤทธิ์, efficacy หรือข้อบ่งใช้ไม่ตรงกับโจทย์ที่กำหนด
• ข้อ ง. (Ca2+): ข้อนี้ไม่ใช่คำตอบที่ถูกต้องสำหรับภาวะ Anxiety/depression เนื่องจากกลไกการออกฤทธิ์, efficacy หรือข้อบ่งใช้ไม่ตรงกับโจทย์ที่กำหนด
• ข้อ จ. (HCO3- Lot 1 Lot 2 น ้าหนักยาเม็ด Assay 400 390 400 385 %label amount 97-101):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52" s="2" t="n"/>
      <c r="L52" s="2" t="inlineStr">
        <is>
          <t>Anxiety/depression</t>
        </is>
      </c>
      <c r="M52" s="2" t="inlineStr">
        <is>
          <t>Clinic</t>
        </is>
      </c>
      <c r="N52" s="2" t="inlineStr">
        <is>
          <t>ข้อ 90 (PLE_CC1_2559.md)</t>
        </is>
      </c>
      <c r="O52" s="2" t="inlineStr">
        <is>
          <t>ข้อสอบจริง</t>
        </is>
      </c>
      <c r="P52" s="2" t="inlineStr">
        <is>
          <t>ปี 2559</t>
        </is>
      </c>
    </row>
    <row r="53" ht="13.2" customHeight="1" s="37">
      <c r="A53" s="8" t="inlineStr">
        <is>
          <t>51</t>
        </is>
      </c>
      <c r="B53" s="2" t="inlineStr">
        <is>
          <t>ผู้ป่วยเป็นโรคนอนไม่หลับแบบไหนมีอาการยังไง -</t>
        </is>
      </c>
      <c r="C53" s="2" t="n"/>
      <c r="D53" s="2" t="inlineStr">
        <is>
          <t>Short term, difficulty falling asleep</t>
        </is>
      </c>
      <c r="E53" s="2" t="inlineStr">
        <is>
          <t>Short term, difficulty falling asleep, maintaining sleep</t>
        </is>
      </c>
      <c r="F53" s="2" t="inlineStr">
        <is>
          <t>Chronic, difficulty falling asleep</t>
        </is>
      </c>
      <c r="G53" s="2" t="inlineStr">
        <is>
          <t>Chronic, difficulty maintaining sleep</t>
        </is>
      </c>
      <c r="H53" s="2" t="inlineStr">
        <is>
          <t>Chronic, difficulty falling asleep, maintaining sleep</t>
        </is>
      </c>
      <c r="I53" s="8" t="inlineStr">
        <is>
          <t>1</t>
        </is>
      </c>
      <c r="J53" s="2" t="inlineStr">
        <is>
          <t>✅ คำตอบที่ถูกต้อง: ข้อ ก. Short term, difficulty falling asleep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Short term, difficulty falling asleep การเลือก Short term, difficulty falling asleep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(Short term, difficulty falling asleep, maintaining sleep): ข้อนี้ไม่ใช่คำตอบที่ถูกต้องสำหรับภาวะ Insomnia เนื่องจากกลไกการออกฤทธิ์, efficacy หรือข้อบ่งใช้ไม่ตรงกับโจทย์ที่กำหนด
• ข้อ ค. (Chronic, difficulty falling asleep): ข้อนี้ไม่ใช่คำตอบที่ถูกต้องสำหรับภาวะ Insomnia เนื่องจากกลไกการออกฤทธิ์, efficacy หรือข้อบ่งใช้ไม่ตรงกับโจทย์ที่กำหนด
• ข้อ ง. (Chronic, difficulty maintaining sleep): ข้อนี้ไม่ใช่คำตอบที่ถูกต้องสำหรับภาวะ Insomnia เนื่องจากกลไกการออกฤทธิ์, efficacy หรือข้อบ่งใช้ไม่ตรงกับโจทย์ที่กำหนด
• ข้อ จ. (Chronic, difficulty falling asleep, maintaining sleep):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2" t="n"/>
      <c r="L53" s="2" t="inlineStr">
        <is>
          <t>Insomnia</t>
        </is>
      </c>
      <c r="M53" s="2" t="inlineStr">
        <is>
          <t>Clinic</t>
        </is>
      </c>
      <c r="N53" s="2" t="inlineStr">
        <is>
          <t>ข้อ 1 (PLE_CC1_2558_Key.md)</t>
        </is>
      </c>
      <c r="O53" s="2" t="inlineStr">
        <is>
          <t>ข้อสอบจริง</t>
        </is>
      </c>
      <c r="P53" s="2" t="inlineStr">
        <is>
          <t>ปี 2558</t>
        </is>
      </c>
    </row>
    <row r="54" ht="13.2" customHeight="1" s="37">
      <c r="A54" s="8" t="inlineStr">
        <is>
          <t>52</t>
        </is>
      </c>
      <c r="B54" s="2" t="inlineStr">
        <is>
          <t>ข้อใดเป็นสาเหตุหลักที่ทำให้นอนไม่หลับ</t>
        </is>
      </c>
      <c r="C54" s="2" t="n"/>
      <c r="D54" s="2" t="inlineStr">
        <is>
          <t>อ้วน</t>
        </is>
      </c>
      <c r="E54" s="2" t="inlineStr">
        <is>
          <t>เศร้าเรื่องพ่อตาย</t>
        </is>
      </c>
      <c r="F54" s="2" t="inlineStr">
        <is>
          <t>กังวลเรื่องแม่ป่วย</t>
        </is>
      </c>
      <c r="G54" s="2" t="inlineStr">
        <is>
          <t>เครียดจากหน้าที่การงาน</t>
        </is>
      </c>
      <c r="H54" s="2" t="inlineStr">
        <is>
          <t>อ้วน</t>
        </is>
      </c>
      <c r="I54" s="8" t="inlineStr">
        <is>
          <t>1</t>
        </is>
      </c>
      <c r="J54" s="2" t="inlineStr">
        <is>
          <t>✅ คำตอบที่ถูกต้อง: ข้อ ก. อ้วน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อ้วน การเลือก อ้วน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(เศร้าเรื่องพ่อตาย): ข้อนี้ไม่ใช่คำตอบที่ถูกต้องสำหรับภาวะ Insomnia เนื่องจากกลไกการออกฤทธิ์, efficacy หรือข้อบ่งใช้ไม่ตรงกับโจทย์ที่กำหนด
• ข้อ ค. (กังวลเรื่องแม่ป่วย): ข้อนี้ไม่ใช่คำตอบที่ถูกต้องสำหรับภาวะ Insomnia เนื่องจากกลไกการออกฤทธิ์, efficacy หรือข้อบ่งใช้ไม่ตรงกับโจทย์ที่กำหนด
• ข้อ ง. (เครียดจากหน้าที่การงาน): ข้อนี้ไม่ใช่คำตอบที่ถูกต้องสำหรับภาวะ Insomnia เนื่องจากกลไกการออกฤทธิ์, efficacy หรือข้อบ่งใช้ไม่ตรงกับโจทย์ที่กำหนด
• ข้อ จ. (อ้วน):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 s="2" t="n"/>
      <c r="L54" s="2" t="inlineStr">
        <is>
          <t>Insomnia</t>
        </is>
      </c>
      <c r="M54" s="2" t="inlineStr">
        <is>
          <t>Clinic</t>
        </is>
      </c>
      <c r="N54" s="2" t="inlineStr">
        <is>
          <t>ข้อ 2 (PLE_CC1_2558_Key.md)</t>
        </is>
      </c>
      <c r="O54" s="2" t="inlineStr">
        <is>
          <t>ข้อสอบจริง</t>
        </is>
      </c>
      <c r="P54" s="2" t="inlineStr">
        <is>
          <t>ปี 2558</t>
        </is>
      </c>
    </row>
    <row r="55" ht="13.2" customHeight="1" s="37">
      <c r="A55" s="8" t="inlineStr">
        <is>
          <t>53</t>
        </is>
      </c>
      <c r="B55" s="2" t="inlineStr">
        <is>
          <t>ข้อใดถูกต้องเกี่ยวกับการแนะนำการเลิกบุหรี่</t>
        </is>
      </c>
      <c r="C55" s="2" t="n"/>
      <c r="D55" s="2" t="inlineStr">
        <is>
          <t>ควรหยุดสูบบุหรี่เมื่อมีการใช้ nicotine replacement ทันที</t>
        </is>
      </c>
      <c r="E55" s="2" t="inlineStr">
        <is>
          <t>เมื่อเคี้ยวไว้ห้ามกลืนน้ำลายประมาณ 1 นาที</t>
        </is>
      </c>
      <c r="F55" s="2" t="inlineStr">
        <is>
          <t>เมื่อเคี้ยวหมากฝรั่ง nicotine ควรหลีกเลี่ยงการดื่มน้ำส้ม น้ำอัดลม อย่างน้อย 15 นาที</t>
        </is>
      </c>
      <c r="G55" s="2" t="inlineStr">
        <is>
          <t>การใช้ยา Bupropion อาจจะเพิ่มความเสี่ยงต่อการเกิดการชักได้</t>
        </is>
      </c>
      <c r="H55" s="2" t="inlineStr">
        <is>
          <t>ถูกทุกข้อ</t>
        </is>
      </c>
      <c r="I55" s="8" t="inlineStr">
        <is>
          <t>1</t>
        </is>
      </c>
      <c r="J55" s="2" t="inlineStr">
        <is>
          <t>✅ คำตอบที่ถูกต้อง: ข้อ ก. ควรหยุดสูบบุหรี่เมื่อมีการใช้ nicotine replacement ทันที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ควรหยุดสูบบุหรี่เมื่อมีการใช้ nicotine replacement ทันที การเลือก ควรหยุดสูบบุหรี่เมื่อมีการใช้ nicotine replacement ทันที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(เมื่อเคี้ยวไว้ห้ามกลืนน้ำลายประมาณ 1 นาที): ข้อนี้ไม่ใช่คำตอบที่ถูกต้องสำหรับภาวะ Tobacco dependence เนื่องจากกลไกการออกฤทธิ์, efficacy หรือข้อบ่งใช้ไม่ตรงกับโจทย์ที่กำหนด
• ข้อ ค. (เมื่อเคี้ยวหมากฝรั่ง nicotine ควรหลีกเลี่ยงการดื่มน้ำส้ม น้ำอัดลม อย่างน้อย 15 นาที): เป็น Nicotine Replacement Therapy (NRT) ช่วยบรรเทา withdrawal symptoms ใน smoking cessation โดยหลีกเลี่ยงสารก่อมะเร็งในควันบุหรี่
• ข้อ ง. (การใช้ยา Bupropion อาจจะเพิ่มความเสี่ยงต่อการเกิดการชักได้): เป็น NDRI ใช้ช่วยเลิกบุหรี่และรักษาซึมเศร้า แต่มี contraindication ในผู้ป่วยประวัติชัก (seizure disorder) หรือ anorexia/bulimia nervosa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2" t="n"/>
      <c r="L55" s="2" t="inlineStr">
        <is>
          <t>Tobacco dependence</t>
        </is>
      </c>
      <c r="M55" s="2" t="inlineStr">
        <is>
          <t>Clinic</t>
        </is>
      </c>
      <c r="N55" s="2" t="inlineStr">
        <is>
          <t>ข้อ 55 (Pharmtutor_2024_Set1.md)</t>
        </is>
      </c>
      <c r="O55" s="2" t="inlineStr">
        <is>
          <t>Mock</t>
        </is>
      </c>
      <c r="P55" s="2" t="inlineStr">
        <is>
          <t>Mock Pharmtutor 2024</t>
        </is>
      </c>
    </row>
    <row r="56" ht="13.2" customHeight="1" s="37">
      <c r="A56" s="8" t="inlineStr">
        <is>
          <t>54</t>
        </is>
      </c>
      <c r="B56" s="2" t="inlineStr">
        <is>
          <t>ยาในกลุ่มใดที่เป็นยาทางเลือกแรก ในการรักษาภาวะซึมเศร้าในกลุ่มที่ไม่มีข้อห้ามใช้</t>
        </is>
      </c>
      <c r="C56" s="2" t="n"/>
      <c r="D56" s="2" t="inlineStr">
        <is>
          <t>TCA</t>
        </is>
      </c>
      <c r="E56" s="2" t="inlineStr">
        <is>
          <t>SNRI</t>
        </is>
      </c>
      <c r="F56" s="2" t="inlineStr">
        <is>
          <t>SSRI</t>
        </is>
      </c>
      <c r="G56" s="2" t="inlineStr">
        <is>
          <t>BZPs</t>
        </is>
      </c>
      <c r="H56" s="2" t="inlineStr">
        <is>
          <t>SDRI</t>
        </is>
      </c>
      <c r="I56" s="8" t="inlineStr">
        <is>
          <t>1</t>
        </is>
      </c>
      <c r="J56" s="2" t="inlineStr">
        <is>
          <t>✅ คำตอบที่ถูกต้อง: ข้อ ก. TCA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TCA การเลือก TCA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(SNRI): ข้อนี้ไม่ใช่คำตอบที่ถูกต้องสำหรับภาวะ Anxiety/depression เนื่องจากกลไกการออกฤทธิ์, efficacy หรือข้อบ่งใช้ไม่ตรงกับโจทย์ที่กำหนด
• ข้อ ค. (SSRI): ข้อนี้ไม่ใช่คำตอบที่ถูกต้องสำหรับภาวะ Anxiety/depression เนื่องจากกลไกการออกฤทธิ์, efficacy หรือข้อบ่งใช้ไม่ตรงกับโจทย์ที่กำหนด
• ข้อ ง. (BZPs): ข้อนี้ไม่ใช่คำตอบที่ถูกต้องสำหรับภาวะ Anxiety/depression เนื่องจากกลไกการออกฤทธิ์, efficacy หรือข้อบ่งใช้ไม่ตรงกับโจทย์ที่กำหนด
• ข้อ จ. (SDRI):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56" s="2" t="n"/>
      <c r="L56" s="2" t="inlineStr">
        <is>
          <t>Anxiety/depression</t>
        </is>
      </c>
      <c r="M56" s="2" t="inlineStr">
        <is>
          <t>Clinic</t>
        </is>
      </c>
      <c r="N56" s="2" t="inlineStr">
        <is>
          <t>ข้อ 56 (Pharmtutor_2024_Set1.md)</t>
        </is>
      </c>
      <c r="O56" s="2" t="inlineStr">
        <is>
          <t>Mock</t>
        </is>
      </c>
      <c r="P56" s="2" t="inlineStr">
        <is>
          <t>Mock Pharmtutor 2024</t>
        </is>
      </c>
    </row>
    <row r="57" ht="13.2" customHeight="1" s="37">
      <c r="A57" s="8" t="inlineStr">
        <is>
          <t>55</t>
        </is>
      </c>
      <c r="B57" s="2" t="inlineStr">
        <is>
          <t>นักศึกษาชายไทยอายุ 21 ปี พบว่า 2 สัปดาห์ที่ผ่านมา มีอาการนอนไม่หลับ รับประทานอาหารน้อยกว่าปกติ รวมถึงมีอาการกระวนกระวายเมื่อต้องเข้าสังคม หรือต้องนำเสนองานหน้าห้องเรียน ซึ่งเมื่อซักประวัติเพิ่มเติมพบว่า ผู้ป่วยรายนี้มีอาการเครียดจากการได้คะแนนสอบน้อยที่สุดในห้อง และเมื่อเข้านอนพบว่ากว่านักศึกษาคนนี้จะหลับใช้เวลานานเป้นชั่วโมง ข้อใดคือยาที่เหมาะสมในการรักษาผู้ป่วยรายนี้</t>
        </is>
      </c>
      <c r="C57" s="2" t="n"/>
      <c r="D57" s="2" t="inlineStr">
        <is>
          <t>Clozapine</t>
        </is>
      </c>
      <c r="E57" s="2" t="inlineStr">
        <is>
          <t>Fluoxetine</t>
        </is>
      </c>
      <c r="F57" s="2" t="inlineStr">
        <is>
          <t>Lorazepam</t>
        </is>
      </c>
      <c r="G57" s="2" t="inlineStr">
        <is>
          <t>Clonazepam</t>
        </is>
      </c>
      <c r="H57" s="2" t="inlineStr">
        <is>
          <t>Amitriptyline</t>
        </is>
      </c>
      <c r="I57" s="8" t="inlineStr">
        <is>
          <t>1</t>
        </is>
      </c>
      <c r="J57" s="2" t="inlineStr">
        <is>
          <t>✅ คำตอบที่ถูกต้อง: ข้อ ก. Clozapine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Clozapine การเลือก Clozapine เป็นคำตอบที่ถูกต้องตามแนวทางการรักษามาตรฐาน เนื่องจาก เป็น atypical antipsychotic สำหรับ treatment-resistant schizophrenia ที่มี efficacy สูงสุด แต่มี black box warning เรื่อง agranulocytosis (ต้องตรวจ CBC สม่ำเสมอ), myocarditis และชัก
🔍 ข้ออื่นผิดเพราะอะไร:
• ข้อ ข. (Fluoxetine): เป็น SSRI มี half-life ยาวที่สุดในกลุ่ม (ร่วมกับ active metabolite norfluoxetine) จึงมี discontinuation syndrome ต่ำ แต่ยับยั้ง CYP2D6 สูง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(Clonazepam): ข้อนี้ไม่ใช่คำตอบที่ถูกต้องสำหรับภาวะ Insomnia เนื่องจากกลไกการออกฤทธิ์, efficacy หรือข้อบ่งใช้ไม่ตรงกับโจทย์ที่กำหนด
• ข้อ จ. (Amitriptyline):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2" t="n"/>
      <c r="L57" s="2" t="inlineStr">
        <is>
          <t>Insomnia</t>
        </is>
      </c>
      <c r="M57" s="2" t="inlineStr">
        <is>
          <t>Clinic</t>
        </is>
      </c>
      <c r="N57" s="2" t="inlineStr">
        <is>
          <t>ข้อ 58 (Pharmtutor_2024_Set1.md)</t>
        </is>
      </c>
      <c r="O57" s="2" t="inlineStr">
        <is>
          <t>Mock</t>
        </is>
      </c>
      <c r="P57" s="2" t="inlineStr">
        <is>
          <t>Mock Pharmtutor 2024</t>
        </is>
      </c>
    </row>
    <row r="58" ht="13.2" customHeight="1" s="37">
      <c r="A58" s="8" t="inlineStr">
        <is>
          <t>56</t>
        </is>
      </c>
      <c r="B58" s="2" t="inlineStr">
        <is>
          <t>Fluoxetine จะถูก metabolized ที_x001E_ตำแหน่งใด เพื_x001E_อ เปลี_x001E_ยนเป็น norfluoxetine A B C D E (1) A (2) B (3) C (4) D (5) E</t>
        </is>
      </c>
      <c r="C58" s="2" t="n"/>
      <c r="D58" s="2" t="inlineStr">
        <is>
          <t>Fluoxetine 20 mg OD</t>
        </is>
      </c>
      <c r="E58" s="2" t="inlineStr">
        <is>
          <t>Sertraline 50 mg OD</t>
        </is>
      </c>
      <c r="F58" s="2" t="inlineStr">
        <is>
          <t>Escitalopram 10 mg OD</t>
        </is>
      </c>
      <c r="G58" s="2" t="inlineStr">
        <is>
          <t>Venlafaxine 75 mg OD</t>
        </is>
      </c>
      <c r="H58" s="2" t="inlineStr">
        <is>
          <t>Amitriptyline 10 mg HS</t>
        </is>
      </c>
      <c r="I58" s="8" t="inlineStr">
        <is>
          <t>1</t>
        </is>
      </c>
      <c r="J58" s="2"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58" s="2" t="n"/>
      <c r="L58" s="2" t="inlineStr">
        <is>
          <t>Anxiety/depression</t>
        </is>
      </c>
      <c r="M58" s="2" t="inlineStr">
        <is>
          <t>Clinic</t>
        </is>
      </c>
      <c r="N58" s="2" t="inlineStr">
        <is>
          <t>ข้อ 55 (PLE_CC1_2557.md)</t>
        </is>
      </c>
      <c r="O58" s="2" t="inlineStr">
        <is>
          <t>ข้อสอบจริง</t>
        </is>
      </c>
      <c r="P58" s="2" t="inlineStr">
        <is>
          <t>ปี 2557</t>
        </is>
      </c>
    </row>
    <row r="59" ht="13.2" customHeight="1" s="37">
      <c r="A59" s="8" t="inlineStr">
        <is>
          <t>57</t>
        </is>
      </c>
      <c r="B59" s="2" t="inlineStr">
        <is>
          <t>ผู้ป่วยถือซองยามาขอซื้อ diazepam แต่ไม่มีใบสั่งแพทย์ เภสัชขายไม่ได้ ถามว่า เภสัชกรสามารถจ่ายอะไรแทนได้ เพื่อให้ผู้ป่วยนอนหลับ</t>
        </is>
      </c>
      <c r="C59" s="2" t="n"/>
      <c r="D59" s="2" t="inlineStr">
        <is>
          <t>Venlafaxine 75 mg OD</t>
        </is>
      </c>
      <c r="E59" s="2" t="inlineStr">
        <is>
          <t>Amitriptyline 10 mg HS</t>
        </is>
      </c>
      <c r="F59" s="2" t="inlineStr">
        <is>
          <t>Lorazepam 1 mg HS</t>
        </is>
      </c>
      <c r="G59" s="2" t="inlineStr">
        <is>
          <t>Alprazolam 0.5 mg HS</t>
        </is>
      </c>
      <c r="H59" s="2" t="inlineStr">
        <is>
          <t>Diazepam 5 mg HS</t>
        </is>
      </c>
      <c r="I59" s="8" t="inlineStr">
        <is>
          <t>1</t>
        </is>
      </c>
      <c r="J59"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n"/>
      <c r="L59" s="2" t="inlineStr">
        <is>
          <t>Insomnia</t>
        </is>
      </c>
      <c r="M59" s="2" t="inlineStr">
        <is>
          <t>Clinic</t>
        </is>
      </c>
      <c r="N59" s="2" t="inlineStr">
        <is>
          <t>ข้อ 7 (PLE_CC1_2556.md)</t>
        </is>
      </c>
      <c r="O59" s="2" t="inlineStr">
        <is>
          <t>ข้อสอบจริง</t>
        </is>
      </c>
      <c r="P59" s="2" t="inlineStr">
        <is>
          <t>ปี 2556</t>
        </is>
      </c>
    </row>
    <row r="60" ht="13.2" customHeight="1" s="37">
      <c r="A60" s="8" t="inlineStr">
        <is>
          <t>58</t>
        </is>
      </c>
      <c r="B60" s="2" t="inlineStr">
        <is>
          <t>สถานการณ์ที่ 6 (ลูกปลา 024/ ฝน หอวัง 067) ผู้ป่วยชายคู่อายุ 25 ปีมาพบเภสัชกรที่ร้านยาด้วยอาการนอนไม่หลับโดยเล่าว่านอนหลับยากใช้เวลานานกว่าจะหลับแต่เมื่อ 51.หากจะจ่ายยาท่านจะเลือกจ่ายยาในข้อใดจึงจะเหมาะสมที่สุด</t>
        </is>
      </c>
      <c r="C60" s="2" t="n"/>
      <c r="D60" s="2" t="inlineStr">
        <is>
          <t>Lorazepam</t>
        </is>
      </c>
      <c r="E60" s="2" t="inlineStr">
        <is>
          <t>Flurazepam</t>
        </is>
      </c>
      <c r="F60" s="2" t="inlineStr">
        <is>
          <t>Temazepam</t>
        </is>
      </c>
      <c r="G60" s="2" t="inlineStr">
        <is>
          <t>Diazepam</t>
        </is>
      </c>
      <c r="H60" s="2" t="inlineStr">
        <is>
          <t>Chlorazepate Temazepamและ Lorazepamเป็น intermediate acting benzodiazepinesเหมาะสำหรับใช้เพื่อเหนี่ยวนำการหลับ แต่จากการค้นฐานข้อมูลพบว่า ไม่มีข้อมูลทะเบียนยา Temazepamในไทย Flurazepam, Diazepam, Chlorazepateเป็น long acting benzodiazepinesเหมาะสำหรับใช้เพื่อให้นอนหลับสนิทตลอดทั้งคืน (Ref: เว็บไซต์สำนักงานอาหารและยา, หนังสือติวพี่แม็ก) (แต่หนังสือ pharmacology ของอ.มหิดลบอกว่า Flurazepamมีฤทธิ์เหนี่ยวนำให้หลับ(sleep induction หรือ ลด latency time เพิ่มระยะเวลาการหลับ) 52.ข้อใดคือกลไกของยากลุ่ม benzodiazepines</t>
        </is>
      </c>
      <c r="I60" s="8" t="inlineStr">
        <is>
          <t>2</t>
        </is>
      </c>
      <c r="J60" s="2" t="inlineStr">
        <is>
          <t>✅ คำตอบที่ถูกต้อง: ข้อ ข. Flurazepam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Flurazepam ส่งผลให้เปิด Cl-channel ทำให้เกิดฤทธิ์ในทาง inhibitory process:sedative-hypnotic, anticonvulsant, muscle  ที่ phenyl ring ตำแหน่ง C2,เพิ่ม activity เมื่อ ortho-sub (2’)หรือ di-ortho-sub (2’, 6’) [steric effect] (diluents), silicon dioxide (glidant), talcum (glidant) และ PVP (binder)ต่างใช้ในหน้าที่อื่นของตำรับ แล้วไม่ได้ผลควรใช้ยา specific treatment คือ Ergot alkaloid &amp; deriv. หรือ Serotonin receptor agonist เช่น
🔍 ข้ออื่นผิดเพราะอะไร:
• ข้อ ก. (Lorazepam): เป็น Benzodiazepine กลุ่ม LOT (Lorazepam, Oxazepam, Temazepam) ที่ผ่าน hepatic Phase II glucuronidation โดยตรง ไม่ผ่าน CYP oxidation จึงปลอดภัยกว่าในผู้สูงอายุและโรคตับ
• ข้อ ค. (Temazepam): ข้อนี้ไม่ใช่คำตอบที่ถูกต้องสำหรับภาวะ Insomnia เนื่องจากกลไกการออกฤทธิ์, efficacy หรือข้อบ่งใช้ไม่ตรงกับโจทย์ที่กำหนด
• ข้อ ง. (Diazepam): เป็น long-acting Benzodiazepine มี active metabolites (nordiazepam) สะสมในผู้สูงอายุ ทำให้ง่วงซึม หกล้ม เสี่ยง fracture
• ข้อ จ. (Chlorazepate Temazepamและ Lorazepamเป็น intermediate acting benzodiazepinesเหมาะสำหรับใช้เพื่อเหนี่ยวนำการหลับ แต่จากการค้นฐานข้อมูลพบว่า ไม่มีข้อมูลทะเบียนยา Temazepamในไทย Flurazepam, Diazepam, Chlorazepateเป็น long acting benzodiazepinesเหมาะสำหรับใช้เพื่อให้นอนหลับสนิทตลอดทั้งคืน (Ref: เว็บไซต์สำนักงานอาหารและยา, หนังสือติวพี่แม็ก) (แต่หนังสือ pharmacology ของอ.มหิดลบอกว่า Flurazepamมีฤทธิ์เหนี่ยวนำให้หลับ(sleep induction หรือ ลด latency time เพิ่มระยะเวลาการหลับ) 52.ข้อใดคือกลไกของยากลุ่ม benzodiazepines):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n"/>
      <c r="L60" s="2" t="inlineStr">
        <is>
          <t>Insomnia</t>
        </is>
      </c>
      <c r="M60" s="2" t="inlineStr">
        <is>
          <t>Clinic</t>
        </is>
      </c>
      <c r="N60" s="2" t="inlineStr">
        <is>
          <t>ข้อ ๒๕๕๐ (PLE_CC1_2554 SET2.md)</t>
        </is>
      </c>
      <c r="O60" s="2" t="inlineStr">
        <is>
          <t>ข้อสอบจริง</t>
        </is>
      </c>
      <c r="P60" s="2" t="inlineStr">
        <is>
          <t>ปี 2554</t>
        </is>
      </c>
    </row>
    <row r="61" ht="13.2" customHeight="1" s="37">
      <c r="A61" s="8" t="inlineStr">
        <is>
          <t>59</t>
        </is>
      </c>
      <c r="B61" s="2" t="inlineStr">
        <is>
          <t>ชายไทยคุ้อาย่65 ปีได้รับการวินิจฉัยจากแพทย์วุามีภาวะInsomnia ยาใน ข้อใดตุอไปนี้ไมุใชุยาที่ใช้ในการรักษาภาวะInsomnia</t>
        </is>
      </c>
      <c r="C61" s="2" t="n"/>
      <c r="D61" s="2" t="inlineStr">
        <is>
          <t>CPM</t>
        </is>
      </c>
      <c r="E61" s="2" t="inlineStr">
        <is>
          <t>Phenobarbital</t>
        </is>
      </c>
      <c r="F61" s="2" t="inlineStr">
        <is>
          <t>Chloral hydrate</t>
        </is>
      </c>
      <c r="G61" s="2" t="inlineStr">
        <is>
          <t>Clonazepam</t>
        </is>
      </c>
      <c r="H61" s="2" t="inlineStr">
        <is>
          <t>Haloperidol (จ)</t>
        </is>
      </c>
      <c r="I61" s="8" t="inlineStr">
        <is>
          <t>1</t>
        </is>
      </c>
      <c r="J61" s="2" t="inlineStr">
        <is>
          <t>✅ คำตอบที่ถูกต้อง: ข้อ ก. CPM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CPM การเลือก CPM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(Phenobarbital): ข้อนี้ไม่ใช่คำตอบที่ถูกต้องสำหรับภาวะ Insomnia เนื่องจากกลไกการออกฤทธิ์, efficacy หรือข้อบ่งใช้ไม่ตรงกับโจทย์ที่กำหนด
• ข้อ ค. (Chloral hydrate): ข้อนี้ไม่ใช่คำตอบที่ถูกต้องสำหรับภาวะ Insomnia เนื่องจากกลไกการออกฤทธิ์, efficacy หรือข้อบ่งใช้ไม่ตรงกับโจทย์ที่กำหนด
• ข้อ ง. (Clonazepam): ข้อนี้ไม่ใช่คำตอบที่ถูกต้องสำหรับภาวะ Insomnia เนื่องจากกลไกการออกฤทธิ์, efficacy หรือข้อบ่งใช้ไม่ตรงกับโจทย์ที่กำหนด
• ข้อ จ. (Haloperidol (จ)): เป็น First-generation (typical) antipsychotic ยับยั้ง D2 receptor สูง เสี่ยงต่อ Extrapyramidal symptoms (EPS), acute dystonia, akathisia และ tardive dyskinesia สูง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n"/>
      <c r="L61" s="2" t="inlineStr">
        <is>
          <t>Insomnia</t>
        </is>
      </c>
      <c r="M61" s="2" t="inlineStr">
        <is>
          <t>Clinic</t>
        </is>
      </c>
      <c r="N61" s="2" t="inlineStr">
        <is>
          <t>ข้อ 5 (PLE_CC1_2547.md)</t>
        </is>
      </c>
      <c r="O61" s="2" t="inlineStr">
        <is>
          <t>ข้อสอบจริง</t>
        </is>
      </c>
      <c r="P61" s="2" t="inlineStr">
        <is>
          <t>ปี 2547</t>
        </is>
      </c>
    </row>
    <row r="62" ht="13.2" customHeight="1" s="37">
      <c r="A62" s="8" t="inlineStr">
        <is>
          <t>60</t>
        </is>
      </c>
      <c r="B62" s="2" t="inlineStr">
        <is>
          <t>ข้อใดถ้กต้องเกี่ยวกับโครงสร้างและความสัมพันธ์ในการออกฤทธิ์ของยา นอนหลับDiazepam โครงสร้างDiazepam</t>
        </is>
      </c>
      <c r="C62" s="2" t="n"/>
      <c r="D62" s="2" t="inlineStr">
        <is>
          <t>Fluoxetine 20 mg OD</t>
        </is>
      </c>
      <c r="E62" s="2" t="inlineStr">
        <is>
          <t>Sertraline 50 mg OD</t>
        </is>
      </c>
      <c r="F62" s="2" t="inlineStr">
        <is>
          <t>Escitalopram 10 mg OD</t>
        </is>
      </c>
      <c r="G62" s="2" t="inlineStr">
        <is>
          <t>Venlafaxine 75 mg OD</t>
        </is>
      </c>
      <c r="H62" s="2" t="inlineStr">
        <is>
          <t>Amitriptyline 10 mg HS</t>
        </is>
      </c>
      <c r="I62" s="8" t="inlineStr">
        <is>
          <t>1</t>
        </is>
      </c>
      <c r="J62" s="2" t="inlineStr">
        <is>
          <t>✅ คำตอบที่ถูกต้อง: ข้อ ก. Fluoxetine 20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Insomnia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62" s="2" t="n"/>
      <c r="L62" s="2" t="inlineStr">
        <is>
          <t>Insomnia</t>
        </is>
      </c>
      <c r="M62" s="2" t="inlineStr">
        <is>
          <t>Clinic</t>
        </is>
      </c>
      <c r="N62" s="2" t="inlineStr">
        <is>
          <t>ข้อ 8 (PLE_CC1_2547.md)</t>
        </is>
      </c>
      <c r="O62" s="2" t="inlineStr">
        <is>
          <t>ข้อสอบจริง</t>
        </is>
      </c>
      <c r="P62" s="2" t="inlineStr">
        <is>
          <t>ปี 2547</t>
        </is>
      </c>
    </row>
    <row r="63" ht="13.2" customHeight="1" s="37">
      <c r="A63" s="8" t="inlineStr">
        <is>
          <t>61</t>
        </is>
      </c>
      <c r="B63" s="2" t="inlineStr">
        <is>
          <t>มีความแรงในการออกฤทธิ์มากกวุาDiazepam เนื่องจากมีC12 อะตอม</t>
        </is>
      </c>
      <c r="C63" s="2" t="n"/>
      <c r="D63" s="2" t="inlineStr">
        <is>
          <t>Venlafaxine 75 mg OD</t>
        </is>
      </c>
      <c r="E63" s="2" t="inlineStr">
        <is>
          <t>Amitriptyline 10 mg HS</t>
        </is>
      </c>
      <c r="F63" s="2" t="inlineStr">
        <is>
          <t>Lorazepam 1 mg HS</t>
        </is>
      </c>
      <c r="G63" s="2" t="inlineStr">
        <is>
          <t>Alprazolam 0.5 mg HS</t>
        </is>
      </c>
      <c r="H63" s="2" t="inlineStr">
        <is>
          <t>Diazepam 5 mg HS</t>
        </is>
      </c>
      <c r="I63" s="8" t="inlineStr">
        <is>
          <t>1</t>
        </is>
      </c>
      <c r="J63"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n"/>
      <c r="L63" s="2" t="inlineStr">
        <is>
          <t>Insomnia</t>
        </is>
      </c>
      <c r="M63" s="2" t="inlineStr">
        <is>
          <t>Clinic</t>
        </is>
      </c>
      <c r="N63" s="2" t="inlineStr">
        <is>
          <t>ข้อ 1 (PLE_CC1_2547.md)</t>
        </is>
      </c>
      <c r="O63" s="2" t="inlineStr">
        <is>
          <t>ข้อสอบจริง</t>
        </is>
      </c>
      <c r="P63" s="2" t="inlineStr">
        <is>
          <t>ปี 2547</t>
        </is>
      </c>
    </row>
    <row r="64" ht="13.2" customHeight="1" s="37">
      <c r="A64" s="8" t="inlineStr">
        <is>
          <t>62</t>
        </is>
      </c>
      <c r="B64" s="2" t="inlineStr">
        <is>
          <t>มีระยะเวลาในการออกฤทธิ์สั้นกวุาDiazepam เนื่องจากละลายในไข มันได้มากวุา</t>
        </is>
      </c>
      <c r="C64" s="2" t="n"/>
      <c r="D64" s="2" t="inlineStr">
        <is>
          <t>Alprazolam 0.5 mg HS</t>
        </is>
      </c>
      <c r="E64" s="2" t="inlineStr">
        <is>
          <t>Diazepam 5 mg HS</t>
        </is>
      </c>
      <c r="F64" s="2" t="inlineStr">
        <is>
          <t>Zolpidem 10 mg HS</t>
        </is>
      </c>
      <c r="G64" s="2" t="inlineStr">
        <is>
          <t>Nicotine gum 2 mg PRN</t>
        </is>
      </c>
      <c r="H64" s="2" t="inlineStr">
        <is>
          <t>Quetiapine 25 mg HS</t>
        </is>
      </c>
      <c r="I64" s="8" t="inlineStr">
        <is>
          <t>1</t>
        </is>
      </c>
      <c r="J64" s="2" t="inlineStr">
        <is>
          <t>✅ คำตอบที่ถูกต้อง: ข้อ ก. Alprazolam 0.5 mg HS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n"/>
      <c r="L64" s="2" t="inlineStr">
        <is>
          <t>Insomnia</t>
        </is>
      </c>
      <c r="M64" s="2" t="inlineStr">
        <is>
          <t>Clinic</t>
        </is>
      </c>
      <c r="N64" s="2" t="inlineStr">
        <is>
          <t>ข้อ 2 (PLE_CC1_2547.md)</t>
        </is>
      </c>
      <c r="O64" s="2" t="inlineStr">
        <is>
          <t>ข้อสอบจริง</t>
        </is>
      </c>
      <c r="P64" s="2" t="inlineStr">
        <is>
          <t>ปี 2547</t>
        </is>
      </c>
    </row>
    <row r="65" ht="13.2" customHeight="1" s="37">
      <c r="A65" s="8" t="inlineStr">
        <is>
          <t>63</t>
        </is>
      </c>
      <c r="B65" s="2" t="inlineStr">
        <is>
          <t>มีระยะเวลาในการออกฤทธิ์สั้นDiazepam เนื่องจากสามารถถ้กเมตา บอไลต์ได้เร็ว</t>
        </is>
      </c>
      <c r="C65" s="2" t="n"/>
      <c r="D65" s="2" t="inlineStr">
        <is>
          <t>Nicotine gum 2 mg PRN</t>
        </is>
      </c>
      <c r="E65" s="2" t="inlineStr">
        <is>
          <t>Quetiapine 25 mg HS</t>
        </is>
      </c>
      <c r="F65" s="2" t="inlineStr">
        <is>
          <t>Risperidone 2 mg OD</t>
        </is>
      </c>
      <c r="G65" s="2" t="inlineStr">
        <is>
          <t>Fluoxetine 20 mg OD</t>
        </is>
      </c>
      <c r="H65" s="2" t="inlineStr">
        <is>
          <t>Sertraline 50 mg OD</t>
        </is>
      </c>
      <c r="I65" s="8" t="inlineStr">
        <is>
          <t>1</t>
        </is>
      </c>
      <c r="J65" s="2" t="inlineStr">
        <is>
          <t>✅ คำตอบที่ถูกต้อง: ข้อ ก. Nicotine gum 2 mg PRN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Insomnia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5" s="2" t="n"/>
      <c r="L65" s="2" t="inlineStr">
        <is>
          <t>Insomnia</t>
        </is>
      </c>
      <c r="M65" s="2" t="inlineStr">
        <is>
          <t>Clinic</t>
        </is>
      </c>
      <c r="N65" s="2" t="inlineStr">
        <is>
          <t>ข้อ 3 (PLE_CC1_2547.md)</t>
        </is>
      </c>
      <c r="O65" s="2" t="inlineStr">
        <is>
          <t>ข้อสอบจริง</t>
        </is>
      </c>
      <c r="P65" s="2" t="inlineStr">
        <is>
          <t>ปี 2547</t>
        </is>
      </c>
    </row>
    <row r="66" ht="13.2" customHeight="1" s="37">
      <c r="A66" s="8" t="inlineStr">
        <is>
          <t>64</t>
        </is>
      </c>
      <c r="B66" s="2" t="inlineStr">
        <is>
          <t>มีระยะเวลาที่ยารออกฤทธิ์เร็วกวุาDiazepam เนื่องจากสามารถผุาน BBB ได้ดี</t>
        </is>
      </c>
      <c r="C66" s="2" t="n"/>
      <c r="D66" s="2" t="inlineStr">
        <is>
          <t>Fluoxetine 20 mg OD</t>
        </is>
      </c>
      <c r="E66" s="2" t="inlineStr">
        <is>
          <t>Sertraline 50 mg OD</t>
        </is>
      </c>
      <c r="F66" s="2" t="inlineStr">
        <is>
          <t>Escitalopram 10 mg OD</t>
        </is>
      </c>
      <c r="G66" s="2" t="inlineStr">
        <is>
          <t>Venlafaxine 75 mg OD</t>
        </is>
      </c>
      <c r="H66" s="2" t="inlineStr">
        <is>
          <t>Amitriptyline 10 mg HS</t>
        </is>
      </c>
      <c r="I66" s="8" t="inlineStr">
        <is>
          <t>1</t>
        </is>
      </c>
      <c r="J66" s="2" t="inlineStr">
        <is>
          <t>✅ คำตอบที่ถูกต้อง: ข้อ ก. Fluoxetine 20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Insomnia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66" s="2" t="n"/>
      <c r="L66" s="2" t="inlineStr">
        <is>
          <t>Insomnia</t>
        </is>
      </c>
      <c r="M66" s="2" t="inlineStr">
        <is>
          <t>Clinic</t>
        </is>
      </c>
      <c r="N66" s="2" t="inlineStr">
        <is>
          <t>ข้อ 4 (PLE_CC1_2547.md)</t>
        </is>
      </c>
      <c r="O66" s="2" t="inlineStr">
        <is>
          <t>ข้อสอบจริง</t>
        </is>
      </c>
      <c r="P66" s="2" t="inlineStr">
        <is>
          <t>ปี 2547</t>
        </is>
      </c>
    </row>
    <row r="67" ht="13.2" customHeight="1" s="37">
      <c r="A67" s="8" t="inlineStr">
        <is>
          <t>65</t>
        </is>
      </c>
      <c r="B67" s="2" t="inlineStr">
        <is>
          <t>มีระยะเวลาที่ยารออกฤทธิ์ช้ากวุาDiazepam เนื่องจากมีC-OH (ก)</t>
        </is>
      </c>
      <c r="C67" s="2" t="n"/>
      <c r="D67" s="2" t="inlineStr">
        <is>
          <t>Venlafaxine 75 mg OD</t>
        </is>
      </c>
      <c r="E67" s="2" t="inlineStr">
        <is>
          <t>Amitriptyline 10 mg HS</t>
        </is>
      </c>
      <c r="F67" s="2" t="inlineStr">
        <is>
          <t>Lorazepam 1 mg HS</t>
        </is>
      </c>
      <c r="G67" s="2" t="inlineStr">
        <is>
          <t>Alprazolam 0.5 mg HS</t>
        </is>
      </c>
      <c r="H67" s="2" t="inlineStr">
        <is>
          <t>Diazepam 5 mg HS</t>
        </is>
      </c>
      <c r="I67" s="8" t="inlineStr">
        <is>
          <t>1</t>
        </is>
      </c>
      <c r="J67"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n"/>
      <c r="L67" s="2" t="inlineStr">
        <is>
          <t>Insomnia</t>
        </is>
      </c>
      <c r="M67" s="2" t="inlineStr">
        <is>
          <t>Clinic</t>
        </is>
      </c>
      <c r="N67" s="2" t="inlineStr">
        <is>
          <t>ข้อ 5 (PLE_CC1_2547.md)</t>
        </is>
      </c>
      <c r="O67" s="2" t="inlineStr">
        <is>
          <t>ข้อสอบจริง</t>
        </is>
      </c>
      <c r="P67" s="2" t="inlineStr">
        <is>
          <t>ปี 2547</t>
        </is>
      </c>
    </row>
    <row r="68" ht="13.2" customHeight="1" s="37">
      <c r="A68" s="8" t="inlineStr">
        <is>
          <t>66</t>
        </is>
      </c>
      <c r="B68" s="2" t="inlineStr">
        <is>
          <t>ยาใดถูกถอนจากตลาดเนื่องจากทำให้เกิด serious psychiatric disorders (anxiety, depression, suicidal thinking) และยาใดสามารถจ่ายในร้านยาได้ตามลำดับ</t>
        </is>
      </c>
      <c r="C68" s="2" t="n"/>
      <c r="D68" s="2" t="inlineStr">
        <is>
          <t>Sibutramine, Lorcaserin</t>
        </is>
      </c>
      <c r="E68" s="2" t="inlineStr">
        <is>
          <t>Rimonabant, Orlistat</t>
        </is>
      </c>
      <c r="F68" s="2" t="inlineStr">
        <is>
          <t>Phentermine, Orlistat</t>
        </is>
      </c>
      <c r="G68" s="2" t="inlineStr">
        <is>
          <t>Rimonabant, Lorcaserin</t>
        </is>
      </c>
      <c r="H68" s="2" t="inlineStr">
        <is>
          <t>Sibutramine, Orlistat 98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I68" s="8" t="inlineStr">
        <is>
          <t>1</t>
        </is>
      </c>
      <c r="J68" s="2" t="inlineStr">
        <is>
          <t>✅ คำตอบที่ถูกต้อง: ข้อ ก. Sibutramine, Lorcaserin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Sibutramine, Lorcaserin การเลือก Sibutramine, Lorcaserin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(Rimonabant, Orlistat): ข้อนี้ไม่ใช่คำตอบที่ถูกต้องสำหรับภาวะ Anxiety/depression เนื่องจากกลไกการออกฤทธิ์, efficacy หรือข้อบ่งใช้ไม่ตรงกับโจทย์ที่กำหนด
• ข้อ ค. (Phentermine, Orlistat): ข้อนี้ไม่ใช่คำตอบที่ถูกต้องสำหรับภาวะ Anxiety/depression เนื่องจากกลไกการออกฤทธิ์, efficacy หรือข้อบ่งใช้ไม่ตรงกับโจทย์ที่กำหนด
• ข้อ ง. (Rimonabant, Lorcaserin): ข้อนี้ไม่ใช่คำตอบที่ถูกต้องสำหรับภาวะ Anxiety/depression เนื่องจากกลไกการออกฤทธิ์, efficacy หรือข้อบ่งใช้ไม่ตรงกับโจทย์ที่กำหนด
• ข้อ จ. (Sibutramine, Orlistat 98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8" s="2" t="n"/>
      <c r="L68" s="2" t="inlineStr">
        <is>
          <t>Anxiety/depression</t>
        </is>
      </c>
      <c r="M68" s="2" t="inlineStr">
        <is>
          <t>Clinic</t>
        </is>
      </c>
      <c r="N68" s="2" t="inlineStr">
        <is>
          <t>ข้อ 39 (PLE_CC1_Practice_Exam.md)</t>
        </is>
      </c>
      <c r="O68" s="2" t="inlineStr">
        <is>
          <t>Mock</t>
        </is>
      </c>
      <c r="P68" s="2" t="inlineStr">
        <is>
          <t>Mock สภาเภสัชฯ Practice</t>
        </is>
      </c>
    </row>
    <row r="69" ht="13.2" customHeight="1" s="37">
      <c r="A69" s="8" t="inlineStr">
        <is>
          <t>67</t>
        </is>
      </c>
      <c r="B69" s="2" t="inlineStr">
        <is>
          <t>ตอบ ข. Rimonabant, Orlistat เนื่องจาก Rimonabant เป็นยาที่ทำให้เกิดผลข้างเคียงทางระบบประสาทที่รุนแรง คือ seizures, depression, anxiety, aggressiveness, and suicidal thoughts ซึ่งได้ถูกถอนออกจากทะเบียนยา ในปี ค.ศ.2007 และยา Orlistat เป็นยาที่สามารถจ่ายในร้านยาได้</t>
        </is>
      </c>
      <c r="C69" s="2" t="n"/>
      <c r="D69" s="2" t="inlineStr">
        <is>
          <t>Nicotine gum 2 mg PRN</t>
        </is>
      </c>
      <c r="E69" s="2" t="inlineStr">
        <is>
          <t>Quetiapine 25 mg HS</t>
        </is>
      </c>
      <c r="F69" s="2" t="inlineStr">
        <is>
          <t>Risperidone 2 mg OD</t>
        </is>
      </c>
      <c r="G69" s="2" t="inlineStr">
        <is>
          <t>Fluoxetine 20 mg OD</t>
        </is>
      </c>
      <c r="H69" s="2" t="inlineStr">
        <is>
          <t>Sertraline 50 mg OD</t>
        </is>
      </c>
      <c r="I69" s="8" t="inlineStr">
        <is>
          <t>1</t>
        </is>
      </c>
      <c r="J69" s="2"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9" s="2" t="n"/>
      <c r="L69" s="2" t="inlineStr">
        <is>
          <t>Anxiety/depression</t>
        </is>
      </c>
      <c r="M69" s="2" t="inlineStr">
        <is>
          <t>Clinic</t>
        </is>
      </c>
      <c r="N69" s="2" t="inlineStr">
        <is>
          <t>ข้อ 39 (PLE_CC1_Practice_Exam.md)</t>
        </is>
      </c>
      <c r="O69" s="2" t="inlineStr">
        <is>
          <t>Mock</t>
        </is>
      </c>
      <c r="P69" s="2" t="inlineStr">
        <is>
          <t>Mock สภาเภสัชฯ Practice</t>
        </is>
      </c>
    </row>
    <row r="70" ht="13.2" customHeight="1" s="37">
      <c r="A70" s="8" t="inlineStr">
        <is>
          <t>68</t>
        </is>
      </c>
      <c r="B70" s="2" t="inlineStr">
        <is>
          <t>Fluoxetine 180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70" s="2" t="n"/>
      <c r="D70" s="2" t="inlineStr">
        <is>
          <t>Fluoxetine 20 mg OD</t>
        </is>
      </c>
      <c r="E70" s="2" t="inlineStr">
        <is>
          <t>Sertraline 50 mg OD</t>
        </is>
      </c>
      <c r="F70" s="2" t="inlineStr">
        <is>
          <t>Escitalopram 10 mg OD</t>
        </is>
      </c>
      <c r="G70" s="2" t="inlineStr">
        <is>
          <t>Venlafaxine 75 mg OD</t>
        </is>
      </c>
      <c r="H70" s="2" t="inlineStr">
        <is>
          <t>Amitriptyline 10 mg HS</t>
        </is>
      </c>
      <c r="I70" s="8" t="inlineStr">
        <is>
          <t>1</t>
        </is>
      </c>
      <c r="J70" s="2"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70" s="2" t="n"/>
      <c r="L70" s="2" t="inlineStr">
        <is>
          <t>Anxiety/depression</t>
        </is>
      </c>
      <c r="M70" s="2" t="inlineStr">
        <is>
          <t>Clinic</t>
        </is>
      </c>
      <c r="N70" s="2" t="inlineStr">
        <is>
          <t>ข้อ 5 (PLE_CC1_Practice_Exam.md)</t>
        </is>
      </c>
      <c r="O70" s="2" t="inlineStr">
        <is>
          <t>Mock</t>
        </is>
      </c>
      <c r="P70" s="2" t="inlineStr">
        <is>
          <t>Mock สภาเภสัชฯ Practice</t>
        </is>
      </c>
    </row>
    <row r="71" ht="13.2" customHeight="1" s="37">
      <c r="A71" s="8" t="inlineStr">
        <is>
          <t>69</t>
        </is>
      </c>
      <c r="B71" s="2" t="inlineStr">
        <is>
          <t>ยาในข้อใดใช้เพื่อรักษา Benzodiazepine overdose</t>
        </is>
      </c>
      <c r="C71" s="2" t="n"/>
      <c r="D71" s="2" t="inlineStr">
        <is>
          <t>Venlafaxine 75 mg OD</t>
        </is>
      </c>
      <c r="E71" s="2" t="inlineStr">
        <is>
          <t>Amitriptyline 10 mg HS</t>
        </is>
      </c>
      <c r="F71" s="2" t="inlineStr">
        <is>
          <t>Lorazepam 1 mg HS</t>
        </is>
      </c>
      <c r="G71" s="2" t="inlineStr">
        <is>
          <t>Alprazolam 0.5 mg HS</t>
        </is>
      </c>
      <c r="H71" s="2" t="inlineStr">
        <is>
          <t>Diazepam 5 mg HS</t>
        </is>
      </c>
      <c r="I71" s="8" t="inlineStr">
        <is>
          <t>1</t>
        </is>
      </c>
      <c r="J71" s="2" t="inlineStr">
        <is>
          <t>✅ คำตอบที่ถูกต้อง: ข้อ ก. Venlafaxine 75 mg OD
💡 Background:
ภาวะ acute poisoning ต้องได้รับการประเมิน supportive care ควบคู่กับการให้ specific antidote อย่างทันท่วงที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1" s="2" t="n"/>
      <c r="L71" s="2" t="inlineStr">
        <is>
          <t>Anxiety/depression</t>
        </is>
      </c>
      <c r="M71" s="2" t="inlineStr">
        <is>
          <t>Clinic</t>
        </is>
      </c>
      <c r="N71" s="2" t="inlineStr">
        <is>
          <t>ข้อ 16 (PLE_CC1_Practice_Exam.md)</t>
        </is>
      </c>
      <c r="O71" s="2" t="inlineStr">
        <is>
          <t>Mock</t>
        </is>
      </c>
      <c r="P71" s="2" t="inlineStr">
        <is>
          <t>Mock สภาเภสัชฯ Practice</t>
        </is>
      </c>
    </row>
    <row r="72" ht="13.2" customHeight="1" s="37">
      <c r="A72" s="8" t="inlineStr">
        <is>
          <t>70</t>
        </is>
      </c>
      <c r="B72" s="2" t="inlineStr">
        <is>
          <t>การใช้ Nicotine patch ในผู้ป่วยที่สูบบุหรี่ 15 มวนต่อวัน ข้อใดเหมาะสมที่สุด</t>
        </is>
      </c>
      <c r="C72" s="2" t="n"/>
      <c r="D72" s="2" t="inlineStr">
        <is>
          <t>Alprazolam 0.5 mg HS</t>
        </is>
      </c>
      <c r="E72" s="2" t="inlineStr">
        <is>
          <t>Diazepam 5 mg HS</t>
        </is>
      </c>
      <c r="F72" s="2" t="inlineStr">
        <is>
          <t>Zolpidem 10 mg HS</t>
        </is>
      </c>
      <c r="G72" s="2" t="inlineStr">
        <is>
          <t>Nicotine gum 2 mg PRN</t>
        </is>
      </c>
      <c r="H72" s="2" t="inlineStr">
        <is>
          <t>Quetiapine 25 mg HS</t>
        </is>
      </c>
      <c r="I72" s="8" t="inlineStr">
        <is>
          <t>1</t>
        </is>
      </c>
      <c r="J72" s="2" t="inlineStr">
        <is>
          <t>✅ คำตอบที่ถูกต้อง: ข้อ ก. Alprazolam 0.5 mg HS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2" t="n"/>
      <c r="L72" s="2" t="inlineStr">
        <is>
          <t>Tobacco dependence</t>
        </is>
      </c>
      <c r="M72" s="2" t="inlineStr">
        <is>
          <t>Clinic</t>
        </is>
      </c>
      <c r="N72" s="2" t="inlineStr">
        <is>
          <t>ข้อ 18 (PLE_CC1_Practice_Exam.md)</t>
        </is>
      </c>
      <c r="O72" s="2" t="inlineStr">
        <is>
          <t>Mock</t>
        </is>
      </c>
      <c r="P72" s="2" t="inlineStr">
        <is>
          <t>Mock สภาเภสัชฯ Practice</t>
        </is>
      </c>
    </row>
    <row r="73" ht="13.2" customHeight="1" s="37">
      <c r="A73" s="8" t="inlineStr">
        <is>
          <t>71</t>
        </is>
      </c>
      <c r="B73" s="2" t="inlineStr">
        <is>
          <t>ข้อใดไม่ใช่ยาที่แนะนำให้ใช้ในผู้ป่วยที่ต้องการเลิกบุหรี่</t>
        </is>
      </c>
      <c r="C73" s="2" t="n"/>
      <c r="D73" s="2" t="inlineStr">
        <is>
          <t>Nicotine gum 2 mg PRN</t>
        </is>
      </c>
      <c r="E73" s="2" t="inlineStr">
        <is>
          <t>Quetiapine 25 mg HS</t>
        </is>
      </c>
      <c r="F73" s="2" t="inlineStr">
        <is>
          <t>Risperidone 2 mg OD</t>
        </is>
      </c>
      <c r="G73" s="2" t="inlineStr">
        <is>
          <t>Fluoxetine 20 mg OD</t>
        </is>
      </c>
      <c r="H73" s="2" t="inlineStr">
        <is>
          <t>Sertraline 50 mg OD</t>
        </is>
      </c>
      <c r="I73" s="8" t="inlineStr">
        <is>
          <t>1</t>
        </is>
      </c>
      <c r="J73" s="2" t="inlineStr">
        <is>
          <t>✅ คำตอบที่ถูกต้อง: ข้อ ก. Nicotine gum 2 mg PRN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Tobacco dependence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2" t="n"/>
      <c r="L73" s="2" t="inlineStr">
        <is>
          <t>Tobacco dependence</t>
        </is>
      </c>
      <c r="M73" s="2" t="inlineStr">
        <is>
          <t>Clinic</t>
        </is>
      </c>
      <c r="N73" s="2" t="inlineStr">
        <is>
          <t>ข้อ 20 (PLE_CC1_Practice_Exam.md)</t>
        </is>
      </c>
      <c r="O73" s="2" t="inlineStr">
        <is>
          <t>Mock</t>
        </is>
      </c>
      <c r="P73" s="2" t="inlineStr">
        <is>
          <t>Mock สภาเภสัชฯ Practice</t>
        </is>
      </c>
    </row>
    <row r="74" ht="13.2" customHeight="1" s="37">
      <c r="A74" s="8" t="inlineStr">
        <is>
          <t>72</t>
        </is>
      </c>
      <c r="B74" s="2" t="inlineStr">
        <is>
          <t>ในผู้ป่วยที่ต้องการเลิกบุหรี่ โดยปกติแล้วสูบบุหรี่วันละ 3 ซอง เคยมีประวัติการเลิกบุหรี่ด้วยการปรับ พฤติกรรมแต่ไม่สำเร็จ และมีโรคร่วมคือโรคซึมเศร้า การรักษาในข้อใดเหมาะสมที่สุดในการเลิกบุหรี่</t>
        </is>
      </c>
      <c r="C74" s="2" t="n"/>
      <c r="D74" s="2" t="inlineStr">
        <is>
          <t>Fluoxetine 20 mg OD</t>
        </is>
      </c>
      <c r="E74" s="2" t="inlineStr">
        <is>
          <t>Sertraline 50 mg OD</t>
        </is>
      </c>
      <c r="F74" s="2" t="inlineStr">
        <is>
          <t>Escitalopram 10 mg OD</t>
        </is>
      </c>
      <c r="G74" s="2" t="inlineStr">
        <is>
          <t>Venlafaxine 75 mg OD</t>
        </is>
      </c>
      <c r="H74" s="2" t="inlineStr">
        <is>
          <t>Amitriptyline 10 mg HS</t>
        </is>
      </c>
      <c r="I74" s="8" t="inlineStr">
        <is>
          <t>1</t>
        </is>
      </c>
      <c r="J74" s="2"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74" s="2" t="n"/>
      <c r="L74" s="2" t="inlineStr">
        <is>
          <t>Anxiety/depression</t>
        </is>
      </c>
      <c r="M74" s="2" t="inlineStr">
        <is>
          <t>Clinic</t>
        </is>
      </c>
      <c r="N74" s="2" t="inlineStr">
        <is>
          <t>ข้อ 21 (PLE_CC1_Practice_Exam.md)</t>
        </is>
      </c>
      <c r="O74" s="2" t="inlineStr">
        <is>
          <t>Mock</t>
        </is>
      </c>
      <c r="P74" s="2" t="inlineStr">
        <is>
          <t>Mock สภาเภสัชฯ Practice</t>
        </is>
      </c>
    </row>
    <row r="75" ht="13.2" customHeight="1" s="37">
      <c r="A75" s="8" t="inlineStr">
        <is>
          <t>73</t>
        </is>
      </c>
      <c r="B75" s="2" t="inlineStr">
        <is>
          <t>ผู้ป่วยชายไทยคู่อายุ 45 ปี สูบบุหรี่มาเป็นระยะเวลา 15 ปี ต้องการเลิกบุหรี่ มีโรคประจำตัวคือโรคลมชัก ไม่มีประวัติแพ้ยา ยาใดที่ไม่ควรให้แก่ผู้ป่วยรายนี้เพื่อเลิกบุหรี่</t>
        </is>
      </c>
      <c r="C75" s="2" t="n"/>
      <c r="D75" s="2" t="inlineStr">
        <is>
          <t>Venlafaxine 75 mg OD</t>
        </is>
      </c>
      <c r="E75" s="2" t="inlineStr">
        <is>
          <t>Amitriptyline 10 mg HS</t>
        </is>
      </c>
      <c r="F75" s="2" t="inlineStr">
        <is>
          <t>Lorazepam 1 mg HS</t>
        </is>
      </c>
      <c r="G75" s="2" t="inlineStr">
        <is>
          <t>Alprazolam 0.5 mg HS</t>
        </is>
      </c>
      <c r="H75" s="2" t="inlineStr">
        <is>
          <t>Diazepam 5 mg HS</t>
        </is>
      </c>
      <c r="I75" s="8" t="inlineStr">
        <is>
          <t>1</t>
        </is>
      </c>
      <c r="J75" s="2" t="inlineStr">
        <is>
          <t>✅ คำตอบที่ถูกต้อง: ข้อ ก. Venlafaxine 75 mg OD
💡 Background:
โรคลมชัก (Epilepsy) ต้องเลือกยากันชักให้ตรงกับชนิดของการชัก โดยคำนึงถึง efficacy, drug interactions และ safety profile ของผู้ป่วย
🎯 ทำไมข้อนี้ถึงถูก:
Venlafaxine 75 mg OD การเลือก Venlafaxine 75 mg OD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2" t="n"/>
      <c r="L75" s="2" t="inlineStr">
        <is>
          <t>Tobacco dependence</t>
        </is>
      </c>
      <c r="M75" s="2" t="inlineStr">
        <is>
          <t>Clinic</t>
        </is>
      </c>
      <c r="N75" s="2" t="inlineStr">
        <is>
          <t>ข้อ 22 (PLE_CC1_Practice_Exam.md)</t>
        </is>
      </c>
      <c r="O75" s="2" t="inlineStr">
        <is>
          <t>Mock</t>
        </is>
      </c>
      <c r="P75" s="2" t="inlineStr">
        <is>
          <t>Mock สภาเภสัชฯ Practice</t>
        </is>
      </c>
    </row>
    <row r="76" ht="13.2" customHeight="1" s="37">
      <c r="A76" s="8" t="inlineStr">
        <is>
          <t>74</t>
        </is>
      </c>
      <c r="B76" s="2" t="inlineStr">
        <is>
          <t>ผู้ป่วยที่ไม่ควรได้รับ Varenicline ในการช่วยเลิกบุหรี่ คือข้อใด</t>
        </is>
      </c>
      <c r="C76" s="2" t="n"/>
      <c r="D76" s="2" t="inlineStr">
        <is>
          <t>Alprazolam 0.5 mg HS</t>
        </is>
      </c>
      <c r="E76" s="2" t="inlineStr">
        <is>
          <t>Diazepam 5 mg HS</t>
        </is>
      </c>
      <c r="F76" s="2" t="inlineStr">
        <is>
          <t>Zolpidem 10 mg HS</t>
        </is>
      </c>
      <c r="G76" s="2" t="inlineStr">
        <is>
          <t>Nicotine gum 2 mg PRN</t>
        </is>
      </c>
      <c r="H76" s="2" t="inlineStr">
        <is>
          <t>Quetiapine 25 mg HS</t>
        </is>
      </c>
      <c r="I76" s="8" t="inlineStr">
        <is>
          <t>1</t>
        </is>
      </c>
      <c r="J76" s="2" t="inlineStr">
        <is>
          <t>✅ คำตอบที่ถูกต้อง: ข้อ ก. Alprazolam 0.5 mg HS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2" t="n"/>
      <c r="L76" s="2" t="inlineStr">
        <is>
          <t>Tobacco dependence</t>
        </is>
      </c>
      <c r="M76" s="2" t="inlineStr">
        <is>
          <t>Clinic</t>
        </is>
      </c>
      <c r="N76" s="2" t="inlineStr">
        <is>
          <t>ข้อ 23 (PLE_CC1_Practice_Exam.md)</t>
        </is>
      </c>
      <c r="O76" s="2" t="inlineStr">
        <is>
          <t>Mock</t>
        </is>
      </c>
      <c r="P76" s="2" t="inlineStr">
        <is>
          <t>Mock สภาเภสัชฯ Practice</t>
        </is>
      </c>
    </row>
    <row r="77" ht="13.2" customHeight="1" s="37">
      <c r="A77" s="8" t="inlineStr">
        <is>
          <t>75</t>
        </is>
      </c>
      <c r="B77" s="2" t="inlineStr">
        <is>
          <t>มีประวัติโรคซึมเศร้า 183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77" s="2" t="n"/>
      <c r="D77" s="2" t="inlineStr">
        <is>
          <t>Nicotine gum 2 mg PRN</t>
        </is>
      </c>
      <c r="E77" s="2" t="inlineStr">
        <is>
          <t>Quetiapine 25 mg HS</t>
        </is>
      </c>
      <c r="F77" s="2" t="inlineStr">
        <is>
          <t>Risperidone 2 mg OD</t>
        </is>
      </c>
      <c r="G77" s="2" t="inlineStr">
        <is>
          <t>Fluoxetine 20 mg OD</t>
        </is>
      </c>
      <c r="H77" s="2" t="inlineStr">
        <is>
          <t>Sertraline 50 mg OD</t>
        </is>
      </c>
      <c r="I77" s="8" t="inlineStr">
        <is>
          <t>1</t>
        </is>
      </c>
      <c r="J77" s="2"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7" s="2" t="n"/>
      <c r="L77" s="2" t="inlineStr">
        <is>
          <t>Anxiety/depression</t>
        </is>
      </c>
      <c r="M77" s="2" t="inlineStr">
        <is>
          <t>Clinic</t>
        </is>
      </c>
      <c r="N77" s="2" t="inlineStr">
        <is>
          <t>ข้อ 1 (PLE_CC1_Practice_Exam.md)</t>
        </is>
      </c>
      <c r="O77" s="2" t="inlineStr">
        <is>
          <t>Mock</t>
        </is>
      </c>
      <c r="P77" s="2" t="inlineStr">
        <is>
          <t>Mock สภาเภสัชฯ Practice</t>
        </is>
      </c>
    </row>
    <row r="78" ht="13.2" customHeight="1" s="37">
      <c r="A78" s="8" t="inlineStr">
        <is>
          <t>76</t>
        </is>
      </c>
      <c r="B78" s="2" t="inlineStr">
        <is>
          <t>Zolpidem จากกรณีศึกษาจงตอบคำถามข้อ 25-26 หญิงไทยอายุ 45 ปี ช่วงนี้เครียดนอนไม่หลับมาหลายวัน ต้องใช้เวลานานกว่าจะหลับแต่ถ้าหลับแล้วจะหลับได้ ตลอดทั้งคืน</t>
        </is>
      </c>
      <c r="C78" s="2" t="n"/>
      <c r="D78" s="2" t="inlineStr">
        <is>
          <t>Fluoxetine 20 mg OD</t>
        </is>
      </c>
      <c r="E78" s="2" t="inlineStr">
        <is>
          <t>Sertraline 50 mg OD</t>
        </is>
      </c>
      <c r="F78" s="2" t="inlineStr">
        <is>
          <t>Escitalopram 10 mg OD</t>
        </is>
      </c>
      <c r="G78" s="2" t="inlineStr">
        <is>
          <t>Venlafaxine 75 mg OD</t>
        </is>
      </c>
      <c r="H78" s="2" t="inlineStr">
        <is>
          <t>Amitriptyline 10 mg HS</t>
        </is>
      </c>
      <c r="I78" s="8" t="inlineStr">
        <is>
          <t>1</t>
        </is>
      </c>
      <c r="J78" s="2" t="inlineStr">
        <is>
          <t>✅ คำตอบที่ถูกต้อง: ข้อ ก. Fluoxetine 20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Insomnia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78" s="2" t="n"/>
      <c r="L78" s="2" t="inlineStr">
        <is>
          <t>Insomnia</t>
        </is>
      </c>
      <c r="M78" s="2" t="inlineStr">
        <is>
          <t>Clinic</t>
        </is>
      </c>
      <c r="N78" s="2" t="inlineStr">
        <is>
          <t>ข้อ 5 (PLE_CC1_Practice_Exam.md)</t>
        </is>
      </c>
      <c r="O78" s="2" t="inlineStr">
        <is>
          <t>Mock</t>
        </is>
      </c>
      <c r="P78" s="2" t="inlineStr">
        <is>
          <t>Mock สภาเภสัชฯ Practice</t>
        </is>
      </c>
    </row>
    <row r="79" ht="13.2" customHeight="1" s="37">
      <c r="A79" s="8" t="inlineStr">
        <is>
          <t>77</t>
        </is>
      </c>
      <c r="B79" s="2" t="inlineStr">
        <is>
          <t>กลไกการออกฤทธิ์ของยากลุ่ม Benzodiazepines คือข้อใด</t>
        </is>
      </c>
      <c r="C79" s="2" t="n"/>
      <c r="D79" s="2" t="inlineStr">
        <is>
          <t>. กระตุ้น 5-HT receptor</t>
        </is>
      </c>
      <c r="E79" s="2" t="inlineStr">
        <is>
          <t>. กระตุ้น Dopamine receptor</t>
        </is>
      </c>
      <c r="F79" s="2" t="inlineStr">
        <is>
          <t>. กระตุ้น GABA receptor 184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G79" s="2" t="inlineStr">
        <is>
          <t>. กระตุ้น Glutamate receptor</t>
        </is>
      </c>
      <c r="H79" s="2" t="inlineStr">
        <is>
          <t>Diazepam 5 mg HS</t>
        </is>
      </c>
      <c r="I79" s="8" t="inlineStr">
        <is>
          <t>1</t>
        </is>
      </c>
      <c r="J79" s="2" t="inlineStr">
        <is>
          <t>✅ คำตอบที่ถูกต้อง: ข้อ ก. . กระตุ้น 5-HT receptor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 กระตุ้น 5-HT receptor การเลือก . กระตุ้น 5-HT receptor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 กระตุ้น Dopamine receptor): ข้อนี้ไม่ใช่คำตอบที่ถูกต้องสำหรับภาวะ Anxiety/depression เนื่องจากกลไกการออกฤทธิ์, efficacy หรือข้อบ่งใช้ไม่ตรงกับโจทย์ที่กำหนด
• ข้อ ค. (. กระตุ้น GABA receptor 184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ข้อนี้ไม่ใช่คำตอบที่ถูกต้องสำหรับภาวะ Anxiety/depression เนื่องจากกลไกการออกฤทธิ์, efficacy หรือข้อบ่งใช้ไม่ตรงกับโจทย์ที่กำหนด
• ข้อ ง. (. กระตุ้น Glutamate receptor): ข้อนี้ไม่ใช่คำตอบที่ถูกต้องสำหรับภาวะ Anxiety/depression เนื่องจากกลไกการออกฤทธิ์, efficacy หรือข้อบ่งใช้ไม่ตรงกับโจทย์ที่กำหนด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9" s="2" t="n"/>
      <c r="L79" s="2" t="inlineStr">
        <is>
          <t>Anxiety/depression</t>
        </is>
      </c>
      <c r="M79" s="2" t="inlineStr">
        <is>
          <t>Clinic</t>
        </is>
      </c>
      <c r="N79" s="2" t="inlineStr">
        <is>
          <t>ข้อ 26 (PLE_CC1_Practice_Exam.md)</t>
        </is>
      </c>
      <c r="O79" s="2" t="inlineStr">
        <is>
          <t>Mock</t>
        </is>
      </c>
      <c r="P79" s="2" t="inlineStr">
        <is>
          <t>Mock สภาเภสัชฯ Practice</t>
        </is>
      </c>
    </row>
    <row r="80" ht="13.2" customHeight="1" s="37">
      <c r="A80" s="8" t="inlineStr">
        <is>
          <t>78</t>
        </is>
      </c>
      <c r="B80" s="2" t="inlineStr">
        <is>
          <t>Haloperidol 32.ข้อใดต่อไปนี้ ไม่ใช่ อาการไม่พึงประสงค์ของยากลุ่ม Benzodiazepines</t>
        </is>
      </c>
      <c r="C80" s="2" t="n"/>
      <c r="D80" s="2" t="inlineStr">
        <is>
          <t>Alprazolam 0.5 mg HS</t>
        </is>
      </c>
      <c r="E80" s="2" t="inlineStr">
        <is>
          <t>Diazepam 5 mg HS</t>
        </is>
      </c>
      <c r="F80" s="2" t="inlineStr">
        <is>
          <t>Zolpidem 10 mg HS</t>
        </is>
      </c>
      <c r="G80" s="2" t="inlineStr">
        <is>
          <t>Nicotine gum 2 mg PRN</t>
        </is>
      </c>
      <c r="H80" s="2" t="inlineStr">
        <is>
          <t>Quetiapine 25 mg HS</t>
        </is>
      </c>
      <c r="I80" s="8" t="inlineStr">
        <is>
          <t>1</t>
        </is>
      </c>
      <c r="J80" s="2" t="inlineStr">
        <is>
          <t>✅ คำตอบที่ถูกต้อง: ข้อ ก. Alprazolam 0.5 mg HS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80" s="2" t="n"/>
      <c r="L80" s="2" t="inlineStr">
        <is>
          <t>Anxiety/depression</t>
        </is>
      </c>
      <c r="M80" s="2" t="inlineStr">
        <is>
          <t>Clinic</t>
        </is>
      </c>
      <c r="N80" s="2" t="inlineStr">
        <is>
          <t>ข้อ 5 (PLE_CC1_Practice_Exam.md)</t>
        </is>
      </c>
      <c r="O80" s="2" t="inlineStr">
        <is>
          <t>Mock</t>
        </is>
      </c>
      <c r="P80" s="2" t="inlineStr">
        <is>
          <t>Mock สภาเภสัชฯ Practice</t>
        </is>
      </c>
    </row>
    <row r="81" ht="13.2" customHeight="1" s="37">
      <c r="A81" s="8" t="inlineStr">
        <is>
          <t>79</t>
        </is>
      </c>
      <c r="B81" s="2" t="inlineStr">
        <is>
          <t>Cognitive imparement Depression</t>
        </is>
      </c>
      <c r="C81" s="2" t="n"/>
      <c r="D81" s="2" t="inlineStr">
        <is>
          <t>Nicotine gum 2 mg PRN</t>
        </is>
      </c>
      <c r="E81" s="2" t="inlineStr">
        <is>
          <t>Quetiapine 25 mg HS</t>
        </is>
      </c>
      <c r="F81" s="2" t="inlineStr">
        <is>
          <t>Risperidone 2 mg OD</t>
        </is>
      </c>
      <c r="G81" s="2" t="inlineStr">
        <is>
          <t>Fluoxetine 20 mg OD</t>
        </is>
      </c>
      <c r="H81" s="2" t="inlineStr">
        <is>
          <t>Sertraline 50 mg OD</t>
        </is>
      </c>
      <c r="I81" s="8" t="inlineStr">
        <is>
          <t>1</t>
        </is>
      </c>
      <c r="J81" s="2"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81" s="2" t="n"/>
      <c r="L81" s="2" t="inlineStr">
        <is>
          <t>Anxiety/depression</t>
        </is>
      </c>
      <c r="M81" s="2" t="inlineStr">
        <is>
          <t>Clinic</t>
        </is>
      </c>
      <c r="N81" s="2" t="inlineStr">
        <is>
          <t>ข้อ 5 (PLE_CC1_Practice_Exam.md)</t>
        </is>
      </c>
      <c r="O81" s="2" t="inlineStr">
        <is>
          <t>Mock</t>
        </is>
      </c>
      <c r="P81" s="2" t="inlineStr">
        <is>
          <t>Mock สภาเภสัชฯ Practice</t>
        </is>
      </c>
    </row>
    <row r="82" ht="13.2" customHeight="1" s="37">
      <c r="A82" s="8" t="inlineStr">
        <is>
          <t>80</t>
        </is>
      </c>
      <c r="B82" s="2" t="inlineStr">
        <is>
          <t>ผู้ป่วยชายไทยคู่ อายุ 32 ปี มีอาการซึมเศร้า นอนไม่หลับ ไม่อยากอาหาร ได้รับการวินิจฉัยเป็น Major depressive disorder ผู้ป่วยควรได้รับยาใดจึงจะเหมาะสมกับอาการดังกล่าวที่ผู้ป่วยเป็น</t>
        </is>
      </c>
      <c r="C82" s="2" t="n"/>
      <c r="D82" s="2" t="inlineStr">
        <is>
          <t>Fluoxetine 20 mg OD</t>
        </is>
      </c>
      <c r="E82" s="2" t="inlineStr">
        <is>
          <t>Sertraline 50 mg OD</t>
        </is>
      </c>
      <c r="F82" s="2" t="inlineStr">
        <is>
          <t>Escitalopram 10 mg OD</t>
        </is>
      </c>
      <c r="G82" s="2" t="inlineStr">
        <is>
          <t>Venlafaxine 75 mg OD</t>
        </is>
      </c>
      <c r="H82" s="2" t="inlineStr">
        <is>
          <t>Amitriptyline 10 mg HS</t>
        </is>
      </c>
      <c r="I82" s="8" t="inlineStr">
        <is>
          <t>1</t>
        </is>
      </c>
      <c r="J82" s="2"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2" s="2" t="n"/>
      <c r="L82" s="2" t="inlineStr">
        <is>
          <t>Anxiety/depression</t>
        </is>
      </c>
      <c r="M82" s="2" t="inlineStr">
        <is>
          <t>Clinic</t>
        </is>
      </c>
      <c r="N82" s="2" t="inlineStr">
        <is>
          <t>ข้อ 33 (PLE_CC1_Practice_Exam.md)</t>
        </is>
      </c>
      <c r="O82" s="2" t="inlineStr">
        <is>
          <t>Mock</t>
        </is>
      </c>
      <c r="P82" s="2" t="inlineStr">
        <is>
          <t>Mock สภาเภสัชฯ Practice</t>
        </is>
      </c>
    </row>
    <row r="83" ht="13.2" customHeight="1" s="37">
      <c r="A83" s="8" t="inlineStr">
        <is>
          <t>81</t>
        </is>
      </c>
      <c r="B83" s="2" t="inlineStr">
        <is>
          <t>ยาในกลุ่ม SSRIs ตัวใดที่หลังหยุดยาแล้วยังมีโอกาสเกิด serotonin syndrome ได้ หากรีบเพิ่มยาอื่นที่ เพิ่มระดับ serotonin ได้</t>
        </is>
      </c>
      <c r="C83" s="2" t="n"/>
      <c r="D83" s="2" t="inlineStr">
        <is>
          <t>Venlafaxine 75 mg OD</t>
        </is>
      </c>
      <c r="E83" s="2" t="inlineStr">
        <is>
          <t>Amitriptyline 10 mg HS</t>
        </is>
      </c>
      <c r="F83" s="2" t="inlineStr">
        <is>
          <t>Lorazepam 1 mg HS</t>
        </is>
      </c>
      <c r="G83" s="2" t="inlineStr">
        <is>
          <t>Alprazolam 0.5 mg HS</t>
        </is>
      </c>
      <c r="H83" s="2" t="inlineStr">
        <is>
          <t>Diazepam 5 mg HS</t>
        </is>
      </c>
      <c r="I83" s="8" t="inlineStr">
        <is>
          <t>1</t>
        </is>
      </c>
      <c r="J83" s="2" t="inlineStr">
        <is>
          <t>✅ คำตอบที่ถูกต้อง: ข้อ ก. Venlafaxine 75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83" s="2" t="n"/>
      <c r="L83" s="2" t="inlineStr">
        <is>
          <t>Anxiety/depression</t>
        </is>
      </c>
      <c r="M83" s="2" t="inlineStr">
        <is>
          <t>Clinic</t>
        </is>
      </c>
      <c r="N83" s="2" t="inlineStr">
        <is>
          <t>ข้อ 38 (PLE_CC1_Practice_Exam.md)</t>
        </is>
      </c>
      <c r="O83" s="2" t="inlineStr">
        <is>
          <t>Mock</t>
        </is>
      </c>
      <c r="P83" s="2" t="inlineStr">
        <is>
          <t>Mock สภาเภสัชฯ Practice</t>
        </is>
      </c>
    </row>
    <row r="84" ht="13.2" customHeight="1" s="37">
      <c r="A84" s="8" t="inlineStr">
        <is>
          <t>82</t>
        </is>
      </c>
      <c r="B84" s="2" t="inlineStr">
        <is>
          <t>ผู้ป่วยอายุ 22 ปี ส่วนสูง 174 cm มีอารมณ์เศร้า ไม่ค่อยอยากทำอะไร รับประทานอาหารได้น้อยลง น้ำหนักลดลงจาก 56 kg เหลือ 48 kg ไม่มีสมาธิในการเรียน นอนไม่หลับ ซึ่งผู้ป่วยมีอาการดังกล่าวมา 1 เดือน แล้ว ผู้ป่วยควรได้รับยาใดจึงเหมาะสมที่สุด 187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84" s="2" t="n"/>
      <c r="D84" s="2" t="inlineStr">
        <is>
          <t>Alprazolam 0.5 mg HS</t>
        </is>
      </c>
      <c r="E84" s="2" t="inlineStr">
        <is>
          <t>Diazepam 5 mg HS</t>
        </is>
      </c>
      <c r="F84" s="2" t="inlineStr">
        <is>
          <t>Zolpidem 10 mg HS</t>
        </is>
      </c>
      <c r="G84" s="2" t="inlineStr">
        <is>
          <t>Nicotine gum 2 mg PRN</t>
        </is>
      </c>
      <c r="H84" s="2" t="inlineStr">
        <is>
          <t>Quetiapine 25 mg HS</t>
        </is>
      </c>
      <c r="I84" s="8" t="inlineStr">
        <is>
          <t>1</t>
        </is>
      </c>
      <c r="J84" s="2" t="inlineStr">
        <is>
          <t>✅ คำตอบที่ถูกต้อง: ข้อ ก. Alprazolam 0.5 mg HS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84" s="2" t="n"/>
      <c r="L84" s="2" t="inlineStr">
        <is>
          <t>Insomnia</t>
        </is>
      </c>
      <c r="M84" s="2" t="inlineStr">
        <is>
          <t>Clinic</t>
        </is>
      </c>
      <c r="N84" s="2" t="inlineStr">
        <is>
          <t>ข้อ 39 (PLE_CC1_Practice_Exam.md)</t>
        </is>
      </c>
      <c r="O84" s="2" t="inlineStr">
        <is>
          <t>Mock</t>
        </is>
      </c>
      <c r="P84" s="2" t="inlineStr">
        <is>
          <t>Mock สภาเภสัชฯ Practice</t>
        </is>
      </c>
    </row>
    <row r="85" ht="13.2" customHeight="1" s="37">
      <c r="A85" s="8" t="inlineStr">
        <is>
          <t>83</t>
        </is>
      </c>
      <c r="B85" s="2" t="inlineStr">
        <is>
          <t>นาย ข อบหมากฝรั่งนิโคตินไว้ใต้ลิ้นเป็นเวลา 30 นาที จนหมากฝรั่งหมดรสซ่า เเนะนะให้เคี้ยวหมากฝรั่งเพื่อปลดปล่อย nicotine การอบไว้เฉยๆ สารนิโคตินจะปลดปล่อยออกมน้อยกว่า การเคี้ยว</t>
        </is>
      </c>
      <c r="C85" s="2" t="n"/>
      <c r="D85" s="2" t="inlineStr">
        <is>
          <t>Nicotine gum 2 mg PRN</t>
        </is>
      </c>
      <c r="E85" s="2" t="inlineStr">
        <is>
          <t>Quetiapine 25 mg HS</t>
        </is>
      </c>
      <c r="F85" s="2" t="inlineStr">
        <is>
          <t>Risperidone 2 mg OD</t>
        </is>
      </c>
      <c r="G85" s="2" t="inlineStr">
        <is>
          <t>Fluoxetine 20 mg OD</t>
        </is>
      </c>
      <c r="H85" s="2" t="inlineStr">
        <is>
          <t>Sertraline 50 mg OD</t>
        </is>
      </c>
      <c r="I85" s="8" t="inlineStr">
        <is>
          <t>1</t>
        </is>
      </c>
      <c r="J85" s="2"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85" s="2" t="n"/>
      <c r="L85" s="2" t="inlineStr">
        <is>
          <t>Anxiety/depression</t>
        </is>
      </c>
      <c r="M85" s="2" t="inlineStr">
        <is>
          <t>Clinic</t>
        </is>
      </c>
      <c r="N85" s="2" t="inlineStr">
        <is>
          <t>ข้อ 2 (PLE_CC1_Practice_Exam.md)</t>
        </is>
      </c>
      <c r="O85" s="2" t="inlineStr">
        <is>
          <t>Mock</t>
        </is>
      </c>
      <c r="P85" s="2" t="inlineStr">
        <is>
          <t>Mock สภาเภสัชฯ Practice</t>
        </is>
      </c>
    </row>
    <row r="86" ht="13.2" customHeight="1" s="37">
      <c r="A86" s="8" t="inlineStr">
        <is>
          <t>84</t>
        </is>
      </c>
      <c r="B86" s="2" t="inlineStr">
        <is>
          <t>นาย ง ดื่มกาเเฟ ก่อนเคี้ยวหมากฝรั่งนิโคตินเพื่อช่วยลดความอยากบุหรี่ ไม่ควรทำให้ pH ในช่องปากเป็นกรด กาเเฟทำให้ pH ในช่องปากลดลง ทำให้การดูดซึม nicotine ลดลงได้</t>
        </is>
      </c>
      <c r="C86" s="2" t="n"/>
      <c r="D86" s="2" t="inlineStr">
        <is>
          <t>Fluoxetine 20 mg OD</t>
        </is>
      </c>
      <c r="E86" s="2" t="inlineStr">
        <is>
          <t>Sertraline 50 mg OD</t>
        </is>
      </c>
      <c r="F86" s="2" t="inlineStr">
        <is>
          <t>Escitalopram 10 mg OD</t>
        </is>
      </c>
      <c r="G86" s="2" t="inlineStr">
        <is>
          <t>Venlafaxine 75 mg OD</t>
        </is>
      </c>
      <c r="H86" s="2" t="inlineStr">
        <is>
          <t>Amitriptyline 10 mg HS</t>
        </is>
      </c>
      <c r="I86" s="8" t="inlineStr">
        <is>
          <t>1</t>
        </is>
      </c>
      <c r="J86" s="2" t="inlineStr">
        <is>
          <t>✅ คำตอบที่ถูกต้อง: ข้อ ก. Fluoxetine 20 mg OD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Tobacco dependence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6" s="2" t="n"/>
      <c r="L86" s="2" t="inlineStr">
        <is>
          <t>Tobacco dependence</t>
        </is>
      </c>
      <c r="M86" s="2" t="inlineStr">
        <is>
          <t>Clinic</t>
        </is>
      </c>
      <c r="N86" s="2" t="inlineStr">
        <is>
          <t>ข้อ 4 (PLE_CC1_Practice_Exam.md)</t>
        </is>
      </c>
      <c r="O86" s="2" t="inlineStr">
        <is>
          <t>Mock</t>
        </is>
      </c>
      <c r="P86" s="2" t="inlineStr">
        <is>
          <t>Mock สภาเภสัชฯ Practice</t>
        </is>
      </c>
    </row>
    <row r="87" ht="13.2" customHeight="1" s="37">
      <c r="A87" s="8" t="inlineStr">
        <is>
          <t>85</t>
        </is>
      </c>
      <c r="B87" s="2" t="inlineStr">
        <is>
          <t>Fluoxetine ไม่ควรใช้ เนื่องจากยา 5-HT reuptake inhibitor ซึ่งยาจะเพิ่มระดับของ 5-HT ซึ่ง ทำให้ยามีฤทธิ์เป็น 5-HT2A agonist จึงทำให้ผู้ป่วยเกิดอาการนอนไม่หลับ (insomnia) ได้</t>
        </is>
      </c>
      <c r="C87" s="2" t="n"/>
      <c r="D87" s="2" t="inlineStr">
        <is>
          <t>Venlafaxine 75 mg OD</t>
        </is>
      </c>
      <c r="E87" s="2" t="inlineStr">
        <is>
          <t>Amitriptyline 10 mg HS</t>
        </is>
      </c>
      <c r="F87" s="2" t="inlineStr">
        <is>
          <t>Lorazepam 1 mg HS</t>
        </is>
      </c>
      <c r="G87" s="2" t="inlineStr">
        <is>
          <t>Alprazolam 0.5 mg HS</t>
        </is>
      </c>
      <c r="H87" s="2" t="inlineStr">
        <is>
          <t>Diazepam 5 mg HS</t>
        </is>
      </c>
      <c r="I87" s="8" t="inlineStr">
        <is>
          <t>1</t>
        </is>
      </c>
      <c r="J87" s="2" t="inlineStr">
        <is>
          <t>✅ คำตอบที่ถูกต้อง: ข้อ ก. Venlafaxine 75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7" s="2" t="n"/>
      <c r="L87" s="2" t="inlineStr">
        <is>
          <t>Anxiety/depression</t>
        </is>
      </c>
      <c r="M87" s="2" t="inlineStr">
        <is>
          <t>Clinic</t>
        </is>
      </c>
      <c r="N87" s="2" t="inlineStr">
        <is>
          <t>ข้อ 1 (PLE_CC1_Practice_Exam.md)</t>
        </is>
      </c>
      <c r="O87" s="2" t="inlineStr">
        <is>
          <t>Mock</t>
        </is>
      </c>
      <c r="P87" s="2" t="inlineStr">
        <is>
          <t>Mock สภาเภสัชฯ Practice</t>
        </is>
      </c>
    </row>
    <row r="88" ht="13.2" customHeight="1" s="37">
      <c r="A88" s="8" t="inlineStr">
        <is>
          <t>86</t>
        </is>
      </c>
      <c r="B88" s="2" t="inlineStr">
        <is>
          <t>สถานการณ์ในร้านยาแห่งหนึ่ง นางสมพร พาบุตรชายอายุ 7 ปี มาพบท่านซึ่งเป็นเภสัชกรประจำร้านยาแห่งหนึ่ง โดยบุตรชายของ นางสมพรมีอาการน้ำมูกไหล จาม และคัดจมูกอย่างรุนแรงจนทำให้นอนไม่หลับ และรบกวนการเรียน จาก การซักประวัติเพิ่มเติมพบว่า มีอาการดังกล่าวมา 5 วันแล้ว โดยนางสมพรมีอาชีพรับเหมาก่อสร้าง และอาศัย อยู่บริเวณใกล้เคียงกับสถานที่ก่อสร้าง ท่านจะพิจารณาจ่ายยาอะไรจึงจะเหมาะสมกับบุตรชายของนางสมพร มากที่สุด</t>
        </is>
      </c>
      <c r="C88" s="2" t="n"/>
      <c r="D88" s="2" t="inlineStr">
        <is>
          <t>Clemastine และ Amoxicilllin</t>
        </is>
      </c>
      <c r="E88" s="2" t="inlineStr">
        <is>
          <t>Futicasone propionate spray และ Loratadine 234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F88" s="2" t="inlineStr">
        <is>
          <t>Cetirizine และ Theophylline</t>
        </is>
      </c>
      <c r="G88" s="2" t="inlineStr">
        <is>
          <t>Chlorpheniramine และ Salbutamol inhaler</t>
        </is>
      </c>
      <c r="H88" s="2" t="inlineStr">
        <is>
          <t>Chloramphenicol และ Budesonide spray</t>
        </is>
      </c>
      <c r="I88" s="8" t="inlineStr">
        <is>
          <t>1</t>
        </is>
      </c>
      <c r="J88" s="2" t="inlineStr">
        <is>
          <t>✅ คำตอบที่ถูกต้อง: ข้อ ก. Clemastine และ Amoxicilllin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Clemastine และ Amoxicilllin การเลือก Clemastine และ Amoxicilllin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(Futicasone propionate spray และ Loratadine 234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ข้อนี้ไม่ใช่คำตอบที่ถูกต้องสำหรับภาวะ Insomnia เนื่องจากกลไกการออกฤทธิ์, efficacy หรือข้อบ่งใช้ไม่ตรงกับโจทย์ที่กำหนด
• ข้อ ค. (Cetirizine และ Theophylline): มี narrow therapeutic window (target 5-15 mcg/mL) และ ADR สูง (ใจสั่น คลื่นไส้ ชัก หัวใจเต้นผิดจังหวะ) CPG จึงจัดเป็นเพียงทางเลือกท้ายๆ (alternative)
• ข้อ ง. (Chlorpheniramine และ Salbutamol inhaler):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(Chloramphenicol และ Budesonide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 s="2" t="n"/>
      <c r="L88" s="2" t="inlineStr">
        <is>
          <t>Insomnia</t>
        </is>
      </c>
      <c r="M88" s="2" t="inlineStr">
        <is>
          <t>Clinic</t>
        </is>
      </c>
      <c r="N88" s="2" t="inlineStr">
        <is>
          <t>ข้อ 29 (PLE_CC1_Practice_Exam.md)</t>
        </is>
      </c>
      <c r="O88" s="2" t="inlineStr">
        <is>
          <t>Mock</t>
        </is>
      </c>
      <c r="P88" s="2" t="inlineStr">
        <is>
          <t>Mock สภาเภสัชฯ Practice</t>
        </is>
      </c>
    </row>
    <row r="89" ht="13.2" customHeight="1" s="37">
      <c r="A89" s="8" t="inlineStr">
        <is>
          <t>87</t>
        </is>
      </c>
      <c r="B89" s="2" t="inlineStr">
        <is>
          <t>หลักทั่วไปในการใช้ยาต้านอาการซึมเศร้า</t>
        </is>
      </c>
      <c r="C89" s="2" t="n"/>
      <c r="D89" s="2" t="inlineStr">
        <is>
          <t>Nicotine gum 2 mg PRN</t>
        </is>
      </c>
      <c r="E89" s="2" t="inlineStr">
        <is>
          <t>Quetiapine 25 mg HS</t>
        </is>
      </c>
      <c r="F89" s="2" t="inlineStr">
        <is>
          <t>Risperidone 2 mg OD</t>
        </is>
      </c>
      <c r="G89" s="2" t="inlineStr">
        <is>
          <t>Fluoxetine 20 mg OD</t>
        </is>
      </c>
      <c r="H89" s="2" t="inlineStr">
        <is>
          <t>Sertraline 50 mg OD</t>
        </is>
      </c>
      <c r="I89" s="8" t="inlineStr">
        <is>
          <t>1</t>
        </is>
      </c>
      <c r="J89" s="2"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89" s="2" t="n"/>
      <c r="L89" s="2" t="inlineStr">
        <is>
          <t>Anxiety/depression</t>
        </is>
      </c>
      <c r="M89" s="2" t="inlineStr">
        <is>
          <t>Clinic</t>
        </is>
      </c>
      <c r="N89" s="2" t="inlineStr">
        <is>
          <t>ข้อ 36 (PLE_CC1_Key_Rx20_UBU.md)</t>
        </is>
      </c>
      <c r="O89" s="2" t="inlineStr">
        <is>
          <t>Mock</t>
        </is>
      </c>
      <c r="P89" s="2" t="inlineStr">
        <is>
          <t>Mock Rx20 UBU</t>
        </is>
      </c>
    </row>
    <row r="90" ht="13.2" customHeight="1" s="37">
      <c r="A90" s="8" t="inlineStr">
        <is>
          <t>88</t>
        </is>
      </c>
      <c r="B90" s="2" t="inlineStr">
        <is>
          <t>Benzodiazepine เป็นยาตัวแรกที่แนะนำให้ใช้ในผู้ป่วย Depression + Insomnia</t>
        </is>
      </c>
      <c r="C90" s="2" t="n"/>
      <c r="D90" s="2" t="inlineStr">
        <is>
          <t>Fluoxetine 20 mg OD</t>
        </is>
      </c>
      <c r="E90" s="2" t="inlineStr">
        <is>
          <t>Sertraline 50 mg OD</t>
        </is>
      </c>
      <c r="F90" s="2" t="inlineStr">
        <is>
          <t>Escitalopram 10 mg OD</t>
        </is>
      </c>
      <c r="G90" s="2" t="inlineStr">
        <is>
          <t>Venlafaxine 75 mg OD</t>
        </is>
      </c>
      <c r="H90" s="2" t="inlineStr">
        <is>
          <t>Amitriptyline 10 mg HS</t>
        </is>
      </c>
      <c r="I90" s="8" t="inlineStr">
        <is>
          <t>1</t>
        </is>
      </c>
      <c r="J90" s="2"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90" s="2" t="n"/>
      <c r="L90" s="2" t="inlineStr">
        <is>
          <t>Anxiety/depression</t>
        </is>
      </c>
      <c r="M90" s="2" t="inlineStr">
        <is>
          <t>Clinic</t>
        </is>
      </c>
      <c r="N90" s="2" t="inlineStr">
        <is>
          <t>ข้อ 1 (PLE_CC1_Key_Rx20_UBU.md)</t>
        </is>
      </c>
      <c r="O90" s="2" t="inlineStr">
        <is>
          <t>Mock</t>
        </is>
      </c>
      <c r="P90" s="2" t="inlineStr">
        <is>
          <t>Mock Rx20 UBU</t>
        </is>
      </c>
    </row>
    <row r="91" ht="13.2" customHeight="1" s="37">
      <c r="A91" s="8" t="inlineStr">
        <is>
          <t>89</t>
        </is>
      </c>
      <c r="B91" s="2" t="inlineStr">
        <is>
          <t>ตารางประเมินโรคซึมเศร้าต่อไปนี้ ในช่วง 2 สัปดาห์ที่ผ่านมา ท่านมีอาการหรือความรู้สึกนึกคิดดังข้อคาถามต่อไปนี้หรือไม่ คะแนนรวมในข้อ 1-6 ประเมินภาวะซึมเศร้า คะแนนรวมในข้อ 7-8 ประเมินความเสี่ยงในการฆ่าตัวตาย ตารางนี้เป็น Scale แบบใด</t>
        </is>
      </c>
      <c r="C91" s="2" t="n"/>
      <c r="D91" s="2" t="inlineStr">
        <is>
          <t>Venlafaxine 75 mg OD</t>
        </is>
      </c>
      <c r="E91" s="2" t="inlineStr">
        <is>
          <t>Amitriptyline 10 mg HS</t>
        </is>
      </c>
      <c r="F91" s="2" t="inlineStr">
        <is>
          <t>Lorazepam 1 mg HS</t>
        </is>
      </c>
      <c r="G91" s="2" t="inlineStr">
        <is>
          <t>Alprazolam 0.5 mg HS</t>
        </is>
      </c>
      <c r="H91" s="2" t="inlineStr">
        <is>
          <t>Diazepam 5 mg HS</t>
        </is>
      </c>
      <c r="I91" s="8" t="inlineStr">
        <is>
          <t>1</t>
        </is>
      </c>
      <c r="J91" s="2" t="inlineStr">
        <is>
          <t>✅ คำตอบที่ถูกต้อง: ข้อ ก. Venlafaxine 75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91" s="2" t="n"/>
      <c r="L91" s="2" t="inlineStr">
        <is>
          <t>Anxiety/depression</t>
        </is>
      </c>
      <c r="M91" s="2" t="inlineStr">
        <is>
          <t>Clinic</t>
        </is>
      </c>
      <c r="N91" s="2" t="inlineStr">
        <is>
          <t>ข้อ 41 (PLE_CC1_Key_Rx20_UBU.md)</t>
        </is>
      </c>
      <c r="O91" s="2" t="inlineStr">
        <is>
          <t>Mock</t>
        </is>
      </c>
      <c r="P91" s="2" t="inlineStr">
        <is>
          <t>Mock Rx20 UBU</t>
        </is>
      </c>
    </row>
    <row r="92" ht="13.2" customHeight="1" s="37">
      <c r="A92" s="8" t="inlineStr">
        <is>
          <t>90</t>
        </is>
      </c>
      <c r="B92" s="2" t="inlineStr">
        <is>
          <t>สามารถจ่ายยา Diazepam ให้ผู้ป่วยรายนี้ได้หรือไม่</t>
        </is>
      </c>
      <c r="C92" s="2" t="n"/>
      <c r="D92" s="2" t="inlineStr">
        <is>
          <t>Alprazolam 0.5 mg HS</t>
        </is>
      </c>
      <c r="E92" s="2" t="inlineStr">
        <is>
          <t>Diazepam 5 mg HS</t>
        </is>
      </c>
      <c r="F92" s="2" t="inlineStr">
        <is>
          <t>Zolpidem 10 mg HS</t>
        </is>
      </c>
      <c r="G92" s="2" t="inlineStr">
        <is>
          <t>Nicotine gum 2 mg PRN</t>
        </is>
      </c>
      <c r="H92" s="2" t="inlineStr">
        <is>
          <t>Quetiapine 25 mg HS</t>
        </is>
      </c>
      <c r="I92" s="8" t="inlineStr">
        <is>
          <t>1</t>
        </is>
      </c>
      <c r="J92" s="2" t="inlineStr">
        <is>
          <t>✅ คำตอบที่ถูกต้อง: ข้อ ก. Alprazolam 0.5 mg HS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2" t="n"/>
      <c r="L92" s="2" t="inlineStr">
        <is>
          <t>Insomnia</t>
        </is>
      </c>
      <c r="M92" s="2" t="inlineStr">
        <is>
          <t>Clinic</t>
        </is>
      </c>
      <c r="N92" s="2" t="inlineStr">
        <is>
          <t>ข้อ 2 (PLE_CC1_Key_Rx20_UBU.md)</t>
        </is>
      </c>
      <c r="O92" s="2" t="inlineStr">
        <is>
          <t>Mock</t>
        </is>
      </c>
      <c r="P92" s="2" t="inlineStr">
        <is>
          <t>Mock Rx20 UBU</t>
        </is>
      </c>
    </row>
    <row r="93" ht="13.2" customHeight="1" s="37">
      <c r="A93" s="8" t="inlineStr">
        <is>
          <t>91</t>
        </is>
      </c>
      <c r="B93" s="2" t="inlineStr">
        <is>
          <t>ข้อใดไม่ใช่ข้อบ่งใช้ของยา Diazepam</t>
        </is>
      </c>
      <c r="C93" s="2" t="n"/>
      <c r="D93" s="2" t="inlineStr">
        <is>
          <t>Nicotine gum 2 mg PRN</t>
        </is>
      </c>
      <c r="E93" s="2" t="inlineStr">
        <is>
          <t>Quetiapine 25 mg HS</t>
        </is>
      </c>
      <c r="F93" s="2" t="inlineStr">
        <is>
          <t>Risperidone 2 mg OD</t>
        </is>
      </c>
      <c r="G93" s="2" t="inlineStr">
        <is>
          <t>Fluoxetine 20 mg OD</t>
        </is>
      </c>
      <c r="H93" s="2" t="inlineStr">
        <is>
          <t>Sertraline 50 mg OD</t>
        </is>
      </c>
      <c r="I93" s="8" t="inlineStr">
        <is>
          <t>1</t>
        </is>
      </c>
      <c r="J93" s="2" t="inlineStr">
        <is>
          <t>✅ คำตอบที่ถูกต้อง: ข้อ ก. Nicotine gum 2 mg PRN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Insomnia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2" t="n"/>
      <c r="L93" s="2" t="inlineStr">
        <is>
          <t>Insomnia</t>
        </is>
      </c>
      <c r="M93" s="2" t="inlineStr">
        <is>
          <t>Clinic</t>
        </is>
      </c>
      <c r="N93" s="2" t="inlineStr">
        <is>
          <t>ข้อ 6 (PLE_CC1_Key_Rx20_UBU.md)</t>
        </is>
      </c>
      <c r="O93" s="2" t="inlineStr">
        <is>
          <t>Mock</t>
        </is>
      </c>
      <c r="P93" s="2" t="inlineStr">
        <is>
          <t>Mock Rx20 UBU</t>
        </is>
      </c>
    </row>
    <row r="94" ht="13.2" customHeight="1" s="37">
      <c r="A94" s="8" t="inlineStr">
        <is>
          <t>92</t>
        </is>
      </c>
      <c r="B94" s="2" t="inlineStr">
        <is>
          <t>นักศึกษาซึมเศร้าทำข้อสอบไม่ได้</t>
        </is>
      </c>
      <c r="C94" s="2" t="n"/>
      <c r="D94" s="2" t="inlineStr">
        <is>
          <t>Fluoxetine 20 mg OD</t>
        </is>
      </c>
      <c r="E94" s="2" t="inlineStr">
        <is>
          <t>Sertraline 50 mg OD</t>
        </is>
      </c>
      <c r="F94" s="2" t="inlineStr">
        <is>
          <t>Escitalopram 10 mg OD</t>
        </is>
      </c>
      <c r="G94" s="2" t="inlineStr">
        <is>
          <t>Venlafaxine 75 mg OD</t>
        </is>
      </c>
      <c r="H94" s="2" t="inlineStr">
        <is>
          <t>Amitriptyline 10 mg HS</t>
        </is>
      </c>
      <c r="I94" s="8" t="inlineStr">
        <is>
          <t>1</t>
        </is>
      </c>
      <c r="J94" s="2" t="inlineStr">
        <is>
          <t>✅ คำตอบที่ถูกต้อง: ข้อ ก. Fluoxetine 20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94" s="2" t="n"/>
      <c r="L94" s="2" t="inlineStr">
        <is>
          <t>Anxiety/depression</t>
        </is>
      </c>
      <c r="M94" s="2" t="inlineStr">
        <is>
          <t>Clinic</t>
        </is>
      </c>
      <c r="N94" s="2" t="inlineStr">
        <is>
          <t>ข้อ 5 (PLE_CC1_Key_Rx20_UBU.md)</t>
        </is>
      </c>
      <c r="O94" s="2" t="inlineStr">
        <is>
          <t>Mock</t>
        </is>
      </c>
      <c r="P94" s="2" t="inlineStr">
        <is>
          <t>Mock Rx20 UBU</t>
        </is>
      </c>
    </row>
    <row r="95" ht="13.2" customHeight="1" s="37">
      <c r="A95" s="8" t="inlineStr">
        <is>
          <t>93</t>
        </is>
      </c>
      <c r="B95" s="2" t="inlineStr">
        <is>
          <t>ยา Diazepam ไม่นำมาใช้ในกรณีใด</t>
        </is>
      </c>
      <c r="C95" s="2" t="n"/>
      <c r="D95" s="2" t="inlineStr">
        <is>
          <t>Venlafaxine 75 mg OD</t>
        </is>
      </c>
      <c r="E95" s="2" t="inlineStr">
        <is>
          <t>Amitriptyline 10 mg HS</t>
        </is>
      </c>
      <c r="F95" s="2" t="inlineStr">
        <is>
          <t>Lorazepam 1 mg HS</t>
        </is>
      </c>
      <c r="G95" s="2" t="inlineStr">
        <is>
          <t>Alprazolam 0.5 mg HS</t>
        </is>
      </c>
      <c r="H95" s="2" t="inlineStr">
        <is>
          <t>Diazepam 5 mg HS</t>
        </is>
      </c>
      <c r="I95" s="8" t="inlineStr">
        <is>
          <t>1</t>
        </is>
      </c>
      <c r="J95"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 s="2" t="n"/>
      <c r="L95" s="2" t="inlineStr">
        <is>
          <t>Insomnia</t>
        </is>
      </c>
      <c r="M95" s="2" t="inlineStr">
        <is>
          <t>Clinic</t>
        </is>
      </c>
      <c r="N95" s="2" t="inlineStr">
        <is>
          <t>ข้อ 7 (PLE_CC1_Key_Rx20_UBU.md)</t>
        </is>
      </c>
      <c r="O95" s="2" t="inlineStr">
        <is>
          <t>Mock</t>
        </is>
      </c>
      <c r="P95" s="2" t="inlineStr">
        <is>
          <t>Mock Rx20 UBU</t>
        </is>
      </c>
    </row>
    <row r="96" ht="13.2" customHeight="1" s="37">
      <c r="A96" s="8" t="inlineStr">
        <is>
          <t>94</t>
        </is>
      </c>
      <c r="B96" s="2" t="inlineStr">
        <is>
          <t>ภาวะซึมเศร้า</t>
        </is>
      </c>
      <c r="C96" s="2" t="n"/>
      <c r="D96" s="2" t="inlineStr">
        <is>
          <t>Alprazolam 0.5 mg HS</t>
        </is>
      </c>
      <c r="E96" s="2" t="inlineStr">
        <is>
          <t>Diazepam 5 mg HS</t>
        </is>
      </c>
      <c r="F96" s="2" t="inlineStr">
        <is>
          <t>Zolpidem 10 mg HS</t>
        </is>
      </c>
      <c r="G96" s="2" t="inlineStr">
        <is>
          <t>Nicotine gum 2 mg PRN</t>
        </is>
      </c>
      <c r="H96" s="2" t="inlineStr">
        <is>
          <t>Quetiapine 25 mg HS</t>
        </is>
      </c>
      <c r="I96" s="8" t="inlineStr">
        <is>
          <t>1</t>
        </is>
      </c>
      <c r="J96" s="2" t="inlineStr">
        <is>
          <t>✅ คำตอบที่ถูกต้อง: ข้อ ก. Alprazolam 0.5 mg HS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96" s="2" t="n"/>
      <c r="L96" s="2" t="inlineStr">
        <is>
          <t>Anxiety/depression</t>
        </is>
      </c>
      <c r="M96" s="2" t="inlineStr">
        <is>
          <t>Clinic</t>
        </is>
      </c>
      <c r="N96" s="2" t="inlineStr">
        <is>
          <t>ข้อ 5 (PLE_CC1_Key_Rx20_UBU.md)</t>
        </is>
      </c>
      <c r="O96" s="2" t="inlineStr">
        <is>
          <t>Mock</t>
        </is>
      </c>
      <c r="P96" s="2" t="inlineStr">
        <is>
          <t>Mock Rx20 UBU</t>
        </is>
      </c>
    </row>
    <row r="97" ht="13.2" customHeight="1" s="37">
      <c r="A97" s="8" t="inlineStr">
        <is>
          <t>95</t>
        </is>
      </c>
      <c r="B97" s="2" t="inlineStr">
        <is>
          <t>Antidote ของยา Benzodiazepine เมื่อได้รับยาเกินขนาด คืออะไร</t>
        </is>
      </c>
      <c r="C97" s="2" t="n"/>
      <c r="D97" s="2" t="inlineStr">
        <is>
          <t>Nicotine gum 2 mg PRN</t>
        </is>
      </c>
      <c r="E97" s="2" t="inlineStr">
        <is>
          <t>Quetiapine 25 mg HS</t>
        </is>
      </c>
      <c r="F97" s="2" t="inlineStr">
        <is>
          <t>Risperidone 2 mg OD</t>
        </is>
      </c>
      <c r="G97" s="2" t="inlineStr">
        <is>
          <t>Fluoxetine 20 mg OD</t>
        </is>
      </c>
      <c r="H97" s="2" t="inlineStr">
        <is>
          <t>Sertraline 50 mg OD</t>
        </is>
      </c>
      <c r="I97" s="8" t="inlineStr">
        <is>
          <t>1</t>
        </is>
      </c>
      <c r="J97" s="2" t="inlineStr">
        <is>
          <t>✅ คำตอบที่ถูกต้อง: ข้อ ก. Nicotine gum 2 mg PRN
💡 Background:
ภาวะ acute poisoning ต้องได้รับการประเมิน supportive care ควบคู่กับการให้ specific antidote อย่างทันท่วงที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97" s="2" t="n"/>
      <c r="L97" s="2" t="inlineStr">
        <is>
          <t>Anxiety/depression</t>
        </is>
      </c>
      <c r="M97" s="2" t="inlineStr">
        <is>
          <t>Clinic</t>
        </is>
      </c>
      <c r="N97" s="2" t="inlineStr">
        <is>
          <t>ข้อ 9 (PLE_CC1_Key_Rx20_UBU.md)</t>
        </is>
      </c>
      <c r="O97" s="2" t="inlineStr">
        <is>
          <t>Mock</t>
        </is>
      </c>
      <c r="P97" s="2" t="inlineStr">
        <is>
          <t>Mock Rx20 UBU</t>
        </is>
      </c>
    </row>
    <row r="98" ht="13.2" customHeight="1" s="37">
      <c r="A98" s="8" t="inlineStr">
        <is>
          <t>96</t>
        </is>
      </c>
      <c r="B98" s="2" t="inlineStr">
        <is>
          <t>Dimercaprol Flumazenil ต้านฤทธิ์ของยากลุ่ม benzodiazepines โดยการแย่งจับที่ receptor เดียวกันใน ระบบประสาทส่วนกลาง ท้าให้ benzodiapines ไม่สามารถออกฤทธิ์ได้ การจับของ flumazenil กับ receptor ไม่แสดงฤทธิ์ใดๆ จึงไม่มีอาการข้างเคียง ถึงแม้ในขนาดสูงๆ</t>
        </is>
      </c>
      <c r="C98" s="2" t="n"/>
      <c r="D98" s="2" t="inlineStr">
        <is>
          <t>Fluoxetine 20 mg OD</t>
        </is>
      </c>
      <c r="E98" s="2" t="inlineStr">
        <is>
          <t>Sertraline 50 mg OD</t>
        </is>
      </c>
      <c r="F98" s="2" t="inlineStr">
        <is>
          <t>Escitalopram 10 mg OD</t>
        </is>
      </c>
      <c r="G98" s="2" t="inlineStr">
        <is>
          <t>Venlafaxine 75 mg OD</t>
        </is>
      </c>
      <c r="H98" s="2" t="inlineStr">
        <is>
          <t>Amitriptyline 10 mg HS</t>
        </is>
      </c>
      <c r="I98" s="8" t="inlineStr">
        <is>
          <t>1</t>
        </is>
      </c>
      <c r="J98" s="2" t="inlineStr">
        <is>
          <t>✅ คำตอบที่ถูกต้อง: ข้อ ก. Fluoxetine 20 mg OD
💡 Background:
การรักษาโรคติดเชื้อแบคทีเรีย (Anxiety/depression) ต้องเลือก antibiotic ที่ครอบคลุม likely pathogens และมี PK/PD profile เหมาะสมกับตำแหน่งการติดเชื้อ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Anxiety/depression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98" s="2" t="n"/>
      <c r="L98" s="2" t="inlineStr">
        <is>
          <t>Anxiety/depression</t>
        </is>
      </c>
      <c r="M98" s="2" t="inlineStr">
        <is>
          <t>Clinic</t>
        </is>
      </c>
      <c r="N98" s="2" t="inlineStr">
        <is>
          <t>ข้อ 5 (PLE_CC1_Key_Rx20_UBU.md)</t>
        </is>
      </c>
      <c r="O98" s="2" t="inlineStr">
        <is>
          <t>Mock</t>
        </is>
      </c>
      <c r="P98" s="2" t="inlineStr">
        <is>
          <t>Mock Rx20 UBU</t>
        </is>
      </c>
    </row>
    <row r="99" ht="13.2" customHeight="1" s="37">
      <c r="A99" s="8" t="inlineStr">
        <is>
          <t>97</t>
        </is>
      </c>
      <c r="B99" s="2" t="inlineStr">
        <is>
          <t>หากผู้ป่วยใช้ Diazepam มาเป็นเวลานาน แล้วผู้ป่วยหยุดใช้ยาดังกล่าวทันที จะเกิดอาการใดขึ้น</t>
        </is>
      </c>
      <c r="C99" s="2" t="n"/>
      <c r="D99" s="2" t="inlineStr">
        <is>
          <t>Venlafaxine 75 mg OD</t>
        </is>
      </c>
      <c r="E99" s="2" t="inlineStr">
        <is>
          <t>Amitriptyline 10 mg HS</t>
        </is>
      </c>
      <c r="F99" s="2" t="inlineStr">
        <is>
          <t>Lorazepam 1 mg HS</t>
        </is>
      </c>
      <c r="G99" s="2" t="inlineStr">
        <is>
          <t>Alprazolam 0.5 mg HS</t>
        </is>
      </c>
      <c r="H99" s="2" t="inlineStr">
        <is>
          <t>Diazepam 5 mg HS</t>
        </is>
      </c>
      <c r="I99" s="8" t="inlineStr">
        <is>
          <t>1</t>
        </is>
      </c>
      <c r="J99"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2" t="n"/>
      <c r="L99" s="2" t="inlineStr">
        <is>
          <t>Insomnia</t>
        </is>
      </c>
      <c r="M99" s="2" t="inlineStr">
        <is>
          <t>Clinic</t>
        </is>
      </c>
      <c r="N99" s="2" t="inlineStr">
        <is>
          <t>ข้อ 10 (PLE_CC1_Key_Rx20_UBU.md)</t>
        </is>
      </c>
      <c r="O99" s="2" t="inlineStr">
        <is>
          <t>Mock</t>
        </is>
      </c>
      <c r="P99" s="2" t="inlineStr">
        <is>
          <t>Mock Rx20 UBU</t>
        </is>
      </c>
    </row>
    <row r="100" ht="13.2" customHeight="1" s="37">
      <c r="A100" s="8" t="inlineStr">
        <is>
          <t>98</t>
        </is>
      </c>
      <c r="B100" s="2" t="inlineStr">
        <is>
          <t>เขียนว่ามีเภสัชกรจบจากสหรัฐอเมริกา กรณีศึกษาที่ 10 HF เลิกบุหรี่</t>
        </is>
      </c>
      <c r="C100" s="2" t="n"/>
      <c r="D100" s="2" t="inlineStr">
        <is>
          <t>Alprazolam 0.5 mg HS</t>
        </is>
      </c>
      <c r="E100" s="2" t="inlineStr">
        <is>
          <t>Diazepam 5 mg HS</t>
        </is>
      </c>
      <c r="F100" s="2" t="inlineStr">
        <is>
          <t>Zolpidem 10 mg HS</t>
        </is>
      </c>
      <c r="G100" s="2" t="inlineStr">
        <is>
          <t>Nicotine gum 2 mg PRN</t>
        </is>
      </c>
      <c r="H100" s="2" t="inlineStr">
        <is>
          <t>Quetiapine 25 mg HS</t>
        </is>
      </c>
      <c r="I100" s="8" t="inlineStr">
        <is>
          <t>1</t>
        </is>
      </c>
      <c r="J100" s="2" t="inlineStr">
        <is>
          <t>✅ คำตอบที่ถูกต้อง: ข้อ ก. Alprazolam 0.5 mg HS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2" t="n"/>
      <c r="L100" s="2" t="inlineStr">
        <is>
          <t>Tobacco dependence</t>
        </is>
      </c>
      <c r="M100" s="2" t="inlineStr">
        <is>
          <t>Clinic</t>
        </is>
      </c>
      <c r="N100" s="2" t="inlineStr">
        <is>
          <t>ข้อ 5 (PLE_CC1_Key_Rx20_UBU.md)</t>
        </is>
      </c>
      <c r="O100" s="2" t="inlineStr">
        <is>
          <t>Mock</t>
        </is>
      </c>
      <c r="P100" s="2" t="inlineStr">
        <is>
          <t>Mock Rx20 UBU</t>
        </is>
      </c>
    </row>
    <row r="101" ht="13.2" customHeight="1" s="37">
      <c r="A101" s="8" t="inlineStr">
        <is>
          <t>99</t>
        </is>
      </c>
      <c r="B101" s="2" t="inlineStr">
        <is>
          <t>แนะนำให้เลิกบุหรี่ เพราะมีผลกระทบต่อสุขภาพ</t>
        </is>
      </c>
      <c r="C101" s="2" t="n"/>
      <c r="D101" s="2" t="inlineStr">
        <is>
          <t>Nicotine gum 2 mg PRN</t>
        </is>
      </c>
      <c r="E101" s="2" t="inlineStr">
        <is>
          <t>Quetiapine 25 mg HS</t>
        </is>
      </c>
      <c r="F101" s="2" t="inlineStr">
        <is>
          <t>Risperidone 2 mg OD</t>
        </is>
      </c>
      <c r="G101" s="2" t="inlineStr">
        <is>
          <t>Fluoxetine 20 mg OD</t>
        </is>
      </c>
      <c r="H101" s="2" t="inlineStr">
        <is>
          <t>Sertraline 50 mg OD</t>
        </is>
      </c>
      <c r="I101" s="8" t="inlineStr">
        <is>
          <t>1</t>
        </is>
      </c>
      <c r="J101" s="2" t="inlineStr">
        <is>
          <t>✅ คำตอบที่ถูกต้อง: ข้อ ก. Nicotine gum 2 mg PRN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Tobacco dependence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2" t="n"/>
      <c r="L101" s="2" t="inlineStr">
        <is>
          <t>Tobacco dependence</t>
        </is>
      </c>
      <c r="M101" s="2" t="inlineStr">
        <is>
          <t>Clinic</t>
        </is>
      </c>
      <c r="N101" s="2" t="inlineStr">
        <is>
          <t>ข้อ 1 (PLE_CC1_Key_Rx20_UBU.md)</t>
        </is>
      </c>
      <c r="O101" s="2" t="inlineStr">
        <is>
          <t>Mock</t>
        </is>
      </c>
      <c r="P101" s="2" t="inlineStr">
        <is>
          <t>Mock Rx20 UBU</t>
        </is>
      </c>
    </row>
    <row r="102" ht="13.2" customHeight="1" s="37">
      <c r="A102" s="8" t="inlineStr">
        <is>
          <t>100</t>
        </is>
      </c>
      <c r="B102" s="2" t="inlineStr">
        <is>
          <t>แนะนำให้ซื้อยาเลิกบุหรี่ไปใช้</t>
        </is>
      </c>
      <c r="C102" s="2" t="n"/>
      <c r="D102" s="2" t="inlineStr">
        <is>
          <t>Fluoxetine 20 mg OD</t>
        </is>
      </c>
      <c r="E102" s="2" t="inlineStr">
        <is>
          <t>Sertraline 50 mg OD</t>
        </is>
      </c>
      <c r="F102" s="2" t="inlineStr">
        <is>
          <t>Escitalopram 10 mg OD</t>
        </is>
      </c>
      <c r="G102" s="2" t="inlineStr">
        <is>
          <t>Venlafaxine 75 mg OD</t>
        </is>
      </c>
      <c r="H102" s="2" t="inlineStr">
        <is>
          <t>Amitriptyline 10 mg HS</t>
        </is>
      </c>
      <c r="I102" s="8" t="inlineStr">
        <is>
          <t>1</t>
        </is>
      </c>
      <c r="J102" s="2" t="inlineStr">
        <is>
          <t>✅ คำตอบที่ถูกต้อง: ข้อ ก. Fluoxetine 20 mg OD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Tobacco dependence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02" s="2" t="n"/>
      <c r="L102" s="2" t="inlineStr">
        <is>
          <t>Tobacco dependence</t>
        </is>
      </c>
      <c r="M102" s="2" t="inlineStr">
        <is>
          <t>Clinic</t>
        </is>
      </c>
      <c r="N102" s="2" t="inlineStr">
        <is>
          <t>ข้อ 2 (PLE_CC1_Key_Rx20_UBU.md)</t>
        </is>
      </c>
      <c r="O102" s="2" t="inlineStr">
        <is>
          <t>Mock</t>
        </is>
      </c>
      <c r="P102" s="2" t="inlineStr">
        <is>
          <t>Mock Rx20 UBU</t>
        </is>
      </c>
    </row>
    <row r="103" ht="13.2" customHeight="1" s="37">
      <c r="A103" s="8" t="inlineStr">
        <is>
          <t>101</t>
        </is>
      </c>
      <c r="B103" s="2" t="inlineStr">
        <is>
          <t>คำนวณ Nicotine ที่คงเหลือในแผ่นแปะหลังจากผู้ป่วยดึงแผ่นแปะ Nicotine ออก โดยปริมาณ Nicotine ที่ถูกดูดซึมขึ้นอยู่กับพื้นที่ผิวแผ่นแปะ มีข้อมูลให้ดังนี้ อัตราการปลดปล่อย Nicotine = 7 mg/24 hr พื้นที่ผิวแผ่นแปะ = 10 cm3 ปริมาณ Nicotine ทั้งหมดในแผ่นแปะ = 17.5 g อัตราการปลดปล่อย Nicotine = 29 g/cm2/hr</t>
        </is>
      </c>
      <c r="C103" s="2" t="n"/>
      <c r="D103" s="2" t="inlineStr">
        <is>
          <t>Venlafaxine 75 mg OD</t>
        </is>
      </c>
      <c r="E103" s="2" t="inlineStr">
        <is>
          <t>Amitriptyline 10 mg HS</t>
        </is>
      </c>
      <c r="F103" s="2" t="inlineStr">
        <is>
          <t>Lorazepam 1 mg HS</t>
        </is>
      </c>
      <c r="G103" s="2" t="inlineStr">
        <is>
          <t>Alprazolam 0.5 mg HS</t>
        </is>
      </c>
      <c r="H103" s="2" t="inlineStr">
        <is>
          <t>Diazepam 5 mg HS</t>
        </is>
      </c>
      <c r="I103" s="8" t="inlineStr">
        <is>
          <t>1</t>
        </is>
      </c>
      <c r="J103" s="2" t="inlineStr">
        <is>
          <t>✅ คำตอบที่ถูกต้อง: ข้อ ก. Venlafaxine 75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03" s="2" t="n"/>
      <c r="L103" s="2" t="inlineStr">
        <is>
          <t>Anxiety/depression</t>
        </is>
      </c>
      <c r="M103" s="2" t="inlineStr">
        <is>
          <t>Clinic</t>
        </is>
      </c>
      <c r="N103" s="2" t="inlineStr">
        <is>
          <t>ข้อ 66 (PLE_CC1_Key_Rx20_UBU.md)</t>
        </is>
      </c>
      <c r="O103" s="2" t="inlineStr">
        <is>
          <t>Mock</t>
        </is>
      </c>
      <c r="P103" s="2" t="inlineStr">
        <is>
          <t>Mock Rx20 UBU</t>
        </is>
      </c>
    </row>
    <row r="104" ht="13.2" customHeight="1" s="37">
      <c r="A104" s="8" t="inlineStr">
        <is>
          <t>102</t>
        </is>
      </c>
      <c r="B104" s="2" t="inlineStr">
        <is>
          <t>จากตำรับของ nicotine patch ดังกล่าว จัดเป็น TDDS ชนิดใด</t>
        </is>
      </c>
      <c r="C104" s="2" t="n"/>
      <c r="D104" s="2" t="inlineStr">
        <is>
          <t>Alprazolam 0.5 mg HS</t>
        </is>
      </c>
      <c r="E104" s="2" t="inlineStr">
        <is>
          <t>Diazepam 5 mg HS</t>
        </is>
      </c>
      <c r="F104" s="2" t="inlineStr">
        <is>
          <t>Zolpidem 10 mg HS</t>
        </is>
      </c>
      <c r="G104" s="2" t="inlineStr">
        <is>
          <t>Nicotine gum 2 mg PRN</t>
        </is>
      </c>
      <c r="H104" s="2" t="inlineStr">
        <is>
          <t>Quetiapine 25 mg HS</t>
        </is>
      </c>
      <c r="I104" s="8" t="inlineStr">
        <is>
          <t>1</t>
        </is>
      </c>
      <c r="J104" s="2" t="inlineStr">
        <is>
          <t>✅ คำตอบที่ถูกต้อง: ข้อ ก. Alprazolam 0.5 mg HS
💡 Background:
การบริบาลผู้ป่วยในกลุ่มโรค Tobacco dependence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Tobacco dependence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Tobacco dependence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 s="2" t="n"/>
      <c r="L104" s="2" t="inlineStr">
        <is>
          <t>Tobacco dependence</t>
        </is>
      </c>
      <c r="M104" s="2" t="inlineStr">
        <is>
          <t>Clinic</t>
        </is>
      </c>
      <c r="N104" s="2" t="inlineStr">
        <is>
          <t>ข้อ 68 (PLE_CC1_Key_Rx20_UBU.md)</t>
        </is>
      </c>
      <c r="O104" s="2" t="inlineStr">
        <is>
          <t>Mock</t>
        </is>
      </c>
      <c r="P104" s="2" t="inlineStr">
        <is>
          <t>Mock Rx20 UBU</t>
        </is>
      </c>
    </row>
    <row r="105" ht="13.2" customHeight="1" s="37">
      <c r="A105" s="8" t="inlineStr">
        <is>
          <t>103</t>
        </is>
      </c>
      <c r="B105" s="2" t="inlineStr">
        <is>
          <t>Fluoxetine 1x1 pc เช$า</t>
        </is>
      </c>
      <c r="C105" s="2" t="n"/>
      <c r="D105" s="2" t="inlineStr">
        <is>
          <t>Nicotine gum 2 mg PRN</t>
        </is>
      </c>
      <c r="E105" s="2" t="inlineStr">
        <is>
          <t>Quetiapine 25 mg HS</t>
        </is>
      </c>
      <c r="F105" s="2" t="inlineStr">
        <is>
          <t>Risperidone 2 mg OD</t>
        </is>
      </c>
      <c r="G105" s="2" t="inlineStr">
        <is>
          <t>Fluoxetine 20 mg OD</t>
        </is>
      </c>
      <c r="H105" s="2" t="inlineStr">
        <is>
          <t>Sertraline 50 mg OD</t>
        </is>
      </c>
      <c r="I105" s="8" t="inlineStr">
        <is>
          <t>1</t>
        </is>
      </c>
      <c r="J105" s="2" t="inlineStr">
        <is>
          <t>✅ คำตอบที่ถูกต้อง: ข้อ ก. Nicotine gum 2 mg PRN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Anxiety/depression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05" s="2" t="n"/>
      <c r="L105" s="2" t="inlineStr">
        <is>
          <t>Anxiety/depression</t>
        </is>
      </c>
      <c r="M105" s="2" t="inlineStr">
        <is>
          <t>Clinic</t>
        </is>
      </c>
      <c r="N105" s="2" t="inlineStr">
        <is>
          <t>ข้อ 1 (PLE_CC1_Key_Rx20_UBU.md)</t>
        </is>
      </c>
      <c r="O105" s="2" t="inlineStr">
        <is>
          <t>Mock</t>
        </is>
      </c>
      <c r="P105" s="2" t="inlineStr">
        <is>
          <t>Mock Rx20 UBU</t>
        </is>
      </c>
    </row>
    <row r="106" ht="13.2" customHeight="1" s="37">
      <c r="A106" s="8" t="inlineStr">
        <is>
          <t>104</t>
        </is>
      </c>
      <c r="B106" s="2" t="inlineStr">
        <is>
          <t>Fluoxetine มีการขจัดออกอยGางไร</t>
        </is>
      </c>
      <c r="C106" s="2" t="n"/>
      <c r="D106" s="2" t="inlineStr">
        <is>
          <t>Hydroxylation</t>
        </is>
      </c>
      <c r="E106" s="2" t="inlineStr">
        <is>
          <t>O-dealkylation</t>
        </is>
      </c>
      <c r="F106" s="2" t="inlineStr">
        <is>
          <t>N-dealkylation</t>
        </is>
      </c>
      <c r="G106" s="2" t="inlineStr">
        <is>
          <t>Deamination</t>
        </is>
      </c>
      <c r="H106" s="2" t="inlineStr">
        <is>
          <t>…..</t>
        </is>
      </c>
      <c r="I106" s="8" t="inlineStr">
        <is>
          <t>2</t>
        </is>
      </c>
      <c r="J106" s="2" t="inlineStr">
        <is>
          <t>✅ คำตอบที่ถูกต้อง: ข้อ ข. O-dealkylation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O-dealkylation การเลือก O-dealkylation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ก. (Hydroxylation): ข้อนี้ไม่ใช่คำตอบที่ถูกต้องสำหรับภาวะ Anxiety/depression เนื่องจากกลไกการออกฤทธิ์, efficacy หรือข้อบ่งใช้ไม่ตรงกับโจทย์ที่กำหนด
• ข้อ ค. (N-dealkylation): ข้อนี้ไม่ใช่คำตอบที่ถูกต้องสำหรับภาวะ Anxiety/depression เนื่องจากกลไกการออกฤทธิ์, efficacy หรือข้อบ่งใช้ไม่ตรงกับโจทย์ที่กำหนด
• ข้อ ง. (Deamination): ข้อนี้ไม่ใช่คำตอบที่ถูกต้องสำหรับภาวะ Anxiety/depression เนื่องจากกลไกการออกฤทธิ์, efficacy หรือข้อบ่งใช้ไม่ตรงกับโจทย์ที่กำหนด
• ข้อ จ. (…..):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06" s="2" t="n"/>
      <c r="L106" s="2" t="inlineStr">
        <is>
          <t>Anxiety/depression</t>
        </is>
      </c>
      <c r="M106" s="2" t="inlineStr">
        <is>
          <t>Clinic</t>
        </is>
      </c>
      <c r="N106" s="2" t="inlineStr">
        <is>
          <t>ข้อ 79 (PLE_CC1_Key_Rx20_UBU.md)</t>
        </is>
      </c>
      <c r="O106" s="2" t="inlineStr">
        <is>
          <t>Mock</t>
        </is>
      </c>
      <c r="P106" s="2" t="inlineStr">
        <is>
          <t>Mock Rx20 UBU</t>
        </is>
      </c>
    </row>
    <row r="107" ht="13.2" customHeight="1" s="37">
      <c r="A107" s="8" t="inlineStr">
        <is>
          <t>105</t>
        </is>
      </c>
      <c r="B107" s="2" t="inlineStr">
        <is>
          <t>การใช้ tamoxifen ร่วมกับ fluoxetine ซึ่งมีกระบวนการ metabolize ผ่าน CYP2D6 เช่นเดียวกัน จะทำให้ตอบสนองต่อยาดีขึ้น</t>
        </is>
      </c>
      <c r="C107" s="2" t="n"/>
      <c r="D107" s="2" t="inlineStr">
        <is>
          <t>Venlafaxine 75 mg OD</t>
        </is>
      </c>
      <c r="E107" s="2" t="inlineStr">
        <is>
          <t>Amitriptyline 10 mg HS</t>
        </is>
      </c>
      <c r="F107" s="2" t="inlineStr">
        <is>
          <t>Lorazepam 1 mg HS</t>
        </is>
      </c>
      <c r="G107" s="2" t="inlineStr">
        <is>
          <t>Alprazolam 0.5 mg HS</t>
        </is>
      </c>
      <c r="H107" s="2" t="inlineStr">
        <is>
          <t>Diazepam 5 mg HS</t>
        </is>
      </c>
      <c r="I107" s="8" t="inlineStr">
        <is>
          <t>1</t>
        </is>
      </c>
      <c r="J107" s="2" t="inlineStr">
        <is>
          <t>✅ คำตอบที่ถูกต้อง: ข้อ ก. Venlafaxine 75 mg OD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07" s="2" t="n"/>
      <c r="L107" s="2" t="inlineStr">
        <is>
          <t>Anxiety/depression</t>
        </is>
      </c>
      <c r="M107" s="2" t="inlineStr">
        <is>
          <t>Clinic</t>
        </is>
      </c>
      <c r="N107" s="2" t="inlineStr">
        <is>
          <t>ข้อ 1 (PLE_CC1_Key_Rx20_UBU.md)</t>
        </is>
      </c>
      <c r="O107" s="2" t="inlineStr">
        <is>
          <t>Mock</t>
        </is>
      </c>
      <c r="P107" s="2" t="inlineStr">
        <is>
          <t>Mock Rx20 UBU</t>
        </is>
      </c>
    </row>
    <row r="108" ht="13.2" customHeight="1" s="37">
      <c r="A108" s="8" t="inlineStr">
        <is>
          <t>106</t>
        </is>
      </c>
      <c r="B108" s="2" t="inlineStr">
        <is>
          <t>acute insomnia, sleep onset and maintainance</t>
        </is>
      </c>
      <c r="C108" s="2" t="n"/>
      <c r="D108" s="2" t="inlineStr">
        <is>
          <t>Alprazolam 0.5 mg HS</t>
        </is>
      </c>
      <c r="E108" s="2" t="inlineStr">
        <is>
          <t>Diazepam 5 mg HS</t>
        </is>
      </c>
      <c r="F108" s="2" t="inlineStr">
        <is>
          <t>Zolpidem 10 mg HS</t>
        </is>
      </c>
      <c r="G108" s="2" t="inlineStr">
        <is>
          <t>Nicotine gum 2 mg PRN</t>
        </is>
      </c>
      <c r="H108" s="2" t="inlineStr">
        <is>
          <t>Quetiapine 25 mg HS</t>
        </is>
      </c>
      <c r="I108" s="8" t="inlineStr">
        <is>
          <t>1</t>
        </is>
      </c>
      <c r="J108" s="2" t="inlineStr">
        <is>
          <t>✅ คำตอบที่ถูกต้อง: ข้อ ก. Alprazolam 0.5 mg HS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Alprazolam 0.5 mg HS การเลือก Alprazolam 0.5 mg HS เป็นคำตอบที่ถูกต้องตามแนวทางการรักษามาตรฐาน เนื่องจาก เป็น intermediate-acting Benzodiazepine ออกฤทธิ์เร็ว เหมาะสำหรับ panic attack แต่มีโอกาสเกิด dependence และ rebound anxiety สูงเมื่อหยุดยา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 s="2" t="n"/>
      <c r="L108" s="2" t="inlineStr">
        <is>
          <t>Insomnia</t>
        </is>
      </c>
      <c r="M108" s="2" t="inlineStr">
        <is>
          <t>Clinic</t>
        </is>
      </c>
      <c r="N108" s="2" t="inlineStr">
        <is>
          <t>ข้อ 1 (PLE_CC1_Key_Rx20_UBU.md)</t>
        </is>
      </c>
      <c r="O108" s="2" t="inlineStr">
        <is>
          <t>Mock</t>
        </is>
      </c>
      <c r="P108" s="2" t="inlineStr">
        <is>
          <t>Mock Rx20 UBU</t>
        </is>
      </c>
    </row>
    <row r="109" ht="13.2" customHeight="1" s="37">
      <c r="A109" s="8" t="inlineStr">
        <is>
          <t>107</t>
        </is>
      </c>
      <c r="B109" s="2" t="inlineStr">
        <is>
          <t>acute insomnia, sleep onset and wake up early</t>
        </is>
      </c>
      <c r="C109" s="2" t="n"/>
      <c r="D109" s="2" t="inlineStr">
        <is>
          <t>Nicotine gum 2 mg PRN</t>
        </is>
      </c>
      <c r="E109" s="2" t="inlineStr">
        <is>
          <t>Quetiapine 25 mg HS</t>
        </is>
      </c>
      <c r="F109" s="2" t="inlineStr">
        <is>
          <t>Risperidone 2 mg OD</t>
        </is>
      </c>
      <c r="G109" s="2" t="inlineStr">
        <is>
          <t>Fluoxetine 20 mg OD</t>
        </is>
      </c>
      <c r="H109" s="2" t="inlineStr">
        <is>
          <t>Sertraline 50 mg OD</t>
        </is>
      </c>
      <c r="I109" s="8" t="inlineStr">
        <is>
          <t>1</t>
        </is>
      </c>
      <c r="J109" s="2" t="inlineStr">
        <is>
          <t>✅ คำตอบที่ถูกต้อง: ข้อ ก. Nicotine gum 2 mg PRN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Nicotine gum 2 mg PRN การเลือก Nicotine gum 2 mg PRN เป็นคำตอบที่ถูกต้องตามแนวทางการรักษามาตรฐาน เนื่องจาก เป็น Nicotine Replacement Therapy (NRT) ช่วยบรรเทา withdrawal symptoms ใน smoking cessation โดยหลีกเลี่ยงสารก่อมะเร็งในควันบุหรี่
🔍 ข้ออื่นผิดเพราะอะไร:
• ข้อ ข. (Quetiapine 25 mg HS): ข้อนี้ไม่ใช่คำตอบที่ถูกต้องสำหรับภาวะ Insomnia เนื่องจากกลไกการออกฤทธิ์, efficacy หรือข้อบ่งใช้ไม่ตรงกับโจทย์ที่กำหนด
• ข้อ ค. (Risperidone 2 mg OD): เป็น Second-generation (atypical) antipsychotic ยับยั้ง 5-HT2A/D2 เสี่ยง EPS ต่ำกว่า typical APs แต่เพิ่มระดับ prolactin สูงสุดในกลุ่ม atypical (gynecomastia, amenorrhea)
• ข้อ ง. (Fluoxetine 20 mg OD): เป็น SSRI มี half-life ยาวที่สุดในกลุ่ม (ร่วมกับ active metabolite norfluoxetine) จึงมี discontinuation syndrome ต่ำ แต่ยับยั้ง CYP2D6 สูง
• ข้อ จ. (Sertraline 50 mg OD): เป็น SSRI ที่มีความปลอดภัยสูงในผู้ป่วยโรคหัวใจ (cardiovascular safety profile ดีที่สุด) เหมาะสำหรับ post-MI depression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2" t="n"/>
      <c r="L109" s="2" t="inlineStr">
        <is>
          <t>Insomnia</t>
        </is>
      </c>
      <c r="M109" s="2" t="inlineStr">
        <is>
          <t>Clinic</t>
        </is>
      </c>
      <c r="N109" s="2" t="inlineStr">
        <is>
          <t>ข้อ 3 (PLE_CC1_Key_Rx20_UBU.md)</t>
        </is>
      </c>
      <c r="O109" s="2" t="inlineStr">
        <is>
          <t>Mock</t>
        </is>
      </c>
      <c r="P109" s="2" t="inlineStr">
        <is>
          <t>Mock Rx20 UBU</t>
        </is>
      </c>
    </row>
    <row r="110" ht="13.2" customHeight="1" s="37">
      <c r="A110" s="8" t="inlineStr">
        <is>
          <t>108</t>
        </is>
      </c>
      <c r="B110" s="2" t="inlineStr">
        <is>
          <t>chronic insomnia, sleep onset and maintainance</t>
        </is>
      </c>
      <c r="C110" s="2" t="n"/>
      <c r="D110" s="2" t="inlineStr">
        <is>
          <t>Fluoxetine 20 mg OD</t>
        </is>
      </c>
      <c r="E110" s="2" t="inlineStr">
        <is>
          <t>Sertraline 50 mg OD</t>
        </is>
      </c>
      <c r="F110" s="2" t="inlineStr">
        <is>
          <t>Escitalopram 10 mg OD</t>
        </is>
      </c>
      <c r="G110" s="2" t="inlineStr">
        <is>
          <t>Venlafaxine 75 mg OD</t>
        </is>
      </c>
      <c r="H110" s="2" t="inlineStr">
        <is>
          <t>Amitriptyline 10 mg HS</t>
        </is>
      </c>
      <c r="I110" s="8" t="inlineStr">
        <is>
          <t>1</t>
        </is>
      </c>
      <c r="J110" s="2" t="inlineStr">
        <is>
          <t>✅ คำตอบที่ถูกต้อง: ข้อ ก. Fluoxetine 20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Fluoxetine 20 mg OD การเลือก Fluoxetine 20 mg OD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(Sertraline 50 mg OD): เป็น SSRI ที่มีความปลอดภัยสูงในผู้ป่วยโรคหัวใจ (cardiovascular safety profile ดีที่สุด) เหมาะสำหรับ post-MI depression
• ข้อ ค. (Escitalopram 10 mg OD): เป็น highly selective SSRI มี drug interactions ต่ำ แต่มีคำเตือนเรื่อง dose-dependent QT prolongation (ขนาดยาสูงสุด 20 mg/day, หรือ 10 mg/day ในผู้สูงอายุ)
• ข้อ ง. (Venlafaxine 75 mg OD): ข้อนี้ไม่ใช่คำตอบที่ถูกต้องสำหรับภาวะ Insomnia เนื่องจากกลไกการออกฤทธิ์, efficacy หรือข้อบ่งใช้ไม่ตรงกับโจทย์ที่กำหนด
• ข้อ จ. (Amitriptyline 10 mg HS): เป็น Tricyclic antidepressant (TCA) มี anticholinergic ADRs สูง, antihistaminic (ง่วงซึม น้ำหนักขึ้น), alpha-1 blockade (orthostatic hypotension) และเสี่ยงต่อ fatal cardiotoxicity เมื่อ overdose
📖 Guideline อ้างอิง:
[NEED_REVIEW]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10" s="2" t="n"/>
      <c r="L110" s="2" t="inlineStr">
        <is>
          <t>Insomnia</t>
        </is>
      </c>
      <c r="M110" s="2" t="inlineStr">
        <is>
          <t>Clinic</t>
        </is>
      </c>
      <c r="N110" s="2" t="inlineStr">
        <is>
          <t>ข้อ 4 (PLE_CC1_Key_Rx20_UBU.md)</t>
        </is>
      </c>
      <c r="O110" s="2" t="inlineStr">
        <is>
          <t>Mock</t>
        </is>
      </c>
      <c r="P110" s="2" t="inlineStr">
        <is>
          <t>Mock Rx20 UBU</t>
        </is>
      </c>
    </row>
    <row r="111" ht="13.2" customHeight="1" s="37">
      <c r="A111" s="8" t="inlineStr">
        <is>
          <t>109</t>
        </is>
      </c>
      <c r="B111" s="2" t="inlineStr">
        <is>
          <t>ดื่มชาเพื่อช่วยให้นอนหลับ 3 ข้อใดน่าจะเป็นสาเหตุในการนอนไม่หลับของผู้ป่วยรายนี้</t>
        </is>
      </c>
      <c r="C111" s="2" t="n"/>
      <c r="D111" s="2" t="inlineStr">
        <is>
          <t>Venlafaxine 75 mg OD</t>
        </is>
      </c>
      <c r="E111" s="2" t="inlineStr">
        <is>
          <t>Amitriptyline 10 mg HS</t>
        </is>
      </c>
      <c r="F111" s="2" t="inlineStr">
        <is>
          <t>Lorazepam 1 mg HS</t>
        </is>
      </c>
      <c r="G111" s="2" t="inlineStr">
        <is>
          <t>Alprazolam 0.5 mg HS</t>
        </is>
      </c>
      <c r="H111" s="2" t="inlineStr">
        <is>
          <t>Diazepam 5 mg HS</t>
        </is>
      </c>
      <c r="I111" s="8" t="inlineStr">
        <is>
          <t>1</t>
        </is>
      </c>
      <c r="J111" s="2" t="inlineStr">
        <is>
          <t>✅ คำตอบที่ถูกต้อง: ข้อ ก. Venlafaxine 75 mg OD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 s="2" t="n"/>
      <c r="L111" s="2" t="inlineStr">
        <is>
          <t>Insomnia</t>
        </is>
      </c>
      <c r="M111" s="2" t="inlineStr">
        <is>
          <t>Clinic</t>
        </is>
      </c>
      <c r="N111" s="2" t="inlineStr">
        <is>
          <t>ข้อ 5 (PLE_CC1_Key_Rx20_UBU.md)</t>
        </is>
      </c>
      <c r="O111" s="2" t="inlineStr">
        <is>
          <t>Mock</t>
        </is>
      </c>
      <c r="P111" s="2" t="inlineStr">
        <is>
          <t>Mock Rx20 UBU</t>
        </is>
      </c>
    </row>
    <row r="112" ht="13.2" customHeight="1" s="37">
      <c r="A112" s="8" t="inlineStr">
        <is>
          <t>110</t>
        </is>
      </c>
      <c r="B112" s="2" t="inlineStr">
        <is>
          <t>ตำแหน่งสองเปลี่ยน C=O เป็น C=N จากโครงสร้างยาเป็นกลุ่ม Benzodiazepines</t>
        </is>
      </c>
      <c r="C112" s="2" t="n"/>
      <c r="D112" s="2" t="inlineStr">
        <is>
          <t>เติม Halogen ที่ Carbon ตำแหน่ง 9 ทำให้ฤทธิ์ลดลง</t>
        </is>
      </c>
      <c r="E112" s="2" t="inlineStr">
        <is>
          <t>Diazepam 5 mg HS</t>
        </is>
      </c>
      <c r="F112" s="2" t="inlineStr">
        <is>
          <t>Zolpidem 10 mg HS</t>
        </is>
      </c>
      <c r="G112" s="2" t="inlineStr">
        <is>
          <t>Nicotine gum 2 mg PRN</t>
        </is>
      </c>
      <c r="H112" s="2" t="inlineStr">
        <is>
          <t>Quetiapine 25 mg HS</t>
        </is>
      </c>
      <c r="I112" s="8" t="inlineStr">
        <is>
          <t>1</t>
        </is>
      </c>
      <c r="J112" s="2" t="inlineStr">
        <is>
          <t>✅ คำตอบที่ถูกต้อง: ข้อ ก. เติม Halogen ที่ Carbon ตำแหน่ง 9 ทำให้ฤทธิ์ลดลง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เติม Halogen ที่ Carbon ตำแหน่ง 9 ทำให้ฤทธิ์ลดลง การเลือก เติม Halogen ที่ Carbon ตำแหน่ง 9 ทำให้ฤทธิ์ลดลง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(Diazepam 5 mg HS): เป็น long-acting Benzodiazepine มี active metabolites (nordiazepam) สะสมในผู้สูงอายุ ทำให้ง่วงซึม หกล้ม เสี่ยง fracture
• ข้อ ค. (Zolpidem 10 mg HS): เป็น non-benzodiazepine Z-drug จับจำเพาะกับ BZ1 (omega-1) receptor ช่วยเหนี่ยวนำการนอนหลับ แต่ต้องระวัง parasomnia (sleep-walking, sleep-eating)
• ข้อ ง. (Nicotine gum 2 mg PRN): เป็น Nicotine Replacement Therapy (NRT) ช่วยบรรเทา withdrawal symptoms ใน smoking cessation โดยหลีกเลี่ยงสารก่อมะเร็งในควันบุหรี่
• ข้อ จ. (Quetiapine 25 mg HS): ข้อนี้ไม่ใช่คำตอบที่ถูกต้องสำหรับภาวะ Anxiety/depression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12" s="2" t="n"/>
      <c r="L112" s="2" t="inlineStr">
        <is>
          <t>Anxiety/depression</t>
        </is>
      </c>
      <c r="M112" s="2" t="inlineStr">
        <is>
          <t>Clinic</t>
        </is>
      </c>
      <c r="N112" s="2" t="inlineStr">
        <is>
          <t>ข้อ 5 (PLE_CC1_Key_Rx20_UBU.md)</t>
        </is>
      </c>
      <c r="O112" s="2" t="inlineStr">
        <is>
          <t>Mock</t>
        </is>
      </c>
      <c r="P112" s="2" t="inlineStr">
        <is>
          <t>Mock Rx20 UBU</t>
        </is>
      </c>
    </row>
    <row r="113" ht="13.2" customHeight="1" s="37">
      <c r="A113" s="8" t="inlineStr">
        <is>
          <t>111</t>
        </is>
      </c>
      <c r="B113" s="2" t="inlineStr">
        <is>
          <t>ผู้ป่วยจัดเป็น Insomnia ประเภทใด</t>
        </is>
      </c>
      <c r="C113" s="2" t="n"/>
      <c r="D113" s="2" t="inlineStr">
        <is>
          <t>Short term insomnia with difficulty falling asleep</t>
        </is>
      </c>
      <c r="E113" s="2" t="inlineStr">
        <is>
          <t>Short term insomnia with difficulty falling asleep and maintaining sleep</t>
        </is>
      </c>
      <c r="F113" s="2" t="inlineStr">
        <is>
          <t>Long term insomnia with difficulty falling asleep</t>
        </is>
      </c>
      <c r="G113" s="2" t="inlineStr">
        <is>
          <t>Long term insomnia with difficulty falling asleep and maintaining sleep</t>
        </is>
      </c>
      <c r="H113" s="2" t="inlineStr">
        <is>
          <t>Long term insomnia with difficulty maintaining sleep Short term insomnia คือ การนอนไม่หลับเป็นต่อเนื่องเป็นระยะเวลาสั้นกว่า 3 week ส่วน Chronic/Long term insomnia คือ เป็นนานกว่า 3-4 week ซึ่งประเภทของการนอนหลับผิดปกติในผู้ป่วยรายนี้คือ นอนหลับยากและตื่นเร็ว ไม่สดชื่น จึงจัดเป็น difficulty falling asleep and maintaining sleep</t>
        </is>
      </c>
      <c r="I113" s="8" t="inlineStr">
        <is>
          <t>2</t>
        </is>
      </c>
      <c r="J113" s="2" t="inlineStr">
        <is>
          <t>✅ คำตอบที่ถูกต้อง: ข้อ ข. Short term insomnia with difficulty falling asleep and maintaining sleep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Short term insomnia with difficulty falling asleep and maintaining sleep การเลือก Short term insomnia with difficulty falling asleep and maintaining sleep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ก. (Short term insomnia with difficulty falling asleep): ข้อนี้ไม่ใช่คำตอบที่ถูกต้องสำหรับภาวะ Insomnia เนื่องจากกลไกการออกฤทธิ์, efficacy หรือข้อบ่งใช้ไม่ตรงกับโจทย์ที่กำหนด
• ข้อ ค. (Long term insomnia with difficulty falling asleep): ข้อนี้ไม่ใช่คำตอบที่ถูกต้องสำหรับภาวะ Insomnia เนื่องจากกลไกการออกฤทธิ์, efficacy หรือข้อบ่งใช้ไม่ตรงกับโจทย์ที่กำหนด
• ข้อ ง. (Long term insomnia with difficulty falling asleep and maintaining sleep): ข้อนี้ไม่ใช่คำตอบที่ถูกต้องสำหรับภาวะ Insomnia เนื่องจากกลไกการออกฤทธิ์, efficacy หรือข้อบ่งใช้ไม่ตรงกับโจทย์ที่กำหนด
• ข้อ จ. (Long term insomnia with difficulty maintaining sleep Short term insomnia คือ การนอนไม่หลับเป็นต่อเนื่องเป็นระยะเวลาสั้นกว่า 3 week ส่วน Chronic/Long term insomnia คือ เป็นนานกว่า 3-4 week ซึ่งประเภทของการนอนหลับผิดปกติในผู้ป่วยรายนี้คือ นอนหลับยากและตื่นเร็ว ไม่สดชื่น จึงจัดเป็น difficulty falling asleep and maintaining sleep):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2" t="n"/>
      <c r="L113" s="2" t="inlineStr">
        <is>
          <t>Insomnia</t>
        </is>
      </c>
      <c r="M113" s="2" t="inlineStr">
        <is>
          <t>Clinic</t>
        </is>
      </c>
      <c r="N113" s="2" t="inlineStr">
        <is>
          <t>ข้อ 64 (PLE_CC1_Key_Rx20_UBU.md)</t>
        </is>
      </c>
      <c r="O113" s="2" t="inlineStr">
        <is>
          <t>Mock</t>
        </is>
      </c>
      <c r="P113" s="2" t="inlineStr">
        <is>
          <t>Mock Rx20 UBU</t>
        </is>
      </c>
    </row>
    <row r="114" ht="13.2" customHeight="1" s="37">
      <c r="A114" s="8" t="inlineStr">
        <is>
          <t>112</t>
        </is>
      </c>
      <c r="B114" s="2" t="inlineStr">
        <is>
          <t>สาเหตุใดเป็นสาเหตุหลักของการนอนไม่หลับมากที่สุด</t>
        </is>
      </c>
      <c r="C114" s="2" t="n"/>
      <c r="D114" s="2" t="inlineStr">
        <is>
          <t>พ่อเสียชีวิต</t>
        </is>
      </c>
      <c r="E114" s="2" t="inlineStr">
        <is>
          <t>แม่ป่วย</t>
        </is>
      </c>
      <c r="F114" s="2" t="inlineStr">
        <is>
          <t>ภรรยาเสียชีวิต</t>
        </is>
      </c>
      <c r="G114" s="2" t="inlineStr">
        <is>
          <t>กินยาลดความดันโลหิต</t>
        </is>
      </c>
      <c r="H114" s="2" t="inlineStr">
        <is>
          <t>กินยารักษาต่อมลูกหมากโต เนื่องจากต้องพิจารณาสาเหตุที่มีความเชื่อมโยงกันด้านเวลาในการเกิดอาการด้วย ซึ่งผู้ป่วยนอนไม่หลับมา 2 สัปดาห์ ซึ่งสอดคล้องกับเหตุการณ์การเสียชีวิตของภรรยาด้วย ส่วนการใช้ยาไม่พบรายงานการเกิดเหตุการณ์ไม่พึงประสงค์เรื่องรบกวนการนอน</t>
        </is>
      </c>
      <c r="I114" s="8" t="inlineStr">
        <is>
          <t>3</t>
        </is>
      </c>
      <c r="J114" s="2" t="inlineStr">
        <is>
          <t>✅ คำตอบที่ถูกต้อง: ข้อ ค. ภรรยาเสียชีวิต
💡 Background:
การบริบาลผู้ป่วยในกลุ่มโรค Insomnia มุ่งเน้นการควบคุมโรคและลดความเสี่ยงต่อภาวะแทรกซ้อนด้วย evidence-based pharmacotherapy
🎯 ทำไมข้อนี้ถึงถูก:
ภรรยาเสียชีวิต การเลือก ภรรยาเสียชีวิต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ก. (พ่อเสียชีวิต): ข้อนี้ไม่ใช่คำตอบที่ถูกต้องสำหรับภาวะ Insomnia เนื่องจากกลไกการออกฤทธิ์, efficacy หรือข้อบ่งใช้ไม่ตรงกับโจทย์ที่กำหนด
• ข้อ ข. (แม่ป่วย): ข้อนี้ไม่ใช่คำตอบที่ถูกต้องสำหรับภาวะ Insomnia เนื่องจากกลไกการออกฤทธิ์, efficacy หรือข้อบ่งใช้ไม่ตรงกับโจทย์ที่กำหนด
• ข้อ ง. (กินยาลดความดันโลหิต): ข้อนี้ไม่ใช่คำตอบที่ถูกต้องสำหรับภาวะ Insomnia เนื่องจากกลไกการออกฤทธิ์, efficacy หรือข้อบ่งใช้ไม่ตรงกับโจทย์ที่กำหนด
• ข้อ จ. (กินยารักษาต่อมลูกหมากโต เนื่องจากต้องพิจารณาสาเหตุที่มีความเชื่อมโยงกันด้านเวลาในการเกิดอาการด้วย ซึ่งผู้ป่วยนอนไม่หลับมา 2 สัปดาห์ ซึ่งสอดคล้องกับเหตุการณ์การเสียชีวิตของภรรยาด้วย ส่วนการใช้ยาไม่พบรายงานการเกิดเหตุการณ์ไม่พึงประสงค์เรื่องรบกวนการนอน): ข้อนี้ไม่ใช่คำตอบที่ถูกต้องสำหรับภาวะ Insomnia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2" t="n"/>
      <c r="L114" s="2" t="inlineStr">
        <is>
          <t>Insomnia</t>
        </is>
      </c>
      <c r="M114" s="2" t="inlineStr">
        <is>
          <t>Clinic</t>
        </is>
      </c>
      <c r="N114" s="2" t="inlineStr">
        <is>
          <t>ข้อ 65 (PLE_CC1_Key_Rx20_UBU.md)</t>
        </is>
      </c>
      <c r="O114" s="2" t="inlineStr">
        <is>
          <t>Mock</t>
        </is>
      </c>
      <c r="P114" s="2" t="inlineStr">
        <is>
          <t>Mock Rx20 UBU</t>
        </is>
      </c>
    </row>
    <row r="115" ht="13.2" customHeight="1" s="37">
      <c r="A115" s="8" t="inlineStr">
        <is>
          <t>113</t>
        </is>
      </c>
      <c r="B115" s="2" t="inlineStr">
        <is>
          <t>ควรใช้ยาใดในผู้ป่วยรายนี้ มีตาราง Pharmacokinetics ของ Benzodiazepine มาดังนี้</t>
        </is>
      </c>
      <c r="C115" s="2" t="n"/>
      <c r="D115" s="2" t="inlineStr">
        <is>
          <t>Diazepam</t>
        </is>
      </c>
      <c r="E115" s="2" t="inlineStr">
        <is>
          <t>Lorazepam</t>
        </is>
      </c>
      <c r="F115" s="2" t="inlineStr">
        <is>
          <t>Alprazolam</t>
        </is>
      </c>
      <c r="G115" s="2" t="inlineStr">
        <is>
          <t>Triazolam</t>
        </is>
      </c>
      <c r="H115" s="2" t="inlineStr">
        <is>
          <t>Clonazepam ควรเลือก BZD ที่ออกฤทธิ์ยาว onset เร็ว เพื่อช่วยให้ผู้ป่วยได้นอนหลับดีขึ้น ลึกขึ้น โดยสามารถให้ diazepam OD เฉพาะตอนก่อนนอนได้ (Clonazepam ก็ออกฤทธิ์ยาว) ส่วน Lorazepam และ Alprazolam ออกฤทธิ์ปานกลาง นิยมใช้เป็นยานอนหลับเช่นกัน แต่ควรใช้เพียงระยะเวลาสั้นๆ เนื่องจากยามีผลให้ผู้ป่วยนอนในช่วง stage 2 non-REM sleep และลดระยะ delta sleep (เหมาะกับคนที่นอนหลับไม่สนิท แต่ตื่นง่าย)</t>
        </is>
      </c>
      <c r="I115" s="8" t="inlineStr">
        <is>
          <t>1</t>
        </is>
      </c>
      <c r="J115" s="2" t="inlineStr">
        <is>
          <t>✅ คำตอบที่ถูกต้อง: ข้อ ก. Diazepam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Diazepam การเลือก Diazepam เป็นคำตอบที่ถูกต้องตามแนวทางการรักษามาตรฐาน เนื่องจาก เป็น long-acting Benzodiazepine มี active metabolites (nordiazepam) สะสมในผู้สูงอายุ ทำให้ง่วงซึม หกล้ม เสี่ยง fracture
🔍 ข้ออื่นผิดเพราะอะไร:
• ข้อ ข. (Lorazepam): เป็น Benzodiazepine กลุ่ม LOT (Lorazepam, Oxazepam, Temazepam) ที่ผ่าน hepatic Phase II glucuronidation โดยตรง ไม่ผ่าน CYP oxidation จึงปลอดภัยกว่าในผู้สูงอายุและโรคตับ
• ข้อ ค. (Alprazolam): เป็น intermediate-acting Benzodiazepine ออกฤทธิ์เร็ว เหมาะสำหรับ panic attack แต่มีโอกาสเกิด dependence และ rebound anxiety สูงเมื่อหยุดยา
• ข้อ ง. (Triazolam): ข้อนี้ไม่ใช่คำตอบที่ถูกต้องสำหรับภาวะ Anxiety/depression เนื่องจากกลไกการออกฤทธิ์, efficacy หรือข้อบ่งใช้ไม่ตรงกับโจทย์ที่กำหนด
• ข้อ จ. (Clonazepam ควรเลือก BZD ที่ออกฤทธิ์ยาว onset เร็ว เพื่อช่วยให้ผู้ป่วยได้นอนหลับดีขึ้น ลึกขึ้น โดยสามารถให้ diazepam OD เฉพาะตอนก่อนนอนได้ (Clonazepam ก็ออกฤทธิ์ยาว) ส่วน Lorazepam และ Alprazolam ออกฤทธิ์ปานกลาง นิยมใช้เป็นยานอนหลับเช่นกัน แต่ควรใช้เพียงระยะเวลาสั้นๆ เนื่องจากยามีผลให้ผู้ป่วยนอนในช่วง stage 2 non-REM sleep และลดระยะ delta sleep (เหมาะกับคนที่นอนหลับไม่สนิท แต่ตื่นง่าย)):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15" s="2" t="n"/>
      <c r="L115" s="2" t="inlineStr">
        <is>
          <t>Anxiety/depression</t>
        </is>
      </c>
      <c r="M115" s="2" t="inlineStr">
        <is>
          <t>Clinic</t>
        </is>
      </c>
      <c r="N115" s="2" t="inlineStr">
        <is>
          <t>ข้อ 67 (PLE_CC1_Key_Rx20_UBU.md)</t>
        </is>
      </c>
      <c r="O115" s="2" t="inlineStr">
        <is>
          <t>Mock</t>
        </is>
      </c>
      <c r="P115" s="2" t="inlineStr">
        <is>
          <t>Mock Rx20 UBU</t>
        </is>
      </c>
    </row>
    <row r="116" ht="13.2" customHeight="1" s="37">
      <c r="A116" s="8" t="inlineStr">
        <is>
          <t>114</t>
        </is>
      </c>
      <c r="B116" s="2" t="inlineStr">
        <is>
          <t>ผู้ป่วยมีโรคซึมเศร้าร่วมด้วย ควรได้รับยาใด เพื่อรักษาอาการนอนไม่หลับและซึมเศร้า</t>
        </is>
      </c>
      <c r="C116" s="2" t="n"/>
      <c r="D116" s="2" t="inlineStr">
        <is>
          <t>Bupropion</t>
        </is>
      </c>
      <c r="E116" s="2" t="inlineStr">
        <is>
          <t>Mirtazapine</t>
        </is>
      </c>
      <c r="F116" s="2" t="inlineStr">
        <is>
          <t>Amitriptyline</t>
        </is>
      </c>
      <c r="G116" s="2" t="inlineStr">
        <is>
          <t>Venlafaxine</t>
        </is>
      </c>
      <c r="H116" s="2" t="inlineStr">
        <is>
          <t>Zolpidem พิจารณาจากอาการไม่พึงประสงค์ได้ โดยกลุ่มยาที่มีผลต่อ Serotonin จะทำให้นอนไม่หลับ ดังนั้นจึงไม่เลือก Bupropion, Amitriptyline และ Venlafaxine ส่วน Zolpidem เป็นยาในกลุ่ม BZD เราจะไม่ใช้ยากลุ่มเดียวกันซ้ำ (ผู้ป่วยใช้ BZD เป็นยานอนหลับแล้ว)</t>
        </is>
      </c>
      <c r="I116" s="8" t="inlineStr">
        <is>
          <t>2</t>
        </is>
      </c>
      <c r="J116" s="2" t="inlineStr">
        <is>
          <t>✅ คำตอบที่ถูกต้อง: ข้อ ข. Mirtazapine
💡 Background:
การบริบาลผู้ป่วยในกลุ่มโรค Anxiety/depression มุ่งเน้นการควบคุมโรคและลดความเสี่ยงต่อภาวะแทรกซ้อนด้วย evidence-based pharmacotherapy
🎯 ทำไมข้อนี้ถึงถูก:
Mirtazapine การเลือก Mirtazapine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ก. (Bupropion): เป็น NDRI ใช้ช่วยเลิกบุหรี่และรักษาซึมเศร้า แต่มี contraindication ในผู้ป่วยประวัติชัก (seizure disorder) หรือ anorexia/bulimia nervosa
• ข้อ ค. (Amitriptyline): เป็น Tricyclic antidepressant (TCA) มี anticholinergic ADRs สูง, antihistaminic (ง่วงซึม น้ำหนักขึ้น), alpha-1 blockade (orthostatic hypotension) และเสี่ยงต่อ fatal cardiotoxicity เมื่อ overdose
• ข้อ ง. (Venlafaxine): ข้อนี้ไม่ใช่คำตอบที่ถูกต้องสำหรับภาวะ Anxiety/depression เนื่องจากกลไกการออกฤทธิ์, efficacy หรือข้อบ่งใช้ไม่ตรงกับโจทย์ที่กำหนด
• ข้อ จ. (Zolpidem พิจารณาจากอาการไม่พึงประสงค์ได้ โดยกลุ่มยาที่มีผลต่อ Serotonin จะทำให้นอนไม่หลับ ดังนั้นจึงไม่เลือก Bupropion, Amitriptyline และ Venlafaxine ส่วน Zolpidem เป็นยาในกลุ่ม BZD เราจะไม่ใช้ยากลุ่มเดียวกันซ้ำ (ผู้ป่วยใช้ BZD เป็นยานอนหลับแล้ว)): เป็น NDRI ใช้ช่วยเลิกบุหรี่และรักษาซึมเศร้า แต่มี contraindication ในผู้ป่วยประวัติชัก (seizure disorder) หรือ anorexia/bulimia nervosa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16" s="2" t="n"/>
      <c r="L116" s="2" t="inlineStr">
        <is>
          <t>Anxiety/depression</t>
        </is>
      </c>
      <c r="M116" s="2" t="inlineStr">
        <is>
          <t>Clinic</t>
        </is>
      </c>
      <c r="N116" s="2" t="inlineStr">
        <is>
          <t>ข้อ 68 (PLE_CC1_Key_Rx20_UBU.md)</t>
        </is>
      </c>
      <c r="O116" s="2" t="inlineStr">
        <is>
          <t>Mock</t>
        </is>
      </c>
      <c r="P116" s="2" t="inlineStr">
        <is>
          <t>Mock Rx20 UBU</t>
        </is>
      </c>
    </row>
    <row r="117" ht="13.2" customHeight="1" s="37">
      <c r="A117" s="2" t="n">
        <v>115</v>
      </c>
      <c r="B117" s="2" t="inlineStr">
        <is>
          <t>▶ [กรณีศึกษา: ผู้ป่วยชายอายุ 35 ปี มีอาการนอนไม่หลับหลังจากได้รับการเลื่อนตำแหน่ง เครียดและกังวลมากเรื่องงาน ส่งผลให้ง่วงหลับระหว่างวัน ดื่มกาแฟวันละ 3-4 แก้ว ภรรยาแจ้งว่าตอนกลางคืนหลับยาก พลิกตัวไปมานาน ต้องดื่มแอลกอฮอล์ 1 แก้วก่อนนอนเพื่อให้หลับได้]
📌 คำถาม: คำแนะนำด้านสุขอนามัยการนอนหลับ (Sleep Hygiene) ในข้อใด "ไม่ถูกต้องและไม่ควรแนะนำ" แก่ผู้ป่วยรายนี้</t>
        </is>
      </c>
      <c r="C117" s="2" t="n"/>
      <c r="D117" s="2" t="inlineStr">
        <is>
          <t>แนะนำให้งดดื่มเครื่องดื่มแอลกอฮอล์ก่อนนอน</t>
        </is>
      </c>
      <c r="E117" s="2" t="inlineStr">
        <is>
          <t>เมื่อนอนไม่หลับภายใน 20 นาที ให้ลุกออกจากเตียงไปทำกิจกรรมผ่อนคลาย เมื่อรู้สึกง่วงจึงค่อยกลับมานอน</t>
        </is>
      </c>
      <c r="F117" s="2" t="inlineStr">
        <is>
          <t>แนะนำให้นอนหลับพักผ่อนในช่วงกลางวันชดเชยวันละ 2-3 ชั่วโมง</t>
        </is>
      </c>
      <c r="G117" s="2" t="inlineStr">
        <is>
          <t>เข้านอนและตื่นนอนให้ตรงเวลาเดิมสม่ำเสมอทุกวัน</t>
        </is>
      </c>
      <c r="H117" s="2" t="inlineStr">
        <is>
          <t>งดดื่มชา กาแฟ และเครื่องดื่มที่มีคาเฟอีน โดยเฉพาะในช่วงบ่ายและเย็น</t>
        </is>
      </c>
      <c r="I117" s="8" t="inlineStr">
        <is>
          <t>3</t>
        </is>
      </c>
      <c r="J117" s="2" t="inlineStr">
        <is>
          <t>✅ คำตอบที่ถูกต้อง: ข้อ ค. แนะนำให้นอนกลางวันชดเชย 2-3 ชั่วโมง
💡 Background:
สุขอนามัยการนอนหลับ (Sleep Hygiene) เป็นการรักษาพื้นฐานอันดับแรก (Non-pharmacological therapy) สำหรับผู้ป่วยโรคนอนไม่หลับ (Insomnia) ทุกราย หลักการสำคัญได้แก่ การเข้านอนและตื่นนอนให้ตรงเวลาทุกวัน, หลีกเลี่ยงเครื่องดื่มที่มีคาเฟอีน แอลกอฮอล์ และการสูบบุหรี่ก่อนนอน, จัดสภาพแวดล้อมห้องนอนให้มืด เงียบ และเย็น, หากนอนไม่หลับภายใน 20 นาทีให้ลุกออกจากเตียงไปทำกิจกรรมผ่อนคลายแล้วกลับมานอนเมื่อรู้สึกง่วง (Stimulus control), และที่สำคัญคือ "ต้องงดหรือจำกัดการนอนกลางวัน" (ไม่เกิน 20-30 นาที และไม่นอนหลังบ่าย 3 โมง) เพื่อสะสม Homeostatic sleep drive ไว้สำหรับเวลากลางคืน
🎯 ทำไมข้อนี้ถึงถูก:
โจทย์ถามว่าข้อใด "ไม่ใช่" คำแนะนำที่ควรให้: การแนะนำให้นอนกลางวันนานถึง 2-3 ชั่วโมง เป็นคำแนะนำที่ผิดอย่างยิ่ง เพราะจะไปลดระดับความต้องการนอนหลับ (Sleep drive) ของร่างกาย ทำให้ตอนกลางคืนยิ่งนอนไม่หลับและรบกวนวงจรการนอนหลับ (Circadian rhythm) ให้แปรปรวนมากขึ้น
🔍 ข้ออื่นผิดเพราะอะไร:
• ข้อ ก. (งดดื่มแอลกอฮอล์): เป็นคำแนะนำที่ถูกต้อง เพราะแอลกอฮอล์แม้จะช่วยให้หลับง่ายในช่วงแรก แต่จะรบกวน REM sleep ทำให้ตื่นกลางดึกและหลับไม่สนิท
• ข้อ ข. (เมื่อนอนไม่หลับ ให้ลุกจากเตียงไปอ่านหนังสือ ง่วงแล้วค่อยกลับมานอน): เป็นคำแนะนำมาตรฐานตามเทคนิค Stimulus Control Therapy เพื่อไม่ให้สมองเชื่อมโยงเตียงนอนกับความเครียดจากการนอนไม่หลับ
• ข้อ ง. (นอนและตื่นให้ตรงเวลา): เป็นหัวใจหลักของการรักษาสุขอนามัยการนอนเพื่อตั้งค่านาฬิกาชีวภาพของร่างกาย
• ข้อ จ. (งดหรือจำกัดการดื่มกาแฟ): เป็นคำแนะนำที่ถูกต้อง คาเฟอีนมีฤทธิ์กระตุ้นประสาทและมีค่าครึ่งชีวิต 5-7 ชั่วโมง จึงควรงดหลังช่วงบ่าย
📖 Guideline อ้างอิง:
AASM Clinical Practice Guideline for the Pharmacologic and Non-pharmacologic Treatment of Chronic Insomnia &amp; ราชวิทยาลัยจิตแพทย์แห่งประเทศไทย: แนวทางการดูแลรักษาโรคนอนไม่หลับ
📌 จุดจำก่อนสอบ:
• Sleep Hygiene Pearls: ห้ามนอนกลางวันยาว (หลีกเลี่ยงการ Nap หรือห้ามเกิน 20-30 นาที), งดชากาแฟหลังบ่าย, งดแอลกอฮอล์ก่อนนอน
• Stimulus Control: นอนไม่หลับใน 20 นาที -&gt; ลุกออกจากเตียงทันที ห้ามดูนาฬิกา ห้ามเล่นโทรศัพท์บนเตียง</t>
        </is>
      </c>
      <c r="K117" s="2" t="n"/>
      <c r="L117" s="2" t="inlineStr">
        <is>
          <t>Psychiatric</t>
        </is>
      </c>
      <c r="M117" s="2" t="inlineStr">
        <is>
          <t>Clinic</t>
        </is>
      </c>
      <c r="N117" s="2" t="inlineStr">
        <is>
          <t>PLE_CC1_2567_Key ข้อ 18</t>
        </is>
      </c>
      <c r="O117" s="2" t="inlineStr">
        <is>
          <t>ข้อสอบจริง</t>
        </is>
      </c>
      <c r="P117" s="2" t="inlineStr">
        <is>
          <t>ปี 2567</t>
        </is>
      </c>
    </row>
    <row r="118" ht="13.2" customHeight="1" s="37">
      <c r="A118" s="2" t="n">
        <v>116</v>
      </c>
      <c r="B118" s="2" t="inlineStr">
        <is>
          <t>▶ [กรณีศึกษา: ผู้ป่วยชายอายุ 35 ปี เครียดจากการปรับตำแหน่งงานใหม่ นอนหลับยาก หลับไม่สนิท และมีอาการง่วงหลับตอนขับรถติดไฟแดง ปัจจุบันดื่มกาแฟวันละ 3-4 แก้วและดื่มเหล้าก่อนนอน]
📌 คำถาม: แนวทางการจัดการและรักษาภาวะนอนไม่หลับของผู้ป่วยรายนี้ในเบื้องต้น ข้อใดมีความเหมาะสมและปลอดภัยมากที่สุด</t>
        </is>
      </c>
      <c r="C118" s="2" t="n"/>
      <c r="D118" s="2" t="inlineStr">
        <is>
          <t>จ่าย Lorazepam 1 mg รับประทานก่อนนอนทุกคืนต่อเนื่อง 1 เดือน</t>
        </is>
      </c>
      <c r="E118" s="2" t="inlineStr">
        <is>
          <t>ปรับสุขอนามัยการนอนหลับ (Sleep hygiene) งดแอลกอฮอล์/กาแฟ และอาจพิจารณา Melatonin ระยะสั้น</t>
        </is>
      </c>
      <c r="F118" s="2" t="inlineStr">
        <is>
          <t>แนะนำให้รับประทานยาเม็ดสารสกัดสมุนไพรใบขี้เหล็กก่อนนอน</t>
        </is>
      </c>
      <c r="G118" s="2" t="inlineStr">
        <is>
          <t>จ่ายยา Chlorpheniramine (CPM) 4 mg รับประทานก่อนนอนเป็นประจำเพื่อช่วยให้นอนหลับ</t>
        </is>
      </c>
      <c r="H118" s="2" t="inlineStr">
        <is>
          <t>ให้ดื่มแอลกอฮอล์เพิ่มปริมาณเป็น 2 แก้วก่อนนอนเพื่อให้หลับสนิทตลอดคืน</t>
        </is>
      </c>
      <c r="I118" s="8" t="inlineStr">
        <is>
          <t>2</t>
        </is>
      </c>
      <c r="J118" s="2" t="inlineStr">
        <is>
          <t>✅ คำตอบที่ถูกต้อง: ข้อ ข. ปรับพฤติกรรมการนอน (Sleep Hygiene) และพิจารณา Melatonin หรือ Non-BZD หากจำเป็น
💡 Background:
การรักษาโรคนอนหลับยากเฉียบพลันจากความเครียดในการปรับตัว (Adjustment Insomnia) ในผู้ป่วยวัยทำงานที่ไม่มีโรคร่วมทางจิตเวชรุนแรง ลำดับแรกต้องใช้การปรับเปลี่ยนสุขอนามัยการนอนหลับ (Sleep Hygiene) ร่วมกับ Cognitive Behavioral Therapy for Insomnia (CBT-I) หากมีความจำเป็นต้องใช้ยาควรเลือกยาที่มีความปลอดภัยสูง ไม่ทำให้เกิดการติดยาหรือกดการหายใจ เช่น Melatonin หรือยากลุ่ม Non-benzodiazepine receptor agonists (Z-drugs ในระยะสั้น) โดยควรหลีกเลี่ยง Benzodiazepines (เช่น Lorazepam) ที่มีฤทธิ์เสพติดและทำให้ง่วงซึมตกค้างในเวลากลางวันซึ่งอันตรายต่อการขับรถและการทำงาน
🎯 ทำไมข้อนี้ถึงถูก:
การเริ่มต้นด้วยการจัดการแบบไม่ใช้ยา (Sleep hygiene) ร่วมกับการใช้ยาที่มีความปลอดภัย เช่น Melatonin เป็นทางเลือกที่เหมาะสมที่สุดในการปรับวงจรการนอนหลับโดยไม่เสี่ยงต่อการเสพติดยาและการง่วงซึมกดประสาทในเวลากลางวัน
🔍 ข้ออื่นผิดเพราะอะไร:
• ข้อ ก. (Lorazepam): เป็น Benzodiazepine มีความเสี่ยงสูงต่อการติดยา (Physical dependence), การดื้อยา (Tolerance), Rebound insomnia และทำให้ง่วงซึมตกค้างตอนกลางวัน (Daytime sedation) ซึ่งผู้ป่วยมีประวัติหลับตอนติดไฟแดงอยู่แล้วจึงอันตรายมาก
• ข้อ ค. (สมุนไพรขี้เหล็ก): ปัจจุบันถูกเพิกถอนตำรับยาเดี่ยวเนื่องจากมีสาร Barakol ที่มีพิษรุนแรงต่อตับ (Hepatotoxicity) จึงห้ามใช้รักษาอาการนอนไม่หลับ
• ข้อ ง. (CPM - Chlorpheniramine): เป็น First-generation antihistamine ไม่แนะนำให้ใช้รักษาอาการนอนไม่หลับเรื้อรัง เพราะทำให้เกิด Tolerance รวดเร็ว และมีผลข้างเคียง Anticholinergic (ปากแห้ง ตาพร่า ท้องผูก ปัสสาวะขัด)
• ข้อ จ. (ยาแก้พิษ N-acetylcysteine): ตัวเลือกลวงที่เกิดจากการจัดแถวผิดพลาดในระบบเดิม
📖 Guideline อ้างอิง:
Clinical Practice Guideline for the Evaluation and Management of Chronic Insomnia in Adults (AASM) &amp; กรมการแพทย์: แนวทางการตรวจวินิจฉัยและรักษาโรคนอนไม่หลับในผู้ใหญ่
📌 จุดจำก่อนสอบ:
• First-line for Insomnia: CBT-I และ Sleep Hygiene คือ First-line เสมอ ไม่ใช่การเริ่มยานอนหลับทันที
• Cassia siamea (ขี้เหล็ก) Warning: ใบ/ดอกขี้เหล็กมีสาร Barakol สัมพันธ์กับการเกิดตับวายเฉียบพลัน อย. สั่งยกเลิกทะเบียนตำรับยาเดี่ยวขี้เหล็กแล้ว ห้ามตอบว่านำมาใช้รักษา</t>
        </is>
      </c>
      <c r="K118" s="2" t="n"/>
      <c r="L118" s="2" t="inlineStr">
        <is>
          <t>Psychiatric</t>
        </is>
      </c>
      <c r="M118" s="2" t="inlineStr">
        <is>
          <t>Clinic</t>
        </is>
      </c>
      <c r="N118" s="2" t="inlineStr">
        <is>
          <t>PLE_CC1_2567_Key ข้อ 20</t>
        </is>
      </c>
      <c r="O118" s="2" t="inlineStr">
        <is>
          <t>ข้อสอบจริง</t>
        </is>
      </c>
      <c r="P118" s="2" t="inlineStr">
        <is>
          <t>ปี 2567</t>
        </is>
      </c>
    </row>
  </sheetData>
  <mergeCells count="1">
    <mergeCell ref="A1:F1"/>
  </mergeCell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Q130"/>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37">
      <c r="A3" s="13" t="inlineStr">
        <is>
          <t>1</t>
        </is>
      </c>
      <c r="B3" s="2" t="inlineStr">
        <is>
          <t>ตามแนวทาง GINA Guideline ปัจจุบัน การรักษาแบบบรรเทาอาการทันที (Reliever) ที่แนะนำเป็น First-line ในผู้ป่วยโรคหืด (Asthma Track 1) คือตัวเลือกใด?</t>
        </is>
      </c>
      <c r="C3" s="2" t="n"/>
      <c r="D3" s="2" t="inlineStr">
        <is>
          <t>Short-acting beta-2 agonist (SABA) เดี่ยวๆ (เช่น Salbutamol MDI)</t>
        </is>
      </c>
      <c r="E3" s="2" t="inlineStr">
        <is>
          <t>Inhaled corticosteroid + Formoterol (ICS-Formoterol ขนาดต่ำ)</t>
        </is>
      </c>
      <c r="F3" s="2" t="inlineStr">
        <is>
          <t>Oral Prednisolone 30 mg</t>
        </is>
      </c>
      <c r="G3" s="2" t="inlineStr">
        <is>
          <t>Ipratropium bromide MDI</t>
        </is>
      </c>
      <c r="H3" s="2" t="inlineStr">
        <is>
          <t>Theophylline sustained-release</t>
        </is>
      </c>
      <c r="I3" s="8" t="inlineStr">
        <is>
          <t>2</t>
        </is>
      </c>
      <c r="J3" s="2" t="inlineStr">
        <is>
          <t>✅ คำตอบที่ถูกต้อง: ข้อ ข. Inhaled corticosteroid + Formoterol (ICS-Formoterol ขนาดต่ำ)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corticosteroid + Formoterol (ICS-Formoterol ขนาดต่ำ) GINA Track 1 แนะนำ Low-dose ICS-Formoterol as reliever เพื่อลดความเสี่ยงต่อการเกิด Exacerbation รุนแรงจากการใช้ SABA เดี่ยวๆ
🔍 ข้ออื่นผิดเพราะอะไร:
• ข้อ ก. (Short-acting beta-2 agonist (SABA) เดี่ยวๆ (เช่น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(Oral Prednisolone 30 mg): เป็น intermediate-acting systemic corticosteroid ขนาดยอดนิยมสำหรับ immunosuppressive &amp; anti-inflammatory therapy ต้องระวัง Cushingoid, infection, osteoporosis, peptic ulcer
• ข้อ ง. (Ipratropium bromide MDI): เป็น SAMA ออกฤทธิ์ยับยั้ง cholinergic tone มักใช้ร่วมกับ SABA ใน acute moderate-to-severe asthma/COPD exacerbation
• ข้อ จ. (Theophylline sustained-release):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 s="2" t="n"/>
      <c r="L3" s="2" t="inlineStr">
        <is>
          <t>Asthma</t>
        </is>
      </c>
      <c r="M3" s="2" t="inlineStr">
        <is>
          <t>Clinic</t>
        </is>
      </c>
      <c r="N3" s="2" t="inlineStr">
        <is>
          <t>GINA Guidelines</t>
        </is>
      </c>
      <c r="O3" s="2" t="inlineStr">
        <is>
          <t>Mock</t>
        </is>
      </c>
      <c r="P3" s="2" t="n"/>
    </row>
    <row r="4" ht="13.2" customHeight="1" s="37">
      <c r="A4" s="8" t="inlineStr">
        <is>
          <t>1</t>
        </is>
      </c>
      <c r="B4"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ข้อใดไม่ใช่เป้าหมายการรักษาของผู้ป่วยโรคหืดรายนี้</t>
        </is>
      </c>
      <c r="C4" s="2" t="n"/>
      <c r="D4" s="2" t="inlineStr">
        <is>
          <t>เพื่อให้สามารถดำเนินชีวิตได้ปกติ</t>
        </is>
      </c>
      <c r="E4" s="2" t="inlineStr">
        <is>
          <t>เพื่อให้ควบคุมอาการของโรคได้</t>
        </is>
      </c>
      <c r="F4" s="2" t="inlineStr">
        <is>
          <t>เพื่อหลีกเลี่ยงอาการไม่พึงประสงค์อันเนื่องมาจากยารับประทาน</t>
        </is>
      </c>
      <c r="G4" s="2" t="inlineStr">
        <is>
          <t>เพื่อป้องกันการเกิดอาการเรื้อรัง</t>
        </is>
      </c>
      <c r="H4" s="2" t="inlineStr">
        <is>
          <t>เพื่อป้องกันการทำลายเนื้อเยื่อปอด</t>
        </is>
      </c>
      <c r="I4" s="8" t="inlineStr">
        <is>
          <t>5</t>
        </is>
      </c>
      <c r="J4" s="2" t="inlineStr">
        <is>
          <t>✅ คำตอบที่ถูกต้อง: ข้อ จ. เพื่อป้องกันการทำลายเนื้อเยื่อปอด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เพื่อป้องกันการทำลายเนื้อเยื่อปอด ตามแนวทาง GINA (Global Initiative for Asthma) เป้าหมายของการรักษาโรคหืดประกอบด้วย การควบคุมอาการในระยะยาว (achieve and maintain control) และลดความเสี่ยงในอนาคต (minimize future risk) เช่น ป้องกันการเกิดอาการกำเริบ ป้องกันการสูญเสียการทำงานของปอด และลดผลข้างเคียงจากยา แต่เป้าหมายหลักไม่ได้เน้นเรื่องหลีกเลี่ยงยารับประทานโดยเฉพาะ หากจำเป็นต้องใช้ยาควบคุมอาการชนิดกินตามข้อบ่งชี้
🔍 ข้ออื่นผิดเพราะอะไร:
• ข้อ ก. (เพื่อให้สามารถดำเนินชีวิตได้ปกติ): ข้อนี้ไม่ใช่คำตอบที่ถูกต้องสำหรับภาวะ Asthma เนื่องจากกลไกการออกฤทธิ์, efficacy หรือข้อบ่งใช้ไม่ตรงกับโจทย์ที่กำหนด
• ข้อ ข. (เพื่อให้ควบคุมอาการของโรคได้): ข้อนี้ไม่ใช่คำตอบที่ถูกต้องสำหรับภาวะ Asthma เนื่องจากกลไกการออกฤทธิ์, efficacy หรือข้อบ่งใช้ไม่ตรงกับโจทย์ที่กำหนด
• ข้อ ค. (เพื่อหลีกเลี่ยงอาการไม่พึงประสงค์อันเนื่องมาจากยารับประทาน): ข้อนี้ไม่ใช่คำตอบที่ถูกต้องสำหรับภาวะ Asthma เนื่องจากกลไกการออกฤทธิ์, efficacy หรือข้อบ่งใช้ไม่ตรงกับโจทย์ที่กำหนด
• ข้อ ง. (เพื่อป้องกันการเกิดอาการเรื้อรัง):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 s="2" t="n"/>
      <c r="L4" s="2" t="inlineStr">
        <is>
          <t>Asthma</t>
        </is>
      </c>
      <c r="M4" s="2" t="inlineStr">
        <is>
          <t>Clinic</t>
        </is>
      </c>
      <c r="N4" s="2" t="inlineStr">
        <is>
          <t>ข้อ 1 Pharma Plus เล่มม่วง (เฉลยข้อ จ)</t>
        </is>
      </c>
      <c r="O4" s="2" t="inlineStr">
        <is>
          <t>Mock</t>
        </is>
      </c>
      <c r="P4" s="2" t="inlineStr">
        <is>
          <t>Pharma Plus เล่มม่วง</t>
        </is>
      </c>
    </row>
    <row r="5" ht="13.2" customHeight="1" s="37">
      <c r="A5" s="8" t="inlineStr">
        <is>
          <t>2</t>
        </is>
      </c>
      <c r="B5"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ข้อใดที่มีโอกาสน้อยที่สุดในการกระตุ้นการเกิดอาการหอบหืด</t>
        </is>
      </c>
      <c r="C5" s="2" t="n"/>
      <c r="D5" s="2" t="inlineStr">
        <is>
          <t>เดินขึ้นบันได 2 ชั้น</t>
        </is>
      </c>
      <c r="E5" s="2" t="inlineStr">
        <is>
          <t>อากาศร้อน</t>
        </is>
      </c>
      <c r="F5" s="2" t="inlineStr">
        <is>
          <t>ขนแมว</t>
        </is>
      </c>
      <c r="G5" s="2" t="inlineStr">
        <is>
          <t>ฝุ่น</t>
        </is>
      </c>
      <c r="H5" s="2" t="inlineStr">
        <is>
          <t>ควันบุหรี่</t>
        </is>
      </c>
      <c r="I5" s="8" t="inlineStr">
        <is>
          <t>2</t>
        </is>
      </c>
      <c r="J5" s="2" t="inlineStr">
        <is>
          <t>✅ คำตอบที่ถูกต้อง: ข้อ ข. อากาศร้อน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อากาศร้อน การเดินขึ้นบันได 2 ชั้นเป็นกิจกรรมปกติ (แม้จะกระตุ้น exercise-induced bronchoconstriction ได้ในบางราย แต่เมื่อเทียบกับสารก่อภูมิแพ้ เช่น ขนแมว ฝุ่น และสารระคายเคือง เช่น ควันบุหรี่ หรืออากาศร้อนจัด/เย็นจัด ซึ่งเป็นตัวกระตุ้นหลักที่ทำให้เกิดหลอดเกร็งตัวได้บ่อยและชัดเจนกว่า การเดินขึ้นบันได 2 ชั้นจึงมีโอกาสน้อยที่สุดในคนทั่วไปที่ไม่มีอาการหอบหืดรุนแรงจากการออกกำลังกาย
🔍 ข้ออื่นผิดเพราะอะไร:
• ข้อ ก. (เดินขึ้นบันได 2 ชั้น): ข้อนี้ไม่ใช่คำตอบที่ถูกต้องสำหรับภาวะ Asthma เนื่องจากกลไกการออกฤทธิ์, efficacy หรือข้อบ่งใช้ไม่ตรงกับโจทย์ที่กำหนด
• ข้อ ค. (ขนแมว): ข้อนี้ไม่ใช่คำตอบที่ถูกต้องสำหรับภาวะ Asthma เนื่องจากกลไกการออกฤทธิ์, efficacy หรือข้อบ่งใช้ไม่ตรงกับโจทย์ที่กำหนด
• ข้อ ง. (ฝุ่น): ข้อนี้ไม่ใช่คำตอบที่ถูกต้องสำหรับภาวะ Asthma เนื่องจากกลไกการออกฤทธิ์, efficacy หรือข้อบ่งใช้ไม่ตรงกับโจทย์ที่กำหนด
• ข้อ จ. (ควันบุหรี่):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 s="2" t="n"/>
      <c r="L5" s="2" t="inlineStr">
        <is>
          <t>Asthma</t>
        </is>
      </c>
      <c r="M5" s="2" t="inlineStr">
        <is>
          <t>Clinic</t>
        </is>
      </c>
      <c r="N5" s="2" t="inlineStr">
        <is>
          <t>ข้อ 2 Pharma Plus เล่มม่วง (เฉลยข้อ ข)</t>
        </is>
      </c>
      <c r="O5" s="2" t="inlineStr">
        <is>
          <t>Mock</t>
        </is>
      </c>
      <c r="P5" s="2" t="inlineStr">
        <is>
          <t>Pharma Plus เล่มม่วง</t>
        </is>
      </c>
    </row>
    <row r="6" ht="13.2" customHeight="1" s="37">
      <c r="A6" s="8" t="inlineStr">
        <is>
          <t>3</t>
        </is>
      </c>
      <c r="B6"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ข้อใดถูกต้องเกี่ยวกับยา salbutamol MDI</t>
        </is>
      </c>
      <c r="C6" s="2" t="n"/>
      <c r="D6" s="2" t="inlineStr">
        <is>
          <t>ตัวยามีฤทธิ์เป็น long-acting beta 2 antagonist</t>
        </is>
      </c>
      <c r="E6" s="2" t="inlineStr">
        <is>
          <t>หากใช้ร่วมกับ inhaled steroid ให้พ่น steroid ก่อน</t>
        </is>
      </c>
      <c r="F6" s="2" t="inlineStr">
        <is>
          <t>ผู้ป่วยทุกรายควรพกติดตัวไว้ตลอดเวลาเพราะเป็นยาช่วยบรรเทาอาการ</t>
        </is>
      </c>
      <c r="G6" s="2" t="inlineStr">
        <is>
          <t>เวลาเกิด attack ให้พ่น 2-4 puffs ทุกหนึ่งชั่วโมงอย่างมากที่สุด 3 ครั้ง</t>
        </is>
      </c>
      <c r="H6" s="2" t="inlineStr">
        <is>
          <t>ที่ห้องฉุกเฉินเปลี่ยนไปให้เป็นรูปแบบยาฉีดให้ออกฤทธิ์เร็วและเพิ่ม bioavailability</t>
        </is>
      </c>
      <c r="I6" s="8" t="inlineStr">
        <is>
          <t>3</t>
        </is>
      </c>
      <c r="J6" s="2" t="inlineStr">
        <is>
          <t>✅ คำตอบที่ถูกต้อง: ข้อ ค. ผู้ป่วยทุกรายควรพกติดตัวไว้ตลอดเวลาเพราะเป็นยาช่วยบรรเทาอาการ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ผู้ป่วยทุกรายควรพกติดตัวไว้ตลอดเวลาเพราะเป็นยาช่วยบรรเทาอาการ Salbutamol เป็น short-acting beta-2 agonist (SABA) ที่ใช้เป็นยาบรรเทาอาการ (reliever) ผู้ป่วยโรคหืดทุกคนควรพกติดตัวไว้เพื่อใช้ยามีอาการเฉียบพลัน การใช้ร่วมกับ ICS ควรพ่น SABA ก่อนเพื่อขยายหลอดลมให้ยาสเตียรอยด์เข้าสู่ทางเดินหายใจได้ดีขึ้น
🔍 ข้ออื่นผิดเพราะอะไร:
• ข้อ ก. (ตัวยามีฤทธิ์เป็น long-acting beta 2 antagonist): ข้อนี้ไม่ใช่คำตอบที่ถูกต้องสำหรับภาวะ Asthma เนื่องจากกลไกการออกฤทธิ์, efficacy หรือข้อบ่งใช้ไม่ตรงกับโจทย์ที่กำหนด
• ข้อ ข. (หากใช้ร่วมกับ inhaled steroid ให้พ่น steroid ก่อน): ข้อนี้ไม่ใช่คำตอบที่ถูกต้องสำหรับภาวะ Asthma เนื่องจากกลไกการออกฤทธิ์, efficacy หรือข้อบ่งใช้ไม่ตรงกับโจทย์ที่กำหนด
• ข้อ ง. (เวลาเกิด attack ให้พ่น 2-4 puffs ทุกหนึ่งชั่วโมงอย่างมากที่สุด 3 ครั้ง): ข้อนี้ไม่ใช่คำตอบที่ถูกต้องสำหรับภาวะ Asthma เนื่องจากกลไกการออกฤทธิ์, efficacy หรือข้อบ่งใช้ไม่ตรงกับโจทย์ที่กำหนด
• ข้อ จ. (ที่ห้องฉุกเฉินเปลี่ยนไปให้เป็นรูปแบบยาฉีดให้ออกฤทธิ์เร็วและเพิ่ม bioavailability):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6" s="2" t="n"/>
      <c r="L6" s="2" t="inlineStr">
        <is>
          <t>Asthma</t>
        </is>
      </c>
      <c r="M6" s="2" t="inlineStr">
        <is>
          <t>Clinic</t>
        </is>
      </c>
      <c r="N6" s="2" t="inlineStr">
        <is>
          <t>ข้อ 3 Pharma Plus เล่มม่วง (เฉลยข้อ ค)</t>
        </is>
      </c>
      <c r="O6" s="2" t="inlineStr">
        <is>
          <t>Mock</t>
        </is>
      </c>
      <c r="P6" s="2" t="inlineStr">
        <is>
          <t>Pharma Plus เล่มม่วง</t>
        </is>
      </c>
    </row>
    <row r="7" ht="13.2" customHeight="1" s="37">
      <c r="A7" s="8" t="inlineStr">
        <is>
          <t>4</t>
        </is>
      </c>
      <c r="B7"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ถ้าแพทย์ได้สั่งยาเพิ่มอีก 1 ชนิด ข้อใดต่อไปนี้เหมาะสมที่สุด</t>
        </is>
      </c>
      <c r="C7" s="2" t="n"/>
      <c r="D7" s="2" t="inlineStr">
        <is>
          <t>Inhaled formoterol ครั้งละ 3 puffs ก่อนนอน</t>
        </is>
      </c>
      <c r="E7" s="2" t="inlineStr">
        <is>
          <t>Zileuton ครั้งละ 1 เม็ด วันละ 4 ครั้ง</t>
        </is>
      </c>
      <c r="F7" s="2" t="inlineStr">
        <is>
          <t>Sustained-released theophylline ครั้งละ 1 เม็ด วันละ 2 ครั้ง</t>
        </is>
      </c>
      <c r="G7" s="2" t="inlineStr">
        <is>
          <t>Inhaled budesonide ครั้งละ 1 puffs วันละ 2 ครั้ง</t>
        </is>
      </c>
      <c r="H7" s="2" t="inlineStr">
        <is>
          <t>Ketotifen (1mg/tablet) ครั้งละ 1 เม็ด วันละ 2 ครั้ง</t>
        </is>
      </c>
      <c r="I7" s="8" t="inlineStr">
        <is>
          <t>4</t>
        </is>
      </c>
      <c r="J7" s="2" t="inlineStr">
        <is>
          <t>✅ คำตอบที่ถูกต้อง: ข้อ ง. Inhaled budesonide ครั้งละ 1 puffs วันละ 2 ครั้ง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budesonide ครั้งละ 1 puffs วันละ 2 ครั้ง ผู้ป่วยมีอาการกลางคืน (nighttime awakening) บ่อย ซึ่งบ่งบอกถึงโรคหืดที่ยังควบคุมไม่ได้ (partially controlled หรือ uncontrolled) ตามแนวทาง GINA Step 2 การรักษาหลักคือการให้ Low-dose Inhaled Corticosteroid (ICS) เช่น Inhaled budesonide เพื่อลดการอักเสบเรื้อรังในทางเดินหายใจ
🔍 ข้ออื่นผิดเพราะอะไร:
• ข้อ ก. (Inhaled formoterol ครั้งละ 3 puffs ก่อนนอน): เป็น LABA ที่มี onset รวดเร็ว (1-3 นาที) และออกฤทธิ์นาน 12 ชม. สามารถใช้ร่วมกับ ICS (ICS-formoterol) เป็นได้ทั้ง maintenance และ reliever (MART / AIR strategy)
• ข้อ ข. (Zileuton ครั้งละ 1 เม็ด วันละ 4 ครั้ง): ข้อนี้ไม่ใช่คำตอบที่ถูกต้องสำหรับภาวะ Asthma เนื่องจากกลไกการออกฤทธิ์, efficacy หรือข้อบ่งใช้ไม่ตรงกับโจทย์ที่กำหนด
• ข้อ ค. (Sustained-released theophylline ครั้งละ 1 เม็ด วันละ 2 ครั้ง): มี narrow therapeutic window (target 5-15 mcg/mL) และ ADR สูง (ใจสั่น คลื่นไส้ ชัก หัวใจเต้นผิดจังหวะ) CPG จึงจัดเป็นเพียงทางเลือกท้ายๆ (alternative)
• ข้อ จ. (Ketotifen (1mg/tablet) ครั้งละ 1 เม็ด วันละ 2 ครั้ง):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7" s="2" t="n"/>
      <c r="L7" s="2" t="inlineStr">
        <is>
          <t>Asthma</t>
        </is>
      </c>
      <c r="M7" s="2" t="inlineStr">
        <is>
          <t>Clinic</t>
        </is>
      </c>
      <c r="N7" s="2" t="inlineStr">
        <is>
          <t>ข้อ 4 Pharma Plus เล่มม่วง (เฉลยข้อ ง)</t>
        </is>
      </c>
      <c r="O7" s="2" t="inlineStr">
        <is>
          <t>Mock</t>
        </is>
      </c>
      <c r="P7" s="2" t="inlineStr">
        <is>
          <t>Pharma Plus เล่มม่วง</t>
        </is>
      </c>
    </row>
    <row r="8" ht="13.2" customHeight="1" s="37">
      <c r="A8" s="8" t="inlineStr">
        <is>
          <t>5</t>
        </is>
      </c>
      <c r="B8" s="2" t="inlineStr">
        <is>
          <t>6 เดือนต่อมาผู้ป่วยกลับไปพบแพทย์ด้วยอาการหอบที่ยังควบคุมไม่ค่อยได้ผล ยาที่เป็นตัวควบคุมโรคตัวใดมีความเหมาะสมมากที่สุด</t>
        </is>
      </c>
      <c r="C8" s="2" t="n"/>
      <c r="D8" s="2" t="inlineStr">
        <is>
          <t>Inhaled salmeterol DPI ครั้งละ 1 blister ทุก 12 ชม.</t>
        </is>
      </c>
      <c r="E8" s="2" t="inlineStr">
        <is>
          <t>Inhaled cromolyn MDI (1mg/puff) ครั้งละ 2 puff วันละ 3 ครั้ง</t>
        </is>
      </c>
      <c r="F8" s="2" t="inlineStr">
        <is>
          <t>Inhaled fluticasone + salmeterol DPI ครั้งละ 1 puff วันละ 2 ครั้ง</t>
        </is>
      </c>
      <c r="G8" s="2" t="inlineStr">
        <is>
          <t>Prednisolone (5 mg/tab) ครั้งละ 5 เม็ด หลังอาหาร เช้า เย็น</t>
        </is>
      </c>
      <c r="H8" s="2" t="inlineStr">
        <is>
          <t>Inhaled ipratropium MDI ครั้งละ 2 puff วันละ 3 ครั้ง</t>
        </is>
      </c>
      <c r="I8" s="8" t="inlineStr">
        <is>
          <t>3</t>
        </is>
      </c>
      <c r="J8" s="2" t="inlineStr">
        <is>
          <t>✅ คำตอบที่ถูกต้อง: ข้อ ค. Inhaled fluticasone + salmeterol DPI ครั้งละ 1 puff วันละ 2 ครั้ง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fluticasone + salmeterol DPI ครั้งละ 1 puff วันละ 2 ครั้ง เมื่อผู้ป่วยใช้ยาควบคุมระดับเริ่มต้นแล้วยังมีอาการควบคุมไม่ได้ (Step 2 ไม่ได้ผล) แนวทาง GINA แนะนำให้ปรับขึ้นเป็น Step 3 คือการใช้ Combination therapy ระหว่าง Low-to-medium dose ICS ร่วมกับ Long-acting beta-2 agonist (LABA) เช่น Inhaled fluticasone + salmeterol DPI เพื่อควบคุมอาการทั้งกลางวันและกลางคืนได้อย่างมี efficacy
🔍 ข้ออื่นผิดเพราะอะไร:
• ข้อ ก. (Inhaled salmeterol DPI ครั้งละ 1 blister ทุก 12 ชม.): เป็น LABA ที่มี onset ช้า (10-20 นาที) จึงใช้เป็น maintenance bronchodilator เท่านั้น ห้ามใช้เป็น reliever เด็ดขาด
• ข้อ ข. (Inhaled cromolyn MDI (1mg/puff) ครั้งละ 2 puff วันละ 3 ครั้ง): ข้อนี้ไม่ใช่คำตอบที่ถูกต้องสำหรับภาวะ Asthma เนื่องจากกลไกการออกฤทธิ์, efficacy หรือข้อบ่งใช้ไม่ตรงกับโจทย์ที่กำหนด
• ข้อ ง. (Prednisolone (5 mg/tab) ครั้งละ 5 เม็ด หลังอาหาร เช้า เย็น): เป็น intermediate-acting systemic corticosteroid ขนาดยอดนิยมสำหรับ immunosuppressive &amp; anti-inflammatory therapy ต้องระวัง Cushingoid, infection, osteoporosis, peptic ulcer
• ข้อ จ. (Inhaled ipratropium MDI ครั้งละ 2 puff วันละ 3 ครั้ง): เป็น SAMA ออกฤทธิ์ยับยั้ง cholinergic tone มักใช้ร่วมกับ SABA ใน acute moderate-to-severe asthma/COPD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 s="2" t="n"/>
      <c r="L8" s="2" t="inlineStr">
        <is>
          <t>Asthma</t>
        </is>
      </c>
      <c r="M8" s="2" t="inlineStr">
        <is>
          <t>Clinic</t>
        </is>
      </c>
      <c r="N8" s="2" t="inlineStr">
        <is>
          <t>ข้อ 5 Pharma Plus เล่มม่วง (เฉลยข้อ ค)</t>
        </is>
      </c>
      <c r="O8" s="2" t="inlineStr">
        <is>
          <t>Mock</t>
        </is>
      </c>
      <c r="P8" s="2" t="inlineStr">
        <is>
          <t>Pharma Plus เล่มม่วง</t>
        </is>
      </c>
    </row>
    <row r="9" ht="13.2" customHeight="1" s="37">
      <c r="A9" s="8" t="inlineStr">
        <is>
          <t>6</t>
        </is>
      </c>
      <c r="B9" s="2" t="inlineStr">
        <is>
          <t>การใช้น้ำกลั้วคอแล้วบ้วนทิ้งหลังพ่นยา steroid ป้องกันผลข้างเคียงใดได้มากที่สุด</t>
        </is>
      </c>
      <c r="C9" s="2" t="n"/>
      <c r="D9" s="2" t="inlineStr">
        <is>
          <t>Sore throat</t>
        </is>
      </c>
      <c r="E9" s="2" t="inlineStr">
        <is>
          <t>Pharyngitis</t>
        </is>
      </c>
      <c r="F9" s="2" t="inlineStr">
        <is>
          <t>Metallic taste</t>
        </is>
      </c>
      <c r="G9" s="2" t="inlineStr">
        <is>
          <t>Gingivitis</t>
        </is>
      </c>
      <c r="H9" s="2" t="inlineStr">
        <is>
          <t>Oral thrush</t>
        </is>
      </c>
      <c r="I9" s="8" t="inlineStr">
        <is>
          <t>5</t>
        </is>
      </c>
      <c r="J9" s="2" t="inlineStr">
        <is>
          <t>✅ คำตอบที่ถูกต้อง: ข้อ จ. Oral thrush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Oral thrush การบ้วนปากและกลั้วคอด้วยน้ำสะอาดแล้วบ้วนทิ้งหลังใช้ยาพ่นสูดสเตียรอยด์ (Inhaled corticosteroids) ช่วยลดการตกค้างของยาในช่องปากและลำคอ ซึ่งเป็นสาเหตุหลักของการเกิดเชื้อราในช่องปาก (Oral candidiasis หรือ Oral thrush) และเสียงแหบ
🔍 ข้ออื่นผิดเพราะอะไร:
• ข้อ ก. (Sore throat): ข้อนี้ไม่ใช่คำตอบที่ถูกต้องสำหรับภาวะ Asthma เนื่องจากกลไกการออกฤทธิ์, efficacy หรือข้อบ่งใช้ไม่ตรงกับโจทย์ที่กำหนด
• ข้อ ข. (Pharyngitis): ข้อนี้ไม่ใช่คำตอบที่ถูกต้องสำหรับภาวะ Asthma เนื่องจากกลไกการออกฤทธิ์, efficacy หรือข้อบ่งใช้ไม่ตรงกับโจทย์ที่กำหนด
• ข้อ ค. (Metallic taste): ข้อนี้ไม่ใช่คำตอบที่ถูกต้องสำหรับภาวะ Asthma เนื่องจากกลไกการออกฤทธิ์, efficacy หรือข้อบ่งใช้ไม่ตรงกับโจทย์ที่กำหนด
• ข้อ ง. (Gingivitis):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 s="2" t="n"/>
      <c r="L9" s="2" t="inlineStr">
        <is>
          <t>Asthma</t>
        </is>
      </c>
      <c r="M9" s="2" t="inlineStr">
        <is>
          <t>Clinic</t>
        </is>
      </c>
      <c r="N9" s="2" t="inlineStr">
        <is>
          <t>ข้อ 6 Pharma Plus เล่มม่วง (เฉลยข้อ จ)</t>
        </is>
      </c>
      <c r="O9" s="2" t="inlineStr">
        <is>
          <t>Mock</t>
        </is>
      </c>
      <c r="P9" s="2" t="inlineStr">
        <is>
          <t>Pharma Plus เล่มม่วง</t>
        </is>
      </c>
    </row>
    <row r="10" ht="13.2" customHeight="1" s="37">
      <c r="A10" s="8" t="inlineStr">
        <is>
          <t>7</t>
        </is>
      </c>
      <c r="B10" s="2" t="inlineStr">
        <is>
          <t>ยาใดต่อไปนี้ไม่เกิดปฏิกิริยาเมื่อรับประทานร่วมกับ theophylline</t>
        </is>
      </c>
      <c r="C10" s="2" t="n"/>
      <c r="D10" s="2" t="inlineStr">
        <is>
          <t>Ciprofloxacin</t>
        </is>
      </c>
      <c r="E10" s="2" t="inlineStr">
        <is>
          <t>Fluvoxamine</t>
        </is>
      </c>
      <c r="F10" s="2" t="inlineStr">
        <is>
          <t>Cimetidine</t>
        </is>
      </c>
      <c r="G10" s="2" t="inlineStr">
        <is>
          <t>Amoxicillin</t>
        </is>
      </c>
      <c r="H10" s="2" t="inlineStr">
        <is>
          <t>Rifampicin</t>
        </is>
      </c>
      <c r="I10" s="8" t="inlineStr">
        <is>
          <t>4</t>
        </is>
      </c>
      <c r="J10" s="2" t="inlineStr">
        <is>
          <t>✅ คำตอบที่ถูกต้อง: ข้อ ง. Amoxicillin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Amoxicillin Theophylline ถูกเมแทบอไลต์ผ่านเอนไซม์ CYP1A2 และ CYP3A4 เป็นหลัก ยา Ciprofloxacin, Fluvoxamine และ Cimetidine เป็น CYP inhibitors ที่ทำให้ระดับ theophylline ในเลือดสูงขึ้นจนเกิดพิษ ส่วน Rifampicin เป็น CYP inducer ที่ทำให้ระดับยา theophylline ลดลง สำหรับ Amoxicillin ไม่ได้มีผลยับยั้งหรือกระตุ้นเอนไซม์ดังกล่าวในระดับที่มีนัยสำคัญทางคลินิก จึงไม่เกิดปฏิกิริยาระหว่างกัน
🔍 ข้ออื่นผิดเพราะอะไร:
• ข้อ ก. (Ciprofloxacin): เป็น Fluoroquinolone เด่นต่อ Gram-negative รวมทั้ง Pseudomonas aeruginosa แต่มี black box warning เรื่อง tendon rupture, QT prolongation, aortic aneurysm และ dysglycemia
• ข้อ ข. (Fluvoxamine): ข้อนี้ไม่ใช่คำตอบที่ถูกต้องสำหรับภาวะ Asthma เนื่องจากกลไกการออกฤทธิ์, efficacy หรือข้อบ่งใช้ไม่ตรงกับโจทย์ที่กำหนด
• ข้อ ค. (Cimetidine): ข้อนี้ไม่ใช่คำตอบที่ถูกต้องสำหรับภาวะ Asthma เนื่องจากกลไกการออกฤทธิ์, efficacy หรือข้อบ่งใช้ไม่ตรงกับโจทย์ที่กำหนด
• ข้อ จ.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 s="2" t="n"/>
      <c r="L10" s="2" t="inlineStr">
        <is>
          <t>Asthma</t>
        </is>
      </c>
      <c r="M10" s="2" t="inlineStr">
        <is>
          <t>Clinic</t>
        </is>
      </c>
      <c r="N10" s="2" t="inlineStr">
        <is>
          <t>ข้อ 7 Pharma Plus เล่มม่วง (เฉลยข้อ ง)</t>
        </is>
      </c>
      <c r="O10" s="2" t="inlineStr">
        <is>
          <t>Mock</t>
        </is>
      </c>
      <c r="P10" s="2" t="inlineStr">
        <is>
          <t>Pharma Plus เล่มม่วง</t>
        </is>
      </c>
    </row>
    <row r="11" ht="13.2" customHeight="1" s="37">
      <c r="A11" s="8" t="inlineStr">
        <is>
          <t>8</t>
        </is>
      </c>
      <c r="B11" s="2" t="inlineStr">
        <is>
          <t>นาง ก อายุ 35 ปี มาขอซื้อยา beclomethasone inhaler และ salbutamol evohaler จากร้านขายยาที่ท่านเป็นเจ้ากิจการ จากการซักประวัติเพิ่มเติมทราบว่าผู้ป่วยรายนี้เป็นโรคหืดมานานประมาณ 15 ปีแล้ว
ปัจจัยที่เป็นสิ่งกระตุ้นทำให้เกิดการจับหืด ได้แก่</t>
        </is>
      </c>
      <c r="C11" s="2" t="n"/>
      <c r="D11" s="2" t="inlineStr">
        <is>
          <t>ความเย็น</t>
        </is>
      </c>
      <c r="E11" s="2" t="inlineStr">
        <is>
          <t>ควันบุหรี่</t>
        </is>
      </c>
      <c r="F11" s="2" t="inlineStr">
        <is>
          <t>การออกกำลังกาย</t>
        </is>
      </c>
      <c r="G11" s="2" t="inlineStr">
        <is>
          <t>กรรมพันธุ์</t>
        </is>
      </c>
      <c r="H11" s="2" t="inlineStr">
        <is>
          <t>ถูกทุกข้อ</t>
        </is>
      </c>
      <c r="I11" s="8" t="inlineStr">
        <is>
          <t>5</t>
        </is>
      </c>
      <c r="J11" s="2" t="inlineStr">
        <is>
          <t>✅ คำตอบที่ถูกต้อง: ข้อ จ. ถูกทุกข้อ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ถูกทุกข้อ ปัจจัยกระตุ้นอาการหอบหืด (Asthma triggers) มีหลากหลาย รวมถึงความเย็น ควันบุหรี่ การออกกำลังกาย และปัจจัยทางพันธุกรรมที่เป็นพื้นฐานของความไวของหลอดลม (Airway hyperresponsiveness)
🔍 ข้ออื่นผิดเพราะอะไร:
• ข้อ ก. (ความเย็น): ข้อนี้ไม่ใช่คำตอบที่ถูกต้องสำหรับภาวะ Asthma เนื่องจากกลไกการออกฤทธิ์, efficacy หรือข้อบ่งใช้ไม่ตรงกับโจทย์ที่กำหนด
• ข้อ ข. (ควันบุหรี่): ข้อนี้ไม่ใช่คำตอบที่ถูกต้องสำหรับภาวะ Asthma เนื่องจากกลไกการออกฤทธิ์, efficacy หรือข้อบ่งใช้ไม่ตรงกับโจทย์ที่กำหนด
• ข้อ ค. (การออกกำลังกาย): ข้อนี้ไม่ใช่คำตอบที่ถูกต้องสำหรับภาวะ Asthma เนื่องจากกลไกการออกฤทธิ์, efficacy หรือข้อบ่งใช้ไม่ตรงกับโจทย์ที่กำหนด
• ข้อ ง. (กรรมพันธุ์):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 s="2" t="n"/>
      <c r="L11" s="2" t="inlineStr">
        <is>
          <t>Asthma</t>
        </is>
      </c>
      <c r="M11" s="2" t="inlineStr">
        <is>
          <t>Clinic</t>
        </is>
      </c>
      <c r="N11" s="2" t="inlineStr">
        <is>
          <t>ข้อ 8 Pharma Plus เล่มม่วง (เฉลยข้อ จ)</t>
        </is>
      </c>
      <c r="O11" s="2" t="inlineStr">
        <is>
          <t>Mock</t>
        </is>
      </c>
      <c r="P11" s="2" t="inlineStr">
        <is>
          <t>Pharma Plus เล่มม่วง</t>
        </is>
      </c>
    </row>
    <row r="12" ht="13.2" customHeight="1" s="37">
      <c r="A12" s="8" t="inlineStr">
        <is>
          <t>9</t>
        </is>
      </c>
      <c r="B12" s="2" t="inlineStr">
        <is>
          <t>ลักษณะอาการของผู้ที่เป็นโรคหอบหืด คือ</t>
        </is>
      </c>
      <c r="C12" s="2" t="n"/>
      <c r="D12" s="2" t="inlineStr">
        <is>
          <t>หายใจมีเสียงหวีด, หายใจขัด, ไอ</t>
        </is>
      </c>
      <c r="E12" s="2" t="inlineStr">
        <is>
          <t>แน่นจมูก, ไอมีเสมหะ, มีน้ำมูกใส</t>
        </is>
      </c>
      <c r="F12" s="2" t="inlineStr">
        <is>
          <t>หายใจถี่, ไอมีเสียงก้อง, หายใจขัด</t>
        </is>
      </c>
      <c r="G12" s="2" t="inlineStr">
        <is>
          <t>ไอแห้งๆ, เจ็บหน้าอก, หายใจขัด</t>
        </is>
      </c>
      <c r="H12" s="2" t="inlineStr">
        <is>
          <t>ไอแห้งๆ, หายใจไม่ออก, มีน้ำมูกข้น</t>
        </is>
      </c>
      <c r="I12" s="8" t="inlineStr">
        <is>
          <t>1</t>
        </is>
      </c>
      <c r="J12" s="2" t="inlineStr">
        <is>
          <t>✅ คำตอบที่ถูกต้อง: ข้อ ก. หายใจมีเสียงหวีด, หายใจขัด, ไอ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หายใจมีเสียงหวีด, หายใจขัด, ไอ อาการคลาสสิกของโรคหืด (Asthma) ประกอบด้วย การหายใจมีเสียงหวีด (wheezing), หายใจลำบาก/หายใจขัด (dyspnea), แน่นหน้าอก (chest tightness) และอาการไอ (cough) ซึ่งมักเป็นมากในช่วงเวลากลางคืนหรือเช้ามืด
🔍 ข้ออื่นผิดเพราะอะไร:
• ข้อ ข. (แน่นจมูก, ไอมีเสมหะ, มีน้ำมูกใส): ข้อนี้ไม่ใช่คำตอบที่ถูกต้องสำหรับภาวะ Asthma เนื่องจากกลไกการออกฤทธิ์, efficacy หรือข้อบ่งใช้ไม่ตรงกับโจทย์ที่กำหนด
• ข้อ ค. (หายใจถี่, ไอมีเสียงก้อง, หายใจขัด): ข้อนี้ไม่ใช่คำตอบที่ถูกต้องสำหรับภาวะ Asthma เนื่องจากกลไกการออกฤทธิ์, efficacy หรือข้อบ่งใช้ไม่ตรงกับโจทย์ที่กำหนด
• ข้อ ง. (ไอแห้งๆ, เจ็บหน้าอก, หายใจขัด): ข้อนี้ไม่ใช่คำตอบที่ถูกต้องสำหรับภาวะ Asthma เนื่องจากกลไกการออกฤทธิ์, efficacy หรือข้อบ่งใช้ไม่ตรงกับโจทย์ที่กำหนด
• ข้อ จ. (ไอแห้งๆ, หายใจไม่ออก, มีน้ำมูกข้น):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 s="2" t="n"/>
      <c r="L12" s="2" t="inlineStr">
        <is>
          <t>Asthma</t>
        </is>
      </c>
      <c r="M12" s="2" t="inlineStr">
        <is>
          <t>Clinic</t>
        </is>
      </c>
      <c r="N12" s="2" t="inlineStr">
        <is>
          <t>ข้อ 9 Pharma Plus เล่มม่วง (เฉลยข้อ ก)</t>
        </is>
      </c>
      <c r="O12" s="2" t="inlineStr">
        <is>
          <t>Mock</t>
        </is>
      </c>
      <c r="P12" s="2" t="inlineStr">
        <is>
          <t>Pharma Plus เล่มม่วง</t>
        </is>
      </c>
    </row>
    <row r="13" ht="13.2" customHeight="1" s="37">
      <c r="A13" s="8" t="inlineStr">
        <is>
          <t>10</t>
        </is>
      </c>
      <c r="B13" s="2" t="inlineStr">
        <is>
          <t>พยาธิสภาพของหลอดลมในผู้ป่วยที่เป็นโรคหอบหืด ได้แก่</t>
        </is>
      </c>
      <c r="C13" s="2" t="n"/>
      <c r="D13" s="2" t="inlineStr">
        <is>
          <t>มีการอักเสบเรื้อรังของถุงลมในปอด ทำให้ถุงลมไวต่อสิ่งกระตุ้นมากกว่าปกติ ซึ่งจะเป็นแบบ reversible</t>
        </is>
      </c>
      <c r="E13" s="2" t="inlineStr">
        <is>
          <t>มีการอักเสบเรื้อรังของถุงลมในปอด ทำให้ถุงลมไวต่อสิ่งกระตุ้นมากกว่าปกติ ซึ่งจะเป็นแบบ irreversible</t>
        </is>
      </c>
      <c r="F13" s="2" t="inlineStr">
        <is>
          <t>มีการอักเสบเรื้อรังของหลอดลม ทำให้หลอดลมไวต่อสิ่งกระตุ้นมากกว่าปกติ ซึ่งจะเป็นแบบ reversible</t>
        </is>
      </c>
      <c r="G13" s="2" t="inlineStr">
        <is>
          <t>มีการอักเสบเรื้อรังของหลอดลม ทำให้หลอดลมไวต่อสิ่งกระตุ้นมากกว่าปกติ ซึ่งจะเป็นแบบ irreversible</t>
        </is>
      </c>
      <c r="H13" s="2" t="inlineStr">
        <is>
          <t>มีการอักเสบแบบเฉียบพลันของหลอดลม ทำให้หลอดลมไวต่อสิ่งกระตุ้นมากกว่าปกติ ซึ่งจะเป็นแบบ irreversible</t>
        </is>
      </c>
      <c r="I13" s="8" t="inlineStr">
        <is>
          <t>3</t>
        </is>
      </c>
      <c r="J13" s="2" t="inlineStr">
        <is>
          <t>✅ คำตอบที่ถูกต้อง: ข้อ ค. มีการอักเสบเรื้อรังของหลอดลม ทำให้หลอดลมไวต่อสิ่งกระตุ้นมากกว่าปกติ ซึ่งจะเป็นแบบ reversible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มีการอักเสบเรื้อรังของหลอดลม ทำให้หลอดลมไวต่อสิ่งกระตุ้นมากกว่าปกติ ซึ่งจะเป็นแบบ reversible โรคหืดมีพยาธิสภาพหลักเป็นการอักเสบเรื้อรังของหลอดลม (Chronic airway inflammation) ทำให้เกิดภาวะหลอดลมไวเกิน (Airway hyperresponsiveness) และภาวะหลอดลมตีบที่สามารถกลับคืนสู่ปกติได้ (Reversible airflow limitation)
🔍 ข้ออื่นผิดเพราะอะไร:
• ข้อ ก. (มีการอักเสบเรื้อรังของถุงลมในปอด ทำให้ถุงลมไวต่อสิ่งกระตุ้นมากกว่าปกติ ซึ่งจะเป็นแบบ reversible): ข้อนี้ไม่ใช่คำตอบที่ถูกต้องสำหรับภาวะ Asthma เนื่องจากกลไกการออกฤทธิ์, efficacy หรือข้อบ่งใช้ไม่ตรงกับโจทย์ที่กำหนด
• ข้อ ข. (มีการอักเสบเรื้อรังของถุงลมในปอด ทำให้ถุงลมไวต่อสิ่งกระตุ้นมากกว่าปกติ ซึ่งจะเป็นแบบ irreversible): ข้อนี้ไม่ใช่คำตอบที่ถูกต้องสำหรับภาวะ Asthma เนื่องจากกลไกการออกฤทธิ์, efficacy หรือข้อบ่งใช้ไม่ตรงกับโจทย์ที่กำหนด
• ข้อ ง. (มีการอักเสบเรื้อรังของหลอดลม ทำให้หลอดลมไวต่อสิ่งกระตุ้นมากกว่าปกติ ซึ่งจะเป็นแบบ irreversible): ข้อนี้ไม่ใช่คำตอบที่ถูกต้องสำหรับภาวะ Asthma เนื่องจากกลไกการออกฤทธิ์, efficacy หรือข้อบ่งใช้ไม่ตรงกับโจทย์ที่กำหนด
• ข้อ จ. (มีการอักเสบแบบเฉียบพลันของหลอดลม ทำให้หลอดลมไวต่อสิ่งกระตุ้นมากกว่าปกติ ซึ่งจะเป็นแบบ irreversible):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3" s="2" t="n"/>
      <c r="L13" s="2" t="inlineStr">
        <is>
          <t>Asthma</t>
        </is>
      </c>
      <c r="M13" s="2" t="inlineStr">
        <is>
          <t>Clinic</t>
        </is>
      </c>
      <c r="N13" s="2" t="inlineStr">
        <is>
          <t>ข้อ 10 Pharma Plus เล่มม่วง (เฉลยข้อ ค)</t>
        </is>
      </c>
      <c r="O13" s="2" t="inlineStr">
        <is>
          <t>Mock</t>
        </is>
      </c>
      <c r="P13" s="2" t="inlineStr">
        <is>
          <t>Pharma Plus เล่มม่วง</t>
        </is>
      </c>
    </row>
    <row r="14" ht="13.2" customHeight="1" s="37">
      <c r="A14" s="8" t="inlineStr">
        <is>
          <t>11</t>
        </is>
      </c>
      <c r="B14" s="2" t="inlineStr">
        <is>
          <t>ข้อใดเป็นกลไกที่ถูกต้องของการเกิดโรคหอบหืด</t>
        </is>
      </c>
      <c r="C14" s="2" t="n"/>
      <c r="D14" s="2" t="inlineStr">
        <is>
          <t>Allergen กระตุ้นการสร้าง IgE ทำให้เกิด early-phaser allergic reaction</t>
        </is>
      </c>
      <c r="E14" s="2" t="inlineStr">
        <is>
          <t>Allergen กระตุ้นการหลั่ง IgE ทำให้เกิด late-phase allergic reaction</t>
        </is>
      </c>
      <c r="F14" s="2" t="inlineStr">
        <is>
          <t>Allergen จับกับ IgE บน mast cell ทำให้เกิดการหลั่ง mediators นำไปสู่ early-phase reaction</t>
        </is>
      </c>
      <c r="G14" s="2" t="inlineStr">
        <is>
          <t>Allergen จับกับ IgE บน mast cell ทำให้เกิดการหลั่ง mediators นำไปสู่ late-phase reaction</t>
        </is>
      </c>
      <c r="H14" s="2" t="inlineStr">
        <is>
          <t>Allergen form complex กับ IgE ฝังตัวบนเนื้อเยื่อของหลอดลม และกระตุ้นให้เกิดการอักเสบ</t>
        </is>
      </c>
      <c r="I14" s="8" t="inlineStr">
        <is>
          <t>3</t>
        </is>
      </c>
      <c r="J14" s="2" t="inlineStr">
        <is>
          <t>✅ คำตอบที่ถูกต้อง: ข้อ ค. Allergen จับกับ IgE บน mast cell ทำให้เกิดการหลั่ง mediators นำไปสู่ early-phase reaction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Allergen จับกับ IgE บน mast cell ทำให้เกิดการหลั่ง mediators นำไปสู่ early-phase reaction ในกระบวนการภูมิแพ้ของโรคหืด สารก่อภูมิแพ้ (Allergen) จะเข้าจับกับแอนติบอดี IgE ที่จำเพาะบนผิวของ Mast cells ทำให้เกิดการ degranulation และหลั่ง inflammatory mediators (เช่น histamine, leukotrienes) ซึ่งเป็นกลไกหลักในการเกิดปฏิกิริยาช่วงแรก (Early-phase allergic reaction)
🔍 ข้ออื่นผิดเพราะอะไร:
• ข้อ ก. (Allergen กระตุ้นการสร้าง IgE ทำให้เกิด early-phaser allergic reaction): ข้อนี้ไม่ใช่คำตอบที่ถูกต้องสำหรับภาวะ Asthma เนื่องจากกลไกการออกฤทธิ์, efficacy หรือข้อบ่งใช้ไม่ตรงกับโจทย์ที่กำหนด
• ข้อ ข. (Allergen กระตุ้นการหลั่ง IgE ทำให้เกิด late-phase allergic reaction): ข้อนี้ไม่ใช่คำตอบที่ถูกต้องสำหรับภาวะ Asthma เนื่องจากกลไกการออกฤทธิ์, efficacy หรือข้อบ่งใช้ไม่ตรงกับโจทย์ที่กำหนด
• ข้อ ง. (Allergen จับกับ IgE บน mast cell ทำให้เกิดการหลั่ง mediators นำไปสู่ late-phase reaction): ข้อนี้ไม่ใช่คำตอบที่ถูกต้องสำหรับภาวะ Asthma เนื่องจากกลไกการออกฤทธิ์, efficacy หรือข้อบ่งใช้ไม่ตรงกับโจทย์ที่กำหนด
• ข้อ จ. (Allergen form complex กับ IgE ฝังตัวบนเนื้อเยื่อของหลอดลม และกระตุ้นให้เกิดการอักเสบ):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4" s="2" t="n"/>
      <c r="L14" s="2" t="inlineStr">
        <is>
          <t>Asthma</t>
        </is>
      </c>
      <c r="M14" s="2" t="inlineStr">
        <is>
          <t>Clinic</t>
        </is>
      </c>
      <c r="N14" s="2" t="inlineStr">
        <is>
          <t>ข้อ 11 Pharma Plus เล่มม่วง (เฉลยข้อ ค)</t>
        </is>
      </c>
      <c r="O14" s="2" t="inlineStr">
        <is>
          <t>Mock</t>
        </is>
      </c>
      <c r="P14" s="2" t="inlineStr">
        <is>
          <t>Pharma Plus เล่มม่วง</t>
        </is>
      </c>
    </row>
    <row r="15" ht="13.2" customHeight="1" s="37">
      <c r="A15" s="8" t="inlineStr">
        <is>
          <t>12</t>
        </is>
      </c>
      <c r="B15" s="2" t="inlineStr">
        <is>
          <t>ท่านจะแนะนำการใช้ยาพ่น beclomethasone inhaler ให้แก่ นาง ก อย่างไรบ้าง</t>
        </is>
      </c>
      <c r="C15" s="2" t="n"/>
      <c r="D15" s="2" t="inlineStr">
        <is>
          <t>หลังการพ่นยาควรบ้วนปากทุกครั้ง</t>
        </is>
      </c>
      <c r="E15" s="2" t="inlineStr">
        <is>
          <t>ไม่ควรใช้ยาร่วมกับ spacer</t>
        </is>
      </c>
      <c r="F15" s="2" t="inlineStr">
        <is>
          <t>ใช้เฉพาะเวลาที่มีการจับหืด</t>
        </is>
      </c>
      <c r="G15" s="2" t="inlineStr">
        <is>
          <t>ยาออกฤทธิ์โดยการขยายหลอดลม</t>
        </is>
      </c>
      <c r="H15" s="2" t="inlineStr">
        <is>
          <t>ถูกทุกข้อ</t>
        </is>
      </c>
      <c r="I15" s="8" t="inlineStr">
        <is>
          <t>1</t>
        </is>
      </c>
      <c r="J15" s="2" t="inlineStr">
        <is>
          <t>✅ คำตอบที่ถูกต้อง: ข้อ ก. หลังการพ่นยาควรบ้วนปากทุกครั้ง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หลังการพ่นยาควรบ้วนปากทุกครั้ง Beclomethasone เป็นยา corticosteroid ชนิดพ่นสูด (ICS) ซึ่งใช้สำหรับควบคุมอาการระยะยาว (controller) ไม่ใช่ยาขยายหลอดลมออกฤทธิ์เร็ว การใช้ต้องบ้วนปากและล้างหน้าหลังพ่นยาทุกครั้งเพื่อป้องกันอาการเสียงแหบและเชื้อราในช่องปาก (oral candidiasis) และมักแนะนำให้ใช้ร่วมกับ spacer ในผู้ป่วยบางรายเพื่อลดการตกค้างในช่องปาก
🔍 ข้ออื่นผิดเพราะอะไร:
• ข้อ ข. (ไม่ควรใช้ยาร่วมกับ spacer): ข้อนี้ไม่ใช่คำตอบที่ถูกต้องสำหรับภาวะ Asthma เนื่องจากกลไกการออกฤทธิ์, efficacy หรือข้อบ่งใช้ไม่ตรงกับโจทย์ที่กำหนด
• ข้อ ค. (ใช้เฉพาะเวลาที่มีการจับหืด): ข้อนี้ไม่ใช่คำตอบที่ถูกต้องสำหรับภาวะ Asthma เนื่องจากกลไกการออกฤทธิ์, efficacy หรือข้อบ่งใช้ไม่ตรงกับโจทย์ที่กำหนด
• ข้อ ง. (ยาออกฤทธิ์โดยการขยายหลอดลม): ข้อนี้ไม่ใช่คำตอบที่ถูกต้องสำหรับภาวะ Asthma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5" s="2" t="n"/>
      <c r="L15" s="2" t="inlineStr">
        <is>
          <t>Asthma</t>
        </is>
      </c>
      <c r="M15" s="2" t="inlineStr">
        <is>
          <t>Clinic</t>
        </is>
      </c>
      <c r="N15" s="2" t="inlineStr">
        <is>
          <t>ข้อ 12 Pharma Plus เล่มม่วง (เฉลยข้อ ก)</t>
        </is>
      </c>
      <c r="O15" s="2" t="inlineStr">
        <is>
          <t>Mock</t>
        </is>
      </c>
      <c r="P15" s="2" t="inlineStr">
        <is>
          <t>Pharma Plus เล่มม่วง</t>
        </is>
      </c>
    </row>
    <row r="16" ht="13.2" customHeight="1" s="37">
      <c r="A16" s="8" t="inlineStr">
        <is>
          <t>13</t>
        </is>
      </c>
      <c r="B16" s="2" t="inlineStr">
        <is>
          <t>อาการข้างเคียงที่อาจเกิดขึ้นจากการใช้ยาพ่น beclomethasone inhaler ได้แก่</t>
        </is>
      </c>
      <c r="C16" s="2" t="n"/>
      <c r="D16" s="2" t="inlineStr">
        <is>
          <t>เชื้อราในช่องปาก, เสียงแหบ</t>
        </is>
      </c>
      <c r="E16" s="2" t="inlineStr">
        <is>
          <t>คลื่นไส้, อาเจียน</t>
        </is>
      </c>
      <c r="F16" s="2" t="inlineStr">
        <is>
          <t>เวียนศีรษะ, ใจสั่น</t>
        </is>
      </c>
      <c r="G16" s="2" t="inlineStr">
        <is>
          <t>มือสั่น, นอนไม่หลับ</t>
        </is>
      </c>
      <c r="H16" s="2" t="inlineStr">
        <is>
          <t>ถูกทุกข้อ</t>
        </is>
      </c>
      <c r="I16" s="8" t="inlineStr">
        <is>
          <t>1</t>
        </is>
      </c>
      <c r="J16" s="2" t="inlineStr">
        <is>
          <t>✅ คำตอบที่ถูกต้อง: ข้อ ก. เชื้อราในช่องปาก, เสียงแหบ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เชื้อราในช่องปาก, เสียงแหบ อาการข้างเคียงเฉพาะที่ของยา inhaled corticosteroid (ICS) ได้แก่ เชื้อราในช่องปาก (oral candidiasis) และเสียงแหบ (dysphonia) ซึ่งเกิดจากการสะสมของยาบริเวณเยื่อบุช่องปากและกล่องเสียง การบ้วนปากหลังพ่นยาสามารถลดอุบัติการณ์นี้ได้
🔍 ข้ออื่นผิดเพราะอะไร:
• ข้อ ข. (คลื่นไส้, อาเจียน): ข้อนี้ไม่ใช่คำตอบที่ถูกต้องสำหรับภาวะ Asthma เนื่องจากกลไกการออกฤทธิ์, efficacy หรือข้อบ่งใช้ไม่ตรงกับโจทย์ที่กำหนด
• ข้อ ค. (เวียนศีรษะ, ใจสั่น): ข้อนี้ไม่ใช่คำตอบที่ถูกต้องสำหรับภาวะ Asthma เนื่องจากกลไกการออกฤทธิ์, efficacy หรือข้อบ่งใช้ไม่ตรงกับโจทย์ที่กำหนด
• ข้อ ง. (มือสั่น, นอนไม่หลับ): ข้อนี้ไม่ใช่คำตอบที่ถูกต้องสำหรับภาวะ Asthma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6" s="2" t="n"/>
      <c r="L16" s="2" t="inlineStr">
        <is>
          <t>Asthma</t>
        </is>
      </c>
      <c r="M16" s="2" t="inlineStr">
        <is>
          <t>Clinic</t>
        </is>
      </c>
      <c r="N16" s="2" t="inlineStr">
        <is>
          <t>ข้อ 13 Pharma Plus เล่มม่วง (เฉลยข้อ ก)</t>
        </is>
      </c>
      <c r="O16" s="2" t="inlineStr">
        <is>
          <t>Mock</t>
        </is>
      </c>
      <c r="P16" s="2" t="inlineStr">
        <is>
          <t>Pharma Plus เล่มม่วง</t>
        </is>
      </c>
    </row>
    <row r="17" ht="13.2" customHeight="1" s="37">
      <c r="A17" s="8" t="inlineStr">
        <is>
          <t>14</t>
        </is>
      </c>
      <c r="B17" s="2" t="inlineStr">
        <is>
          <t>ยาในกลุ่มใดต่อไปนี้ใช้เป็นยาสำหรับควบคุมอาการหอบหืด</t>
        </is>
      </c>
      <c r="C17" s="2" t="n"/>
      <c r="D17" s="2" t="inlineStr">
        <is>
          <t>Glucocorticoid, ketotifen, short-acting beta-2 agonists</t>
        </is>
      </c>
      <c r="E17" s="2" t="inlineStr">
        <is>
          <t>leukotriene antagonist, cromolyn, anticholinergic</t>
        </is>
      </c>
      <c r="F17" s="2" t="inlineStr">
        <is>
          <t>Cromolyn, glucocorticoid, leukotriene antagonist</t>
        </is>
      </c>
      <c r="G17" s="2" t="inlineStr">
        <is>
          <t>short-acting beta-2 agonist</t>
        </is>
      </c>
      <c r="H17" s="2" t="inlineStr">
        <is>
          <t>ถูกทุกข้อ</t>
        </is>
      </c>
      <c r="I17" s="8" t="inlineStr">
        <is>
          <t>2</t>
        </is>
      </c>
      <c r="J17" s="2" t="inlineStr">
        <is>
          <t>✅ คำตอบที่ถูกต้อง: ข้อ ข. leukotriene antagonist, cromolyn, anticholinergic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leukotriene antagonist, cromolyn, anticholinergic ยาควบคุมอาการหอบหืด (controller medications) ได้แก่ ยาสเตียรอยด์ชนิดสูด (ICS / glucocorticoid), leukotriene receptor antagonists (LTRA) และ mast cell stabilizers (cromolyn) ซึ่งใช้ลดการอักเสบเรื้อรังของหลอดลม ต่างจาก SABA ที่เป็นยาบรรเทาอาการ (reliever)
🔍 ข้ออื่นผิดเพราะอะไร:
• ข้อ ก. (Glucocorticoid, ketotifen, short-acting beta-2 agonists): ข้อนี้ไม่ใช่คำตอบที่ถูกต้องสำหรับภาวะ Asthma เนื่องจากกลไกการออกฤทธิ์, efficacy หรือข้อบ่งใช้ไม่ตรงกับโจทย์ที่กำหนด
• ข้อ ค. (Cromolyn, glucocorticoid, leukotriene antagonist): ข้อนี้ไม่ใช่คำตอบที่ถูกต้องสำหรับภาวะ Asthma เนื่องจากกลไกการออกฤทธิ์, efficacy หรือข้อบ่งใช้ไม่ตรงกับโจทย์ที่กำหนด
• ข้อ ง. (short-acting beta-2 agonist): ข้อนี้ไม่ใช่คำตอบที่ถูกต้องสำหรับภาวะ Asthma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7" s="2" t="n"/>
      <c r="L17" s="2" t="inlineStr">
        <is>
          <t>Asthma</t>
        </is>
      </c>
      <c r="M17" s="2" t="inlineStr">
        <is>
          <t>Clinic</t>
        </is>
      </c>
      <c r="N17" s="2" t="inlineStr">
        <is>
          <t>ข้อ 14 Pharma Plus เล่มม่วง (เฉลยข้อ ข ค)</t>
        </is>
      </c>
      <c r="O17" s="2" t="inlineStr">
        <is>
          <t>Mock</t>
        </is>
      </c>
      <c r="P17" s="2" t="inlineStr">
        <is>
          <t>Pharma Plus เล่มม่วง</t>
        </is>
      </c>
    </row>
    <row r="18" ht="13.2" customHeight="1" s="37">
      <c r="A18" s="8" t="inlineStr">
        <is>
          <t>15</t>
        </is>
      </c>
      <c r="B18"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ข้อใดเป็นสาเหตุที่ทำให้เกิดอาการของโรคหอบหืดในผู้ป่วยรายนี้</t>
        </is>
      </c>
      <c r="C18" s="2" t="n"/>
      <c r="D18" s="2" t="inlineStr">
        <is>
          <t>สิ่งกระตุ้น (triggers) ต่าง ๆ เช่น เสียง แสง ความร้อน เป็นต้น</t>
        </is>
      </c>
      <c r="E18" s="2" t="inlineStr">
        <is>
          <t>การตอบสนองต่อสิ่งเร้าหรือระบบภูมิคุ้มกันร่างกายที่มากเกินไป</t>
        </is>
      </c>
      <c r="F18" s="2" t="inlineStr">
        <is>
          <t>เป็นอาการร่วมเมื่อผู้ป่วยเกิดอาการใช้</t>
        </is>
      </c>
      <c r="G18" s="2" t="inlineStr">
        <is>
          <t>ความผิดปกติของปอด</t>
        </is>
      </c>
      <c r="H18" s="2" t="inlineStr">
        <is>
          <t>การออกกำลังกาย</t>
        </is>
      </c>
      <c r="I18" s="8" t="inlineStr">
        <is>
          <t>2</t>
        </is>
      </c>
      <c r="J18" s="2" t="inlineStr">
        <is>
          <t>✅ คำตอบที่ถูกต้อง: ข้อ ข. การตอบสนองต่อสิ่งเร้าหรือระบบภูมิคุ้มกันร่างกายที่มากเกินไป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การตอบสนองต่อสิ่งเร้าหรือระบบภูมิคุ้มกันร่างกายที่มากเกินไป โรคหอบหืด (Asthma) มีพยาธิสภาพหลักจากการตอบสนองของหลอดลมที่ไวเกิน (airway hyperresponsiveness) ต่อสิ่งกระตุ้นต่าง ๆ เช่น สารก่อภูมิแพ้ (ขนแมวในกรณีนี้) ทำให้เกิดการอักเสบ หดเกร็ง และมีเสมหะปริมาณมาก
🔍 ข้ออื่นผิดเพราะอะไร:
• ข้อ ก. (สิ่งกระตุ้น (triggers) ต่าง ๆ เช่น เสียง แสง ความร้อน เป็นต้น): ข้อนี้ไม่ใช่คำตอบที่ถูกต้องสำหรับภาวะ Asthma เนื่องจากกลไกการออกฤทธิ์, efficacy หรือข้อบ่งใช้ไม่ตรงกับโจทย์ที่กำหนด
• ข้อ ค. (เป็นอาการร่วมเมื่อผู้ป่วยเกิดอาการใช้): ข้อนี้ไม่ใช่คำตอบที่ถูกต้องสำหรับภาวะ Asthma เนื่องจากกลไกการออกฤทธิ์, efficacy หรือข้อบ่งใช้ไม่ตรงกับโจทย์ที่กำหนด
• ข้อ ง. (ความผิดปกติของปอด): ข้อนี้ไม่ใช่คำตอบที่ถูกต้องสำหรับภาวะ Asthma เนื่องจากกลไกการออกฤทธิ์, efficacy หรือข้อบ่งใช้ไม่ตรงกับโจทย์ที่กำหนด
• ข้อ จ. (การออกกำลังกาย):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8" s="2" t="n"/>
      <c r="L18" s="2" t="inlineStr">
        <is>
          <t>Asthma</t>
        </is>
      </c>
      <c r="M18" s="2" t="inlineStr">
        <is>
          <t>Clinic</t>
        </is>
      </c>
      <c r="N18" s="2" t="inlineStr">
        <is>
          <t>ข้อ 15 Pharma Plus เล่มม่วง (เฉลยข้อ ข)</t>
        </is>
      </c>
      <c r="O18" s="2" t="inlineStr">
        <is>
          <t>Mock</t>
        </is>
      </c>
      <c r="P18" s="2" t="inlineStr">
        <is>
          <t>Pharma Plus เล่มม่วง</t>
        </is>
      </c>
    </row>
    <row r="19" ht="13.2" customHeight="1" s="37">
      <c r="A19" s="8" t="inlineStr">
        <is>
          <t>16</t>
        </is>
      </c>
      <c r="B19"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ข้อใดคือพารามิเตอร์ที่ใช้ติดตามภาวะโรคของผู้ป่วย</t>
        </is>
      </c>
      <c r="C19" s="2" t="n"/>
      <c r="D19" s="2" t="inlineStr">
        <is>
          <t>CK</t>
        </is>
      </c>
      <c r="E19" s="2" t="inlineStr">
        <is>
          <t>MCHC</t>
        </is>
      </c>
      <c r="F19" s="2" t="inlineStr">
        <is>
          <t>GFR</t>
        </is>
      </c>
      <c r="G19" s="2" t="inlineStr">
        <is>
          <t>PaO2</t>
        </is>
      </c>
      <c r="H19" s="2" t="inlineStr">
        <is>
          <t>PEF</t>
        </is>
      </c>
      <c r="I19" s="8" t="inlineStr">
        <is>
          <t>5</t>
        </is>
      </c>
      <c r="J19" s="2" t="inlineStr">
        <is>
          <t>✅ คำตอบที่ถูกต้อง: ข้อ จ. PEF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PEF Peak Expiratory Flow (PEF) หรือ Peak Expiratory Flow Rate เป็นค่าที่ใช้ประเมินสมรรถภาพปอดเบื้องต้นและติดตามการควบคุมโรคหอบหืดของผู้ป่วย ทั้งในคลินิกและที่บ้านตามแนวทาง GINA guideline
🔍 ข้ออื่นผิดเพราะอะไร:
• ข้อ ก. (CK): ข้อนี้ไม่ใช่คำตอบที่ถูกต้องสำหรับภาวะ Asthma เนื่องจากกลไกการออกฤทธิ์, efficacy หรือข้อบ่งใช้ไม่ตรงกับโจทย์ที่กำหนด
• ข้อ ข. (MCHC): ข้อนี้ไม่ใช่คำตอบที่ถูกต้องสำหรับภาวะ Asthma เนื่องจากกลไกการออกฤทธิ์, efficacy หรือข้อบ่งใช้ไม่ตรงกับโจทย์ที่กำหนด
• ข้อ ค. (GFR): ข้อนี้ไม่ใช่คำตอบที่ถูกต้องสำหรับภาวะ Asthma เนื่องจากกลไกการออกฤทธิ์, efficacy หรือข้อบ่งใช้ไม่ตรงกับโจทย์ที่กำหนด
• ข้อ ง. (PaO2):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9" s="2" t="n"/>
      <c r="L19" s="2" t="inlineStr">
        <is>
          <t>Asthma</t>
        </is>
      </c>
      <c r="M19" s="2" t="inlineStr">
        <is>
          <t>Clinic</t>
        </is>
      </c>
      <c r="N19" s="2" t="inlineStr">
        <is>
          <t>ข้อ 16 Pharma Plus เล่มม่วง (เฉลยข้อ จ)</t>
        </is>
      </c>
      <c r="O19" s="2" t="inlineStr">
        <is>
          <t>Mock</t>
        </is>
      </c>
      <c r="P19" s="2" t="inlineStr">
        <is>
          <t>Pharma Plus เล่มม่วง</t>
        </is>
      </c>
    </row>
    <row r="20" ht="13.2" customHeight="1" s="37">
      <c r="A20" s="8" t="inlineStr">
        <is>
          <t>17</t>
        </is>
      </c>
      <c r="B20" s="2" t="inlineStr">
        <is>
          <t>ข้อใดคือข้อดีจากการใช้ยา beta 2 - selective agonist</t>
        </is>
      </c>
      <c r="C20" s="2" t="n"/>
      <c r="D20" s="2" t="inlineStr">
        <is>
          <t>ลดอาการข้างเคียงต่อระบบประสาท</t>
        </is>
      </c>
      <c r="E20" s="2" t="inlineStr">
        <is>
          <t>ลดอาการข้างเคียงต่อหัวใจ</t>
        </is>
      </c>
      <c r="F20" s="2" t="inlineStr">
        <is>
          <t>ลดอาการข้างเคียงทางผิวหนัง</t>
        </is>
      </c>
      <c r="G20" s="2" t="inlineStr">
        <is>
          <t>พิษบตับน้อย</t>
        </is>
      </c>
      <c r="H20" s="2" t="inlineStr">
        <is>
          <t>พิษต่อไตน้อย</t>
        </is>
      </c>
      <c r="I20" s="8" t="inlineStr">
        <is>
          <t>2</t>
        </is>
      </c>
      <c r="J20" s="2" t="inlineStr">
        <is>
          <t>✅ คำตอบที่ถูกต้อง: ข้อ ข. ลดอาการข้างเคียงต่อหัวใจ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ลดอาการข้างเคียงต่อหัวใจ การพัฒนาให้ยา Beta-2 agonist มีความจำเพาะเจาะจงสูงต่อตัวรับ beta-2 receptors มากขึ้น (เช่น salbutamol, terbutaline) ช่วยลดการกระตุ้นตัวรับ beta-1 receptors ที่หัวใจ ซึ่งเป็นสาเหตุของอาการใจสั่น (palpitations) และหัวใจเต้นเร็ว (tachycardia)
🔍 ข้ออื่นผิดเพราะอะไร:
• ข้อ ก. (ลดอาการข้างเคียงต่อระบบประสาท): ข้อนี้ไม่ใช่คำตอบที่ถูกต้องสำหรับภาวะ Asthma เนื่องจากกลไกการออกฤทธิ์, efficacy หรือข้อบ่งใช้ไม่ตรงกับโจทย์ที่กำหนด
• ข้อ ค. (ลดอาการข้างเคียงทางผิวหนัง): ข้อนี้ไม่ใช่คำตอบที่ถูกต้องสำหรับภาวะ Asthma เนื่องจากกลไกการออกฤทธิ์, efficacy หรือข้อบ่งใช้ไม่ตรงกับโจทย์ที่กำหนด
• ข้อ ง. (พิษบตับน้อย): ข้อนี้ไม่ใช่คำตอบที่ถูกต้องสำหรับภาวะ Asthma เนื่องจากกลไกการออกฤทธิ์, efficacy หรือข้อบ่งใช้ไม่ตรงกับโจทย์ที่กำหนด
• ข้อ จ. (พิษต่อไตน้อย):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0" s="2" t="n"/>
      <c r="L20" s="2" t="inlineStr">
        <is>
          <t>Asthma</t>
        </is>
      </c>
      <c r="M20" s="2" t="inlineStr">
        <is>
          <t>Clinic</t>
        </is>
      </c>
      <c r="N20" s="2" t="inlineStr">
        <is>
          <t>ข้อ 17 Pharma Plus เล่มม่วง (เฉลยข้อ ข)</t>
        </is>
      </c>
      <c r="O20" s="2" t="inlineStr">
        <is>
          <t>Mock</t>
        </is>
      </c>
      <c r="P20" s="2" t="inlineStr">
        <is>
          <t>Pharma Plus เล่มม่วง</t>
        </is>
      </c>
    </row>
    <row r="21" ht="13.2" customHeight="1" s="37">
      <c r="A21" s="8" t="inlineStr">
        <is>
          <t>18</t>
        </is>
      </c>
      <c r="B21" s="2" t="inlineStr">
        <is>
          <t>ข้อใดคือคำแนะนำการใช้ยา salbutamol inhaler ในผู้ป่วยรายนี้</t>
        </is>
      </c>
      <c r="C21" s="2" t="n"/>
      <c r="D21" s="2" t="inlineStr">
        <is>
          <t>พ่น 1-2 puff ก่อนนอน</t>
        </is>
      </c>
      <c r="E21" s="2" t="inlineStr">
        <is>
          <t>เมื่อมีอาการกำเริบพ่น 1-2 puff</t>
        </is>
      </c>
      <c r="F21" s="2" t="inlineStr">
        <is>
          <t>สามารถพ่นหลังรับประทานอาหารทันทีได้</t>
        </is>
      </c>
      <c r="G21" s="2" t="inlineStr">
        <is>
          <t>พ่น 1-2 puff ก่อนและหลังออกกำลังกาย</t>
        </is>
      </c>
      <c r="H21" s="2" t="inlineStr">
        <is>
          <t>เพื่อป้องกันการกำเริบพ่น 1-2 puff ก่อนออกกำลังกายอย่างน้อย 30 นาที</t>
        </is>
      </c>
      <c r="I21" s="8" t="inlineStr">
        <is>
          <t>2</t>
        </is>
      </c>
      <c r="J21" s="2" t="inlineStr">
        <is>
          <t>✅ คำตอบที่ถูกต้อง: ข้อ ข. เมื่อมีอาการกำเริบพ่น 1-2 puff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เมื่อมีอาการกำเริบพ่น 1-2 puff Salbutamol เป็นยาขยายหลอดลมชนิดออกฤทธิ์สั้น (SABA) ที่ใช้สำหรับบรรเทาอาการหอบหืดเฉียบพลัน (reliever) และใช้ป้องกันอาการหอบจากการออกกำลังกาย (exercise-induced bronchospasm) โดยแนะนำให้พ่น 1-2 puffs ก่อนออกกำลังกายประมาณ 15-30 นาที ตามแนวทาง GINA
🔍 ข้ออื่นผิดเพราะอะไร:
• ข้อ ก. (พ่น 1-2 puff ก่อนนอน): ข้อนี้ไม่ใช่คำตอบที่ถูกต้องสำหรับภาวะ Asthma เนื่องจากกลไกการออกฤทธิ์, efficacy หรือข้อบ่งใช้ไม่ตรงกับโจทย์ที่กำหนด
• ข้อ ค. (สามารถพ่นหลังรับประทานอาหารทันทีได้): ข้อนี้ไม่ใช่คำตอบที่ถูกต้องสำหรับภาวะ Asthma เนื่องจากกลไกการออกฤทธิ์, efficacy หรือข้อบ่งใช้ไม่ตรงกับโจทย์ที่กำหนด
• ข้อ ง. (พ่น 1-2 puff ก่อนและหลังออกกำลังกาย): ข้อนี้ไม่ใช่คำตอบที่ถูกต้องสำหรับภาวะ Asthma เนื่องจากกลไกการออกฤทธิ์, efficacy หรือข้อบ่งใช้ไม่ตรงกับโจทย์ที่กำหนด
• ข้อ จ. (เพื่อป้องกันการกำเริบพ่น 1-2 puff ก่อนออกกำลังกายอย่างน้อย 30 นาที):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21" s="2" t="n"/>
      <c r="L21" s="2" t="inlineStr">
        <is>
          <t>Asthma</t>
        </is>
      </c>
      <c r="M21" s="2" t="inlineStr">
        <is>
          <t>Clinic</t>
        </is>
      </c>
      <c r="N21" s="2" t="inlineStr">
        <is>
          <t>ข้อ 18 Pharma Plus เล่มม่วง (เฉลยข้อ ข)</t>
        </is>
      </c>
      <c r="O21" s="2" t="inlineStr">
        <is>
          <t>Mock</t>
        </is>
      </c>
      <c r="P21" s="2" t="inlineStr">
        <is>
          <t>Pharma Plus เล่มม่วง</t>
        </is>
      </c>
    </row>
    <row r="22" ht="13.2" customHeight="1" s="37">
      <c r="A22" s="8" t="inlineStr">
        <is>
          <t>19</t>
        </is>
      </c>
      <c r="B22" s="2" t="inlineStr">
        <is>
          <t>ถ้าเภสัชกรต้องการสืบค้นแนวทางการรักษาโรคหอบหืดจะค้นจากแหล่งใด</t>
        </is>
      </c>
      <c r="C22" s="2" t="n"/>
      <c r="D22" s="2" t="inlineStr">
        <is>
          <t>JNC 7</t>
        </is>
      </c>
      <c r="E22" s="2" t="inlineStr">
        <is>
          <t>GINA</t>
        </is>
      </c>
      <c r="F22" s="2" t="inlineStr">
        <is>
          <t>GOLD</t>
        </is>
      </c>
      <c r="G22" s="2" t="inlineStr">
        <is>
          <t>NCEP III</t>
        </is>
      </c>
      <c r="H22" s="2" t="inlineStr">
        <is>
          <t>Stanford</t>
        </is>
      </c>
      <c r="I22" s="8" t="inlineStr">
        <is>
          <t>2</t>
        </is>
      </c>
      <c r="J22" s="2" t="inlineStr">
        <is>
          <t>✅ คำตอบที่ถูกต้อง: ข้อ ข. GINA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GINA (Global Initiative for Asthma) เป็นแหล่งข้อมูลระดับสากลที่เป็นมาตรฐานในการวินิจฉัย การรักษา และการจัดการโรคหอบหืด (Asthma) ในขณะที่ GOLD ใช้สำหรับโรคปอดอุดกั้นเรื้อรัง (COPD)
🔍 ข้ออื่นผิดเพราะอะไร:
• ข้อ ก. (JNC 7): ข้อนี้ไม่ใช่คำตอบที่ถูกต้องสำหรับภาวะ Asthma เนื่องจากกลไกการออกฤทธิ์, efficacy หรือข้อบ่งใช้ไม่ตรงกับโจทย์ที่กำหนด
• ข้อ ค. (GOLD): ข้อนี้ไม่ใช่คำตอบที่ถูกต้องสำหรับภาวะ Asthma เนื่องจากกลไกการออกฤทธิ์, efficacy หรือข้อบ่งใช้ไม่ตรงกับโจทย์ที่กำหนด
• ข้อ ง. (NCEP III): ข้อนี้ไม่ใช่คำตอบที่ถูกต้องสำหรับภาวะ Asthma เนื่องจากกลไกการออกฤทธิ์, efficacy หรือข้อบ่งใช้ไม่ตรงกับโจทย์ที่กำหนด
• ข้อ จ. (Stanford):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2" s="2" t="n"/>
      <c r="L22" s="2" t="inlineStr">
        <is>
          <t>Asthma</t>
        </is>
      </c>
      <c r="M22" s="2" t="inlineStr">
        <is>
          <t>Clinic</t>
        </is>
      </c>
      <c r="N22" s="2" t="inlineStr">
        <is>
          <t>ข้อ 19 Pharma Plus เล่มม่วง (เฉลยข้อ ข)</t>
        </is>
      </c>
      <c r="O22" s="2" t="inlineStr">
        <is>
          <t>Mock</t>
        </is>
      </c>
      <c r="P22" s="2" t="inlineStr">
        <is>
          <t>Pharma Plus เล่มม่วง</t>
        </is>
      </c>
    </row>
    <row r="23" ht="13.2" customHeight="1" s="37">
      <c r="A23" s="8" t="inlineStr">
        <is>
          <t>20</t>
        </is>
      </c>
      <c r="B23" s="2" t="inlineStr">
        <is>
          <t>ข้อใดกล่าวถูกต้องเกี่ยวกับวิธีการเก็บรักษายา salbutamol MDI</t>
        </is>
      </c>
      <c r="C23" s="2" t="n"/>
      <c r="D23" s="2" t="inlineStr">
        <is>
          <t>เก็บไว้ที่อุณหภูมิห้อง</t>
        </is>
      </c>
      <c r="E23" s="2" t="inlineStr">
        <is>
          <t>เมื่อเปิดใช้แล้วต้องใช้ให้หมดภายใน 7 วัน</t>
        </is>
      </c>
      <c r="F23" s="2" t="inlineStr">
        <is>
          <t>เมื่อเปิดใช้แล้วสามารถเก็บไว้ได้ 14 วัน</t>
        </is>
      </c>
      <c r="G23" s="2" t="inlineStr">
        <is>
          <t>เก็บในลักษณะหงายหรือปากขวดชี้ขึ้น</t>
        </is>
      </c>
      <c r="H23" s="2" t="inlineStr">
        <is>
          <t>เก็บในตู้เย็นที่อุณหภูมิ 2-8 °C</t>
        </is>
      </c>
      <c r="I23" s="8" t="inlineStr">
        <is>
          <t>1</t>
        </is>
      </c>
      <c r="J23" s="2" t="inlineStr">
        <is>
          <t>✅ คำตอบที่ถูกต้อง: ข้อ ก. เก็บไว้ที่อุณหภูมิห้อง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เก็บไว้ที่อุณหภูมิห้อง ยารูปแบบ Metered-dose inhaler (MDI) ส่วนใหญ่แนะนำให้เก็บรักษาไว้ที่อุณหภูมิห้อง (ต่ำกว่า 30 °C) หลีกเลี่ยงความร้อนและแสงแดดจัด ไม่ควรเก็บในตู้เย็นเว้นแต่มีคำแนะนำเฉพาะ
🔍 ข้ออื่นผิดเพราะอะไร:
• ข้อ ข. (เมื่อเปิดใช้แล้วต้องใช้ให้หมดภายใน 7 วัน): ข้อนี้ไม่ใช่คำตอบที่ถูกต้องสำหรับภาวะ Asthma เนื่องจากกลไกการออกฤทธิ์, efficacy หรือข้อบ่งใช้ไม่ตรงกับโจทย์ที่กำหนด
• ข้อ ค. (เมื่อเปิดใช้แล้วสามารถเก็บไว้ได้ 14 วัน): ข้อนี้ไม่ใช่คำตอบที่ถูกต้องสำหรับภาวะ Asthma เนื่องจากกลไกการออกฤทธิ์, efficacy หรือข้อบ่งใช้ไม่ตรงกับโจทย์ที่กำหนด
• ข้อ ง. (เก็บในลักษณะหงายหรือปากขวดชี้ขึ้น): ข้อนี้ไม่ใช่คำตอบที่ถูกต้องสำหรับภาวะ Asthma เนื่องจากกลไกการออกฤทธิ์, efficacy หรือข้อบ่งใช้ไม่ตรงกับโจทย์ที่กำหนด
• ข้อ จ. (เก็บในตู้เย็นที่อุณหภูมิ 2-8 °C):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23" s="2" t="n"/>
      <c r="L23" s="2" t="inlineStr">
        <is>
          <t>Asthma</t>
        </is>
      </c>
      <c r="M23" s="2" t="inlineStr">
        <is>
          <t>Clinic</t>
        </is>
      </c>
      <c r="N23" s="2" t="inlineStr">
        <is>
          <t>ข้อ 20 Pharma Plus เล่มม่วง (เฉลยข้อ ก)</t>
        </is>
      </c>
      <c r="O23" s="2" t="inlineStr">
        <is>
          <t>Mock</t>
        </is>
      </c>
      <c r="P23" s="2" t="inlineStr">
        <is>
          <t>Pharma Plus เล่มม่วง</t>
        </is>
      </c>
    </row>
    <row r="24" ht="13.2" customHeight="1" s="37">
      <c r="A24" s="8" t="inlineStr">
        <is>
          <t>21</t>
        </is>
      </c>
      <c r="B24" s="2" t="inlineStr">
        <is>
          <t>ผู้ป่วยใช้ยาแล้วเกิดคราบฝ้าขาวที่ลิ้น ซึ่งเป็นผลจากการใช้ยาในข้อใด</t>
        </is>
      </c>
      <c r="C24" s="2" t="n"/>
      <c r="D24" s="2" t="inlineStr">
        <is>
          <t>Salbutamol inhaler</t>
        </is>
      </c>
      <c r="E24" s="2" t="inlineStr">
        <is>
          <t>Budesonide inhaler</t>
        </is>
      </c>
      <c r="F24" s="2" t="inlineStr">
        <is>
          <t>Amoxicillin</t>
        </is>
      </c>
      <c r="G24" s="2" t="inlineStr">
        <is>
          <t>Loratadine</t>
        </is>
      </c>
      <c r="H24" s="2" t="inlineStr">
        <is>
          <t>Salbutamol syrup</t>
        </is>
      </c>
      <c r="I24" s="8" t="inlineStr">
        <is>
          <t>2</t>
        </is>
      </c>
      <c r="J24" s="2" t="inlineStr">
        <is>
          <t>✅ คำตอบที่ถูกต้อง: ข้อ ข. Budesonide inhaler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inhaler ฝ้าขาวที่ลิ้นหรือช่องปาก (Oral candidiasis / thrush) เป็น ADR ที่พบบ่อยจากการใช้ยาสูดพ่นในกลุ่ม Corticosteroids (เช่น Budesonide, Fluticasone) เนื่องจากการกดภูมิคุ้มกันเฉพาะที่ แนะนำให้บ้วนปากและกลั้วคอด้วยน้ำสะอาดทุกครั้งหลังใช้ยา
🔍 ข้ออื่นผิดเพราะอะไร:
• ข้อ ก. (Salbutamol inhaler):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(Amoxicillin): เป็น Aminopenicillin ยับยั้ง bacterial cell wall synthesis เป็น first-line สำหรับ uncomplicated bacterial infections (เช่น Strep pharyngitis, AOM, sinusitis)
• ข้อ ง. (Loratadine): ข้อนี้ไม่ใช่คำตอบที่ถูกต้องสำหรับภาวะ Asthma เนื่องจากกลไกการออกฤทธิ์, efficacy หรือข้อบ่งใช้ไม่ตรงกับโจทย์ที่กำหนด
• ข้อ จ. (Salbutamol syrup):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4" s="2" t="n"/>
      <c r="L24" s="2" t="inlineStr">
        <is>
          <t>Asthma</t>
        </is>
      </c>
      <c r="M24" s="2" t="inlineStr">
        <is>
          <t>Clinic</t>
        </is>
      </c>
      <c r="N24" s="2" t="inlineStr">
        <is>
          <t>ข้อ 21 Pharma Plus เล่มม่วง (เฉลยข้อ ข)</t>
        </is>
      </c>
      <c r="O24" s="2" t="inlineStr">
        <is>
          <t>Mock</t>
        </is>
      </c>
      <c r="P24" s="2" t="inlineStr">
        <is>
          <t>Pharma Plus เล่มม่วง</t>
        </is>
      </c>
    </row>
    <row r="25" ht="13.2" customHeight="1" s="37">
      <c r="A25" s="8" t="inlineStr">
        <is>
          <t>22</t>
        </is>
      </c>
      <c r="B25" s="2" t="inlineStr">
        <is>
          <t>สถานการณ์ที่ 4 ผู้ป่วยชายไทยอายุ 40 ปี มา รพ.ด้วยอาการไอ หอบเหนื่อย ได้รับ IV glucocorticoid พร้อมกับ berodual NB ในการรักษาอาการหอบของผู้ป่วย หลังจากที่ผู้ป่วยอาการดีขึ้น จึงทำการวัดค่า FEV1/FVC ได้เท่ากับ 58%
ข้อใดเป็นอาการข้างเคียงที่เกิดจากการใช้ยาในกลุ่ม beta-2 agonist ในขนาดสูง</t>
        </is>
      </c>
      <c r="C25" s="2" t="n"/>
      <c r="D25" s="2" t="inlineStr">
        <is>
          <t>Bronchoconstriction</t>
        </is>
      </c>
      <c r="E25" s="2" t="inlineStr">
        <is>
          <t>Hypokalemia</t>
        </is>
      </c>
      <c r="F25" s="2" t="inlineStr">
        <is>
          <t>Constipation</t>
        </is>
      </c>
      <c r="G25" s="2" t="inlineStr">
        <is>
          <t>Blurred vision</t>
        </is>
      </c>
      <c r="H25" s="2" t="inlineStr">
        <is>
          <t>Hypotension</t>
        </is>
      </c>
      <c r="I25" s="8" t="inlineStr">
        <is>
          <t>2</t>
        </is>
      </c>
      <c r="J25" s="2" t="inlineStr">
        <is>
          <t>✅ คำตอบที่ถูกต้อง: ข้อ ข. Hypokalemia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Hypokalemia การกระตุ้น beta-2 adrenergic receptors ในขนาดสูงจะทำให้เกิดการเคลื่อนตัวของ potassium เข้าสู่เซลล์ (intracellular shift) ส่งผลให้เกิดภาวะโพแทสเซียมในเลือดต่ำ (Hypokalemia) นอกจากนี้ยังพบอาการใจสั่น (palpitations) และมือสั่น (tremor) ได้บ่อย
🔍 ข้ออื่นผิดเพราะอะไร:
• ข้อ ก. (Bronchoconstriction): ข้อนี้ไม่ใช่คำตอบที่ถูกต้องสำหรับภาวะ Asthma เนื่องจากกลไกการออกฤทธิ์, efficacy หรือข้อบ่งใช้ไม่ตรงกับโจทย์ที่กำหนด
• ข้อ ค. (Constipation): ข้อนี้ไม่ใช่คำตอบที่ถูกต้องสำหรับภาวะ Asthma เนื่องจากกลไกการออกฤทธิ์, efficacy หรือข้อบ่งใช้ไม่ตรงกับโจทย์ที่กำหนด
• ข้อ ง. (Blurred vision): ข้อนี้ไม่ใช่คำตอบที่ถูกต้องสำหรับภาวะ Asthma เนื่องจากกลไกการออกฤทธิ์, efficacy หรือข้อบ่งใช้ไม่ตรงกับโจทย์ที่กำหนด
• ข้อ จ. (Hypotension):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5" s="2" t="n"/>
      <c r="L25" s="2" t="inlineStr">
        <is>
          <t>Asthma</t>
        </is>
      </c>
      <c r="M25" s="2" t="inlineStr">
        <is>
          <t>Clinic</t>
        </is>
      </c>
      <c r="N25" s="2" t="inlineStr">
        <is>
          <t>ข้อ 22 Pharma Plus เล่มม่วง (เฉลยข้อ ข)</t>
        </is>
      </c>
      <c r="O25" s="2" t="inlineStr">
        <is>
          <t>Mock</t>
        </is>
      </c>
      <c r="P25" s="2" t="inlineStr">
        <is>
          <t>Pharma Plus เล่มม่วง</t>
        </is>
      </c>
    </row>
    <row r="26" ht="13.2" customHeight="1" s="37">
      <c r="A26" s="8" t="inlineStr">
        <is>
          <t>23</t>
        </is>
      </c>
      <c r="B26" s="2" t="inlineStr">
        <is>
          <t>ข้อใดไม่ใช่ปัจจัยเสี่ยงต่อการเกิด COPD</t>
        </is>
      </c>
      <c r="C26" s="2" t="n"/>
      <c r="D26" s="2" t="inlineStr">
        <is>
          <t>ผู้ป่วยสูงอายุ</t>
        </is>
      </c>
      <c r="E26" s="2" t="inlineStr">
        <is>
          <t>มีประวัติสูบบุหรี่</t>
        </is>
      </c>
      <c r="F26" s="2" t="inlineStr">
        <is>
          <t>ทำงานในโรงงานถลุงเหล็ก</t>
        </is>
      </c>
      <c r="G26" s="2" t="inlineStr">
        <is>
          <t>การขาดสาร alpha-1 antitrypsin</t>
        </is>
      </c>
      <c r="H26" s="2" t="inlineStr">
        <is>
          <t>มีภาวะ airway hyper-responsiveness</t>
        </is>
      </c>
      <c r="I26" s="8" t="inlineStr">
        <is>
          <t>5</t>
        </is>
      </c>
      <c r="J26" s="2" t="inlineStr">
        <is>
          <t>✅ คำตอบที่ถูกต้อง: ข้อ จ. มีภาวะ airway hyper-responsiveness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มีภาวะ airway hyper-responsiveness Airway hyper-responsiveness (AHR) เป็นลักษณะเด่นและปัจจัยเสี่ยงสำคัญของโรคหอบหืด (Asthma) ไม่ใช่ปัจจัยเสี่ยงหลักจำเพาะของ COPD ส่วนการสูบบุหรี่ มลพิษในที่ทำงาน และการขาด Alpha-1 antitrypsin เป็นสาเหตุและปัจจัยเสี่ยงหลักของ COPD
🔍 ข้ออื่นผิดเพราะอะไร:
• ข้อ ก. (ผู้ป่วยสูงอายุ): ข้อนี้ไม่ใช่คำตอบที่ถูกต้องสำหรับภาวะ Asthma เนื่องจากกลไกการออกฤทธิ์, efficacy หรือข้อบ่งใช้ไม่ตรงกับโจทย์ที่กำหนด
• ข้อ ข. (มีประวัติสูบบุหรี่): ข้อนี้ไม่ใช่คำตอบที่ถูกต้องสำหรับภาวะ Asthma เนื่องจากกลไกการออกฤทธิ์, efficacy หรือข้อบ่งใช้ไม่ตรงกับโจทย์ที่กำหนด
• ข้อ ค. (ทำงานในโรงงานถลุงเหล็ก): ข้อนี้ไม่ใช่คำตอบที่ถูกต้องสำหรับภาวะ Asthma เนื่องจากกลไกการออกฤทธิ์, efficacy หรือข้อบ่งใช้ไม่ตรงกับโจทย์ที่กำหนด
• ข้อ ง. (การขาดสาร alpha-1 antitrypsin):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6" s="2" t="n"/>
      <c r="L26" s="2" t="inlineStr">
        <is>
          <t>Asthma</t>
        </is>
      </c>
      <c r="M26" s="2" t="inlineStr">
        <is>
          <t>Clinic</t>
        </is>
      </c>
      <c r="N26" s="2" t="inlineStr">
        <is>
          <t>ข้อ 23 Pharma Plus เล่มม่วง (เฉลยข้อ จ)</t>
        </is>
      </c>
      <c r="O26" s="2" t="inlineStr">
        <is>
          <t>Mock</t>
        </is>
      </c>
      <c r="P26" s="2" t="inlineStr">
        <is>
          <t>Pharma Plus เล่มม่วง</t>
        </is>
      </c>
    </row>
    <row r="27" ht="13.2" customHeight="1" s="37">
      <c r="A27" s="8" t="inlineStr">
        <is>
          <t>24</t>
        </is>
      </c>
      <c r="B27" s="2" t="inlineStr">
        <is>
          <t>ข้อใดต่อไปนี้กล่าวถูก</t>
        </is>
      </c>
      <c r="C27" s="2" t="n"/>
      <c r="D27" s="2" t="inlineStr">
        <is>
          <t>โรค COPD พบบ่อยในผู้ป่วยทุกเพศทุกวัย</t>
        </is>
      </c>
      <c r="E27" s="2" t="inlineStr">
        <is>
          <t>ยาหลักที่ใช้ใน COPD คือ ยาพ่น corticosteroid</t>
        </is>
      </c>
      <c r="F27" s="2" t="inlineStr">
        <is>
          <t>ใช้ peak flow meter ในการแบ่งความรุนแรงของ COPD</t>
        </is>
      </c>
      <c r="G27" s="2" t="inlineStr">
        <is>
          <t>สามารถใช้ oral หรือ inhale glucocorticosteroid เพื่อลดภาวะ exacerbation ในผู้ป่วย COPD ได้</t>
        </is>
      </c>
      <c r="H27" s="2" t="inlineStr">
        <is>
          <t>สาเหตุหลักที่ทำให้เกิด asthma คือการสูบบุหรี่</t>
        </is>
      </c>
      <c r="I27" s="8" t="inlineStr">
        <is>
          <t>3</t>
        </is>
      </c>
      <c r="J27" s="2" t="inlineStr">
        <is>
          <t>✅ คำตอบที่ถูกต้อง: ข้อ ค. ใช้ peak flow meter ในการแบ่งความรุนแรงของ COPD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ใช้ peak flow meter ในการแบ่งความรุนแรงของ COPD ตามแนวทางการรักษา COPD (GOLD guidelines) การใช้ oral หรือ inhaled corticosteroids (ICS) มีบทบาทในการลดความรุนแรงและป้องกันภาวะ exacerbation ในผู้ป่วยกลุ่มที่มีข้อบ่งชี้ (เช่น มีประวัติหอบหืดร่วมด้วย หรือมี eosinophil สูง) ส่วน COPD มักพบบ่อยในผู้สูงอายุ ยาหลักคือ bronchodilators และสาเหตุหลักของ COPD คือการสูบบุหรี่ (ในขณะที่สาเหตุของ asthma มีปัจจัยทางพันธุกรรมและสิ่งแวดล้อม)
🔍 ข้ออื่นผิดเพราะอะไร:
• ข้อ ก. (โรค COPD พบบ่อยในผู้ป่วยทุกเพศทุกวัย): ข้อนี้ไม่ใช่คำตอบที่ถูกต้องสำหรับภาวะ Asthma เนื่องจากกลไกการออกฤทธิ์, efficacy หรือข้อบ่งใช้ไม่ตรงกับโจทย์ที่กำหนด
• ข้อ ข. (ยาหลักที่ใช้ใน COPD คือ ยาพ่น corticosteroid): ข้อนี้ไม่ใช่คำตอบที่ถูกต้องสำหรับภาวะ Asthma เนื่องจากกลไกการออกฤทธิ์, efficacy หรือข้อบ่งใช้ไม่ตรงกับโจทย์ที่กำหนด
• ข้อ ง. (สามารถใช้ oral หรือ inhale glucocorticosteroid เพื่อลดภาวะ exacerbation ในผู้ป่วย COPD ได้): ข้อนี้ไม่ใช่คำตอบที่ถูกต้องสำหรับภาวะ Asthma เนื่องจากกลไกการออกฤทธิ์, efficacy หรือข้อบ่งใช้ไม่ตรงกับโจทย์ที่กำหนด
• ข้อ จ. (สาเหตุหลักที่ทำให้เกิด asthma คือการสูบบุหรี่):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7" s="2" t="n"/>
      <c r="L27" s="2" t="inlineStr">
        <is>
          <t>Asthma</t>
        </is>
      </c>
      <c r="M27" s="2" t="inlineStr">
        <is>
          <t>Clinic</t>
        </is>
      </c>
      <c r="N27" s="2" t="inlineStr">
        <is>
          <t>ข้อ 24 Pharma Plus เล่มม่วง (เฉลยข้อ ค)</t>
        </is>
      </c>
      <c r="O27" s="2" t="inlineStr">
        <is>
          <t>Mock</t>
        </is>
      </c>
      <c r="P27" s="2" t="inlineStr">
        <is>
          <t>Pharma Plus เล่มม่วง</t>
        </is>
      </c>
    </row>
    <row r="28" ht="13.2" customHeight="1" s="37">
      <c r="A28" s="8" t="inlineStr">
        <is>
          <t>25</t>
        </is>
      </c>
      <c r="B28" s="2" t="inlineStr">
        <is>
          <t>เครื่องมือใดต่อไปนี้ใช้ตรวจสมรรถภาพปอด เพื่อใช้ในการวินิจฉัยโรค COPD</t>
        </is>
      </c>
      <c r="C28" s="2" t="n"/>
      <c r="D28" s="2" t="inlineStr">
        <is>
          <t>Peak flow meter</t>
        </is>
      </c>
      <c r="E28" s="2" t="inlineStr">
        <is>
          <t>Computed tomography</t>
        </is>
      </c>
      <c r="F28" s="2" t="inlineStr">
        <is>
          <t>Spirometer</t>
        </is>
      </c>
      <c r="G28" s="2" t="inlineStr">
        <is>
          <t>Chest x-ray</t>
        </is>
      </c>
      <c r="H28" s="2" t="inlineStr">
        <is>
          <t>MRI</t>
        </is>
      </c>
      <c r="I28" s="8" t="inlineStr">
        <is>
          <t>3</t>
        </is>
      </c>
      <c r="J28" s="2" t="inlineStr">
        <is>
          <t>✅ คำตอบที่ถูกต้อง: ข้อ ค. Spirometer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Spirometer การวินิจฉัยโรค COPD จำเป็นต้องยืนยันด้วยผลการตรวจสมรรถภาพปอดด้วยเครื่อง Spirometer โดยพบค่า post-bronchodilator FEV1/FVC
🔍 ข้ออื่นผิดเพราะอะไร:
• ข้อ ก. (Peak flow meter): ข้อนี้ไม่ใช่คำตอบที่ถูกต้องสำหรับภาวะ COPD เนื่องจากกลไกการออกฤทธิ์, efficacy หรือข้อบ่งใช้ไม่ตรงกับโจทย์ที่กำหนด
• ข้อ ข. (Computed tomography): ข้อนี้ไม่ใช่คำตอบที่ถูกต้องสำหรับภาวะ COPD เนื่องจากกลไกการออกฤทธิ์, efficacy หรือข้อบ่งใช้ไม่ตรงกับโจทย์ที่กำหนด
• ข้อ ง. (Chest x-ray): ข้อนี้ไม่ใช่คำตอบที่ถูกต้องสำหรับภาวะ COPD เนื่องจากกลไกการออกฤทธิ์, efficacy หรือข้อบ่งใช้ไม่ตรงกับโจทย์ที่กำหนด
• ข้อ จ. (MRI):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28" s="2" t="n"/>
      <c r="L28" s="2" t="inlineStr">
        <is>
          <t>COPD</t>
        </is>
      </c>
      <c r="M28" s="2" t="inlineStr">
        <is>
          <t>Clinic</t>
        </is>
      </c>
      <c r="N28" s="2" t="inlineStr">
        <is>
          <t>ข้อ 25 Pharma Plus เล่มม่วง (เฉลยข้อ ค)</t>
        </is>
      </c>
      <c r="O28" s="2" t="inlineStr">
        <is>
          <t>Mock</t>
        </is>
      </c>
      <c r="P28" s="2" t="inlineStr">
        <is>
          <t>Pharma Plus เล่มม่วง</t>
        </is>
      </c>
    </row>
    <row r="29" ht="13.2" customHeight="1" s="37">
      <c r="A29" s="8" t="inlineStr">
        <is>
          <t>26</t>
        </is>
      </c>
      <c r="B29"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จ่ายยาที่เหมาะสมที่สุด/ควรจ่ายยาเพื่อบรรเทาอาการเบื้องต้น</t>
        </is>
      </c>
      <c r="C29" s="2" t="n"/>
      <c r="D29" s="2" t="inlineStr">
        <is>
          <t>Hydroxyzine</t>
        </is>
      </c>
      <c r="E29" s="2" t="inlineStr">
        <is>
          <t>Ephedrine Intranasal</t>
        </is>
      </c>
      <c r="F29" s="2" t="inlineStr">
        <is>
          <t>Prednisolone</t>
        </is>
      </c>
      <c r="G29" s="2" t="inlineStr">
        <is>
          <t>Pseudoephedrine</t>
        </is>
      </c>
      <c r="H29" s="2" t="inlineStr">
        <is>
          <t>Loratadine + pseudoephedrine</t>
        </is>
      </c>
      <c r="I29" s="8" t="inlineStr">
        <is>
          <t>5</t>
        </is>
      </c>
      <c r="J29" s="2" t="inlineStr">
        <is>
          <t>✅ คำตอบที่ถูกต้อง: ข้อ จ. Loratadine + pseudoephedrine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Loratadine + pseudoephedrine อาการแพ้อากาศ (Allergic rhinitis) ที่มีอาการคัดจมูกร่วมด้วย การรักษาเบื้องต้นที่เหมาะสมคือการใช้ยาร่วมกันระหว่าง antihistamine ชนิดที่ไม่ทำให้ง่วง (เช่น Loratadine) เพื่อลดอาการจาม น้ำมูก และ decongestant (เช่น pseudoephedrine) เพื่อลดอาการคัดจมูก
🔍 ข้ออื่นผิดเพราะอะไร:
• ข้อ ก. (Hydroxyzine): ข้อนี้ไม่ใช่คำตอบที่ถูกต้องสำหรับภาวะ Asthma เนื่องจากกลไกการออกฤทธิ์, efficacy หรือข้อบ่งใช้ไม่ตรงกับโจทย์ที่กำหนด
• ข้อ ข. (Ephedrine Intranasal): ข้อนี้ไม่ใช่คำตอบที่ถูกต้องสำหรับภาวะ Asthma เนื่องจากกลไกการออกฤทธิ์, efficacy หรือข้อบ่งใช้ไม่ตรงกับโจทย์ที่กำหนด
• ข้อ ค. (Prednisolone): เป็น intermediate-acting systemic corticosteroid ขนาดยอดนิยมสำหรับ immunosuppressive &amp; anti-inflammatory therapy ต้องระวัง Cushingoid, infection, osteoporosis, peptic ulcer
• ข้อ ง. (Pseudoephedrine): เป็น oral decongestant กระตุ้น alpha และ beta receptors ระวังในผู้ป่วย hypertension, ischemic heart disease, glaucoma, BPH และเป็นวัตถุออกฤทธิ์ประเภท 2 (ห้ามขายในร้านยา)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29" s="2" t="n"/>
      <c r="L29" s="2" t="inlineStr">
        <is>
          <t>Asthma</t>
        </is>
      </c>
      <c r="M29" s="2" t="inlineStr">
        <is>
          <t>Clinic</t>
        </is>
      </c>
      <c r="N29" s="2" t="inlineStr">
        <is>
          <t>ข้อ 26 Pharma Plus เล่มม่วง (เฉลยข้อ จ)</t>
        </is>
      </c>
      <c r="O29" s="2" t="inlineStr">
        <is>
          <t>Mock</t>
        </is>
      </c>
      <c r="P29" s="2" t="inlineStr">
        <is>
          <t>Pharma Plus เล่มม่วง</t>
        </is>
      </c>
    </row>
    <row r="30" ht="13.2" customHeight="1" s="37">
      <c r="A30" s="8" t="inlineStr">
        <is>
          <t>27</t>
        </is>
      </c>
      <c r="B30"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ผู้ป่วยถือยามาขอซื้อยาที่ร้านท่านโดยที่ยาเขียนว่า prednisolone 5 mg ซึ่งเคยได้รับมาจากโรงพยาบาล เภสัชกรควรปฏิบัติอย่างไร</t>
        </is>
      </c>
      <c r="C30" s="2" t="n"/>
      <c r="D30" s="2" t="inlineStr">
        <is>
          <t>จ่ายยา</t>
        </is>
      </c>
      <c r="E30" s="2" t="inlineStr">
        <is>
          <t>ไม่จ่ายยา เนื่องจากเป็นยาอันตราย</t>
        </is>
      </c>
      <c r="F30" s="2" t="inlineStr">
        <is>
          <t>ไม่จ่ายยา เนื่องจากเป็นยาควบคุมพิเศษ</t>
        </is>
      </c>
      <c r="G30" s="2" t="inlineStr">
        <is>
          <t>จ่ายยา แต่จ่ายปริมาณน้อยกว่า 5 เม็ด</t>
        </is>
      </c>
      <c r="H30" s="2" t="inlineStr">
        <is>
          <t>จ่ายยา แล้วกำชับว่า เป็นความลับ</t>
        </is>
      </c>
      <c r="I30" s="8" t="inlineStr">
        <is>
          <t>3</t>
        </is>
      </c>
      <c r="J30" s="2" t="inlineStr">
        <is>
          <t>✅ คำตอบที่ถูกต้อง: ข้อ ค. ไม่จ่ายยา เนื่องจากเป็นยาควบคุมพิเศษ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ไม่จ่ายยา เนื่องจากเป็นยาควบคุมพิเศษ Prednisolone จัดเป็นยาควบคุมพิเศษ (Dangerous/Controlled drug ตามกฎหมายไทย) เภสัชกรไม่ควรจ่ายยาสตอรอยด์เองตามอำเภอใจโดยไม่มีใบสั่งแพทย์ เนื่องจากมีผลข้างเคียงสูงและอันตรายจากการใช้ไม่ถูกวิธี
🔍 ข้ออื่นผิดเพราะอะไร:
• ข้อ ก. (จ่ายยา): ข้อนี้ไม่ใช่คำตอบที่ถูกต้องสำหรับภาวะ Asthma เนื่องจากกลไกการออกฤทธิ์, efficacy หรือข้อบ่งใช้ไม่ตรงกับโจทย์ที่กำหนด
• ข้อ ข. (ไม่จ่ายยา เนื่องจากเป็นยาอันตราย):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(จ่ายยา แต่จ่ายปริมาณน้อยกว่า 5 เม็ด): ข้อนี้ไม่ใช่คำตอบที่ถูกต้องสำหรับภาวะ Asthma เนื่องจากกลไกการออกฤทธิ์, efficacy หรือข้อบ่งใช้ไม่ตรงกับโจทย์ที่กำหนด
• ข้อ จ. (จ่ายยา แล้วกำชับว่า เป็นความลับ):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2" t="n"/>
      <c r="L30" s="2" t="inlineStr">
        <is>
          <t>Asthma</t>
        </is>
      </c>
      <c r="M30" s="2" t="inlineStr">
        <is>
          <t>Clinic</t>
        </is>
      </c>
      <c r="N30" s="2" t="inlineStr">
        <is>
          <t>ข้อ 27 Pharma Plus เล่มม่วง (เฉลยข้อ ค)</t>
        </is>
      </c>
      <c r="O30" s="2" t="inlineStr">
        <is>
          <t>Mock</t>
        </is>
      </c>
      <c r="P30" s="2" t="inlineStr">
        <is>
          <t>Pharma Plus เล่มม่วง</t>
        </is>
      </c>
    </row>
    <row r="31" ht="13.2" customHeight="1" s="37">
      <c r="A31" s="8" t="inlineStr">
        <is>
          <t>28</t>
        </is>
      </c>
      <c r="B31" s="2" t="inlineStr">
        <is>
          <t>ข้อใดเป็นกลไกการออกฤทธิ์ของยา prednisolone</t>
        </is>
      </c>
      <c r="C31" s="2" t="n"/>
      <c r="D31" s="2" t="inlineStr">
        <is>
          <t>ยับยั้งการทำงานของเอนไซม์ xanthine oxidase</t>
        </is>
      </c>
      <c r="E31" s="2" t="inlineStr">
        <is>
          <t>ยับยั้งการทำงานของเอนไซม์ cyclooxygenase</t>
        </is>
      </c>
      <c r="F31" s="2" t="inlineStr">
        <is>
          <t>ยับยั้งการทำงานของเอนไซม์ phospholipase</t>
        </is>
      </c>
      <c r="G31" s="2" t="inlineStr">
        <is>
          <t>ยับยั้งการทำงานของเอนไซม์ 5- lipo-oxygenase</t>
        </is>
      </c>
      <c r="H31" s="2" t="inlineStr">
        <is>
          <t>ยับยั้งการทำงานของเอนไซม์ esterase</t>
        </is>
      </c>
      <c r="I31" s="8" t="inlineStr">
        <is>
          <t>3</t>
        </is>
      </c>
      <c r="J31" s="2" t="inlineStr">
        <is>
          <t>✅ คำตอบที่ถูกต้อง: ข้อ ค. ยับยั้งการทำงานของเอนไซม์ phospholipase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ยับยั้งการทำงานของเอนไซม์ phospholipase Corticosteroids (เช่น Prednisolone) ออกฤทธิ์โดยการกระตุ้นการสร้าง lipocortin ซึ่งไปยับยั้งเอนไซม์ phospholipase A2 ทำให้ลดการสร้างสารไถ่ถอนการอักเสบทั้ง prostaglandins และ leukotrienes
🔍 ข้ออื่นผิดเพราะอะไร:
• ข้อ ก. (ยับยั้งการทำงานของเอนไซม์ xanthine oxidase): ข้อนี้ไม่ใช่คำตอบที่ถูกต้องสำหรับภาวะ Asthma เนื่องจากกลไกการออกฤทธิ์, efficacy หรือข้อบ่งใช้ไม่ตรงกับโจทย์ที่กำหนด
• ข้อ ข. (ยับยั้งการทำงานของเอนไซม์ cyclooxygenase): ข้อนี้ไม่ใช่คำตอบที่ถูกต้องสำหรับภาวะ Asthma เนื่องจากกลไกการออกฤทธิ์, efficacy หรือข้อบ่งใช้ไม่ตรงกับโจทย์ที่กำหนด
• ข้อ ง. (ยับยั้งการทำงานของเอนไซม์ 5- lipo-oxygenase): ข้อนี้ไม่ใช่คำตอบที่ถูกต้องสำหรับภาวะ Asthma เนื่องจากกลไกการออกฤทธิ์, efficacy หรือข้อบ่งใช้ไม่ตรงกับโจทย์ที่กำหนด
• ข้อ จ. (ยับยั้งการทำงานของเอนไซม์ esterase):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1" s="2" t="n"/>
      <c r="L31" s="2" t="inlineStr">
        <is>
          <t>Asthma</t>
        </is>
      </c>
      <c r="M31" s="2" t="inlineStr">
        <is>
          <t>Clinic</t>
        </is>
      </c>
      <c r="N31" s="2" t="inlineStr">
        <is>
          <t>ข้อ 28 Pharma Plus เล่มม่วง (เฉลยข้อ ค)</t>
        </is>
      </c>
      <c r="O31" s="2" t="inlineStr">
        <is>
          <t>Mock</t>
        </is>
      </c>
      <c r="P31" s="2" t="inlineStr">
        <is>
          <t>Pharma Plus เล่มม่วง</t>
        </is>
      </c>
    </row>
    <row r="32" ht="13.2" customHeight="1" s="37">
      <c r="A32" s="8" t="inlineStr">
        <is>
          <t>29</t>
        </is>
      </c>
      <c r="B32" s="2" t="inlineStr">
        <is>
          <t>ผู้ป่วยหญิงไทย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1 puff OD
ปัจจัยใดไม่ได้เป็นสาเหตุทำให้ผู้ป่วยมีอาการหอบมากขึ้น</t>
        </is>
      </c>
      <c r="C32" s="2" t="n"/>
      <c r="D32" s="2" t="inlineStr">
        <is>
          <t>กรรมพันธุ์</t>
        </is>
      </c>
      <c r="E32" s="2" t="inlineStr">
        <is>
          <t>ขนสัตว์ ไรฝุ่น</t>
        </is>
      </c>
      <c r="F32" s="2" t="inlineStr">
        <is>
          <t>การรับประทานยาบางประเภท เช่น NSAIDs</t>
        </is>
      </c>
      <c r="G32" s="2" t="inlineStr">
        <is>
          <t>การออกกำลังกาย</t>
        </is>
      </c>
      <c r="H32" s="2" t="inlineStr">
        <is>
          <t>การดื่มกาแฟ</t>
        </is>
      </c>
      <c r="I32" s="8" t="inlineStr">
        <is>
          <t>5</t>
        </is>
      </c>
      <c r="J32" s="2" t="inlineStr">
        <is>
          <t>✅ คำตอบที่ถูกต้อง: ข้อ จ. การดื่มกาแฟ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การดื่มกาแฟ ปัจจัยกระตุ้นหอบหืด (Asthma triggers) ได้แก่ พันธุกรรม สารก่อภูมิแพ้ (ขนสัตว์, ไรฝุ่น) ยาบางชนิด (เช่น NSAIDs กระตุ้น bronchospasm ใน aspirin-exacerbated respiratory disease) และการออกกำลังกาย (exercise-induced bronchoconstriction) ส่วนการดื่มกาแฟ (คาเฟอีน) มีฤทธิ์ขยายหลอดลมอย่างอ่อน จึงไม่เป็นสาเหตุที่ทำให้อาการหอบมากขึ้น
🔍 ข้ออื่นผิดเพราะอะไร:
• ข้อ ก. (กรรมพันธุ์): ข้อนี้ไม่ใช่คำตอบที่ถูกต้องสำหรับภาวะ Asthma เนื่องจากกลไกการออกฤทธิ์, efficacy หรือข้อบ่งใช้ไม่ตรงกับโจทย์ที่กำหนด
• ข้อ ข. (ขนสัตว์ ไรฝุ่น): ข้อนี้ไม่ใช่คำตอบที่ถูกต้องสำหรับภาวะ Asthma เนื่องจากกลไกการออกฤทธิ์, efficacy หรือข้อบ่งใช้ไม่ตรงกับโจทย์ที่กำหนด
• ข้อ ค. (การรับประทานยาบางประเภท เช่น NSAIDs): ข้อนี้ไม่ใช่คำตอบที่ถูกต้องสำหรับภาวะ Asthma เนื่องจากกลไกการออกฤทธิ์, efficacy หรือข้อบ่งใช้ไม่ตรงกับโจทย์ที่กำหนด
• ข้อ ง. (การออกกำลังกาย):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2" s="2" t="n"/>
      <c r="L32" s="2" t="inlineStr">
        <is>
          <t>Asthma</t>
        </is>
      </c>
      <c r="M32" s="2" t="inlineStr">
        <is>
          <t>Clinic</t>
        </is>
      </c>
      <c r="N32" s="2" t="inlineStr">
        <is>
          <t>ข้อ 29 Pharma Plus เล่มม่วง (เฉลยข้อ จ)</t>
        </is>
      </c>
      <c r="O32" s="2" t="inlineStr">
        <is>
          <t>Mock</t>
        </is>
      </c>
      <c r="P32" s="2" t="inlineStr">
        <is>
          <t>Pharma Plus เล่มม่วง</t>
        </is>
      </c>
    </row>
    <row r="33" ht="13.2" customHeight="1" s="37">
      <c r="A33" s="8" t="inlineStr">
        <is>
          <t>30</t>
        </is>
      </c>
      <c r="B33" s="2" t="inlineStr">
        <is>
          <t>ผลทางห้องปฏิบัติการที่แสดงว่าผู้ป่วยเป็นโรคหอบหืด คือ</t>
        </is>
      </c>
      <c r="C33" s="2" t="n"/>
      <c r="D33" s="2" t="inlineStr">
        <is>
          <t>FEV1 (post bronchodilator) มากกว่า 12%</t>
        </is>
      </c>
      <c r="E33" s="2" t="inlineStr">
        <is>
          <t>PEF (post bronchodilator) มากกว่า 25%</t>
        </is>
      </c>
      <c r="F33" s="2" t="inlineStr">
        <is>
          <t>ค่า PaO2 น้อยกว่า 80%</t>
        </is>
      </c>
      <c r="G33" s="2" t="inlineStr">
        <is>
          <t>ข้อ ก. และ ข. ถูก</t>
        </is>
      </c>
      <c r="H33" s="2" t="inlineStr">
        <is>
          <t>ถูกทุกข้อ</t>
        </is>
      </c>
      <c r="I33" s="8" t="inlineStr">
        <is>
          <t>1</t>
        </is>
      </c>
      <c r="J33" s="2" t="inlineStr">
        <is>
          <t>✅ คำตอบที่ถูกต้อง: ข้อ ก. FEV1 (post bronchodilator) มากกว่า 12%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FEV1 (post bronchodilator) มากกว่า 12% ตามแนวทาง GINA การวินิจฉัยโรคหืดพิจารณาจากการตรวจ spirometry พบ Reversibility โดย FEV1 หรือ FVC เพิ่มขึ้น &gt; 12% และ &gt; 200 mL หลังพ่นยาขยายหลอดลม หรือค่า PEF variability / post-bronchodilator PEF เพิ่มขึ้น &gt; 20% (ในโจทย์ข้อ ข ระบุ PEF post bronchodilator มากกว่า 25% ซึ่งในบางเกณฑ์หรือข้อสอบเก่าถือว่าเข้าเกณฑ์ reversibility ได้เช่นกัน ทำให้ข้อ ก และ ข ถูก)
🔍 ข้ออื่นผิดเพราะอะไร:
• ข้อ ข. (PEF (post bronchodilator) มากกว่า 25%): ข้อนี้ไม่ใช่คำตอบที่ถูกต้องสำหรับภาวะ Asthma เนื่องจากกลไกการออกฤทธิ์, efficacy หรือข้อบ่งใช้ไม่ตรงกับโจทย์ที่กำหนด
• ข้อ ค. (ค่า PaO2 น้อยกว่า 80%): ข้อนี้ไม่ใช่คำตอบที่ถูกต้องสำหรับภาวะ Asthma เนื่องจากกลไกการออกฤทธิ์, efficacy หรือข้อบ่งใช้ไม่ตรงกับโจทย์ที่กำหนด
• ข้อ ง. (ข้อ ก. และ ข. ถูก): ข้อนี้ไม่ใช่คำตอบที่ถูกต้องสำหรับภาวะ Asthma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3" s="2" t="n"/>
      <c r="L33" s="2" t="inlineStr">
        <is>
          <t>Asthma</t>
        </is>
      </c>
      <c r="M33" s="2" t="inlineStr">
        <is>
          <t>Clinic</t>
        </is>
      </c>
      <c r="N33" s="2" t="inlineStr">
        <is>
          <t>ข้อ 30 Pharma Plus เล่มม่วง (เฉลยข้อ ก)</t>
        </is>
      </c>
      <c r="O33" s="2" t="inlineStr">
        <is>
          <t>Mock</t>
        </is>
      </c>
      <c r="P33" s="2" t="inlineStr">
        <is>
          <t>Pharma Plus เล่มม่วง</t>
        </is>
      </c>
    </row>
    <row r="34" ht="13.2" customHeight="1" s="37">
      <c r="A34" s="8" t="inlineStr">
        <is>
          <t>31</t>
        </is>
      </c>
      <c r="B34" s="2" t="inlineStr">
        <is>
          <t>เราควรแนะนำผู้ป่วยเมื่อมีการใช้ยาพ่น Budecort อย่างไร</t>
        </is>
      </c>
      <c r="C34" s="2" t="n"/>
      <c r="D34" s="2" t="inlineStr">
        <is>
          <t>หลีกเลี่ยงการใช้ยาร่วมกับ spacer</t>
        </is>
      </c>
      <c r="E34" s="2" t="inlineStr">
        <is>
          <t>หากมีการใช้ยาพร้อมกันกับยาพ่น Ventolin ให้พ่นยาตัวนี้ก่อนพ่น Ventolin</t>
        </is>
      </c>
      <c r="F34" s="2" t="inlineStr">
        <is>
          <t>ยาออกฤทธิ์โดยการขยายหลอดลม</t>
        </is>
      </c>
      <c r="G34" s="2" t="inlineStr">
        <is>
          <t>ให้บ้วนปาก กลั้วคอทุกครั้งหลังจากใช้ยา</t>
        </is>
      </c>
      <c r="H34" s="2" t="inlineStr">
        <is>
          <t>เก็บหลอดยาไว้ในตู้เย็น</t>
        </is>
      </c>
      <c r="I34" s="8" t="inlineStr">
        <is>
          <t>4</t>
        </is>
      </c>
      <c r="J34" s="2" t="inlineStr">
        <is>
          <t>✅ คำตอบที่ถูกต้อง: ข้อ ง. ให้บ้วนปาก กลั้วคอทุกครั้งหลังจากใช้ยา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ให้บ้วนปาก กลั้วคอทุกครั้งหลังจากใช้ยา Budesonide เป็นยาสูดสเตียรอยด์ (ICS) ผลข้างเคียงเฉพาะที่ที่สำคัญคือเกิดเชื้อราในปาก (oral candidiasis) และเสียงแหบ จึงต้องแนะนำให้ผู้ป่วยบ้วนปาก กลั้วคอ และบ้วนน้ำทิ้งทุกครั้งหลังใช้ยาเสมอ และควรใช้ยาขยายหลอดลม (Ventolin) ก่อนเพื่อให้หลอดลมขยายและยา ICS เข้าสู่ปอดได้ดีขึ้น
🔍 ข้ออื่นผิดเพราะอะไร:
• ข้อ ก. (หลีกเลี่ยงการใช้ยาร่วมกับ spacer): ข้อนี้ไม่ใช่คำตอบที่ถูกต้องสำหรับภาวะ Asthma เนื่องจากกลไกการออกฤทธิ์, efficacy หรือข้อบ่งใช้ไม่ตรงกับโจทย์ที่กำหนด
• ข้อ ข. (หากมีการใช้ยาพร้อมกันกับยาพ่น Ventolin ให้พ่นยาตัวนี้ก่อนพ่น Ventolin): ข้อนี้ไม่ใช่คำตอบที่ถูกต้องสำหรับภาวะ Asthma เนื่องจากกลไกการออกฤทธิ์, efficacy หรือข้อบ่งใช้ไม่ตรงกับโจทย์ที่กำหนด
• ข้อ ค. (ยาออกฤทธิ์โดยการขยายหลอดลม): ข้อนี้ไม่ใช่คำตอบที่ถูกต้องสำหรับภาวะ Asthma เนื่องจากกลไกการออกฤทธิ์, efficacy หรือข้อบ่งใช้ไม่ตรงกับโจทย์ที่กำหนด
• ข้อ จ. (เก็บหลอดยาไว้ในตู้เย็น):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4" s="2" t="n"/>
      <c r="L34" s="2" t="inlineStr">
        <is>
          <t>Asthma</t>
        </is>
      </c>
      <c r="M34" s="2" t="inlineStr">
        <is>
          <t>Clinic</t>
        </is>
      </c>
      <c r="N34" s="2" t="inlineStr">
        <is>
          <t>ข้อ 31 Pharma Plus เล่มม่วง (เฉลยข้อ ง)</t>
        </is>
      </c>
      <c r="O34" s="2" t="inlineStr">
        <is>
          <t>Mock</t>
        </is>
      </c>
      <c r="P34" s="2" t="inlineStr">
        <is>
          <t>Pharma Plus เล่มม่วง</t>
        </is>
      </c>
    </row>
    <row r="35" ht="13.2" customHeight="1" s="37">
      <c r="A35" s="8" t="inlineStr">
        <is>
          <t>32</t>
        </is>
      </c>
      <c r="B35" s="2" t="inlineStr">
        <is>
          <t>เกี่ยวกับ Ventolin ข้อใดผิด</t>
        </is>
      </c>
      <c r="C35" s="2" t="n"/>
      <c r="D35" s="2" t="inlineStr">
        <is>
          <t>ประกอบด้วยยา albuterol ซึ่งเป็น beta2 agonist ชนิดออกฤทธิ์สั้น</t>
        </is>
      </c>
      <c r="E35" s="2" t="inlineStr">
        <is>
          <t>ในผู้ป่วยรายนี้ใช้เพื่อบรรเทาอาการหอบหืดที่เกิดขึ้นเป็นครั้งคราวเท่านั้น</t>
        </is>
      </c>
      <c r="F35" s="2" t="inlineStr">
        <is>
          <t>อาการข้างเคียงที่อาจพบ คือ มือสั่น ปากแห้ง เหนื่อย หัวใจเต้นช้า</t>
        </is>
      </c>
      <c r="G35" s="2" t="inlineStr">
        <is>
          <t>กลไกของยาคือ กระตุ้นการสร้าง adenylate cyclase เพิ่มการสร้าง cyclic AMP</t>
        </is>
      </c>
      <c r="H35" s="2" t="inlineStr">
        <is>
          <t>Tiotropium Respimat 2.5 mcg 2 puffs OD</t>
        </is>
      </c>
      <c r="I35" s="8" t="inlineStr">
        <is>
          <t>3</t>
        </is>
      </c>
      <c r="J35" s="2" t="inlineStr">
        <is>
          <t>✅ คำตอบที่ถูกต้อง: ข้อ ค. อาการข้างเคียงที่อาจพบ คือ มือสั่น ปากแห้ง เหนื่อย หัวใจเต้นช้า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อาการข้างเคียงที่อาจพบ คือ มือสั่น ปากแห้ง เหนื่อย หัวใจเต้นช้า Ventolin (albuterol/salbutamol) เป็น SABA มีอาการข้างเคียงที่สำคัญคือหัวใจเต้นเร็ว (tachycardia) ไม่ใช่หัวใจเต้นช้า (bradycardia) เนื่องจากกระตุ้น beta1 receptors ที่หัวใจร่วมด้วยเมื่อใช้ขนาดสูง และทำให้เกิดอาการมือสั่น ประหม่าได้
🔍 ข้ออื่นผิดเพราะอะไร:
• ข้อ ก. (ประกอบด้วยยา albuterol ซึ่งเป็น beta2 agonist ชนิดออกฤทธิ์สั้น): ข้อนี้ไม่ใช่คำตอบที่ถูกต้องสำหรับภาวะ Asthma เนื่องจากกลไกการออกฤทธิ์, efficacy หรือข้อบ่งใช้ไม่ตรงกับโจทย์ที่กำหนด
• ข้อ ข. (ในผู้ป่วยรายนี้ใช้เพื่อบรรเทาอาการหอบหืดที่เกิดขึ้นเป็นครั้งคราวเท่านั้น): ข้อนี้ไม่ใช่คำตอบที่ถูกต้องสำหรับภาวะ Asthma เนื่องจากกลไกการออกฤทธิ์, efficacy หรือข้อบ่งใช้ไม่ตรงกับโจทย์ที่กำหนด
• ข้อ ง. (กลไกของยาคือ กระตุ้นการสร้าง adenylate cyclase เพิ่มการสร้าง cyclic AMP): ข้อนี้ไม่ใช่คำตอบที่ถูกต้องสำหรับภาวะ Asthma เนื่องจากกลไกการออกฤทธิ์, efficacy หรือข้อบ่งใช้ไม่ตรงกับโจทย์ที่กำหนด
• ข้อ จ. (Tiotropium Respimat 2.5 mcg 2 puffs OD): เป็น Long-acting muscarinic antagonist (LAMA) มี bronchodilatory efficacy สูง เป็นแกนหลักใน COPD maintenance therapy และ add-on ใน severe asthma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5" s="2" t="n"/>
      <c r="L35" s="2" t="inlineStr">
        <is>
          <t>Asthma</t>
        </is>
      </c>
      <c r="M35" s="2" t="inlineStr">
        <is>
          <t>Clinic</t>
        </is>
      </c>
      <c r="N35" s="2" t="inlineStr">
        <is>
          <t>ข้อ 32 Pharma Plus เล่มม่วง (เฉลยข้อ ค)</t>
        </is>
      </c>
      <c r="O35" s="2" t="inlineStr">
        <is>
          <t>Mock</t>
        </is>
      </c>
      <c r="P35" s="2" t="inlineStr">
        <is>
          <t>Pharma Plus เล่มม่วง</t>
        </is>
      </c>
    </row>
    <row r="36" ht="13.2" customHeight="1" s="37">
      <c r="A36" s="8" t="inlineStr">
        <is>
          <t>33</t>
        </is>
      </c>
      <c r="B36" s="2" t="inlineStr">
        <is>
          <t>หนึ่งเดือนต่อมา ผู้ป่วยกลับมาพบแพทย์ด้วยอาการหอบที่ยังควบคุมได้ไม่ค่อยดีนัก แพทย์คิดว่าจะเพิ่มยา ยานั้นควรจะเป็นยาอะไร</t>
        </is>
      </c>
      <c r="C36" s="2" t="n"/>
      <c r="D36" s="2" t="inlineStr">
        <is>
          <t>Inhaled ipratropium MDI</t>
        </is>
      </c>
      <c r="E36" s="2" t="inlineStr">
        <is>
          <t>Inhaled cromolin MDI</t>
        </is>
      </c>
      <c r="F36" s="2" t="inlineStr">
        <is>
          <t>Oral glucocorticosteroid</t>
        </is>
      </c>
      <c r="G36" s="2" t="inlineStr">
        <is>
          <t>Inhaled salmeterol MDI</t>
        </is>
      </c>
      <c r="H36" s="2" t="inlineStr">
        <is>
          <t>Symbicort turbuhaler</t>
        </is>
      </c>
      <c r="I36" s="8" t="inlineStr">
        <is>
          <t>4</t>
        </is>
      </c>
      <c r="J36" s="2" t="inlineStr">
        <is>
          <t>✅ คำตอบที่ถูกต้อง: ข้อ ง. Inhaled salmeterol MDI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salmeterol MDI ตามแนวทาง GINA เมื่อผู้ป่วยใช้ยาควบคุมอาการ (controller) ขนาดต่ำแล้วยังควบคุมอาการไม่ได้ (Step 2 to Step 3) ทางเลือกที่แนะนำและมี efficacy สูงคือการเพิ่มยา Long-acting beta2 agonist (LABA) ร่วมกับ Inhaled corticosteroid (ICS) เช่น Symbicort (budesonide/formoterol) หรือการใช้ ICS ขนาดปานกลาง
 เป็น LABA ที่มี onset ช้า (10-20 นาที) จึงใช้เป็น maintenance bronchodilator เท่านั้น ห้ามใช้เป็น reliever เด็ดขาด
🔍 ข้ออื่นผิดเพราะอะไร:
• ข้อ ก. (Inhaled ipratropium MDI): เป็น SAMA ออกฤทธิ์ยับยั้ง cholinergic tone มักใช้ร่วมกับ SABA ใน acute moderate-to-severe asthma/COPD exacerbation
• ข้อ ข. (Inhaled cromolin MDI): ข้อนี้ไม่ใช่คำตอบที่ถูกต้องสำหรับภาวะ Asthma เนื่องจากกลไกการออกฤทธิ์, efficacy หรือข้อบ่งใช้ไม่ตรงกับโจทย์ที่กำหนด
• ข้อ ค. (Oral glucocorticosteroid): ข้อนี้ไม่ใช่คำตอบที่ถูกต้องสำหรับภาวะ Asthma เนื่องจากกลไกการออกฤทธิ์, efficacy หรือข้อบ่งใช้ไม่ตรงกับโจทย์ที่กำหนด
• ข้อ จ. (Symbicort turbuhaler):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6" s="2" t="n"/>
      <c r="L36" s="2" t="inlineStr">
        <is>
          <t>Asthma</t>
        </is>
      </c>
      <c r="M36" s="2" t="inlineStr">
        <is>
          <t>Clinic</t>
        </is>
      </c>
      <c r="N36" s="2" t="inlineStr">
        <is>
          <t>ข้อ 33 Pharma Plus เล่มม่วง (เฉลยข้อ ง)</t>
        </is>
      </c>
      <c r="O36" s="2" t="inlineStr">
        <is>
          <t>Mock</t>
        </is>
      </c>
      <c r="P36" s="2" t="inlineStr">
        <is>
          <t>Pharma Plus เล่มม่วง</t>
        </is>
      </c>
    </row>
    <row r="37" ht="13.2" customHeight="1" s="37">
      <c r="A37" s="8" t="inlineStr">
        <is>
          <t>34</t>
        </is>
      </c>
      <c r="B37" s="2" t="inlineStr">
        <is>
          <t>เกี่ยวกับยา theophylline ข้อใดไม่ถูกต้อง</t>
        </is>
      </c>
      <c r="C37" s="2" t="n"/>
      <c r="D37" s="2" t="inlineStr">
        <is>
          <t>มีฤทธิ์ขยายหลอดลมและยังแก้อักเสบได้ด้วย</t>
        </is>
      </c>
      <c r="E37" s="2" t="inlineStr">
        <is>
          <t>มีช่วงการรักษาที่แคบ (therapeutic range = 5-20 mg/L)</t>
        </is>
      </c>
      <c r="F37" s="2" t="inlineStr">
        <is>
          <t>อาการไม่พึงประสงค์ที่พบได้คือ ไม่สบายท้อง คลื่นไส้ อาเจียน และอาจเกิด arrhythmia ได้</t>
        </is>
      </c>
      <c r="G37" s="2" t="inlineStr">
        <is>
          <t>ระดับยา theophylline อาจเพิ่มสูงได้หากใช้ร่วมกับยากันชักพวก phenytoin, phenobarbital, carbamazepine</t>
        </is>
      </c>
      <c r="H37" s="2" t="inlineStr">
        <is>
          <t>Oral contraceptive สามารถเพิ่ม level ของยา Theophylline ในเลือดได้</t>
        </is>
      </c>
      <c r="I37" s="8" t="inlineStr">
        <is>
          <t>4</t>
        </is>
      </c>
      <c r="J37" s="2" t="inlineStr">
        <is>
          <t>✅ คำตอบที่ถูกต้อง: ข้อ ง. ระดับยา theophylline อาจเพิ่มสูงได้หากใช้ร่วมกับยากันชักพวก phenytoin, phenobarbital, carbamazepine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ระดับยา theophylline อาจเพิ่มสูงได้หากใช้ร่วมกับยากันชักพวก phenytoin, phenobarbital, carbamazepine ยากันชักกลุ่ม enzyme inducers ได้แก่ phenytoin, phenobarbital, carbamazepine รวมถึง rifampin และการสูบบุหรี่ จะช่วยเพิ่มการเผาผลาญ (induce CYP1A2) ของ theophylline ทำให้ระดับยาในเลือดลดลง ไม่ใช่เพิ่มขึ้น ส่วนยาคุมกำเนิด (oral contraceptives) จะยับยั้งการเผาผลาญทำให้ระดับยา theophylline สูงขึ้นได้
🔍 ข้ออื่นผิดเพราะอะไร:
• ข้อ ก. (มีฤทธิ์ขยายหลอดลมและยังแก้อักเสบได้ด้วย): ข้อนี้ไม่ใช่คำตอบที่ถูกต้องสำหรับภาวะ Asthma เนื่องจากกลไกการออกฤทธิ์, efficacy หรือข้อบ่งใช้ไม่ตรงกับโจทย์ที่กำหนด
• ข้อ ข. (มีช่วงการรักษาที่แคบ (therapeutic range = 5-20 mg/L)): ข้อนี้ไม่ใช่คำตอบที่ถูกต้องสำหรับภาวะ Asthma เนื่องจากกลไกการออกฤทธิ์, efficacy หรือข้อบ่งใช้ไม่ตรงกับโจทย์ที่กำหนด
• ข้อ ค. (อาการไม่พึงประสงค์ที่พบได้คือ ไม่สบายท้อง คลื่นไส้ อาเจียน และอาจเกิด arrhythmia ได้): ข้อนี้ไม่ใช่คำตอบที่ถูกต้องสำหรับภาวะ Asthma เนื่องจากกลไกการออกฤทธิ์, efficacy หรือข้อบ่งใช้ไม่ตรงกับโจทย์ที่กำหนด
• ข้อ จ. (Oral contraceptive สามารถเพิ่ม level ของยา Theophylline ในเลือดได้):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7" s="2" t="n"/>
      <c r="L37" s="2" t="inlineStr">
        <is>
          <t>Asthma</t>
        </is>
      </c>
      <c r="M37" s="2" t="inlineStr">
        <is>
          <t>Clinic</t>
        </is>
      </c>
      <c r="N37" s="2" t="inlineStr">
        <is>
          <t>ข้อ 34 Pharma Plus เล่มม่วง (เฉลยข้อ ง)</t>
        </is>
      </c>
      <c r="O37" s="2" t="inlineStr">
        <is>
          <t>Mock</t>
        </is>
      </c>
      <c r="P37" s="2" t="inlineStr">
        <is>
          <t>Pharma Plus เล่มม่วง</t>
        </is>
      </c>
    </row>
    <row r="38" ht="13.2" customHeight="1" s="37">
      <c r="A38" s="8" t="inlineStr">
        <is>
          <t>35</t>
        </is>
      </c>
      <c r="B38" s="2" t="inlineStr">
        <is>
          <t>ยาเหล่านี้มีข้อบ่งใช้สำหรับควบคุมอาการของโรคหอบหืด ยกเว้น</t>
        </is>
      </c>
      <c r="C38" s="2" t="n"/>
      <c r="D38" s="2" t="inlineStr">
        <is>
          <t>Systemic glucocorticosteroid</t>
        </is>
      </c>
      <c r="E38" s="2" t="inlineStr">
        <is>
          <t>Long acting anticholinergics</t>
        </is>
      </c>
      <c r="F38" s="2" t="inlineStr">
        <is>
          <t>Methyl xanthine</t>
        </is>
      </c>
      <c r="G38" s="2" t="inlineStr">
        <is>
          <t>Long acting inhaled beta2 agonist</t>
        </is>
      </c>
      <c r="H38" s="2" t="inlineStr">
        <is>
          <t>Short acting beta2 agonist</t>
        </is>
      </c>
      <c r="I38" s="8" t="inlineStr">
        <is>
          <t>5</t>
        </is>
      </c>
      <c r="J38" s="2" t="inlineStr">
        <is>
          <t>✅ คำตอบที่ถูกต้อง: ข้อ จ. Short acting beta2 agonist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Short acting beta2 agonist (SABA) เช่น salbutamol เป็นยาบรรเทาอาการ (reliever medication) ใช้ตัดเฉียบพลันเมื่อมีอาการหอบ ไม่จัดเป็นยาควบคุมอาการระยะยาว (controller medication) เหมือนกลุ่มอื่นๆ ในตัวเลือกที่ใช้สำหรับป้องกันและควบคุมอาการหอบหืด
🔍 ข้ออื่นผิดเพราะอะไร:
• ข้อ ก. (Systemic glucocorticosteroid): ข้อนี้ไม่ใช่คำตอบที่ถูกต้องสำหรับภาวะ Asthma เนื่องจากกลไกการออกฤทธิ์, efficacy หรือข้อบ่งใช้ไม่ตรงกับโจทย์ที่กำหนด
• ข้อ ข. (Long acting anticholinergics): ข้อนี้ไม่ใช่คำตอบที่ถูกต้องสำหรับภาวะ Asthma เนื่องจากกลไกการออกฤทธิ์, efficacy หรือข้อบ่งใช้ไม่ตรงกับโจทย์ที่กำหนด
• ข้อ ค. (Methyl xanthine): ข้อนี้ไม่ใช่คำตอบที่ถูกต้องสำหรับภาวะ Asthma เนื่องจากกลไกการออกฤทธิ์, efficacy หรือข้อบ่งใช้ไม่ตรงกับโจทย์ที่กำหนด
• ข้อ ง. (Long acting inhaled beta2 agonist):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8" s="2" t="n"/>
      <c r="L38" s="2" t="inlineStr">
        <is>
          <t>Asthma</t>
        </is>
      </c>
      <c r="M38" s="2" t="inlineStr">
        <is>
          <t>Clinic</t>
        </is>
      </c>
      <c r="N38" s="2" t="inlineStr">
        <is>
          <t>ข้อ 35 Pharma Plus เล่มม่วง (เฉลยข้อ จ)</t>
        </is>
      </c>
      <c r="O38" s="2" t="inlineStr">
        <is>
          <t>Mock</t>
        </is>
      </c>
      <c r="P38" s="2" t="inlineStr">
        <is>
          <t>Pharma Plus เล่มม่วง</t>
        </is>
      </c>
    </row>
    <row r="39" ht="13.2" customHeight="1" s="37">
      <c r="A39" s="8" t="inlineStr">
        <is>
          <t>36</t>
        </is>
      </c>
      <c r="B39"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ข้อใดถูกต้องเกี่ยวกับความคลาดเคลื่อนทางยา (medication errors) ที่เกิดขึ้น</t>
        </is>
      </c>
      <c r="C39" s="2" t="n"/>
      <c r="D39" s="2" t="inlineStr">
        <is>
          <t>ความคลาดเคลื่อนที่เกิดจากการไม่ระบุวิธีใช้ให้ชัดเจน</t>
        </is>
      </c>
      <c r="E39" s="2" t="inlineStr">
        <is>
          <t>ความคลาดเคลื่อนจากการจ่ายยาผิดชนิด</t>
        </is>
      </c>
      <c r="F39" s="2" t="inlineStr">
        <is>
          <t>ความคลาดเคลื่อนที่เกิดจากไม่มียาในบัญชียาของโรงพยาบาล</t>
        </is>
      </c>
      <c r="G39" s="2" t="inlineStr">
        <is>
          <t>ความคลาดเคลื่อนจากการจ่ายยาผิดความแรง</t>
        </is>
      </c>
      <c r="H39" s="2" t="inlineStr">
        <is>
          <t>ความคลาดเคลื่อนจากการจ่ายยา ผิดความแรง และผิดวิธีใช้</t>
        </is>
      </c>
      <c r="I39" s="8" t="inlineStr">
        <is>
          <t>2</t>
        </is>
      </c>
      <c r="J39" s="2" t="inlineStr">
        <is>
          <t>✅ คำตอบที่ถูกต้อง: ข้อ ข. ความคลาดเคลื่อนจากการจ่ายยาผิดชนิด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ความคลาดเคลื่อนจากการจ่ายยาผิดชนิด ใบสั่งยาแพทย์ระบุ Salmeterol แต่ผู้ป่วยได้รับยากลับบ้านเป็น Salbutamol ซึ่งเป็นตัวยาคนละชนิดกัน ถือเป็น Medication error ประเภทจ่ายยาผิดชนิด (Wrong drug)
🔍 ข้ออื่นผิดเพราะอะไร:
• ข้อ ก. (ความคลาดเคลื่อนที่เกิดจากการไม่ระบุวิธีใช้ให้ชัดเจน): ข้อนี้ไม่ใช่คำตอบที่ถูกต้องสำหรับภาวะ Asthma เนื่องจากกลไกการออกฤทธิ์, efficacy หรือข้อบ่งใช้ไม่ตรงกับโจทย์ที่กำหนด
• ข้อ ค. (ความคลาดเคลื่อนที่เกิดจากไม่มียาในบัญชียาของโรงพยาบาล): ข้อนี้ไม่ใช่คำตอบที่ถูกต้องสำหรับภาวะ Asthma เนื่องจากกลไกการออกฤทธิ์, efficacy หรือข้อบ่งใช้ไม่ตรงกับโจทย์ที่กำหนด
• ข้อ ง. (ความคลาดเคลื่อนจากการจ่ายยาผิดความแรง): ข้อนี้ไม่ใช่คำตอบที่ถูกต้องสำหรับภาวะ Asthma เนื่องจากกลไกการออกฤทธิ์, efficacy หรือข้อบ่งใช้ไม่ตรงกับโจทย์ที่กำหนด
• ข้อ จ. (ความคลาดเคลื่อนจากการจ่ายยา ผิดความแรง และผิดวิธีใช้):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39" s="2" t="n"/>
      <c r="L39" s="2" t="inlineStr">
        <is>
          <t>Asthma</t>
        </is>
      </c>
      <c r="M39" s="2" t="inlineStr">
        <is>
          <t>Clinic</t>
        </is>
      </c>
      <c r="N39" s="2" t="inlineStr">
        <is>
          <t>ข้อ 36 Pharma Plus เล่มม่วง (เฉลยข้อ ข)</t>
        </is>
      </c>
      <c r="O39" s="2" t="inlineStr">
        <is>
          <t>Mock</t>
        </is>
      </c>
      <c r="P39" s="2" t="inlineStr">
        <is>
          <t>Pharma Plus เล่มม่วง</t>
        </is>
      </c>
    </row>
    <row r="40" ht="13.2" customHeight="1" s="37">
      <c r="A40" s="8" t="inlineStr">
        <is>
          <t>37</t>
        </is>
      </c>
      <c r="B40"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สิ่งที่ท่านควรบอกผู้ป่วยเกี่ยวกับการใช้ยา ipratropium inhaler คือข้อใด</t>
        </is>
      </c>
      <c r="C40" s="2" t="n"/>
      <c r="D40" s="2" t="inlineStr">
        <is>
          <t>ให้พ่นยาเข้าทางจมูก</t>
        </is>
      </c>
      <c r="E40" s="2" t="inlineStr">
        <is>
          <t>ยานี้เหมาะสำหรับรักษาอาการเฉียบพลัน</t>
        </is>
      </c>
      <c r="F40" s="2" t="inlineStr">
        <is>
          <t>หลังจากพ่นครั้งแรก ต้องรออย่างน้อย 10 นาที ก่อนที่จะพ่นครั้งที่สอง</t>
        </is>
      </c>
      <c r="G40" s="2" t="inlineStr">
        <is>
          <t>เนื่องจากยา-1 ขวด สามารถพ่นได้ 200 ครั้ง จึงสามารถใช้ยานี้ได้นานประมาณ 25 วัน</t>
        </is>
      </c>
      <c r="H40" s="2" t="inlineStr">
        <is>
          <t>ยานี้เป็นยารักษาอาการอักเสบของหลอดลม จึงควรใช้เป็นประจำติดต่อกัน</t>
        </is>
      </c>
      <c r="I40" s="8" t="inlineStr">
        <is>
          <t>4</t>
        </is>
      </c>
      <c r="J40" s="2" t="inlineStr">
        <is>
          <t>✅ คำตอบที่ถูกต้อง: ข้อ ง. เนื่องจากยา-1 ขวด สามารถพ่นได้ 200 ครั้ง จึงสามารถใช้ยานี้ได้นานประมาณ 25 วัน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เนื่องจากยา-1 ขวด สามารถพ่นได้ 200 ครั้ง จึงสามารถใช้ยานี้ได้นานประมาณ 25 วัน Ipratropium MDI ขนาดบรรจุทั่วไป 200 ครั้ง/ขวด ขนาดใช้วันละ 4 ครั้ง ครั้งละ 2 พัฟฟ์ (รวม 8 พัฟฟ์/วัน) จะใช้ได้ประมาณ 25 วัน (200/8 = 25) และการพ่นซ้ำควรรอห่างกันประมาณ 1 นาที ไม่ใช่ 10 นาที
🔍 ข้ออื่นผิดเพราะอะไร:
• ข้อ ก. (ให้พ่นยาเข้าทางจมูก): ข้อนี้ไม่ใช่คำตอบที่ถูกต้องสำหรับภาวะ Asthma เนื่องจากกลไกการออกฤทธิ์, efficacy หรือข้อบ่งใช้ไม่ตรงกับโจทย์ที่กำหนด
• ข้อ ข. (ยานี้เหมาะสำหรับรักษาอาการเฉียบพลัน): ข้อนี้ไม่ใช่คำตอบที่ถูกต้องสำหรับภาวะ Asthma เนื่องจากกลไกการออกฤทธิ์, efficacy หรือข้อบ่งใช้ไม่ตรงกับโจทย์ที่กำหนด
• ข้อ ค. (หลังจากพ่นครั้งแรก ต้องรออย่างน้อย 10 นาที ก่อนที่จะพ่นครั้งที่สอง): ข้อนี้ไม่ใช่คำตอบที่ถูกต้องสำหรับภาวะ Asthma เนื่องจากกลไกการออกฤทธิ์, efficacy หรือข้อบ่งใช้ไม่ตรงกับโจทย์ที่กำหนด
• ข้อ จ. (ยานี้เป็นยารักษาอาการอักเสบของหลอดลม จึงควรใช้เป็นประจำติดต่อกัน):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0" s="2" t="n"/>
      <c r="L40" s="2" t="inlineStr">
        <is>
          <t>Asthma</t>
        </is>
      </c>
      <c r="M40" s="2" t="inlineStr">
        <is>
          <t>Clinic</t>
        </is>
      </c>
      <c r="N40" s="2" t="inlineStr">
        <is>
          <t>ข้อ 37 Pharma Plus เล่มม่วง (เฉลยข้อ ง)</t>
        </is>
      </c>
      <c r="O40" s="2" t="inlineStr">
        <is>
          <t>Mock</t>
        </is>
      </c>
      <c r="P40" s="2" t="inlineStr">
        <is>
          <t>Pharma Plus เล่มม่วง</t>
        </is>
      </c>
    </row>
    <row r="41" ht="13.2" customHeight="1" s="37">
      <c r="A41" s="8" t="inlineStr">
        <is>
          <t>38</t>
        </is>
      </c>
      <c r="B41"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การกลั้วคอหลังพ่นยา salmeterol inhaler จะช่วยลดความเสี่ยงของการเกิดอาการข้างเคียงได้หลายประการ ยกเว้น</t>
        </is>
      </c>
      <c r="C41" s="2" t="n"/>
      <c r="D41" s="2" t="inlineStr">
        <is>
          <t>ป้องกันเชื้อราในช่องปาก</t>
        </is>
      </c>
      <c r="E41" s="2" t="inlineStr">
        <is>
          <t>ลดความเสี่ยงของการเกิดเสียงแหบแห้ง</t>
        </is>
      </c>
      <c r="F41" s="2" t="inlineStr">
        <is>
          <t>ลดโอกาสการเกิดความดันในลูกตาสูง</t>
        </is>
      </c>
      <c r="G41" s="2" t="inlineStr">
        <is>
          <t>ลดโอกาสการเกิดหัวใจเต้นเร็ว</t>
        </is>
      </c>
      <c r="H41" s="2" t="inlineStr">
        <is>
          <t>ลดโอกาสการเกิดอาการมือสั่น</t>
        </is>
      </c>
      <c r="I41" s="8" t="inlineStr">
        <is>
          <t>1</t>
        </is>
      </c>
      <c r="J41" s="2" t="inlineStr">
        <is>
          <t>✅ คำตอบที่ถูกต้อง: ข้อ ก. ป้องกันเชื้อราในช่องปาก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ป้องกันเชื้อราในช่องปาก การกลั้วคอและบ้วนน้ำทิ้งหลังพ่นยา (โดยเฉพาะกลุ่ม Corticosteroid) ช่วยลดการเกิด oral candidiasis และเสียงแหบ แต่สำหรับ LABA/SABA อาการข้างเคียงเช่นหัวใจเต้นเร็วหรือมือสั่นเกิดจากการดูดซึมเข้าสู่กระแสเลือด การกลั้วคอไม่ได้ช่วยลดผลข้างเคียงนี้โดยตรง
🔍 ข้ออื่นผิดเพราะอะไร:
• ข้อ ข. (ลดความเสี่ยงของการเกิดเสียงแหบแห้ง): ข้อนี้ไม่ใช่คำตอบที่ถูกต้องสำหรับภาวะ Asthma เนื่องจากกลไกการออกฤทธิ์, efficacy หรือข้อบ่งใช้ไม่ตรงกับโจทย์ที่กำหนด
• ข้อ ค. (ลดโอกาสการเกิดความดันในลูกตาสูง): ข้อนี้ไม่ใช่คำตอบที่ถูกต้องสำหรับภาวะ Asthma เนื่องจากกลไกการออกฤทธิ์, efficacy หรือข้อบ่งใช้ไม่ตรงกับโจทย์ที่กำหนด
• ข้อ ง. (ลดโอกาสการเกิดหัวใจเต้นเร็ว): ข้อนี้ไม่ใช่คำตอบที่ถูกต้องสำหรับภาวะ Asthma เนื่องจากกลไกการออกฤทธิ์, efficacy หรือข้อบ่งใช้ไม่ตรงกับโจทย์ที่กำหนด
• ข้อ จ. (ลดโอกาสการเกิดอาการมือสั่น):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1" s="2" t="n"/>
      <c r="L41" s="2" t="inlineStr">
        <is>
          <t>Asthma</t>
        </is>
      </c>
      <c r="M41" s="2" t="inlineStr">
        <is>
          <t>Clinic</t>
        </is>
      </c>
      <c r="N41" s="2" t="inlineStr">
        <is>
          <t>ข้อ 38 Pharma Plus เล่มม่วง (เฉลยข้อ ก ค ง จ)</t>
        </is>
      </c>
      <c r="O41" s="2" t="inlineStr">
        <is>
          <t>Mock</t>
        </is>
      </c>
      <c r="P41" s="2" t="inlineStr">
        <is>
          <t>Pharma Plus เล่มม่วง</t>
        </is>
      </c>
    </row>
    <row r="42" ht="13.2" customHeight="1" s="37">
      <c r="A42" s="8" t="inlineStr">
        <is>
          <t>39</t>
        </is>
      </c>
      <c r="B42"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ผู้ป่วยสงสัยว่าการรักษาโรคถุงลมโป่งพองที่เหมาะสมเป็นอย่างไร</t>
        </is>
      </c>
      <c r="C42" s="2" t="n"/>
      <c r="D42" s="2" t="inlineStr">
        <is>
          <t>ควรเริ่มการรักษาด้วยยาสเตียรอยด์ชนิดพ่น</t>
        </is>
      </c>
      <c r="E42" s="2" t="inlineStr">
        <is>
          <t>ควรเริ่มการรักษาด้วยยาขยายหลอดลมชนิด beta-agonist</t>
        </is>
      </c>
      <c r="F42" s="2" t="inlineStr">
        <is>
          <t>ควรเริ่มการรักษาด้วยยาขยายหลอดลมชนิด anticholinergic</t>
        </is>
      </c>
      <c r="G42" s="2" t="inlineStr">
        <is>
          <t>ผู้ป่วยทุกรายควรได้รับยาสเตียรอยด์ชนิดพ่น สำหรับควบคุมอาการ</t>
        </is>
      </c>
      <c r="H42" s="2" t="inlineStr">
        <is>
          <t>ผู้ป่วยทุกคนต้องได้รับยาสเตียรอยด์ชนิดกิน</t>
        </is>
      </c>
      <c r="I42" s="8" t="inlineStr">
        <is>
          <t>1</t>
        </is>
      </c>
      <c r="J42" s="2" t="inlineStr">
        <is>
          <t>✅ คำตอบที่ถูกต้อง: ข้อ ก. ควรเริ่มการรักษาด้วยยาสเตียรอยด์ชนิดพ่น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ควรเริ่มการรักษาด้วยยาสเตียรอยด์ชนิดพ่น ตามแนวทาง GOLD guideline สำหรับการรักษา COPD (Chronic Obstructive Pulmonary Disease) ยาหลักในการรักษาคือ Bronchodilators (เช่น LAMA หรือ LABA) โดย LAMA (anticholinergic) หรือ LABA เป็นยาเริ่มต้นที่แนะนำ
🔍 ข้ออื่นผิดเพราะอะไร:
• ข้อ ข. (ควรเริ่มการรักษาด้วยยาขยายหลอดลมชนิด beta-agonist): ข้อนี้ไม่ใช่คำตอบที่ถูกต้องสำหรับภาวะ Asthma เนื่องจากกลไกการออกฤทธิ์, efficacy หรือข้อบ่งใช้ไม่ตรงกับโจทย์ที่กำหนด
• ข้อ ค. (ควรเริ่มการรักษาด้วยยาขยายหลอดลมชนิด anticholinergic): ข้อนี้ไม่ใช่คำตอบที่ถูกต้องสำหรับภาวะ Asthma เนื่องจากกลไกการออกฤทธิ์, efficacy หรือข้อบ่งใช้ไม่ตรงกับโจทย์ที่กำหนด
• ข้อ ง. (ผู้ป่วยทุกรายควรได้รับยาสเตียรอยด์ชนิดพ่น สำหรับควบคุมอาการ): ข้อนี้ไม่ใช่คำตอบที่ถูกต้องสำหรับภาวะ Asthma เนื่องจากกลไกการออกฤทธิ์, efficacy หรือข้อบ่งใช้ไม่ตรงกับโจทย์ที่กำหนด
• ข้อ จ. (ผู้ป่วยทุกคนต้องได้รับยาสเตียรอยด์ชนิดกิน):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2" s="2" t="n"/>
      <c r="L42" s="2" t="inlineStr">
        <is>
          <t>Asthma</t>
        </is>
      </c>
      <c r="M42" s="2" t="inlineStr">
        <is>
          <t>Clinic</t>
        </is>
      </c>
      <c r="N42" s="2" t="inlineStr">
        <is>
          <t>ข้อ 39 Pharma Plus เล่มม่วง (เฉลยข้อ )</t>
        </is>
      </c>
      <c r="O42" s="2" t="inlineStr">
        <is>
          <t>Mock</t>
        </is>
      </c>
      <c r="P42" s="2" t="inlineStr">
        <is>
          <t>Pharma Plus เล่มม่วง</t>
        </is>
      </c>
    </row>
    <row r="43" ht="13.2" customHeight="1" s="37">
      <c r="A43" s="8" t="inlineStr">
        <is>
          <t>40</t>
        </is>
      </c>
      <c r="B43" s="2" t="inlineStr">
        <is>
          <t>ข้อใดกล่าวผิดเกี่ยวกับ salmeterol</t>
        </is>
      </c>
      <c r="C43" s="2" t="n"/>
      <c r="D43" s="2" t="inlineStr">
        <is>
          <t>Salmeterol มีข้อบ่งใช้ในการจับหืดที่เกิดขึ้นเฉียบพลัน</t>
        </is>
      </c>
      <c r="E43" s="2" t="inlineStr">
        <is>
          <t>กลไกการออกฤทธิ์คือกระตุ้นเอนไซม์ adenylate cyclase</t>
        </is>
      </c>
      <c r="F43" s="2" t="inlineStr">
        <is>
          <t>สามารถใช้กับผู้ป่วยที่มีอาการ nocturnal asthma มากกว่า 1 ครั้ง/สัปดาห์</t>
        </is>
      </c>
      <c r="G43" s="2" t="inlineStr">
        <is>
          <t>การใช้ยานี้นาน ๆ ทำให้การตอบสนองต่อยาลดลง (tachyphylaxis)</t>
        </is>
      </c>
      <c r="H43" s="2" t="inlineStr">
        <is>
          <t>หากไม่มี salmeterol สามารถใช้ albuterol แทนได้</t>
        </is>
      </c>
      <c r="I43" s="8" t="inlineStr">
        <is>
          <t>1</t>
        </is>
      </c>
      <c r="J43" s="2" t="inlineStr">
        <is>
          <t>✅ คำตอบที่ถูกต้อง: ข้อ ก. Salmeterol มีข้อบ่งใช้ในการจับหืดที่เกิดขึ้นเฉียบพลัน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Salmeterol มีข้อบ่งใช้ในการจับหืดที่เกิดขึ้นเฉียบพลัน Salmeterol เป็น Long-acting beta-2 agonist (LABA) ซึ่งมี onset ช้า จึงไม่มีข้อบ่งใช้ในการรักษาอาการหืดกำเริบเฉียบพลัน (Rescue) ต้องใช้เป็นยาควบคุมอาการระยะยาว (Controller) เท่านั้น
🔍 ข้ออื่นผิดเพราะอะไร:
• ข้อ ข. (กลไกการออกฤทธิ์คือกระตุ้นเอนไซม์ adenylate cyclase): ข้อนี้ไม่ใช่คำตอบที่ถูกต้องสำหรับภาวะ Asthma เนื่องจากกลไกการออกฤทธิ์, efficacy หรือข้อบ่งใช้ไม่ตรงกับโจทย์ที่กำหนด
• ข้อ ค. (สามารถใช้กับผู้ป่วยที่มีอาการ nocturnal asthma มากกว่า 1 ครั้ง/สัปดาห์): ข้อนี้ไม่ใช่คำตอบที่ถูกต้องสำหรับภาวะ Asthma เนื่องจากกลไกการออกฤทธิ์, efficacy หรือข้อบ่งใช้ไม่ตรงกับโจทย์ที่กำหนด
• ข้อ ง. (การใช้ยานี้นาน ๆ ทำให้การตอบสนองต่อยาลดลง (tachyphylaxis)): ข้อนี้ไม่ใช่คำตอบที่ถูกต้องสำหรับภาวะ Asthma เนื่องจากกลไกการออกฤทธิ์, efficacy หรือข้อบ่งใช้ไม่ตรงกับโจทย์ที่กำหนด
• ข้อ จ. (หากไม่มี salmeterol สามารถใช้ albuterol แทนได้): เป็น LABA ที่มี onset ช้า (10-20 นาที) จึงใช้เป็น maintenance bronchodilator เท่านั้น ห้ามใช้เป็น reliever เด็ดขาด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3" s="2" t="n"/>
      <c r="L43" s="2" t="inlineStr">
        <is>
          <t>Asthma</t>
        </is>
      </c>
      <c r="M43" s="2" t="inlineStr">
        <is>
          <t>Clinic</t>
        </is>
      </c>
      <c r="N43" s="2" t="inlineStr">
        <is>
          <t>ข้อ 40 Pharma Plus เล่มม่วง (เฉลยข้อ ก ง จ)</t>
        </is>
      </c>
      <c r="O43" s="2" t="inlineStr">
        <is>
          <t>Mock</t>
        </is>
      </c>
      <c r="P43" s="2" t="inlineStr">
        <is>
          <t>Pharma Plus เล่มม่วง</t>
        </is>
      </c>
    </row>
    <row r="44" ht="13.2" customHeight="1" s="37">
      <c r="A44" s="8" t="inlineStr">
        <is>
          <t>41</t>
        </is>
      </c>
      <c r="B44" s="2" t="inlineStr">
        <is>
          <t>ข้อใดคือกลไกการออกฤทธิ์ของ ipratropium MDI</t>
        </is>
      </c>
      <c r="C44" s="2" t="n"/>
      <c r="D44" s="2" t="inlineStr">
        <is>
          <t>Selective beta2 - adrenergic receptor agonist</t>
        </is>
      </c>
      <c r="E44" s="2" t="inlineStr">
        <is>
          <t>Phosphodiesterase enzyme inhibitor</t>
        </is>
      </c>
      <c r="F44" s="2" t="inlineStr">
        <is>
          <t>Muscarinic cholinergic receptor antagonist</t>
        </is>
      </c>
      <c r="G44" s="2" t="inlineStr">
        <is>
          <t>Immunosuppressive agent</t>
        </is>
      </c>
      <c r="H44" s="2" t="inlineStr">
        <is>
          <t>Lipoxygenase enzyme inhibitor</t>
        </is>
      </c>
      <c r="I44" s="8" t="inlineStr">
        <is>
          <t>3</t>
        </is>
      </c>
      <c r="J44" s="2" t="inlineStr">
        <is>
          <t>✅ คำตอบที่ถูกต้อง: ข้อ ค. Muscarinic cholinergic receptor antagonist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Muscarinic cholinergic receptor antagonist Ipratropium เป็นยาในกลุ่ม Short-acting muscarinic antagonist (SAMA) หรือ anticholinergic agent ซึ่งออกฤทธิ์บล็อก muscarinic receptors (M3) ที่ทางเดินหายใจ ทำให้เกิดการขยายหลอดลมและลดการหลั่งเสมหะ
🔍 ข้ออื่นผิดเพราะอะไร:
• ข้อ ก. (Selective beta2 - adrenergic receptor agonist): ข้อนี้ไม่ใช่คำตอบที่ถูกต้องสำหรับภาวะ COPD เนื่องจากกลไกการออกฤทธิ์, efficacy หรือข้อบ่งใช้ไม่ตรงกับโจทย์ที่กำหนด
• ข้อ ข. (Phosphodiesterase enzyme inhibitor): ข้อนี้ไม่ใช่คำตอบที่ถูกต้องสำหรับภาวะ COPD เนื่องจากกลไกการออกฤทธิ์, efficacy หรือข้อบ่งใช้ไม่ตรงกับโจทย์ที่กำหนด
• ข้อ ง. (Immunosuppressive agent): ข้อนี้ไม่ใช่คำตอบที่ถูกต้องสำหรับภาวะ COPD เนื่องจากกลไกการออกฤทธิ์, efficacy หรือข้อบ่งใช้ไม่ตรงกับโจทย์ที่กำหนด
• ข้อ จ. (Lipoxygenase enzyme inhibitor):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44" s="2" t="n"/>
      <c r="L44" s="2" t="inlineStr">
        <is>
          <t>COPD</t>
        </is>
      </c>
      <c r="M44" s="2" t="inlineStr">
        <is>
          <t>Clinic</t>
        </is>
      </c>
      <c r="N44" s="2" t="inlineStr">
        <is>
          <t>ข้อ 41 Pharma Plus เล่มม่วง (เฉลยข้อ ค)</t>
        </is>
      </c>
      <c r="O44" s="2" t="inlineStr">
        <is>
          <t>Mock</t>
        </is>
      </c>
      <c r="P44" s="2" t="inlineStr">
        <is>
          <t>Pharma Plus เล่มม่วง</t>
        </is>
      </c>
    </row>
    <row r="45" ht="13.2" customHeight="1" s="37">
      <c r="A45" s="8" t="inlineStr">
        <is>
          <t>42</t>
        </is>
      </c>
      <c r="B45" s="2" t="inlineStr">
        <is>
          <t>ชายอายุ 20 ปี มาพบแพทย์ด้วยอาการหวัดมีน้ำมูกใส คัดจมูก คันจมูก จาม ซึ่งเป็นมาประมาณ 5 วัน
จากอาการดังกล่าว อยากทราบว่าผู้ป่วยรายนี้ก็น่าจะเป็นโรคอะไร</t>
        </is>
      </c>
      <c r="C45" s="2" t="n"/>
      <c r="D45" s="2" t="inlineStr">
        <is>
          <t>Sinusitis</t>
        </is>
      </c>
      <c r="E45" s="2" t="inlineStr">
        <is>
          <t>Allergic rhinitis</t>
        </is>
      </c>
      <c r="F45" s="2" t="inlineStr">
        <is>
          <t>Cystitis</t>
        </is>
      </c>
      <c r="G45" s="2" t="inlineStr">
        <is>
          <t>Common cold</t>
        </is>
      </c>
      <c r="H45" s="2" t="inlineStr">
        <is>
          <t>Bronchitis</t>
        </is>
      </c>
      <c r="I45" s="8" t="inlineStr">
        <is>
          <t>2</t>
        </is>
      </c>
      <c r="J45" s="2" t="inlineStr">
        <is>
          <t>✅ คำตอบที่ถูกต้อง: ข้อ ข. Allergic rhinitis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Allergic rhinitis อาการคันจมูก จาม และน้ำมูกใสที่เป็นเรื้อรังหรือเป็นๆ หายๆ นานถึง 5 วัน โดยไม่มีไข้หรืออาการปวดเมื่อยตามตัวเด่นชัด บ่งบอกถึงโรคภูมิแพ้จมูก (Allergic rhinitis) มากกว่าไข้หวัดธรรมดา (Common cold) ที่มักหายได้เองภายใน 3-7 วันและมักมีอาการเจ็บคอหรือไข้ร่วมด้วยในระยะแรก
🔍 ข้ออื่นผิดเพราะอะไร:
• ข้อ ก. (Sinusitis): ข้อนี้ไม่ใช่คำตอบที่ถูกต้องสำหรับภาวะ Asthma เนื่องจากกลไกการออกฤทธิ์, efficacy หรือข้อบ่งใช้ไม่ตรงกับโจทย์ที่กำหนด
• ข้อ ค. (Cystitis): ข้อนี้ไม่ใช่คำตอบที่ถูกต้องสำหรับภาวะ Asthma เนื่องจากกลไกการออกฤทธิ์, efficacy หรือข้อบ่งใช้ไม่ตรงกับโจทย์ที่กำหนด
• ข้อ ง. (Common cold): ข้อนี้ไม่ใช่คำตอบที่ถูกต้องสำหรับภาวะ Asthma เนื่องจากกลไกการออกฤทธิ์, efficacy หรือข้อบ่งใช้ไม่ตรงกับโจทย์ที่กำหนด
• ข้อ จ. (Bronchitis):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5" s="2" t="n"/>
      <c r="L45" s="2" t="inlineStr">
        <is>
          <t>Asthma</t>
        </is>
      </c>
      <c r="M45" s="2" t="inlineStr">
        <is>
          <t>Clinic</t>
        </is>
      </c>
      <c r="N45" s="2" t="inlineStr">
        <is>
          <t>ข้อ 42 Pharma Plus เล่มม่วง (เฉลยข้อ ข)</t>
        </is>
      </c>
      <c r="O45" s="2" t="inlineStr">
        <is>
          <t>Mock</t>
        </is>
      </c>
      <c r="P45" s="2" t="inlineStr">
        <is>
          <t>Pharma Plus เล่มม่วง</t>
        </is>
      </c>
    </row>
    <row r="46" ht="13.2" customHeight="1" s="37">
      <c r="A46" s="8" t="inlineStr">
        <is>
          <t>43</t>
        </is>
      </c>
      <c r="B46" s="2" t="inlineStr">
        <is>
          <t>หลังการตรวจวินิจฉัย แพทย์ได้สั่งจ่ายยารวม 4 รายการ เมื่อผู้ป่วยไปรับยาที่ห้องยาพบว่ารียาคือ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อยากทราบว่าทำไมยาถึงไม่มีจำหน่ายในร้านยา
ทำไมยา Pseudoephedrine จึงไม่มีจำหน่ายในร้านยาทั่วไป</t>
        </is>
      </c>
      <c r="C46" s="2" t="n"/>
      <c r="D46" s="2" t="inlineStr">
        <is>
          <t>เนื่องจากจัดเป็นยาควบคุมพิเศษ</t>
        </is>
      </c>
      <c r="E46" s="2" t="inlineStr">
        <is>
          <t>เนื่องจากจัดเป็นยาที่ลงทะเบียนแบบมีเงื่อนไขต้องติดตามการใช้ในโรงพยาบาล</t>
        </is>
      </c>
      <c r="F46" s="2" t="inlineStr">
        <is>
          <t>เนื่องจากจัดเป็นยาเสพติดให้โทษ ประเภท 2</t>
        </is>
      </c>
      <c r="G46" s="2" t="inlineStr">
        <is>
          <t>เนื่องจากจัดเป็นวัตถุออกฤทธิ์ต่อจิตประสาท</t>
        </is>
      </c>
      <c r="H46" s="2" t="inlineStr">
        <is>
          <t>เนื่องจากจัดเป็นยาอันตราย</t>
        </is>
      </c>
      <c r="I46" s="8" t="inlineStr">
        <is>
          <t>4</t>
        </is>
      </c>
      <c r="J46" s="2" t="inlineStr">
        <is>
          <t>✅ คำตอบที่ถูกต้อง: ข้อ ง. เนื่องจากจัดเป็นวัตถุออกฤทธิ์ต่อจิตประสาท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เนื่องจากจัดเป็นวัตถุออกฤทธิ์ต่อจิตประสาท ยา Pseudoephedrine ถูกยกระดับทางกฎหมายในประเทศไทยให้เป็น 'วัตถุออกฤทธิ์ต่อจิตและประสาทในประเภท 2' (ตามประกาศกระทรวงสาธารณสุข) เนื่องจากเป็นสารตั้งต้นในการผลิตยาเสพติดให้โทษ (ยาบ้า) ทำให้ร้านขายยาทั่วไปไม่สามารถมีไว้ในครอบครองหรือจำหน่ายได้ ต้องจ่ายผ่านสถานพยาบาลภายใต้การควบคุมอย่างเข้มงวดเท่านั้น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ข้อนี้ไม่ใช่คำตอบที่ถูกต้องสำหรับภาวะ Asthma เนื่องจากกลไกการออกฤทธิ์, efficacy หรือข้อบ่งใช้ไม่ตรงกับโจทย์ที่กำหนด
• ข้อ ค. (เนื่องจากจัดเป็นยาเสพติดให้โทษ ประเภท 2): ข้อนี้ไม่ใช่คำตอบที่ถูกต้องสำหรับภาวะ Asthma เนื่องจากกลไกการออกฤทธิ์, efficacy หรือข้อบ่งใช้ไม่ตรงกับโจทย์ที่กำหนด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6" s="2" t="n"/>
      <c r="L46" s="2" t="inlineStr">
        <is>
          <t>Asthma</t>
        </is>
      </c>
      <c r="M46" s="2" t="inlineStr">
        <is>
          <t>Clinic</t>
        </is>
      </c>
      <c r="N46" s="2" t="inlineStr">
        <is>
          <t>ข้อ 43 Pharma Plus เล่มม่วง (เฉลยข้อ ง)</t>
        </is>
      </c>
      <c r="O46" s="2" t="inlineStr">
        <is>
          <t>Mock</t>
        </is>
      </c>
      <c r="P46" s="2" t="inlineStr">
        <is>
          <t>Pharma Plus เล่มม่วง</t>
        </is>
      </c>
    </row>
    <row r="47" ht="13.2" customHeight="1" s="37">
      <c r="A47" s="8" t="inlineStr">
        <is>
          <t>44</t>
        </is>
      </c>
      <c r="B47" s="2" t="inlineStr">
        <is>
          <t>ในระหว่างจ่ายยา เภสัชกรได้ให้คำแนะนำแก่ผู้ป่วยเกี่ยวกับการใช้ยาว่าไม่ควรใช้ยาติดต่อกันนานเกิน 7 วัน อยากทราบว่าเพราะเหตุใด
ทำไมจึงไม่ควรใช้ยาพ่นหรือยาลดน้ำมูกกลุ่ม Sympathomimetics (เช่น Pseudoephedrine, Oxymetazoline) ติดต่อกันเกิน 7 วัน</t>
        </is>
      </c>
      <c r="C47" s="2" t="n"/>
      <c r="D47" s="2" t="inlineStr">
        <is>
          <t>เพื่อป้องกันปัญหาการดื้อยา</t>
        </is>
      </c>
      <c r="E47" s="2" t="inlineStr">
        <is>
          <t>เพื่อป้องกันการเกิด hypertension</t>
        </is>
      </c>
      <c r="F47" s="2" t="inlineStr">
        <is>
          <t>เพื่อป้องกันการเกิด hyperglycemia</t>
        </is>
      </c>
      <c r="G47" s="2" t="inlineStr">
        <is>
          <t>เพื่อป้องกันการเกิด rebound congestion</t>
        </is>
      </c>
      <c r="H47" s="2" t="inlineStr">
        <is>
          <t>เพื่อไม่ให้เกิดปัญหา insomnia</t>
        </is>
      </c>
      <c r="I47" s="8" t="inlineStr">
        <is>
          <t>4</t>
        </is>
      </c>
      <c r="J47" s="2" t="inlineStr">
        <is>
          <t>✅ คำตอบที่ถูกต้อง: ข้อ ง. เพื่อป้องกันการเกิด rebound congestion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เพื่อป้องกันการเกิด rebound congestion การใช้ยาลดน้ำมูกกลุ่ม Sympathomimetics (โดยเฉพาะยาพ่นจมูก) ติดต่อกันนานเกิน 5-7 วัน จะทำให้เกิดภาวะเยื่อบุจมูกบวมแดงซ้ำ (Rhinitis medicamentosa หรือ rebound congestion) ซึ่งทำให้ผู้ป่วยต้องใช้ยาบ่อยขึ้นและถี่ขึ้นจนเกิดการติดยา
🔍 ข้ออื่นผิดเพราะอะไร:
• ข้อ ก. (เพื่อป้องกันปัญหาการดื้อยา): ข้อนี้ไม่ใช่คำตอบที่ถูกต้องสำหรับภาวะ Asthma เนื่องจากกลไกการออกฤทธิ์, efficacy หรือข้อบ่งใช้ไม่ตรงกับโจทย์ที่กำหนด
• ข้อ ข. (เพื่อป้องกันการเกิด hypertension): ข้อนี้ไม่ใช่คำตอบที่ถูกต้องสำหรับภาวะ Asthma เนื่องจากกลไกการออกฤทธิ์, efficacy หรือข้อบ่งใช้ไม่ตรงกับโจทย์ที่กำหนด
• ข้อ ค. (เพื่อป้องกันการเกิด hyperglycemia): ข้อนี้ไม่ใช่คำตอบที่ถูกต้องสำหรับภาวะ Asthma เนื่องจากกลไกการออกฤทธิ์, efficacy หรือข้อบ่งใช้ไม่ตรงกับโจทย์ที่กำหนด
• ข้อ จ. (เพื่อไม่ให้เกิดปัญหา insomnia):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7" s="2" t="n"/>
      <c r="L47" s="2" t="inlineStr">
        <is>
          <t>Asthma</t>
        </is>
      </c>
      <c r="M47" s="2" t="inlineStr">
        <is>
          <t>Clinic</t>
        </is>
      </c>
      <c r="N47" s="2" t="inlineStr">
        <is>
          <t>ข้อ 44 Pharma Plus เล่มม่วง (เฉลยข้อ ง)</t>
        </is>
      </c>
      <c r="O47" s="2" t="inlineStr">
        <is>
          <t>Mock</t>
        </is>
      </c>
      <c r="P47" s="2" t="inlineStr">
        <is>
          <t>Pharma Plus เล่มม่วง</t>
        </is>
      </c>
    </row>
    <row r="48" ht="13.2" customHeight="1" s="37">
      <c r="A48" s="8" t="inlineStr">
        <is>
          <t>45</t>
        </is>
      </c>
      <c r="B48" s="2" t="inlineStr">
        <is>
          <t>ผู้ป่วยได้สอบถามเภสัชกรว่าสามารถใช้สมุนไพรตัวใดเพื่อลดอาการไอได้บ้าง ท่านจะแนะนำให้ใช้สมุนไพรข้อใด
สมุนไพรข้อใดที่มีข้อบ่งใช้ในการบรรเทาอาการไอและขับเสมหะตามบัญชียาหลักแห่งชาติ</t>
        </is>
      </c>
      <c r="C48" s="2" t="n"/>
      <c r="D48" s="2" t="inlineStr">
        <is>
          <t>ฟ้าทลายโจร</t>
        </is>
      </c>
      <c r="E48" s="2" t="inlineStr">
        <is>
          <t>ไพล</t>
        </is>
      </c>
      <c r="F48" s="2" t="inlineStr">
        <is>
          <t>ขิง</t>
        </is>
      </c>
      <c r="G48" s="2" t="inlineStr">
        <is>
          <t>ชุมเห็ดเทศ</t>
        </is>
      </c>
      <c r="H48" s="2" t="inlineStr">
        <is>
          <t>เสลดพังพอน</t>
        </is>
      </c>
      <c r="I48" s="8" t="inlineStr">
        <is>
          <t>3</t>
        </is>
      </c>
      <c r="J48" s="2" t="inlineStr">
        <is>
          <t>✅ คำตอบที่ถูกต้อง: ข้อ ค. ขิง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ขิง จากตัวเลือกดังกล่าว มะขามป้อมหรือฟ้าทลายโจร (ตามบริบทมักใช้ฟ้าทลายโจรแก้เจ็บคอ หรือสมุนไพรแก้ไอในบัญชียาหลักฯ เช่น มะแว้งเครือ/มะแว้งต้น ขิง) แต่ในที่นี้ตามแนวทางสมุนไพรแก้ไอเด่นๆ ตามโจทย์มักพิจารณาตามบัญชียาหลักแห่งชาติ (เช่น มะขามป้อม หรือ ฟ้าทลายโจรแก้เจ็บคอ แต่ถ้าเน้นแก้ไอขับเสมหะ มะแว้ง/เพชรหึง ในข้อนี้ข้อสอบมักเฉลยสมุนไพรที่มีฤทธิ์ขับเสมหะตามประกาศ)
🔍 ข้ออื่นผิดเพราะอะไร:
• ข้อ ก. (ฟ้าทลายโจร): ข้อนี้ไม่ใช่คำตอบที่ถูกต้องสำหรับภาวะ Asthma เนื่องจากกลไกการออกฤทธิ์, efficacy หรือข้อบ่งใช้ไม่ตรงกับโจทย์ที่กำหนด
• ข้อ ข. (ไพล): ข้อนี้ไม่ใช่คำตอบที่ถูกต้องสำหรับภาวะ Asthma เนื่องจากกลไกการออกฤทธิ์, efficacy หรือข้อบ่งใช้ไม่ตรงกับโจทย์ที่กำหนด
• ข้อ ง. (ชุมเห็ดเทศ): ข้อนี้ไม่ใช่คำตอบที่ถูกต้องสำหรับภาวะ Asthma เนื่องจากกลไกการออกฤทธิ์, efficacy หรือข้อบ่งใช้ไม่ตรงกับโจทย์ที่กำหนด
• ข้อ จ. (เสลดพังพอน):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8" s="2" t="n"/>
      <c r="L48" s="2" t="inlineStr">
        <is>
          <t>Asthma</t>
        </is>
      </c>
      <c r="M48" s="2" t="inlineStr">
        <is>
          <t>Clinic</t>
        </is>
      </c>
      <c r="N48" s="2" t="inlineStr">
        <is>
          <t>ข้อ 45 Pharma Plus เล่มม่วง (เฉลยข้อ ค)</t>
        </is>
      </c>
      <c r="O48" s="2" t="inlineStr">
        <is>
          <t>Mock</t>
        </is>
      </c>
      <c r="P48" s="2" t="inlineStr">
        <is>
          <t>Pharma Plus เล่มม่วง</t>
        </is>
      </c>
    </row>
    <row r="49" ht="13.2" customHeight="1" s="37">
      <c r="A49" s="8" t="inlineStr">
        <is>
          <t>46</t>
        </is>
      </c>
      <c r="B49" s="2" t="inlineStr">
        <is>
          <t>สมุนไพรแก้ไออื่นๆ นอกจากสมุนไพรข้อข้างต้น
สมุนไพรข้อใดที่มีสรรพคุณช่วยบรรเทาอาการไอ ขับเสมหะ</t>
        </is>
      </c>
      <c r="C49" s="2" t="n"/>
      <c r="D49" s="2" t="inlineStr">
        <is>
          <t>ข่า</t>
        </is>
      </c>
      <c r="E49" s="2" t="inlineStr">
        <is>
          <t>ตะไคร้</t>
        </is>
      </c>
      <c r="F49" s="2" t="inlineStr">
        <is>
          <t>ดีปลี</t>
        </is>
      </c>
      <c r="G49" s="2" t="inlineStr">
        <is>
          <t>กระเทียม</t>
        </is>
      </c>
      <c r="H49" s="2" t="inlineStr">
        <is>
          <t>กะเพรา</t>
        </is>
      </c>
      <c r="I49" s="8" t="inlineStr">
        <is>
          <t>3</t>
        </is>
      </c>
      <c r="J49" s="2" t="inlineStr">
        <is>
          <t>✅ คำตอบที่ถูกต้อง: ข้อ ค. ดีปลี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ดีปลี (Piper retrofractum) มีรสเผ็ดร้อน มีสรรพคุณช่วยขับเสมหะ บรรเทาอาการไอ และเป็นส่วนประกอบในตำรับยาแผนไทยหลายตำรับที่ใช้รักษาโรคระบบทางเดินหายใจ เช่น ยาประสะไพล หรือยาแก้ไอผสมดีปลี
🔍 ข้ออื่นผิดเพราะอะไร:
• ข้อ ก. (ข่า): ข้อนี้ไม่ใช่คำตอบที่ถูกต้องสำหรับภาวะ Asthma เนื่องจากกลไกการออกฤทธิ์, efficacy หรือข้อบ่งใช้ไม่ตรงกับโจทย์ที่กำหนด
• ข้อ ข. (ตะไคร้): ข้อนี้ไม่ใช่คำตอบที่ถูกต้องสำหรับภาวะ Asthma เนื่องจากกลไกการออกฤทธิ์, efficacy หรือข้อบ่งใช้ไม่ตรงกับโจทย์ที่กำหนด
• ข้อ ง. (กระเทียม): ข้อนี้ไม่ใช่คำตอบที่ถูกต้องสำหรับภาวะ Asthma เนื่องจากกลไกการออกฤทธิ์, efficacy หรือข้อบ่งใช้ไม่ตรงกับโจทย์ที่กำหนด
• ข้อ จ. (กะเพรา):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49" s="2" t="n"/>
      <c r="L49" s="2" t="inlineStr">
        <is>
          <t>Asthma</t>
        </is>
      </c>
      <c r="M49" s="2" t="inlineStr">
        <is>
          <t>Clinic</t>
        </is>
      </c>
      <c r="N49" s="2" t="inlineStr">
        <is>
          <t>ข้อ 46 Pharma Plus เล่มม่วง (เฉลยข้อ ค)</t>
        </is>
      </c>
      <c r="O49" s="2" t="inlineStr">
        <is>
          <t>Mock</t>
        </is>
      </c>
      <c r="P49" s="2" t="inlineStr">
        <is>
          <t>Pharma Plus เล่มม่วง</t>
        </is>
      </c>
    </row>
    <row r="50" ht="13.2" customHeight="1" s="37">
      <c r="A50" s="8" t="inlineStr">
        <is>
          <t>47</t>
        </is>
      </c>
      <c r="B50" s="2" t="inlineStr">
        <is>
          <t>ข้อใดไม่ใช่อาการข้างเคียงของการใช้ยา salbutamol</t>
        </is>
      </c>
      <c r="C50" s="2" t="n"/>
      <c r="D50" s="2" t="inlineStr">
        <is>
          <t>ใจสั่น</t>
        </is>
      </c>
      <c r="E50" s="2" t="inlineStr">
        <is>
          <t>ปัสสาวะคั่ง</t>
        </is>
      </c>
      <c r="F50" s="2" t="inlineStr">
        <is>
          <t>ปากแห้ง</t>
        </is>
      </c>
      <c r="G50" s="2" t="inlineStr">
        <is>
          <t>รับรสผิดปกติ</t>
        </is>
      </c>
      <c r="H50" s="2" t="inlineStr">
        <is>
          <t>ปวดศีรษะ</t>
        </is>
      </c>
      <c r="I50" s="8" t="inlineStr">
        <is>
          <t>2</t>
        </is>
      </c>
      <c r="J50" s="2" t="inlineStr">
        <is>
          <t>✅ คำตอบที่ถูกต้อง: ข้อ ข. ปัสสาวะคั่ง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ปัสสาวะคั่ง Salbutamol เป็นยา beta-2 adrenergic agonist ออกฤทธิ์กระตุ้นระบบประสาทซิมพาเทติก ทำให้เกิดอาการข้างเคียง เช่น ใจสั่น มือสั่น ปวดศีรษะ ประสาทตื่นตัว และอาจทำให้ปากแห้งได้จากผลของยาบางส่วน แต่ภาวะปัสสาวะคั่ง (urinary retention) มักเกิดจากยาที่มีฤทธิ์ anticholinergic (เช่น ipratropium) ไม่ใช่ beta-2 agonist
🔍 ข้ออื่นผิดเพราะอะไร:
• ข้อ ก. (ใจสั่น): ข้อนี้ไม่ใช่คำตอบที่ถูกต้องสำหรับภาวะ Asthma เนื่องจากกลไกการออกฤทธิ์, efficacy หรือข้อบ่งใช้ไม่ตรงกับโจทย์ที่กำหนด
• ข้อ ค. (ปากแห้ง): ข้อนี้ไม่ใช่คำตอบที่ถูกต้องสำหรับภาวะ Asthma เนื่องจากกลไกการออกฤทธิ์, efficacy หรือข้อบ่งใช้ไม่ตรงกับโจทย์ที่กำหนด
• ข้อ ง. (รับรสผิดปกติ): ข้อนี้ไม่ใช่คำตอบที่ถูกต้องสำหรับภาวะ Asthma เนื่องจากกลไกการออกฤทธิ์, efficacy หรือข้อบ่งใช้ไม่ตรงกับโจทย์ที่กำหนด
• ข้อ จ. (ปวดศีรษะ):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0" s="2" t="n"/>
      <c r="L50" s="2" t="inlineStr">
        <is>
          <t>Asthma</t>
        </is>
      </c>
      <c r="M50" s="2" t="inlineStr">
        <is>
          <t>Clinic</t>
        </is>
      </c>
      <c r="N50" s="2" t="inlineStr">
        <is>
          <t>ข้อ 47 Pharma Plus เล่มม่วง (เฉลยข้อ ข ง)</t>
        </is>
      </c>
      <c r="O50" s="2" t="inlineStr">
        <is>
          <t>Mock</t>
        </is>
      </c>
      <c r="P50" s="2" t="inlineStr">
        <is>
          <t>Pharma Plus เล่มม่วง</t>
        </is>
      </c>
    </row>
    <row r="51" ht="13.2" customHeight="1" s="37">
      <c r="A51" s="8" t="inlineStr">
        <is>
          <t>48</t>
        </is>
      </c>
      <c r="B51" s="2" t="inlineStr">
        <is>
          <t>การใช้ salbutamol ข้อใดถูกต้อง</t>
        </is>
      </c>
      <c r="C51" s="2" t="n"/>
      <c r="D51" s="2" t="inlineStr">
        <is>
          <t>ใช้ปากอมให้สนิท</t>
        </is>
      </c>
      <c r="E51" s="2" t="inlineStr">
        <is>
          <t>หายใจเข้าทางจมูก</t>
        </is>
      </c>
      <c r="F51" s="2" t="inlineStr">
        <is>
          <t>หายใจออกทันที</t>
        </is>
      </c>
      <c r="G51" s="2" t="inlineStr">
        <is>
          <t>บ้วนปากทันที</t>
        </is>
      </c>
      <c r="H51" s="2" t="inlineStr">
        <is>
          <t>ไม่ต้องเขย่าขวด</t>
        </is>
      </c>
      <c r="I51" s="8" t="inlineStr">
        <is>
          <t>1</t>
        </is>
      </c>
      <c r="J51" s="2" t="inlineStr">
        <is>
          <t>✅ คำตอบที่ถูกต้อง: ข้อ ก. ใช้ปากอมให้สนิท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ใช้ปากอมให้สนิท การใช้ยาดมชนิด MDI (Metered Dose Inhaler) เช่น Salbutamol ต้องอมปากกระบอกสูบให้สนิท (Closed-mouth technique) หายใจเข้าทางปากช้าๆ ลึกๆ กลั้นหายใจไว้ 10 วินาที และควรบ้วนปากหลังใช้ยาชนิด corticosteroid แต่สำหรับ SABA อาจไม่จำเป็นเคร่งครัดเท่า ICS แต่ข้ออื่นผิดชัดเจน (เช่น ต้องเขย่าขวดก่อนใช้เสมอ และห้ามหายใจออกทันที)
🔍 ข้ออื่นผิดเพราะอะไร:
• ข้อ ข. (หายใจเข้าทางจมูก): ข้อนี้ไม่ใช่คำตอบที่ถูกต้องสำหรับภาวะ Asthma เนื่องจากกลไกการออกฤทธิ์, efficacy หรือข้อบ่งใช้ไม่ตรงกับโจทย์ที่กำหนด
• ข้อ ค. (หายใจออกทันที): ข้อนี้ไม่ใช่คำตอบที่ถูกต้องสำหรับภาวะ Asthma เนื่องจากกลไกการออกฤทธิ์, efficacy หรือข้อบ่งใช้ไม่ตรงกับโจทย์ที่กำหนด
• ข้อ ง. (บ้วนปากทันที): ข้อนี้ไม่ใช่คำตอบที่ถูกต้องสำหรับภาวะ Asthma เนื่องจากกลไกการออกฤทธิ์, efficacy หรือข้อบ่งใช้ไม่ตรงกับโจทย์ที่กำหนด
• ข้อ จ. (ไม่ต้องเขย่าขวด):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1" s="2" t="n"/>
      <c r="L51" s="2" t="inlineStr">
        <is>
          <t>Asthma</t>
        </is>
      </c>
      <c r="M51" s="2" t="inlineStr">
        <is>
          <t>Clinic</t>
        </is>
      </c>
      <c r="N51" s="2" t="inlineStr">
        <is>
          <t>ข้อ 48 Pharma Plus เล่มม่วง (เฉลยข้อ ก)</t>
        </is>
      </c>
      <c r="O51" s="2" t="inlineStr">
        <is>
          <t>Mock</t>
        </is>
      </c>
      <c r="P51" s="2" t="inlineStr">
        <is>
          <t>Pharma Plus เล่มม่วง</t>
        </is>
      </c>
    </row>
    <row r="52" ht="13.2" customHeight="1" s="37">
      <c r="A52" s="8" t="inlineStr">
        <is>
          <t>49</t>
        </is>
      </c>
      <c r="B52" s="2" t="inlineStr">
        <is>
          <t>ข้อใดไม่ถูกต้องเกี่ยวกับ seretide accuhaler</t>
        </is>
      </c>
      <c r="C52" s="2" t="n"/>
      <c r="D52" s="2" t="inlineStr">
        <is>
          <t>พกพาสะดวก</t>
        </is>
      </c>
      <c r="E52" s="2" t="inlineStr">
        <is>
          <t>ไม่มี propellant</t>
        </is>
      </c>
      <c r="F52" s="2" t="inlineStr">
        <is>
          <t>ปล่อย 1 dose สูดได้หลายที</t>
        </is>
      </c>
      <c r="G52" s="2" t="inlineStr">
        <is>
          <t>ไม่อาศัยความสัมพันธ์ระหว่างแรงกดและการหายใจ</t>
        </is>
      </c>
      <c r="H52" s="2" t="inlineStr">
        <is>
          <t>ใช้ meter dose valve ในการปล่อยตัวยา</t>
        </is>
      </c>
      <c r="I52" s="8" t="inlineStr">
        <is>
          <t>5</t>
        </is>
      </c>
      <c r="J52" s="2" t="inlineStr">
        <is>
          <t>✅ คำตอบที่ถูกต้อง: ข้อ จ. ใช้ meter dose valve ในการปล่อยตัวยา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ใช้ meter dose valve ในการปล่อยตัวยา Seretide Accuhaler เป็นยากลุ่ม DPI (Dry Powder Inhaler) ซึ่งใช้ผงยาแห้ง ไม่มีสารขับดัน (propellant) และอาศัยแรงสูดของผู้ป่วยเอง (breath-actuated) ทำให้ไม่ต้องประสานเวลากลืนหรือกดกับจังหวะหายใจ ตัวเครื่องเตรียมยาไว้ครั้งละ 1 dose ต่อการเลื่อนคันโยก (ไม่ใช่ปล่อย 1 dose แล้วสูดได้หลายทีจากหลอดเดียวแบบ MDI)
🔍 ข้ออื่นผิดเพราะอะไร:
• ข้อ ก. (พกพาสะดวก): ข้อนี้ไม่ใช่คำตอบที่ถูกต้องสำหรับภาวะ Asthma เนื่องจากกลไกการออกฤทธิ์, efficacy หรือข้อบ่งใช้ไม่ตรงกับโจทย์ที่กำหนด
• ข้อ ข. (ไม่มี propellant): ข้อนี้ไม่ใช่คำตอบที่ถูกต้องสำหรับภาวะ Asthma เนื่องจากกลไกการออกฤทธิ์, efficacy หรือข้อบ่งใช้ไม่ตรงกับโจทย์ที่กำหนด
• ข้อ ค. (ปล่อย 1 dose สูดได้หลายที): ข้อนี้ไม่ใช่คำตอบที่ถูกต้องสำหรับภาวะ Asthma เนื่องจากกลไกการออกฤทธิ์, efficacy หรือข้อบ่งใช้ไม่ตรงกับโจทย์ที่กำหนด
• ข้อ ง. (ไม่อาศัยความสัมพันธ์ระหว่างแรงกดและการหายใจ):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2" s="2" t="n"/>
      <c r="L52" s="2" t="inlineStr">
        <is>
          <t>Asthma</t>
        </is>
      </c>
      <c r="M52" s="2" t="inlineStr">
        <is>
          <t>Clinic</t>
        </is>
      </c>
      <c r="N52" s="2" t="inlineStr">
        <is>
          <t>ข้อ 49 Pharma Plus เล่มม่วง (เฉลยข้อ จ)</t>
        </is>
      </c>
      <c r="O52" s="2" t="inlineStr">
        <is>
          <t>Mock</t>
        </is>
      </c>
      <c r="P52" s="2" t="inlineStr">
        <is>
          <t>Pharma Plus เล่มม่วง</t>
        </is>
      </c>
    </row>
    <row r="53" ht="13.2" customHeight="1" s="37">
      <c r="A53" s="8" t="inlineStr">
        <is>
          <t>50</t>
        </is>
      </c>
      <c r="B53" s="2" t="inlineStr">
        <is>
          <t>เมื่อใดที่ต้องหยุดใช้ seretide accuhaler ชั่วคราว</t>
        </is>
      </c>
      <c r="C53" s="2" t="n"/>
      <c r="D53" s="2" t="inlineStr">
        <is>
          <t>อายุมากกว่า 65 ปี</t>
        </is>
      </c>
      <c r="E53" s="2" t="inlineStr">
        <is>
          <t>ไตผิดปกติ</t>
        </is>
      </c>
      <c r="F53" s="2" t="inlineStr">
        <is>
          <t>ตับผิดปกติ</t>
        </is>
      </c>
      <c r="G53" s="2" t="inlineStr">
        <is>
          <t>ปอดติดเชื้อ</t>
        </is>
      </c>
      <c r="H53" s="2" t="inlineStr">
        <is>
          <t>ระคายเคืองปาก</t>
        </is>
      </c>
      <c r="I53" s="8" t="inlineStr">
        <is>
          <t>4</t>
        </is>
      </c>
      <c r="J53" s="2" t="inlineStr">
        <is>
          <t>✅ คำตอบที่ถูกต้อง: ข้อ ง. ปอดติดเชื้อ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ปอดติดเชื้อ Seretide ประกอบด้วย Fluticasone (ICS) และ Salbutamol/Salmeterol (LABA) การใช้ยาสเตียรอยด์พ่นคออาจเพิ่มความเสี่ยงต่อการติดเชื้อราในช่องปากหรือการติดเชื้อทางเดินหายใจส่วนล่าง หากผู้ป่วยเกิดภาวะปอดติดเชื้อ (pneumonia หรือ acute pulmonary infection) ควรพิจารณาหยุดยาหรือรักษาการติดเชื้อร่วมด้วยตามดุลยพินิจของแพทย์
🔍 ข้ออื่นผิดเพราะอะไร:
• ข้อ ก. (อายุมากกว่า 65 ปี): ข้อนี้ไม่ใช่คำตอบที่ถูกต้องสำหรับภาวะ Asthma เนื่องจากกลไกการออกฤทธิ์, efficacy หรือข้อบ่งใช้ไม่ตรงกับโจทย์ที่กำหนด
• ข้อ ข. (ไตผิดปกติ): ข้อนี้ไม่ใช่คำตอบที่ถูกต้องสำหรับภาวะ Asthma เนื่องจากกลไกการออกฤทธิ์, efficacy หรือข้อบ่งใช้ไม่ตรงกับโจทย์ที่กำหนด
• ข้อ ค. (ตับผิดปกติ): ข้อนี้ไม่ใช่คำตอบที่ถูกต้องสำหรับภาวะ Asthma เนื่องจากกลไกการออกฤทธิ์, efficacy หรือข้อบ่งใช้ไม่ตรงกับโจทย์ที่กำหนด
• ข้อ จ. (ระคายเคืองปาก):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3" s="2" t="n"/>
      <c r="L53" s="2" t="inlineStr">
        <is>
          <t>Asthma</t>
        </is>
      </c>
      <c r="M53" s="2" t="inlineStr">
        <is>
          <t>Clinic</t>
        </is>
      </c>
      <c r="N53" s="2" t="inlineStr">
        <is>
          <t>ข้อ 50 Pharma Plus เล่มม่วง (เฉลยข้อ ง)</t>
        </is>
      </c>
      <c r="O53" s="2" t="inlineStr">
        <is>
          <t>Mock</t>
        </is>
      </c>
      <c r="P53" s="2" t="inlineStr">
        <is>
          <t>Pharma Plus เล่มม่วง</t>
        </is>
      </c>
    </row>
    <row r="54" ht="13.2" customHeight="1" s="37">
      <c r="A54" s="8" t="inlineStr">
        <is>
          <t>51</t>
        </is>
      </c>
      <c r="B54" s="2" t="inlineStr">
        <is>
          <t>สถานการณ์ที่ 10 ผู้ป่วยประวัติประจำตัวเป็นโรคหอบหืด ใช้ยา Theophylline, Salbutamol inhaler, Budesonide inhaler ผู้ป่วยมีอาการกำเริบ 5 ครั้งต่อเดือน
ข้อใดไม่ใช่พิษของยา theophylline</t>
        </is>
      </c>
      <c r="C54" s="2" t="n"/>
      <c r="D54" s="2" t="inlineStr">
        <is>
          <t>ใจสั่น</t>
        </is>
      </c>
      <c r="E54" s="2" t="inlineStr">
        <is>
          <t>ปวดท้อง</t>
        </is>
      </c>
      <c r="F54" s="2" t="inlineStr">
        <is>
          <t>ชัก</t>
        </is>
      </c>
      <c r="G54" s="2" t="inlineStr">
        <is>
          <t>คลื่นไส้ อาเจียน</t>
        </is>
      </c>
      <c r="H54" s="2" t="inlineStr">
        <is>
          <t>มองเห็นภาพซ้อน</t>
        </is>
      </c>
      <c r="I54" s="8" t="inlineStr">
        <is>
          <t>2</t>
        </is>
      </c>
      <c r="J54" s="2" t="inlineStr">
        <is>
          <t>✅ คำตอบที่ถูกต้อง: ข้อ ข. ปวดท้อง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ปวดท้อง Theophylline มี therapeutic index แคบ พิษจากยา (Toxicity) มักพบบ่อยเมื่อระดับยาในเลือดสูง &gt; 20 mcg/mL ได้แก่ คลื่นไส้ อาเจียน ปวดท้อง หัวใจเต้นผิดจังหวะ/ใจสั่น และอาการทางระบบประสาทเช่น ชัก (seizures) ส่วนอาการมองเห็นภาพซ้อนไม่ใช่พิษจำเพาะที่พบบ่อยของ theophylline
🔍 ข้ออื่นผิดเพราะอะไร:
• ข้อ ก. (ใจสั่น): ข้อนี้ไม่ใช่คำตอบที่ถูกต้องสำหรับภาวะ Asthma เนื่องจากกลไกการออกฤทธิ์, efficacy หรือข้อบ่งใช้ไม่ตรงกับโจทย์ที่กำหนด
• ข้อ ค. (ชัก): ข้อนี้ไม่ใช่คำตอบที่ถูกต้องสำหรับภาวะ Asthma เนื่องจากกลไกการออกฤทธิ์, efficacy หรือข้อบ่งใช้ไม่ตรงกับโจทย์ที่กำหนด
• ข้อ ง. (คลื่นไส้ อาเจียน): ข้อนี้ไม่ใช่คำตอบที่ถูกต้องสำหรับภาวะ Asthma เนื่องจากกลไกการออกฤทธิ์, efficacy หรือข้อบ่งใช้ไม่ตรงกับโจทย์ที่กำหนด
• ข้อ จ. (มองเห็นภาพซ้อน):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4" s="2" t="n"/>
      <c r="L54" s="2" t="inlineStr">
        <is>
          <t>Asthma</t>
        </is>
      </c>
      <c r="M54" s="2" t="inlineStr">
        <is>
          <t>Clinic</t>
        </is>
      </c>
      <c r="N54" s="2" t="inlineStr">
        <is>
          <t>ข้อ 51 Pharma Plus เล่มม่วง (เฉลยข้อ ข)</t>
        </is>
      </c>
      <c r="O54" s="2" t="inlineStr">
        <is>
          <t>Mock</t>
        </is>
      </c>
      <c r="P54" s="2" t="inlineStr">
        <is>
          <t>Pharma Plus เล่มม่วง</t>
        </is>
      </c>
    </row>
    <row r="55" ht="13.2" customHeight="1" s="37">
      <c r="A55" s="8" t="inlineStr">
        <is>
          <t>52</t>
        </is>
      </c>
      <c r="B55" s="2" t="inlineStr">
        <is>
          <t>สถานการณ์ที่ 10 ผู้ป่วยประวัติประจำตัวเป็นโรคหอบหืด ใช้ยา Theophylline, Salbutamol inhaler, Budesonide inhaler ผู้ป่วยมีอาการกำเริบ 5 ครั้งต่อเดือน
ยาใดสามารถเกิดอันตรกิริยากับ Theophylline ได้</t>
        </is>
      </c>
      <c r="C55" s="2" t="n"/>
      <c r="D55" s="2" t="inlineStr">
        <is>
          <t>Clarithromycin</t>
        </is>
      </c>
      <c r="E55" s="2" t="inlineStr">
        <is>
          <t>Carbocysteine</t>
        </is>
      </c>
      <c r="F55" s="2" t="inlineStr">
        <is>
          <t>Ipratropium</t>
        </is>
      </c>
      <c r="G55" s="2" t="inlineStr">
        <is>
          <t>Montelukast</t>
        </is>
      </c>
      <c r="H55" s="2" t="inlineStr">
        <is>
          <t>Prednisolone</t>
        </is>
      </c>
      <c r="I55" s="8" t="inlineStr">
        <is>
          <t>1</t>
        </is>
      </c>
      <c r="J55" s="2" t="inlineStr">
        <is>
          <t>✅ คำตอบที่ถูกต้อง: ข้อ ก. Clarithromycin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Clarithromycin เป็นยาปฏิชีวนะกลุ่ม Macrolide ซึ่งเป็น potent CYP3A4 และ CYP1A2 inhibitor จะยับยั้งการเมแทบอลิซึมของ Theophylline ส่งผลให้ระดับยา Theophylline ในเลือดสูงขึ้นและเกิดพิษได้ง่าย ส่วนยาตัวอื่นไม่มีผลยับยั้งเอนไซม์กลุ่มดังกล่าวที่มีนัยสำคัญต่อ Theophylline
🔍 ข้ออื่นผิดเพราะอะไร:
• ข้อ ข. (Carbocysteine): ข้อนี้ไม่ใช่คำตอบที่ถูกต้องสำหรับภาวะ Asthma เนื่องจากกลไกการออกฤทธิ์, efficacy หรือข้อบ่งใช้ไม่ตรงกับโจทย์ที่กำหนด
• ข้อ ค. (Ipratropium): เป็น SAMA ออกฤทธิ์ยับยั้ง cholinergic tone มักใช้ร่วมกับ SABA ใน acute moderate-to-severe asthma/COPD exacerbation
• ข้อ ง.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(Prednisolone): เป็น intermediate-acting systemic corticosteroid ขนาดยอดนิยมสำหรับ immunosuppressive &amp; anti-inflammatory therapy ต้องระวัง Cushingoid, infection, osteoporosis, peptic ulcer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5" s="2" t="n"/>
      <c r="L55" s="2" t="inlineStr">
        <is>
          <t>Asthma</t>
        </is>
      </c>
      <c r="M55" s="2" t="inlineStr">
        <is>
          <t>Clinic</t>
        </is>
      </c>
      <c r="N55" s="2" t="inlineStr">
        <is>
          <t>ข้อ 52 Pharma Plus เล่มม่วง (เฉลยข้อ ก)</t>
        </is>
      </c>
      <c r="O55" s="2" t="inlineStr">
        <is>
          <t>Mock</t>
        </is>
      </c>
      <c r="P55" s="2" t="inlineStr">
        <is>
          <t>Pharma Plus เล่มม่วง</t>
        </is>
      </c>
    </row>
    <row r="56" ht="13.2" customHeight="1" s="37">
      <c r="A56" s="8" t="inlineStr">
        <is>
          <t>55</t>
        </is>
      </c>
      <c r="B56" s="2" t="inlineStr">
        <is>
          <t>ผู้ป่วยเป็นโรค asthma มีอาการหายใจหอบเหนื่อย ไอ แต่ไม่เคยมีอาการกำเริบจนต้องเข้ารพ. Med: Seretide (salmeterol/fluticasone propionate: 50/?) bid, Ventolin (salbutamol) prn, Avamys พ่นจมูก ใช้ยาพ่นถูกต้อง ตาม guideline asthma ไทย 2566 ควรปรับเปลี่ยนการรักษาเป็น regimen ใด ไม่รู้ตอนนี้คนไข้ได้ยาระดับไหนอยู่ ;-;</t>
        </is>
      </c>
      <c r="C56" s="2" t="n"/>
      <c r="D56" s="2" t="inlineStr">
        <is>
          <t>High dose ICS และ as needed SABA</t>
        </is>
      </c>
      <c r="E56" s="2" t="inlineStr">
        <is>
          <t>Low dose ICS+ LABA และ as need SABA</t>
        </is>
      </c>
      <c r="F56" s="2" t="inlineStr">
        <is>
          <t>Medium dose ICS-formoterol maintenance and reliever</t>
        </is>
      </c>
      <c r="G56" s="2" t="inlineStr">
        <is>
          <t>Low dose ICS-formoterol maintenance and reliever</t>
        </is>
      </c>
      <c r="H56" s="2" t="inlineStr">
        <is>
          <t>Steroid long term? หญิงไทย 50 ปี หนัก 45 สูง 157 อาชีพเย็บผ้าทอในโรงงาน มาด้วยอาการหายใจหอบเหนื่อย โดยเฉพาะ ควบคุมอาการ Seretide (fluticasone/salmeterol) 1 puff BID ร่วมกับ Ventolin และ Avamys Fluticasone furoate 2  puff OD, FEV1 ก่อน 1.65 ลิตร หลัง 2.1 ลิตร แพทย์วินิจฉัยว่าเป็น asthma ควบคุมอาการไม่ได้ (Uncontrolled asthma) ประวัติเดิม: สูบบุหรี่วันละ 20 มวน เป็นเวลา 20 ปี แต่ เลิกบุหรี่มาแล้ว 10 ปี</t>
        </is>
      </c>
      <c r="I56" s="8" t="inlineStr">
        <is>
          <t>1</t>
        </is>
      </c>
      <c r="J56" s="2" t="inlineStr">
        <is>
          <t>✅ คำตอบที่ถูกต้อง: ข้อ ก. High dose ICS และ as needed SABA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ตอนกลางคืน มีน้ำมูกใส ไม่มีไข้ ไม่มีการใช้ยาพ่นฉุกเฉิน นอนราบได้ ไม่เคยเข้ารพเพราะหอบเหนื่อย ปัจจุบันใช้ยา
🔍 ข้ออื่นผิดเพราะอะไร:
• ข้อ ข. (High dose ICS และ as needed SABA): ข้อนี้ไม่ใช่คำตอบที่ถูกต้องสำหรับภาวะ Asthma เนื่องจากกลไกการออกฤทธิ์, efficacy หรือข้อบ่งใช้ไม่ตรงกับโจทย์ที่กำหนด
• ข้อ ค. (Low dose ICS+ LABA และ as need SABA): ข้อนี้ไม่ใช่คำตอบที่ถูกต้องสำหรับภาวะ Asthma เนื่องจากกลไกการออกฤทธิ์, efficacy หรือข้อบ่งใช้ไม่ตรงกับโจทย์ที่กำหนด
• ข้อ ง. (Medium dose ICS-formoterol maintenance and reliever): เป็น LABA ที่มี onset รวดเร็ว (1-3 นาที) และออกฤทธิ์นาน 12 ชม. สามารถใช้ร่วมกับ ICS (ICS-formoterol) เป็นได้ทั้ง maintenance และ reliever (MART / AIR strategy)
• ข้อ จ. (Low dose ICS-formoterol maintenance and reliever): เป็น LABA ที่มี onset รวดเร็ว (1-3 นาที) และออกฤทธิ์นาน 12 ชม. สามารถใช้ร่วมกับ ICS (ICS-formoterol) เป็นได้ทั้ง maintenance และ reliever (MART / AIR strategy)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56" s="2" t="n"/>
      <c r="L56" s="2" t="inlineStr">
        <is>
          <t>Asthma</t>
        </is>
      </c>
      <c r="M56" s="2" t="inlineStr">
        <is>
          <t>COPD / Asthma</t>
        </is>
      </c>
      <c r="N56" s="2" t="inlineStr">
        <is>
          <t>PLE_CC1_2567_Key ข้อ 25</t>
        </is>
      </c>
      <c r="O56" s="2" t="inlineStr">
        <is>
          <t>ข้อสอบจริง</t>
        </is>
      </c>
      <c r="P56" s="2" t="inlineStr">
        <is>
          <t>ปี 2567</t>
        </is>
      </c>
      <c r="Q56" s="2" t="n"/>
    </row>
    <row r="57" ht="13.2" customHeight="1" s="37">
      <c r="A57" s="8" t="inlineStr">
        <is>
          <t>56</t>
        </is>
      </c>
      <c r="B57" s="2" t="inlineStr">
        <is>
          <t>การใช้ LAMA ในคนไข้ asthma มีประโยชน์อย่างไร</t>
        </is>
      </c>
      <c r="C57" s="2" t="n"/>
      <c r="D57" s="2" t="inlineStr">
        <is>
          <t>เพิ่ม compliance</t>
        </is>
      </c>
      <c r="E57" s="2" t="inlineStr">
        <is>
          <t>ลดสารคัดหลั่ง</t>
        </is>
      </c>
      <c r="F57" s="2" t="inlineStr">
        <is>
          <t>เพิ่ม lung function</t>
        </is>
      </c>
      <c r="G57" s="2" t="inlineStr">
        <is>
          <t>ลด asthma symptoms</t>
        </is>
      </c>
      <c r="H57" s="2" t="inlineStr">
        <is>
          <t>ลดการใช้ SABA</t>
        </is>
      </c>
      <c r="I57" s="8" t="inlineStr">
        <is>
          <t>1</t>
        </is>
      </c>
      <c r="J57" s="2" t="inlineStr">
        <is>
          <t>✅ คำตอบที่ถูกต้อง: ข้อ ก. เพิ่ม compliance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(เพิ่ม compliance): ข้อนี้ไม่ใช่คำตอบที่ถูกต้องสำหรับภาวะ Asthma เนื่องจากกลไกการออกฤทธิ์, efficacy หรือข้อบ่งใช้ไม่ตรงกับโจทย์ที่กำหนด
• ข้อ ค. (ลดสารคัดหลั่ง): ข้อนี้ไม่ใช่คำตอบที่ถูกต้องสำหรับภาวะ Asthma เนื่องจากกลไกการออกฤทธิ์, efficacy หรือข้อบ่งใช้ไม่ตรงกับโจทย์ที่กำหนด
• ข้อ ง. (เพิ่ม lung function): ข้อนี้ไม่ใช่คำตอบที่ถูกต้องสำหรับภาวะ Asthma เนื่องจากกลไกการออกฤทธิ์, efficacy หรือข้อบ่งใช้ไม่ตรงกับโจทย์ที่กำหนด
• ข้อ จ. (ลด asthma symptoms):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7" s="2" t="n"/>
      <c r="L57" s="2" t="inlineStr">
        <is>
          <t>Asthma</t>
        </is>
      </c>
      <c r="M57" s="2" t="inlineStr">
        <is>
          <t>COPD / Asthma</t>
        </is>
      </c>
      <c r="N57" s="2" t="inlineStr">
        <is>
          <t>PLE_CC1_2567_Key ข้อ 26</t>
        </is>
      </c>
      <c r="O57" s="2" t="inlineStr">
        <is>
          <t>ข้อสอบจริง</t>
        </is>
      </c>
      <c r="P57" s="2" t="inlineStr">
        <is>
          <t>ปี 2567</t>
        </is>
      </c>
      <c r="Q57" s="2" t="n"/>
    </row>
    <row r="58" ht="13.2" customHeight="1" s="37">
      <c r="A58" s="8" t="inlineStr">
        <is>
          <t>57</t>
        </is>
      </c>
      <c r="B58" s="2" t="inlineStr">
        <is>
          <t>ผู้ป่วยAsthma กำลังใช้Salmetarol/Fluticasone คุมอาการดีมากๆไม่ใช้Reliever เลย ใช้ชีวิตปกติไม่มีอาการกลางคืนจัดเป็นการควบคุมแบบใด ตัวเลือก</t>
        </is>
      </c>
      <c r="C58" s="2" t="n"/>
      <c r="D58" s="2" t="inlineStr">
        <is>
          <t>COPD / Asthma</t>
        </is>
      </c>
      <c r="E58" s="2" t="inlineStr">
        <is>
          <t>Well control</t>
        </is>
      </c>
      <c r="F58" s="2" t="inlineStr">
        <is>
          <t>Partial control</t>
        </is>
      </c>
      <c r="G58" s="2" t="inlineStr">
        <is>
          <t>uncontroll</t>
        </is>
      </c>
      <c r="H58" s="2" t="inlineStr">
        <is>
          <t>Fluticasone/Salmeterol 250/50 mcg DPI BID</t>
        </is>
      </c>
      <c r="I58" s="8" t="inlineStr">
        <is>
          <t>1</t>
        </is>
      </c>
      <c r="J58" s="2" t="inlineStr">
        <is>
          <t>✅ คำตอบที่ถูกต้อง: ข้อ ก. COPD / Asthma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(Well control): ข้อนี้ไม่ใช่คำตอบที่ถูกต้องสำหรับภาวะ Asthma เนื่องจากกลไกการออกฤทธิ์, efficacy หรือข้อบ่งใช้ไม่ตรงกับโจทย์ที่กำหนด
• ข้อ ค. (Partial control): ข้อนี้ไม่ใช่คำตอบที่ถูกต้องสำหรับภาวะ Asthma เนื่องจากกลไกการออกฤทธิ์, efficacy หรือข้อบ่งใช้ไม่ตรงกับโจทย์ที่กำหนด
• ข้อ ง. (uncontroll): ข้อนี้ไม่ใช่คำตอบที่ถูกต้องสำหรับภาวะ Asthma เนื่องจากกลไกการออกฤทธิ์, efficacy หรือข้อบ่งใช้ไม่ตรงกับโจทย์ที่กำหนด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8" s="2" t="n"/>
      <c r="L58" s="2" t="inlineStr">
        <is>
          <t>Asthma</t>
        </is>
      </c>
      <c r="M58" s="2" t="inlineStr">
        <is>
          <t>COPD / Asthma</t>
        </is>
      </c>
      <c r="N58" s="2" t="inlineStr">
        <is>
          <t>PLE-CC1 ปี 2566 Day 1 ข้อ 55</t>
        </is>
      </c>
      <c r="O58" s="2" t="inlineStr">
        <is>
          <t>ข้อสอบจริง</t>
        </is>
      </c>
      <c r="P58" s="2" t="inlineStr">
        <is>
          <t>ปี 2566</t>
        </is>
      </c>
    </row>
    <row r="59" ht="13.2" customHeight="1" s="37">
      <c r="A59" s="8" t="inlineStr">
        <is>
          <t>58</t>
        </is>
      </c>
      <c r="B59" s="2" t="inlineStr">
        <is>
          <t>ต่อจาก56 non pharmaco asthma ตัวเลือก</t>
        </is>
      </c>
      <c r="C59" s="2" t="n"/>
      <c r="D59" s="2" t="inlineStr">
        <is>
          <t>COPD / Asthma</t>
        </is>
      </c>
      <c r="E59" s="2" t="inlineStr">
        <is>
          <t>หลีกเลี่ยงสิ่งที่ทำให้แพ้</t>
        </is>
      </c>
      <c r="F59" s="2" t="inlineStr">
        <is>
          <t>Tiotropium Respimat 2.5 mcg 2 puffs OD</t>
        </is>
      </c>
      <c r="G59" s="2" t="inlineStr">
        <is>
          <t>Ipratropium/Fenoterol MDI PRN</t>
        </is>
      </c>
      <c r="H59" s="2" t="inlineStr">
        <is>
          <t>Montelukast 10 mg HS</t>
        </is>
      </c>
      <c r="I59" s="8" t="inlineStr">
        <is>
          <t>1</t>
        </is>
      </c>
      <c r="J59" s="2" t="inlineStr">
        <is>
          <t>✅ คำตอบที่ถูกต้อง: ข้อ ก. COPD / Asthma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(หลีกเลี่ยงสิ่งที่ทำให้แพ้): ข้อนี้ไม่ใช่คำตอบที่ถูกต้องสำหรับภาวะ Asthma เนื่องจากกลไกการออกฤทธิ์, efficacy หรือข้อบ่งใช้ไม่ตรงกับโจทย์ที่กำหนด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59" s="2" t="n"/>
      <c r="L59" s="2" t="inlineStr">
        <is>
          <t>Asthma</t>
        </is>
      </c>
      <c r="M59" s="2" t="inlineStr">
        <is>
          <t>COPD / Asthma</t>
        </is>
      </c>
      <c r="N59" s="2" t="inlineStr">
        <is>
          <t>PLE-CC1 ปี 2566 Day 1 ข้อ 57</t>
        </is>
      </c>
      <c r="O59" s="2" t="inlineStr">
        <is>
          <t>ข้อสอบจริง</t>
        </is>
      </c>
      <c r="P59" s="2" t="inlineStr">
        <is>
          <t>ปี 2566</t>
        </is>
      </c>
    </row>
    <row r="60" ht="13.2" customHeight="1" s="37">
      <c r="A60" s="8" t="inlineStr">
        <is>
          <t>59</t>
        </is>
      </c>
      <c r="B60" s="2" t="inlineStr">
        <is>
          <t>Copd ออกstage กับgrade FEV = 35 FEV/FVC = 65% ตัวเลือก</t>
        </is>
      </c>
      <c r="C60" s="2" t="n"/>
      <c r="D60" s="2" t="inlineStr">
        <is>
          <t>COPD / Asthma</t>
        </is>
      </c>
      <c r="E60" s="2" t="inlineStr">
        <is>
          <t>Montelukast 10 mg HS</t>
        </is>
      </c>
      <c r="F60" s="2" t="inlineStr">
        <is>
          <t>Theophylline 200 mg BID</t>
        </is>
      </c>
      <c r="G60" s="2" t="inlineStr">
        <is>
          <t>Prednisolone 40 mg OD x 5 days</t>
        </is>
      </c>
      <c r="H60" s="2" t="inlineStr">
        <is>
          <t>N-acetylcysteine 600 mg OD</t>
        </is>
      </c>
      <c r="I60" s="8" t="inlineStr">
        <is>
          <t>1</t>
        </is>
      </c>
      <c r="J60" s="2" t="inlineStr">
        <is>
          <t>✅ คำตอบที่ถูกต้อง: ข้อ ก. COPD / Asthma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COPD / Asthma การเลือก COPD / Asthma เป็นคำตอบที่ถูกต้องและสอดคล้องกับ evidence-based guidelines ของภาวะ COPD โดยมี clinical efficacy สูงสุดในการรักษาและมี safety profile ที่เหมาะสม
🔍 ข้ออื่นผิดเพราะอะไร:
• ข้อ ข.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(Theophylline 200 mg BID): มี narrow therapeutic window (target 5-15 mcg/mL) และ ADR สูง (ใจสั่น คลื่นไส้ ชัก หัวใจเต้นผิดจังหวะ) CPG จึงจัดเป็นเพียงทางเลือกท้ายๆ (alternative)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60" s="2" t="n"/>
      <c r="L60" s="2" t="inlineStr">
        <is>
          <t>COPD</t>
        </is>
      </c>
      <c r="M60" s="2" t="inlineStr">
        <is>
          <t>COPD / Asthma</t>
        </is>
      </c>
      <c r="N60" s="2" t="inlineStr">
        <is>
          <t>PLE-CC1 ปี 2566 Day 2 ข้อ 9</t>
        </is>
      </c>
      <c r="O60" s="2" t="inlineStr">
        <is>
          <t>ข้อสอบจริง</t>
        </is>
      </c>
      <c r="P60" s="2" t="inlineStr">
        <is>
          <t>ปี 2566</t>
        </is>
      </c>
    </row>
    <row r="61" ht="13.2" customHeight="1" s="37">
      <c r="A61" s="8" t="inlineStr">
        <is>
          <t>60</t>
        </is>
      </c>
      <c r="B61" s="2" t="inlineStr">
        <is>
          <t>ผูป%วยอาการไม;ดีขึ้น แพทยçพิจารณาจ;าย antibiotic เพิ่ม ควรใหตัวไหน ตามเกณฑçโรคปอดอุดกั้นเรื้อรัง 2560 (เปลี่ยน Guideline ในปh 2568 : Guideline GINA 2024)</t>
        </is>
      </c>
      <c r="C61" s="2" t="n"/>
      <c r="D61" s="2" t="inlineStr">
        <is>
          <t>Azithromycin</t>
        </is>
      </c>
      <c r="E61" s="2" t="inlineStr">
        <is>
          <t>Ciprofloxacin</t>
        </is>
      </c>
      <c r="F61" s="2" t="inlineStr">
        <is>
          <t>Doxycycline</t>
        </is>
      </c>
      <c r="G61" s="2" t="inlineStr">
        <is>
          <t>จำ choice ไม;ได</t>
        </is>
      </c>
      <c r="H61" s="2" t="inlineStr">
        <is>
          <t>* จำ choice ไม;ได# * อาย antibiotic เ¢อ</t>
        </is>
      </c>
      <c r="I61" s="8" t="inlineStr">
        <is>
          <t>1</t>
        </is>
      </c>
      <c r="J61" s="2" t="inlineStr">
        <is>
          <t>✅ คำตอบที่ถูกต้อง: ข้อ ก. Azithromycin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COPD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(Ciprofloxacin): เป็น Fluoroquinolone เด่นต่อ Gram-negative รวมทั้ง Pseudomonas aeruginosa แต่มี black box warning เรื่อง tendon rupture, QT prolongation, aortic aneurysm และ dysglycemia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(จำ choice ไม;ได):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61" s="2" t="n"/>
      <c r="L61" s="2" t="inlineStr">
        <is>
          <t>COPD</t>
        </is>
      </c>
      <c r="M61" s="2" t="inlineStr">
        <is>
          <t>COPD / Asthma</t>
        </is>
      </c>
      <c r="N61" s="2" t="inlineStr">
        <is>
          <t>PLE_CC1_2565_Day1_Key ข้อ 62</t>
        </is>
      </c>
      <c r="O61" s="2" t="inlineStr">
        <is>
          <t>ข้อสอบจริง</t>
        </is>
      </c>
      <c r="P61" s="2" t="inlineStr">
        <is>
          <t>ปี 2565</t>
        </is>
      </c>
      <c r="Q61" s="2" t="n"/>
    </row>
    <row r="62" ht="13.2" customHeight="1" s="37">
      <c r="A62" s="8" t="inlineStr">
        <is>
          <t>61</t>
        </is>
      </c>
      <c r="B62" s="2" t="inlineStr">
        <is>
          <t>สารช;วยในขอใดช;วยใหผงยา tiotropium bromide เปhยกง;ายเมื่อผงยาสัมผัสกับของเหลวในทางเดิน หายใจ</t>
        </is>
      </c>
      <c r="C62" s="2" t="n"/>
      <c r="D62" s="2" t="inlineStr">
        <is>
          <t>Lecithin</t>
        </is>
      </c>
      <c r="E62" s="2" t="inlineStr">
        <is>
          <t>citric acid</t>
        </is>
      </c>
      <c r="F62" s="2" t="inlineStr">
        <is>
          <t>Alginic acid</t>
        </is>
      </c>
      <c r="G62" s="2" t="inlineStr">
        <is>
          <t>Calcium stearate</t>
        </is>
      </c>
      <c r="H62" s="2" t="inlineStr">
        <is>
          <t>titanium oxide Citric acid pH adjustment Alginic acid wetting agent Calcium stearate hydrophobic lubricant Titanium oxide opaciﬁer UV UV blocker</t>
        </is>
      </c>
      <c r="I62" s="8" t="inlineStr">
        <is>
          <t>4</t>
        </is>
      </c>
      <c r="J62" s="2" t="inlineStr">
        <is>
          <t>✅ คำตอบที่ถูกต้อง: ข้อ ง. Calcium stearate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Calcium stearate การเลือก Calcium stearate เป็นคำตอบที่ถูกต้องและสอดคล้องกับ evidence-based guidelines ของภาวะ COPD โดยมี clinical efficacy สูงสุดในการรักษาและมี safety profile ที่เหมาะสม
🔍 ข้ออื่นผิดเพราะอะไร:
• ข้อ ก. (COPD / Asthma): ข้อนี้ไม่ใช่คำตอบที่ถูกต้องสำหรับภาวะ COPD เนื่องจากกลไกการออกฤทธิ์, efficacy หรือข้อบ่งใช้ไม่ตรงกับโจทย์ที่กำหนด
• ข้อ ข. (Lecithin): ข้อนี้ไม่ใช่คำตอบที่ถูกต้องสำหรับภาวะ COPD เนื่องจากกลไกการออกฤทธิ์, efficacy หรือข้อบ่งใช้ไม่ตรงกับโจทย์ที่กำหนด
• ข้อ ค. (citric acid): ข้อนี้ไม่ใช่คำตอบที่ถูกต้องสำหรับภาวะ COPD เนื่องจากกลไกการออกฤทธิ์, efficacy หรือข้อบ่งใช้ไม่ตรงกับโจทย์ที่กำหนด
• ข้อ ง. (Alginic acid):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62" s="2" t="n"/>
      <c r="L62" s="2" t="inlineStr">
        <is>
          <t>COPD</t>
        </is>
      </c>
      <c r="M62" s="2" t="inlineStr">
        <is>
          <t>COPD / Asthma</t>
        </is>
      </c>
      <c r="N62" s="2" t="inlineStr">
        <is>
          <t>PLE_CC1_2565_Day1_Key ข้อ 63</t>
        </is>
      </c>
      <c r="O62" s="2" t="inlineStr">
        <is>
          <t>ข้อสอบจริง</t>
        </is>
      </c>
      <c r="P62" s="2" t="inlineStr">
        <is>
          <t>ปี 2565</t>
        </is>
      </c>
      <c r="Q62" s="2" t="n"/>
    </row>
    <row r="63" ht="13.2" customHeight="1" s="37">
      <c r="A63" s="8" t="inlineStr">
        <is>
          <t>62</t>
        </is>
      </c>
      <c r="B63" s="2" t="inlineStr">
        <is>
          <t>Chronic obstructive pulmonary disease (COPD)</t>
        </is>
      </c>
      <c r="C63" s="2" t="n"/>
      <c r="D63" s="2" t="inlineStr">
        <is>
          <t>COPD / Asthma</t>
        </is>
      </c>
      <c r="E63" s="2" t="inlineStr">
        <is>
          <t>Ipratropium/Fenoterol MDI PRN</t>
        </is>
      </c>
      <c r="F63" s="2" t="inlineStr">
        <is>
          <t>Montelukast 10 mg HS</t>
        </is>
      </c>
      <c r="G63" s="2" t="inlineStr">
        <is>
          <t>Theophylline 200 mg BID</t>
        </is>
      </c>
      <c r="H63" s="2" t="inlineStr">
        <is>
          <t>Prednisolone 40 mg OD x 5 days</t>
        </is>
      </c>
      <c r="I63" s="8" t="inlineStr">
        <is>
          <t>1</t>
        </is>
      </c>
      <c r="J63" s="2" t="inlineStr">
        <is>
          <t>✅ คำตอบที่ถูกต้อง: ข้อ ก. COPD / Asthma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COPD / Asthma การเลือก COPD / Asthma เป็นคำตอบที่ถูกต้องและสอดคล้องกับ evidence-based guidelines ของภาวะ COPD โดยมี clinical efficacy สูงสุดในการรักษาและมี safety profile ที่เหมาะสม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63" s="2" t="n"/>
      <c r="L63" s="2" t="inlineStr">
        <is>
          <t>COPD</t>
        </is>
      </c>
      <c r="M63" s="2" t="inlineStr">
        <is>
          <t>COPD / Asthma</t>
        </is>
      </c>
      <c r="N63" s="2" t="inlineStr">
        <is>
          <t>PLE_CC1_2565_Day1_Key ข้อ 15</t>
        </is>
      </c>
      <c r="O63" s="2" t="inlineStr">
        <is>
          <t>ข้อสอบจริง</t>
        </is>
      </c>
      <c r="P63" s="2" t="inlineStr">
        <is>
          <t>ปี 2565</t>
        </is>
      </c>
    </row>
    <row r="64" ht="13.2" customHeight="1" s="37">
      <c r="A64" s="8" t="inlineStr">
        <is>
          <t>63</t>
        </is>
      </c>
      <c r="B64" s="2" t="inlineStr">
        <is>
          <t>การแพ$ยาแบบใดไม-ควร rechallenge ยาอง&amp;นไมเกรน -องใ/เวลา 8–12 2ปดา5 ก6าจะเ9นผล;ดเจน ~ Cross-reactivity between sulfonamide antibiotics and non-antibiotic sulfonamides is unlikely because their antigenic determinants are different. Ref: American Academy of Allergy, Asthma &amp; Immunology (AAAAI) FDA Topamaxห Label Migraine: 100 mg/day Epilepsy: 200–400 mg/day การเ&lt;มยาอง&amp;นไมเกรน-อง “ประเ=นผลห?ง 2–3 เ@อน” หากไAผลBCอยDจารณาใ/ “6–12 เ@อน” เFอควบIมระยะยาว แK ไLใMNอOงPบQหRบ initial trial</t>
        </is>
      </c>
      <c r="C64" s="2" t="n"/>
      <c r="D64" s="2" t="inlineStr">
        <is>
          <t>Maculopapular rash</t>
        </is>
      </c>
      <c r="E64" s="2" t="inlineStr">
        <is>
          <t>Macular rash</t>
        </is>
      </c>
      <c r="F64" s="2" t="inlineStr">
        <is>
          <t>Toxic epidermal necrolysis</t>
        </is>
      </c>
      <c r="G64" s="2" t="inlineStr">
        <is>
          <t>Acneiform drug eruption</t>
        </is>
      </c>
      <c r="H64" s="2" t="inlineStr">
        <is>
          <t>* จำ choice ไม-ได$ * กรณีศึกษา 8 (TEN) : Life threatening allergic reaction dงไWควร rechallenge ผู$ป&amp;วยปวดข$อฉับพลัน ระดับ uric acid = 9 รับวินิจฉัยเปQน acute gout attack</t>
        </is>
      </c>
      <c r="I64" s="8" t="inlineStr">
        <is>
          <t>1</t>
        </is>
      </c>
      <c r="J64" s="2" t="inlineStr">
        <is>
          <t>✅ คำตอบที่ถูกต้อง: ข้อ ก. Maculopapular rash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(Maculopapular rash): ข้อนี้ไม่ใช่คำตอบที่ถูกต้องสำหรับภาวะ Asthma เนื่องจากกลไกการออกฤทธิ์, efficacy หรือข้อบ่งใช้ไม่ตรงกับโจทย์ที่กำหนด
• ข้อ ค. (Macular rash): ข้อนี้ไม่ใช่คำตอบที่ถูกต้องสำหรับภาวะ Asthma เนื่องจากกลไกการออกฤทธิ์, efficacy หรือข้อบ่งใช้ไม่ตรงกับโจทย์ที่กำหนด
• ข้อ ง. (Toxic epidermal necrolysis): ข้อนี้ไม่ใช่คำตอบที่ถูกต้องสำหรับภาวะ Asthma เนื่องจากกลไกการออกฤทธิ์, efficacy หรือข้อบ่งใช้ไม่ตรงกับโจทย์ที่กำหนด
• ข้อ จ. (Acneiform drug eruption):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4" s="2" t="n"/>
      <c r="L64" s="2" t="inlineStr">
        <is>
          <t>Asthma</t>
        </is>
      </c>
      <c r="M64" s="2" t="inlineStr">
        <is>
          <t>COPD / Asthma</t>
        </is>
      </c>
      <c r="N64" s="2" t="inlineStr">
        <is>
          <t>PLE_CC1_2565_Day2_Key ข้อ 20</t>
        </is>
      </c>
      <c r="O64" s="2" t="inlineStr">
        <is>
          <t>ข้อสอบจริง</t>
        </is>
      </c>
      <c r="P64" s="2" t="inlineStr">
        <is>
          <t>ปี 2565</t>
        </is>
      </c>
      <c r="Q64" s="2" t="n"/>
    </row>
    <row r="65" ht="13.2" customHeight="1" s="37">
      <c r="A65" s="8" t="inlineStr">
        <is>
          <t>64</t>
        </is>
      </c>
      <c r="B65" s="2" t="inlineStr">
        <is>
          <t>ข$อใดคืออาการไม-พึงประสงค6ที่พบบ-อย หากผู$ป&amp;วยใช$ salbutamol MDI บ-อยหรือเกินปริมาณที่แนะนำ Phytoestrogen Isoﬂavone Phytoestrogen</t>
        </is>
      </c>
      <c r="C65" s="2" t="n"/>
      <c r="D65" s="2" t="inlineStr">
        <is>
          <t>metabolic alkalosis</t>
        </is>
      </c>
      <c r="E65" s="2" t="inlineStr">
        <is>
          <t>drowsiness</t>
        </is>
      </c>
      <c r="F65" s="2" t="inlineStr">
        <is>
          <t>hyper Mg</t>
        </is>
      </c>
      <c r="G65" s="2" t="inlineStr">
        <is>
          <t>hyperkalemia</t>
        </is>
      </c>
      <c r="H65" s="2" t="inlineStr">
        <is>
          <t>tachycardia</t>
        </is>
      </c>
      <c r="I65" s="8" t="inlineStr">
        <is>
          <t>1</t>
        </is>
      </c>
      <c r="J65" s="2" t="inlineStr">
        <is>
          <t>✅ คำตอบที่ถูกต้อง: ข้อ ก. metabolic alkalosis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(metabolic alkalosis): ข้อนี้ไม่ใช่คำตอบที่ถูกต้องสำหรับภาวะ Asthma เนื่องจากกลไกการออกฤทธิ์, efficacy หรือข้อบ่งใช้ไม่ตรงกับโจทย์ที่กำหนด
• ข้อ ค. (drowsiness): ข้อนี้ไม่ใช่คำตอบที่ถูกต้องสำหรับภาวะ Asthma เนื่องจากกลไกการออกฤทธิ์, efficacy หรือข้อบ่งใช้ไม่ตรงกับโจทย์ที่กำหนด
• ข้อ ง. (hyper Mg): ข้อนี้ไม่ใช่คำตอบที่ถูกต้องสำหรับภาวะ Asthma เนื่องจากกลไกการออกฤทธิ์, efficacy หรือข้อบ่งใช้ไม่ตรงกับโจทย์ที่กำหนด
• ข้อ จ. (hyperkalemia):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65" s="2" t="n"/>
      <c r="L65" s="2" t="inlineStr">
        <is>
          <t>Asthma</t>
        </is>
      </c>
      <c r="M65" s="2" t="inlineStr">
        <is>
          <t>COPD / Asthma</t>
        </is>
      </c>
      <c r="N65" s="2" t="inlineStr">
        <is>
          <t>PLE_CC1_2565_Day2_Key ข้อ 46</t>
        </is>
      </c>
      <c r="O65" s="2" t="inlineStr">
        <is>
          <t>ข้อสอบจริง</t>
        </is>
      </c>
      <c r="P65" s="2" t="inlineStr">
        <is>
          <t>ปี 2565</t>
        </is>
      </c>
      <c r="Q65" s="2" t="n"/>
    </row>
    <row r="66" ht="13.2" customHeight="1" s="37">
      <c r="A66" s="8" t="inlineStr">
        <is>
          <t>65</t>
        </is>
      </c>
      <c r="B66" s="2" t="inlineStr">
        <is>
          <t>พบว-า salbutamol เปQน chiral molecule จึงมีทั้ง (R)-salbutamol และ (S)-salbutamol ข$อใดกล-าว ถูกต$องเกี่ยวกับสารผสม 50:50 ระหว-าง (R)-salbutamol และ (S)-salbutamol</t>
        </is>
      </c>
      <c r="C66" s="2" t="n"/>
      <c r="D66" s="2" t="inlineStr">
        <is>
          <t>Cis/Trans mixture</t>
        </is>
      </c>
      <c r="E66" s="2" t="inlineStr">
        <is>
          <t>Chiral mixture</t>
        </is>
      </c>
      <c r="F66" s="2" t="inlineStr">
        <is>
          <t>Racemic mixture</t>
        </is>
      </c>
      <c r="G66" s="2" t="inlineStr">
        <is>
          <t>Conformational mixture</t>
        </is>
      </c>
      <c r="H66" s="2" t="inlineStr">
        <is>
          <t>Mixed form mixture กรณีศึกษา 16 ผู$ป&amp;วยมีอาการคลื่นไส$อาเจียน เบื่ออาหาร นำหนักลด 5 กิโลในสองสัปดาห6 ได$รับการวินิจฉัยว-าเปQน วัณโรคครั้งแรก ไม-เคยได$รับยามาก-อน ปฏิเสธโรคประจำตัว ไม-มีประวัติแพ$ยา PLE-CC1 Preparation 2565 !อ ข. - จ. %ก'วสามารถ.น01บยาลดกรดไ7 8งจะ;จารณาตาม &gt;ณสม?@การแBอาเDยนจากภาวะ'บFกเสบ Diazepam ใHในการIกษา CINV เKาLน, ระMงการใHในNOวยโรค'บ เพราะSาน CYP 2c19 และ CYP 3A4 ไ7 active metabolites 8งไTเUอกใHในกรVW Olanzapine ใHในการIกษา CINV, ระMงการใHในNOวยโรค'บ 8งไTเUอกใHในกรVW Dimenhydrinate ไTX!อYามใH1บNOวย'บ ZาจะใYไ7ในNOวยรายW Pyridoxine Xฤท]ในการแB N/V (ปก@ใHในคน_อง) และ X indication ใน poisoning with isoniazid และ Adverse reaction จากยา 8งเหมาะ1บNOวยรายW</t>
        </is>
      </c>
      <c r="I66" s="8" t="inlineStr">
        <is>
          <t>1</t>
        </is>
      </c>
      <c r="J66" s="2" t="inlineStr">
        <is>
          <t>✅ คำตอบที่ถูกต้อง: ข้อ ก. Cis/Trans mixture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การเลือก COPD / Asthma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(Cis/Trans mixture): ข้อนี้ไม่ใช่คำตอบที่ถูกต้องสำหรับภาวะ Asthma เนื่องจากกลไกการออกฤทธิ์, efficacy หรือข้อบ่งใช้ไม่ตรงกับโจทย์ที่กำหนด
• ข้อ ค. (Chiral mixture): ข้อนี้ไม่ใช่คำตอบที่ถูกต้องสำหรับภาวะ Asthma เนื่องจากกลไกการออกฤทธิ์, efficacy หรือข้อบ่งใช้ไม่ตรงกับโจทย์ที่กำหนด
• ข้อ ง. (Racemic mixture): ข้อนี้ไม่ใช่คำตอบที่ถูกต้องสำหรับภาวะ Asthma เนื่องจากกลไกการออกฤทธิ์, efficacy หรือข้อบ่งใช้ไม่ตรงกับโจทย์ที่กำหนด
• ข้อ จ. (Conformational mixture):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66" s="2" t="n"/>
      <c r="L66" s="2" t="inlineStr">
        <is>
          <t>Asthma</t>
        </is>
      </c>
      <c r="M66" s="2" t="inlineStr">
        <is>
          <t>COPD / Asthma</t>
        </is>
      </c>
      <c r="N66" s="2" t="inlineStr">
        <is>
          <t>PLE_CC1_2565_Day2_Key ข้อ 47</t>
        </is>
      </c>
      <c r="O66" s="2" t="inlineStr">
        <is>
          <t>ข้อสอบจริง</t>
        </is>
      </c>
      <c r="P66" s="2" t="inlineStr">
        <is>
          <t>ปี 2565</t>
        </is>
      </c>
      <c r="Q66" s="2" t="n"/>
    </row>
    <row r="67" ht="13.2" customHeight="1" s="37">
      <c r="A67" s="8" t="inlineStr">
        <is>
          <t>66</t>
        </is>
      </c>
      <c r="B67" s="2" t="inlineStr">
        <is>
          <t>COPD ข้อใดไม่ใช่สาเหตุ เฉลยข้อสอบ PLE-CC1 ครั้งที่12/2564 วันที่ 1-2 : MUPY 50 เฉลยข้อสอบ PLE-CC1 ครั้งที่12/2564 วันที่ 1-2 : MUPY 50</t>
        </is>
      </c>
      <c r="C67" s="2" t="n"/>
      <c r="D67" s="2" t="inlineStr">
        <is>
          <t>COPD / Asthma</t>
        </is>
      </c>
      <c r="E67" s="2" t="inlineStr">
        <is>
          <t>Theophylline 200 mg BID</t>
        </is>
      </c>
      <c r="F67" s="2" t="inlineStr">
        <is>
          <t>Prednisolone 40 mg OD x 5 days</t>
        </is>
      </c>
      <c r="G67" s="2" t="inlineStr">
        <is>
          <t>N-acetylcysteine 600 mg OD</t>
        </is>
      </c>
      <c r="H67" s="2" t="inlineStr">
        <is>
          <t>Beclomethasone MDI 100 mcg BID</t>
        </is>
      </c>
      <c r="I67" s="8" t="inlineStr">
        <is>
          <t>1</t>
        </is>
      </c>
      <c r="J67" s="2" t="inlineStr">
        <is>
          <t>✅ คำตอบที่ถูกต้อง: ข้อ ก. COPD / Asthma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COPD / Asthma การเลือก COPD / Asthma เป็นคำตอบที่ถูกต้องและสอดคล้องกับ evidence-based guidelines ของภาวะ COPD โดยมี clinical efficacy สูงสุดในการรักษาและมี safety profile ที่เหมาะสม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COPD เนื่องจากกลไกการออกฤทธิ์, efficacy หรือข้อบ่งใช้ไม่ตรงกับโจทย์ที่กำหนด
• ข้อ จ. (Beclomethasone MDI 100 mcg BID): ข้อนี้ไม่ใช่คำตอบที่ถูกต้องสำหรับภาวะ COPD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67" s="2" t="n"/>
      <c r="L67" s="2" t="inlineStr">
        <is>
          <t>COPD</t>
        </is>
      </c>
      <c r="M67" s="2" t="inlineStr">
        <is>
          <t>COPD / Asthma</t>
        </is>
      </c>
      <c r="N67" s="2" t="inlineStr">
        <is>
          <t>PLE_CC1_2564_All_Key ข้อ 1</t>
        </is>
      </c>
      <c r="O67" s="2" t="inlineStr">
        <is>
          <t>ข้อสอบจริง</t>
        </is>
      </c>
      <c r="P67" s="2" t="inlineStr">
        <is>
          <t>ปี 2564</t>
        </is>
      </c>
    </row>
    <row r="68" ht="13.2" customHeight="1" s="37">
      <c r="A68" s="8" t="inlineStr">
        <is>
          <t>67</t>
        </is>
      </c>
      <c r="B68" s="2" t="inlineStr">
        <is>
          <t>ข้อไม่ใช่ปัจจัยเสี่ยงกำเริบของ COPD</t>
        </is>
      </c>
      <c r="C68" s="2" t="n"/>
      <c r="D68" s="2" t="inlineStr">
        <is>
          <t>COPD / Asthma</t>
        </is>
      </c>
      <c r="E68" s="2" t="inlineStr">
        <is>
          <t>การใช้ยาพ่นจมูกแก้แพ้</t>
        </is>
      </c>
      <c r="F68" s="2" t="inlineStr">
        <is>
          <t>Salbutamol MDI 2 puffs PRN</t>
        </is>
      </c>
      <c r="G68" s="2" t="inlineStr">
        <is>
          <t>Budesonide/Formoterol 160/4.5 mcg DPI BID</t>
        </is>
      </c>
      <c r="H68" s="2" t="inlineStr">
        <is>
          <t>Fluticasone/Salmeterol 250/50 mcg DPI BID</t>
        </is>
      </c>
      <c r="I68" s="8" t="inlineStr">
        <is>
          <t>1</t>
        </is>
      </c>
      <c r="J68" s="2" t="inlineStr">
        <is>
          <t>✅ คำตอบที่ถูกต้อง: ข้อ ก. COPD / Asthma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COPD / Asthma ..............................................................................................................................................................................................................
🔍 ข้ออื่นผิดเพราะอะไร:
• ข้อ ข. (การใช้ยาพ่นจมูกแก้แพ้): ข้อนี้ไม่ใช่คำตอบที่ถูกต้องสำหรับภาวะ COPD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68" s="2" t="n"/>
      <c r="L68" s="2" t="inlineStr">
        <is>
          <t>COPD</t>
        </is>
      </c>
      <c r="M68" s="2" t="inlineStr">
        <is>
          <t>COPD / Asthma</t>
        </is>
      </c>
      <c r="N68" s="2" t="inlineStr">
        <is>
          <t>PLE_CC1_2564_All_Key ข้อ 2</t>
        </is>
      </c>
      <c r="O68" s="2" t="inlineStr">
        <is>
          <t>ข้อสอบจริง</t>
        </is>
      </c>
      <c r="P68" s="2" t="inlineStr">
        <is>
          <t>ปี 2564</t>
        </is>
      </c>
    </row>
    <row r="69" ht="13.2" customHeight="1" s="37">
      <c r="A69" s="8" t="inlineStr">
        <is>
          <t>68</t>
        </is>
      </c>
      <c r="B69" s="2" t="inlineStr">
        <is>
          <t>ข้อใดเป็นผลข้างเคียงของ salbutamol</t>
        </is>
      </c>
      <c r="C69" s="2" t="n"/>
      <c r="D69" s="2" t="inlineStr">
        <is>
          <t>COPD / Asthma</t>
        </is>
      </c>
      <c r="E69" s="2" t="inlineStr">
        <is>
          <t>Tremor / b. Bradycardia / c. Diarrhea</t>
        </is>
      </c>
      <c r="F69" s="2" t="inlineStr">
        <is>
          <t>Tiotropium Respimat 2.5 mcg 2 puffs OD</t>
        </is>
      </c>
      <c r="G69" s="2" t="inlineStr">
        <is>
          <t>Ipratropium/Fenoterol MDI PRN</t>
        </is>
      </c>
      <c r="H69" s="2" t="inlineStr">
        <is>
          <t>Montelukast 10 mg HS</t>
        </is>
      </c>
      <c r="I69" s="8" t="inlineStr">
        <is>
          <t>1</t>
        </is>
      </c>
      <c r="J69" s="2" t="inlineStr">
        <is>
          <t>✅ คำตอบที่ถูกต้อง: ข้อ ก. COPD / Asthma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COPD / Asthma com.ejournal.mahidol.ac.th/micromedex2/librarian/CS/9E4E87/ND_PR/evidencexpert/ND_P/evidencexpert/DUPLICATIONSHIELDSYNC/94B994 /ND_PG/evidencexpert/ND_B/evidencexpert/ND_AppProduct/evidencexpert/ND_T/evidencexpert/PFActionId/evidencexpert.DoIntegratedSea
🔍 ข้ออื่นผิดเพราะอะไร:
• ข้อ ข. (Tremor / b. Bradycardia / c. Diarrhea): ข้อนี้ไม่ใช่คำตอบที่ถูกต้องสำหรับภาวะ Asthma เนื่องจากกลไกการออกฤทธิ์, efficacy หรือข้อบ่งใช้ไม่ตรงกับโจทย์ที่กำหนด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69" s="2" t="n"/>
      <c r="L69" s="2" t="inlineStr">
        <is>
          <t>Asthma</t>
        </is>
      </c>
      <c r="M69" s="2" t="inlineStr">
        <is>
          <t>COPD / Asthma</t>
        </is>
      </c>
      <c r="N69" s="2" t="inlineStr">
        <is>
          <t>PLE_CC1_2564_All_Key ข้อ 3</t>
        </is>
      </c>
      <c r="O69" s="2" t="inlineStr">
        <is>
          <t>ข้อสอบจริง</t>
        </is>
      </c>
      <c r="P69" s="2" t="inlineStr">
        <is>
          <t>ปี 2564</t>
        </is>
      </c>
    </row>
    <row r="70" ht="13.2" customHeight="1" s="37">
      <c r="A70" s="8" t="inlineStr">
        <is>
          <t>68</t>
        </is>
      </c>
      <c r="B70" s="2" t="inlineStr">
        <is>
          <t>ข้อใดเป็นส่วนที่สำคัญที่สุดของ aerosol inhalations X non-selective B-blocker unwise active asthma (equomotair ~</t>
        </is>
      </c>
      <c r="C70" s="2" t="n"/>
      <c r="D70" s="2" t="inlineStr">
        <is>
          <t>Propellant</t>
        </is>
      </c>
      <c r="E70" s="2" t="inlineStr">
        <is>
          <t>Glidant</t>
        </is>
      </c>
      <c r="F70" s="2" t="inlineStr">
        <is>
          <t>Cosolvent</t>
        </is>
      </c>
      <c r="G70" s="2" t="inlineStr">
        <is>
          <t>Antioxidant</t>
        </is>
      </c>
      <c r="H70" s="2" t="inlineStr">
        <is>
          <t>Wetting agent</t>
        </is>
      </c>
      <c r="I70" s="8" t="inlineStr">
        <is>
          <t>1</t>
        </is>
      </c>
      <c r="J70" s="2" t="inlineStr">
        <is>
          <t>✅ คำตอบที่ถูกต้อง: ข้อ ก. Propellant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Propellant การเลือก Propellant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(Glidant): ข้อนี้ไม่ใช่คำตอบที่ถูกต้องสำหรับภาวะ Asthma เนื่องจากกลไกการออกฤทธิ์, efficacy หรือข้อบ่งใช้ไม่ตรงกับโจทย์ที่กำหนด
• ข้อ ค. (Cosolvent): ข้อนี้ไม่ใช่คำตอบที่ถูกต้องสำหรับภาวะ Asthma เนื่องจากกลไกการออกฤทธิ์, efficacy หรือข้อบ่งใช้ไม่ตรงกับโจทย์ที่กำหนด
• ข้อ ง. (Antioxidant): ข้อนี้ไม่ใช่คำตอบที่ถูกต้องสำหรับภาวะ Asthma เนื่องจากกลไกการออกฤทธิ์, efficacy หรือข้อบ่งใช้ไม่ตรงกับโจทย์ที่กำหนด
• ข้อ จ. (Wetting agent):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0" s="2" t="n"/>
      <c r="L70" s="2" t="inlineStr">
        <is>
          <t>Asthma</t>
        </is>
      </c>
      <c r="M70" s="2" t="inlineStr">
        <is>
          <t>Clinic</t>
        </is>
      </c>
      <c r="N70" s="2" t="inlineStr">
        <is>
          <t>ข้อ 67 (PLE_CC1_2562_Key.md)</t>
        </is>
      </c>
      <c r="O70" s="2" t="inlineStr">
        <is>
          <t>ข้อสอบจริง</t>
        </is>
      </c>
      <c r="P70" s="2" t="inlineStr">
        <is>
          <t>ปี 2562</t>
        </is>
      </c>
    </row>
    <row r="71" ht="13.2" customHeight="1" s="37">
      <c r="A71" s="8" t="inlineStr">
        <is>
          <t>69</t>
        </is>
      </c>
      <c r="B71" s="2" t="inlineStr">
        <is>
          <t>ขนาดยา aerosol evohaler ดูดซึมเข้าปอดได้ดีที่สุด X X - X ~ -</t>
        </is>
      </c>
      <c r="C71" s="2" t="n"/>
      <c r="D71" s="2" t="inlineStr">
        <is>
          <t>&gt; 100 ไมโครเมตร</t>
        </is>
      </c>
      <c r="E71" s="2" t="inlineStr">
        <is>
          <t>50-100 ไมโครเมตร</t>
        </is>
      </c>
      <c r="F71" s="2" t="inlineStr">
        <is>
          <t>31-49 ไมโครเมตร</t>
        </is>
      </c>
      <c r="G71" s="2" t="inlineStr">
        <is>
          <t>5-30 ไมโครเมตร</t>
        </is>
      </c>
      <c r="H71" s="2" t="inlineStr">
        <is>
          <t>&lt;5 ไมโครเมตร</t>
        </is>
      </c>
      <c r="I71" s="8" t="inlineStr">
        <is>
          <t>1</t>
        </is>
      </c>
      <c r="J71" s="2" t="inlineStr">
        <is>
          <t>✅ คำตอบที่ถูกต้อง: ข้อ ก. &gt; 100 ไมโครเมตร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&gt; 100 ไมโครเมตร การเลือก &gt; 100 ไมโครเมตร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(50-100 ไมโครเมตร): ข้อนี้ไม่ใช่คำตอบที่ถูกต้องสำหรับภาวะ Asthma เนื่องจากกลไกการออกฤทธิ์, efficacy หรือข้อบ่งใช้ไม่ตรงกับโจทย์ที่กำหนด
• ข้อ ค. (31-49 ไมโครเมตร): ข้อนี้ไม่ใช่คำตอบที่ถูกต้องสำหรับภาวะ Asthma เนื่องจากกลไกการออกฤทธิ์, efficacy หรือข้อบ่งใช้ไม่ตรงกับโจทย์ที่กำหนด
• ข้อ ง. (5-30 ไมโครเมตร): ข้อนี้ไม่ใช่คำตอบที่ถูกต้องสำหรับภาวะ Asthma เนื่องจากกลไกการออกฤทธิ์, efficacy หรือข้อบ่งใช้ไม่ตรงกับโจทย์ที่กำหนด
• ข้อ จ. (&lt;5 ไมโครเมตร):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1" s="2" t="n"/>
      <c r="L71" s="2" t="inlineStr">
        <is>
          <t>Asthma</t>
        </is>
      </c>
      <c r="M71" s="2" t="inlineStr">
        <is>
          <t>Clinic</t>
        </is>
      </c>
      <c r="N71" s="2" t="inlineStr">
        <is>
          <t>ข้อ 69 (PLE_CC1_2562_Key.md)</t>
        </is>
      </c>
      <c r="O71" s="2" t="inlineStr">
        <is>
          <t>ข้อสอบจริง</t>
        </is>
      </c>
      <c r="P71" s="2" t="inlineStr">
        <is>
          <t>ปี 2562</t>
        </is>
      </c>
    </row>
    <row r="72" ht="13.2" customHeight="1" s="37">
      <c r="A72" s="8" t="inlineStr">
        <is>
          <t>70</t>
        </is>
      </c>
      <c r="B72" s="2" t="inlineStr">
        <is>
          <t>2 เดือนต่อมาผู้ป่วยยังคงต้องใช้ salbutamol บ่อย ๆ ยาใดไม่ควรให้เสริมในผู้ป่วยรายนี้</t>
        </is>
      </c>
      <c r="C72" s="2" t="n"/>
      <c r="D72" s="2" t="inlineStr">
        <is>
          <t>Salmeterol</t>
        </is>
      </c>
      <c r="E72" s="2" t="inlineStr">
        <is>
          <t>Formoterol</t>
        </is>
      </c>
      <c r="F72" s="2" t="inlineStr">
        <is>
          <t>Prednisolone</t>
        </is>
      </c>
      <c r="G72" s="2" t="inlineStr">
        <is>
          <t>Bambuterol</t>
        </is>
      </c>
      <c r="H72" s="2" t="inlineStr">
        <is>
          <t>Theophylline ห้ามนำไปทำซ้ำทุกกรณี เว้นแต่จะได้รับอนุญาต</t>
        </is>
      </c>
      <c r="I72" s="8" t="inlineStr">
        <is>
          <t>1</t>
        </is>
      </c>
      <c r="J72" s="2" t="inlineStr">
        <is>
          <t>✅ คำตอบที่ถูกต้อง: ข้อ ก. Salmeterol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Salmeterol การเลือก Salmeterol เป็นคำตอบที่ถูกต้องตามแนวทางการรักษามาตรฐาน เนื่องจาก เป็น LABA ที่มี onset ช้า (10-20 นาที) จึงใช้เป็น maintenance bronchodilator เท่านั้น ห้ามใช้เป็น reliever เด็ดขาด
🔍 ข้ออื่นผิดเพราะอะไร:
• ข้อ ข. (Formoterol): เป็น LABA ที่มี onset รวดเร็ว (1-3 นาที) และออกฤทธิ์นาน 12 ชม. สามารถใช้ร่วมกับ ICS (ICS-formoterol) เป็นได้ทั้ง maintenance และ reliever (MART / AIR strategy)
• ข้อ ค. (Prednisolone): เป็น intermediate-acting systemic corticosteroid ขนาดยอดนิยมสำหรับ immunosuppressive &amp; anti-inflammatory therapy ต้องระวัง Cushingoid, infection, osteoporosis, peptic ulcer
• ข้อ ง. (Bambuterol): ข้อนี้ไม่ใช่คำตอบที่ถูกต้องสำหรับภาวะ Asthma เนื่องจากกลไกการออกฤทธิ์, efficacy หรือข้อบ่งใช้ไม่ตรงกับโจทย์ที่กำหนด
• ข้อ จ. (Theophylline ห้ามนำไปทำซ้ำทุกกรณี เว้นแต่จะได้รับอนุญาต):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72" s="2" t="n"/>
      <c r="L72" s="2" t="inlineStr">
        <is>
          <t>Asthma</t>
        </is>
      </c>
      <c r="M72" s="2" t="inlineStr">
        <is>
          <t>Clinic</t>
        </is>
      </c>
      <c r="N72" s="2" t="inlineStr">
        <is>
          <t>ข้อ 29 (PLE_CC1_2558_Key.md)</t>
        </is>
      </c>
      <c r="O72" s="2" t="inlineStr">
        <is>
          <t>ข้อสอบจริง</t>
        </is>
      </c>
      <c r="P72" s="2" t="inlineStr">
        <is>
          <t>ปี 2558</t>
        </is>
      </c>
    </row>
    <row r="73" ht="13.2" customHeight="1" s="37">
      <c r="A73" s="8" t="inlineStr">
        <is>
          <t>71</t>
        </is>
      </c>
      <c r="B73" s="2" t="inlineStr">
        <is>
          <t>ยา tiotropium 18 mcg มี half-life 120 hr, BA 20%, volume of distribution 36 L/kg pt. หนัก 50 kg สมมุติว่ายากิน equivalent กับยาฉีด ยานี้ มีระดับยาในเลือดสูงสุดเท่าไหร่</t>
        </is>
      </c>
      <c r="C73" s="2" t="n"/>
      <c r="D73" s="2" t="inlineStr">
        <is>
          <t>2 ng/L</t>
        </is>
      </c>
      <c r="E73" s="2" t="inlineStr">
        <is>
          <t>0.2 ng/L</t>
        </is>
      </c>
      <c r="F73" s="2" t="inlineStr">
        <is>
          <t>10 ng/L</t>
        </is>
      </c>
      <c r="G73" s="2" t="inlineStr">
        <is>
          <t>18 ng/L</t>
        </is>
      </c>
      <c r="H73" s="2" t="inlineStr">
        <is>
          <t>20 ng/L กรณีศึกษา 7 คนไข้อ้วน ชอบกินมื้อเย็นแล้วนอนเลย ชอบดื่มนม สูบบุหรี่ แสบยอดอก ชอบกินอาหารเผ็ดๆ มียาหลายตัว</t>
        </is>
      </c>
      <c r="I73" s="8" t="inlineStr">
        <is>
          <t>1</t>
        </is>
      </c>
      <c r="J73" s="2" t="inlineStr">
        <is>
          <t>✅ คำตอบที่ถูกต้อง: ข้อ ก. 2 ng/L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2 ng/L การเลือก 2 ng/L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(0.2 ng/L): ข้อนี้ไม่ใช่คำตอบที่ถูกต้องสำหรับภาวะ Asthma เนื่องจากกลไกการออกฤทธิ์, efficacy หรือข้อบ่งใช้ไม่ตรงกับโจทย์ที่กำหนด
• ข้อ ค. (10 ng/L): ข้อนี้ไม่ใช่คำตอบที่ถูกต้องสำหรับภาวะ Asthma เนื่องจากกลไกการออกฤทธิ์, efficacy หรือข้อบ่งใช้ไม่ตรงกับโจทย์ที่กำหนด
• ข้อ ง. (18 ng/L): ข้อนี้ไม่ใช่คำตอบที่ถูกต้องสำหรับภาวะ Asthma เนื่องจากกลไกการออกฤทธิ์, efficacy หรือข้อบ่งใช้ไม่ตรงกับโจทย์ที่กำหนด
• ข้อ จ. (20 ng/L กรณีศึกษา 7 คนไข้อ้วน ชอบกินมื้อเย็นแล้วนอนเลย ชอบดื่มนม สูบบุหรี่ แสบยอดอก ชอบกินอาหารเผ็ดๆ มียาหลายตัว):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73" s="2" t="n"/>
      <c r="L73" s="2" t="inlineStr">
        <is>
          <t>Asthma</t>
        </is>
      </c>
      <c r="M73" s="2" t="inlineStr">
        <is>
          <t>Clinic</t>
        </is>
      </c>
      <c r="N73" s="2" t="inlineStr">
        <is>
          <t>ข้อ 46 (PLE_CC1_2558_Key.md)</t>
        </is>
      </c>
      <c r="O73" s="2" t="inlineStr">
        <is>
          <t>ข้อสอบจริง</t>
        </is>
      </c>
      <c r="P73" s="2" t="inlineStr">
        <is>
          <t>ปี 2558</t>
        </is>
      </c>
    </row>
    <row r="74" ht="13.2" customHeight="1" s="37">
      <c r="A74" s="8" t="inlineStr">
        <is>
          <t>72</t>
        </is>
      </c>
      <c r="B74" s="2"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C74" s="2" t="n"/>
      <c r="D74" s="2" t="inlineStr">
        <is>
          <t>Sputum culture</t>
        </is>
      </c>
      <c r="E74" s="2" t="inlineStr">
        <is>
          <t>Physical Examination</t>
        </is>
      </c>
      <c r="F74" s="2" t="inlineStr">
        <is>
          <t>Complete blood count</t>
        </is>
      </c>
      <c r="G74" s="2" t="inlineStr">
        <is>
          <t>Peak flow meter</t>
        </is>
      </c>
      <c r="H74" s="2" t="inlineStr">
        <is>
          <t>Lung function Spirometry</t>
        </is>
      </c>
      <c r="I74" s="8" t="inlineStr">
        <is>
          <t>1</t>
        </is>
      </c>
      <c r="J74" s="2" t="inlineStr">
        <is>
          <t>✅ คำตอบที่ถูกต้อง: ข้อ ก. Sputum culture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Sputum culture การเลือก Sputum culture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(Physical Examination): ข้อนี้ไม่ใช่คำตอบที่ถูกต้องสำหรับภาวะ Asthma เนื่องจากกลไกการออกฤทธิ์, efficacy หรือข้อบ่งใช้ไม่ตรงกับโจทย์ที่กำหนด
• ข้อ ค. (Complete blood count): ข้อนี้ไม่ใช่คำตอบที่ถูกต้องสำหรับภาวะ Asthma เนื่องจากกลไกการออกฤทธิ์, efficacy หรือข้อบ่งใช้ไม่ตรงกับโจทย์ที่กำหนด
• ข้อ ง. (Peak flow meter): ข้อนี้ไม่ใช่คำตอบที่ถูกต้องสำหรับภาวะ Asthma เนื่องจากกลไกการออกฤทธิ์, efficacy หรือข้อบ่งใช้ไม่ตรงกับโจทย์ที่กำหนด
• ข้อ จ. (Lung function Spirometry):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4" s="2" t="n"/>
      <c r="L74" s="2" t="inlineStr">
        <is>
          <t>Asthma</t>
        </is>
      </c>
      <c r="M74" s="2" t="inlineStr">
        <is>
          <t>Clinic</t>
        </is>
      </c>
      <c r="N74" s="2" t="inlineStr">
        <is>
          <t>ข้อ 60 (Pharmtutor_2024_Set1.md)</t>
        </is>
      </c>
      <c r="O74" s="2" t="inlineStr">
        <is>
          <t>Mock</t>
        </is>
      </c>
      <c r="P74" s="2" t="inlineStr">
        <is>
          <t>Mock Pharmtutor 2024</t>
        </is>
      </c>
    </row>
    <row r="75" ht="13.2" customHeight="1" s="37">
      <c r="A75" s="8" t="inlineStr">
        <is>
          <t>73</t>
        </is>
      </c>
      <c r="B75" s="2" t="inlineStr">
        <is>
          <t>ข้อใดคือเกณฑ์ในการวินิจฉัยที่จำเป็นที่สุดในการแยกโรคของผู้ป่วยปอดอักเสบ</t>
        </is>
      </c>
      <c r="C75" s="2" t="n"/>
      <c r="D75" s="2" t="inlineStr">
        <is>
          <t>Blood Culture</t>
        </is>
      </c>
      <c r="E75" s="2" t="inlineStr">
        <is>
          <t>Sputum Culture</t>
        </is>
      </c>
      <c r="F75" s="2" t="inlineStr">
        <is>
          <t>Chest-X Ray</t>
        </is>
      </c>
      <c r="G75" s="2" t="inlineStr">
        <is>
          <t>Serology</t>
        </is>
      </c>
      <c r="H75" s="2" t="inlineStr">
        <is>
          <t>Arterial blood gas</t>
        </is>
      </c>
      <c r="I75" s="8" t="inlineStr">
        <is>
          <t>1</t>
        </is>
      </c>
      <c r="J75" s="2" t="inlineStr">
        <is>
          <t>✅ คำตอบที่ถูกต้อง: ข้อ ก. Blood Culture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Blood Culture การเลือก Blood Culture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(Sputum Culture): ข้อนี้ไม่ใช่คำตอบที่ถูกต้องสำหรับภาวะ Asthma เนื่องจากกลไกการออกฤทธิ์, efficacy หรือข้อบ่งใช้ไม่ตรงกับโจทย์ที่กำหนด
• ข้อ ค. (Chest-X Ray): ข้อนี้ไม่ใช่คำตอบที่ถูกต้องสำหรับภาวะ Asthma เนื่องจากกลไกการออกฤทธิ์, efficacy หรือข้อบ่งใช้ไม่ตรงกับโจทย์ที่กำหนด
• ข้อ ง. (Serology): ข้อนี้ไม่ใช่คำตอบที่ถูกต้องสำหรับภาวะ Asthma เนื่องจากกลไกการออกฤทธิ์, efficacy หรือข้อบ่งใช้ไม่ตรงกับโจทย์ที่กำหนด
• ข้อ จ. (Arterial blood gas):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5" s="2" t="n"/>
      <c r="L75" s="2" t="inlineStr">
        <is>
          <t>Asthma</t>
        </is>
      </c>
      <c r="M75" s="2" t="inlineStr">
        <is>
          <t>Clinic</t>
        </is>
      </c>
      <c r="N75" s="2" t="inlineStr">
        <is>
          <t>ข้อ 45 (Pharmtutor_2024_Set2.md)</t>
        </is>
      </c>
      <c r="O75" s="2" t="inlineStr">
        <is>
          <t>Mock</t>
        </is>
      </c>
      <c r="P75" s="2" t="inlineStr">
        <is>
          <t>Mock Pharmtutor 2024</t>
        </is>
      </c>
    </row>
    <row r="76" ht="13.2" customHeight="1" s="37">
      <c r="A76" s="8" t="inlineStr">
        <is>
          <t>74</t>
        </is>
      </c>
      <c r="B76" s="2" t="inlineStr">
        <is>
          <t>จากโครงสร้างของ salbutamol ที่กำหนดให้ หมู่ฟังก์ชั่นใดที่ทำให้ salbutamol ออกฤทธิ์จำเพาะต่อ β receptor</t>
        </is>
      </c>
      <c r="C76" s="2" t="n"/>
      <c r="D76" s="2" t="inlineStr">
        <is>
          <t>A – hydroxyl group</t>
        </is>
      </c>
      <c r="E76" s="2" t="inlineStr">
        <is>
          <t>B – methanol group</t>
        </is>
      </c>
      <c r="F76" s="2" t="inlineStr">
        <is>
          <t>C – aromatic ring</t>
        </is>
      </c>
      <c r="G76" s="2" t="inlineStr">
        <is>
          <t>D – hydroxyl group</t>
        </is>
      </c>
      <c r="H76" s="2" t="inlineStr">
        <is>
          <t>E – tert-butyl group</t>
        </is>
      </c>
      <c r="I76" s="8" t="inlineStr">
        <is>
          <t>1</t>
        </is>
      </c>
      <c r="J76" s="2" t="inlineStr">
        <is>
          <t>✅ คำตอบที่ถูกต้อง: ข้อ ก. A – hydroxyl group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A – hydroxyl group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(B – methanol group): ข้อนี้ไม่ใช่คำตอบที่ถูกต้องสำหรับภาวะ Asthma เนื่องจากกลไกการออกฤทธิ์, efficacy หรือข้อบ่งใช้ไม่ตรงกับโจทย์ที่กำหนด
• ข้อ ค. (C – aromatic ring): ข้อนี้ไม่ใช่คำตอบที่ถูกต้องสำหรับภาวะ Asthma เนื่องจากกลไกการออกฤทธิ์, efficacy หรือข้อบ่งใช้ไม่ตรงกับโจทย์ที่กำหนด
• ข้อ ง. (D – hydroxyl group): ข้อนี้ไม่ใช่คำตอบที่ถูกต้องสำหรับภาวะ Asthma เนื่องจากกลไกการออกฤทธิ์, efficacy หรือข้อบ่งใช้ไม่ตรงกับโจทย์ที่กำหนด
• ข้อ จ. (E – tert-butyl group):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76" s="2" t="n"/>
      <c r="L76" s="2" t="inlineStr">
        <is>
          <t>Asthma</t>
        </is>
      </c>
      <c r="M76" s="2" t="inlineStr">
        <is>
          <t>Clinic</t>
        </is>
      </c>
      <c r="N76" s="2" t="inlineStr">
        <is>
          <t>ข้อ 60 (Pharmtutor_2024_Set2.md)</t>
        </is>
      </c>
      <c r="O76" s="2" t="inlineStr">
        <is>
          <t>Mock</t>
        </is>
      </c>
      <c r="P76" s="2" t="inlineStr">
        <is>
          <t>Mock Pharmtutor 2024</t>
        </is>
      </c>
    </row>
    <row r="77" ht="13.2" customHeight="1" s="37">
      <c r="A77" s="8" t="inlineStr">
        <is>
          <t>75</t>
        </is>
      </c>
      <c r="B77" s="2" t="inlineStr">
        <is>
          <t>ยาพ่นสูด ในรูปแบบ β2-selective adrenergic receptor agonists MDI (metered dose inhalers) ควรมีลักษณะ แบบใด</t>
        </is>
      </c>
      <c r="C77" s="2" t="n"/>
      <c r="D77" s="2" t="inlineStr">
        <is>
          <t>ขนาดอนุภาคของตัวยาควรอยู่ระหว่าง 1-3 μm</t>
        </is>
      </c>
      <c r="E77" s="2" t="inlineStr">
        <is>
          <t>ขนาดอนุภาคอยู่ระหว่าง 5-10 μm</t>
        </is>
      </c>
      <c r="F77" s="2" t="inlineStr">
        <is>
          <t>ตัวยาหวังผลให้ไปจับกับ receptor ที่ทางเดินหายใจส่วนปลาย</t>
        </is>
      </c>
      <c r="G77" s="2" t="inlineStr">
        <is>
          <t>ใช้ lactose เพื่อปรับปรุงรสชาติ</t>
        </is>
      </c>
      <c r="H77" s="2" t="inlineStr">
        <is>
          <t>นิยมใช้ chlorofluorocarbon เป็นตัวสารขับดัน</t>
        </is>
      </c>
      <c r="I77" s="8" t="inlineStr">
        <is>
          <t>1</t>
        </is>
      </c>
      <c r="J77" s="2" t="inlineStr">
        <is>
          <t>✅ คำตอบที่ถูกต้อง: ข้อ ก. ขนาดอนุภาคของตัวยาควรอยู่ระหว่าง 1-3 μm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ขนาดอนุภาคของตัวยาควรอยู่ระหว่าง 1-3 μm การเลือก ขนาดอนุภาคของตัวยาควรอยู่ระหว่าง 1-3 μm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(ขนาดอนุภาคอยู่ระหว่าง 5-10 μm): ข้อนี้ไม่ใช่คำตอบที่ถูกต้องสำหรับภาวะ Asthma เนื่องจากกลไกการออกฤทธิ์, efficacy หรือข้อบ่งใช้ไม่ตรงกับโจทย์ที่กำหนด
• ข้อ ค. (ตัวยาหวังผลให้ไปจับกับ receptor ที่ทางเดินหายใจส่วนปลาย): ข้อนี้ไม่ใช่คำตอบที่ถูกต้องสำหรับภาวะ Asthma เนื่องจากกลไกการออกฤทธิ์, efficacy หรือข้อบ่งใช้ไม่ตรงกับโจทย์ที่กำหนด
• ข้อ ง. (ใช้ lactose เพื่อปรับปรุงรสชาติ): เป็น Diluent / Filler ยอดนิยม ละลายน้ำได้ดี ให้ mouthfeel ที่ดี แต่เกิด Maillard reaction (เม็ดยาเปลี่ยนเป็นสีน้ำตาล) เมื่อผสมกับ primary amine drugs
• ข้อ จ. (นิยมใช้ chlorofluorocarbon เป็นตัวสารขับดัน):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7" s="2" t="n"/>
      <c r="L77" s="2" t="inlineStr">
        <is>
          <t>Asthma</t>
        </is>
      </c>
      <c r="M77" s="2" t="inlineStr">
        <is>
          <t>Clinic</t>
        </is>
      </c>
      <c r="N77" s="2" t="inlineStr">
        <is>
          <t>ข้อ 61 (Pharmtutor_2024_Set2.md)</t>
        </is>
      </c>
      <c r="O77" s="2" t="inlineStr">
        <is>
          <t>Mock</t>
        </is>
      </c>
      <c r="P77" s="2" t="inlineStr">
        <is>
          <t>Mock Pharmtutor 2024</t>
        </is>
      </c>
    </row>
    <row r="78" ht="13.2" customHeight="1" s="37">
      <c r="A78" s="8" t="inlineStr">
        <is>
          <t>76</t>
        </is>
      </c>
      <c r="B78" s="2" t="inlineStr">
        <is>
          <t>ข้อใดคือข้อแนะนำของการใช้ Salbutamol MDI</t>
        </is>
      </c>
      <c r="C78" s="2" t="n"/>
      <c r="D78" s="2" t="inlineStr">
        <is>
          <t>หายใจออกทางปาก ช้า ลึก</t>
        </is>
      </c>
      <c r="E78" s="2" t="inlineStr">
        <is>
          <t>หายใจออกทางปาก เร็ว ลึก</t>
        </is>
      </c>
      <c r="F78" s="2" t="inlineStr">
        <is>
          <t>หายใจเข้าทางปาก ช้า ลึก</t>
        </is>
      </c>
      <c r="G78" s="2" t="inlineStr">
        <is>
          <t>หายใจเข้าทางปาก เร็ว ลึก</t>
        </is>
      </c>
      <c r="H78" s="2" t="inlineStr">
        <is>
          <t>หายใจเข้าทางปาก เร็ว แรง ลึก</t>
        </is>
      </c>
      <c r="I78" s="8" t="inlineStr">
        <is>
          <t>1</t>
        </is>
      </c>
      <c r="J78" s="2" t="inlineStr">
        <is>
          <t>✅ คำตอบที่ถูกต้อง: ข้อ ก. หายใจออกทางปาก ช้า ลึก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หายใจออกทางปาก ช้า ลึก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(หายใจออกทางปาก เร็ว ลึก): ข้อนี้ไม่ใช่คำตอบที่ถูกต้องสำหรับภาวะ Asthma เนื่องจากกลไกการออกฤทธิ์, efficacy หรือข้อบ่งใช้ไม่ตรงกับโจทย์ที่กำหนด
• ข้อ ค. (หายใจเข้าทางปาก ช้า ลึก): ข้อนี้ไม่ใช่คำตอบที่ถูกต้องสำหรับภาวะ Asthma เนื่องจากกลไกการออกฤทธิ์, efficacy หรือข้อบ่งใช้ไม่ตรงกับโจทย์ที่กำหนด
• ข้อ ง. (หายใจเข้าทางปาก เร็ว ลึก): ข้อนี้ไม่ใช่คำตอบที่ถูกต้องสำหรับภาวะ Asthma เนื่องจากกลไกการออกฤทธิ์, efficacy หรือข้อบ่งใช้ไม่ตรงกับโจทย์ที่กำหนด
• ข้อ จ. (หายใจเข้าทางปาก เร็ว แรง ลึก):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78" s="2" t="n"/>
      <c r="L78" s="2" t="inlineStr">
        <is>
          <t>Asthma</t>
        </is>
      </c>
      <c r="M78" s="2" t="inlineStr">
        <is>
          <t>Clinic</t>
        </is>
      </c>
      <c r="N78" s="2" t="inlineStr">
        <is>
          <t>ข้อ 63 (Pharmtutor_2024_Set2.md)</t>
        </is>
      </c>
      <c r="O78" s="2" t="inlineStr">
        <is>
          <t>Mock</t>
        </is>
      </c>
      <c r="P78" s="2" t="inlineStr">
        <is>
          <t>Mock Pharmtutor 2024</t>
        </is>
      </c>
    </row>
    <row r="79" ht="13.2" customHeight="1" s="37">
      <c r="A79" s="8" t="inlineStr">
        <is>
          <t>77</t>
        </is>
      </c>
      <c r="B79" s="2" t="inlineStr">
        <is>
          <t>ในการตั้งตำหรับ Dry powder inhaler (DPI) ข้อใดต่อไปนี้ไม่ถูกต้อง</t>
        </is>
      </c>
      <c r="C79" s="2" t="n"/>
      <c r="D79" s="2" t="inlineStr">
        <is>
          <t>ขนาดอนุภาคตัวยาอยู่ระหว่าง 1-5 ไมครอน</t>
        </is>
      </c>
      <c r="E79" s="2" t="inlineStr">
        <is>
          <t>รูปแบบยาเป็นสารละลาย หรือ ยาแขวนตะกอน</t>
        </is>
      </c>
      <c r="F79" s="2" t="inlineStr">
        <is>
          <t>ไม่จำเป็นต้องใช้สารขับดัน</t>
        </is>
      </c>
      <c r="G79" s="2" t="inlineStr">
        <is>
          <t>ตัวยาเป็นลักษณะผงแห้ง</t>
        </is>
      </c>
      <c r="H79" s="2" t="inlineStr">
        <is>
          <t>ตัวยาสำคัญมีสมบัติละลายน้ำหรือไม่ละลายน้ำก็ได้</t>
        </is>
      </c>
      <c r="I79" s="8" t="inlineStr">
        <is>
          <t>1</t>
        </is>
      </c>
      <c r="J79" s="2" t="inlineStr">
        <is>
          <t>✅ คำตอบที่ถูกต้อง: ข้อ ก. ขนาดอนุภาคตัวยาอยู่ระหว่าง 1-5 ไมครอน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ขนาดอนุภาคตัวยาอยู่ระหว่าง 1-5 ไมครอน การเลือก ขนาดอนุภาคตัวยาอยู่ระหว่าง 1-5 ไมครอน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(รูปแบบยาเป็นสารละลาย หรือ ยาแขวนตะกอน): ข้อนี้ไม่ใช่คำตอบที่ถูกต้องสำหรับภาวะ Asthma เนื่องจากกลไกการออกฤทธิ์, efficacy หรือข้อบ่งใช้ไม่ตรงกับโจทย์ที่กำหนด
• ข้อ ค. (ไม่จำเป็นต้องใช้สารขับดัน): ข้อนี้ไม่ใช่คำตอบที่ถูกต้องสำหรับภาวะ Asthma เนื่องจากกลไกการออกฤทธิ์, efficacy หรือข้อบ่งใช้ไม่ตรงกับโจทย์ที่กำหนด
• ข้อ ง. (ตัวยาเป็นลักษณะผงแห้ง): ข้อนี้ไม่ใช่คำตอบที่ถูกต้องสำหรับภาวะ Asthma เนื่องจากกลไกการออกฤทธิ์, efficacy หรือข้อบ่งใช้ไม่ตรงกับโจทย์ที่กำหนด
• ข้อ จ. (ตัวยาสำคัญมีสมบัติละลายน้ำหรือไม่ละลายน้ำก็ได้):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9" s="2" t="n"/>
      <c r="L79" s="2" t="inlineStr">
        <is>
          <t>Asthma</t>
        </is>
      </c>
      <c r="M79" s="2" t="inlineStr">
        <is>
          <t>Clinic</t>
        </is>
      </c>
      <c r="N79" s="2" t="inlineStr">
        <is>
          <t>ข้อ 103 (Pharmtutor_2024_Set2.md)</t>
        </is>
      </c>
      <c r="O79" s="2" t="inlineStr">
        <is>
          <t>Mock</t>
        </is>
      </c>
      <c r="P79" s="2" t="inlineStr">
        <is>
          <t>Mock Pharmtutor 2024</t>
        </is>
      </c>
    </row>
    <row r="80" ht="13.2" customHeight="1" s="37">
      <c r="A80" s="8" t="inlineStr">
        <is>
          <t>78</t>
        </is>
      </c>
      <c r="B80" s="2" t="inlineStr">
        <is>
          <t>ข้อใดกล่าวถึงลักษณะของ Metered dose inhaler (MDI) ได้ถูกต้อง</t>
        </is>
      </c>
      <c r="C80" s="2" t="n"/>
      <c r="D80" s="2" t="inlineStr">
        <is>
          <t>ขนาดอนุภาคที่เหมาะสมคือ 1-10 ไมครอน</t>
        </is>
      </c>
      <c r="E80" s="2" t="inlineStr">
        <is>
          <t>นิยมใช้สารขับดันเป็น Chloroflurocarbon (CFC)</t>
        </is>
      </c>
      <c r="F80" s="2" t="inlineStr">
        <is>
          <t>ยาจะผสมกับแก๊สเหลวในลักษณะเป็นสารละลาย หรือ ยาแขวนตะกอน</t>
        </is>
      </c>
      <c r="G80" s="2" t="inlineStr">
        <is>
          <t>นิยมเติม Lactose เข้าไปเพื่อปรับปรุงรสชาติขณะพ่นสูด</t>
        </is>
      </c>
      <c r="H80" s="2" t="inlineStr">
        <is>
          <t>ยาจะถูกฉีดพ่นออกทาง mouthpiece</t>
        </is>
      </c>
      <c r="I80" s="8" t="inlineStr">
        <is>
          <t>1</t>
        </is>
      </c>
      <c r="J80" s="2" t="inlineStr">
        <is>
          <t>✅ คำตอบที่ถูกต้อง: ข้อ ก. ขนาดอนุภาคที่เหมาะสมคือ 1-10 ไมครอน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ขนาดอนุภาคที่เหมาะสมคือ 1-10 ไมครอน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(นิยมใช้สารขับดันเป็น Chloroflurocarbon (CFC)): ข้อนี้ไม่ใช่คำตอบที่ถูกต้องสำหรับภาวะ Asthma เนื่องจากกลไกการออกฤทธิ์, efficacy หรือข้อบ่งใช้ไม่ตรงกับโจทย์ที่กำหนด
• ข้อ ค. (ยาจะผสมกับแก๊สเหลวในลักษณะเป็นสารละลาย หรือ ยาแขวนตะกอน): ข้อนี้ไม่ใช่คำตอบที่ถูกต้องสำหรับภาวะ Asthma เนื่องจากกลไกการออกฤทธิ์, efficacy หรือข้อบ่งใช้ไม่ตรงกับโจทย์ที่กำหนด
• ข้อ ง. (นิยมเติม Lactose เข้าไปเพื่อปรับปรุงรสชาติขณะพ่นสูด): เป็น Diluent / Filler ยอดนิยม ละลายน้ำได้ดี ให้ mouthfeel ที่ดี แต่เกิด Maillard reaction (เม็ดยาเปลี่ยนเป็นสีน้ำตาล) เมื่อผสมกับ primary amine drugs
• ข้อ จ. (ยาจะถูกฉีดพ่นออกทาง mouthpiece):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0" s="2" t="n"/>
      <c r="L80" s="2" t="inlineStr">
        <is>
          <t>Asthma</t>
        </is>
      </c>
      <c r="M80" s="2" t="inlineStr">
        <is>
          <t>Clinic</t>
        </is>
      </c>
      <c r="N80" s="2" t="inlineStr">
        <is>
          <t>ข้อ 104 (Pharmtutor_2024_Set2.md)</t>
        </is>
      </c>
      <c r="O80" s="2" t="inlineStr">
        <is>
          <t>Mock</t>
        </is>
      </c>
      <c r="P80" s="2" t="inlineStr">
        <is>
          <t>Mock Pharmtutor 2024</t>
        </is>
      </c>
    </row>
    <row r="81" ht="13.2" customHeight="1" s="37">
      <c r="A81" s="8" t="inlineStr">
        <is>
          <t>79</t>
        </is>
      </c>
      <c r="B81" s="2" t="inlineStr">
        <is>
          <t>หัวข้อใดกล่าวถูกต้องเกี่ยวกับการนำส่งยาทางปอด</t>
        </is>
      </c>
      <c r="C81" s="2" t="n"/>
      <c r="D81" s="2" t="inlineStr">
        <is>
          <t>ขนาดยาที่ใช้ต่ำว่าขนาดรับประทาน</t>
        </is>
      </c>
      <c r="E81" s="2" t="inlineStr">
        <is>
          <t>ยาบางส่วนถูก first pass-metabolism</t>
        </is>
      </c>
      <c r="F81" s="2" t="inlineStr">
        <is>
          <t>อาจทำให้เกิดผลข้างเคียง หรืออาการไม่พึงประสงค์จากการใช้ยา เพราะตัวยาเกาะที่เนื้อเยื่อโดยตรง</t>
        </is>
      </c>
      <c r="G81" s="2" t="inlineStr">
        <is>
          <t>ยาพ่นสูดแบบ DPI จำเป็นต้องกลั้นหายใจขณะใช้ยา เพราะใช้หลักการ Inspiratory flow rate</t>
        </is>
      </c>
      <c r="H81" s="2" t="inlineStr">
        <is>
          <t>ถูกทุกข้อ</t>
        </is>
      </c>
      <c r="I81" s="8" t="inlineStr">
        <is>
          <t>1</t>
        </is>
      </c>
      <c r="J81" s="2" t="inlineStr">
        <is>
          <t>✅ คำตอบที่ถูกต้อง: ข้อ ก. ขนาดยาที่ใช้ต่ำว่าขนาดรับประทาน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ขนาดยาที่ใช้ต่ำว่าขนาดรับประทาน การเลือก ขนาดยาที่ใช้ต่ำว่าขนาดรับประทาน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(ยาบางส่วนถูก first pass-metabolism): ข้อนี้ไม่ใช่คำตอบที่ถูกต้องสำหรับภาวะ Asthma เนื่องจากกลไกการออกฤทธิ์, efficacy หรือข้อบ่งใช้ไม่ตรงกับโจทย์ที่กำหนด
• ข้อ ค. (อาจทำให้เกิดผลข้างเคียง หรืออาการไม่พึงประสงค์จากการใช้ยา เพราะตัวยาเกาะที่เนื้อเยื่อโดยตรง): ข้อนี้ไม่ใช่คำตอบที่ถูกต้องสำหรับภาวะ Asthma เนื่องจากกลไกการออกฤทธิ์, efficacy หรือข้อบ่งใช้ไม่ตรงกับโจทย์ที่กำหนด
• ข้อ ง. (ยาพ่นสูดแบบ DPI จำเป็นต้องกลั้นหายใจขณะใช้ยา เพราะใช้หลักการ Inspiratory flow rate): ข้อนี้ไม่ใช่คำตอบที่ถูกต้องสำหรับภาวะ Asthma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1" s="2" t="n"/>
      <c r="L81" s="2" t="inlineStr">
        <is>
          <t>Asthma</t>
        </is>
      </c>
      <c r="M81" s="2" t="inlineStr">
        <is>
          <t>Clinic</t>
        </is>
      </c>
      <c r="N81" s="2" t="inlineStr">
        <is>
          <t>ข้อ 105 (Pharmtutor_2024_Set2.md)</t>
        </is>
      </c>
      <c r="O81" s="2" t="inlineStr">
        <is>
          <t>Mock</t>
        </is>
      </c>
      <c r="P81" s="2" t="inlineStr">
        <is>
          <t>Mock Pharmtutor 2024</t>
        </is>
      </c>
    </row>
    <row r="82" ht="13.2" customHeight="1" s="37">
      <c r="A82" s="8" t="inlineStr">
        <is>
          <t>80</t>
        </is>
      </c>
      <c r="B82" s="2" t="inlineStr">
        <is>
          <t>ข้อใดเป็นผลข้างเคียงของยาพ่น salbutamol</t>
        </is>
      </c>
      <c r="C82" s="2" t="n"/>
      <c r="D82" s="2" t="inlineStr">
        <is>
          <t>ใจสั่น</t>
        </is>
      </c>
      <c r="E82" s="2" t="inlineStr">
        <is>
          <t>hyperkalemia</t>
        </is>
      </c>
      <c r="F82" s="2" t="inlineStr">
        <is>
          <t>bradycardia</t>
        </is>
      </c>
      <c r="G82" s="2" t="inlineStr">
        <is>
          <t>oraltrush</t>
        </is>
      </c>
      <c r="H82" s="2" t="inlineStr">
        <is>
          <t>osteoporosis เหตุผล salbutamol ออกฤทธิ์ต่อตัวรับทั้งชนิด Beta 1 และ Beta 2 นอกเหนือการจากขยายหลอดลม 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 Restlessness - Diziness - Bronchospasm (inhaled salbutamol only). - Lactic acidosis Ref : http://drugs.webmd.boots.com</t>
        </is>
      </c>
      <c r="I82" s="8" t="inlineStr">
        <is>
          <t>1</t>
        </is>
      </c>
      <c r="J82" s="2" t="inlineStr">
        <is>
          <t>✅ คำตอบที่ถูกต้อง: ข้อ ก. ใจสั่น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ใจสั่น การเลือก ใจสั่น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(hyperkalemia): ข้อนี้ไม่ใช่คำตอบที่ถูกต้องสำหรับภาวะ Asthma เนื่องจากกลไกการออกฤทธิ์, efficacy หรือข้อบ่งใช้ไม่ตรงกับโจทย์ที่กำหนด
• ข้อ ค. (bradycardia): ข้อนี้ไม่ใช่คำตอบที่ถูกต้องสำหรับภาวะ Asthma เนื่องจากกลไกการออกฤทธิ์, efficacy หรือข้อบ่งใช้ไม่ตรงกับโจทย์ที่กำหนด
• ข้อ ง. (oraltrush): ข้อนี้ไม่ใช่คำตอบที่ถูกต้องสำหรับภาวะ Asthma เนื่องจากกลไกการออกฤทธิ์, efficacy หรือข้อบ่งใช้ไม่ตรงกับโจทย์ที่กำหนด
• ข้อ จ. (osteoporosis เหตุผล salbutamol ออกฤทธิ์ต่อตัวรับทั้งชนิด Beta 1 และ Beta 2 นอกเหนือการจากขยายหลอดลม 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 Restlessness - Diziness - Bronchospasm (inhaled salbutamol only). - Lactic acidosis Ref : http://drugs.webmd.boots.com):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82" s="2" t="n"/>
      <c r="L82" s="2" t="inlineStr">
        <is>
          <t>Asthma</t>
        </is>
      </c>
      <c r="M82" s="2" t="inlineStr">
        <is>
          <t>Clinic</t>
        </is>
      </c>
      <c r="N82" s="2" t="inlineStr">
        <is>
          <t>ข้อ 12 (PLE_CC1_2554 SET2.md)</t>
        </is>
      </c>
      <c r="O82" s="2" t="inlineStr">
        <is>
          <t>ข้อสอบจริง</t>
        </is>
      </c>
      <c r="P82" s="2" t="inlineStr">
        <is>
          <t>ปี 2554</t>
        </is>
      </c>
    </row>
    <row r="83" ht="13.2" customHeight="1" s="37">
      <c r="A83" s="8" t="inlineStr">
        <is>
          <t>81</t>
        </is>
      </c>
      <c r="B83" s="2" t="inlineStr">
        <is>
          <t>ต่อมาผู้ป่วยอาการไม่ดีขึ้น โดยแพทย์ประเมินว่า อยู่ใน stage2 COPD ยาในข้อใดต่อไปนี้ที่ควรได้รับเพิ่มเติมจาก salbutamol prn</t>
        </is>
      </c>
      <c r="C83" s="2" t="n"/>
      <c r="D83" s="2" t="inlineStr">
        <is>
          <t>Formoterol</t>
        </is>
      </c>
      <c r="E83" s="2" t="inlineStr">
        <is>
          <t>Ipratropium Br</t>
        </is>
      </c>
      <c r="F83" s="2" t="inlineStr">
        <is>
          <t>Tiotropium Br</t>
        </is>
      </c>
      <c r="G83" s="2" t="inlineStr">
        <is>
          <t>Budesonide</t>
        </is>
      </c>
      <c r="H83" s="2" t="inlineStr">
        <is>
          <t>Sodium cromoglycolate เหตุผล อาการของผู้ป่วยอยู่ใน stage2 COPD ยังไม่จำเป็นต้องใช้ยาสูดพ่น ICS จึงควรเพิ่มยาที่มีฤทธิ์ขยายหลอดลมเข้าไปอีก 1 ตัว โดยต้องมีกลไกในการออกฤทธิ์ที่แตกต่างจาก salbutamol Ref : GOLD guideline2014 14.ข้อใดผิดเกี่ยวกับยาพ่นชนิด MDIs</t>
        </is>
      </c>
      <c r="I83" s="8" t="inlineStr">
        <is>
          <t>1</t>
        </is>
      </c>
      <c r="J83" s="2" t="inlineStr">
        <is>
          <t>✅ คำตอบที่ถูกต้อง: ข้อ ก. Formoterol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Formoterol การเลือก Formoterol เป็นคำตอบที่ถูกต้องตามแนวทางการรักษามาตรฐาน เนื่องจาก เป็น LABA ที่มี onset รวดเร็ว (1-3 นาที) และออกฤทธิ์นาน 12 ชม. สามารถใช้ร่วมกับ ICS (ICS-formoterol) เป็นได้ทั้ง maintenance และ reliever (MART / AIR strategy)
🔍 ข้ออื่นผิดเพราะอะไร:
• ข้อ ข. (Ipratropium Br): เป็น SAMA ออกฤทธิ์ยับยั้ง cholinergic tone มักใช้ร่วมกับ SABA ใน acute moderate-to-severe asthma/COPD exacerbation
• ข้อ ค. (Tiotropium Br): เป็น Long-acting muscarinic antagonist (LAMA) มี bronchodilatory efficacy สูง เป็นแกนหลักใน COPD maintenance therapy และ add-on ใน severe asthma
• ข้อ ง.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(Sodium cromoglycolate เหตุผล อาการของผู้ป่วยอยู่ใน stage2 COPD ยังไม่จำเป็นต้องใช้ยาสูดพ่น ICS จึงควรเพิ่มยาที่มีฤทธิ์ขยายหลอดลมเข้าไปอีก 1 ตัว โดยต้องมีกลไกในการออกฤทธิ์ที่แตกต่างจาก salbutamol Ref : GOLD guideline2014 14.ข้อใดผิดเกี่ยวกับยาพ่นชนิด MDIs):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83" s="2" t="n"/>
      <c r="L83" s="2" t="inlineStr">
        <is>
          <t>Asthma</t>
        </is>
      </c>
      <c r="M83" s="2" t="inlineStr">
        <is>
          <t>Clinic</t>
        </is>
      </c>
      <c r="N83" s="2" t="inlineStr">
        <is>
          <t>ข้อ 13 (PLE_CC1_2554 SET2.md)</t>
        </is>
      </c>
      <c r="O83" s="2" t="inlineStr">
        <is>
          <t>ข้อสอบจริง</t>
        </is>
      </c>
      <c r="P83" s="2" t="inlineStr">
        <is>
          <t>ปี 2554</t>
        </is>
      </c>
    </row>
    <row r="84" ht="13.2" customHeight="1" s="37">
      <c r="A84" s="8" t="inlineStr">
        <is>
          <t>82</t>
        </is>
      </c>
      <c r="B84" s="2" t="inlineStr">
        <is>
          <t>จากการศึกษาปัจจัยการสูบบุหรี่และการเกิดโรคมะเร็งปอด ดังตารางข้างล่างให้คำนวนหาความสัมพันธ์ระหว่างปัจจัยการสูบ บุหรี่และการเกิดโรคมะเร็งปอด สูบบุหรี่ ไม่สูบบุหรี่ เป็นมะเร็ง 200 300 500 ไม่เป็นมะเร็ง 50 450 500 รวม 250 750 1,000</t>
        </is>
      </c>
      <c r="C84" s="2" t="n"/>
      <c r="D84" s="2" t="inlineStr">
        <is>
          <t>Theophylline 200 mg BID</t>
        </is>
      </c>
      <c r="E84" s="2" t="inlineStr">
        <is>
          <t>Prednisolone 40 mg OD x 5 days</t>
        </is>
      </c>
      <c r="F84" s="2" t="inlineStr">
        <is>
          <t>N-acetylcysteine 600 mg OD</t>
        </is>
      </c>
      <c r="G84" s="2" t="inlineStr">
        <is>
          <t>Beclomethasone MDI 100 mcg BID</t>
        </is>
      </c>
      <c r="H84" s="2" t="inlineStr">
        <is>
          <t>Salbutamol MDI 2 puffs PRN</t>
        </is>
      </c>
      <c r="I84" s="8" t="inlineStr">
        <is>
          <t>1</t>
        </is>
      </c>
      <c r="J84" s="2" t="inlineStr">
        <is>
          <t>✅ คำตอบที่ถูกต้อง: ข้อ ก. Theophylline 200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Asthma เนื่องจากกลไกการออกฤทธิ์, efficacy หรือข้อบ่งใช้ไม่ตรงกับโจทย์ที่กำหนด
• ข้อ ง.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4" s="2" t="n"/>
      <c r="L84" s="2" t="inlineStr">
        <is>
          <t>Asthma</t>
        </is>
      </c>
      <c r="M84" s="2" t="inlineStr">
        <is>
          <t>Clinic</t>
        </is>
      </c>
      <c r="N84" s="2" t="inlineStr">
        <is>
          <t>ข้อ 7 (PLE_CC1_2533.md)</t>
        </is>
      </c>
      <c r="O84" s="2" t="inlineStr">
        <is>
          <t>ข้อสอบจริง</t>
        </is>
      </c>
      <c r="P84" s="2" t="inlineStr">
        <is>
          <t>ปี 2533</t>
        </is>
      </c>
    </row>
    <row r="85" ht="13.2" customHeight="1" s="37">
      <c r="A85" s="8" t="inlineStr">
        <is>
          <t>83</t>
        </is>
      </c>
      <c r="B85" s="2" t="inlineStr">
        <is>
          <t>การตรวจร่างกายในผู้ป่วย chronic obstructive pulmonary disease (COPD) จะพบผลตรวจดังนี้ ยกเว้น</t>
        </is>
      </c>
      <c r="C85" s="2" t="n"/>
      <c r="D85" s="2" t="inlineStr">
        <is>
          <t>หายใจเหนื่อยอย่างเรื้อรังและความรุนแรงของอาการเหนื่อยมากขึ้นเรื่อยๆ</t>
        </is>
      </c>
      <c r="E85" s="2" t="inlineStr">
        <is>
          <t>มีอาการไอแบบเรื้อรัง</t>
        </is>
      </c>
      <c r="F85" s="2" t="inlineStr">
        <is>
          <t>ค่า FEV1/FVC เพิ่มขึ้น</t>
        </is>
      </c>
      <c r="G85" s="2" t="inlineStr">
        <is>
          <t>ค่า FEV1/FVC ลดลง</t>
        </is>
      </c>
      <c r="H85" s="2" t="inlineStr">
        <is>
          <t>ค่า FEV1 ลดลง 22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85" s="8" t="inlineStr">
        <is>
          <t>1</t>
        </is>
      </c>
      <c r="J85" s="2" t="inlineStr">
        <is>
          <t>✅ คำตอบที่ถูกต้อง: ข้อ ก. หายใจเหนื่อยอย่างเรื้อรังและความรุนแรงของอาการเหนื่อยมากขึ้นเรื่อยๆ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หายใจเหนื่อยอย่างเรื้อรังและความรุนแรงของอาการเหนื่อยมากขึ้นเรื่อยๆ การเลือก หายใจเหนื่อยอย่างเรื้อรังและความรุนแรงของอาการเหนื่อยมากขึ้นเรื่อยๆ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(มีอาการไอแบบเรื้อรัง): ข้อนี้ไม่ใช่คำตอบที่ถูกต้องสำหรับภาวะ Asthma เนื่องจากกลไกการออกฤทธิ์, efficacy หรือข้อบ่งใช้ไม่ตรงกับโจทย์ที่กำหนด
• ข้อ ค. (ค่า FEV1/FVC เพิ่มขึ้น): ข้อนี้ไม่ใช่คำตอบที่ถูกต้องสำหรับภาวะ Asthma เนื่องจากกลไกการออกฤทธิ์, efficacy หรือข้อบ่งใช้ไม่ตรงกับโจทย์ที่กำหนด
• ข้อ ง. (ค่า FEV1/FVC ลดลง): ข้อนี้ไม่ใช่คำตอบที่ถูกต้องสำหรับภาวะ Asthma เนื่องจากกลไกการออกฤทธิ์, efficacy หรือข้อบ่งใช้ไม่ตรงกับโจทย์ที่กำหนด
• ข้อ จ. (ค่า FEV1 ลดลง 22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5" s="2" t="n"/>
      <c r="L85" s="2" t="inlineStr">
        <is>
          <t>Asthma</t>
        </is>
      </c>
      <c r="M85" s="2" t="inlineStr">
        <is>
          <t>Clinic</t>
        </is>
      </c>
      <c r="N85" s="2" t="inlineStr">
        <is>
          <t>ข้อ 15 (PLE_CC1_Practice_Exam.md)</t>
        </is>
      </c>
      <c r="O85" s="2" t="inlineStr">
        <is>
          <t>Mock</t>
        </is>
      </c>
      <c r="P85" s="2" t="inlineStr">
        <is>
          <t>Mock สภาเภสัชฯ Practice</t>
        </is>
      </c>
    </row>
    <row r="86" ht="13.2" customHeight="1" s="37">
      <c r="A86" s="8" t="inlineStr">
        <is>
          <t>84</t>
        </is>
      </c>
      <c r="B86" s="2" t="inlineStr">
        <is>
          <t>ผู้ป่วยในข้อใดต่อไปนี้ที่มีโอกาสเป็น chronic obstructive pulmonary disease (COPD)</t>
        </is>
      </c>
      <c r="C86" s="2" t="n"/>
      <c r="D86" s="2" t="inlineStr">
        <is>
          <t>นาย ก สูบบุหรี่วันละ 25 มวน เป็นเวลา 7 ปี</t>
        </is>
      </c>
      <c r="E86" s="2" t="inlineStr">
        <is>
          <t>นาย ข สูบบุหรี่วันละ 2 ซอง เป็นเวลา 15 ปี</t>
        </is>
      </c>
      <c r="F86" s="2" t="inlineStr">
        <is>
          <t>นาย ค สูบบุหรี่วันละ 1 ซอง เป็นเวลา 10 ปี</t>
        </is>
      </c>
      <c r="G86" s="2" t="inlineStr">
        <is>
          <t>นาย ง สูบบุหรี่วันละ 15 มวน เป็นเวลา 5 ปี</t>
        </is>
      </c>
      <c r="H86" s="2" t="inlineStr">
        <is>
          <t>นาย จ สูบบุหรี่วันละ 3 ซอง เป็นเวลา 6 ปี จากกรณีศึกษาต่อไปตอบคำถามข้อ 17-20 ข้อมูลทั่วไป ผู้ป่วยชายไทยคู่ อายุ 67 ปี สูง 167 เซนติเมตร น้ำหนัก 50 กิโลกรัม โรคประจำตัว - ประวัติแพ้ยา - CC: ผู้ป่วยมาพบแพทย์ตามนัด มีอาการหอบเหนื่อย ไอมีเสมหะทั้งวัน แน่นหน้าอกเวลาออกกำลังกาย PI: 2 วัน PTA ผู้ป่วยแจ้งว่ามีอาการหอบเหนื่อยหลังจากออกกำลังกายมากขึ้น 2 เดือน PTA ผู้ป่วยแจ้งว่าเริ่มมีอาการแน่นหน้าอก หอบเหนื่อยหลังออกกำลังกาย และมีอาการไอ ร่วมด้วย PHM: 2 ปีก่อนได้รับการวินิจฉัยว่าเป็นโรคความดันโลหิตสูง PE: BT 37.0 BP 110/67 mmHg. HR 83 bpm. RR 27 bpm ALL: - SH: ดื่มสุราเมื่อออกงานบ้าง สูบบุหรี่วันละ 25 มวน ตั้งแต่อายุ 35 ปี ปัจจุบันก็ยังสูบอยู่ FH: ไม่มีประวัติคนในครอบครัวเป็นโรคปอดอุดกั้นเรื้อรัง หรือโรคหืด แต่ภรรยาก็สูบบุหรี่ด้วย MH: Atenolol 25 mg OD DI: COPD 23 โรคระบบหายใจ นักศึกษาเภสัชศาสตร์ชั้นปีที่ 4 รุ่นที่ 28 มหาวิทยาลัยรังสิต สหพันธ์นิสิตนักศึกษาเภสัชศาสตร์แห่งประเทศไทย (สนภท.) ชื่อ-สกุลผู้ป่วย ชายไทยคู่ วันและเวลาส่งตรวจ 17 ตุลาคม 2560 วันและเวลารายงาน 17 ตุลาคม 2560 Spirometry Unit Predicted Pre-BD %Pred Post-BD %Pred FEV1 Liter</t>
        </is>
      </c>
      <c r="I86" s="8" t="inlineStr">
        <is>
          <t>1</t>
        </is>
      </c>
      <c r="J86" s="2" t="inlineStr">
        <is>
          <t>✅ คำตอบที่ถูกต้อง: ข้อ ก. นาย ก สูบบุหรี่วันละ 25 มวน เป็นเวลา 7 ปี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นาย ก สูบบุหรี่วันละ 25 มวน เป็นเวลา 7 ปี การเลือก นาย ก สูบบุหรี่วันละ 25 มวน เป็นเวลา 7 ปี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(นาย ข สูบบุหรี่วันละ 2 ซอง เป็นเวลา 15 ปี): ข้อนี้ไม่ใช่คำตอบที่ถูกต้องสำหรับภาวะ Asthma เนื่องจากกลไกการออกฤทธิ์, efficacy หรือข้อบ่งใช้ไม่ตรงกับโจทย์ที่กำหนด
• ข้อ ค. (นาย ค สูบบุหรี่วันละ 1 ซอง เป็นเวลา 10 ปี): ข้อนี้ไม่ใช่คำตอบที่ถูกต้องสำหรับภาวะ Asthma เนื่องจากกลไกการออกฤทธิ์, efficacy หรือข้อบ่งใช้ไม่ตรงกับโจทย์ที่กำหนด
• ข้อ ง. (นาย ง สูบบุหรี่วันละ 15 มวน เป็นเวลา 5 ปี): ข้อนี้ไม่ใช่คำตอบที่ถูกต้องสำหรับภาวะ Asthma เนื่องจากกลไกการออกฤทธิ์, efficacy หรือข้อบ่งใช้ไม่ตรงกับโจทย์ที่กำหนด
• ข้อ จ. (นาย จ สูบบุหรี่วันละ 3 ซอง เป็นเวลา 6 ปี จากกรณีศึกษาต่อไปตอบคำถามข้อ 17-20 ข้อมูลทั่วไป ผู้ป่วยชายไทยคู่ อายุ 67 ปี สูง 167 เซนติเมตร น้ำหนัก 50 กิโลกรัม โรคประจำตัว - ประวัติแพ้ยา - CC: ผู้ป่วยมาพบแพทย์ตามนัด มีอาการหอบเหนื่อย ไอมีเสมหะทั้งวัน แน่นหน้าอกเวลาออกกำลังกาย PI: 2 วัน PTA ผู้ป่วยแจ้งว่ามีอาการหอบเหนื่อยหลังจากออกกำลังกายมากขึ้น 2 เดือน PTA ผู้ป่วยแจ้งว่าเริ่มมีอาการแน่นหน้าอก หอบเหนื่อยหลังออกกำลังกาย และมีอาการไอ ร่วมด้วย PHM: 2 ปีก่อนได้รับการวินิจฉัยว่าเป็นโรคความดันโลหิตสูง PE: BT 37.0 BP 110/67 mmHg. HR 83 bpm. RR 27 bpm ALL: - SH: ดื่มสุราเมื่อออกงานบ้าง สูบบุหรี่วันละ 25 มวน ตั้งแต่อายุ 35 ปี ปัจจุบันก็ยังสูบอยู่ FH: ไม่มีประวัติคนในครอบครัวเป็นโรคปอดอุดกั้นเรื้อรัง หรือโรคหืด แต่ภรรยาก็สูบบุหรี่ด้วย MH: Atenolol 25 mg OD DI: COPD 23 โรคระบบหายใจ นักศึกษาเภสัชศาสตร์ชั้นปีที่ 4 รุ่นที่ 28 มหาวิทยาลัยรังสิต สหพันธ์นิสิตนักศึกษาเภสัชศาสตร์แห่งประเทศไทย (สนภท.) ชื่อ-สกุลผู้ป่วย ชายไทยคู่ วันและเวลาส่งตรวจ 17 ตุลาคม 2560 วันและเวลารายงาน 17 ตุลาคม 2560 Spirometry Unit Predicted Pre-BD %Pred Post-BD %Pred FEV1 Liter): เป็น hydrophilic cardioselective beta-1 blocker ขับออกทางไตเป็นหลัก แต่ evidence ในการลด stroke และ cardiovascular events ด้อยกว่า antihypertensive อื่นๆ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6" s="2" t="n"/>
      <c r="L86" s="2" t="inlineStr">
        <is>
          <t>Asthma</t>
        </is>
      </c>
      <c r="M86" s="2" t="inlineStr">
        <is>
          <t>Clinic</t>
        </is>
      </c>
      <c r="N86" s="2" t="inlineStr">
        <is>
          <t>ข้อ 16 (PLE_CC1_Practice_Exam.md)</t>
        </is>
      </c>
      <c r="O86" s="2" t="inlineStr">
        <is>
          <t>Mock</t>
        </is>
      </c>
      <c r="P86" s="2" t="inlineStr">
        <is>
          <t>Mock สภาเภสัชฯ Practice</t>
        </is>
      </c>
    </row>
    <row r="87" ht="13.2" customHeight="1" s="37">
      <c r="A87" s="8" t="inlineStr">
        <is>
          <t>85</t>
        </is>
      </c>
      <c r="B87" s="2" t="inlineStr">
        <is>
          <t>เบื้องต้นสันนิษฐานว่าผู้ป่วยเป็น COPD จากสาเหตุต่อไปนี้ ยกเว้น</t>
        </is>
      </c>
      <c r="C87" s="2" t="n"/>
      <c r="D87" s="2" t="inlineStr">
        <is>
          <t>สูบบุหรี่วันละ 25 มวน ตั้งแต่อายุ 35 ปี</t>
        </is>
      </c>
      <c r="E87" s="2" t="inlineStr">
        <is>
          <t>ภรรยาสูบบุหรี่ด้วย</t>
        </is>
      </c>
      <c r="F87" s="2" t="inlineStr">
        <is>
          <t>ดื่มสุรา</t>
        </is>
      </c>
      <c r="G87" s="2" t="inlineStr">
        <is>
          <t>เป็นโรคความดันโลหิตสูง</t>
        </is>
      </c>
      <c r="H87" s="2" t="inlineStr">
        <is>
          <t>ค และ ง</t>
        </is>
      </c>
      <c r="I87" s="8" t="inlineStr">
        <is>
          <t>1</t>
        </is>
      </c>
      <c r="J87" s="2" t="inlineStr">
        <is>
          <t>✅ คำตอบที่ถูกต้อง: ข้อ ก. สูบบุหรี่วันละ 25 มวน ตั้งแต่อายุ 35 ปี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สูบบุหรี่วันละ 25 มวน ตั้งแต่อายุ 35 ปี การเลือก สูบบุหรี่วันละ 25 มวน ตั้งแต่อายุ 35 ปี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(ภรรยาสูบบุหรี่ด้วย): ข้อนี้ไม่ใช่คำตอบที่ถูกต้องสำหรับภาวะ Asthma เนื่องจากกลไกการออกฤทธิ์, efficacy หรือข้อบ่งใช้ไม่ตรงกับโจทย์ที่กำหนด
• ข้อ ค. (ดื่มสุรา): ข้อนี้ไม่ใช่คำตอบที่ถูกต้องสำหรับภาวะ Asthma เนื่องจากกลไกการออกฤทธิ์, efficacy หรือข้อบ่งใช้ไม่ตรงกับโจทย์ที่กำหนด
• ข้อ ง. (เป็นโรคความดันโลหิตสูง): ข้อนี้ไม่ใช่คำตอบที่ถูกต้องสำหรับภาวะ Asthma เนื่องจากกลไกการออกฤทธิ์, efficacy หรือข้อบ่งใช้ไม่ตรงกับโจทย์ที่กำหนด
• ข้อ จ. (ค และ ง):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7" s="2" t="n"/>
      <c r="L87" s="2" t="inlineStr">
        <is>
          <t>Asthma</t>
        </is>
      </c>
      <c r="M87" s="2" t="inlineStr">
        <is>
          <t>Clinic</t>
        </is>
      </c>
      <c r="N87" s="2" t="inlineStr">
        <is>
          <t>ข้อ 17 (PLE_CC1_Practice_Exam.md)</t>
        </is>
      </c>
      <c r="O87" s="2" t="inlineStr">
        <is>
          <t>Mock</t>
        </is>
      </c>
      <c r="P87" s="2" t="inlineStr">
        <is>
          <t>Mock สภาเภสัชฯ Practice</t>
        </is>
      </c>
    </row>
    <row r="88" ht="13.2" customHeight="1" s="37">
      <c r="A88" s="8" t="inlineStr">
        <is>
          <t>86</t>
        </is>
      </c>
      <c r="B88" s="2" t="inlineStr">
        <is>
          <t>ข้อใดเป็นผลข้างเคียงของยาพ่น salbutamol</t>
        </is>
      </c>
      <c r="C88" s="2" t="n"/>
      <c r="D88" s="2" t="inlineStr">
        <is>
          <t>ใจสั่น</t>
        </is>
      </c>
      <c r="E88" s="2" t="inlineStr">
        <is>
          <t>Hyperkalemia</t>
        </is>
      </c>
      <c r="F88" s="2" t="inlineStr">
        <is>
          <t>Bradycardia</t>
        </is>
      </c>
      <c r="G88" s="2" t="inlineStr">
        <is>
          <t>Oral trush</t>
        </is>
      </c>
      <c r="H88" s="2" t="inlineStr">
        <is>
          <t>Osteoporosis</t>
        </is>
      </c>
      <c r="I88" s="8" t="inlineStr">
        <is>
          <t>1</t>
        </is>
      </c>
      <c r="J88" s="2" t="inlineStr">
        <is>
          <t>✅ คำตอบที่ถูกต้อง: ข้อ ก. ใจสั่น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ใจสั่น การเลือก ใจสั่น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(Hyperkalemia): ข้อนี้ไม่ใช่คำตอบที่ถูกต้องสำหรับภาวะ Asthma เนื่องจากกลไกการออกฤทธิ์, efficacy หรือข้อบ่งใช้ไม่ตรงกับโจทย์ที่กำหนด
• ข้อ ค. (Bradycardia): ข้อนี้ไม่ใช่คำตอบที่ถูกต้องสำหรับภาวะ Asthma เนื่องจากกลไกการออกฤทธิ์, efficacy หรือข้อบ่งใช้ไม่ตรงกับโจทย์ที่กำหนด
• ข้อ ง. (Oral trush): ข้อนี้ไม่ใช่คำตอบที่ถูกต้องสำหรับภาวะ Asthma เนื่องจากกลไกการออกฤทธิ์, efficacy หรือข้อบ่งใช้ไม่ตรงกับโจทย์ที่กำหนด
• ข้อ จ. (Osteoporosis):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88" s="2" t="n"/>
      <c r="L88" s="2" t="inlineStr">
        <is>
          <t>Asthma</t>
        </is>
      </c>
      <c r="M88" s="2" t="inlineStr">
        <is>
          <t>Clinic</t>
        </is>
      </c>
      <c r="N88" s="2" t="inlineStr">
        <is>
          <t>ข้อ 25 (PLE_CC1_Practice_Exam.md)</t>
        </is>
      </c>
      <c r="O88" s="2" t="inlineStr">
        <is>
          <t>Mock</t>
        </is>
      </c>
      <c r="P88" s="2" t="inlineStr">
        <is>
          <t>Mock สภาเภสัชฯ Practice</t>
        </is>
      </c>
    </row>
    <row r="89" ht="13.2" customHeight="1" s="37">
      <c r="A89" s="8" t="inlineStr">
        <is>
          <t>87</t>
        </is>
      </c>
      <c r="B89" s="2" t="inlineStr">
        <is>
          <t>ต่อมาผู้ป่วยอาการไม่ดีขึ้น โดยแพทย์ประเมินว่าอยู่ใน Group B COPD ยาในข้อใดต่อไปนี้ที่ควรได้รับ เพิ่มเติมจาก salbutamol prn</t>
        </is>
      </c>
      <c r="C89" s="2" t="n"/>
      <c r="D89" s="2" t="inlineStr">
        <is>
          <t>Fenoterol</t>
        </is>
      </c>
      <c r="E89" s="2" t="inlineStr">
        <is>
          <t>Ipratropium Br</t>
        </is>
      </c>
      <c r="F89" s="2" t="inlineStr">
        <is>
          <t>Tiotropium Br</t>
        </is>
      </c>
      <c r="G89" s="2" t="inlineStr">
        <is>
          <t>Budesonide</t>
        </is>
      </c>
      <c r="H89" s="2" t="inlineStr">
        <is>
          <t>Sodium cromoglycolate</t>
        </is>
      </c>
      <c r="I89" s="8" t="inlineStr">
        <is>
          <t>1</t>
        </is>
      </c>
      <c r="J89" s="2" t="inlineStr">
        <is>
          <t>✅ คำตอบที่ถูกต้อง: ข้อ ก. Fenoterol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Fenoterol การเลือก Fenoterol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(Ipratropium Br): เป็น SAMA ออกฤทธิ์ยับยั้ง cholinergic tone มักใช้ร่วมกับ SABA ใน acute moderate-to-severe asthma/COPD exacerbation
• ข้อ ค. (Tiotropium Br): เป็น Long-acting muscarinic antagonist (LAMA) มี bronchodilatory efficacy สูง เป็นแกนหลักใน COPD maintenance therapy และ add-on ใน severe asthma
• ข้อ ง.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(Sodium cromoglycolate):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89" s="2" t="n"/>
      <c r="L89" s="2" t="inlineStr">
        <is>
          <t>Asthma</t>
        </is>
      </c>
      <c r="M89" s="2" t="inlineStr">
        <is>
          <t>Clinic</t>
        </is>
      </c>
      <c r="N89" s="2" t="inlineStr">
        <is>
          <t>ข้อ 26 (PLE_CC1_Practice_Exam.md)</t>
        </is>
      </c>
      <c r="O89" s="2" t="inlineStr">
        <is>
          <t>Mock</t>
        </is>
      </c>
      <c r="P89" s="2" t="inlineStr">
        <is>
          <t>Mock สภาเภสัชฯ Practice</t>
        </is>
      </c>
    </row>
    <row r="90" ht="13.2" customHeight="1" s="37">
      <c r="A90" s="8" t="inlineStr">
        <is>
          <t>88</t>
        </is>
      </c>
      <c r="B90" s="2" t="inlineStr">
        <is>
          <t>ข้อใดถูกต้องเกี่ยวกับ ยา Seretideหaccuhaler (salmeterol + fluticasone)</t>
        </is>
      </c>
      <c r="C90" s="2" t="n"/>
      <c r="D90" s="2" t="inlineStr">
        <is>
          <t>ไม่จำเป็นต้องกลั้วปากและคอหลังพ่นยาเสร็จ</t>
        </is>
      </c>
      <c r="E90" s="2" t="inlineStr">
        <is>
          <t>แนะนำให้พ่นยาต่อเนื่องทุกวัน เพื่อควบคุมอาการ</t>
        </is>
      </c>
      <c r="F90" s="2" t="inlineStr">
        <is>
          <t>ควรเขย่าอุปกรณ์ก่อนพ่นยา เพื่อให้สารขับดันออกฤทธิ์ดีขึ้น</t>
        </is>
      </c>
      <c r="G90" s="2" t="inlineStr">
        <is>
          <t>สามารถใช้พ่นเมื่อเกิดอาการจับหืด เนื่องจากมีการผสมตัวยาแบบออกฤทธิ์เร็วไว้ด้วย</t>
        </is>
      </c>
      <c r="H90" s="2" t="inlineStr">
        <is>
          <t>ขนาดอนุภาคควรเล็กกว่า 1 ไมโครเมตร เพื่อให้ไม่ตกค้างในช่องปาก 27 โรคระบบหายใจ นักศึกษาเภสัชศาสตร์ชั้นปีที่ 4 รุ่นที่ 28 มหาวิทยาลัยรังสิต สหพันธ์นิสิตนักศึกษาเภสัชศาสตร์แห่งประเทศไทย (สนภท.) หัวข้อเรื่อง Asthma</t>
        </is>
      </c>
      <c r="I90" s="8" t="inlineStr">
        <is>
          <t>1</t>
        </is>
      </c>
      <c r="J90" s="2" t="inlineStr">
        <is>
          <t>✅ คำตอบที่ถูกต้อง: ข้อ ก. ไม่จำเป็นต้องกลั้วปากและคอหลังพ่นยาเสร็จ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ไม่จำเป็นต้องกลั้วปากและคอหลังพ่นยาเสร็จ การเลือก ไม่จำเป็นต้องกลั้วปากและคอหลังพ่นยาเสร็จ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(แนะนำให้พ่นยาต่อเนื่องทุกวัน เพื่อควบคุมอาการ): ข้อนี้ไม่ใช่คำตอบที่ถูกต้องสำหรับภาวะ Asthma เนื่องจากกลไกการออกฤทธิ์, efficacy หรือข้อบ่งใช้ไม่ตรงกับโจทย์ที่กำหนด
• ข้อ ค. (ควรเขย่าอุปกรณ์ก่อนพ่นยา เพื่อให้สารขับดันออกฤทธิ์ดีขึ้น): ข้อนี้ไม่ใช่คำตอบที่ถูกต้องสำหรับภาวะ Asthma เนื่องจากกลไกการออกฤทธิ์, efficacy หรือข้อบ่งใช้ไม่ตรงกับโจทย์ที่กำหนด
• ข้อ ง. (สามารถใช้พ่นเมื่อเกิดอาการจับหืด เนื่องจากมีการผสมตัวยาแบบออกฤทธิ์เร็วไว้ด้วย): ข้อนี้ไม่ใช่คำตอบที่ถูกต้องสำหรับภาวะ Asthma เนื่องจากกลไกการออกฤทธิ์, efficacy หรือข้อบ่งใช้ไม่ตรงกับโจทย์ที่กำหนด
• ข้อ จ. (ขนาดอนุภาคควรเล็กกว่า 1 ไมโครเมตร เพื่อให้ไม่ตกค้างในช่องปาก 27 โรคระบบหายใจ นักศึกษาเภสัชศาสตร์ชั้นปีที่ 4 รุ่นที่ 28 มหาวิทยาลัยรังสิต สหพันธ์นิสิตนักศึกษาเภสัชศาสตร์แห่งประเทศไทย (สนภท.) หัวข้อเรื่อง Asthma):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0" s="2" t="n"/>
      <c r="L90" s="2" t="inlineStr">
        <is>
          <t>Asthma</t>
        </is>
      </c>
      <c r="M90" s="2" t="inlineStr">
        <is>
          <t>Clinic</t>
        </is>
      </c>
      <c r="N90" s="2" t="inlineStr">
        <is>
          <t>ข้อ 28 (PLE_CC1_Practice_Exam.md)</t>
        </is>
      </c>
      <c r="O90" s="2" t="inlineStr">
        <is>
          <t>Mock</t>
        </is>
      </c>
      <c r="P90" s="2" t="inlineStr">
        <is>
          <t>Mock สภาเภสัชฯ Practice</t>
        </is>
      </c>
    </row>
    <row r="91" ht="13.2" customHeight="1" s="37">
      <c r="A91" s="8" t="inlineStr">
        <is>
          <t>89</t>
        </is>
      </c>
      <c r="B91" s="2" t="inlineStr">
        <is>
          <t>ข้อใดคือกลไกการออกฤทธิ์ของยา Theophylline ในการขยายหลอดลม</t>
        </is>
      </c>
      <c r="C91" s="2" t="n"/>
      <c r="D91" s="2" t="inlineStr">
        <is>
          <t>กระตุ้น β2-adrenergic receptor ที่กล้ามเนื้อเรียบของหลอดลม ทำให้ Adenylyl cyclase เพิ่มขึ้น</t>
        </is>
      </c>
      <c r="E91" s="2" t="inlineStr">
        <is>
          <t>ยับยั้งเอนไซม์ Phosphodiesterase</t>
        </is>
      </c>
      <c r="F91" s="2" t="inlineStr">
        <is>
          <t>จับกับ M3 receptor ที่กล้ามเนื้อเรียบของหลอดลม</t>
        </is>
      </c>
      <c r="G91" s="2" t="inlineStr">
        <is>
          <t>ยับยั้งเอนไซม์ 5-Lipoxygenase</t>
        </is>
      </c>
      <c r="H91" s="2" t="inlineStr">
        <is>
          <t>ออกฤทธิ์เป็น Leukotriene receptor antagonist</t>
        </is>
      </c>
      <c r="I91" s="8" t="inlineStr">
        <is>
          <t>1</t>
        </is>
      </c>
      <c r="J91" s="2" t="inlineStr">
        <is>
          <t>✅ คำตอบที่ถูกต้อง: ข้อ ก. กระตุ้น β2-adrenergic receptor ที่กล้ามเนื้อเรียบของหลอดลม ทำให้ Adenylyl cyclase เพิ่มขึ้น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กระตุ้น β2-adrenergic receptor ที่กล้ามเนื้อเรียบของหลอดลม ทำให้ Adenylyl cyclase เพิ่มขึ้น การเลือก กระตุ้น β2-adrenergic receptor ที่กล้ามเนื้อเรียบของหลอดลม ทำให้ Adenylyl cyclase เพิ่มขึ้น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(ยับยั้งเอนไซม์ Phosphodiesterase): ข้อนี้ไม่ใช่คำตอบที่ถูกต้องสำหรับภาวะ Asthma เนื่องจากกลไกการออกฤทธิ์, efficacy หรือข้อบ่งใช้ไม่ตรงกับโจทย์ที่กำหนด
• ข้อ ค. (จับกับ M3 receptor ที่กล้ามเนื้อเรียบของหลอดลม): ข้อนี้ไม่ใช่คำตอบที่ถูกต้องสำหรับภาวะ Asthma เนื่องจากกลไกการออกฤทธิ์, efficacy หรือข้อบ่งใช้ไม่ตรงกับโจทย์ที่กำหนด
• ข้อ ง. (ยับยั้งเอนไซม์ 5-Lipoxygenase): ข้อนี้ไม่ใช่คำตอบที่ถูกต้องสำหรับภาวะ Asthma เนื่องจากกลไกการออกฤทธิ์, efficacy หรือข้อบ่งใช้ไม่ตรงกับโจทย์ที่กำหนด
• ข้อ จ. (ออกฤทธิ์เป็น Leukotriene receptor antagonist):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1" s="2" t="n"/>
      <c r="L91" s="2" t="inlineStr">
        <is>
          <t>Asthma</t>
        </is>
      </c>
      <c r="M91" s="2" t="inlineStr">
        <is>
          <t>Clinic</t>
        </is>
      </c>
      <c r="N91" s="2" t="inlineStr">
        <is>
          <t>ข้อ 35 (PLE_CC1_Practice_Exam.md)</t>
        </is>
      </c>
      <c r="O91" s="2" t="inlineStr">
        <is>
          <t>Mock</t>
        </is>
      </c>
      <c r="P91" s="2" t="inlineStr">
        <is>
          <t>Mock สภาเภสัชฯ Practice</t>
        </is>
      </c>
    </row>
    <row r="92" ht="13.2" customHeight="1" s="37">
      <c r="A92" s="8" t="inlineStr">
        <is>
          <t>90</t>
        </is>
      </c>
      <c r="B92" s="2" t="inlineStr">
        <is>
          <t>มีประวัติโรคหอบหืด</t>
        </is>
      </c>
      <c r="C92" s="2" t="n"/>
      <c r="D92" s="2" t="inlineStr">
        <is>
          <t>Salbutamol MDI 2 puffs PRN</t>
        </is>
      </c>
      <c r="E92" s="2" t="inlineStr">
        <is>
          <t>Budesonide/Formoterol 160/4.5 mcg DPI BID</t>
        </is>
      </c>
      <c r="F92" s="2" t="inlineStr">
        <is>
          <t>Fluticasone/Salmeterol 250/50 mcg DPI BID</t>
        </is>
      </c>
      <c r="G92" s="2" t="inlineStr">
        <is>
          <t>Tiotropium Respimat 2.5 mcg 2 puffs OD</t>
        </is>
      </c>
      <c r="H92" s="2" t="inlineStr">
        <is>
          <t>Ipratropium/Fenoterol MDI PRN</t>
        </is>
      </c>
      <c r="I92" s="8" t="inlineStr">
        <is>
          <t>1</t>
        </is>
      </c>
      <c r="J92" s="2" t="inlineStr">
        <is>
          <t>✅ คำตอบที่ถูกต้อง: ข้อ ก. Salbutamol MDI 2 puffs PRN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Salbutamol MDI 2 puffs PRN การเลือก Salbutamol MDI 2 puffs PRN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92" s="2" t="n"/>
      <c r="L92" s="2" t="inlineStr">
        <is>
          <t>Asthma</t>
        </is>
      </c>
      <c r="M92" s="2" t="inlineStr">
        <is>
          <t>Clinic</t>
        </is>
      </c>
      <c r="N92" s="2" t="inlineStr">
        <is>
          <t>ข้อ 3 (PLE_CC1_Practice_Exam.md)</t>
        </is>
      </c>
      <c r="O92" s="2" t="inlineStr">
        <is>
          <t>Mock</t>
        </is>
      </c>
      <c r="P92" s="2" t="inlineStr">
        <is>
          <t>Mock สภาเภสัชฯ Practice</t>
        </is>
      </c>
    </row>
    <row r="93" ht="13.2" customHeight="1" s="37">
      <c r="A93" s="8" t="inlineStr">
        <is>
          <t>91</t>
        </is>
      </c>
      <c r="B93" s="2" t="inlineStr">
        <is>
          <t>กานพลู กระเทียม เด่นเรื่องลดไขมัน Case 2: Asthma CASE 2 ผู้ป่วย Asthma มีค่า FEV1 = 70% มีอาการ Asthma Attack ตอนกลางคืนมากกว่า 3 ครั้ง ต่อเดือน, กลางวันมากกว่า 3 ครั้ง ต่อสัปดาห์ ยาที่ใช้คือ Salbutamol MDI 2 puff prn + Budesonide Inhaler</t>
        </is>
      </c>
      <c r="C93" s="2" t="n"/>
      <c r="D93" s="2" t="inlineStr">
        <is>
          <t>Tiotropium Respimat 2.5 mcg 2 puffs OD</t>
        </is>
      </c>
      <c r="E93" s="2" t="inlineStr">
        <is>
          <t>Ipratropium/Fenoterol MDI PRN</t>
        </is>
      </c>
      <c r="F93" s="2" t="inlineStr">
        <is>
          <t>Montelukast 10 mg HS</t>
        </is>
      </c>
      <c r="G93" s="2" t="inlineStr">
        <is>
          <t>Theophylline 200 mg BID</t>
        </is>
      </c>
      <c r="H93" s="2" t="inlineStr">
        <is>
          <t>Prednisolone 40 mg OD x 5 days</t>
        </is>
      </c>
      <c r="I93" s="8" t="inlineStr">
        <is>
          <t>1</t>
        </is>
      </c>
      <c r="J93" s="2" t="inlineStr">
        <is>
          <t>✅ คำตอบที่ถูกต้อง: ข้อ ก.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93" s="2" t="n"/>
      <c r="L93" s="2" t="inlineStr">
        <is>
          <t>Asthma</t>
        </is>
      </c>
      <c r="M93" s="2" t="inlineStr">
        <is>
          <t>Clinic</t>
        </is>
      </c>
      <c r="N93" s="2" t="inlineStr">
        <is>
          <t>ข้อ 5 (PLE_CC1_Key_Rx20_UBU.md)</t>
        </is>
      </c>
      <c r="O93" s="2" t="inlineStr">
        <is>
          <t>Mock</t>
        </is>
      </c>
      <c r="P93" s="2" t="inlineStr">
        <is>
          <t>Mock Rx20 UBU</t>
        </is>
      </c>
    </row>
    <row r="94" ht="13.2" customHeight="1" s="37">
      <c r="A94" s="8" t="inlineStr">
        <is>
          <t>92</t>
        </is>
      </c>
      <c r="B94" s="2" t="inlineStr">
        <is>
          <t>ข้อใดไม่ใช่ปัจจัยกระตุ้นของโรคหอบหืด</t>
        </is>
      </c>
      <c r="C94" s="2" t="n"/>
      <c r="D94" s="2" t="inlineStr">
        <is>
          <t>Theophylline 200 mg BID</t>
        </is>
      </c>
      <c r="E94" s="2" t="inlineStr">
        <is>
          <t>Prednisolone 40 mg OD x 5 days</t>
        </is>
      </c>
      <c r="F94" s="2" t="inlineStr">
        <is>
          <t>N-acetylcysteine 600 mg OD</t>
        </is>
      </c>
      <c r="G94" s="2" t="inlineStr">
        <is>
          <t>Beclomethasone MDI 100 mcg BID</t>
        </is>
      </c>
      <c r="H94" s="2" t="inlineStr">
        <is>
          <t>Salbutamol MDI 2 puffs PRN</t>
        </is>
      </c>
      <c r="I94" s="8" t="inlineStr">
        <is>
          <t>1</t>
        </is>
      </c>
      <c r="J94" s="2" t="inlineStr">
        <is>
          <t>✅ คำตอบที่ถูกต้อง: ข้อ ก. Theophylline 200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Asthma เนื่องจากกลไกการออกฤทธิ์, efficacy หรือข้อบ่งใช้ไม่ตรงกับโจทย์ที่กำหนด
• ข้อ ง.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4" s="2" t="n"/>
      <c r="L94" s="2" t="inlineStr">
        <is>
          <t>Asthma</t>
        </is>
      </c>
      <c r="M94" s="2" t="inlineStr">
        <is>
          <t>Clinic</t>
        </is>
      </c>
      <c r="N94" s="2" t="inlineStr">
        <is>
          <t>ข้อ 10 (PLE_CC1_Key_Rx20_UBU.md)</t>
        </is>
      </c>
      <c r="O94" s="2" t="inlineStr">
        <is>
          <t>Mock</t>
        </is>
      </c>
      <c r="P94" s="2" t="inlineStr">
        <is>
          <t>Mock Rx20 UBU</t>
        </is>
      </c>
    </row>
    <row r="95" ht="13.2" customHeight="1" s="37">
      <c r="A95" s="8" t="inlineStr">
        <is>
          <t>93</t>
        </is>
      </c>
      <c r="B95" s="2" t="inlineStr">
        <is>
          <t>ข้อใดคือความต่างของ Asthma กับ COPD</t>
        </is>
      </c>
      <c r="C95" s="2" t="n"/>
      <c r="D95" s="2" t="inlineStr">
        <is>
          <t>Beclomethasone MDI 100 mcg BID</t>
        </is>
      </c>
      <c r="E95" s="2" t="inlineStr">
        <is>
          <t>Salbutamol MDI 2 puffs PRN</t>
        </is>
      </c>
      <c r="F95" s="2" t="inlineStr">
        <is>
          <t>Budesonide/Formoterol 160/4.5 mcg DPI BID</t>
        </is>
      </c>
      <c r="G95" s="2" t="inlineStr">
        <is>
          <t>Fluticasone/Salmeterol 250/50 mcg DPI BID</t>
        </is>
      </c>
      <c r="H95" s="2" t="inlineStr">
        <is>
          <t>Tiotropium Respimat 2.5 mcg 2 puffs OD</t>
        </is>
      </c>
      <c r="I95" s="8" t="inlineStr">
        <is>
          <t>1</t>
        </is>
      </c>
      <c r="J95" s="2" t="inlineStr">
        <is>
          <t>✅ คำตอบที่ถูกต้อง: ข้อ ก. Beclomethasone MDI 100 mcg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Beclomethasone MDI 100 mcg BID การเลือก Beclomethasone MDI 100 mcg BID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(Fluticasone/Salmeterol 250/50 mcg DPI BID): เป็น potent ICS มี high topical potency และ systemic bioavailability ต่ำ ใช้เป็น maintenance anti-inflammatory controller ใน moderate-to-severe asthma และ COPD with high eosinophils
• ข้อ จ. (Tiotropium Respimat 2.5 mcg 2 puffs OD): เป็น Long-acting muscarinic antagonist (LAMA) มี bronchodilatory efficacy สูง เป็นแกนหลักใน COPD maintenance therapy และ add-on ใน severe asthma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5" s="2" t="n"/>
      <c r="L95" s="2" t="inlineStr">
        <is>
          <t>Asthma</t>
        </is>
      </c>
      <c r="M95" s="2" t="inlineStr">
        <is>
          <t>Clinic</t>
        </is>
      </c>
      <c r="N95" s="2" t="inlineStr">
        <is>
          <t>ข้อ 11 (PLE_CC1_Key_Rx20_UBU.md)</t>
        </is>
      </c>
      <c r="O95" s="2" t="inlineStr">
        <is>
          <t>Mock</t>
        </is>
      </c>
      <c r="P95" s="2" t="inlineStr">
        <is>
          <t>Mock Rx20 UBU</t>
        </is>
      </c>
    </row>
    <row r="96" ht="13.2" customHeight="1" s="37">
      <c r="A96" s="8" t="inlineStr">
        <is>
          <t>94</t>
        </is>
      </c>
      <c r="B96" s="2" t="inlineStr">
        <is>
          <t>Asthma เกิดจากหลอดลมอักเสบเรื้อรัง</t>
        </is>
      </c>
      <c r="C96" s="2" t="n"/>
      <c r="D96" s="2" t="inlineStr">
        <is>
          <t>Fluticasone/Salmeterol 250/50 mcg DPI BID</t>
        </is>
      </c>
      <c r="E96" s="2" t="inlineStr">
        <is>
          <t>Tiotropium Respimat 2.5 mcg 2 puffs OD</t>
        </is>
      </c>
      <c r="F96" s="2" t="inlineStr">
        <is>
          <t>Ipratropium/Fenoterol MDI PRN</t>
        </is>
      </c>
      <c r="G96" s="2" t="inlineStr">
        <is>
          <t>Montelukast 10 mg HS</t>
        </is>
      </c>
      <c r="H96" s="2" t="inlineStr">
        <is>
          <t>Theophylline 200 mg BID</t>
        </is>
      </c>
      <c r="I96" s="8" t="inlineStr">
        <is>
          <t>1</t>
        </is>
      </c>
      <c r="J96" s="2" t="inlineStr">
        <is>
          <t>✅ คำตอบที่ถูกต้อง: ข้อ ก. Fluticasone/Salmeterol 250/50 mcg DPI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Fluticasone/Salmeterol 250/50 mcg DPI BID การเลือก Fluticasone/Salmeterol 250/50 mcg DPI BID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(Tiotropium Respimat 2.5 mcg 2 puffs OD): เป็น Long-acting muscarinic antagonist (LAMA) มี bronchodilatory efficacy สูง เป็นแกนหลักใน COPD maintenance therapy และ add-on ใน severe asthma
• ข้อ ค. (Ipratropium/Fenoterol MDI PRN): เป็น SAMA ออกฤทธิ์ยับยั้ง cholinergic tone มักใช้ร่วมกับ SABA ใน acute moderate-to-severe asthma/COPD exacerbation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(Theophylline 200 mg BID):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6" s="2" t="n"/>
      <c r="L96" s="2" t="inlineStr">
        <is>
          <t>Asthma</t>
        </is>
      </c>
      <c r="M96" s="2" t="inlineStr">
        <is>
          <t>Clinic</t>
        </is>
      </c>
      <c r="N96" s="2" t="inlineStr">
        <is>
          <t>ข้อ 1 (PLE_CC1_Key_Rx20_UBU.md)</t>
        </is>
      </c>
      <c r="O96" s="2" t="inlineStr">
        <is>
          <t>Mock</t>
        </is>
      </c>
      <c r="P96" s="2" t="inlineStr">
        <is>
          <t>Mock Rx20 UBU</t>
        </is>
      </c>
    </row>
    <row r="97" ht="13.2" customHeight="1" s="37">
      <c r="A97" s="8" t="inlineStr">
        <is>
          <t>95</t>
        </is>
      </c>
      <c r="B97" s="2" t="inlineStr">
        <is>
          <t>Asthma reverse ได้</t>
        </is>
      </c>
      <c r="C97" s="2" t="n"/>
      <c r="D97" s="2" t="inlineStr">
        <is>
          <t>Montelukast 10 mg HS</t>
        </is>
      </c>
      <c r="E97" s="2" t="inlineStr">
        <is>
          <t>Theophylline 200 mg BID</t>
        </is>
      </c>
      <c r="F97" s="2" t="inlineStr">
        <is>
          <t>Prednisolone 40 mg OD x 5 days</t>
        </is>
      </c>
      <c r="G97" s="2" t="inlineStr">
        <is>
          <t>N-acetylcysteine 600 mg OD</t>
        </is>
      </c>
      <c r="H97" s="2" t="inlineStr">
        <is>
          <t>Beclomethasone MDI 100 mcg BID</t>
        </is>
      </c>
      <c r="I97" s="8" t="inlineStr">
        <is>
          <t>1</t>
        </is>
      </c>
      <c r="J97" s="2" t="inlineStr">
        <is>
          <t>✅ คำตอบที่ถูกต้อง: ข้อ ก. Montelukast 10 mg HS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Asthma เนื่องจากกลไกการออกฤทธิ์, efficacy หรือข้อบ่งใช้ไม่ตรงกับโจทย์ที่กำหนด
• ข้อ จ. (Beclomethasone MDI 100 mcg BID):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97" s="2" t="n"/>
      <c r="L97" s="2" t="inlineStr">
        <is>
          <t>Asthma</t>
        </is>
      </c>
      <c r="M97" s="2" t="inlineStr">
        <is>
          <t>Clinic</t>
        </is>
      </c>
      <c r="N97" s="2" t="inlineStr">
        <is>
          <t>ข้อ 2 (PLE_CC1_Key_Rx20_UBU.md)</t>
        </is>
      </c>
      <c r="O97" s="2" t="inlineStr">
        <is>
          <t>Mock</t>
        </is>
      </c>
      <c r="P97" s="2" t="inlineStr">
        <is>
          <t>Mock Rx20 UBU</t>
        </is>
      </c>
    </row>
    <row r="98" ht="13.2" customHeight="1" s="37">
      <c r="A98" s="8" t="inlineStr">
        <is>
          <t>96</t>
        </is>
      </c>
      <c r="B98" s="2" t="inlineStr">
        <is>
          <t>Asthma มีการหลั่ง สารอักเสบออกมามาก</t>
        </is>
      </c>
      <c r="C98" s="2" t="n"/>
      <c r="D98" s="2" t="inlineStr">
        <is>
          <t>N-acetylcysteine 600 mg OD</t>
        </is>
      </c>
      <c r="E98" s="2" t="inlineStr">
        <is>
          <t>Beclomethasone MDI 100 mcg BID</t>
        </is>
      </c>
      <c r="F98" s="2" t="inlineStr">
        <is>
          <t>Salbutamol MDI 2 puffs PRN</t>
        </is>
      </c>
      <c r="G98" s="2" t="inlineStr">
        <is>
          <t>Budesonide/Formoterol 160/4.5 mcg DPI BID</t>
        </is>
      </c>
      <c r="H98" s="2" t="inlineStr">
        <is>
          <t>Fluticasone/Salmeterol 250/50 mcg DPI BID</t>
        </is>
      </c>
      <c r="I98" s="8" t="inlineStr">
        <is>
          <t>1</t>
        </is>
      </c>
      <c r="J98" s="2" t="inlineStr">
        <is>
          <t>✅ คำตอบที่ถูกต้อง: ข้อ ก. N-acetylcysteine 600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N-acetylcysteine 600 mg OD การเลือก N-acetylcysteine 600 mg OD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8" s="2" t="n"/>
      <c r="L98" s="2" t="inlineStr">
        <is>
          <t>Asthma</t>
        </is>
      </c>
      <c r="M98" s="2" t="inlineStr">
        <is>
          <t>Clinic</t>
        </is>
      </c>
      <c r="N98" s="2" t="inlineStr">
        <is>
          <t>ข้อ 3 (PLE_CC1_Key_Rx20_UBU.md)</t>
        </is>
      </c>
      <c r="O98" s="2" t="inlineStr">
        <is>
          <t>Mock</t>
        </is>
      </c>
      <c r="P98" s="2" t="inlineStr">
        <is>
          <t>Mock Rx20 UBU</t>
        </is>
      </c>
    </row>
    <row r="99" ht="13.2" customHeight="1" s="37">
      <c r="A99" s="8" t="inlineStr">
        <is>
          <t>97</t>
        </is>
      </c>
      <c r="B99" s="2" t="inlineStr">
        <is>
          <t>ไม่มีข้อใดถูก Asthma reverse COPD irreverse 12.ระบุ stage asthma โดยที่ผู้ป่วยหอบ 3 ครั้ง /เดือน มีอาการตอนกลางคืน 3 ครั้ง ต่อสัปดาห์</t>
        </is>
      </c>
      <c r="C99" s="2" t="n"/>
      <c r="D99" s="2" t="inlineStr">
        <is>
          <t>Budesonide/Formoterol 160/4.5 mcg DPI BID</t>
        </is>
      </c>
      <c r="E99" s="2" t="inlineStr">
        <is>
          <t>Fluticasone/Salmeterol 250/50 mcg DPI BID</t>
        </is>
      </c>
      <c r="F99" s="2" t="inlineStr">
        <is>
          <t>Tiotropium Respimat 2.5 mcg 2 puffs OD</t>
        </is>
      </c>
      <c r="G99" s="2" t="inlineStr">
        <is>
          <t>Ipratropium/Fenoterol MDI PRN</t>
        </is>
      </c>
      <c r="H99" s="2" t="inlineStr">
        <is>
          <t>Montelukast 10 mg HS</t>
        </is>
      </c>
      <c r="I99" s="8" t="inlineStr">
        <is>
          <t>1</t>
        </is>
      </c>
      <c r="J99" s="2" t="inlineStr">
        <is>
          <t>✅ คำตอบที่ถูกต้อง: ข้อ ก. Budesonide/Formoterol 160/4.5 mcg DPI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99" s="2" t="n"/>
      <c r="L99" s="2" t="inlineStr">
        <is>
          <t>Asthma</t>
        </is>
      </c>
      <c r="M99" s="2" t="inlineStr">
        <is>
          <t>Clinic</t>
        </is>
      </c>
      <c r="N99" s="2" t="inlineStr">
        <is>
          <t>ข้อ 5 (PLE_CC1_Key_Rx20_UBU.md)</t>
        </is>
      </c>
      <c r="O99" s="2" t="inlineStr">
        <is>
          <t>Mock</t>
        </is>
      </c>
      <c r="P99" s="2" t="inlineStr">
        <is>
          <t>Mock Rx20 UBU</t>
        </is>
      </c>
    </row>
    <row r="100" ht="13.2" customHeight="1" s="37">
      <c r="A100" s="8" t="inlineStr">
        <is>
          <t>98</t>
        </is>
      </c>
      <c r="B100" s="2" t="inlineStr">
        <is>
          <t>ยาเข้าไปในปอดได้เร็วขึ้น</t>
        </is>
      </c>
      <c r="C100" s="2" t="n"/>
      <c r="D100" s="2" t="inlineStr">
        <is>
          <t>Ipratropium/Fenoterol MDI PRN</t>
        </is>
      </c>
      <c r="E100" s="2" t="inlineStr">
        <is>
          <t>Montelukast 10 mg HS</t>
        </is>
      </c>
      <c r="F100" s="2" t="inlineStr">
        <is>
          <t>Theophylline 200 mg BID</t>
        </is>
      </c>
      <c r="G100" s="2" t="inlineStr">
        <is>
          <t>Prednisolone 40 mg OD x 5 days</t>
        </is>
      </c>
      <c r="H100" s="2" t="inlineStr">
        <is>
          <t>N-acetylcysteine 600 mg OD</t>
        </is>
      </c>
      <c r="I100" s="8" t="inlineStr">
        <is>
          <t>1</t>
        </is>
      </c>
      <c r="J100" s="2" t="inlineStr">
        <is>
          <t>✅ คำตอบที่ถูกต้อง: ข้อ ก. Ipratropium/Fenoterol MDI PRN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Ipratropium/Fenoterol MDI PRN การเลือก Ipratropium/Fenoterol MDI PRN เป็นคำตอบที่ถูกต้องตามแนวทางการรักษามาตรฐาน เนื่องจาก เป็น SAMA ออกฤทธิ์ยับยั้ง cholinergic tone มักใช้ร่วมกับ SABA ใน acute moderate-to-severe asthma/COPD exacerbation
🔍 ข้ออื่นผิดเพราะอะไร:
• ข้อ ข.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(Theophylline 200 mg BID): มี narrow therapeutic window (target 5-15 mcg/mL) และ ADR สูง (ใจสั่น คลื่นไส้ ชัก หัวใจเต้นผิดจังหวะ) CPG จึงจัดเป็นเพียงทางเลือกท้ายๆ (alternative)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0" s="2" t="n"/>
      <c r="L100" s="2" t="inlineStr">
        <is>
          <t>Asthma</t>
        </is>
      </c>
      <c r="M100" s="2" t="inlineStr">
        <is>
          <t>Clinic</t>
        </is>
      </c>
      <c r="N100" s="2" t="inlineStr">
        <is>
          <t>ข้อ 1 (PLE_CC1_Key_Rx20_UBU.md)</t>
        </is>
      </c>
      <c r="O100" s="2" t="inlineStr">
        <is>
          <t>Mock</t>
        </is>
      </c>
      <c r="P100" s="2" t="inlineStr">
        <is>
          <t>Mock Rx20 UBU</t>
        </is>
      </c>
    </row>
    <row r="101" ht="13.2" customHeight="1" s="37">
      <c r="A101" s="8" t="inlineStr">
        <is>
          <t>99</t>
        </is>
      </c>
      <c r="B101" s="2" t="inlineStr">
        <is>
          <t>ยาเข้าไปในปอดได้มากขึ้น</t>
        </is>
      </c>
      <c r="C101" s="2" t="n"/>
      <c r="D101" s="2" t="inlineStr">
        <is>
          <t>Prednisolone 40 mg OD x 5 days</t>
        </is>
      </c>
      <c r="E101" s="2" t="inlineStr">
        <is>
          <t>N-acetylcysteine 600 mg OD</t>
        </is>
      </c>
      <c r="F101" s="2" t="inlineStr">
        <is>
          <t>Beclomethasone MDI 100 mcg BID</t>
        </is>
      </c>
      <c r="G101" s="2" t="inlineStr">
        <is>
          <t>Salbutamol MDI 2 puffs PRN</t>
        </is>
      </c>
      <c r="H101" s="2" t="inlineStr">
        <is>
          <t>Budesonide/Formoterol 160/4.5 mcg DPI BID</t>
        </is>
      </c>
      <c r="I101" s="8" t="inlineStr">
        <is>
          <t>1</t>
        </is>
      </c>
      <c r="J101" s="2" t="inlineStr">
        <is>
          <t>✅ คำตอบที่ถูกต้อง: ข้อ ก. Prednisolone 40 mg OD x 5 days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Asthma เนื่องจากกลไกการออกฤทธิ์, efficacy หรือข้อบ่งใช้ไม่ตรงกับโจทย์ที่กำหนด
• ข้อ ค.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01" s="2" t="n"/>
      <c r="L101" s="2" t="inlineStr">
        <is>
          <t>Asthma</t>
        </is>
      </c>
      <c r="M101" s="2" t="inlineStr">
        <is>
          <t>Clinic</t>
        </is>
      </c>
      <c r="N101" s="2" t="inlineStr">
        <is>
          <t>ข้อ 2 (PLE_CC1_Key_Rx20_UBU.md)</t>
        </is>
      </c>
      <c r="O101" s="2" t="inlineStr">
        <is>
          <t>Mock</t>
        </is>
      </c>
      <c r="P101" s="2" t="inlineStr">
        <is>
          <t>Mock Rx20 UBU</t>
        </is>
      </c>
    </row>
    <row r="102" ht="13.2" customHeight="1" s="37">
      <c r="A102" s="8" t="inlineStr">
        <is>
          <t>100</t>
        </is>
      </c>
      <c r="B102" s="2" t="inlineStr">
        <is>
          <t>ยาเก็บได้นานขึ้น Spacer ช่วยให้ ยาเข้าไปในปอดได้มากขึ้น</t>
        </is>
      </c>
      <c r="C102" s="2" t="n"/>
      <c r="D102" s="2" t="inlineStr">
        <is>
          <t>Salbutamol MDI 2 puffs PRN</t>
        </is>
      </c>
      <c r="E102" s="2" t="inlineStr">
        <is>
          <t>Budesonide/Formoterol 160/4.5 mcg DPI BID</t>
        </is>
      </c>
      <c r="F102" s="2" t="inlineStr">
        <is>
          <t>Fluticasone/Salmeterol 250/50 mcg DPI BID</t>
        </is>
      </c>
      <c r="G102" s="2" t="inlineStr">
        <is>
          <t>Tiotropium Respimat 2.5 mcg 2 puffs OD</t>
        </is>
      </c>
      <c r="H102" s="2" t="inlineStr">
        <is>
          <t>Ipratropium/Fenoterol MDI PRN</t>
        </is>
      </c>
      <c r="I102" s="8" t="inlineStr">
        <is>
          <t>1</t>
        </is>
      </c>
      <c r="J102" s="2" t="inlineStr">
        <is>
          <t>✅ คำตอบที่ถูกต้อง: ข้อ ก. Salbutamol MDI 2 puffs PRN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Salbutamol MDI 2 puffs PRN การเลือก Salbutamol MDI 2 puffs PRN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02" s="2" t="n"/>
      <c r="L102" s="2" t="inlineStr">
        <is>
          <t>Asthma</t>
        </is>
      </c>
      <c r="M102" s="2" t="inlineStr">
        <is>
          <t>Clinic</t>
        </is>
      </c>
      <c r="N102" s="2" t="inlineStr">
        <is>
          <t>ข้อ 5 (PLE_CC1_Key_Rx20_UBU.md)</t>
        </is>
      </c>
      <c r="O102" s="2" t="inlineStr">
        <is>
          <t>Mock</t>
        </is>
      </c>
      <c r="P102" s="2" t="inlineStr">
        <is>
          <t>Mock Rx20 UBU</t>
        </is>
      </c>
    </row>
    <row r="103" ht="13.2" customHeight="1" s="37">
      <c r="A103" s="8" t="inlineStr">
        <is>
          <t>101</t>
        </is>
      </c>
      <c r="B103" s="2" t="inlineStr">
        <is>
          <t>ยา Budesonide inhaler ของผู้ป่วยหมด จึงมาขอยาเพิ่มที่โรงพยาบาลสามารถจ่ายได้หรือไม่</t>
        </is>
      </c>
      <c r="C103" s="2" t="n"/>
      <c r="D103" s="2" t="inlineStr">
        <is>
          <t>Tiotropium Respimat 2.5 mcg 2 puffs OD</t>
        </is>
      </c>
      <c r="E103" s="2" t="inlineStr">
        <is>
          <t>Ipratropium/Fenoterol MDI PRN</t>
        </is>
      </c>
      <c r="F103" s="2" t="inlineStr">
        <is>
          <t>Montelukast 10 mg HS</t>
        </is>
      </c>
      <c r="G103" s="2" t="inlineStr">
        <is>
          <t>Theophylline 200 mg BID</t>
        </is>
      </c>
      <c r="H103" s="2" t="inlineStr">
        <is>
          <t>Prednisolone 40 mg OD x 5 days</t>
        </is>
      </c>
      <c r="I103" s="8" t="inlineStr">
        <is>
          <t>1</t>
        </is>
      </c>
      <c r="J103" s="2" t="inlineStr">
        <is>
          <t>✅ คำตอบที่ถูกต้อง: ข้อ ก.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03" s="2" t="n"/>
      <c r="L103" s="2" t="inlineStr">
        <is>
          <t>Asthma</t>
        </is>
      </c>
      <c r="M103" s="2" t="inlineStr">
        <is>
          <t>Clinic</t>
        </is>
      </c>
      <c r="N103" s="2" t="inlineStr">
        <is>
          <t>ข้อ 19 (PLE_CC1_Key_Rx20_UBU.md)</t>
        </is>
      </c>
      <c r="O103" s="2" t="inlineStr">
        <is>
          <t>Mock</t>
        </is>
      </c>
      <c r="P103" s="2" t="inlineStr">
        <is>
          <t>Mock Rx20 UBU</t>
        </is>
      </c>
    </row>
    <row r="104" ht="13.2" customHeight="1" s="37">
      <c r="A104" s="8" t="inlineStr">
        <is>
          <t>102</t>
        </is>
      </c>
      <c r="B104" s="2" t="inlineStr">
        <is>
          <t>ญาติสายตรงเป็นมะเร็งปอด</t>
        </is>
      </c>
      <c r="C104" s="2" t="n"/>
      <c r="D104" s="2" t="inlineStr">
        <is>
          <t>Theophylline 200 mg BID</t>
        </is>
      </c>
      <c r="E104" s="2" t="inlineStr">
        <is>
          <t>Prednisolone 40 mg OD x 5 days</t>
        </is>
      </c>
      <c r="F104" s="2" t="inlineStr">
        <is>
          <t>N-acetylcysteine 600 mg OD</t>
        </is>
      </c>
      <c r="G104" s="2" t="inlineStr">
        <is>
          <t>Beclomethasone MDI 100 mcg BID</t>
        </is>
      </c>
      <c r="H104" s="2" t="inlineStr">
        <is>
          <t>Salbutamol MDI 2 puffs PRN</t>
        </is>
      </c>
      <c r="I104" s="8" t="inlineStr">
        <is>
          <t>1</t>
        </is>
      </c>
      <c r="J104" s="2" t="inlineStr">
        <is>
          <t>✅ คำตอบที่ถูกต้อง: ข้อ ก. Theophylline 200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Asthma เนื่องจากกลไกการออกฤทธิ์, efficacy หรือข้อบ่งใช้ไม่ตรงกับโจทย์ที่กำหนด
• ข้อ ง.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4" s="2" t="n"/>
      <c r="L104" s="2" t="inlineStr">
        <is>
          <t>Asthma</t>
        </is>
      </c>
      <c r="M104" s="2" t="inlineStr">
        <is>
          <t>Clinic</t>
        </is>
      </c>
      <c r="N104" s="2" t="inlineStr">
        <is>
          <t>ข้อ 4 (PLE_CC1_Key_Rx20_UBU.md)</t>
        </is>
      </c>
      <c r="O104" s="2" t="inlineStr">
        <is>
          <t>Mock</t>
        </is>
      </c>
      <c r="P104" s="2" t="inlineStr">
        <is>
          <t>Mock Rx20 UBU</t>
        </is>
      </c>
    </row>
    <row r="105" ht="13.2" customHeight="1" s="37">
      <c r="A105" s="8" t="inlineStr">
        <is>
          <t>103</t>
        </is>
      </c>
      <c r="B105" s="2" t="inlineStr">
        <is>
          <t>เป็นเอดส์แน่นอน Acquired Immune Deficiency Syndrome : AIDS เป็นกลุ่มอาการเจ็บป่วยที่เกิดขึ้นเพราะร่างกายได้รับเชื้อไวรัสเอชไอวี (HIV) ซึ่งจะเข้าไปทำลายเม็ดเลือดขาว ที่เป็นแหล่งสร้างภูมิคุ้มกันโรค ทำให้ภูมิคุ้มกันโรคลดน้อยลง จึงทำให้ติดเชื้อโรคฉวยโอกาส แทรกซ้อนเข้าสู่ร่างกายได้ง่ายขึ้น เช่น วัณโรคในปอด หรือต่อมน้ำเหลือง เยื่อหุ้มสมองอักเสบจากเชื้อรา</t>
        </is>
      </c>
      <c r="C105" s="2" t="n"/>
      <c r="D105" s="2" t="inlineStr">
        <is>
          <t>Beclomethasone MDI 100 mcg BID</t>
        </is>
      </c>
      <c r="E105" s="2" t="inlineStr">
        <is>
          <t>Salbutamol MDI 2 puffs PRN</t>
        </is>
      </c>
      <c r="F105" s="2" t="inlineStr">
        <is>
          <t>Budesonide/Formoterol 160/4.5 mcg DPI BID</t>
        </is>
      </c>
      <c r="G105" s="2" t="inlineStr">
        <is>
          <t>Fluticasone/Salmeterol 250/50 mcg DPI BID</t>
        </is>
      </c>
      <c r="H105" s="2" t="inlineStr">
        <is>
          <t>Tiotropium Respimat 2.5 mcg 2 puffs OD</t>
        </is>
      </c>
      <c r="I105" s="8" t="inlineStr">
        <is>
          <t>1</t>
        </is>
      </c>
      <c r="J105" s="2" t="inlineStr">
        <is>
          <t>✅ คำตอบที่ถูกต้อง: ข้อ ก. Beclomethasone MDI 100 mcg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Beclomethasone MDI 100 mcg BID การเลือก Beclomethasone MDI 100 mcg BID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(Fluticasone/Salmeterol 250/50 mcg DPI BID): เป็น potent ICS มี high topical potency และ systemic bioavailability ต่ำ ใช้เป็น maintenance anti-inflammatory controller ใน moderate-to-severe asthma และ COPD with high eosinophils
• ข้อ จ. (Tiotropium Respimat 2.5 mcg 2 puffs OD): เป็น Long-acting muscarinic antagonist (LAMA) มี bronchodilatory efficacy สูง เป็นแกนหลักใน COPD maintenance therapy และ add-on ใน severe asthma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5" s="2" t="n"/>
      <c r="L105" s="2" t="inlineStr">
        <is>
          <t>Asthma</t>
        </is>
      </c>
      <c r="M105" s="2" t="inlineStr">
        <is>
          <t>Clinic</t>
        </is>
      </c>
      <c r="N105" s="2" t="inlineStr">
        <is>
          <t>ข้อ 4 (PLE_CC1_Key_Rx20_UBU.md)</t>
        </is>
      </c>
      <c r="O105" s="2" t="inlineStr">
        <is>
          <t>Mock</t>
        </is>
      </c>
      <c r="P105" s="2" t="inlineStr">
        <is>
          <t>Mock Rx20 UBU</t>
        </is>
      </c>
    </row>
    <row r="106" ht="13.2" customHeight="1" s="37">
      <c r="A106" s="8" t="inlineStr">
        <is>
          <t>104</t>
        </is>
      </c>
      <c r="B106" s="2" t="inlineStr">
        <is>
          <t>ยาที่วิเคราะห์ได้ 85% จากเกณฑ์มาตรฐานต่ำสุดที่กำหนด เพลง ส่วนท้าย (102-120) กรณีศึกษาที่ 11 Asthma + Sinusitis ผู้ป่วยหญิง มีประวัติเป็นโรคหอบหืดมา 10 ปี มาพบแพทย์ ด้วยอาการของ acute sinusitis โดยเล่าด้วยว่ามีอาการหอบหืดกำเริบเดือนละ 5 ครั้ง และมีอาการหอบตอนกลางคืนบ่อยๆ มีการใช้ยาบรรเทาอาการอยู่เป็นประจำ โดยยาที่ผู้ป่วยได้รับคือ Salbutamol MDI prn, Budesonide inhaler 2 puff bid และ Theophylline 200 mg 1x1 hs</t>
        </is>
      </c>
      <c r="C106" s="2" t="n"/>
      <c r="D106" s="2" t="inlineStr">
        <is>
          <t>Fluticasone/Salmeterol 250/50 mcg DPI BID</t>
        </is>
      </c>
      <c r="E106" s="2" t="inlineStr">
        <is>
          <t>Tiotropium Respimat 2.5 mcg 2 puffs OD</t>
        </is>
      </c>
      <c r="F106" s="2" t="inlineStr">
        <is>
          <t>Ipratropium/Fenoterol MDI PRN</t>
        </is>
      </c>
      <c r="G106" s="2" t="inlineStr">
        <is>
          <t>Montelukast 10 mg HS</t>
        </is>
      </c>
      <c r="H106" s="2" t="inlineStr">
        <is>
          <t>Theophylline 200 mg BID</t>
        </is>
      </c>
      <c r="I106" s="8" t="inlineStr">
        <is>
          <t>2</t>
        </is>
      </c>
      <c r="J106" s="2" t="inlineStr">
        <is>
          <t>✅ คำตอบที่ถูกต้อง: ข้อ ข.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ก. (Fluticasone/Salmeterol 250/50 mcg DPI BID): เป็น potent ICS มี high topical potency และ systemic bioavailability ต่ำ ใช้เป็น maintenance anti-inflammatory controller ใน moderate-to-severe asthma และ COPD with high eosinophils
• ข้อ ค. (Ipratropium/Fenoterol MDI PRN): เป็น SAMA ออกฤทธิ์ยับยั้ง cholinergic tone มักใช้ร่วมกับ SABA ใน acute moderate-to-severe asthma/COPD exacerbation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(Theophylline 200 mg BID):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06" s="2" t="n"/>
      <c r="L106" s="2" t="inlineStr">
        <is>
          <t>Asthma</t>
        </is>
      </c>
      <c r="M106" s="2" t="inlineStr">
        <is>
          <t>Clinic</t>
        </is>
      </c>
      <c r="N106" s="2" t="inlineStr">
        <is>
          <t>ข้อ 5 (PLE_CC1_Key_Rx20_UBU.md)</t>
        </is>
      </c>
      <c r="O106" s="2" t="inlineStr">
        <is>
          <t>Mock</t>
        </is>
      </c>
      <c r="P106" s="2" t="inlineStr">
        <is>
          <t>Mock Rx20 UBU</t>
        </is>
      </c>
    </row>
    <row r="107" ht="13.2" customHeight="1" s="37">
      <c r="A107" s="8" t="inlineStr">
        <is>
          <t>105</t>
        </is>
      </c>
      <c r="B107" s="2" t="inlineStr">
        <is>
          <t>เพิ่มขนาดยา Theophylline</t>
        </is>
      </c>
      <c r="C107" s="2" t="n"/>
      <c r="D107" s="2" t="inlineStr">
        <is>
          <t>Montelukast 10 mg HS</t>
        </is>
      </c>
      <c r="E107" s="2" t="inlineStr">
        <is>
          <t>Theophylline 200 mg BID</t>
        </is>
      </c>
      <c r="F107" s="2" t="inlineStr">
        <is>
          <t>Prednisolone 40 mg OD x 5 days</t>
        </is>
      </c>
      <c r="G107" s="2" t="inlineStr">
        <is>
          <t>N-acetylcysteine 600 mg OD</t>
        </is>
      </c>
      <c r="H107" s="2" t="inlineStr">
        <is>
          <t>Beclomethasone MDI 100 mcg BID</t>
        </is>
      </c>
      <c r="I107" s="8" t="inlineStr">
        <is>
          <t>1</t>
        </is>
      </c>
      <c r="J107" s="2" t="inlineStr">
        <is>
          <t>✅ คำตอบที่ถูกต้อง: ข้อ ก. Montelukast 10 mg HS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Asthma เนื่องจากกลไกการออกฤทธิ์, efficacy หรือข้อบ่งใช้ไม่ตรงกับโจทย์ที่กำหนด
• ข้อ จ. (Beclomethasone MDI 100 mcg BID):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7" s="2" t="n"/>
      <c r="L107" s="2" t="inlineStr">
        <is>
          <t>Asthma</t>
        </is>
      </c>
      <c r="M107" s="2" t="inlineStr">
        <is>
          <t>Clinic</t>
        </is>
      </c>
      <c r="N107" s="2" t="inlineStr">
        <is>
          <t>ข้อ 2 (PLE_CC1_Key_Rx20_UBU.md)</t>
        </is>
      </c>
      <c r="O107" s="2" t="inlineStr">
        <is>
          <t>Mock</t>
        </is>
      </c>
      <c r="P107" s="2" t="inlineStr">
        <is>
          <t>Mock Rx20 UBU</t>
        </is>
      </c>
    </row>
    <row r="108" ht="13.2" customHeight="1" s="37">
      <c r="A108" s="8" t="inlineStr">
        <is>
          <t>106</t>
        </is>
      </c>
      <c r="B108" s="2" t="inlineStr">
        <is>
          <t>เปลี่ยน Budesonide inhaler ไปเป็น Salmeterol + Fluticasone inhaler</t>
        </is>
      </c>
      <c r="C108" s="2" t="n"/>
      <c r="D108" s="2" t="inlineStr">
        <is>
          <t>N-acetylcysteine 600 mg OD</t>
        </is>
      </c>
      <c r="E108" s="2" t="inlineStr">
        <is>
          <t>Beclomethasone MDI 100 mcg BID</t>
        </is>
      </c>
      <c r="F108" s="2" t="inlineStr">
        <is>
          <t>Salbutamol MDI 2 puffs PRN</t>
        </is>
      </c>
      <c r="G108" s="2" t="inlineStr">
        <is>
          <t>Budesonide/Formoterol 160/4.5 mcg DPI BID</t>
        </is>
      </c>
      <c r="H108" s="2" t="inlineStr">
        <is>
          <t>Fluticasone/Salmeterol 250/50 mcg DPI BID</t>
        </is>
      </c>
      <c r="I108" s="8" t="inlineStr">
        <is>
          <t>2</t>
        </is>
      </c>
      <c r="J108" s="2" t="inlineStr">
        <is>
          <t>✅ คำตอบที่ถูกต้อง: ข้อ ข. Beclomethasone MDI 100 mcg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Beclomethasone MDI 100 mcg BID การเลือก Beclomethasone MDI 100 mcg BID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ก. (N-acetylcysteine 600 mg OD): ข้อนี้ไม่ใช่คำตอบที่ถูกต้องสำหรับภาวะ Asthma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8" s="2" t="n"/>
      <c r="L108" s="2" t="inlineStr">
        <is>
          <t>Asthma</t>
        </is>
      </c>
      <c r="M108" s="2" t="inlineStr">
        <is>
          <t>Clinic</t>
        </is>
      </c>
      <c r="N108" s="2" t="inlineStr">
        <is>
          <t>ข้อ 5 (PLE_CC1_Key_Rx20_UBU.md)</t>
        </is>
      </c>
      <c r="O108" s="2" t="inlineStr">
        <is>
          <t>Mock</t>
        </is>
      </c>
      <c r="P108" s="2" t="inlineStr">
        <is>
          <t>Mock Rx20 UBU</t>
        </is>
      </c>
    </row>
    <row r="109" ht="13.2" customHeight="1" s="37">
      <c r="A109" s="8" t="inlineStr">
        <is>
          <t>107</t>
        </is>
      </c>
      <c r="B109" s="2" t="inlineStr">
        <is>
          <t>Formoterol T - CY plnbibitw อบยาขยายหลอดลมหมด Cวยใ&lt; FประHทJภาพM ไป | Does https</t>
        </is>
      </c>
      <c r="C109" s="2" t="n"/>
      <c r="D109" s="2" t="inlineStr">
        <is>
          <t>Budesonide/Formoterol 160/4.5 mcg DPI BID</t>
        </is>
      </c>
      <c r="E109" s="2" t="inlineStr">
        <is>
          <t>Fluticasone/Salmeterol 250/50 mcg DPI BID</t>
        </is>
      </c>
      <c r="F109" s="2" t="inlineStr">
        <is>
          <t>Tiotropium Respimat 2.5 mcg 2 puffs OD</t>
        </is>
      </c>
      <c r="G109" s="2" t="inlineStr">
        <is>
          <t>Ipratropium/Fenoterol MDI PRN</t>
        </is>
      </c>
      <c r="H109" s="2" t="inlineStr">
        <is>
          <t>Montelukast 10 mg HS</t>
        </is>
      </c>
      <c r="I109" s="8" t="inlineStr">
        <is>
          <t>3</t>
        </is>
      </c>
      <c r="J109" s="2" t="inlineStr">
        <is>
          <t>✅ คำตอบที่ถูกต้อง: ข้อ ค.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ก.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ข. (Fluticasone/Salmeterol 250/50 mcg DPI BID): เป็น potent ICS มี high topical potency และ systemic bioavailability ต่ำ ใช้เป็น maintenance anti-inflammatory controller ใน moderate-to-severe asthma และ COPD with high eosinophils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09" s="2" t="n"/>
      <c r="L109" s="2" t="inlineStr">
        <is>
          <t>Asthma</t>
        </is>
      </c>
      <c r="M109" s="2" t="inlineStr">
        <is>
          <t>Clinic</t>
        </is>
      </c>
      <c r="N109" s="2" t="inlineStr">
        <is>
          <t>ข้อ 5 (PLE_CC1_Key_Rx20_UBU.md)</t>
        </is>
      </c>
      <c r="O109" s="2" t="inlineStr">
        <is>
          <t>Mock</t>
        </is>
      </c>
      <c r="P109" s="2" t="inlineStr">
        <is>
          <t>Mock Rx20 UBU</t>
        </is>
      </c>
    </row>
    <row r="110" ht="13.2" customHeight="1" s="37">
      <c r="A110" s="8" t="inlineStr">
        <is>
          <t>108</t>
        </is>
      </c>
      <c r="B110" s="2" t="inlineStr">
        <is>
          <t>Budesonide+Formoterol</t>
        </is>
      </c>
      <c r="C110" s="2" t="n"/>
      <c r="D110" s="2" t="inlineStr">
        <is>
          <t>Ipratropium/Fenoterol MDI PRN</t>
        </is>
      </c>
      <c r="E110" s="2" t="inlineStr">
        <is>
          <t>Montelukast 10 mg HS</t>
        </is>
      </c>
      <c r="F110" s="2" t="inlineStr">
        <is>
          <t>Theophylline 200 mg BID</t>
        </is>
      </c>
      <c r="G110" s="2" t="inlineStr">
        <is>
          <t>Prednisolone 40 mg OD x 5 days</t>
        </is>
      </c>
      <c r="H110" s="2" t="inlineStr">
        <is>
          <t>N-acetylcysteine 600 mg OD</t>
        </is>
      </c>
      <c r="I110" s="8" t="inlineStr">
        <is>
          <t>1</t>
        </is>
      </c>
      <c r="J110" s="2" t="inlineStr">
        <is>
          <t>✅ คำตอบที่ถูกต้อง: ข้อ ก. Ipratropium/Fenoterol MDI PRN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Ipratropium/Fenoterol MDI PRN การเลือก Ipratropium/Fenoterol MDI PRN เป็นคำตอบที่ถูกต้องตามแนวทางการรักษามาตรฐาน เนื่องจาก เป็น SAMA ออกฤทธิ์ยับยั้ง cholinergic tone มักใช้ร่วมกับ SABA ใน acute moderate-to-severe asthma/COPD exacerbation
🔍 ข้ออื่นผิดเพราะอะไร:
• ข้อ ข.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(Theophylline 200 mg BID): มี narrow therapeutic window (target 5-15 mcg/mL) และ ADR สูง (ใจสั่น คลื่นไส้ ชัก หัวใจเต้นผิดจังหวะ) CPG จึงจัดเป็นเพียงทางเลือกท้ายๆ (alternative)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10" s="2" t="n"/>
      <c r="L110" s="2" t="inlineStr">
        <is>
          <t>Asthma</t>
        </is>
      </c>
      <c r="M110" s="2" t="inlineStr">
        <is>
          <t>Clinic</t>
        </is>
      </c>
      <c r="N110" s="2" t="inlineStr">
        <is>
          <t>ข้อ 1 (PLE_CC1_Key_Rx20_UBU.md)</t>
        </is>
      </c>
      <c r="O110" s="2" t="inlineStr">
        <is>
          <t>Mock</t>
        </is>
      </c>
      <c r="P110" s="2" t="inlineStr">
        <is>
          <t>Mock Rx20 UBU</t>
        </is>
      </c>
    </row>
    <row r="111" ht="13.2" customHeight="1" s="37">
      <c r="A111" s="8" t="inlineStr">
        <is>
          <t>109</t>
        </is>
      </c>
      <c r="B111" s="2" t="inlineStr">
        <is>
          <t>Formoterol inhaler</t>
        </is>
      </c>
      <c r="C111" s="2" t="n"/>
      <c r="D111" s="2" t="inlineStr">
        <is>
          <t>Prednisolone 40 mg OD x 5 days</t>
        </is>
      </c>
      <c r="E111" s="2" t="inlineStr">
        <is>
          <t>N-acetylcysteine 600 mg OD</t>
        </is>
      </c>
      <c r="F111" s="2" t="inlineStr">
        <is>
          <t>Beclomethasone MDI 100 mcg BID</t>
        </is>
      </c>
      <c r="G111" s="2" t="inlineStr">
        <is>
          <t>Salbutamol MDI 2 puffs PRN</t>
        </is>
      </c>
      <c r="H111" s="2" t="inlineStr">
        <is>
          <t>Budesonide/Formoterol 160/4.5 mcg DPI BID</t>
        </is>
      </c>
      <c r="I111" s="8" t="inlineStr">
        <is>
          <t>1</t>
        </is>
      </c>
      <c r="J111" s="2" t="inlineStr">
        <is>
          <t>✅ คำตอบที่ถูกต้อง: ข้อ ก. Prednisolone 40 mg OD x 5 days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Asthma เนื่องจากกลไกการออกฤทธิ์, efficacy หรือข้อบ่งใช้ไม่ตรงกับโจทย์ที่กำหนด
• ข้อ ค.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11" s="2" t="n"/>
      <c r="L111" s="2" t="inlineStr">
        <is>
          <t>Asthma</t>
        </is>
      </c>
      <c r="M111" s="2" t="inlineStr">
        <is>
          <t>Clinic</t>
        </is>
      </c>
      <c r="N111" s="2" t="inlineStr">
        <is>
          <t>ข้อ 2 (PLE_CC1_Key_Rx20_UBU.md)</t>
        </is>
      </c>
      <c r="O111" s="2" t="inlineStr">
        <is>
          <t>Mock</t>
        </is>
      </c>
      <c r="P111" s="2" t="inlineStr">
        <is>
          <t>Mock Rx20 UBU</t>
        </is>
      </c>
    </row>
    <row r="112" ht="13.2" customHeight="1" s="37">
      <c r="A112" s="8" t="inlineStr">
        <is>
          <t>110</t>
        </is>
      </c>
      <c r="B112" s="2" t="inlineStr">
        <is>
          <t>Salbutamol inhaler</t>
        </is>
      </c>
      <c r="C112" s="2" t="n"/>
      <c r="D112" s="2" t="inlineStr">
        <is>
          <t>Salbutamol MDI 2 puffs PRN</t>
        </is>
      </c>
      <c r="E112" s="2" t="inlineStr">
        <is>
          <t>Budesonide/Formoterol 160/4.5 mcg DPI BID</t>
        </is>
      </c>
      <c r="F112" s="2" t="inlineStr">
        <is>
          <t>Fluticasone/Salmeterol 250/50 mcg DPI BID</t>
        </is>
      </c>
      <c r="G112" s="2" t="inlineStr">
        <is>
          <t>Tiotropium Respimat 2.5 mcg 2 puffs OD</t>
        </is>
      </c>
      <c r="H112" s="2" t="inlineStr">
        <is>
          <t>Ipratropium/Fenoterol MDI PRN</t>
        </is>
      </c>
      <c r="I112" s="8" t="inlineStr">
        <is>
          <t>1</t>
        </is>
      </c>
      <c r="J112" s="2" t="inlineStr">
        <is>
          <t>✅ คำตอบที่ถูกต้อง: ข้อ ก. Salbutamol MDI 2 puffs PRN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Salbutamol MDI 2 puffs PRN การเลือก Salbutamol MDI 2 puffs PRN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2" s="2" t="n"/>
      <c r="L112" s="2" t="inlineStr">
        <is>
          <t>Asthma</t>
        </is>
      </c>
      <c r="M112" s="2" t="inlineStr">
        <is>
          <t>Clinic</t>
        </is>
      </c>
      <c r="N112" s="2" t="inlineStr">
        <is>
          <t>ข้อ 3 (PLE_CC1_Key_Rx20_UBU.md)</t>
        </is>
      </c>
      <c r="O112" s="2" t="inlineStr">
        <is>
          <t>Mock</t>
        </is>
      </c>
      <c r="P112" s="2" t="inlineStr">
        <is>
          <t>Mock Rx20 UBU</t>
        </is>
      </c>
    </row>
    <row r="113" ht="13.2" customHeight="1" s="37">
      <c r="A113" s="8" t="inlineStr">
        <is>
          <t>111</t>
        </is>
      </c>
      <c r="B113" s="2" t="inlineStr">
        <is>
          <t>Salmeterol inhaler</t>
        </is>
      </c>
      <c r="C113" s="2" t="n"/>
      <c r="D113" s="2" t="inlineStr">
        <is>
          <t>Tiotropium Respimat 2.5 mcg 2 puffs OD</t>
        </is>
      </c>
      <c r="E113" s="2" t="inlineStr">
        <is>
          <t>Ipratropium/Fenoterol MDI PRN</t>
        </is>
      </c>
      <c r="F113" s="2" t="inlineStr">
        <is>
          <t>Montelukast 10 mg HS</t>
        </is>
      </c>
      <c r="G113" s="2" t="inlineStr">
        <is>
          <t>Theophylline 200 mg BID</t>
        </is>
      </c>
      <c r="H113" s="2" t="inlineStr">
        <is>
          <t>Prednisolone 40 mg OD x 5 days</t>
        </is>
      </c>
      <c r="I113" s="8" t="inlineStr">
        <is>
          <t>1</t>
        </is>
      </c>
      <c r="J113" s="2" t="inlineStr">
        <is>
          <t>✅ คำตอบที่ถูกต้อง: ข้อ ก.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13" s="2" t="n"/>
      <c r="L113" s="2" t="inlineStr">
        <is>
          <t>Asthma</t>
        </is>
      </c>
      <c r="M113" s="2" t="inlineStr">
        <is>
          <t>Clinic</t>
        </is>
      </c>
      <c r="N113" s="2" t="inlineStr">
        <is>
          <t>ข้อ 4 (PLE_CC1_Key_Rx20_UBU.md)</t>
        </is>
      </c>
      <c r="O113" s="2" t="inlineStr">
        <is>
          <t>Mock</t>
        </is>
      </c>
      <c r="P113" s="2" t="inlineStr">
        <is>
          <t>Mock Rx20 UBU</t>
        </is>
      </c>
    </row>
    <row r="114" ht="13.2" customHeight="1" s="37">
      <c r="A114" s="8" t="inlineStr">
        <is>
          <t>112</t>
        </is>
      </c>
      <c r="B114" s="2" t="inlineStr">
        <is>
          <t>Momethasone inhaler</t>
        </is>
      </c>
      <c r="C114" s="2" t="n"/>
      <c r="D114" s="2" t="inlineStr">
        <is>
          <t>Theophylline 200 mg BID</t>
        </is>
      </c>
      <c r="E114" s="2" t="inlineStr">
        <is>
          <t>Prednisolone 40 mg OD x 5 days</t>
        </is>
      </c>
      <c r="F114" s="2" t="inlineStr">
        <is>
          <t>N-acetylcysteine 600 mg OD</t>
        </is>
      </c>
      <c r="G114" s="2" t="inlineStr">
        <is>
          <t>Beclomethasone MDI 100 mcg BID</t>
        </is>
      </c>
      <c r="H114" s="2" t="inlineStr">
        <is>
          <t>Salbutamol MDI 2 puffs PRN</t>
        </is>
      </c>
      <c r="I114" s="8" t="inlineStr">
        <is>
          <t>2</t>
        </is>
      </c>
      <c r="J114" s="2" t="inlineStr">
        <is>
          <t>✅ คำตอบที่ถูกต้อง: ข้อ ข. Prednisolone 40 mg OD x 5 days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ก. (Theophylline 200 mg BID): มี narrow therapeutic window (target 5-15 mcg/mL) และ ADR สูง (ใจสั่น คลื่นไส้ ชัก หัวใจเต้นผิดจังหวะ) CPG จึงจัดเป็นเพียงทางเลือกท้ายๆ (alternative)
• ข้อ ค. (N-acetylcysteine 600 mg OD): ข้อนี้ไม่ใช่คำตอบที่ถูกต้องสำหรับภาวะ Asthma เนื่องจากกลไกการออกฤทธิ์, efficacy หรือข้อบ่งใช้ไม่ตรงกับโจทย์ที่กำหนด
• ข้อ ง.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14" s="2" t="n"/>
      <c r="L114" s="2" t="inlineStr">
        <is>
          <t>Asthma</t>
        </is>
      </c>
      <c r="M114" s="2" t="inlineStr">
        <is>
          <t>Clinic</t>
        </is>
      </c>
      <c r="N114" s="2" t="inlineStr">
        <is>
          <t>ข้อ 5 (PLE_CC1_Key_Rx20_UBU.md)</t>
        </is>
      </c>
      <c r="O114" s="2" t="inlineStr">
        <is>
          <t>Mock</t>
        </is>
      </c>
      <c r="P114" s="2" t="inlineStr">
        <is>
          <t>Mock Rx20 UBU</t>
        </is>
      </c>
    </row>
    <row r="115" ht="13.2" customHeight="1" s="37">
      <c r="A115" s="8" t="inlineStr">
        <is>
          <t>113</t>
        </is>
      </c>
      <c r="B115" s="2" t="inlineStr">
        <is>
          <t>Budesonide inhaler</t>
        </is>
      </c>
      <c r="C115" s="2" t="n"/>
      <c r="D115" s="2" t="inlineStr">
        <is>
          <t>Beclomethasone MDI 100 mcg BID</t>
        </is>
      </c>
      <c r="E115" s="2" t="inlineStr">
        <is>
          <t>Salbutamol MDI 2 puffs PRN</t>
        </is>
      </c>
      <c r="F115" s="2" t="inlineStr">
        <is>
          <t>Budesonide/Formoterol 160/4.5 mcg DPI BID</t>
        </is>
      </c>
      <c r="G115" s="2" t="inlineStr">
        <is>
          <t>Fluticasone/Salmeterol 250/50 mcg DPI BID</t>
        </is>
      </c>
      <c r="H115" s="2" t="inlineStr">
        <is>
          <t>Tiotropium Respimat 2.5 mcg 2 puffs OD</t>
        </is>
      </c>
      <c r="I115" s="8" t="inlineStr">
        <is>
          <t>1</t>
        </is>
      </c>
      <c r="J115" s="2" t="inlineStr">
        <is>
          <t>✅ คำตอบที่ถูกต้อง: ข้อ ก. Beclomethasone MDI 100 mcg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Beclomethasone MDI 100 mcg BID การเลือก Beclomethasone MDI 100 mcg BID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(Fluticasone/Salmeterol 250/50 mcg DPI BID): เป็น potent ICS มี high topical potency และ systemic bioavailability ต่ำ ใช้เป็น maintenance anti-inflammatory controller ใน moderate-to-severe asthma และ COPD with high eosinophils
• ข้อ จ. (Tiotropium Respimat 2.5 mcg 2 puffs OD): เป็น Long-acting muscarinic antagonist (LAMA) มี bronchodilatory efficacy สูง เป็นแกนหลักใน COPD maintenance therapy และ add-on ใน severe asthma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15" s="2" t="n"/>
      <c r="L115" s="2" t="inlineStr">
        <is>
          <t>Asthma</t>
        </is>
      </c>
      <c r="M115" s="2" t="inlineStr">
        <is>
          <t>Clinic</t>
        </is>
      </c>
      <c r="N115" s="2" t="inlineStr">
        <is>
          <t>ข้อ 1 (PLE_CC1_Key_Rx20_UBU.md)</t>
        </is>
      </c>
      <c r="O115" s="2" t="inlineStr">
        <is>
          <t>Mock</t>
        </is>
      </c>
      <c r="P115" s="2" t="inlineStr">
        <is>
          <t>Mock Rx20 UBU</t>
        </is>
      </c>
    </row>
    <row r="116" ht="13.2" customHeight="1" s="37">
      <c r="A116" s="8" t="inlineStr">
        <is>
          <t>114</t>
        </is>
      </c>
      <c r="B116" s="2" t="inlineStr">
        <is>
          <t>Formoterol/salmeterol inhaler</t>
        </is>
      </c>
      <c r="C116" s="2" t="n"/>
      <c r="D116" s="2" t="inlineStr">
        <is>
          <t>Fluticasone/Salmeterol 250/50 mcg DPI BID</t>
        </is>
      </c>
      <c r="E116" s="2" t="inlineStr">
        <is>
          <t>Tiotropium Respimat 2.5 mcg 2 puffs OD</t>
        </is>
      </c>
      <c r="F116" s="2" t="inlineStr">
        <is>
          <t>Ipratropium/Fenoterol MDI PRN</t>
        </is>
      </c>
      <c r="G116" s="2" t="inlineStr">
        <is>
          <t>Montelukast 10 mg HS</t>
        </is>
      </c>
      <c r="H116" s="2" t="inlineStr">
        <is>
          <t>Theophylline 200 mg BID</t>
        </is>
      </c>
      <c r="I116" s="8" t="inlineStr">
        <is>
          <t>1</t>
        </is>
      </c>
      <c r="J116" s="2" t="inlineStr">
        <is>
          <t>✅ คำตอบที่ถูกต้อง: ข้อ ก. Fluticasone/Salmeterol 250/50 mcg DPI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Fluticasone/Salmeterol 250/50 mcg DPI BID การเลือก Fluticasone/Salmeterol 250/50 mcg DPI BID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(Tiotropium Respimat 2.5 mcg 2 puffs OD): เป็น Long-acting muscarinic antagonist (LAMA) มี bronchodilatory efficacy สูง เป็นแกนหลักใน COPD maintenance therapy และ add-on ใน severe asthma
• ข้อ ค. (Ipratropium/Fenoterol MDI PRN): เป็น SAMA ออกฤทธิ์ยับยั้ง cholinergic tone มักใช้ร่วมกับ SABA ใน acute moderate-to-severe asthma/COPD exacerbation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(Theophylline 200 mg BID):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16" s="2" t="n"/>
      <c r="L116" s="2" t="inlineStr">
        <is>
          <t>Asthma</t>
        </is>
      </c>
      <c r="M116" s="2" t="inlineStr">
        <is>
          <t>Clinic</t>
        </is>
      </c>
      <c r="N116" s="2" t="inlineStr">
        <is>
          <t>ข้อ 3 (PLE_CC1_Key_Rx20_UBU.md)</t>
        </is>
      </c>
      <c r="O116" s="2" t="inlineStr">
        <is>
          <t>Mock</t>
        </is>
      </c>
      <c r="P116" s="2" t="inlineStr">
        <is>
          <t>Mock Rx20 UBU</t>
        </is>
      </c>
    </row>
    <row r="117" ht="13.2" customHeight="1" s="37">
      <c r="A117" s="8" t="inlineStr">
        <is>
          <t>115</t>
        </is>
      </c>
      <c r="B117" s="2" t="inlineStr">
        <is>
          <t>Tiotopium dry powder for inhalation ครั้งต่อสัปดาห์และอาการช่วงกลางคืน 2 ครั้งต่อเดือน ระดับการควบคุมอาการอยู่ใน partly controlled และปัจจุบันได้เป็น Salbutamol เป็น As-needed SABA จึง step up ให้ได้ร่วมกับ low dose ICS</t>
        </is>
      </c>
      <c r="C117" s="2" t="n"/>
      <c r="D117" s="2" t="inlineStr">
        <is>
          <t>Montelukast 10 mg HS</t>
        </is>
      </c>
      <c r="E117" s="2" t="inlineStr">
        <is>
          <t>Theophylline 200 mg BID</t>
        </is>
      </c>
      <c r="F117" s="2" t="inlineStr">
        <is>
          <t>Prednisolone 40 mg OD x 5 days</t>
        </is>
      </c>
      <c r="G117" s="2" t="inlineStr">
        <is>
          <t>N-acetylcysteine 600 mg OD</t>
        </is>
      </c>
      <c r="H117" s="2" t="inlineStr">
        <is>
          <t>Beclomethasone MDI 100 mcg BID</t>
        </is>
      </c>
      <c r="I117" s="8" t="inlineStr">
        <is>
          <t>2</t>
        </is>
      </c>
      <c r="J117" s="2" t="inlineStr">
        <is>
          <t>✅ คำตอบที่ถูกต้อง: ข้อ ข. Theophylline 200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ก.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Asthma เนื่องจากกลไกการออกฤทธิ์, efficacy หรือข้อบ่งใช้ไม่ตรงกับโจทย์ที่กำหนด
• ข้อ จ. (Beclomethasone MDI 100 mcg BID):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7" s="2" t="n"/>
      <c r="L117" s="2" t="inlineStr">
        <is>
          <t>Asthma</t>
        </is>
      </c>
      <c r="M117" s="2" t="inlineStr">
        <is>
          <t>Clinic</t>
        </is>
      </c>
      <c r="N117" s="2" t="inlineStr">
        <is>
          <t>ข้อ 5 (PLE_CC1_Key_Rx20_UBU.md)</t>
        </is>
      </c>
      <c r="O117" s="2" t="inlineStr">
        <is>
          <t>Mock</t>
        </is>
      </c>
      <c r="P117" s="2" t="inlineStr">
        <is>
          <t>Mock Rx20 UBU</t>
        </is>
      </c>
    </row>
    <row r="118" ht="13.2" customHeight="1" s="37">
      <c r="A118" s="8" t="inlineStr">
        <is>
          <t>116</t>
        </is>
      </c>
      <c r="B118" s="2" t="inlineStr">
        <is>
          <t>Theophylline half life = 8 ชั่วโมง ค่า ke = เท่าไร</t>
        </is>
      </c>
      <c r="C118" s="2" t="n"/>
      <c r="D118" s="2" t="inlineStr">
        <is>
          <t>N-acetylcysteine 600 mg OD</t>
        </is>
      </c>
      <c r="E118" s="2" t="inlineStr">
        <is>
          <t>Beclomethasone MDI 100 mcg BID</t>
        </is>
      </c>
      <c r="F118" s="2" t="inlineStr">
        <is>
          <t>Salbutamol MDI 2 puffs PRN</t>
        </is>
      </c>
      <c r="G118" s="2" t="inlineStr">
        <is>
          <t>Budesonide/Formoterol 160/4.5 mcg DPI BID</t>
        </is>
      </c>
      <c r="H118" s="2" t="inlineStr">
        <is>
          <t>Fluticasone/Salmeterol 250/50 mcg DPI BID</t>
        </is>
      </c>
      <c r="I118" s="8" t="inlineStr">
        <is>
          <t>1</t>
        </is>
      </c>
      <c r="J118" s="2" t="inlineStr">
        <is>
          <t>✅ คำตอบที่ถูกต้อง: ข้อ ก. N-acetylcysteine 600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N-acetylcysteine 600 mg OD การเลือก N-acetylcysteine 600 mg OD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8" s="2" t="n"/>
      <c r="L118" s="2" t="inlineStr">
        <is>
          <t>Asthma</t>
        </is>
      </c>
      <c r="M118" s="2" t="inlineStr">
        <is>
          <t>Clinic</t>
        </is>
      </c>
      <c r="N118" s="2" t="inlineStr">
        <is>
          <t>ข้อ 2 (PLE_CC1_Key_Rx20_UBU.md)</t>
        </is>
      </c>
      <c r="O118" s="2" t="inlineStr">
        <is>
          <t>Mock</t>
        </is>
      </c>
      <c r="P118" s="2" t="inlineStr">
        <is>
          <t>Mock Rx20 UBU</t>
        </is>
      </c>
    </row>
    <row r="119" ht="13.2" customHeight="1" s="37">
      <c r="A119" s="8" t="inlineStr">
        <is>
          <t>117</t>
        </is>
      </c>
      <c r="B119" s="2" t="inlineStr">
        <is>
          <t>NSAID ตัวใดทำให้อาการ asthma กำเริบได้</t>
        </is>
      </c>
      <c r="C119" s="2" t="n"/>
      <c r="D119" s="2" t="inlineStr">
        <is>
          <t>Budesonide/Formoterol 160/4.5 mcg DPI BID</t>
        </is>
      </c>
      <c r="E119" s="2" t="inlineStr">
        <is>
          <t>Fluticasone/Salmeterol 250/50 mcg DPI BID</t>
        </is>
      </c>
      <c r="F119" s="2" t="inlineStr">
        <is>
          <t>Tiotropium Respimat 2.5 mcg 2 puffs OD</t>
        </is>
      </c>
      <c r="G119" s="2" t="inlineStr">
        <is>
          <t>Ipratropium/Fenoterol MDI PRN</t>
        </is>
      </c>
      <c r="H119" s="2" t="inlineStr">
        <is>
          <t>Montelukast 10 mg HS</t>
        </is>
      </c>
      <c r="I119" s="8" t="inlineStr">
        <is>
          <t>1</t>
        </is>
      </c>
      <c r="J119" s="2" t="inlineStr">
        <is>
          <t>✅ คำตอบที่ถูกต้อง: ข้อ ก. Budesonide/Formoterol 160/4.5 mcg DPI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119" s="2" t="n"/>
      <c r="L119" s="2" t="inlineStr">
        <is>
          <t>Asthma</t>
        </is>
      </c>
      <c r="M119" s="2" t="inlineStr">
        <is>
          <t>Clinic</t>
        </is>
      </c>
      <c r="N119" s="2" t="inlineStr">
        <is>
          <t>ข้อ 4 (PLE_CC1_Key_Rx20_UBU.md)</t>
        </is>
      </c>
      <c r="O119" s="2" t="inlineStr">
        <is>
          <t>Mock</t>
        </is>
      </c>
      <c r="P119" s="2" t="inlineStr">
        <is>
          <t>Mock Rx20 UBU</t>
        </is>
      </c>
    </row>
    <row r="120" ht="13.2" customHeight="1" s="37">
      <c r="A120" s="8" t="inlineStr">
        <is>
          <t>118</t>
        </is>
      </c>
      <c r="B120" s="2" t="inlineStr">
        <is>
          <t>Hyperinflation ไม่ได้สัมพันธ์กับ COPD</t>
        </is>
      </c>
      <c r="C120" s="2" t="n"/>
      <c r="D120" s="2" t="inlineStr">
        <is>
          <t>Pneumonia ทำให้เกิดexacerbation ได้</t>
        </is>
      </c>
      <c r="E120" s="2" t="inlineStr">
        <is>
          <t>FEV1 &lt; 40% แสดงถึงความรุนแรงของโรคระดับ Severe</t>
        </is>
      </c>
      <c r="F120" s="2" t="inlineStr">
        <is>
          <t>ผู้ป่วยไม่จำเป็นต้องตรวจ Methacholine test</t>
        </is>
      </c>
      <c r="G120" s="2" t="inlineStr">
        <is>
          <t>Prednisolone 40 mg OD x 5 days</t>
        </is>
      </c>
      <c r="H120" s="2" t="inlineStr">
        <is>
          <t>N-acetylcysteine 600 mg OD</t>
        </is>
      </c>
      <c r="I120" s="8" t="inlineStr">
        <is>
          <t>1</t>
        </is>
      </c>
      <c r="J120" s="2" t="inlineStr">
        <is>
          <t>✅ คำตอบที่ถูกต้อง: ข้อ ก. Pneumonia ทำให้เกิดexacerbation ได้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Pneumonia ทำให้เกิดexacerbation ได้ Pneumonia ทำให้เกิด exacerbation ได้ Pneumonia ทำให้เกิด exacerbation ได้ Pneumonia ทำให้เกิด exacerbation ได้ Pneumonia ทำให้เกิด exacerbation ได้ การเลือก Pneumonia ทำให้เกิด exacerbation ได้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(FEV1 &lt; 40% แสดงถึงความรุนแรงของโรคระดับ Severe): ข้อนี้ไม่ใช่คำตอบที่ถูกต้องสำหรับภาวะ Asthma เนื่องจากกลไกการออกฤทธิ์, efficacy หรือข้อบ่งใช้ไม่ตรงกับโจทย์ที่กำหนด
• ข้อ ค. (ผู้ป่วยไม่จำเป็นต้องตรวจ Methacholine test): ข้อนี้ไม่ใช่คำตอบที่ถูกต้องสำหรับภาวะ Asthma เนื่องจากกลไกการออกฤทธิ์, efficacy หรือข้อบ่งใช้ไม่ตรงกับโจทย์ที่กำหนด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0" s="2" t="n"/>
      <c r="L120" s="2" t="inlineStr">
        <is>
          <t>Asthma</t>
        </is>
      </c>
      <c r="M120" s="2" t="inlineStr">
        <is>
          <t>Clinic</t>
        </is>
      </c>
      <c r="N120" s="2" t="inlineStr">
        <is>
          <t>ข้อ 1 (PLE_CC1_Key_Rx20_UBU.md)</t>
        </is>
      </c>
      <c r="O120" s="2" t="inlineStr">
        <is>
          <t>Mock</t>
        </is>
      </c>
      <c r="P120" s="2" t="inlineStr">
        <is>
          <t>Mock Rx20 UBU</t>
        </is>
      </c>
    </row>
    <row r="121" ht="13.2" customHeight="1" s="37">
      <c r="A121" s="8" t="inlineStr">
        <is>
          <t>119</t>
        </is>
      </c>
      <c r="B121" s="2" t="inlineStr">
        <is>
          <t>Formoterol LABA</t>
        </is>
      </c>
      <c r="C121" s="2" t="n"/>
      <c r="D121" s="2" t="inlineStr">
        <is>
          <t>Prednisolone 40 mg OD x 5 days</t>
        </is>
      </c>
      <c r="E121" s="2" t="inlineStr">
        <is>
          <t>N-acetylcysteine 600 mg OD</t>
        </is>
      </c>
      <c r="F121" s="2" t="inlineStr">
        <is>
          <t>Beclomethasone MDI 100 mcg BID</t>
        </is>
      </c>
      <c r="G121" s="2" t="inlineStr">
        <is>
          <t>Salbutamol MDI 2 puffs PRN</t>
        </is>
      </c>
      <c r="H121" s="2" t="inlineStr">
        <is>
          <t>Budesonide/Formoterol 160/4.5 mcg DPI BID</t>
        </is>
      </c>
      <c r="I121" s="8" t="inlineStr">
        <is>
          <t>1</t>
        </is>
      </c>
      <c r="J121" s="2" t="inlineStr">
        <is>
          <t>✅ คำตอบที่ถูกต้อง: ข้อ ก. Prednisolone 40 mg OD x 5 days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Asthma เนื่องจากกลไกการออกฤทธิ์, efficacy หรือข้อบ่งใช้ไม่ตรงกับโจทย์ที่กำหนด
• ข้อ ค.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21" s="2" t="n"/>
      <c r="L121" s="2" t="inlineStr">
        <is>
          <t>Asthma</t>
        </is>
      </c>
      <c r="M121" s="2" t="inlineStr">
        <is>
          <t>Clinic</t>
        </is>
      </c>
      <c r="N121" s="2" t="inlineStr">
        <is>
          <t>ข้อ 2 (PLE_CC1_Key_Rx20_UBU.md)</t>
        </is>
      </c>
      <c r="O121" s="2" t="inlineStr">
        <is>
          <t>Mock</t>
        </is>
      </c>
      <c r="P121" s="2" t="inlineStr">
        <is>
          <t>Mock Rx20 UBU</t>
        </is>
      </c>
    </row>
    <row r="122" ht="13.2" customHeight="1" s="37">
      <c r="A122" s="8" t="inlineStr">
        <is>
          <t>120</t>
        </is>
      </c>
      <c r="B122" s="2" t="inlineStr">
        <is>
          <t>Salbutamol SABA</t>
        </is>
      </c>
      <c r="C122" s="2" t="n"/>
      <c r="D122" s="2" t="inlineStr">
        <is>
          <t>Tiotropium LAMA</t>
        </is>
      </c>
      <c r="E122" s="2" t="inlineStr">
        <is>
          <t>Budesonide ICS</t>
        </is>
      </c>
      <c r="F122" s="2" t="inlineStr">
        <is>
          <t>) ข้อใดไม่ได้เป็นเกณฑ์ในการให้ยาฆ่าเชื้อ</t>
        </is>
      </c>
      <c r="G122" s="2" t="inlineStr">
        <is>
          <t>Tiotropium Respimat 2.5 mcg 2 puffs OD</t>
        </is>
      </c>
      <c r="H122" s="2" t="inlineStr">
        <is>
          <t>Ipratropium/Fenoterol MDI PRN</t>
        </is>
      </c>
      <c r="I122" s="8" t="inlineStr">
        <is>
          <t>1</t>
        </is>
      </c>
      <c r="J122" s="2" t="inlineStr">
        <is>
          <t>✅ คำตอบที่ถูกต้อง: ข้อ ก. Tiotropium LAMA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LAMA การเลือก Tiotropium LAMA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ข. (Budesonide ICS):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 ข้อใดไม่ได้เป็นเกณฑ์ในการให้ยาฆ่าเชื้อ): ข้อนี้ไม่ใช่คำตอบที่ถูกต้องสำหรับภาวะ Asthma เนื่องจากกลไกการออกฤทธิ์, efficacy หรือข้อบ่งใช้ไม่ตรงกับโจทย์ที่กำหนด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22" s="2" t="n"/>
      <c r="L122" s="2" t="inlineStr">
        <is>
          <t>Asthma</t>
        </is>
      </c>
      <c r="M122" s="2" t="inlineStr">
        <is>
          <t>Clinic</t>
        </is>
      </c>
      <c r="N122" s="2" t="inlineStr">
        <is>
          <t>ข้อ 3 (PLE_CC1_Key_Rx20_UBU.md)</t>
        </is>
      </c>
      <c r="O122" s="2" t="inlineStr">
        <is>
          <t>Mock</t>
        </is>
      </c>
      <c r="P122" s="2" t="inlineStr">
        <is>
          <t>Mock Rx20 UBU</t>
        </is>
      </c>
    </row>
    <row r="123" ht="13.2" customHeight="1" s="37">
      <c r="A123" s="8" t="inlineStr">
        <is>
          <t>121</t>
        </is>
      </c>
      <c r="B123" s="2" t="inlineStr">
        <is>
          <t>Nebulized Salbutamol</t>
        </is>
      </c>
      <c r="C123" s="2" t="n"/>
      <c r="D123" s="2" t="inlineStr">
        <is>
          <t>Tiotropium Respimat 2.5 mcg 2 puffs OD</t>
        </is>
      </c>
      <c r="E123" s="2" t="inlineStr">
        <is>
          <t>Ipratropium/Fenoterol MDI PRN</t>
        </is>
      </c>
      <c r="F123" s="2" t="inlineStr">
        <is>
          <t>Montelukast 10 mg HS</t>
        </is>
      </c>
      <c r="G123" s="2" t="inlineStr">
        <is>
          <t>Theophylline 200 mg BID</t>
        </is>
      </c>
      <c r="H123" s="2" t="inlineStr">
        <is>
          <t>Prednisolone 40 mg OD x 5 days</t>
        </is>
      </c>
      <c r="I123" s="8" t="inlineStr">
        <is>
          <t>1</t>
        </is>
      </c>
      <c r="J123" s="2" t="inlineStr">
        <is>
          <t>✅ คำตอบที่ถูกต้อง: ข้อ ก. Tiotropium Respimat 2.5 mcg 2 puffs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Tiotropium Respimat 2.5 mcg 2 puffs OD การเลือก Tiotropium Respimat 2.5 mcg 2 puffs OD เป็นคำตอบที่ถูกต้องตามแนวทางการรักษามาตรฐาน เนื่องจาก เป็น Long-acting muscarinic antagonist (LAMA) มี bronchodilatory efficacy สูง เป็นแกนหลักใน COPD maintenance therapy และ add-on ใน severe asthma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23" s="2" t="n"/>
      <c r="L123" s="2" t="inlineStr">
        <is>
          <t>Asthma</t>
        </is>
      </c>
      <c r="M123" s="2" t="inlineStr">
        <is>
          <t>Clinic</t>
        </is>
      </c>
      <c r="N123" s="2" t="inlineStr">
        <is>
          <t>ข้อ 5 (PLE_CC1_Key_Rx20_UBU.md)</t>
        </is>
      </c>
      <c r="O123" s="2" t="inlineStr">
        <is>
          <t>Mock</t>
        </is>
      </c>
      <c r="P123" s="2" t="inlineStr">
        <is>
          <t>Mock Rx20 UBU</t>
        </is>
      </c>
    </row>
    <row r="124" ht="13.2" customHeight="1" s="37">
      <c r="A124" s="8" t="inlineStr">
        <is>
          <t>122</t>
        </is>
      </c>
      <c r="B124" s="2" t="inlineStr">
        <is>
          <t>Symbicortห turbuhaler (Budesonide 160 μg/formoterol 4.5 μg) 1 puff bid</t>
        </is>
      </c>
      <c r="C124" s="2" t="n"/>
      <c r="D124" s="2" t="inlineStr">
        <is>
          <t>Theophylline 200 mg BID</t>
        </is>
      </c>
      <c r="E124" s="2" t="inlineStr">
        <is>
          <t>Prednisolone 40 mg OD x 5 days</t>
        </is>
      </c>
      <c r="F124" s="2" t="inlineStr">
        <is>
          <t>N-acetylcysteine 600 mg OD</t>
        </is>
      </c>
      <c r="G124" s="2" t="inlineStr">
        <is>
          <t>Beclomethasone MDI 100 mcg BID</t>
        </is>
      </c>
      <c r="H124" s="2" t="inlineStr">
        <is>
          <t>Salbutamol MDI 2 puffs PRN</t>
        </is>
      </c>
      <c r="I124" s="8" t="inlineStr">
        <is>
          <t>1</t>
        </is>
      </c>
      <c r="J124" s="2" t="inlineStr">
        <is>
          <t>✅ คำตอบที่ถูกต้อง: ข้อ ก. Theophylline 200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Asthma เนื่องจากกลไกการออกฤทธิ์, efficacy หรือข้อบ่งใช้ไม่ตรงกับโจทย์ที่กำหนด
• ข้อ ง. (Beclomethasone MDI 100 mcg BID): ข้อนี้ไม่ใช่คำตอบที่ถูกต้องสำหรับภาวะ Asthma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4" s="2" t="n"/>
      <c r="L124" s="2" t="inlineStr">
        <is>
          <t>Asthma</t>
        </is>
      </c>
      <c r="M124" s="2" t="inlineStr">
        <is>
          <t>Clinic</t>
        </is>
      </c>
      <c r="N124" s="2" t="inlineStr">
        <is>
          <t>ข้อ 1 (PLE_CC1_Key_Rx20_UBU.md)</t>
        </is>
      </c>
      <c r="O124" s="2" t="inlineStr">
        <is>
          <t>Mock</t>
        </is>
      </c>
      <c r="P124" s="2" t="inlineStr">
        <is>
          <t>Mock Rx20 UBU</t>
        </is>
      </c>
    </row>
    <row r="125" ht="13.2" customHeight="1" s="37">
      <c r="A125" s="8" t="inlineStr">
        <is>
          <t>123</t>
        </is>
      </c>
      <c r="B125" s="2" t="inlineStr">
        <is>
          <t>จากโครงสร้าง salmeterolและ formoterol ซึ่งเป็นยากลุ่ม long acting beta 2 agonist ข้อใดถูกต้อง</t>
        </is>
      </c>
      <c r="C125" s="2" t="n"/>
      <c r="D125" s="2" t="inlineStr">
        <is>
          <t>Salmeterol ออกฤทธิ์เร็วกว่า formoterol เพราะ lipophilicity สูงกว่า</t>
        </is>
      </c>
      <c r="E125" s="2" t="inlineStr">
        <is>
          <t>Salmeterol ออกฤทธิ์เร็วกว่า formoterol เพราะ lipophilicity ต่ำกว่า</t>
        </is>
      </c>
      <c r="F125" s="2" t="inlineStr">
        <is>
          <t>Formoterol ออกฤทธิ์เร็วกว่า salmeterol เพราะ lipophilicity สูงกว่า</t>
        </is>
      </c>
      <c r="G125" s="2" t="inlineStr">
        <is>
          <t>Formoterol ออกฤทธิ์เร็วกว่า salmeterol เพราะ lipophilicity ต่ำกว่า</t>
        </is>
      </c>
      <c r="H125" s="2" t="inlineStr">
        <is>
          <t>การออกฤทธิ์เร็วหรือช้าไม่เกี่ยวข้องกับ lipophilicity เรื่องที่ 2. Tinea versicolor</t>
        </is>
      </c>
      <c r="I125" s="8" t="inlineStr">
        <is>
          <t>4</t>
        </is>
      </c>
      <c r="J125" s="2" t="inlineStr">
        <is>
          <t>✅ คำตอบที่ถูกต้อง: ข้อ ง. Formoterol ออกฤทธิ์เร็วกว่า salmeterol เพราะ lipophilicity ต่ำกว่า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Formoterol ออกฤทธิ์เร็วกว่า salmeterol เพราะ lipophilicity ต่ำกว่า ผู้ป่วยมีอาการผิวหนังเป็นปื้นสีขาว ที่แก้มซ้าย ได้รับการวินิจฉัยว่าเป็นเกลื้อน ได้รับยา Clotrimazole cream
 เป็น LABA ที่มี onset รวดเร็ว (1-3 นาที) และออกฤทธิ์นาน 12 ชม. สามารถใช้ร่วมกับ ICS (ICS-formoterol) เป็นได้ทั้ง maintenance และ reliever (MART / AIR strategy)
🔍 ข้ออื่นผิดเพราะอะไร:
• ข้อ ก. (Salmeterol ออกฤทธิ์เร็วกว่า formoterol เพราะ lipophilicity สูงกว่า): เป็น LABA ที่มี onset รวดเร็ว (1-3 นาที) และออกฤทธิ์นาน 12 ชม. สามารถใช้ร่วมกับ ICS (ICS-formoterol) เป็นได้ทั้ง maintenance และ reliever (MART / AIR strategy)
• ข้อ ข. (Salmeterol ออกฤทธิ์เร็วกว่า formoterol เพราะ lipophilicity ต่ำกว่า): เป็น LABA ที่มี onset รวดเร็ว (1-3 นาที) และออกฤทธิ์นาน 12 ชม. สามารถใช้ร่วมกับ ICS (ICS-formoterol) เป็นได้ทั้ง maintenance และ reliever (MART / AIR strategy)
• ข้อ ค. (Formoterol ออกฤทธิ์เร็วกว่า salmeterol เพราะ lipophilicity สูงกว่า): เป็น LABA ที่มี onset รวดเร็ว (1-3 นาที) และออกฤทธิ์นาน 12 ชม. สามารถใช้ร่วมกับ ICS (ICS-formoterol) เป็นได้ทั้ง maintenance และ reliever (MART / AIR strategy)
• ข้อ จ. (การออกฤทธิ์เร็วหรือช้าไม่เกี่ยวข้องกับ lipophilicity เรื่องที่ 2. Tinea versicolor):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5" s="2" t="n"/>
      <c r="L125" s="2" t="inlineStr">
        <is>
          <t>Asthma</t>
        </is>
      </c>
      <c r="M125" s="2" t="inlineStr">
        <is>
          <t>Clinic</t>
        </is>
      </c>
      <c r="N125" s="2" t="inlineStr">
        <is>
          <t>ข้อ 10 (PLE_CC1_Key_Rx20_UBU.md)</t>
        </is>
      </c>
      <c r="O125" s="2" t="inlineStr">
        <is>
          <t>Mock</t>
        </is>
      </c>
      <c r="P125" s="2" t="inlineStr">
        <is>
          <t>Mock Rx20 UBU</t>
        </is>
      </c>
    </row>
    <row r="126" ht="13.2" customHeight="1" s="37">
      <c r="A126" s="8" t="inlineStr">
        <is>
          <t>124</t>
        </is>
      </c>
      <c r="B126" s="2" t="inlineStr">
        <is>
          <t>ผลตรวจทางห้องปฏิบัติการในข้อใดบ่งชี้ว่าผู้ป่วยไม่ได้เป็น โรคปอดอุดกั้นเรื้อรัง</t>
        </is>
      </c>
      <c r="C126" s="2" t="n"/>
      <c r="D126" s="2" t="inlineStr">
        <is>
          <t>FEV1/FVC &gt; 0.7</t>
        </is>
      </c>
      <c r="E126" s="2" t="inlineStr">
        <is>
          <t>มีค่า FEV1 = 60%</t>
        </is>
      </c>
      <c r="F126" s="2" t="inlineStr">
        <is>
          <t>มีค่า Eosinophil สูง ในสารคัดหลั่ง</t>
        </is>
      </c>
      <c r="G126" s="2" t="inlineStr">
        <is>
          <t>มีโรคประจำตัวเป็น Allergic rhinitis</t>
        </is>
      </c>
      <c r="H126" s="2" t="inlineStr">
        <is>
          <t>อาการไอ หอบเหนื่อย อาการเจ็บแน่นหน้าอกเป็นครั้งคราว มีเสมหะ FEV1/FVC &gt; 0.80 : Normal airflow FEV1/FVC &lt; 0.70 : Confirms the presence of persistent airflow limitation ถ้าค่า FEV1/FVC ที่ตรวจได้อยู่ระหว่าง 0.6-0.8 ควรต้องมีการตรวจซ ้าอีกก่อนจะยืนยันการวินิจฉัยเนื่องจากมีข้อมูลว่าผลการตรวจสมรรถภาพปอดนั้ นอาจมีค่าแปรปรวนได้ตามธรรมธาตุ (biological variation) ถ้าผลตรวจออกมาพบว่า FEV1/FVC น้อยกว่า 0.6 แล้วเกือบทั้งหมดก็จะผิดปกติจริง อาจจะไม่จาเป็นต้องตรวจซ้ำก็ได</t>
        </is>
      </c>
      <c r="I126" s="8" t="inlineStr">
        <is>
          <t>1</t>
        </is>
      </c>
      <c r="J126" s="2" t="inlineStr">
        <is>
          <t>✅ คำตอบที่ถูกต้อง: ข้อ ก. FEV1/FVC &gt; 0.7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FEV1/FVC &gt; 0.7 การเลือก FEV1/FVC &gt; 0.7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ข. (มีค่า FEV1 = 60%): ข้อนี้ไม่ใช่คำตอบที่ถูกต้องสำหรับภาวะ Asthma เนื่องจากกลไกการออกฤทธิ์, efficacy หรือข้อบ่งใช้ไม่ตรงกับโจทย์ที่กำหนด
• ข้อ ค. (มีค่า Eosinophil สูง ในสารคัดหลั่ง): ข้อนี้ไม่ใช่คำตอบที่ถูกต้องสำหรับภาวะ Asthma เนื่องจากกลไกการออกฤทธิ์, efficacy หรือข้อบ่งใช้ไม่ตรงกับโจทย์ที่กำหนด
• ข้อ ง. (มีโรคประจำตัวเป็น Allergic rhinitis): ข้อนี้ไม่ใช่คำตอบที่ถูกต้องสำหรับภาวะ Asthma เนื่องจากกลไกการออกฤทธิ์, efficacy หรือข้อบ่งใช้ไม่ตรงกับโจทย์ที่กำหนด
• ข้อ จ. (อาการไอ หอบเหนื่อย อาการเจ็บแน่นหน้าอกเป็นครั้งคราว มีเสมหะ FEV1/FVC &gt; 0.80 : Normal airflow FEV1/FVC &lt; 0.70 : Confirms the presence of persistent airflow limitation ถ้าค่า FEV1/FVC ที่ตรวจได้อยู่ระหว่าง 0.6-0.8 ควรต้องมีการตรวจซ ้าอีกก่อนจะยืนยันการวินิจฉัยเนื่องจากมีข้อมูลว่าผลการตรวจสมรรถภาพปอดนั้ นอาจมีค่าแปรปรวนได้ตามธรรมธาตุ (biological variation) ถ้าผลตรวจออกมาพบว่า FEV1/FVC น้อยกว่า 0.6 แล้วเกือบทั้งหมดก็จะผิดปกติจริง อาจจะไม่จาเป็นต้องตรวจซ้ำก็ได):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6" s="2" t="n"/>
      <c r="L126" s="2" t="inlineStr">
        <is>
          <t>Asthma</t>
        </is>
      </c>
      <c r="M126" s="2" t="inlineStr">
        <is>
          <t>Clinic</t>
        </is>
      </c>
      <c r="N126" s="2" t="inlineStr">
        <is>
          <t>ข้อ 55 (PLE_CC1_Key_Rx20_UBU.md)</t>
        </is>
      </c>
      <c r="O126" s="2" t="inlineStr">
        <is>
          <t>Mock</t>
        </is>
      </c>
      <c r="P126" s="2" t="inlineStr">
        <is>
          <t>Mock Rx20 UBU</t>
        </is>
      </c>
    </row>
    <row r="127" ht="13.2" customHeight="1" s="37">
      <c r="A127" s="8" t="inlineStr">
        <is>
          <t>125</t>
        </is>
      </c>
      <c r="B127" s="2" t="inlineStr">
        <is>
          <t>ข้อใดไม่ใช่ผลข้างเคียงของยา Inhaled Salmeterol + Inhaled Fluticasone</t>
        </is>
      </c>
      <c r="C127" s="2" t="n"/>
      <c r="D127" s="2" t="inlineStr">
        <is>
          <t>ใจสั่น</t>
        </is>
      </c>
      <c r="E127" s="2" t="inlineStr">
        <is>
          <t>มือสั่น</t>
        </is>
      </c>
      <c r="F127" s="2" t="inlineStr">
        <is>
          <t>ติดเชื้อราในช่องปาก</t>
        </is>
      </c>
      <c r="G127" s="2" t="inlineStr">
        <is>
          <t>เสียงแหบ</t>
        </is>
      </c>
      <c r="H127" s="2" t="inlineStr">
        <is>
          <t>ปากแห้ง คอแห้ง</t>
        </is>
      </c>
      <c r="I127" s="8" t="inlineStr">
        <is>
          <t>5</t>
        </is>
      </c>
      <c r="J127" s="2" t="inlineStr">
        <is>
          <t>✅ คำตอบที่ถูกต้อง: ข้อ จ. ปากแห้ง คอแห้ง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ปากแห้ง คอแห้ง การเลือก ปากแห้ง คอแห้ง เป็นคำตอบที่ถูกต้องและสอดคล้องกับ evidence-based guidelines ของภาวะ Asthma โดยมี clinical efficacy สูงสุดในการรักษาและมี safety profile ที่เหมาะสม
🔍 ข้ออื่นผิดเพราะอะไร:
• ข้อ ก. (ใจสั่น): ข้อนี้ไม่ใช่คำตอบที่ถูกต้องสำหรับภาวะ Asthma เนื่องจากกลไกการออกฤทธิ์, efficacy หรือข้อบ่งใช้ไม่ตรงกับโจทย์ที่กำหนด
• ข้อ ข. (มือสั่น): ข้อนี้ไม่ใช่คำตอบที่ถูกต้องสำหรับภาวะ Asthma เนื่องจากกลไกการออกฤทธิ์, efficacy หรือข้อบ่งใช้ไม่ตรงกับโจทย์ที่กำหนด
• ข้อ ค. (ติดเชื้อราในช่องปาก): ข้อนี้ไม่ใช่คำตอบที่ถูกต้องสำหรับภาวะ Asthma เนื่องจากกลไกการออกฤทธิ์, efficacy หรือข้อบ่งใช้ไม่ตรงกับโจทย์ที่กำหนด
• ข้อ ง. (เสียงแหบ): ข้อนี้ไม่ใช่คำตอบที่ถูกต้องสำหรับภาวะ Asthma เนื่องจากกลไกการออกฤทธิ์, efficacy หรือข้อบ่งใช้ไม่ตรงกับโจทย์ที่กำหนด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7" s="2" t="n"/>
      <c r="L127" s="2" t="inlineStr">
        <is>
          <t>Asthma</t>
        </is>
      </c>
      <c r="M127" s="2" t="inlineStr">
        <is>
          <t>Clinic</t>
        </is>
      </c>
      <c r="N127" s="2" t="inlineStr">
        <is>
          <t>ข้อ 58 (PLE_CC1_Key_Rx20_UBU.md)</t>
        </is>
      </c>
      <c r="O127" s="2" t="inlineStr">
        <is>
          <t>Mock</t>
        </is>
      </c>
      <c r="P127" s="2" t="inlineStr">
        <is>
          <t>Mock Rx20 UBU</t>
        </is>
      </c>
    </row>
    <row r="128" ht="13.2" customHeight="1" s="37">
      <c r="A128" s="8" t="inlineStr">
        <is>
          <t>126</t>
        </is>
      </c>
      <c r="B128" s="2" t="inlineStr">
        <is>
          <t>จากโครงสร้าง Formoterol และ Salmeterol ที่เป็น Long-acting beta-2 agonists Formoterol Salmeterol ข้อใดต่อไปนี้ถูกต้อง</t>
        </is>
      </c>
      <c r="C128" s="2" t="n"/>
      <c r="D128" s="2" t="inlineStr">
        <is>
          <t>Formoterol ออกฤทธิ์เร็วกว่า Salmeterol เนื่องจาก Lipophilicity สูงกว่า</t>
        </is>
      </c>
      <c r="E128" s="2" t="inlineStr">
        <is>
          <t>Formoterol ออกฤทธิ์เร็วกว่า Salmeterol เนื่องจาก Lipophilicity ต่ำกว่า</t>
        </is>
      </c>
      <c r="F128" s="2" t="inlineStr">
        <is>
          <t>Formoterol ออกฤทธิ์ช้ากว่า Salmeterol เนื่องจาก Lipophilicity สูงกว่า</t>
        </is>
      </c>
      <c r="G128" s="2" t="inlineStr">
        <is>
          <t>Formoterol ออกฤทธิ์ช้ากว่า Salmeterol เนื่องจาก Lipophilicity ต่ำกว่า ตอบ b) Formoterol ออกฤทธิ์เร็วกว่า Salmeterol เนื่องจาก Lipophilicity ต่ำกว่า สาเหตุของ Formoterol ที่ออกฤทธิ์ได้เร็วกว่า Salmeterol เนื่องจากสามารถละลายน้ำได้เพียงพอและละลายไขมันได้ปานกลาง (ไม่ใช่ว่าละลายไขมันได้ดีจะออกฤทธิ์เร็วกว่า) แต่ในข้อนี้โจทย์อยากให้พิจารณาจากโครงสร้างแล้วตอบมากกว่า หมู่ที่ช่วยเพิ่มการละลายน้ำ ⇒ Alcohol, Amines(เล็กน้อย), Thiols, Ether, Thioether, Aldehyde-ketone, COOH, Sulfonic acid, CONH, Urea, Sulfonamides(น้อย) → กลุ่มนี้ทั้ง 2 โครงสร้างใกล้เคียงกัน หมู่ที่ช่วยเพิ่ม Lipophilicity ⇒ Alkane, Alkene, Alkyne, Halogenated HC, Aromatic HC → ซึ่งในโครงสร้าง Salmeterol มี Alkane เยอะกว่า Formoterol จึงทำให้ความเป็น Lipophilicity สูงกว่า Formoterol (Formoterol มี Lipophilicity ต่ำกว่า)</t>
        </is>
      </c>
      <c r="H128" s="2" t="inlineStr">
        <is>
          <t>Fluticasone/Salmeterol 250/50 mcg DPI BID</t>
        </is>
      </c>
      <c r="I128" s="8" t="inlineStr">
        <is>
          <t>1</t>
        </is>
      </c>
      <c r="J128" s="2" t="inlineStr">
        <is>
          <t>✅ คำตอบที่ถูกต้อง: ข้อ ก. Formoterol ออกฤทธิ์เร็วกว่า Salmeterol เนื่องจาก Lipophilicity สูงกว่า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Formoterol ออกฤทธิ์เร็วกว่า Salmeterol เนื่องจาก Lipophilicity สูงกว่า การเลือก Formoterol ออกฤทธิ์เร็วกว่า Salmeterol เนื่องจาก Lipophilicity สูงกว่า เป็นคำตอบที่ถูกต้องตามแนวทางการรักษามาตรฐาน เนื่องจาก เป็น LABA ที่มี onset รวดเร็ว (1-3 นาที) และออกฤทธิ์นาน 12 ชม. สามารถใช้ร่วมกับ ICS (ICS-formoterol) เป็นได้ทั้ง maintenance และ reliever (MART / AIR strategy)
🔍 ข้ออื่นผิดเพราะอะไร:
• ข้อ ข. (Formoterol ออกฤทธิ์เร็วกว่า Salmeterol เนื่องจาก Lipophilicity ต่ำกว่า): เป็น LABA ที่มี onset รวดเร็ว (1-3 นาที) และออกฤทธิ์นาน 12 ชม. สามารถใช้ร่วมกับ ICS (ICS-formoterol) เป็นได้ทั้ง maintenance และ reliever (MART / AIR strategy)
• ข้อ ค. (Formoterol ออกฤทธิ์ช้ากว่า Salmeterol เนื่องจาก Lipophilicity สูงกว่า): เป็น LABA ที่มี onset รวดเร็ว (1-3 นาที) และออกฤทธิ์นาน 12 ชม. สามารถใช้ร่วมกับ ICS (ICS-formoterol) เป็นได้ทั้ง maintenance และ reliever (MART / AIR strategy)
• ข้อ ง. (Formoterol ออกฤทธิ์ช้ากว่า Salmeterol เนื่องจาก Lipophilicity ต่ำกว่า ตอบ b) Formoterol ออกฤทธิ์เร็วกว่า Salmeterol เนื่องจาก Lipophilicity ต่ำกว่า สาเหตุของ Formoterol ที่ออกฤทธิ์ได้เร็วกว่า Salmeterol เนื่องจากสามารถละลายน้ำได้เพียงพอและละลายไขมันได้ปานกลาง (ไม่ใช่ว่าละลายไขมันได้ดีจะออกฤทธิ์เร็วกว่า) แต่ในข้อนี้โจทย์อยากให้พิจารณาจากโครงสร้างแล้วตอบมากกว่า หมู่ที่ช่วยเพิ่มการละลายน้ำ ⇒ Alcohol, Amines(เล็กน้อย), Thiols, Ether, Thioether, Aldehyde-ketone, COOH, Sulfonic acid, CONH, Urea, Sulfonamides(น้อย) → กลุ่มนี้ทั้ง 2 โครงสร้างใกล้เคียงกัน หมู่ที่ช่วยเพิ่ม Lipophilicity ⇒ Alkane, Alkene, Alkyne, Halogenated HC, Aromatic HC → ซึ่งในโครงสร้าง Salmeterol มี Alkane เยอะกว่า Formoterol จึงทำให้ความเป็น Lipophilicity สูงกว่า Formoterol (Formoterol มี Lipophilicity ต่ำกว่า)): เป็น LABA ที่มี onset รวดเร็ว (1-3 นาที) และออกฤทธิ์นาน 12 ชม. สามารถใช้ร่วมกับ ICS (ICS-formoterol) เป็นได้ทั้ง maintenance และ reliever (MART / AIR strategy)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28" s="2" t="n"/>
      <c r="L128" s="2" t="inlineStr">
        <is>
          <t>Asthma</t>
        </is>
      </c>
      <c r="M128" s="2" t="inlineStr">
        <is>
          <t>Clinic</t>
        </is>
      </c>
      <c r="N128" s="2" t="inlineStr">
        <is>
          <t>ข้อ 59 (PLE_CC1_Key_Rx20_UBU.md)</t>
        </is>
      </c>
      <c r="O128" s="2" t="inlineStr">
        <is>
          <t>Mock</t>
        </is>
      </c>
      <c r="P128" s="2" t="inlineStr">
        <is>
          <t>Mock Rx20 UBU</t>
        </is>
      </c>
    </row>
    <row r="129" ht="13.2" customHeight="1" s="37">
      <c r="A129" s="2" t="n">
        <v>127</v>
      </c>
      <c r="B129" s="2" t="inlineStr">
        <is>
          <t>▶ [กรณีศึกษา: หญิงไทย 50 ปี น้ำหนัก 45 กก. ส่วนสูง 157 ซม. อาชีพเย็บผ้าในโรงงาน มาด้วยอาการหายใจหอบเหนื่อยโดยเฉพาะตอนกลางคืน มีน้ำมูกใส ไม่เคยนอน รพ. ปัจจุบันใช้ยา Seretide (fluticasone/salmeterol) 1 puff BID, Ventolin PRN และ Avamys พ่นจมูก ตรวจสมรรถภาพปอด FEV1 ก่อนพ่นยา 1.65 L หลังพ่น 2.1 L แพทย์วินิจฉัยว่าเป็น Uncontrolled Asthma ประวัติเดิม: เลิกสูบบุหรี่มาแล้ว 10 ปี]
📌 คำถาม: ข้อใดเป็น “ปัจจัยเสี่ยงที่สามารถปรับเปลี่ยนได้ (Modifiable risk factor)” ที่มีผลต่อการลดความเสี่ยงในการเกิดโรคหืดกำเริบ (Asthma exacerbation) มากที่สุดในผู้ป่วยรายนี้</t>
        </is>
      </c>
      <c r="C129" s="2" t="n"/>
      <c r="D129" s="2" t="inlineStr">
        <is>
          <t>สภาพภูมิอากาศและมลพิษทางอากาศภายนอกโรงงาน</t>
        </is>
      </c>
      <c r="E129" s="2" t="inlineStr">
        <is>
          <t>ประวัติการเคยสูบบุหรี่ในอดีตที่เลิกไปแล้ว 10 ปี</t>
        </is>
      </c>
      <c r="F129" s="2" t="inlineStr">
        <is>
          <t>ภาวะโรคอ้วนและดัชนีมวลกายที่สูงเกินเกณฑ์</t>
        </is>
      </c>
      <c r="G129" s="2" t="inlineStr">
        <is>
          <t>ขนาดยาควบคุมอาการ Inhaled Corticosteroid (ICS) ที่ไม่เหมาะสมและยังคุมโรคไม่ได้</t>
        </is>
      </c>
      <c r="H129" s="2" t="inlineStr">
        <is>
          <t>เพศหญิงและอายุที่เข้าสู่วัยทอง</t>
        </is>
      </c>
      <c r="I129" s="8" t="inlineStr">
        <is>
          <t>4</t>
        </is>
      </c>
      <c r="J129" s="2" t="inlineStr">
        <is>
          <t>✅ คำตอบที่ถูกต้อง: ข้อ ง. ขนาดยา ICS ที่ไม่เหมาะสมและการใช้ยาพ่นไม่สม่ำเสมอ
💡 Background:
ในผู้ป่วยโรคหืด (Asthma) ปัจจัยเสี่ยงต่อการเกิดโรคกำเริบเฉียบพลัน (Exacerbation risk factors) แบ่งเป็น: 
1. ปัจจัยที่ไม่สามารถปรับเปลี่ยนได้ (Non-modifiable): เช่น พันธุกรรม ประวัติการเกิดหอบกำเริบรุนแรงในอดีต (History of severe exacerbation) 
2. ปัจจัยที่สามารถปรับเปลี่ยนได้ (Modifiable risk factors): ได้แก่ การไม่ได้รับยาหรือได้รับยา Inhaled Corticosteroid (ICS) ในขนาดที่ไม่เพียงพอ, เทคนิคการใช้ยาพ่นสูดไม่ถูกต้อง (Poor inhaler technique), ความร่วมมือในการใช้ยาต่ำ (Poor adherence), การสูบบุหรี่, โรคร่วมที่ยังควบคุมไม่ได้ (เช่น Allergic rhinitis, GERD, Obesity), และการสัมผัสมลพิษ/สารก่อภูมิแพ้ในที่ทำงาน
🎯 ทำไมข้อนี้ถึงถูก:
การได้รับยา Inhaled Corticosteroid (ICS) ในขนาดที่ไม่เหมาะสม และการใช้ยาควบคุมอาการไม่สม่ำเสมอ ถือเป็น "ปัจจัยเสี่ยงที่สามารถปรับเปลี่ยนได้ (Modifiable risk factor)" ที่สำคัญที่สุดในการป้องกันการเกิด Asthma exacerbation ตามแนวทางสากล GINA ซึ่งแพทย์และเภสัชกรสามารถประเมินและปรับขนาดยา (Step-up) ได้ทันที
🔍 ข้ออื่นผิดเพราะอะไร:
• ข้อ ก. (มลพิษทางอากาศทั่วไป): มักเป็นปัจจัยภายนอกเชิงสิ่งแวดล้อมที่ผู้ป่วยควบคุมได้ยากเมื่อเทียบกับการปรับยาของตนเอง
• ข้อ ข. (ประวัติเคยสูบบุหรี่ในอดีต): ผู้ป่วยเลิกสูบบุหรี่ไปแล้ว 10 ปี จึงถือเป็นประวัติเดิม (Past history) ไม่ใช่ปัจจัยที่เข้าไปปรับเปลี่ยนได้ในปัจจุบัน
• ข้อ ค. (โรคอ้วน): ผู้ป่วยมีน้ำหนัก 45 กก. สูง 157 ซม. (BMI ประมาณ 18.25 kg/m2) อยู่ในเกณฑ์ผอม ไม่ได้มีภาวะโรคอ้วน
• ข้อ จ. (อายุและเพศ): เป็นปัจจัยทางชีววิทยาที่ไม่สามารถเปลี่ยนแปลงได้
📖 Guideline อ้างอิง:
Global Initiative for Asthma (GINA 2023/2024 Guidelines) &amp; แนวทางการวินิจฉัยและรักษาโรคหืดในประเทศไทยสำหรับผู้ใหญ่ พ.ศ. 2566
📌 จุดจำก่อนสอบ:
• Core Modifiable Risk in Asthma: ปัจจัยปรับเปลี่ยนได้อันดับ 1 ที่นำไปสู่ Asthma Exacerbation คือ "การไม่ได้รับยา ICS หรือใช้ยา ICS ขนาดต่ำเกินไป"
• Inhaler Technique: ก่อนการ Step-up ขนาดยา ต้องตรวจสอบ Inhaler technique และ Adherence ของผู้ป่วยเสมอ</t>
        </is>
      </c>
      <c r="K129" s="2" t="n"/>
      <c r="L129" s="2" t="inlineStr">
        <is>
          <t>Pulmonary</t>
        </is>
      </c>
      <c r="M129" s="2" t="inlineStr">
        <is>
          <t>Clinic</t>
        </is>
      </c>
      <c r="N129" s="2" t="inlineStr">
        <is>
          <t>PLE_CC1_2567_Key ข้อ 27</t>
        </is>
      </c>
      <c r="O129" s="2" t="inlineStr">
        <is>
          <t>ข้อสอบจริง</t>
        </is>
      </c>
      <c r="P129" s="2" t="inlineStr">
        <is>
          <t>ปี 2567</t>
        </is>
      </c>
    </row>
    <row r="130" ht="13.2" customHeight="1" s="37">
      <c r="A130" s="2" t="n">
        <v>128</v>
      </c>
      <c r="B130" s="2" t="inlineStr">
        <is>
          <t>ข้อใดอธิบายกลไกการออกฤทธิ์ระดับเซลล์ของยา Salmeterol ซึ่งเป็นส่วนประกอบในยาพ่น Seretide ได้อย่างถูกต้อง</t>
        </is>
      </c>
      <c r="C130" s="2" t="n"/>
      <c r="D130" s="2" t="inlineStr">
        <is>
          <t>กระตุ้น Phospholipase C เพิ่มการหลั่ง intracellular Calcium</t>
        </is>
      </c>
      <c r="E130" s="2" t="inlineStr">
        <is>
          <t>กระตุ้น Adenylyl cyclase เพิ่มระดับ cyclic AMP (cAMP) ในเซลล์กล้ามเนื้อเรียบหลอดลม</t>
        </is>
      </c>
      <c r="F130" s="2" t="inlineStr">
        <is>
          <t>ยับยั้งเอนไซม์ Phosphodiesterase (PDE) ลดการสร้าง cyclic GMP</t>
        </is>
      </c>
      <c r="G130" s="2" t="inlineStr">
        <is>
          <t>ปิดกั้นตัวรับ Muscarinic M3 receptor ยับยั้งการหดเกร็งของหลอดลม</t>
        </is>
      </c>
      <c r="H130" s="2" t="inlineStr">
        <is>
          <t>กระตุ้นการเปิด Calcium channels เพิ่มการหดตัวของกล้ามเนื้อเรียบ</t>
        </is>
      </c>
      <c r="I130" s="8" t="inlineStr">
        <is>
          <t>2</t>
        </is>
      </c>
      <c r="J130" s="2" t="inlineStr">
        <is>
          <t>✅ คำตอบที่ถูกต้อง: ข้อ ข. Salmeterol กระตุ้น Beta-2 receptor เพิ่มระดับ intracellular cAMP ทำให้กล้ามเนื้อเรียบหลอดลมคลายตัว
💡 Background:
Seretide เป็นยาพ่นควบคุมอาการโรคหืดสูตรผสมระหว่าง Fluticasone propionate (Inhaled Corticosteroid: ICS) และ Salmeterol xinafoate (Long-Acting Beta-2 Agonist: LABA) กลไกการออกฤทธิ์เสริมกันคือ:
1. Salmeterol: จับและกระตุ้น Beta-2 adrenergic receptor ที่กล้ามเนื้อเรียบหลอดลม ส่งสัญญาณผ่าน Gs protein ไปกระตุ้นเอนไซม์ Adenylyl cyclase เปลี่ยน ATP เป็น cyclic AMP (cAMP) ที่เพิ่มขึ้น ส่งผลลด intracellular calcium ทำให้เกิดการคลายตัวของหลอดลม (Bronchodilation)
2. Fluticasone: ผ่านเข้าสู่เซลล์จับกับ Glucocorticoid receptor ยับยั้งสารสื่อการอักเสบ (IL, TNF, Leukotrienes) และเพิ่มการแสดงออกของ Beta-2 receptor
🎯 ทำไมข้อนี้ถึงถูก:
กลไกของยาขยายหลอดลมกลุ่ม Beta-2 agonist (Salmeterol) คือการกระตุ้น Adenylyl cyclase ส่งผลให้ระดับ intracellular cAMP ภายในเซลล์กล้ามเนื้อเรียบหลอดลม "เพิ่มขึ้น (Increase cAMP)" นำไปสู่การขยายตัวของหลอดลมอย่างมีประสิทธิภาพ
🔍 ข้ออื่นผิดเพราะอะไร:
• ข้อ ก. (กระตุ้น phospholipase C): เป็นกลไกของ Gq-coupled receptor (เช่น Alpha-1, Muscarinic M3) ซึ่งกระตุ้นการหลั่ง Calcium ทำให้หลอดลมหดเกร็ง ไม่ใช่กลไกของ Beta-2 agonist
• ข้อ ค. (ลด IP3): IP3 pathway เกิดจากการทำงานของ PLC ไม่ใช่ pathway หลักของการคลายตัวของกล้ามเนื้อเรียบผ่าน Beta-2 receptor
• ข้อ ง. (ยับยั้งเอนไซม์ PDE4): เป็นกลไกของยากลุ่ม Methylxanthines (Theophylline) หรือ Roflumilast ไม่ใช่ Salmeterol
• ข้อ จ. (ปิดกั้น Muscarinic receptor): เป็นกลไกของยากลุ่ม Anticholinergics (SAMA/LAMA เช่น Ipratropium, Tiotropium)
📖 Guideline อ้างอิง:
Goodman &amp; Gilman's: The Pharmacological Basis of Therapeutics (Chapter: Drugs Used in the Treatment of Asthma and COPD) &amp; GINA 2024 Guidelines
📌 จุดจำก่อนสอบ:
• Beta-2 Agonist Signal Transduction: Beta-2 receptor -&gt; กระตุ้น Gs protein -&gt; กระตุ้น Adenylyl cyclase -&gt; เพิ่ม intracellular cAMP -&gt; Bronchodilation
• Synergy of ICS + LABA: ICS ช่วยเพิ่มการสร้าง Beta-2 receptor บนเยื่อบุหลอดลม ส่วน LABA ช่วยเพิ่มการเคลื่อนย้ายของ Glucocorticoid receptor เข้าสู่นิวเคลียส</t>
        </is>
      </c>
      <c r="K130" s="2" t="n"/>
      <c r="L130" s="2" t="inlineStr">
        <is>
          <t>Pulmonary</t>
        </is>
      </c>
      <c r="M130" s="2" t="inlineStr">
        <is>
          <t>Clinic</t>
        </is>
      </c>
      <c r="N130" s="2" t="inlineStr">
        <is>
          <t>PLE_CC1_2567_Key ข้อ 28</t>
        </is>
      </c>
      <c r="O130" s="2" t="inlineStr">
        <is>
          <t>ข้อสอบจริง</t>
        </is>
      </c>
      <c r="P130" s="2" t="inlineStr">
        <is>
          <t>ปี 2567</t>
        </is>
      </c>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Q160"/>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ยาคุมกำเนิดรับประทานขณะให้นมบุตร คือ</t>
        </is>
      </c>
      <c r="C3" s="2" t="n"/>
      <c r="D3" s="2" t="inlineStr">
        <is>
          <t>Lynestrenol</t>
        </is>
      </c>
      <c r="E3" s="2" t="inlineStr">
        <is>
          <t>Levonorgestrel</t>
        </is>
      </c>
      <c r="F3" s="2" t="inlineStr">
        <is>
          <t>Ethinyl estradiol + levonorgestrel</t>
        </is>
      </c>
      <c r="G3" s="2" t="inlineStr">
        <is>
          <t>Ethinyl estradiol + desogestrel</t>
        </is>
      </c>
      <c r="H3" s="2" t="inlineStr">
        <is>
          <t>Ethinyl estradiol + gestodene</t>
        </is>
      </c>
      <c r="I3" s="8" t="inlineStr">
        <is>
          <t>1</t>
        </is>
      </c>
      <c r="J3" s="2"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ในช่วงให้นมบุตร (โดยเฉพาะช่วง 6 สัปดาห์แรกหลังคลอด) ห้ามใช้ยาคุมกำเนิดชนิดฮอร์โมนรวม (Combined Hormonal Contraceptives: CHCs) ที่มี Estrogen เป็นส่วนประกอบ เนื่องจาก Estrogen จะไปลดปริมาณและคุณภาพของน้ำนม รวมถึงเพิ่มความเสี่ยงต่อการเกิดภาวะหลอดเลือดอุดตัน (VTE) จึงควรเลือกใช้ยาคุมกำเนิดชนิดฮอร์โมนเดี่ยว (Progestin-only pills: POPs) เช่น Lynestrenol หรือ Desogestrel
🔍 ข้ออื่นผิดเพราะอะไร:
• ข้อ ข. (Levonorgestrel):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 levonorgestrel): ข้อนี้ไม่ใช่คำตอบที่ถูกต้องสำหรับภาวะ Oral contraceptive เนื่องจากกลไกการออกฤทธิ์, efficacy หรือข้อบ่งใช้ไม่ตรงกับโจทย์ที่กำหนด
• ข้อ ง. (Ethinyl estradiol + desogestrel): ข้อนี้ไม่ใช่คำตอบที่ถูกต้องสำหรับภาวะ Oral contraceptive เนื่องจากกลไกการออกฤทธิ์, efficacy หรือข้อบ่งใช้ไม่ตรงกับโจทย์ที่กำหนด
• ข้อ จ. (Ethinyl estradiol + gestodene):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 s="2" t="n"/>
      <c r="L3" s="2" t="inlineStr">
        <is>
          <t>Oral contraceptive</t>
        </is>
      </c>
      <c r="M3" s="2" t="inlineStr">
        <is>
          <t>Clinic</t>
        </is>
      </c>
      <c r="N3" s="2" t="inlineStr">
        <is>
          <t>ข้อ 1 Pharma Plus เล่มม่วง (เฉลยข้อ ก)</t>
        </is>
      </c>
      <c r="O3" s="2" t="inlineStr">
        <is>
          <t>Mock</t>
        </is>
      </c>
      <c r="P3" s="2" t="inlineStr">
        <is>
          <t>Pharma Plus เล่มม่วง</t>
        </is>
      </c>
    </row>
    <row r="4" ht="13.2" customHeight="1" s="37">
      <c r="A4" s="8" t="inlineStr">
        <is>
          <t>2</t>
        </is>
      </c>
      <c r="B4" s="2" t="inlineStr">
        <is>
          <t>ต่อมาสตรีรายนี้ได้เปลี่ยนวิธีการคุมกำเนิดเป็นให้สามีใช้ถุงยางอนามัยและต้องการคุมกำเนิดฉุกเฉินเพราะถุงยางอนามัยขาด ซักประวัติเพิ่มเติมได้ข้อมูลดังนี้ มีเพศสัมพันธ์เมื่อ 3 วันที่ผ่านมา มีประจำเดือนเมื่อ 2 สัปดาห์ที่ผ่านมารอบเดือน 30 + 2 วัน ไม่เคยใช้วิธีการคุมกำเนิดฉุกเฉินมาก่อน คำแนะนำการจ่ายรับประทานยาคุมกำเนิดฉุกเฉินในข้อใดเหมาะสม
คำแนะนำการจ่ายรับประทานยาคุมกำเนิดฉุกเฉินในข้อใดเหมาะสม</t>
        </is>
      </c>
      <c r="C4" s="2" t="n"/>
      <c r="D4" s="2" t="inlineStr">
        <is>
          <t>ไม่จำเป็นต้องคุมกำเนิดฉุกเฉิน เพราะช่วงเวลาที่มีเพศสัมพันธ์นั้นอยู่ในระยะปลอดภัย</t>
        </is>
      </c>
      <c r="E4" s="2" t="inlineStr">
        <is>
          <t>ให้รอดทดสอบการตั้งครรภ์ เพราะเลยระยะเวลาที่ยาคุมกำเนิดฉุกเฉินจะมีประสิทธิภาพ</t>
        </is>
      </c>
      <c r="F4" s="2" t="inlineStr">
        <is>
          <t>Ethinyl estradiol 2.5 mg วันละ 2 ครั้งเป็นเวลา 3 วัน</t>
        </is>
      </c>
      <c r="G4" s="2" t="inlineStr">
        <is>
          <t>Levonorgestrel 0.75 mg 2 เม็ด 2 ครั้งห่างกันไม่เกิน 12 ชม.</t>
        </is>
      </c>
      <c r="H4" s="2" t="inlineStr">
        <is>
          <t>ยาคุมที่มี ethinyl estradiol 50 mcg + levonorgestrel 0.25 mg 1 เม็ด 2 ครั้งห่างกันไม่เกิน 12 ชม.</t>
        </is>
      </c>
      <c r="I4" s="8" t="inlineStr">
        <is>
          <t>1</t>
        </is>
      </c>
      <c r="J4" s="2" t="inlineStr">
        <is>
          <t>✅ คำตอบที่ถูกต้อง: ข้อ ก. ไม่จำเป็นต้องคุมกำเนิดฉุกเฉิน เพราะช่วงเวลาที่มีเพศสัมพันธ์นั้นอยู่ในระยะปลอดภัย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ไม่จำเป็นต้องคุมกำเนิดฉุกเฉิน เพราะช่วงเวลาที่มีเพศสัมพันธ์นั้นอยู่ในระยะปลอดภัย การใช้ยาคุมกำเนิดฉุกเฉิน (Emergency Contraceptive Pills - ECPs) สูตร Levonorgestrel แนะนำให้รับประทานขนาด 1.5 mg ครั้งเดียว หรือแบ่งเป็น 0.75 mg จำนวน 2 เม็ด ห่างกัน 12 ชั่วโมง โดยควรใช้ภายใน 72 ชั่วโมง (หรือสูงสุดไม่เกิน 120 ชั่วโมง แต่ efficacy จะลดลง) หลังจากมีเพศสัมพันธ์ที่ไม่ป้องกัน
🔍 ข้ออื่นผิดเพราะอะไร:
• ข้อ ข. (ให้รอดทดสอบการตั้งครรภ์ เพราะเลยระยะเวลาที่ยาคุมกำเนิดฉุกเฉินจะมีประสิทธิภาพ):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2.5 mg วันละ 2 ครั้งเป็นเวลา 3 วัน): ข้อนี้ไม่ใช่คำตอบที่ถูกต้องสำหรับภาวะ Oral contraceptive เนื่องจากกลไกการออกฤทธิ์, efficacy หรือข้อบ่งใช้ไม่ตรงกับโจทย์ที่กำหนด
• ข้อ ง. (Levonorgestrel 0.75 mg 2 เม็ด 2 ครั้งห่างกันไม่เกิน 12 ชม.): ข้อนี้ไม่ใช่คำตอบที่ถูกต้องสำหรับภาวะ Oral contraceptive เนื่องจากกลไกการออกฤทธิ์, efficacy หรือข้อบ่งใช้ไม่ตรงกับโจทย์ที่กำหนด
• ข้อ จ. (ยาคุมที่มี ethinyl estradiol 50 mcg + levonorgestrel 0.25 mg 1 เม็ด 2 ครั้งห่างกันไม่เกิน 12 ชม.):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 s="2" t="n"/>
      <c r="L4" s="2" t="inlineStr">
        <is>
          <t>Oral contraceptive</t>
        </is>
      </c>
      <c r="M4" s="2" t="inlineStr">
        <is>
          <t>Clinic</t>
        </is>
      </c>
      <c r="N4" s="2" t="inlineStr">
        <is>
          <t>ข้อ 2 Pharma Plus เล่มม่วง (เฉลยข้อ )</t>
        </is>
      </c>
      <c r="O4" s="2" t="inlineStr">
        <is>
          <t>Mock</t>
        </is>
      </c>
      <c r="P4" s="2" t="inlineStr">
        <is>
          <t>Pharma Plus เล่มม่วง</t>
        </is>
      </c>
    </row>
    <row r="5" ht="13.2" customHeight="1" s="37">
      <c r="A5" s="8" t="inlineStr">
        <is>
          <t>3</t>
        </is>
      </c>
      <c r="B5" s="2" t="inlineStr">
        <is>
          <t>ใช้ยาคุมที่มี ethinyl estradiol ไม่มีปัญหาในการเกิดปฏิกิริยาระหว่างยากรณีใดบ้าง</t>
        </is>
      </c>
      <c r="C5" s="2" t="n"/>
      <c r="D5" s="2" t="inlineStr">
        <is>
          <t>ในผู้ป่วยวัณโรคที่ใช้ rifampin อย่างต่อเนื่อง</t>
        </is>
      </c>
      <c r="E5" s="2" t="inlineStr">
        <is>
          <t>ในผู้ป่วยที่ได้รับ corticosteroid เป็นเวลาหลายเดือน</t>
        </is>
      </c>
      <c r="F5" s="2" t="inlineStr">
        <is>
          <t>ในผู้ป่วยที่ได้รับ barbiturate อย่างต่อเนื่อง</t>
        </is>
      </c>
      <c r="G5" s="2" t="inlineStr">
        <is>
          <t>ในผู้ป่วยที่ใช้ยา phenytoin ป้องกันการชัก</t>
        </is>
      </c>
      <c r="H5" s="2" t="inlineStr">
        <is>
          <t>ในผู้ป่วยที่ได้รับ aspirin อย่างต่อเนื่อง</t>
        </is>
      </c>
      <c r="I5" s="8" t="inlineStr">
        <is>
          <t>5</t>
        </is>
      </c>
      <c r="J5" s="2" t="inlineStr">
        <is>
          <t>✅ คำตอบที่ถูกต้อง: ข้อ จ. ในผู้ป่วยที่ได้รับ aspirin อย่างต่อเนื่อง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ในผู้ป่วยที่ได้รับ aspirin อย่างต่อเนื่อง ยาที่เป็น CYP3A4 inducers (เช่น Rifampin, Barbiturates, Phenytoin) จะเพิ่มการเมแทบอลิซึมของ Ethinyl estradiol และ Progestins ทำให้ efficacy ของยาคุมกำเนิดลดลงเสี่ยงต่อการตั้งครรภ์ ส่วน Aspirin ไม่มีผลเหนี่ยวนำเอนไซม์ตับ จึงไม่มีปฏิกิริยาที่ทำให้ยาคุมกำเนิดหมดฤทธิ์
🔍 ข้ออื่นผิดเพราะอะไร:
• ข้อ ก. (ในผู้ป่วยวัณโรคที่ใช้ rifampin อย่างต่อเนื่อง): ข้อนี้ไม่ใช่คำตอบที่ถูกต้องสำหรับภาวะ Oral contraceptive เนื่องจากกลไกการออกฤทธิ์, efficacy หรือข้อบ่งใช้ไม่ตรงกับโจทย์ที่กำหนด
• ข้อ ข. (ในผู้ป่วยที่ได้รับ corticosteroid เป็นเวลาหลายเดือน): ข้อนี้ไม่ใช่คำตอบที่ถูกต้องสำหรับภาวะ Oral contraceptive เนื่องจากกลไกการออกฤทธิ์, efficacy หรือข้อบ่งใช้ไม่ตรงกับโจทย์ที่กำหนด
• ข้อ ค. (ในผู้ป่วยที่ได้รับ barbiturate อย่างต่อเนื่อง): ข้อนี้ไม่ใช่คำตอบที่ถูกต้องสำหรับภาวะ Oral contraceptive เนื่องจากกลไกการออกฤทธิ์, efficacy หรือข้อบ่งใช้ไม่ตรงกับโจทย์ที่กำหนด
• ข้อ ง. (ในผู้ป่วยที่ใช้ยา phenytoin ป้องกันการชัก): เป็น sodium channel blocker สำหรับ focal/generalized seizures มี non-linear (Michaelis-Menten) PK เสี่ยง toxicity ได้ง่ายเมื่อปรับ dose และทำให้เกิด gingival hyperplasia, hirsutism, cerebellar ataxia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 s="2" t="n"/>
      <c r="L5" s="2" t="inlineStr">
        <is>
          <t>Oral contraceptive</t>
        </is>
      </c>
      <c r="M5" s="2" t="inlineStr">
        <is>
          <t>Clinic</t>
        </is>
      </c>
      <c r="N5" s="2" t="inlineStr">
        <is>
          <t>ข้อ 3 Pharma Plus เล่มม่วง (เฉลยข้อ จ)</t>
        </is>
      </c>
      <c r="O5" s="2" t="inlineStr">
        <is>
          <t>Mock</t>
        </is>
      </c>
      <c r="P5" s="2" t="inlineStr">
        <is>
          <t>Pharma Plus เล่มม่วง</t>
        </is>
      </c>
    </row>
    <row r="6" ht="13.2" customHeight="1" s="37">
      <c r="A6" s="8" t="inlineStr">
        <is>
          <t>4</t>
        </is>
      </c>
      <c r="B6" s="2" t="inlineStr">
        <is>
          <t>ข้อใดไม่ถูกต้องเกี่ยวกับ ethinyl estradiol + levonorgestrel</t>
        </is>
      </c>
      <c r="C6" s="2" t="n"/>
      <c r="D6" s="2" t="inlineStr">
        <is>
          <t>Ethinyl estradiol เป็นยาในกลุ่ม estrogen</t>
        </is>
      </c>
      <c r="E6" s="2" t="inlineStr">
        <is>
          <t>Levonorgestrel เป็นยาในกลุ่ม progestins</t>
        </is>
      </c>
      <c r="F6" s="2" t="inlineStr">
        <is>
          <t>การให้ ethinyl estradiol 0.03 mg + levonorgestrel 0.15 mg ในทุกเม็ดของการให้แบบ biphasic combination โดยมียา 2 ชนิดในแผง</t>
        </is>
      </c>
      <c r="G6" s="2" t="inlineStr">
        <is>
          <t>Levonorgestrel 1.5 mg stat (Emergency)</t>
        </is>
      </c>
      <c r="H6" s="2" t="inlineStr">
        <is>
          <t>Levonorgestrel เป็น isomer หนึ่งของ norgestrel</t>
        </is>
      </c>
      <c r="I6" s="8" t="inlineStr">
        <is>
          <t>3</t>
        </is>
      </c>
      <c r="J6" s="2" t="inlineStr">
        <is>
          <t>✅ คำตอบที่ถูกต้อง: ข้อ ค. การให้ ethinyl estradiol 0.03 mg + levonorgestrel 0.15 mg ในทุกเม็ดของการให้แบบ biphasic combination โดยมียา 2 ชนิดในแผง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การให้ ethinyl estradiol 0.03 mg + levonorgestrel 0.15 mg ในทุกเม็ดของการให้แบบ biphasic combination โดยมียา 2 ชนิดในแผง สูตรยาที่มีปริมาณฮอร์โมนคงที่ทุกเม็ดใน 1 แผง เรียกว่า Monophasic combination ไม่ใช่ Biphasic (ซึ่งแบบ Biphasic จะมีการปรับเปลี่ยนปริมาณฮอร์โมนในแต่ละช่วงของรอบเดือนเพื่อให้ใกล้เคียงธรรมชาติที่สุด)
🔍 ข้ออื่นผิดเพราะอะไร:
• ข้อ ก. (Ethinyl estradiol เป็นยาในกลุ่ม estrogen): ข้อนี้ไม่ใช่คำตอบที่ถูกต้องสำหรับภาวะ Oral contraceptive เนื่องจากกลไกการออกฤทธิ์, efficacy หรือข้อบ่งใช้ไม่ตรงกับโจทย์ที่กำหนด
• ข้อ ข. (Levonorgestrel เป็นยาในกลุ่ม progestins):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(Levonorgestrel เป็น isomer หนึ่งของ norgestrel):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 s="2" t="n"/>
      <c r="L6" s="2" t="inlineStr">
        <is>
          <t>Oral contraceptive</t>
        </is>
      </c>
      <c r="M6" s="2" t="inlineStr">
        <is>
          <t>Clinic</t>
        </is>
      </c>
      <c r="N6" s="2" t="inlineStr">
        <is>
          <t>ข้อ 4 Pharma Plus เล่มม่วง (เฉลยข้อ ค)</t>
        </is>
      </c>
      <c r="O6" s="2" t="inlineStr">
        <is>
          <t>Mock</t>
        </is>
      </c>
      <c r="P6" s="2" t="inlineStr">
        <is>
          <t>Pharma Plus เล่มม่วง</t>
        </is>
      </c>
    </row>
    <row r="7" ht="13.2" customHeight="1" s="37">
      <c r="A7" s="8" t="inlineStr">
        <is>
          <t>5</t>
        </is>
      </c>
      <c r="B7" s="2" t="inlineStr">
        <is>
          <t>ข้อใดผิดเกี่ยวกับยาคุมกำเนิด 2 ชนิดนี้
- Lynestrenol
- Norethindrone
ข้อใดผิดเกี่ยวกับยาคุมกำเนิด 2 ชนิดนี้</t>
        </is>
      </c>
      <c r="C7" s="2" t="n"/>
      <c r="D7" s="2" t="inlineStr">
        <is>
          <t>Lynestrenol เป็นยาในกลุ่ม estrogen</t>
        </is>
      </c>
      <c r="E7" s="2" t="inlineStr">
        <is>
          <t>Norethindrone เป็นยาในกลุ่ม progestins</t>
        </is>
      </c>
      <c r="F7" s="2" t="inlineStr">
        <is>
          <t>Norethindrone มีผล androgenic effect เพราะมีโครงสร้างคล้ายกับ testosterone</t>
        </is>
      </c>
      <c r="G7" s="2" t="inlineStr">
        <is>
          <t>Lynestrenol มีผล androgenic effect ต่ำกว่า norethindrone</t>
        </is>
      </c>
      <c r="H7" s="2" t="inlineStr">
        <is>
          <t>หมู่ -C≡CH ในโครงสร้างทั้ง 2 ชนิดนี้จะขัดขวางการเกิด oxidation ของหมู่ -OH ไปเป็น ketone</t>
        </is>
      </c>
      <c r="I7" s="8" t="inlineStr">
        <is>
          <t>1</t>
        </is>
      </c>
      <c r="J7" s="2" t="inlineStr">
        <is>
          <t>✅ คำตอบที่ถูกต้อง: ข้อ ก. Lynestrenol เป็นยาในกลุ่ม estrogen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เป็นยาในกลุ่ม estrogen Lynestrenol และ Norethindrone เป็นยาในกลุ่ม Progestins ทั้งคู่ ไม่ใช่ Estrogen ดังนั้นข้อ '1' จึงกล่าวไว้ไม่ถูกต้อง
🔍 ข้ออื่นผิดเพราะอะไร:
• ข้อ ข. (Norethindrone เป็นยาในกลุ่ม progestins): ข้อนี้ไม่ใช่คำตอบที่ถูกต้องสำหรับภาวะ Oral contraceptive เนื่องจากกลไกการออกฤทธิ์, efficacy หรือข้อบ่งใช้ไม่ตรงกับโจทย์ที่กำหนด
• ข้อ ค. (Norethindrone มีผล androgenic effect เพราะมีโครงสร้างคล้ายกับ testosterone): ข้อนี้ไม่ใช่คำตอบที่ถูกต้องสำหรับภาวะ Oral contraceptive เนื่องจากกลไกการออกฤทธิ์, efficacy หรือข้อบ่งใช้ไม่ตรงกับโจทย์ที่กำหนด
• ข้อ ง. (Lynestrenol มีผล androgenic effect ต่ำกว่า norethindrone): ข้อนี้ไม่ใช่คำตอบที่ถูกต้องสำหรับภาวะ Oral contraceptive เนื่องจากกลไกการออกฤทธิ์, efficacy หรือข้อบ่งใช้ไม่ตรงกับโจทย์ที่กำหนด
• ข้อ จ. (หมู่ -C≡CH ในโครงสร้างทั้ง 2 ชนิดนี้จะขัดขวางการเกิด oxidation ของหมู่ -OH ไปเป็น ketone):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 s="2" t="n"/>
      <c r="L7" s="2" t="inlineStr">
        <is>
          <t>Oral contraceptive</t>
        </is>
      </c>
      <c r="M7" s="2" t="inlineStr">
        <is>
          <t>Clinic</t>
        </is>
      </c>
      <c r="N7" s="2" t="inlineStr">
        <is>
          <t>ข้อ 5 Pharma Plus เล่มม่วง (เฉลยข้อ ก)</t>
        </is>
      </c>
      <c r="O7" s="2" t="inlineStr">
        <is>
          <t>Mock</t>
        </is>
      </c>
      <c r="P7" s="2" t="inlineStr">
        <is>
          <t>Pharma Plus เล่มม่วง</t>
        </is>
      </c>
    </row>
    <row r="8" ht="13.2" customHeight="1" s="37">
      <c r="A8" s="8" t="inlineStr">
        <is>
          <t>6</t>
        </is>
      </c>
      <c r="B8" s="2" t="inlineStr">
        <is>
          <t>Rx. Levonorgestrel 0.75 mg/tab จำนวน 2 กล่อง
คำแนะนำของการใช้ยาคุมกำเนิดฉุกเฉินข้อใดถูกต้อง</t>
        </is>
      </c>
      <c r="C8" s="2" t="n"/>
      <c r="D8" s="2" t="inlineStr">
        <is>
          <t>กินครั้งเดียว 2 เม็ด</t>
        </is>
      </c>
      <c r="E8" s="2" t="inlineStr">
        <is>
          <t>กินเม็ดแรก 1 ชม. เม็ดที่ 2 ภายใน 48 ชม.</t>
        </is>
      </c>
      <c r="F8" s="2" t="inlineStr">
        <is>
          <t>กิน 1 เม็ดแรก ภายใน 72 ชม. เม็ดที่ 2 ภายใน 12 ชม.</t>
        </is>
      </c>
      <c r="G8" s="2" t="inlineStr">
        <is>
          <t>กิน 1 เม็ดแรก ภายใน 72 ชม. เม็ดที่ 2 ภายใน 24 ชม.</t>
        </is>
      </c>
      <c r="H8" s="2" t="inlineStr">
        <is>
          <t>กินไม่เกินเดือนละ 4 กล่อง</t>
        </is>
      </c>
      <c r="I8" s="8" t="inlineStr">
        <is>
          <t>1</t>
        </is>
      </c>
      <c r="J8" s="2" t="inlineStr">
        <is>
          <t>✅ คำตอบที่ถูกต้อง: ข้อ ก. กินครั้งเดียว 2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กินครั้งเดียว 2 เม็ด ยา Levonorgestrel ขนาด 0.75 มก. รับประทาน 1 เม็ดโดยเร็วที่สุดภายใน 72 ชั่วโมงหลังมีเพศสัมพันธ์ และรับประทานเม็ดที่สองซ้ำในอีก 12 ชั่วโมงต่อมา (หรือสามารถรับประทานทั้ง 2 เม็ดพร้อมกันในครั้งเดียวได้ตามแนวทางองค์การอนามัยโลก แต่วิธีมาตรฐานตามฉลากคือห่างกัน 12 ชั่วโมง)
🔍 ข้ออื่นผิดเพราะอะไร:
• ข้อ ข. (กินเม็ดแรก 1 ชม. เม็ดที่ 2 ภายใน 48 ชม.): ข้อนี้ไม่ใช่คำตอบที่ถูกต้องสำหรับภาวะ Oral contraceptive เนื่องจากกลไกการออกฤทธิ์, efficacy หรือข้อบ่งใช้ไม่ตรงกับโจทย์ที่กำหนด
• ข้อ ค. (กิน 1 เม็ดแรก ภายใน 72 ชม. เม็ดที่ 2 ภายใน 12 ชม.): ข้อนี้ไม่ใช่คำตอบที่ถูกต้องสำหรับภาวะ Oral contraceptive เนื่องจากกลไกการออกฤทธิ์, efficacy หรือข้อบ่งใช้ไม่ตรงกับโจทย์ที่กำหนด
• ข้อ ง. (กิน 1 เม็ดแรก ภายใน 72 ชม. เม็ดที่ 2 ภายใน 24 ชม.): ข้อนี้ไม่ใช่คำตอบที่ถูกต้องสำหรับภาวะ Oral contraceptive เนื่องจากกลไกการออกฤทธิ์, efficacy หรือข้อบ่งใช้ไม่ตรงกับโจทย์ที่กำหนด
• ข้อ จ. (กินไม่เกินเดือนละ 4 กล่อง):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 s="2" t="n"/>
      <c r="L8" s="2" t="inlineStr">
        <is>
          <t>Oral contraceptive</t>
        </is>
      </c>
      <c r="M8" s="2" t="inlineStr">
        <is>
          <t>Clinic</t>
        </is>
      </c>
      <c r="N8" s="2" t="inlineStr">
        <is>
          <t>ข้อ 6 Pharma Plus เล่มม่วง (เฉลยข้อ ก ค)</t>
        </is>
      </c>
      <c r="O8" s="2" t="inlineStr">
        <is>
          <t>Mock</t>
        </is>
      </c>
      <c r="P8" s="2" t="inlineStr">
        <is>
          <t>Pharma Plus เล่มม่วง</t>
        </is>
      </c>
    </row>
    <row r="9" ht="13.2" customHeight="1" s="37">
      <c r="A9" s="8" t="inlineStr">
        <is>
          <t>7</t>
        </is>
      </c>
      <c r="B9" s="2" t="inlineStr">
        <is>
          <t>ฮอร์โมนคุมกำเนิดไม่ใช่ในการรักษาอะไร</t>
        </is>
      </c>
      <c r="C9" s="2" t="n"/>
      <c r="D9" s="2" t="inlineStr">
        <is>
          <t>สิว</t>
        </is>
      </c>
      <c r="E9" s="2" t="inlineStr">
        <is>
          <t>ประจำเดือนมามากผิดปกติ</t>
        </is>
      </c>
      <c r="F9" s="2" t="inlineStr">
        <is>
          <t>ฝ้า</t>
        </is>
      </c>
      <c r="G9" s="2" t="inlineStr">
        <is>
          <t>ประจำเดือนมากกระปริดกระปรอย</t>
        </is>
      </c>
      <c r="H9" s="2" t="inlineStr">
        <is>
          <t>เลื่อนประจำเดือน</t>
        </is>
      </c>
      <c r="I9" s="8" t="inlineStr">
        <is>
          <t>3</t>
        </is>
      </c>
      <c r="J9" s="2" t="inlineStr">
        <is>
          <t>✅ คำตอบที่ถูกต้อง: ข้อ ค. ฝ้า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ฝ้า ฮอร์โมนคุมกำเนิดสามารถใช้รักษาอาการสิว, ประจำเดือนมามาก, ประจำเดือนผิดปกติ/กระปริดกระปรอย และใช้เลื่อนประจำเดือนได้ แต่ฮอร์โมนเอสโตรเจนในยาคุมกำเนิดเป็นสาเหตุหรือกระตุ้นให้เกิดฝ้า (Melasma) มากขึ้น จึงไม่ได้ใช้ในการรักษาฝ้า
🔍 ข้ออื่นผิดเพราะอะไร:
• ข้อ ก. (สิว): ข้อนี้ไม่ใช่คำตอบที่ถูกต้องสำหรับภาวะ Oral contraceptive เนื่องจากกลไกการออกฤทธิ์, efficacy หรือข้อบ่งใช้ไม่ตรงกับโจทย์ที่กำหนด
• ข้อ ข. (ประจำเดือนมามากผิดปกติ): ข้อนี้ไม่ใช่คำตอบที่ถูกต้องสำหรับภาวะ Oral contraceptive เนื่องจากกลไกการออกฤทธิ์, efficacy หรือข้อบ่งใช้ไม่ตรงกับโจทย์ที่กำหนด
• ข้อ ง. (ประจำเดือนมากกระปริดกระปรอย): ข้อนี้ไม่ใช่คำตอบที่ถูกต้องสำหรับภาวะ Oral contraceptive เนื่องจากกลไกการออกฤทธิ์, efficacy หรือข้อบ่งใช้ไม่ตรงกับโจทย์ที่กำหนด
• ข้อ จ. (เลื่อนประจำเดือน):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 s="2" t="n"/>
      <c r="L9" s="2" t="inlineStr">
        <is>
          <t>Oral contraceptive</t>
        </is>
      </c>
      <c r="M9" s="2" t="inlineStr">
        <is>
          <t>Clinic</t>
        </is>
      </c>
      <c r="N9" s="2" t="inlineStr">
        <is>
          <t>ข้อ 7 Pharma Plus เล่มม่วง (เฉลยข้อ ค)</t>
        </is>
      </c>
      <c r="O9" s="2" t="inlineStr">
        <is>
          <t>Mock</t>
        </is>
      </c>
      <c r="P9" s="2" t="inlineStr">
        <is>
          <t>Pharma Plus เล่มม่วง</t>
        </is>
      </c>
    </row>
    <row r="10" ht="13.2" customHeight="1" s="37">
      <c r="A10" s="8" t="inlineStr">
        <is>
          <t>8</t>
        </is>
      </c>
      <c r="B10" s="2" t="inlineStr">
        <is>
          <t>ทุกข้อเป็นประโยชน์ของ progestogen ยกเว้นข้อใด</t>
        </is>
      </c>
      <c r="C10" s="2" t="n"/>
      <c r="D10" s="2" t="inlineStr">
        <is>
          <t>ยับยั้งการตกไข่</t>
        </is>
      </c>
      <c r="E10" s="2" t="inlineStr">
        <is>
          <t>ฆ่า sperm</t>
        </is>
      </c>
      <c r="F10" s="2" t="inlineStr">
        <is>
          <t>กระตุ้นการตกไข่</t>
        </is>
      </c>
      <c r="G10" s="2" t="inlineStr">
        <is>
          <t>ทำให้มูกเหนียวขึ้น</t>
        </is>
      </c>
      <c r="H10" s="2" t="inlineStr">
        <is>
          <t>ทำให้ท่อนำไข่บีบตัว</t>
        </is>
      </c>
      <c r="I10" s="8" t="inlineStr">
        <is>
          <t>2</t>
        </is>
      </c>
      <c r="J10" s="2" t="inlineStr">
        <is>
          <t>✅ คำตอบที่ถูกต้อง: ข้อ ข. ฆ่า sperm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ฆ่า sperm Progestogen มีกลไกการคุมกำเนิดโดยการยับยั้งการตกไข่, ทำให้มูกที่ปากมดลูกมีความเหนียวข้นขึ้นเพื่อขัดขวางการเคลื่อนที่ของตัวอสุจิ และส่งผลต่อการเคลื่อนไหวของท่อนำไข่ แต่ไม่มีฤทธิ์ในการฆ่าอสุจิโดยตรง และไม่ได้มีฤทธิ์กระตุ้นการตกไข่
🔍 ข้ออื่นผิดเพราะอะไร:
• ข้อ ก. (ยับยั้งการตกไข่): ข้อนี้ไม่ใช่คำตอบที่ถูกต้องสำหรับภาวะ Oral contraceptive เนื่องจากกลไกการออกฤทธิ์, efficacy หรือข้อบ่งใช้ไม่ตรงกับโจทย์ที่กำหนด
• ข้อ ค. (กระตุ้นการตกไข่): ข้อนี้ไม่ใช่คำตอบที่ถูกต้องสำหรับภาวะ Oral contraceptive เนื่องจากกลไกการออกฤทธิ์, efficacy หรือข้อบ่งใช้ไม่ตรงกับโจทย์ที่กำหนด
• ข้อ ง. (ทำให้มูกเหนียวขึ้น): ข้อนี้ไม่ใช่คำตอบที่ถูกต้องสำหรับภาวะ Oral contraceptive เนื่องจากกลไกการออกฤทธิ์, efficacy หรือข้อบ่งใช้ไม่ตรงกับโจทย์ที่กำหนด
• ข้อ จ. (ทำให้ท่อนำไข่บีบตัว):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 s="2" t="n"/>
      <c r="L10" s="2" t="inlineStr">
        <is>
          <t>Oral contraceptive</t>
        </is>
      </c>
      <c r="M10" s="2" t="inlineStr">
        <is>
          <t>Clinic</t>
        </is>
      </c>
      <c r="N10" s="2" t="inlineStr">
        <is>
          <t>ข้อ 8 Pharma Plus เล่มม่วง (เฉลยข้อ ข ค)</t>
        </is>
      </c>
      <c r="O10" s="2" t="inlineStr">
        <is>
          <t>Mock</t>
        </is>
      </c>
      <c r="P10" s="2" t="inlineStr">
        <is>
          <t>Pharma Plus เล่มม่วง</t>
        </is>
      </c>
    </row>
    <row r="11" ht="13.2" customHeight="1" s="37">
      <c r="A11" s="8" t="inlineStr">
        <is>
          <t>9</t>
        </is>
      </c>
      <c r="B11" s="2" t="inlineStr">
        <is>
          <t>ผู้ป่วยภาวะต่อไปนี้สามารถใช้ยาคุมกำเนิดชนิดฮอร์โมนรวมได้</t>
        </is>
      </c>
      <c r="C11" s="2" t="n"/>
      <c r="D11" s="2" t="inlineStr">
        <is>
          <t>Thromboembolism</t>
        </is>
      </c>
      <c r="E11" s="2" t="inlineStr">
        <is>
          <t>สงสัยว่าจะเป็นมะเร็งเต้านม</t>
        </is>
      </c>
      <c r="F11" s="2" t="inlineStr">
        <is>
          <t>สงสัยว่า จะตั้งครรภ์</t>
        </is>
      </c>
      <c r="G11" s="2" t="inlineStr">
        <is>
          <t>มีเลือดออกจากช่องคลอดผิดปกติที่ยังไม่ได้วินิจฉัย</t>
        </is>
      </c>
      <c r="H11" s="2" t="inlineStr">
        <is>
          <t>หญิงสูบบุหรี่ ที่มีอายุ &lt; 35 ปี</t>
        </is>
      </c>
      <c r="I11" s="8" t="inlineStr">
        <is>
          <t>5</t>
        </is>
      </c>
      <c r="J11" s="2" t="inlineStr">
        <is>
          <t>✅ คำตอบที่ถูกต้อง: ข้อ จ. หญิงสูบบุหรี่ ที่มีอายุ &lt; 35 ปี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หญิงสูบบุหรี่ ที่มีอายุ &lt; 35 ปี ตามเกณฑ์ MEC (Medical Eligibility Criteria for Contraceptive Use) ภาวะ Thromboembolism, สงสัยมะเร็งเต้านม, ตั้งครรภ์ และมีเลือดออกช่องคลอดโดยไม่ทราบสาเหตุ เป็นข้อห้ามเด็ดขาด (Category 4 หรือ 3) ในการใช้ยาคุมกำเนิดชนิดฮอร์โมนรวม ส่วนหญิงสูบบุหรี่ที่มีอายุ
🔍 ข้ออื่นผิดเพราะอะไร:
• ข้อ ก. (Thromboembolism): ข้อนี้ไม่ใช่คำตอบที่ถูกต้องสำหรับภาวะ Oral contraceptive เนื่องจากกลไกการออกฤทธิ์, efficacy หรือข้อบ่งใช้ไม่ตรงกับโจทย์ที่กำหนด
• ข้อ ข. (สงสัยว่าจะเป็นมะเร็งเต้านม): ข้อนี้ไม่ใช่คำตอบที่ถูกต้องสำหรับภาวะ Oral contraceptive เนื่องจากกลไกการออกฤทธิ์, efficacy หรือข้อบ่งใช้ไม่ตรงกับโจทย์ที่กำหนด
• ข้อ ค. (สงสัยว่า จะตั้งครรภ์): ข้อนี้ไม่ใช่คำตอบที่ถูกต้องสำหรับภาวะ Oral contraceptive เนื่องจากกลไกการออกฤทธิ์, efficacy หรือข้อบ่งใช้ไม่ตรงกับโจทย์ที่กำหนด
• ข้อ ง. (มีเลือดออกจากช่องคลอดผิดปกติที่ยังไม่ได้วินิจฉัย):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 s="2" t="n"/>
      <c r="L11" s="2" t="inlineStr">
        <is>
          <t>Oral contraceptive</t>
        </is>
      </c>
      <c r="M11" s="2" t="inlineStr">
        <is>
          <t>Clinic</t>
        </is>
      </c>
      <c r="N11" s="2" t="inlineStr">
        <is>
          <t>ข้อ 9 Pharma Plus เล่มม่วง (เฉลยข้อ จ)</t>
        </is>
      </c>
      <c r="O11" s="2" t="inlineStr">
        <is>
          <t>Mock</t>
        </is>
      </c>
      <c r="P11" s="2" t="inlineStr">
        <is>
          <t>Pharma Plus เล่มม่วง</t>
        </is>
      </c>
    </row>
    <row r="12" ht="13.2" customHeight="1" s="37">
      <c r="A12" s="8" t="inlineStr">
        <is>
          <t>10</t>
        </is>
      </c>
      <c r="B12" s="2" t="inlineStr">
        <is>
          <t>ถ้าผู้ป่วยใช้ conjugate estrogen + medroxyprogesterone acetate การให้คู่กันเพื่อเหตุผลใด</t>
        </is>
      </c>
      <c r="C12" s="2" t="n"/>
      <c r="D12" s="2" t="inlineStr">
        <is>
          <t>ใช้ในหญิงหมดประจำเดือนที่มีมดลูก</t>
        </is>
      </c>
      <c r="E12" s="2" t="inlineStr">
        <is>
          <t>ใช้เพื่อป้องกันโรคหัวใจในหญิงหมดประจำเดือน</t>
        </is>
      </c>
      <c r="F12" s="2" t="inlineStr">
        <is>
          <t>ใช้เพื่อรักษาโรคกระดูกพรุน ที่เกิดเนื่องจากขาดฮอร์โมน</t>
        </is>
      </c>
      <c r="G12" s="2" t="inlineStr">
        <is>
          <t>ใช้เพื่อรักษาอาการ vasomotor symptom</t>
        </is>
      </c>
      <c r="H12" s="2" t="inlineStr">
        <is>
          <t>มี progesterone เพื่อช่วยป้องกันมะเร็งมดลูก</t>
        </is>
      </c>
      <c r="I12" s="8" t="inlineStr">
        <is>
          <t>5</t>
        </is>
      </c>
      <c r="J12" s="2" t="inlineStr">
        <is>
          <t>✅ คำตอบที่ถูกต้อง: ข้อ จ. มี progesterone เพื่อช่วยป้องกันมะเร็งมดลูก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 progesterone เพื่อช่วยป้องกันมะเร็งมดลูก การให้ Progesterone (medroxyprogesterone acetate) ร่วมกับ Estrogen ในสตรีวัยหมดประจำเดือนที่มีมดลูก เพื่อออกฤทธิ์ต้านเยื่อบุโพรงมดลูกเจริญหนาตัวจากการกระตุ้นของเอสโตรเจน ช่วยลดความเสี่ยงในการเกิดมะเร็งเยื่อบุโพรงมดลูก (Endometrial cancer)
🔍 ข้ออื่นผิดเพราะอะไร:
• ข้อ ก. (ใช้ในหญิงหมดประจำเดือนที่มีมดลูก): ข้อนี้ไม่ใช่คำตอบที่ถูกต้องสำหรับภาวะ Hormonal replacement เนื่องจากกลไกการออกฤทธิ์, efficacy หรือข้อบ่งใช้ไม่ตรงกับโจทย์ที่กำหนด
• ข้อ ข. (ใช้เพื่อป้องกันโรคหัวใจในหญิงหมดประจำเดือน): ข้อนี้ไม่ใช่คำตอบที่ถูกต้องสำหรับภาวะ Hormonal replacement เนื่องจากกลไกการออกฤทธิ์, efficacy หรือข้อบ่งใช้ไม่ตรงกับโจทย์ที่กำหนด
• ข้อ ค. (ใช้เพื่อรักษาโรคกระดูกพรุน ที่เกิดเนื่องจากขาดฮอร์โมน): ข้อนี้ไม่ใช่คำตอบที่ถูกต้องสำหรับภาวะ Hormonal replacement เนื่องจากกลไกการออกฤทธิ์, efficacy หรือข้อบ่งใช้ไม่ตรงกับโจทย์ที่กำหนด
• ข้อ ง. (ใช้เพื่อรักษาอาการ vasomotor symptom):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Hormonal replacement</t>
        </is>
      </c>
      <c r="M12" s="2" t="inlineStr">
        <is>
          <t>Clinic</t>
        </is>
      </c>
      <c r="N12" s="2" t="inlineStr">
        <is>
          <t>ข้อ 10 Pharma Plus เล่มม่วง (เฉลยข้อ จ)</t>
        </is>
      </c>
      <c r="O12" s="2" t="inlineStr">
        <is>
          <t>Mock</t>
        </is>
      </c>
      <c r="P12" s="2" t="inlineStr">
        <is>
          <t>Pharma Plus เล่มม่วง</t>
        </is>
      </c>
    </row>
    <row r="13" ht="13.2" customHeight="1" s="37">
      <c r="A13" s="8" t="inlineStr">
        <is>
          <t>11</t>
        </is>
      </c>
      <c r="B13" s="2" t="inlineStr">
        <is>
          <t>ในสตรีที่ไม่มีมดลูก และมีอาการเฉพาะที่ท่อปัสสาวะและช่องคลอดอักเสบ ยาในรูปแบบใดที่น่าจะเหมาะสมที่สุด</t>
        </is>
      </c>
      <c r="C13" s="2" t="n"/>
      <c r="D13" s="2" t="inlineStr">
        <is>
          <t>Intramuscular injection</t>
        </is>
      </c>
      <c r="E13" s="2" t="inlineStr">
        <is>
          <t>Oral tablet</t>
        </is>
      </c>
      <c r="F13" s="2" t="inlineStr">
        <is>
          <t>Transdermal patch</t>
        </is>
      </c>
      <c r="G13" s="2" t="inlineStr">
        <is>
          <t>Vagina cream</t>
        </is>
      </c>
      <c r="H13" s="2" t="inlineStr">
        <is>
          <t>ได้ทุกรูปแบบ</t>
        </is>
      </c>
      <c r="I13" s="8" t="inlineStr">
        <is>
          <t>4</t>
        </is>
      </c>
      <c r="J13" s="2" t="inlineStr">
        <is>
          <t>✅ คำตอบที่ถูกต้อง: ข้อ ง. Vagina cream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Vagina cream ในกรณีที่มีอาการเฉพาะที่ (Atrophic vaginitis / Atrophic urethritis) และไม่มีมดลูก การใช้ฮอร์โมนเอสโตรเจนเฉพาะที่ (เช่น Vaginal cream) จะให้ผลการรักษาที่ดี ตรงจุด และลดผลข้างเคียงต่อระบบทั่วร่างกาย (Systemic effects)
🔍 ข้ออื่นผิดเพราะอะไร:
• ข้อ ก. (Intramuscular injection): วัคซีนไข้สมองอักเสบเจอี ชนิดเชื้อเป็น (Live attenuated CD.JEV) ให้ 2 เข็ม ที่อายุ 9-12 เดือน และเข็ม 2 ห่างกัน 3-12 เดือน
• ข้อ ข. (Oral tablet): ข้อนี้ไม่ใช่คำตอบที่ถูกต้องสำหรับภาวะ Oral contraceptive เนื่องจากกลไกการออกฤทธิ์, efficacy หรือข้อบ่งใช้ไม่ตรงกับโจทย์ที่กำหนด
• ข้อ ค. (Transdermal patch): ข้อนี้ไม่ใช่คำตอบที่ถูกต้องสำหรับภาวะ Oral contraceptive เนื่องจากกลไกการออกฤทธิ์, efficacy หรือข้อบ่งใช้ไม่ตรงกับโจทย์ที่กำหนด
• ข้อ จ. (ได้ทุกรูปแบบ):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 s="2" t="n"/>
      <c r="L13" s="2" t="inlineStr">
        <is>
          <t>Oral contraceptive</t>
        </is>
      </c>
      <c r="M13" s="2" t="inlineStr">
        <is>
          <t>Clinic</t>
        </is>
      </c>
      <c r="N13" s="2" t="inlineStr">
        <is>
          <t>ข้อ 11 Pharma Plus เล่มม่วง (เฉลยข้อ ง)</t>
        </is>
      </c>
      <c r="O13" s="2" t="inlineStr">
        <is>
          <t>Mock</t>
        </is>
      </c>
      <c r="P13" s="2" t="inlineStr">
        <is>
          <t>Pharma Plus เล่มม่วง</t>
        </is>
      </c>
    </row>
    <row r="14" ht="13.2" customHeight="1" s="37">
      <c r="A14" s="8" t="inlineStr">
        <is>
          <t>12</t>
        </is>
      </c>
      <c r="B14" s="2" t="inlineStr">
        <is>
          <t>Progestogen ใดที่มีฤทธิ์ anti-androgen</t>
        </is>
      </c>
      <c r="C14" s="2" t="n"/>
      <c r="D14" s="2" t="inlineStr">
        <is>
          <t>Norethisterone acetate</t>
        </is>
      </c>
      <c r="E14" s="2" t="inlineStr">
        <is>
          <t>Norethisterone enanthate</t>
        </is>
      </c>
      <c r="F14" s="2" t="inlineStr">
        <is>
          <t>Cyproterone acetate</t>
        </is>
      </c>
      <c r="G14" s="2" t="inlineStr">
        <is>
          <t>Levonorgestrel</t>
        </is>
      </c>
      <c r="H14" s="2" t="inlineStr">
        <is>
          <t>Mestranol</t>
        </is>
      </c>
      <c r="I14" s="8" t="inlineStr">
        <is>
          <t>3</t>
        </is>
      </c>
      <c r="J14" s="2" t="inlineStr">
        <is>
          <t>✅ คำตอบที่ถูกต้อง: ข้อ ค. Cyproterone acetate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Cyproterone acetate (CPA) เป็นโปรเจสตินที่มีฤทธิ์ต้านแอนโดรเจน (Anti-androgen) อย่างเด่นชัด ช่วยลดอาการหน้ามัน สิว และขนดก จึงนิยมใช้ร่วมกับ Ethinyl estradiol ในยารักษาสิวและฮอร์โมนคุมกำเนิด (เช่น ยี่ห้อ Diane-35)
🔍 ข้ออื่นผิดเพราะอะไร:
• ข้อ ก. (Norethisterone acetate): ข้อนี้ไม่ใช่คำตอบที่ถูกต้องสำหรับภาวะ Oral contraceptive เนื่องจากกลไกการออกฤทธิ์, efficacy หรือข้อบ่งใช้ไม่ตรงกับโจทย์ที่กำหนด
• ข้อ ข. (Norethisterone enanthate): ข้อนี้ไม่ใช่คำตอบที่ถูกต้องสำหรับภาวะ Oral contraceptive เนื่องจากกลไกการออกฤทธิ์, efficacy หรือข้อบ่งใช้ไม่ตรงกับโจทย์ที่กำหนด
• ข้อ ง. (Levonorgestrel): ข้อนี้ไม่ใช่คำตอบที่ถูกต้องสำหรับภาวะ Oral contraceptive เนื่องจากกลไกการออกฤทธิ์, efficacy หรือข้อบ่งใช้ไม่ตรงกับโจทย์ที่กำหนด
• ข้อ จ. (Mestranol):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2" t="n"/>
      <c r="L14" s="2" t="inlineStr">
        <is>
          <t>Oral contraceptive</t>
        </is>
      </c>
      <c r="M14" s="2" t="inlineStr">
        <is>
          <t>Clinic</t>
        </is>
      </c>
      <c r="N14" s="2" t="inlineStr">
        <is>
          <t>ข้อ 12 Pharma Plus เล่มม่วง (เฉลยข้อ ค)</t>
        </is>
      </c>
      <c r="O14" s="2" t="inlineStr">
        <is>
          <t>Mock</t>
        </is>
      </c>
      <c r="P14" s="2" t="inlineStr">
        <is>
          <t>Pharma Plus เล่มม่วง</t>
        </is>
      </c>
    </row>
    <row r="15" ht="13.2" customHeight="1" s="37">
      <c r="A15" s="8" t="inlineStr">
        <is>
          <t>13</t>
        </is>
      </c>
      <c r="B15" s="2" t="inlineStr">
        <is>
          <t>การใช้ hormone replacement therapy หรือ estrogen replacement therapy ควรระวังในผู้ป่วยประเภทใด</t>
        </is>
      </c>
      <c r="C15" s="2" t="n"/>
      <c r="D15" s="2" t="inlineStr">
        <is>
          <t>คนที่เสี่ยงต่อกระดูกพรุน</t>
        </is>
      </c>
      <c r="E15" s="2" t="inlineStr">
        <is>
          <t>คนที่ตัดรังไข่ทั้งสองข้าง</t>
        </is>
      </c>
      <c r="F15" s="2" t="inlineStr">
        <is>
          <t>ที่มีอาการช่องคลอดอักเสบ</t>
        </is>
      </c>
      <c r="G15" s="2" t="inlineStr">
        <is>
          <t>ที่เป็น hyperthyroid</t>
        </is>
      </c>
      <c r="H15" s="2" t="inlineStr">
        <is>
          <t>ที่เป็นโรคไขมัน ความดันโลหิตสูง</t>
        </is>
      </c>
      <c r="I15" s="8" t="inlineStr">
        <is>
          <t>5</t>
        </is>
      </c>
      <c r="J15" s="2" t="inlineStr">
        <is>
          <t>✅ คำตอบที่ถูกต้อง: ข้อ จ. ที่เป็นโรคไขมัน ความดันโลหิตสูง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ที่เป็นโรคไขมัน ความดันโลหิตสูง การใช้ Hormone Replacement Therapy (HRT) หรือ Estrogen Replacement Therapy (ERT) มีข้อควรระวังและ contraindication ในผู้ป่วยที่มีปัจจัยเสี่ยงหรือโรคประจำตัวบางชนิด เช่น โรคความดันโลหิตสูง โรคไขมันในเลือดสูง โรคตับ โรคมะเร็งที่ไวต่อฮอร์โมน (เช่น มะเร็งเต้านม มะเร็งเยื่อบุโพรงมดลูก) และประวัติหลอดเลือดอุดตัน เนื่องจาก estrogen อาจเพิ่มความเสี่ยงในการเกิดลิ่มเลือดอุดตันและกระตุ้นการเติบโตของเนื้องอกบางประเภท
🔍 ข้ออื่นผิดเพราะอะไร:
• ข้อ ก. (คนที่เสี่ยงต่อกระดูกพรุน): ข้อนี้ไม่ใช่คำตอบที่ถูกต้องสำหรับภาวะ Hormonal replacement เนื่องจากกลไกการออกฤทธิ์, efficacy หรือข้อบ่งใช้ไม่ตรงกับโจทย์ที่กำหนด
• ข้อ ข. (คนที่ตัดรังไข่ทั้งสองข้าง): ข้อนี้ไม่ใช่คำตอบที่ถูกต้องสำหรับภาวะ Hormonal replacement เนื่องจากกลไกการออกฤทธิ์, efficacy หรือข้อบ่งใช้ไม่ตรงกับโจทย์ที่กำหนด
• ข้อ ค. (ที่มีอาการช่องคลอดอักเสบ): ข้อนี้ไม่ใช่คำตอบที่ถูกต้องสำหรับภาวะ Hormonal replacement เนื่องจากกลไกการออกฤทธิ์, efficacy หรือข้อบ่งใช้ไม่ตรงกับโจทย์ที่กำหนด
• ข้อ ง. (ที่เป็น hyperthyroid):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n"/>
      <c r="L15" s="2" t="inlineStr">
        <is>
          <t>Hormonal replacement</t>
        </is>
      </c>
      <c r="M15" s="2" t="inlineStr">
        <is>
          <t>Clinic</t>
        </is>
      </c>
      <c r="N15" s="2" t="inlineStr">
        <is>
          <t>ข้อ 13 Pharma Plus เล่มม่วง (เฉลยข้อ จ)</t>
        </is>
      </c>
      <c r="O15" s="2" t="inlineStr">
        <is>
          <t>Mock</t>
        </is>
      </c>
      <c r="P15" s="2" t="inlineStr">
        <is>
          <t>Pharma Plus เล่มม่วง</t>
        </is>
      </c>
    </row>
    <row r="16" ht="13.2" customHeight="1" s="37">
      <c r="A16" s="8" t="inlineStr">
        <is>
          <t>14</t>
        </is>
      </c>
      <c r="B16" s="2" t="inlineStr">
        <is>
          <t>Anti-estrogen ใดที่กระตุ้นการตกไข่ในผู้หญิงที่มีบุตรยาก</t>
        </is>
      </c>
      <c r="C16" s="2" t="n"/>
      <c r="D16" s="2" t="inlineStr">
        <is>
          <t>Oxandrolone</t>
        </is>
      </c>
      <c r="E16" s="2" t="inlineStr">
        <is>
          <t>Clomiphene citrate</t>
        </is>
      </c>
      <c r="F16" s="2" t="inlineStr">
        <is>
          <t>Tibolones</t>
        </is>
      </c>
      <c r="G16" s="2" t="inlineStr">
        <is>
          <t>Tamoxifen</t>
        </is>
      </c>
      <c r="H16" s="2" t="inlineStr">
        <is>
          <t>Progesterone</t>
        </is>
      </c>
      <c r="I16" s="8" t="inlineStr">
        <is>
          <t>2</t>
        </is>
      </c>
      <c r="J16" s="2" t="inlineStr">
        <is>
          <t>✅ คำตอบที่ถูกต้อง: ข้อ ข. Clomiphene citrate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Clomiphene citrate เป็นยาในกลุ่ม Selective Estrogen Receptor Modulator (SERM) ที่ออกฤทธิ์เป็น anti-estrogen ที่ต่อมใต้สมองและไฮโพทาลามัส ส่งผลให้มีการหลั่ง GnRH, FSH และ LH เพิ่มขึ้น นิยมใช้เป็นยาลำดับแรกในการกระตุ้นการตกไข่ (ovulation induction) สำหรับผู้ป่วยที่มีบุตรยากจากภาวะไม่มีการตกไข่ (anovulation)
🔍 ข้ออื่นผิดเพราะอะไร:
• ข้อ ก. (Oxandrolone): ข้อนี้ไม่ใช่คำตอบที่ถูกต้องสำหรับภาวะ Hormonal replacement เนื่องจากกลไกการออกฤทธิ์, efficacy หรือข้อบ่งใช้ไม่ตรงกับโจทย์ที่กำหนด
• ข้อ ค. (Tibolones): ข้อนี้ไม่ใช่คำตอบที่ถูกต้องสำหรับภาวะ Hormonal replacement เนื่องจากกลไกการออกฤทธิ์, efficacy หรือข้อบ่งใช้ไม่ตรงกับโจทย์ที่กำหนด
• ข้อ ง. (Tamoxifen): ข้อนี้ไม่ใช่คำตอบที่ถูกต้องสำหรับภาวะ Hormonal replacement เนื่องจากกลไกการออกฤทธิ์, efficacy หรือข้อบ่งใช้ไม่ตรงกับโจทย์ที่กำหนด
• ข้อ จ. (Progesterone):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n"/>
      <c r="L16" s="2" t="inlineStr">
        <is>
          <t>Hormonal replacement</t>
        </is>
      </c>
      <c r="M16" s="2" t="inlineStr">
        <is>
          <t>Clinic</t>
        </is>
      </c>
      <c r="N16" s="2" t="inlineStr">
        <is>
          <t>ข้อ 14 Pharma Plus เล่มม่วง (เฉลยข้อ ข)</t>
        </is>
      </c>
      <c r="O16" s="2" t="inlineStr">
        <is>
          <t>Mock</t>
        </is>
      </c>
      <c r="P16" s="2" t="inlineStr">
        <is>
          <t>Pharma Plus เล่มม่วง</t>
        </is>
      </c>
    </row>
    <row r="17" ht="13.2" customHeight="1" s="37">
      <c r="A17" s="8" t="inlineStr">
        <is>
          <t>15</t>
        </is>
      </c>
      <c r="B17" s="2" t="inlineStr">
        <is>
          <t>ยาเม็ดคุมกำเนิดใช้ในการบำบัดรักษาภาวะต่าง ๆ ยกเว้น</t>
        </is>
      </c>
      <c r="C17" s="2" t="n"/>
      <c r="D17" s="2" t="inlineStr">
        <is>
          <t>เลื่อนประจำเดือน</t>
        </is>
      </c>
      <c r="E17" s="2" t="inlineStr">
        <is>
          <t>เยื่อบุโพรงมดลูกเจริญผิดปกติ</t>
        </is>
      </c>
      <c r="F17" s="2" t="inlineStr">
        <is>
          <t>ภาวะปวดประจำเดือน</t>
        </is>
      </c>
      <c r="G17" s="2" t="inlineStr">
        <is>
          <t>ภาวะประจำเดือนผิดปกติ</t>
        </is>
      </c>
      <c r="H17" s="2" t="inlineStr">
        <is>
          <t>ลดอาการคัดเต้านมหลังคลอดบุตร</t>
        </is>
      </c>
      <c r="I17" s="8" t="inlineStr">
        <is>
          <t>5</t>
        </is>
      </c>
      <c r="J17" s="2" t="inlineStr">
        <is>
          <t>✅ คำตอบที่ถูกต้อง: ข้อ จ. ลดอาการคัดเต้านมหลังคลอดบุตร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ลดอาการคัดเต้านมหลังคลอดบุตร ยาเม็ดคุมกำเนิดชนิดฮอร์โมนรวมมีข้อบ่งใช้รักษาและบรรเทาอาการทางนรีเวชหลายประการ เช่น เลื่อนประจำเดือน, รักษาเยื่อบุโพรงมดลูกเจริญผิดปกติ (endometriosis), ลดอาการปวดประจำเดือน (dysmenorrhea) และปรับรอบประจำเดือนให้ปกติ อย่างไรก็ตาม การใช้ฮอร์โมนเอสโตรเจนในยาเม็ดคุมกำเนิดไม่มีข้อบ่งใช้ในการลดอาการคัดเต้านมหลังคลอดบุตร (เพราะ estrogen อาจเพิ่มความเสี่ยงลิ่มเลือดอุดตันหลังคลอดและยับยั้งการหลั่งน้ำนม)
🔍 ข้ออื่นผิดเพราะอะไร:
• ข้อ ก. (เลื่อนประจำเดือน): ข้อนี้ไม่ใช่คำตอบที่ถูกต้องสำหรับภาวะ Oral contraceptive เนื่องจากกลไกการออกฤทธิ์, efficacy หรือข้อบ่งใช้ไม่ตรงกับโจทย์ที่กำหนด
• ข้อ ข. (เยื่อบุโพรงมดลูกเจริญผิดปกติ): ข้อนี้ไม่ใช่คำตอบที่ถูกต้องสำหรับภาวะ Oral contraceptive เนื่องจากกลไกการออกฤทธิ์, efficacy หรือข้อบ่งใช้ไม่ตรงกับโจทย์ที่กำหนด
• ข้อ ค. (ภาวะปวดประจำเดือน): ข้อนี้ไม่ใช่คำตอบที่ถูกต้องสำหรับภาวะ Oral contraceptive เนื่องจากกลไกการออกฤทธิ์, efficacy หรือข้อบ่งใช้ไม่ตรงกับโจทย์ที่กำหนด
• ข้อ ง. (ภาวะประจำเดือนผิดปกติ):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17" s="2" t="n"/>
      <c r="L17" s="2" t="inlineStr">
        <is>
          <t>Oral contraceptive</t>
        </is>
      </c>
      <c r="M17" s="2" t="inlineStr">
        <is>
          <t>Clinic</t>
        </is>
      </c>
      <c r="N17" s="2" t="inlineStr">
        <is>
          <t>ข้อ 15 Pharma Plus เล่มม่วง (เฉลยข้อ จ)</t>
        </is>
      </c>
      <c r="O17" s="2" t="inlineStr">
        <is>
          <t>Mock</t>
        </is>
      </c>
      <c r="P17" s="2" t="inlineStr">
        <is>
          <t>Pharma Plus เล่มม่วง</t>
        </is>
      </c>
    </row>
    <row r="18" ht="13.2" customHeight="1" s="37">
      <c r="A18" s="8" t="inlineStr">
        <is>
          <t>16</t>
        </is>
      </c>
      <c r="B18" s="2" t="inlineStr">
        <is>
          <t>ยาที่มีผลกระตุ้นการหลั่ง prolactin ยกเว้น</t>
        </is>
      </c>
      <c r="C18" s="2" t="n"/>
      <c r="D18" s="2" t="inlineStr">
        <is>
          <t>Reserpine</t>
        </is>
      </c>
      <c r="E18" s="2" t="inlineStr">
        <is>
          <t>Domperidone</t>
        </is>
      </c>
      <c r="F18" s="2" t="inlineStr">
        <is>
          <t>Phenothiazine</t>
        </is>
      </c>
      <c r="G18" s="2" t="inlineStr">
        <is>
          <t>Levodopa</t>
        </is>
      </c>
      <c r="H18" s="2" t="inlineStr">
        <is>
          <t>Butyrophenone</t>
        </is>
      </c>
      <c r="I18" s="8" t="inlineStr">
        <is>
          <t>4</t>
        </is>
      </c>
      <c r="J18" s="2" t="inlineStr">
        <is>
          <t>✅ คำตอบที่ถูกต้อง: ข้อ ง. Levodopa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Levodopa Prolactin ถูกควบคุมโดยสารยับยั้งหลักคือ dopamine ยาที่ไปบล็อก dopamine receptors (เช่น Reserpine, Domperidone, Phenothiazine, Butyrophenone) จะกระตุ้นให้เกิดภาวะ hyperprolactinemia ในทางตรงกันข้าม Levodopa เป็นสารตั้งต้นของ dopamine จึงออกฤทธิ์กระตุ้น dopamine receptors ส่งผลให้ระดับ prolactin ลดลงหรือไม่กระตุ้นการหลั่ง prolactin
🔍 ข้ออื่นผิดเพราะอะไร:
• ข้อ ก. (Reserpine): ข้อนี้ไม่ใช่คำตอบที่ถูกต้องสำหรับภาวะ Oral contraceptive เนื่องจากกลไกการออกฤทธิ์, efficacy หรือข้อบ่งใช้ไม่ตรงกับโจทย์ที่กำหนด
• ข้อ ข. (Domperidone): เป็น peripheral D2 receptor antagonist เพิ่ม GI motility ไม่ผ่าน BBB จึงไม่ทำให้เกิด EPS เด่นชัด แต่ต้องระวัง QT prolongation ในขนาดสูง (&gt; 30 mg/day)
• ข้อ ค. (Phenothiazine): ข้อนี้ไม่ใช่คำตอบที่ถูกต้องสำหรับภาวะ Oral contraceptive เนื่องจากกลไกการออกฤทธิ์, efficacy หรือข้อบ่งใช้ไม่ตรงกับโจทย์ที่กำหนด
• ข้อ จ. (Butyrophenone):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8" s="2" t="n"/>
      <c r="L18" s="2" t="inlineStr">
        <is>
          <t>Oral contraceptive</t>
        </is>
      </c>
      <c r="M18" s="2" t="inlineStr">
        <is>
          <t>Clinic</t>
        </is>
      </c>
      <c r="N18" s="2" t="inlineStr">
        <is>
          <t>ข้อ 16 Pharma Plus เล่มม่วง (เฉลยข้อ ง)</t>
        </is>
      </c>
      <c r="O18" s="2" t="inlineStr">
        <is>
          <t>Mock</t>
        </is>
      </c>
      <c r="P18" s="2" t="inlineStr">
        <is>
          <t>Pharma Plus เล่มม่วง</t>
        </is>
      </c>
    </row>
    <row r="19" ht="13.2" customHeight="1" s="37">
      <c r="A19" s="8" t="inlineStr">
        <is>
          <t>17</t>
        </is>
      </c>
      <c r="B19" s="2" t="inlineStr">
        <is>
          <t>อาการข้างเคียงข้อใดเกิดจากการมี estrogen มากเกินไป</t>
        </is>
      </c>
      <c r="C19" s="2" t="n"/>
      <c r="D19" s="2" t="inlineStr">
        <is>
          <t>เป็นฝ้า</t>
        </is>
      </c>
      <c r="E19" s="2" t="inlineStr">
        <is>
          <t>เป็นสิว</t>
        </is>
      </c>
      <c r="F19" s="2" t="inlineStr">
        <is>
          <t>Noncyclic weight gain</t>
        </is>
      </c>
      <c r="G19" s="2" t="inlineStr">
        <is>
          <t>Hypomenorrhea</t>
        </is>
      </c>
      <c r="H19" s="2" t="inlineStr">
        <is>
          <t>เต้านมเล็กลง</t>
        </is>
      </c>
      <c r="I19" s="8" t="inlineStr">
        <is>
          <t>3</t>
        </is>
      </c>
      <c r="J19" s="2" t="inlineStr">
        <is>
          <t>✅ คำตอบที่ถูกต้อง: ข้อ ค. Noncyclic weight gain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Noncyclic weight gain อาการข้างเคียงจากภาวะที่มีเอสโตรเจนมากเกินไป (Estrogen excess) ได้แก่ คลื่นไส้, เต้านมตึงคัดและขยายใหญ่ขึ้น, น้ำหนักเพิ่มจากการคั่งของน้ำ (fluid retention/weight gain), ปวดศีรษะ, และการเกิดฝ้า (melasma หรือ chloasma) ส่วนสิว มักเกิดจากฤทธิ์ของ androgen เกิน
🔍 ข้ออื่นผิดเพราะอะไร:
• ข้อ ก. (เป็นฝ้า): ข้อนี้ไม่ใช่คำตอบที่ถูกต้องสำหรับภาวะ Hormonal replacement เนื่องจากกลไกการออกฤทธิ์, efficacy หรือข้อบ่งใช้ไม่ตรงกับโจทย์ที่กำหนด
• ข้อ ข. (เป็นสิว): ข้อนี้ไม่ใช่คำตอบที่ถูกต้องสำหรับภาวะ Hormonal replacement เนื่องจากกลไกการออกฤทธิ์, efficacy หรือข้อบ่งใช้ไม่ตรงกับโจทย์ที่กำหนด
• ข้อ ง. (Hypomenorrhea): ข้อนี้ไม่ใช่คำตอบที่ถูกต้องสำหรับภาวะ Hormonal replacement เนื่องจากกลไกการออกฤทธิ์, efficacy หรือข้อบ่งใช้ไม่ตรงกับโจทย์ที่กำหนด
• ข้อ จ. (เต้านมเล็กลง):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Hormonal replacement</t>
        </is>
      </c>
      <c r="M19" s="2" t="inlineStr">
        <is>
          <t>Clinic</t>
        </is>
      </c>
      <c r="N19" s="2" t="inlineStr">
        <is>
          <t>ข้อ 17 Pharma Plus เล่มม่วง (เฉลยข้อ ค)</t>
        </is>
      </c>
      <c r="O19" s="2" t="inlineStr">
        <is>
          <t>Mock</t>
        </is>
      </c>
      <c r="P19" s="2" t="inlineStr">
        <is>
          <t>Pharma Plus เล่มม่วง</t>
        </is>
      </c>
    </row>
    <row r="20" ht="13.2" customHeight="1" s="37">
      <c r="A20" s="8" t="inlineStr">
        <is>
          <t>18</t>
        </is>
      </c>
      <c r="B20" s="2" t="inlineStr">
        <is>
          <t>ข้อใดไม่ใช่ clinical use ของ progesterone</t>
        </is>
      </c>
      <c r="C20" s="2" t="n"/>
      <c r="D20" s="2" t="inlineStr">
        <is>
          <t>Contraceptive</t>
        </is>
      </c>
      <c r="E20" s="2" t="inlineStr">
        <is>
          <t>Endometriosis</t>
        </is>
      </c>
      <c r="F20" s="2" t="inlineStr">
        <is>
          <t>Dysfunction uterine bleeding</t>
        </is>
      </c>
      <c r="G20" s="2" t="inlineStr">
        <is>
          <t>การเลื่อนกำหนดการมีประจำเดือน</t>
        </is>
      </c>
      <c r="H20" s="2" t="inlineStr">
        <is>
          <t>มะเร็งเต้านม</t>
        </is>
      </c>
      <c r="I20" s="8" t="inlineStr">
        <is>
          <t>5</t>
        </is>
      </c>
      <c r="J20" s="2" t="inlineStr">
        <is>
          <t>✅ คำตอบที่ถูกต้อง: ข้อ จ. มะเร็งเต้านม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มะเร็งเต้านม Progesterone หรือ progestin มีข้อบ่งใช้ทางการแพทย์หลายประการ เช่น คุมกำเนิด (Contraceptive), รักษาเยื่อบุโพรงมดลูกเจริญผิดปกติ (Endometriosis), รักษาภาวะเลือดออกผิดปกติจากโพรงมดลูก (Dysfunctional uterine bleeding - DUB) และเลื่อนประจำเดือน แต่ไม่มีข้อบ่งใช้ในการรักษามะเร็งเต้านม (แม้ฮอร์โมนบางตัวจะใช้ในมะเร็งชนิดอื่น แต่ progesterone ไม่ใช่ยารักษามะเร็งเต้านมโดยตรง และเอสโตรเจน/โปรเจสตินบางตัวอาจเพิ่มความเสี่ยงมะเร็งเต้านมด้วยซ้ำ)
🔍 ข้ออื่นผิดเพราะอะไร:
• ข้อ ก. (Contraceptive): ข้อนี้ไม่ใช่คำตอบที่ถูกต้องสำหรับภาวะ Hormonal replacement เนื่องจากกลไกการออกฤทธิ์, efficacy หรือข้อบ่งใช้ไม่ตรงกับโจทย์ที่กำหนด
• ข้อ ข. (Endometriosis): ข้อนี้ไม่ใช่คำตอบที่ถูกต้องสำหรับภาวะ Hormonal replacement เนื่องจากกลไกการออกฤทธิ์, efficacy หรือข้อบ่งใช้ไม่ตรงกับโจทย์ที่กำหนด
• ข้อ ค. (Dysfunction uterine bleeding): ข้อนี้ไม่ใช่คำตอบที่ถูกต้องสำหรับภาวะ Hormonal replacement เนื่องจากกลไกการออกฤทธิ์, efficacy หรือข้อบ่งใช้ไม่ตรงกับโจทย์ที่กำหนด
• ข้อ ง. (การเลื่อนกำหนดการมีประจำเดือน):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Hormonal replacement</t>
        </is>
      </c>
      <c r="M20" s="2" t="inlineStr">
        <is>
          <t>Clinic</t>
        </is>
      </c>
      <c r="N20" s="2" t="inlineStr">
        <is>
          <t>ข้อ 18 Pharma Plus เล่มม่วง (เฉลยข้อ จ)</t>
        </is>
      </c>
      <c r="O20" s="2" t="inlineStr">
        <is>
          <t>Mock</t>
        </is>
      </c>
      <c r="P20" s="2" t="inlineStr">
        <is>
          <t>Pharma Plus เล่มม่วง</t>
        </is>
      </c>
    </row>
    <row r="21" ht="13.2" customHeight="1" s="37">
      <c r="A21" s="8" t="inlineStr">
        <is>
          <t>19</t>
        </is>
      </c>
      <c r="B21" s="2" t="inlineStr">
        <is>
          <t>วิธีคุมกำเนิดชนิดใดมีประสิทธิภาพในการคุมกำเนิดได้ดีที่สุด</t>
        </is>
      </c>
      <c r="C21" s="2" t="n"/>
      <c r="D21" s="2" t="inlineStr">
        <is>
          <t>ยาเม็ดคุมกำเนิด</t>
        </is>
      </c>
      <c r="E21" s="2" t="inlineStr">
        <is>
          <t>ถุงยางอนามัย</t>
        </is>
      </c>
      <c r="F21" s="2" t="inlineStr">
        <is>
          <t>ใส่ห่วงอนามัย</t>
        </is>
      </c>
      <c r="G21" s="2" t="inlineStr">
        <is>
          <t>การนับระยะปลอดภัย</t>
        </is>
      </c>
      <c r="H21" s="2" t="inlineStr">
        <is>
          <t>ใช้ยาฆ่าอสุจิ</t>
        </is>
      </c>
      <c r="I21" s="8" t="inlineStr">
        <is>
          <t>3</t>
        </is>
      </c>
      <c r="J21" s="2" t="inlineStr">
        <is>
          <t>✅ คำตอบที่ถูกต้อง: ข้อ ค. ใส่ห่วงอนามัย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ใส่ห่วงอนามัย ห่วงอนามัย (Intrauterine device - IUD ทั้งแบบทองแดงและแบบฮอร์โมน) จัดเป็นวิธีคุมกำเนิดแบบชั่วคราวที่มี efficacy สูงที่สุด (Highest efficacy) โดยมีอัตราความล้มเหลวต่ำมาก (less than 1% typical use failure rate) ใกล้เคียงกับการทำหมันถาวร เมื่อเทียบกับยาเม็ดคุมกำเนิด ถุงยางอนามัย หรือการนับวัน ซึ่งมีโอกาสล้มเหลวจากการลืมใช้หรือใช้ไม่ถูกวิธีสูงกว่า
🔍 ข้ออื่นผิดเพราะอะไร:
• ข้อ ก. (ยาเม็ดคุมกำเนิด): ข้อนี้ไม่ใช่คำตอบที่ถูกต้องสำหรับภาวะ Oral contraceptive เนื่องจากกลไกการออกฤทธิ์, efficacy หรือข้อบ่งใช้ไม่ตรงกับโจทย์ที่กำหนด
• ข้อ ข. (ถุงยางอนามัย): ข้อนี้ไม่ใช่คำตอบที่ถูกต้องสำหรับภาวะ Oral contraceptive เนื่องจากกลไกการออกฤทธิ์, efficacy หรือข้อบ่งใช้ไม่ตรงกับโจทย์ที่กำหนด
• ข้อ ง. (การนับระยะปลอดภัย): ข้อนี้ไม่ใช่คำตอบที่ถูกต้องสำหรับภาวะ Oral contraceptive เนื่องจากกลไกการออกฤทธิ์, efficacy หรือข้อบ่งใช้ไม่ตรงกับโจทย์ที่กำหนด
• ข้อ จ. (ใช้ยาฆ่าอสุจิ):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1" s="2" t="n"/>
      <c r="L21" s="2" t="inlineStr">
        <is>
          <t>Oral contraceptive</t>
        </is>
      </c>
      <c r="M21" s="2" t="inlineStr">
        <is>
          <t>Clinic</t>
        </is>
      </c>
      <c r="N21" s="2" t="inlineStr">
        <is>
          <t>ข้อ 19 Pharma Plus เล่มม่วง (เฉลยข้อ ค)</t>
        </is>
      </c>
      <c r="O21" s="2" t="inlineStr">
        <is>
          <t>Mock</t>
        </is>
      </c>
      <c r="P21" s="2" t="inlineStr">
        <is>
          <t>Pharma Plus เล่มม่วง</t>
        </is>
      </c>
    </row>
    <row r="22" ht="13.2" customHeight="1" s="37">
      <c r="A22" s="8" t="inlineStr">
        <is>
          <t>20</t>
        </is>
      </c>
      <c r="B22" s="2" t="inlineStr">
        <is>
          <t>Levonorgestrel สามารถใช้ในการคุมกำเนิดในผู้ป่วยกลุ่มใด</t>
        </is>
      </c>
      <c r="C22" s="2" t="n"/>
      <c r="D22" s="2" t="inlineStr">
        <is>
          <t>สตรีมีครรภ์</t>
        </is>
      </c>
      <c r="E22" s="2" t="inlineStr">
        <is>
          <t>ผู้ป่วย ischemic heart disease</t>
        </is>
      </c>
      <c r="F22" s="2" t="inlineStr">
        <is>
          <t>ผู้ป่วย hypertension</t>
        </is>
      </c>
      <c r="G22" s="2" t="inlineStr">
        <is>
          <t>ผู้ป่วยประวัติ breast cancer</t>
        </is>
      </c>
      <c r="H22" s="2" t="inlineStr">
        <is>
          <t>ผู้ป่วยโรคหอบหืด</t>
        </is>
      </c>
      <c r="I22" s="8" t="inlineStr">
        <is>
          <t>2</t>
        </is>
      </c>
      <c r="J22" s="2" t="inlineStr">
        <is>
          <t>✅ คำตอบที่ถูกต้อง: ข้อ ข. ผู้ป่วย ischemic heart disease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ผู้ป่วย ischemic heart disease Levonorgestrel (ยาคุมกำเนิดฉุกเฉินเดี่ยว) ไม่มีฮอร์โมนเอสโตรเจน จึงสามารถใช้ได้อย่างปลอดภัยในผู้ป่วยโรคระบบทางเดินหายใจ เช่น โรคหอบหืด contraindication ที่สำคัญ ได้แก่ การตั้งครรภ์ และควรระวัง/ห้ามใช้ในมะเร็งเต้านมหรือโรคหัวใจขาดเลือดรุนแรง (ตามเกณฑ์ WHO MEC)
🔍 ข้ออื่นผิดเพราะอะไร:
• ข้อ ก. (สตรีมีครรภ์): ข้อนี้ไม่ใช่คำตอบที่ถูกต้องสำหรับภาวะ Oral contraceptive เนื่องจากกลไกการออกฤทธิ์, efficacy หรือข้อบ่งใช้ไม่ตรงกับโจทย์ที่กำหนด
• ข้อ ค. (ผู้ป่วย hypertension): ข้อนี้ไม่ใช่คำตอบที่ถูกต้องสำหรับภาวะ Oral contraceptive เนื่องจากกลไกการออกฤทธิ์, efficacy หรือข้อบ่งใช้ไม่ตรงกับโจทย์ที่กำหนด
• ข้อ ง. (ผู้ป่วยประวัติ breast cancer): ข้อนี้ไม่ใช่คำตอบที่ถูกต้องสำหรับภาวะ Oral contraceptive เนื่องจากกลไกการออกฤทธิ์, efficacy หรือข้อบ่งใช้ไม่ตรงกับโจทย์ที่กำหนด
• ข้อ จ. (ผู้ป่วยโรคหอบหืด):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2" s="2" t="n"/>
      <c r="L22" s="2" t="inlineStr">
        <is>
          <t>Oral contraceptive</t>
        </is>
      </c>
      <c r="M22" s="2" t="inlineStr">
        <is>
          <t>Clinic</t>
        </is>
      </c>
      <c r="N22" s="2" t="inlineStr">
        <is>
          <t>ข้อ 20 Pharma Plus เล่มม่วง (เฉลยข้อ ข ค ง จ)</t>
        </is>
      </c>
      <c r="O22" s="2" t="inlineStr">
        <is>
          <t>Mock</t>
        </is>
      </c>
      <c r="P22" s="2" t="inlineStr">
        <is>
          <t>Pharma Plus เล่มม่วง</t>
        </is>
      </c>
    </row>
    <row r="23" ht="13.2" customHeight="1" s="37">
      <c r="A23" s="8" t="inlineStr">
        <is>
          <t>21</t>
        </is>
      </c>
      <c r="B23" s="2" t="inlineStr">
        <is>
          <t>ข้อใดต่อไปนี้ผิดเกี่ยวกับ levonorgestrel</t>
        </is>
      </c>
      <c r="C23" s="2" t="n"/>
      <c r="D23" s="2" t="inlineStr">
        <is>
          <t>มีกลไกการออกฤทธิ์ คือ ยับยั้งการตกไข่</t>
        </is>
      </c>
      <c r="E23" s="2" t="inlineStr">
        <is>
          <t>ประสิทธิภาพในการป้องกันการตั้งครรภ์จะสูงสุด ถ้ารับหลังการร่วมเพศทันที</t>
        </is>
      </c>
      <c r="F23" s="2" t="inlineStr">
        <is>
          <t>ประสิทธิภาพในการป้องกันการตั้งครรภ์จะเทียบเท่ากับการใช้ยาเม็ดคุมกำเนิดทั่วไป</t>
        </is>
      </c>
      <c r="G23" s="2" t="inlineStr">
        <is>
          <t>มี side effect คือ ปวดหัวนะ คลื่นไส้ อาเจียน</t>
        </is>
      </c>
      <c r="H23" s="2" t="inlineStr">
        <is>
          <t>ประสิทธิภาพในการป้องกันการตั้งครรภ์จะลดลง ถ้าร่วมกับ barbiturate ที่เป็น hepatic drug metabolizing enzyme inducer</t>
        </is>
      </c>
      <c r="I23" s="8" t="inlineStr">
        <is>
          <t>3</t>
        </is>
      </c>
      <c r="J23" s="2" t="inlineStr">
        <is>
          <t>✅ คำตอบที่ถูกต้อง: ข้อ ค. ประสิทธิภาพในการป้องกันการตั้งครรภ์จะเทียบเท่ากับการใช้ยาเม็ดคุมกำเนิดทั่วไป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ประสิทธิภาพในการป้องกันการตั้งครรภ์จะเทียบเท่ากับการใช้ยาเม็ดคุมกำเนิดทั่วไป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ยาคุมกำเนิดฉุกเฉิน (Levonorgestrel) มี efficacy ต่ำกว่ายาเม็ดคุมกำเนิดแบบรายเดือนทั่วไป ไม่ควรใช้แทนวิธีคุมกำเนิดปกติ และ efficacy จะลดลงเมื่อใช้ร่วมกับยาที่เหนี่ยวนำเอนไซม์ในตับ (Enzyme inducers เช่น barbiturates, rifampicin)
🔍 ข้ออื่นผิดเพราะอะไร:
• ข้อ ก. (มีกลไกการออกฤทธิ์ คือ ยับยั้งการตกไข่): ข้อนี้ไม่ใช่คำตอบที่ถูกต้องสำหรับภาวะ Oral contraceptive เนื่องจากกลไกการออกฤทธิ์, efficacy หรือข้อบ่งใช้ไม่ตรงกับโจทย์ที่กำหนด
• ข้อ ข. (ประสิทธิภาพในการป้องกันการตั้งครรภ์จะสูงสุด ถ้ารับหลังการร่วมเพศทันที): ข้อนี้ไม่ใช่คำตอบที่ถูกต้องสำหรับภาวะ Oral contraceptive เนื่องจากกลไกการออกฤทธิ์, efficacy หรือข้อบ่งใช้ไม่ตรงกับโจทย์ที่กำหนด
• ข้อ ง. (มี side effect คือ ปวดหัวนะ คลื่นไส้ อาเจียน): ข้อนี้ไม่ใช่คำตอบที่ถูกต้องสำหรับภาวะ Oral contraceptive เนื่องจากกลไกการออกฤทธิ์, efficacy หรือข้อบ่งใช้ไม่ตรงกับโจทย์ที่กำหนด
• ข้อ จ. (ประสิทธิภาพในการป้องกันการตั้งครรภ์จะลดลง ถ้าร่วมกับ barbiturate ที่เป็น hepatic drug metabolizing enzyme inducer):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3" s="2" t="n"/>
      <c r="L23" s="2" t="inlineStr">
        <is>
          <t>Oral contraceptive</t>
        </is>
      </c>
      <c r="M23" s="2" t="inlineStr">
        <is>
          <t>Clinic</t>
        </is>
      </c>
      <c r="N23" s="2" t="inlineStr">
        <is>
          <t>ข้อ 21 Pharma Plus เล่มม่วง (เฉลยข้อ ค)</t>
        </is>
      </c>
      <c r="O23" s="2" t="inlineStr">
        <is>
          <t>Mock</t>
        </is>
      </c>
      <c r="P23" s="2" t="inlineStr">
        <is>
          <t>Pharma Plus เล่มม่วง</t>
        </is>
      </c>
    </row>
    <row r="24" ht="13.2" customHeight="1" s="37">
      <c r="A24" s="8" t="inlineStr">
        <is>
          <t>22</t>
        </is>
      </c>
      <c r="B24" s="2" t="inlineStr">
        <is>
          <t>หญิงไทยอายุ 25 ปี มาขอซื้อยาคุมกำเนิดฉุกเฉินจากร้านยาแห่งหนึ่ง เมื่อเภสัชกรซักประวัติเพิ่มเติมพบว่า สามีประกอบอาชีพเป็นพนักงานขาย ซึ่งในแต่ละเดือนจะมีเวลาอยู่กับครอบครัวเพียงสองสัปดาห์ วิธีการใช้ยาคุมกำเนิด (levonorgestrel) ข้อใดถูก</t>
        </is>
      </c>
      <c r="C24" s="2" t="n"/>
      <c r="D24" s="2" t="inlineStr">
        <is>
          <t>รับประทานครั้งละ 2 เม็ด ภายใน 12 ชั่วโมง หลังจากนั้นอีก 12 ชั่วโมง รับประทานอีก 2 เม็ด</t>
        </is>
      </c>
      <c r="E24" s="2" t="inlineStr">
        <is>
          <t>รับประทาน 1 เม็ด ภายใน 72 ชั่วโมง หลังจากนั้นอีก 12 ชั่วโมง รับประทานอีก 1 เม็ด</t>
        </is>
      </c>
      <c r="F24" s="2" t="inlineStr">
        <is>
          <t>รับประทาน 2 เม็ด ภายใน 72 ชั่วโมง ครั้งเดียว</t>
        </is>
      </c>
      <c r="G24" s="2" t="inlineStr">
        <is>
          <t>รับประทาน 2 เม็ด ภายใน 1 ชั่วโมง</t>
        </is>
      </c>
      <c r="H24" s="2" t="inlineStr">
        <is>
          <t>รับประทานหนึ่งเม็ดติดต่อกันนาน 5 วัน</t>
        </is>
      </c>
      <c r="I24" s="8" t="inlineStr">
        <is>
          <t>2</t>
        </is>
      </c>
      <c r="J24" s="2" t="inlineStr">
        <is>
          <t>✅ คำตอบที่ถูกต้อง: ข้อ ข. รับประทาน 1 เม็ด ภายใน 72 ชั่วโมง หลังจากนั้นอีก 12 ชั่วโมง รับประทานอีก 1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 1 เม็ด ภายใน 72 ชั่วโมง หลังจากนั้นอีก 12 ชั่วโมง รับประทานอีก 1 เม็ด ตามแนวทางการใช้ Levonorgestrel ขนาด 0.75 mg (ชนิด 2 เม็ด) ให้รับประทาน 2 เม็ดครั้งเดียว หรือแบ่งกินเม็ดละห่างกัน 12 ชั่วโมง ภายใน 72 ชั่วโมงหลังมีเพศสัมพันธ์ (ปัจจุบันขนาด 1.5 mg รับประทาน 1 เม็ดครั้งเดียว)
🔍 ข้ออื่นผิดเพราะอะไร:
• ข้อ ก. (รับประทานครั้งละ 2 เม็ด ภายใน 12 ชั่วโมง หลังจากนั้นอีก 12 ชั่วโมง รับประทานอีก 2 เม็ด): ข้อนี้ไม่ใช่คำตอบที่ถูกต้องสำหรับภาวะ Oral contraceptive เนื่องจากกลไกการออกฤทธิ์, efficacy หรือข้อบ่งใช้ไม่ตรงกับโจทย์ที่กำหนด
• ข้อ ค. (รับประทาน 2 เม็ด ภายใน 72 ชั่วโมง ครั้งเดียว): ข้อนี้ไม่ใช่คำตอบที่ถูกต้องสำหรับภาวะ Oral contraceptive เนื่องจากกลไกการออกฤทธิ์, efficacy หรือข้อบ่งใช้ไม่ตรงกับโจทย์ที่กำหนด
• ข้อ ง. (รับประทาน 2 เม็ด ภายใน 1 ชั่วโมง): ข้อนี้ไม่ใช่คำตอบที่ถูกต้องสำหรับภาวะ Oral contraceptive เนื่องจากกลไกการออกฤทธิ์, efficacy หรือข้อบ่งใช้ไม่ตรงกับโจทย์ที่กำหนด
• ข้อ จ. (รับประทานหนึ่งเม็ดติดต่อกันนาน 5 วัน):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4" s="2" t="n"/>
      <c r="L24" s="2" t="inlineStr">
        <is>
          <t>Oral contraceptive</t>
        </is>
      </c>
      <c r="M24" s="2" t="inlineStr">
        <is>
          <t>Clinic</t>
        </is>
      </c>
      <c r="N24" s="2" t="inlineStr">
        <is>
          <t>ข้อ 22 Pharma Plus เล่มม่วง (เฉลยข้อ ข ค)</t>
        </is>
      </c>
      <c r="O24" s="2" t="inlineStr">
        <is>
          <t>Mock</t>
        </is>
      </c>
      <c r="P24" s="2" t="inlineStr">
        <is>
          <t>Pharma Plus เล่มม่วง</t>
        </is>
      </c>
    </row>
    <row r="25" ht="13.2" customHeight="1" s="37">
      <c r="A25" s="8" t="inlineStr">
        <is>
          <t>23</t>
        </is>
      </c>
      <c r="B25" s="2" t="inlineStr">
        <is>
          <t>เภสัชกรแนะนำให้ผู้ป่วยรับประทานยาคุมชนิด combines pill ควรเลือกยาคุมในข้อใด ในกรณีที่เริ่มใช้เป็นครั้งแรก</t>
        </is>
      </c>
      <c r="C25" s="2" t="n"/>
      <c r="D25" s="2" t="inlineStr">
        <is>
          <t>Ethinyl estradiol 0.05 mg + ethinodiol diacetate 1 mg</t>
        </is>
      </c>
      <c r="E25" s="2" t="inlineStr">
        <is>
          <t>Mestranol 0.05 mg + northisterone 1 mg</t>
        </is>
      </c>
      <c r="F25" s="2" t="inlineStr">
        <is>
          <t>Ethinyl estradiol 0.03 mg + levonorgestrel 0.15 mg</t>
        </is>
      </c>
      <c r="G25" s="2" t="inlineStr">
        <is>
          <t>Ethinyl estradiol 0.03 mg + gestrodene 0.075 mg</t>
        </is>
      </c>
      <c r="H25" s="2" t="inlineStr">
        <is>
          <t>Ethinyl estradiol 0.02 mg + desogestrel 0.15 mg</t>
        </is>
      </c>
      <c r="I25" s="8" t="inlineStr">
        <is>
          <t>1</t>
        </is>
      </c>
      <c r="J25" s="2" t="inlineStr">
        <is>
          <t>✅ คำตอบที่ถูกต้อง: ข้อ ก. Ethinyl estradiol 0.05 mg + ethinodiol diacetate 1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 estradiol 0.05 mg + ethinodiol diacetate 1 mg สำหรับการเริ่มใช้ยาเม็ดคุมกำเนิดชนิดฮอร์โมนรวม (COC) เป็นครั้งแรก ควรเลือกสูตรที่มีปริมาณ Ethinyl estradiol ต่ำ (Low dose: 20-30 mcg) เพื่อลดอาการข้างเคียงจากเอสโตรเจน เช่น คลื่นไส้ เต้านมคัดตึง และลดความเสี่ยงการเกิดลิ่มเลือดอุดตัน
🔍 ข้ออื่นผิดเพราะอะไร:
• ข้อ ข. (Mestranol 0.05 mg + northisterone 1 mg):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0.03 mg + levonorgestrel 0.15 mg): ข้อนี้ไม่ใช่คำตอบที่ถูกต้องสำหรับภาวะ Oral contraceptive เนื่องจากกลไกการออกฤทธิ์, efficacy หรือข้อบ่งใช้ไม่ตรงกับโจทย์ที่กำหนด
• ข้อ ง. (Ethinyl estradiol 0.03 mg + gestrodene 0.075 mg): ข้อนี้ไม่ใช่คำตอบที่ถูกต้องสำหรับภาวะ Oral contraceptive เนื่องจากกลไกการออกฤทธิ์, efficacy หรือข้อบ่งใช้ไม่ตรงกับโจทย์ที่กำหนด
• ข้อ จ. (Ethinyl estradiol 0.02 mg + desogestrel 0.15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5" s="2" t="n"/>
      <c r="L25" s="2" t="inlineStr">
        <is>
          <t>Oral contraceptive</t>
        </is>
      </c>
      <c r="M25" s="2" t="inlineStr">
        <is>
          <t>Clinic</t>
        </is>
      </c>
      <c r="N25" s="2" t="inlineStr">
        <is>
          <t>ข้อ 23 Pharma Plus เล่มม่วง (เฉลยข้อ )</t>
        </is>
      </c>
      <c r="O25" s="2" t="inlineStr">
        <is>
          <t>Mock</t>
        </is>
      </c>
      <c r="P25" s="2" t="inlineStr">
        <is>
          <t>Pharma Plus เล่มม่วง</t>
        </is>
      </c>
    </row>
    <row r="26" ht="13.2" customHeight="1" s="37">
      <c r="A26" s="8" t="inlineStr">
        <is>
          <t>24</t>
        </is>
      </c>
      <c r="B26" s="2" t="inlineStr">
        <is>
          <t>คำแนะนำในการใช้ยาคุมกำเนิดข้อใดผิด</t>
        </is>
      </c>
      <c r="C26" s="2" t="n"/>
      <c r="D26" s="2" t="inlineStr">
        <is>
          <t>15 วันแรกที่รับประทานยาคุมกำเนิด ควรคุมกำเนิดโดยการใช้ถุงยางอนามัยด้วย</t>
        </is>
      </c>
      <c r="E26" s="2" t="inlineStr">
        <is>
          <t>2-3 แผงแรกของการรับประทานยาคุม อาจมีอาการคลื่นไส้อาเจียน จากนั้นอาการจะทุเลาลงเอง</t>
        </is>
      </c>
      <c r="F26" s="2" t="inlineStr">
        <is>
          <t>ควรรับประทานยาคุมกำเนิดทุกวัน วันละ 1 เม็ด เวลาใดก็ได้ แต่ห้ามลืม</t>
        </is>
      </c>
      <c r="G26" s="2" t="inlineStr">
        <is>
          <t>การรับประทานยาคุมกำเนิด ควรเริ่มรับประทานในวันที่ 1-5 ของการมีประจำเดือน</t>
        </is>
      </c>
      <c r="H26" s="2" t="inlineStr">
        <is>
          <t>หากลืมรับประทานยาคุมกำเนิดติดต่อกันเกิน 2 เม็ด ควรหยุดยาใช้คุมกำเนิดแผงนั้นและใช้วิธีการคุมกำเนิดแบบอื่น</t>
        </is>
      </c>
      <c r="I26" s="8" t="inlineStr">
        <is>
          <t>3</t>
        </is>
      </c>
      <c r="J26" s="2" t="inlineStr">
        <is>
          <t>✅ คำตอบที่ถูกต้อง: ข้อ ค. ควรรับประทานยาคุมกำเนิดทุกวัน วันละ 1 เม็ด เวลาใดก็ได้ แต่ห้ามลืม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ควรรับประทานยาคุมกำเนิดทุกวัน วันละ 1 เม็ด เวลาใดก็ได้ แต่ห้ามลืม การเริ่มรับประทานยาเม็ดคุมกำเนิดรวมภายใน 5 วันแรกของการมีประจำเดือน จะสามารถออกฤทธิ์ป้องกันการตั้งครรภ์ได้ทันที (ไม่ต้องรอถึง 15 วัน) ข้อ 1 จึงเป็นการให้คำแนะนำที่คลาดเคลื่อน
🔍 ข้ออื่นผิดเพราะอะไร:
• ข้อ ก. (15 วันแรกที่รับประทานยาคุมกำเนิด ควรคุมกำเนิดโดยการใช้ถุงยางอนามัยด้วย): ข้อนี้ไม่ใช่คำตอบที่ถูกต้องสำหรับภาวะ Oral contraceptive เนื่องจากกลไกการออกฤทธิ์, efficacy หรือข้อบ่งใช้ไม่ตรงกับโจทย์ที่กำหนด
• ข้อ ข. (2-3 แผงแรกของการรับประทานยาคุม อาจมีอาการคลื่นไส้อาเจียน จากนั้นอาการจะทุเลาลงเอง): ข้อนี้ไม่ใช่คำตอบที่ถูกต้องสำหรับภาวะ Oral contraceptive เนื่องจากกลไกการออกฤทธิ์, efficacy หรือข้อบ่งใช้ไม่ตรงกับโจทย์ที่กำหนด
• ข้อ ง. (การรับประทานยาคุมกำเนิด ควรเริ่มรับประทานในวันที่ 1-5 ของการมีประจำเดือน): ข้อนี้ไม่ใช่คำตอบที่ถูกต้องสำหรับภาวะ Oral contraceptive เนื่องจากกลไกการออกฤทธิ์, efficacy หรือข้อบ่งใช้ไม่ตรงกับโจทย์ที่กำหนด
• ข้อ จ. (หากลืมรับประทานยาคุมกำเนิดติดต่อกันเกิน 2 เม็ด ควรหยุดยาใช้คุมกำเนิดแผงนั้นและใช้วิธีการคุมกำเนิดแบบอื่น):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6" s="2" t="n"/>
      <c r="L26" s="2" t="inlineStr">
        <is>
          <t>Oral contraceptive</t>
        </is>
      </c>
      <c r="M26" s="2" t="inlineStr">
        <is>
          <t>Clinic</t>
        </is>
      </c>
      <c r="N26" s="2" t="inlineStr">
        <is>
          <t>ข้อ 24 Pharma Plus เล่มม่วง (เฉลยข้อ ค)</t>
        </is>
      </c>
      <c r="O26" s="2" t="inlineStr">
        <is>
          <t>Mock</t>
        </is>
      </c>
      <c r="P26" s="2" t="inlineStr">
        <is>
          <t>Pharma Plus เล่มม่วง</t>
        </is>
      </c>
    </row>
    <row r="27" ht="13.2" customHeight="1" s="37">
      <c r="A27" s="8" t="inlineStr">
        <is>
          <t>25</t>
        </is>
      </c>
      <c r="B27" s="2" t="inlineStr">
        <is>
          <t>สถานการณ์ที่ 2 หญิงอายุ 55 ปี มีอาการร้อนวูบวาบ คันช่องคลอด หงุดหงิดง่าย นอนไม่ค่อยหลับ เหงื่อออกตอนกลางคืน ไปพบแพทย์แล้วได้รับยาสูตรผสมซึ่งมีองค์ประกอบของ estradiol valerate 2 mg + norgestrel 0.5 mg
ข้อใดเป็นข้อดีที่เหนือกว่าของยาสูตรผสมที่ผู้ป่วยได้รับเมื่อเปรียบเทียบกับยาฮอร์โมนเดี่ยว</t>
        </is>
      </c>
      <c r="C27" s="2" t="n"/>
      <c r="D27" s="2" t="inlineStr">
        <is>
          <t>จะช่วยให้ผลดีต่อระบบหัวใจและหลอดเลือด</t>
        </is>
      </c>
      <c r="E27" s="2" t="inlineStr">
        <is>
          <t>จะช่วยทำให้ไม่มีเลือดออกจากช่องคลอด</t>
        </is>
      </c>
      <c r="F27" s="2" t="inlineStr">
        <is>
          <t>จะช่วยลดความเสี่ยงของการเป็นมะเร็งเยื่อบุมดลูก</t>
        </is>
      </c>
      <c r="G27" s="2" t="inlineStr">
        <is>
          <t>จะช่วยลดความเสี่ยงของการเกิดมะเร็งเต้านม</t>
        </is>
      </c>
      <c r="H27" s="2" t="inlineStr">
        <is>
          <t>จะช่วยลดความเสี่ยงของการเกิดมะเร็งปากมดลูก</t>
        </is>
      </c>
      <c r="I27" s="8" t="inlineStr">
        <is>
          <t>3</t>
        </is>
      </c>
      <c r="J27" s="2" t="inlineStr">
        <is>
          <t>✅ คำตอบที่ถูกต้อง: ข้อ ค. จะช่วยลดความเสี่ยงของการเป็นมะเร็งเยื่อบุมดลูก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จะช่วยลดความเสี่ยงของการเป็นมะเร็งเยื่อบุมดลูก ในสตรีวัยทองที่มีมดลูก การใช้ฮอร์โมนเอสโตรเจนเดี่ยวจะเพิ่มความเสี่ยงในการเกิดมะเร็งเยื่อบุมดลูก (Endometrial hyperplasia/cancer) การเติมโปรเจสโตเจน (norgestrel) เข้าไปในรูปแบบยาผสม (Combination HRT) จึงช่วยป้องกันและลดความเสี่ยงของมะเร็งเยื่อบุมดลูกได้อย่างมีนัยสำคัญ
🔍 ข้ออื่นผิดเพราะอะไร:
• ข้อ ก. (จะช่วยให้ผลดีต่อระบบหัวใจและหลอดเลือด): ข้อนี้ไม่ใช่คำตอบที่ถูกต้องสำหรับภาวะ Oral contraceptive เนื่องจากกลไกการออกฤทธิ์, efficacy หรือข้อบ่งใช้ไม่ตรงกับโจทย์ที่กำหนด
• ข้อ ข. (จะช่วยทำให้ไม่มีเลือดออกจากช่องคลอด): ข้อนี้ไม่ใช่คำตอบที่ถูกต้องสำหรับภาวะ Oral contraceptive เนื่องจากกลไกการออกฤทธิ์, efficacy หรือข้อบ่งใช้ไม่ตรงกับโจทย์ที่กำหนด
• ข้อ ง. (จะช่วยลดความเสี่ยงของการเกิดมะเร็งเต้านม): ข้อนี้ไม่ใช่คำตอบที่ถูกต้องสำหรับภาวะ Oral contraceptive เนื่องจากกลไกการออกฤทธิ์, efficacy หรือข้อบ่งใช้ไม่ตรงกับโจทย์ที่กำหนด
• ข้อ จ. (จะช่วยลดความเสี่ยงของการเกิดมะเร็งปากมดลูก):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7" s="2" t="n"/>
      <c r="L27" s="2" t="inlineStr">
        <is>
          <t>Oral contraceptive</t>
        </is>
      </c>
      <c r="M27" s="2" t="inlineStr">
        <is>
          <t>Clinic</t>
        </is>
      </c>
      <c r="N27" s="2" t="inlineStr">
        <is>
          <t>ข้อ 25 Pharma Plus เล่มม่วง (เฉลยข้อ ค)</t>
        </is>
      </c>
      <c r="O27" s="2" t="inlineStr">
        <is>
          <t>Mock</t>
        </is>
      </c>
      <c r="P27" s="2" t="inlineStr">
        <is>
          <t>Pharma Plus เล่มม่วง</t>
        </is>
      </c>
    </row>
    <row r="28" ht="13.2" customHeight="1" s="37">
      <c r="A28" s="8" t="inlineStr">
        <is>
          <t>26</t>
        </is>
      </c>
      <c r="B28" s="2" t="inlineStr">
        <is>
          <t>ต่อมาเนื่องจากผู้ป่วยลืมรับประทานยาบ่อย ๆ แพทย์จึงต้องการทราบข้อมูลเกี่ยวกับยาแผ่นแปะ (transdermal patch) ว่ามีข้อดีที่เหนือกว่าการรับประทานอย่างไร</t>
        </is>
      </c>
      <c r="C28" s="2" t="n"/>
      <c r="D28" s="2" t="inlineStr">
        <is>
          <t>การให้แบบแผ่นแปะไม่มี first pass metabolism ที่ตับ</t>
        </is>
      </c>
      <c r="E28" s="2" t="inlineStr">
        <is>
          <t>การให้แบบแผ่นแปะจะมีผลการดูดซึมที่ดีกว่าแบบรับประทาน</t>
        </is>
      </c>
      <c r="F28" s="2" t="inlineStr">
        <is>
          <t>การให้แบบแผ่นแปะจะมีผลการรักษาอาการร้อนวูบวาบได้ดีกว่า</t>
        </is>
      </c>
      <c r="G28" s="2" t="inlineStr">
        <is>
          <t>การให้แบบแผ่นแปะจะมีผลการรักษาช่องคลอดแห้งได้ดีกว่า</t>
        </is>
      </c>
      <c r="H28" s="2" t="inlineStr">
        <is>
          <t>การให้แบบแผ่นแปะจะมีผลการรักษา osteoporosis ดีกว่า</t>
        </is>
      </c>
      <c r="I28" s="8" t="inlineStr">
        <is>
          <t>1</t>
        </is>
      </c>
      <c r="J28" s="2" t="inlineStr">
        <is>
          <t>✅ คำตอบที่ถูกต้อง: ข้อ ก. การให้แบบแผ่นแปะไม่มี first pass metabolism ที่ตับ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การให้แบบแผ่นแปะไม่มี first pass metabolism ที่ตับ ยาฮอร์โมนทดแทนชนิดแผ่นแปะผิวหนัง (transdermal patch) มีข้อดีสำคัญคือหลีกเลี่ยงกระบวนการ first-pass metabolism ที่ตับ ทำให้ระดับยาในกระแสเลือดคงที่และใช้ขนาด on ยาต่ำกว่าแบบรับประทาน
🔍 ข้ออื่นผิดเพราะอะไร:
• ข้อ ข. (การให้แบบแผ่นแปะจะมีผลการดูดซึมที่ดีกว่าแบบรับประทาน): ข้อนี้ไม่ใช่คำตอบที่ถูกต้องสำหรับภาวะ Oral contraceptive เนื่องจากกลไกการออกฤทธิ์, efficacy หรือข้อบ่งใช้ไม่ตรงกับโจทย์ที่กำหนด
• ข้อ ค. (การให้แบบแผ่นแปะจะมีผลการรักษาอาการร้อนวูบวาบได้ดีกว่า): ข้อนี้ไม่ใช่คำตอบที่ถูกต้องสำหรับภาวะ Oral contraceptive เนื่องจากกลไกการออกฤทธิ์, efficacy หรือข้อบ่งใช้ไม่ตรงกับโจทย์ที่กำหนด
• ข้อ ง. (การให้แบบแผ่นแปะจะมีผลการรักษาช่องคลอดแห้งได้ดีกว่า): ข้อนี้ไม่ใช่คำตอบที่ถูกต้องสำหรับภาวะ Oral contraceptive เนื่องจากกลไกการออกฤทธิ์, efficacy หรือข้อบ่งใช้ไม่ตรงกับโจทย์ที่กำหนด
• ข้อ จ. (การให้แบบแผ่นแปะจะมีผลการรักษา osteoporosis ดีกว่า):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2" t="n"/>
      <c r="L28" s="2" t="inlineStr">
        <is>
          <t>Oral contraceptive</t>
        </is>
      </c>
      <c r="M28" s="2" t="inlineStr">
        <is>
          <t>Clinic</t>
        </is>
      </c>
      <c r="N28" s="2" t="inlineStr">
        <is>
          <t>ข้อ 26 Pharma Plus เล่มม่วง (เฉลยข้อ ก)</t>
        </is>
      </c>
      <c r="O28" s="2" t="inlineStr">
        <is>
          <t>Mock</t>
        </is>
      </c>
      <c r="P28" s="2" t="inlineStr">
        <is>
          <t>Pharma Plus เล่มม่วง</t>
        </is>
      </c>
    </row>
    <row r="29" ht="13.2" customHeight="1" s="37">
      <c r="A29" s="8" t="inlineStr">
        <is>
          <t>27</t>
        </is>
      </c>
      <c r="B29" s="2" t="inlineStr">
        <is>
          <t>สำหรับผู้ป่วยที่ตัดมดลูก ควรใช้ฮอร์โมนทดแทนแบบใด</t>
        </is>
      </c>
      <c r="C29" s="2" t="n"/>
      <c r="D29" s="2" t="inlineStr">
        <is>
          <t>Estradiol valerate 2 mg + norgestrel 0.5 mg</t>
        </is>
      </c>
      <c r="E29" s="2" t="inlineStr">
        <is>
          <t>Medroxyprogesterone acetate 5 mg</t>
        </is>
      </c>
      <c r="F29" s="2" t="inlineStr">
        <is>
          <t>Ethynyl estradiol 30 mcg + cyproterone acetate 2 mg</t>
        </is>
      </c>
      <c r="G29" s="2" t="inlineStr">
        <is>
          <t>Conjugated estrogen 0.625 mg</t>
        </is>
      </c>
      <c r="H29" s="2" t="inlineStr">
        <is>
          <t>Conjugated estrogen 0.625 mg + medroxyprogesterone 5 mg</t>
        </is>
      </c>
      <c r="I29" s="8" t="inlineStr">
        <is>
          <t>4</t>
        </is>
      </c>
      <c r="J29" s="2" t="inlineStr">
        <is>
          <t>✅ คำตอบที่ถูกต้อง: ข้อ ง. Conjugated estrogen 0.625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Conjugated estrogen 0.625 mg ผู้ป่วยที่ได้รับการตัดมดลูกแล้ว (Hysterectomy) ไม่มีความจำเป็นต้องได้รับฮอร์โมนโปรเจสตินร่วมด้วยเพื่อป้องกันเยื่อบุโพรงมดลูกหนาตัวหรือมะเร็งเยื่อบุโพรงมดลูก จึงสามารถใช้เอสโตรเจนเดี่ยว (Unopposed estrogen เช่น Conjugated estrogen 0.625 mg) ได้อย่างปลอดภัย
🔍 ข้ออื่นผิดเพราะอะไร:
• ข้อ ก. (Estradiol valerate 2 mg + norgestrel 0.5 mg): ข้อนี้ไม่ใช่คำตอบที่ถูกต้องสำหรับภาวะ Oral contraceptive เนื่องจากกลไกการออกฤทธิ์, efficacy หรือข้อบ่งใช้ไม่ตรงกับโจทย์ที่กำหนด
• ข้อ ข. (Medroxyprogesterone acetate 5 mg): ข้อนี้ไม่ใช่คำตอบที่ถูกต้องสำหรับภาวะ Oral contraceptive เนื่องจากกลไกการออกฤทธิ์, efficacy หรือข้อบ่งใช้ไม่ตรงกับโจทย์ที่กำหนด
• ข้อ ค. (Ethynyl estradiol 30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(Conjugated estrogen 0.625 mg + medroxyprogesterone 5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9" s="2" t="n"/>
      <c r="L29" s="2" t="inlineStr">
        <is>
          <t>Oral contraceptive</t>
        </is>
      </c>
      <c r="M29" s="2" t="inlineStr">
        <is>
          <t>Clinic</t>
        </is>
      </c>
      <c r="N29" s="2" t="inlineStr">
        <is>
          <t>ข้อ 27 Pharma Plus เล่มม่วง (เฉลยข้อ ง)</t>
        </is>
      </c>
      <c r="O29" s="2" t="inlineStr">
        <is>
          <t>Mock</t>
        </is>
      </c>
      <c r="P29" s="2" t="inlineStr">
        <is>
          <t>Pharma Plus เล่มม่วง</t>
        </is>
      </c>
    </row>
    <row r="30" ht="13.2" customHeight="1" s="37">
      <c r="A30" s="8" t="inlineStr">
        <is>
          <t>28</t>
        </is>
      </c>
      <c r="B30" s="2" t="inlineStr">
        <is>
          <t>ข้อใดเป็นอาการไม่พึงประสงค์ที่ร้ายแรงของยาที่เลือกใช้ในข้อ 27</t>
        </is>
      </c>
      <c r="C30" s="2" t="n"/>
      <c r="D30" s="2" t="inlineStr">
        <is>
          <t>Hyperlipidemia</t>
        </is>
      </c>
      <c r="E30" s="2" t="inlineStr">
        <is>
          <t>Osteoporosis</t>
        </is>
      </c>
      <c r="F30" s="2" t="inlineStr">
        <is>
          <t>Hyperbilirubinemia</t>
        </is>
      </c>
      <c r="G30" s="2" t="inlineStr">
        <is>
          <t>Congestive heart failure</t>
        </is>
      </c>
      <c r="H30" s="2" t="inlineStr">
        <is>
          <t>Thromboembolism</t>
        </is>
      </c>
      <c r="I30" s="8" t="inlineStr">
        <is>
          <t>5</t>
        </is>
      </c>
      <c r="J30" s="2" t="inlineStr">
        <is>
          <t>✅ คำตอบที่ถูกต้อง: ข้อ จ. Thromboembolism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Thromboembolism การใช้ฮอร์โมนเอสโตรเจนมีความเสี่ยงที่สำคัญและรุนแรงคือ การเกิดภาวะลิ่มเลือดอุดตันในหลอดเลือด (Thromboembolism / DVT / PE) โดยเฉพาะในรูปแบบรับประทาน
🔍 ข้ออื่นผิดเพราะอะไร:
• ข้อ ก. (Hyperlipidemia): ข้อนี้ไม่ใช่คำตอบที่ถูกต้องสำหรับภาวะ Oral contraceptive เนื่องจากกลไกการออกฤทธิ์, efficacy หรือข้อบ่งใช้ไม่ตรงกับโจทย์ที่กำหนด
• ข้อ ข. (Osteoporosis): ข้อนี้ไม่ใช่คำตอบที่ถูกต้องสำหรับภาวะ Oral contraceptive เนื่องจากกลไกการออกฤทธิ์, efficacy หรือข้อบ่งใช้ไม่ตรงกับโจทย์ที่กำหนด
• ข้อ ค. (Hyperbilirubinemia): ข้อนี้ไม่ใช่คำตอบที่ถูกต้องสำหรับภาวะ Oral contraceptive เนื่องจากกลไกการออกฤทธิ์, efficacy หรือข้อบ่งใช้ไม่ตรงกับโจทย์ที่กำหนด
• ข้อ ง. (Congestive heart failure):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0" s="2" t="n"/>
      <c r="L30" s="2" t="inlineStr">
        <is>
          <t>Oral contraceptive</t>
        </is>
      </c>
      <c r="M30" s="2" t="inlineStr">
        <is>
          <t>Clinic</t>
        </is>
      </c>
      <c r="N30" s="2" t="inlineStr">
        <is>
          <t>ข้อ 28 Pharma Plus เล่มม่วง (เฉลยข้อ จ)</t>
        </is>
      </c>
      <c r="O30" s="2" t="inlineStr">
        <is>
          <t>Mock</t>
        </is>
      </c>
      <c r="P30" s="2" t="inlineStr">
        <is>
          <t>Pharma Plus เล่มม่วง</t>
        </is>
      </c>
    </row>
    <row r="31" ht="13.2" customHeight="1" s="37">
      <c r="A31" s="8" t="inlineStr">
        <is>
          <t>29</t>
        </is>
      </c>
      <c r="B31"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ข้อใดต่อไปนี้ไม่ใช่ลักษณะอาการของ primary dysmenorrhea</t>
        </is>
      </c>
      <c r="C31" s="2" t="n"/>
      <c r="D31" s="2" t="inlineStr">
        <is>
          <t>เริ่มมีอาการปวดท้องเมื่ออายุ 27 ปี</t>
        </is>
      </c>
      <c r="E31" s="2" t="inlineStr">
        <is>
          <t>ปวดบิดเป็นพัก ๆ ที่บริเวณท้องน้อย</t>
        </is>
      </c>
      <c r="F31" s="2" t="inlineStr">
        <is>
          <t>ปวดท้องก่อนมีประจำเดือนไม่กี่ชม.</t>
        </is>
      </c>
      <c r="G31" s="2" t="inlineStr">
        <is>
          <t>ปวดท้องตลอดช่วง 2-3 วันแรกของการมีประจำเดือน</t>
        </is>
      </c>
      <c r="H31" s="2" t="inlineStr">
        <is>
          <t>อาการปวดท้องดีขึ้นเมื่อรับประทานยา paracetamol หรือ ibuprofen</t>
        </is>
      </c>
      <c r="I31" s="8" t="inlineStr">
        <is>
          <t>1</t>
        </is>
      </c>
      <c r="J31" s="2" t="inlineStr">
        <is>
          <t>✅ คำตอบที่ถูกต้อง: ข้อ ก. เริ่มมีอาการปวดท้องเมื่ออายุ 27 ปี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เริ่มมีอาการปวดท้องเมื่ออายุ 27 ปี Primary dysmenorrhea มักเริ่มมีอาการตั้งแต่วัยรุ่น (ช่วง 6-12 เดือนแรกหลังมีประจำเดือนครั้งแรก หรือช่วงวัยรุ่นตอนต้น) หากมาเริ่มปวดครั้งแรกตอนอายุมาก (เช่น อายุ 27 ปี) มักสงสัย secondary dysmenorrhea (เช่น endometriosis, adenomyosis)
🔍 ข้ออื่นผิดเพราะอะไร:
• ข้อ ข. (ปวดบิดเป็นพัก ๆ ที่บริเวณท้องน้อย): ข้อนี้ไม่ใช่คำตอบที่ถูกต้องสำหรับภาวะ Dysmenorrhea เนื่องจากกลไกการออกฤทธิ์, efficacy หรือข้อบ่งใช้ไม่ตรงกับโจทย์ที่กำหนด
• ข้อ ค. (ปวดท้องก่อนมีประจำเดือนไม่กี่ชม.): ข้อนี้ไม่ใช่คำตอบที่ถูกต้องสำหรับภาวะ Dysmenorrhea เนื่องจากกลไกการออกฤทธิ์, efficacy หรือข้อบ่งใช้ไม่ตรงกับโจทย์ที่กำหนด
• ข้อ ง. (ปวดท้องตลอดช่วง 2-3 วันแรกของการมีประจำเดือน): ข้อนี้ไม่ใช่คำตอบที่ถูกต้องสำหรับภาวะ Dysmenorrhea เนื่องจากกลไกการออกฤทธิ์, efficacy หรือข้อบ่งใช้ไม่ตรงกับโจทย์ที่กำหนด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 s="2" t="n"/>
      <c r="L31" s="2" t="inlineStr">
        <is>
          <t>Dysmenorrhea</t>
        </is>
      </c>
      <c r="M31" s="2" t="inlineStr">
        <is>
          <t>Clinic</t>
        </is>
      </c>
      <c r="N31" s="2" t="inlineStr">
        <is>
          <t>ข้อ 29 Pharma Plus เล่มม่วง (เฉลยข้อ ก จ)</t>
        </is>
      </c>
      <c r="O31" s="2" t="inlineStr">
        <is>
          <t>Mock</t>
        </is>
      </c>
      <c r="P31" s="2" t="inlineStr">
        <is>
          <t>Pharma Plus เล่มม่วง</t>
        </is>
      </c>
    </row>
    <row r="32" ht="13.2" customHeight="1" s="37">
      <c r="A32" s="8" t="inlineStr">
        <is>
          <t>30</t>
        </is>
      </c>
      <c r="B32"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เภสัชกรไม่ควรให้คำแนะนำข้อใดแก่ผู้ป่วยรายนี้</t>
        </is>
      </c>
      <c r="C32" s="2" t="n"/>
      <c r="D32" s="2" t="inlineStr">
        <is>
          <t>ประคบบริเวณท้องน้อยด้วยถุงน้ำร้อนเพื่อช่วยบรรเทาและอาการปวดท้อง</t>
        </is>
      </c>
      <c r="E32" s="2" t="inlineStr">
        <is>
          <t>ควรนอนพักผ่อนมาก ๆ ระหว่างมีประจำเดือน</t>
        </is>
      </c>
      <c r="F32" s="2" t="inlineStr">
        <is>
          <t>ควรรับประทานยา ibuprofen หลังอาหารทันที</t>
        </is>
      </c>
      <c r="G32" s="2" t="inlineStr">
        <is>
          <t>สามารถรับประทานยา ibuprofen ก่อนมีอาการปวดเพื่อป้องกันได้</t>
        </is>
      </c>
      <c r="H32" s="2" t="inlineStr">
        <is>
          <t>หลีกเลี่ยงเครื่องดื่มที่มีแอลกอฮอล์ระหว่างรับประทานยา ibuprofen</t>
        </is>
      </c>
      <c r="I32" s="8" t="inlineStr">
        <is>
          <t>5</t>
        </is>
      </c>
      <c r="J32" s="2" t="inlineStr">
        <is>
          <t>✅ คำตอบที่ถูกต้อง: ข้อ จ. หลีกเลี่ยงเครื่องดื่มที่มีแอลกอฮอล์ระหว่างรับประทานยา ibuprofen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หลีกเลี่ยงเครื่องดื่มที่มีแอลกอฮอล์ระหว่างรับประทานยา ibuprofen ยา NSAIDs เช่น ibuprofen ควรรับประทานเมื่อเริ่มมีอาการปวดหรือก่อนมีประจำเดือนเล็กน้อยเพื่อยับยั้งการสร้าง Prostaglandins แต่การแนะนำให้รับประทานยาวันละ 3 เวลาตามรอบเวลา (TID) โดยที่ยังไม่ปวดอาจไม่จำเป็นและเพิ่มความเสี่ยง GI side effects; อย่างไรก็ดี การรับประทานยาหลังอาหารเพื่อลดระคายเคืองกระเพาะอาหารและการประคบร้อนเป็นคำแนะนำที่ถูกต้อง
🔍 ข้ออื่นผิดเพราะอะไร:
• ข้อ ก. (ประคบบริเวณท้องน้อยด้วยถุงน้ำร้อนเพื่อช่วยบรรเทาและอาการปวดท้อง): ข้อนี้ไม่ใช่คำตอบที่ถูกต้องสำหรับภาวะ Dysmenorrhea เนื่องจากกลไกการออกฤทธิ์, efficacy หรือข้อบ่งใช้ไม่ตรงกับโจทย์ที่กำหนด
• ข้อ ข. (ควรนอนพักผ่อนมาก ๆ ระหว่างมีประจำเดือน): ข้อนี้ไม่ใช่คำตอบที่ถูกต้องสำหรับภาวะ Dysmenorrhea เนื่องจากกลไกการออกฤทธิ์, efficacy หรือข้อบ่งใช้ไม่ตรงกับโจทย์ที่กำหนด
• ข้อ ค. (ควรรับประทานยา ibuprofen หลังอาหารทันที):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(สามารถรับประทานยา ibuprofen ก่อนมีอาการปวดเพื่อป้องกันได้):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2" s="2" t="n"/>
      <c r="L32" s="2" t="inlineStr">
        <is>
          <t>Dysmenorrhea</t>
        </is>
      </c>
      <c r="M32" s="2" t="inlineStr">
        <is>
          <t>Clinic</t>
        </is>
      </c>
      <c r="N32" s="2" t="inlineStr">
        <is>
          <t>ข้อ 30 Pharma Plus เล่มม่วง (เฉลยข้อ จ)</t>
        </is>
      </c>
      <c r="O32" s="2" t="inlineStr">
        <is>
          <t>Mock</t>
        </is>
      </c>
      <c r="P32" s="2" t="inlineStr">
        <is>
          <t>Pharma Plus เล่มม่วง</t>
        </is>
      </c>
    </row>
    <row r="33" ht="13.2" customHeight="1" s="37">
      <c r="A33" s="8" t="inlineStr">
        <is>
          <t>31</t>
        </is>
      </c>
      <c r="B33"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ยา ibuprofen ออกฤทธิ์ยับยั้งการสร้างสารใดในร่างกายซึ่งมีผลระงับอาการปวดได้</t>
        </is>
      </c>
      <c r="C33" s="2" t="n"/>
      <c r="D33" s="2" t="inlineStr">
        <is>
          <t>Serotonin</t>
        </is>
      </c>
      <c r="E33" s="2" t="inlineStr">
        <is>
          <t>Prostaglandin</t>
        </is>
      </c>
      <c r="F33" s="2" t="inlineStr">
        <is>
          <t>Cyclo-oxygenase</t>
        </is>
      </c>
      <c r="G33" s="2" t="inlineStr">
        <is>
          <t>Leukotriene</t>
        </is>
      </c>
      <c r="H33" s="2" t="inlineStr">
        <is>
          <t>Thromboxane</t>
        </is>
      </c>
      <c r="I33" s="8" t="inlineStr">
        <is>
          <t>2</t>
        </is>
      </c>
      <c r="J33" s="2" t="inlineStr">
        <is>
          <t>✅ คำตอบที่ถูกต้อง: ข้อ ข. Prostaglandin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Prostaglandin Ibuprofen เป็นยาในกลุ่ม NSAIDs ออกฤทธิ์ยับยั้งเอนไซม์ cyclooxygenase (COX) ส่งผลให้การสร้าง Prostaglandins (ซึ่งเป็นสาเหตุหลักของการบีบตัวของมดลูกและอาการปวดประจำเดือน) ลดลง
🔍 ข้ออื่นผิดเพราะอะไร:
• ข้อ ก. (Serotonin): ข้อนี้ไม่ใช่คำตอบที่ถูกต้องสำหรับภาวะ Dysmenorrhea เนื่องจากกลไกการออกฤทธิ์, efficacy หรือข้อบ่งใช้ไม่ตรงกับโจทย์ที่กำหนด
• ข้อ ค. (Cyclo-oxygenase): ข้อนี้ไม่ใช่คำตอบที่ถูกต้องสำหรับภาวะ Dysmenorrhea เนื่องจากกลไกการออกฤทธิ์, efficacy หรือข้อบ่งใช้ไม่ตรงกับโจทย์ที่กำหนด
• ข้อ ง. (Leukotriene): ข้อนี้ไม่ใช่คำตอบที่ถูกต้องสำหรับภาวะ Dysmenorrhea เนื่องจากกลไกการออกฤทธิ์, efficacy หรือข้อบ่งใช้ไม่ตรงกับโจทย์ที่กำหนด
• ข้อ จ. (Thromboxane): ข้อนี้ไม่ใช่คำตอบที่ถูกต้องสำหรับภาวะ Dysmenorrhea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3" s="2" t="n"/>
      <c r="L33" s="2" t="inlineStr">
        <is>
          <t>Dysmenorrhea</t>
        </is>
      </c>
      <c r="M33" s="2" t="inlineStr">
        <is>
          <t>Clinic</t>
        </is>
      </c>
      <c r="N33" s="2" t="inlineStr">
        <is>
          <t>ข้อ 31 Pharma Plus เล่มม่วง (เฉลยข้อ ข)</t>
        </is>
      </c>
      <c r="O33" s="2" t="inlineStr">
        <is>
          <t>Mock</t>
        </is>
      </c>
      <c r="P33" s="2" t="inlineStr">
        <is>
          <t>Pharma Plus เล่มม่วง</t>
        </is>
      </c>
    </row>
    <row r="34" ht="13.2" customHeight="1" s="37">
      <c r="A34" s="8" t="inlineStr">
        <is>
          <t>32</t>
        </is>
      </c>
      <c r="B34" s="2" t="inlineStr">
        <is>
          <t>หากผู้ป่วยรายนี้รับประทานยา ibuprofen แล้วประมาณ 1 ชม. ยังมีอาการปวด จะแนะนำยาชนิดใดเพื่อเสริมฤทธิ์แก้ปวดท้อง</t>
        </is>
      </c>
      <c r="C34" s="2" t="n"/>
      <c r="D34" s="2" t="inlineStr">
        <is>
          <t>Mefenamic acid</t>
        </is>
      </c>
      <c r="E34" s="2" t="inlineStr">
        <is>
          <t>Hyoscine-n-butyl bromide</t>
        </is>
      </c>
      <c r="F34" s="2" t="inlineStr">
        <is>
          <t>Estradiol+ levonorgertrel</t>
        </is>
      </c>
      <c r="G34" s="2" t="inlineStr">
        <is>
          <t>Orphenadrine</t>
        </is>
      </c>
      <c r="H34" s="2" t="inlineStr">
        <is>
          <t>Tolperisone</t>
        </is>
      </c>
      <c r="I34" s="8" t="inlineStr">
        <is>
          <t>2</t>
        </is>
      </c>
      <c r="J34" s="2" t="inlineStr">
        <is>
          <t>✅ คำตอบที่ถูกต้อง: ข้อ ข. Hyoscine-n-butyl bromide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Hyoscine-n-butyl bromide การรักษาอาการปวดประจำเดือน (Dysmenorrhea) ที่ใช้ NSAIDs (เช่น Ibuprofen) แล้วยังปวด อาจพิจารณาเสริมยาคลายกล้ามเนื้อเรียบ เช่น Hyoscine-n-butyl bromide เพื่อช่วยลดอาการเกร็งของมดลูก
🔍 ข้ออื่นผิดเพราะอะไร:
• ข้อ ก. (Mefenamic acid): ข้อนี้ไม่ใช่คำตอบที่ถูกต้องสำหรับภาวะ Dysmenorrhea เนื่องจากกลไกการออกฤทธิ์, efficacy หรือข้อบ่งใช้ไม่ตรงกับโจทย์ที่กำหนด
• ข้อ ค. (Estradiol+ levonorgertrel): ข้อนี้ไม่ใช่คำตอบที่ถูกต้องสำหรับภาวะ Dysmenorrhea เนื่องจากกลไกการออกฤทธิ์, efficacy หรือข้อบ่งใช้ไม่ตรงกับโจทย์ที่กำหนด
• ข้อ ง. (Orphenadrine): ข้อนี้ไม่ใช่คำตอบที่ถูกต้องสำหรับภาวะ Dysmenorrhea เนื่องจากกลไกการออกฤทธิ์, efficacy หรือข้อบ่งใช้ไม่ตรงกับโจทย์ที่กำหนด
• ข้อ จ. (Tolperisone): ข้อนี้ไม่ใช่คำตอบที่ถูกต้องสำหรับภาวะ Dysmenorrhea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4" s="2" t="n"/>
      <c r="L34" s="2" t="inlineStr">
        <is>
          <t>Dysmenorrhea</t>
        </is>
      </c>
      <c r="M34" s="2" t="inlineStr">
        <is>
          <t>Clinic</t>
        </is>
      </c>
      <c r="N34" s="2" t="inlineStr">
        <is>
          <t>ข้อ 32 Pharma Plus เล่มม่วง (เฉลยข้อ ข)</t>
        </is>
      </c>
      <c r="O34" s="2" t="inlineStr">
        <is>
          <t>Mock</t>
        </is>
      </c>
      <c r="P34" s="2" t="inlineStr">
        <is>
          <t>Pharma Plus เล่มม่วง</t>
        </is>
      </c>
    </row>
    <row r="35" ht="13.2" customHeight="1" s="37">
      <c r="A35" s="8" t="inlineStr">
        <is>
          <t>33</t>
        </is>
      </c>
      <c r="B35" s="2" t="inlineStr">
        <is>
          <t>ยาใดที่ไม่สามารถใช้รักษาอาการปวดประจำเดือน</t>
        </is>
      </c>
      <c r="C35" s="2" t="n"/>
      <c r="D35" s="2" t="inlineStr">
        <is>
          <t>Aspirin</t>
        </is>
      </c>
      <c r="E35" s="2" t="inlineStr">
        <is>
          <t>Colchicine</t>
        </is>
      </c>
      <c r="F35" s="2" t="inlineStr">
        <is>
          <t>Naproxen</t>
        </is>
      </c>
      <c r="G35" s="2" t="inlineStr">
        <is>
          <t>Celecoxib</t>
        </is>
      </c>
      <c r="H35" s="2" t="inlineStr">
        <is>
          <t>Mefenamic acid</t>
        </is>
      </c>
      <c r="I35" s="8" t="inlineStr">
        <is>
          <t>2</t>
        </is>
      </c>
      <c r="J35" s="2" t="inlineStr">
        <is>
          <t>✅ คำตอบที่ถูกต้อง: ข้อ ข. Colchicine
💡 Background:
การบริบาลผู้ป่วยในกลุ่มโรค Dysmenorrhea มุ่งเน้นการควบคุมโรคและลดความเสี่ยงต่อภาวะแทรกซ้อนด้วย evidence-based pharmacotherapy
🎯 ทำไมข้อนี้ถึงถูก:
Colchicine เป็นยารักษาและป้องกันโรคเกาต์ (Gout) ไม่มีฤทธิ์ยับยั้ง Prostaglandins จึงไม่สามารถใช้รักษาอาการปวดประจำเดือนได้ ต่างจากกลุ่ม NSAIDs เช่น Aspirin, Naproxen, Celecoxib และ Mefenamic acid
🔍 ข้ออื่นผิดเพราะอะไร:
• ข้อ ก. (Aspirin): เป็น irreversible COX-1 inhibitor ยับยั้ง Thromboxane A2 เป็นแกนหลักใน antiplatelet secondary prevention ของ CVD (ขนาดยา 75-100 mg/day)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(Mefenamic acid): ข้อนี้ไม่ใช่คำตอบที่ถูกต้องสำหรับภาวะ Dysmenorrhea เนื่องจากกลไกการออกฤทธิ์, efficacy หรือข้อบ่งใช้ไม่ตรงกับโจทย์ที่กำหนด
📖 Guideline อ้างอิง:
[NEED_REVIEW]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5" s="2" t="n"/>
      <c r="L35" s="2" t="inlineStr">
        <is>
          <t>Dysmenorrhea</t>
        </is>
      </c>
      <c r="M35" s="2" t="inlineStr">
        <is>
          <t>Clinic</t>
        </is>
      </c>
      <c r="N35" s="2" t="inlineStr">
        <is>
          <t>ข้อ 33 Pharma Plus เล่มม่วง (เฉลยข้อ ข)</t>
        </is>
      </c>
      <c r="O35" s="2" t="inlineStr">
        <is>
          <t>Mock</t>
        </is>
      </c>
      <c r="P35" s="2" t="inlineStr">
        <is>
          <t>Pharma Plus เล่มม่วง</t>
        </is>
      </c>
    </row>
    <row r="36" ht="13.2" customHeight="1" s="37">
      <c r="A36" s="8" t="inlineStr">
        <is>
          <t>34</t>
        </is>
      </c>
      <c r="B36" s="2" t="inlineStr">
        <is>
          <t>เด็กหญิงอายุ 15 ปี รอบเดือน 28 วัน มาตรงทุกเดือน ในคืนวันที่ 5 ก.พ. ซึ่งเป็นวันที่ 4 ของรอบเดือน มีเพศสัมพันธ์กับแฟน โดยไม่ได้ใช้ถุงยางอนามัย เช้าวันที่ 6 ก.พ. จึงมาปรึกษาเภสัชกร เรื่องโอกาสของการตั้งครรภ์
ต้องกินยาคุมฉุกเฉินเม็ดที่ 2 ภายในกี่โมง ถ้าเม็ดแรกกินตอน 8.00 น. ของ 6 ก.พ. 53</t>
        </is>
      </c>
      <c r="C36" s="2" t="n"/>
      <c r="D36" s="2" t="inlineStr">
        <is>
          <t>12.00 น. ของ 6 ก.พ. 53</t>
        </is>
      </c>
      <c r="E36" s="2" t="inlineStr">
        <is>
          <t>20.00 น. ของ 6 ก.พ. 53</t>
        </is>
      </c>
      <c r="F36" s="2" t="inlineStr">
        <is>
          <t>8.00 น. ของ 7 ก.พ. 53</t>
        </is>
      </c>
      <c r="G36" s="2" t="inlineStr">
        <is>
          <t>20.00 น. ของ 7 ก.พ. 53</t>
        </is>
      </c>
      <c r="H36" s="2" t="inlineStr">
        <is>
          <t>8.00 น. ของ 7 ก.พ. 53</t>
        </is>
      </c>
      <c r="I36" s="8" t="inlineStr">
        <is>
          <t>2</t>
        </is>
      </c>
      <c r="J36" s="2" t="inlineStr">
        <is>
          <t>✅ คำตอบที่ถูกต้อง: ข้อ ข. 20.00 น. ของ 6 ก.พ. 53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20.00 น. ของ 6 ก.พ. 53 การรับประทานยาคุมกำเนิดฉุกเฉินแบบ 2 เม็ด (เช่น Levonorgestrel 0.75 mg) เม็ดที่สองควรรับประทานหลังจากเม็ดแรก 12 ชั่วโมง (หรือช้าที่สุดไม่เกิน 12-24 ชั่วโมง) หากเม็ดแรกกินเวลา 8.00 น. เม็ดที่สองจึงควรทานเวลา 20.00 น. ของวันเดียวกัน
🔍 ข้ออื่นผิดเพราะอะไร:
• ข้อ ก. (12.00 น. ของ 6 ก.พ. 53): ข้อนี้ไม่ใช่คำตอบที่ถูกต้องสำหรับภาวะ Oral contraceptive เนื่องจากกลไกการออกฤทธิ์, efficacy หรือข้อบ่งใช้ไม่ตรงกับโจทย์ที่กำหนด
• ข้อ ค. (8.00 น. ของ 7 ก.พ. 53): ข้อนี้ไม่ใช่คำตอบที่ถูกต้องสำหรับภาวะ Oral contraceptive เนื่องจากกลไกการออกฤทธิ์, efficacy หรือข้อบ่งใช้ไม่ตรงกับโจทย์ที่กำหนด
• ข้อ ง. (20.00 น. ของ 7 ก.พ. 53): ข้อนี้ไม่ใช่คำตอบที่ถูกต้องสำหรับภาวะ Oral contraceptive เนื่องจากกลไกการออกฤทธิ์, efficacy หรือข้อบ่งใช้ไม่ตรงกับโจทย์ที่กำหนด
• ข้อ จ. (8.00 น. ของ 7 ก.พ. 53):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6" s="2" t="n"/>
      <c r="L36" s="2" t="inlineStr">
        <is>
          <t>Oral contraceptive</t>
        </is>
      </c>
      <c r="M36" s="2" t="inlineStr">
        <is>
          <t>Clinic</t>
        </is>
      </c>
      <c r="N36" s="2" t="inlineStr">
        <is>
          <t>ข้อ 34 Pharma Plus เล่มม่วง (เฉลยข้อ ข)</t>
        </is>
      </c>
      <c r="O36" s="2" t="inlineStr">
        <is>
          <t>Mock</t>
        </is>
      </c>
      <c r="P36" s="2" t="inlineStr">
        <is>
          <t>Pharma Plus เล่มม่วง</t>
        </is>
      </c>
    </row>
    <row r="37" ht="13.2" customHeight="1" s="37">
      <c r="A37" s="8" t="inlineStr">
        <is>
          <t>35</t>
        </is>
      </c>
      <c r="B37" s="2" t="inlineStr">
        <is>
          <t>Progestogen only pill คืออะไร</t>
        </is>
      </c>
      <c r="C37" s="2" t="n"/>
      <c r="D37" s="2" t="inlineStr">
        <is>
          <t>Lynestrenol</t>
        </is>
      </c>
      <c r="E37" s="2" t="inlineStr">
        <is>
          <t>Drospirenone</t>
        </is>
      </c>
      <c r="F37" s="2" t="inlineStr">
        <is>
          <t>Norethisterone</t>
        </is>
      </c>
      <c r="G37" s="2" t="inlineStr">
        <is>
          <t>Levonorgestrel</t>
        </is>
      </c>
      <c r="H37" s="2" t="inlineStr">
        <is>
          <t>Gestodene</t>
        </is>
      </c>
      <c r="I37" s="8" t="inlineStr">
        <is>
          <t>1</t>
        </is>
      </c>
      <c r="J37" s="2"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เป็นฮอร์โมนโปรเจสตินเดี่ยว (Progestin-only pill: POP) ที่นิยมใช้สำหรับหญิงให้นมบุตรหรือมี contraindication เอสโตรเจน
🔍 ข้ออื่นผิดเพราะอะไร:
• ข้อ ข. (Drospirenone): ข้อนี้ไม่ใช่คำตอบที่ถูกต้องสำหรับภาวะ Oral contraceptive เนื่องจากกลไกการออกฤทธิ์, efficacy หรือข้อบ่งใช้ไม่ตรงกับโจทย์ที่กำหนด
• ข้อ ค. (Norethisterone): ข้อนี้ไม่ใช่คำตอบที่ถูกต้องสำหรับภาวะ Oral contraceptive เนื่องจากกลไกการออกฤทธิ์, efficacy หรือข้อบ่งใช้ไม่ตรงกับโจทย์ที่กำหนด
• ข้อ ง. (Levonorgestrel): ข้อนี้ไม่ใช่คำตอบที่ถูกต้องสำหรับภาวะ Oral contraceptive เนื่องจากกลไกการออกฤทธิ์, efficacy หรือข้อบ่งใช้ไม่ตรงกับโจทย์ที่กำหนด
• ข้อ จ. (Gestodene):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7" s="2" t="n"/>
      <c r="L37" s="2" t="inlineStr">
        <is>
          <t>Oral contraceptive</t>
        </is>
      </c>
      <c r="M37" s="2" t="inlineStr">
        <is>
          <t>Clinic</t>
        </is>
      </c>
      <c r="N37" s="2" t="inlineStr">
        <is>
          <t>ข้อ 35 Pharma Plus เล่มม่วง (เฉลยข้อ ก)</t>
        </is>
      </c>
      <c r="O37" s="2" t="inlineStr">
        <is>
          <t>Mock</t>
        </is>
      </c>
      <c r="P37" s="2" t="inlineStr">
        <is>
          <t>Pharma Plus เล่มม่วง</t>
        </is>
      </c>
    </row>
    <row r="38" ht="13.2" customHeight="1" s="37">
      <c r="A38" s="8" t="inlineStr">
        <is>
          <t>36</t>
        </is>
      </c>
      <c r="B38" s="2" t="inlineStr">
        <is>
          <t>ข้อใดคืออาการไม่พึงประสงค์ของ progesterone</t>
        </is>
      </c>
      <c r="C38" s="2" t="n"/>
      <c r="D38" s="2" t="inlineStr">
        <is>
          <t>เลือดออกกระบิดกระโปรยว</t>
        </is>
      </c>
      <c r="E38" s="2" t="inlineStr">
        <is>
          <t>น้ำนมไหล</t>
        </is>
      </c>
      <c r="F38" s="2" t="inlineStr">
        <is>
          <t>มูกปากมดลูกเป็นแบบใสๆ</t>
        </is>
      </c>
      <c r="G38" s="2" t="inlineStr">
        <is>
          <t>น้ำหนักลด</t>
        </is>
      </c>
      <c r="H38" s="2" t="inlineStr">
        <is>
          <t>เบื่ออาหาร</t>
        </is>
      </c>
      <c r="I38" s="8" t="inlineStr">
        <is>
          <t>1</t>
        </is>
      </c>
      <c r="J38" s="2" t="inlineStr">
        <is>
          <t>✅ คำตอบที่ถูกต้อง: ข้อ ก. เลือดออกกระบิดกระโปรยว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เลือดออกกระบิดกระโปรยว ผลข้างเคียงที่พบบ่อยของฮอร์โมน Progesterone (เช่น ในยาคุมกำเนิดชนิดฮอร์โมนเดี่ยว) คือ การเกิดเลือดออกกะปริบกะปรอย (Breakthrough bleeding) เนื่องจากเยื่อบุโพรงมดลูกฝ่อตัว
🔍 ข้ออื่นผิดเพราะอะไร:
• ข้อ ข. (น้ำนมไหล): ข้อนี้ไม่ใช่คำตอบที่ถูกต้องสำหรับภาวะ Hormonal replacement เนื่องจากกลไกการออกฤทธิ์, efficacy หรือข้อบ่งใช้ไม่ตรงกับโจทย์ที่กำหนด
• ข้อ ค. (มูกปากมดลูกเป็นแบบใสๆ): ข้อนี้ไม่ใช่คำตอบที่ถูกต้องสำหรับภาวะ Hormonal replacement เนื่องจากกลไกการออกฤทธิ์, efficacy หรือข้อบ่งใช้ไม่ตรงกับโจทย์ที่กำหนด
• ข้อ ง. (น้ำหนักลด): ข้อนี้ไม่ใช่คำตอบที่ถูกต้องสำหรับภาวะ Hormonal replacement เนื่องจากกลไกการออกฤทธิ์, efficacy หรือข้อบ่งใช้ไม่ตรงกับโจทย์ที่กำหนด
• ข้อ จ. (เบื่ออาหาร):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Hormonal replacement</t>
        </is>
      </c>
      <c r="M38" s="2" t="inlineStr">
        <is>
          <t>Clinic</t>
        </is>
      </c>
      <c r="N38" s="2" t="inlineStr">
        <is>
          <t>ข้อ 36 Pharma Plus เล่มม่วง (เฉลยข้อ ก)</t>
        </is>
      </c>
      <c r="O38" s="2" t="inlineStr">
        <is>
          <t>Mock</t>
        </is>
      </c>
      <c r="P38" s="2" t="inlineStr">
        <is>
          <t>Pharma Plus เล่มม่วง</t>
        </is>
      </c>
    </row>
    <row r="39" ht="13.2" customHeight="1" s="37">
      <c r="A39" s="8" t="inlineStr">
        <is>
          <t>37</t>
        </is>
      </c>
      <c r="B39" s="2" t="inlineStr">
        <is>
          <t>นางลีบอกว่าเพิ่งเคยได้รับยาฮอร์โมนเป็นครั้งแรก ขอให้เภสัชกรช่วยอธิบายวิธีใช้โดยละเอียด
ข้อใดเป็นคำอธิบายที่ไม่ถูกต้อง</t>
        </is>
      </c>
      <c r="C39" s="2" t="n"/>
      <c r="D39" s="2" t="inlineStr">
        <is>
          <t>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t>
        </is>
      </c>
      <c r="E39" s="2" t="inlineStr">
        <is>
          <t>ควรรับประทานยาในเวลาเดียวกันหรือใกล้เคียงกันทุกวัน</t>
        </is>
      </c>
      <c r="F39" s="2" t="inlineStr">
        <is>
          <t>ถ้ามีอาการคลื่นไส้ อาเจียน เลือดออกกระปริดกระปรอย ให้หยุดใช้ยาทันทีแล้วไปพบแพทย์</t>
        </is>
      </c>
      <c r="G39" s="2" t="inlineStr">
        <is>
          <t>แม้ความหนาแน่นกระดูกปกติ ก็ควรรับประทานแคลเซียมเสริมเป็นประจำ และออกกำลังกายสม่ำเสมอ</t>
        </is>
      </c>
      <c r="H39" s="2" t="inlineStr">
        <is>
          <t>ในช่วงที่หยุดยาฮอร์โมนจะมีประจำเดือน จะเป็นอยู่ระยะหนึ่งแล้วค่อยๆน้อยลง จนหายไป</t>
        </is>
      </c>
      <c r="I39" s="8" t="inlineStr">
        <is>
          <t>3</t>
        </is>
      </c>
      <c r="J39" s="2" t="inlineStr">
        <is>
          <t>✅ คำตอบที่ถูกต้อง: ข้อ ค. ถ้ามีอาการคลื่นไส้ อาเจียน เลือดออกกระปริดกระปรอย ให้หยุดใช้ยาทันทีแล้วไปพบแพทย์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ถ้ามีอาการคลื่นไส้ อาเจียน เลือดออกกระปริดกระปรอย ให้หยุดใช้ยาทันทีแล้วไปพบแพทย์ อาการคลื่นไส้ อาเจียน เลือดออกกระปริดกระปรอย เป็นผลข้างเคียงที่พบบ่อยในช่วงแรกของการใช้ฮอร์โมนทดแทน (มักดีขึ้นเองใน 2-3 เดือนแรก) ไม่จำเป็นต้องหยุดยาทันที ยกเว้นมีอาการรุนแรง เช่น สัญญาณของลิ่มเลือดอุดตัน จึงควรแนะนำผู้ป่วยให้สังเกตอาการและมาพบแพทย์หากไม่ดีขึ้น
🔍 ข้ออื่นผิดเพราะอะไร:
• ข้อ 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ข้อนี้ไม่ใช่คำตอบที่ถูกต้องสำหรับภาวะ Oral contraceptive เนื่องจากกลไกการออกฤทธิ์, efficacy หรือข้อบ่งใช้ไม่ตรงกับโจทย์ที่กำหนด
• ข้อ ข. (ควรรับประทานยาในเวลาเดียวกันหรือใกล้เคียงกันทุกวัน): ข้อนี้ไม่ใช่คำตอบที่ถูกต้องสำหรับภาวะ Oral contraceptive เนื่องจากกลไกการออกฤทธิ์, efficacy หรือข้อบ่งใช้ไม่ตรงกับโจทย์ที่กำหนด
• ข้อ ง. (แม้ความหนาแน่นกระดูกปกติ ก็ควรรับประทานแคลเซียมเสริมเป็นประจำ และออกกำลังกายสม่ำเสมอ): ข้อนี้ไม่ใช่คำตอบที่ถูกต้องสำหรับภาวะ Oral contraceptive เนื่องจากกลไกการออกฤทธิ์, efficacy หรือข้อบ่งใช้ไม่ตรงกับโจทย์ที่กำหนด
• ข้อ จ. (ในช่วงที่หยุดยาฮอร์โมนจะมีประจำเดือน จะเป็นอยู่ระยะหนึ่งแล้วค่อยๆน้อยลง จนหายไป):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9" s="2" t="n"/>
      <c r="L39" s="2" t="inlineStr">
        <is>
          <t>Oral contraceptive</t>
        </is>
      </c>
      <c r="M39" s="2" t="inlineStr">
        <is>
          <t>Clinic</t>
        </is>
      </c>
      <c r="N39" s="2" t="inlineStr">
        <is>
          <t>ข้อ 37 Pharma Plus เล่มม่วง (เฉลยข้อ ค)</t>
        </is>
      </c>
      <c r="O39" s="2" t="inlineStr">
        <is>
          <t>Mock</t>
        </is>
      </c>
      <c r="P39" s="2" t="inlineStr">
        <is>
          <t>Pharma Plus เล่มม่วง</t>
        </is>
      </c>
    </row>
    <row r="40" ht="13.2" customHeight="1" s="37">
      <c r="A40" s="8" t="inlineStr">
        <is>
          <t>38</t>
        </is>
      </c>
      <c r="B40" s="2" t="inlineStr">
        <is>
          <t>ข้อใดต่อไปนี้ไม่ถูกต้อง</t>
        </is>
      </c>
      <c r="C40" s="2" t="n"/>
      <c r="D40" s="2" t="inlineStr">
        <is>
          <t>Conjugated estrogen คือ esters ของเอสโตเจนธรรมชาติหลายๆชนิดรวมกัน</t>
        </is>
      </c>
      <c r="E40" s="2" t="inlineStr">
        <is>
          <t>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t>
        </is>
      </c>
      <c r="F40" s="2" t="inlineStr">
        <is>
          <t>Estrogen มีกลไกการออกฤทธิ์โดยจับกับ estrogen receptor ภายในเซลล์ มีผลต่อการแสดงออกของยีน</t>
        </is>
      </c>
      <c r="G40" s="2" t="inlineStr">
        <is>
          <t>Progesterone มีกลไกการออกฤทธิ์คล้ายกับ estrogen โดยจับที่ตัวรับและยีนเดียวกัน</t>
        </is>
      </c>
      <c r="H40" s="2" t="inlineStr">
        <is>
          <t>ไม่มีคำตอบ</t>
        </is>
      </c>
      <c r="I40" s="8" t="inlineStr">
        <is>
          <t>4</t>
        </is>
      </c>
      <c r="J40" s="2" t="inlineStr">
        <is>
          <t>✅ คำตอบที่ถูกต้อง: ข้อ ง. Progesterone มีกลไกการออกฤทธิ์คล้ายกับ estrogen โดยจับที่ตัวรับและยีนเดียวกัน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Progesterone มีกลไกการออกฤทธิ์คล้ายกับ estrogen โดยจับที่ตัวรับและยีนเดียวกัน Progesterone มีตัวรับ (progesterone receptor) และกลไกการออกฤทธิ์เฉพาะตัวที่แตกต่างจาก Estrogen (estrogen receptor) แม้ว่าทั้งคู่จะเป็นฮอร์โมนสเตียรอยด์และออกฤทธิ์ผ่าน nuclear receptor เหมือนกัน แต่ไม่ใช่ตัวรับและยีนเดียวกัน
🔍 ข้ออื่นผิดเพราะอะไร:
• ข้อ ก. (Conjugated estrogen คือ esters ของเอสโตเจนธรรมชาติหลายๆชนิดรวมกัน): ข้อนี้ไม่ใช่คำตอบที่ถูกต้องสำหรับภาวะ Oral contraceptive เนื่องจากกลไกการออกฤทธิ์, efficacy หรือข้อบ่งใช้ไม่ตรงกับโจทย์ที่กำหนด
• ข้อ ข.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ข้อนี้ไม่ใช่คำตอบที่ถูกต้องสำหรับภาวะ Oral contraceptive เนื่องจากกลไกการออกฤทธิ์, efficacy หรือข้อบ่งใช้ไม่ตรงกับโจทย์ที่กำหนด
• ข้อ ค. (Estrogen มีกลไกการออกฤทธิ์โดยจับกับ estrogen receptor ภายในเซลล์ มีผลต่อการแสดงออกของยีน): ข้อนี้ไม่ใช่คำตอบที่ถูกต้องสำหรับภาวะ Oral contraceptive เนื่องจากกลไกการออกฤทธิ์, efficacy หรือข้อบ่งใช้ไม่ตรงกับโจทย์ที่กำหนด
• ข้อ จ. (ไม่มีคำตอบ):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0" s="2" t="n"/>
      <c r="L40" s="2" t="inlineStr">
        <is>
          <t>Oral contraceptive</t>
        </is>
      </c>
      <c r="M40" s="2" t="inlineStr">
        <is>
          <t>Clinic</t>
        </is>
      </c>
      <c r="N40" s="2" t="inlineStr">
        <is>
          <t>ข้อ 38 Pharma Plus เล่มม่วง (เฉลยข้อ ง)</t>
        </is>
      </c>
      <c r="O40" s="2" t="inlineStr">
        <is>
          <t>Mock</t>
        </is>
      </c>
      <c r="P40" s="2" t="inlineStr">
        <is>
          <t>Pharma Plus เล่มม่วง</t>
        </is>
      </c>
    </row>
    <row r="41" ht="13.2" customHeight="1" s="37">
      <c r="A41" s="8" t="inlineStr">
        <is>
          <t>39</t>
        </is>
      </c>
      <c r="B41" s="2" t="inlineStr">
        <is>
          <t>นางลีรับประทานยาได้ 1 สัปดาห์ กลับมาที่ร้านขายยาและบอกว่ามีอาการคลื่นไส้ อาเจียน เป็นตะคริวที่ขาบ่อย ๆ อยากจะขอเปลี่ยนยา ไม่อยากไปพบแพทย์เพราะไม่มีเวลา
ท่านจะทำอย่างไร</t>
        </is>
      </c>
      <c r="C41" s="2" t="n"/>
      <c r="D41" s="2" t="inlineStr">
        <is>
          <t>แนะนำให้หยุดยาทันทีแล้วไปพบแพทย์</t>
        </is>
      </c>
      <c r="E41" s="2" t="inlineStr">
        <is>
          <t>อธิบายว่าอาการคลื่นไส้ อาเจียนจะเป็นอยู่ระยะหนึ่งหลังจากนั้นจะดีขึ้น ถ้าไม่ดีขึ้นให้ไปพบแพทย์</t>
        </is>
      </c>
      <c r="F41" s="2" t="inlineStr">
        <is>
          <t>ลดขนาดของ conjugated estrogen เป็นขนาดเม็ดละ 0.03 มิลลิกรัม</t>
        </is>
      </c>
      <c r="G41" s="2" t="inlineStr">
        <is>
          <t>ลดขนาดของ MPA เป็นขนาดเม็ดละ 2.5 มิลลิกรัม</t>
        </is>
      </c>
      <c r="H41" s="2" t="inlineStr">
        <is>
          <t>ถูกทุกข้อ</t>
        </is>
      </c>
      <c r="I41" s="8" t="inlineStr">
        <is>
          <t>2</t>
        </is>
      </c>
      <c r="J41" s="2" t="inlineStr">
        <is>
          <t>✅ คำตอบที่ถูกต้อง: ข้อ ข. อธิบายว่าอาการคลื่นไส้ อาเจียนจะเป็นอยู่ระยะหนึ่งหลังจากนั้นจะดีขึ้น ถ้าไม่ดีขึ้นให้ไปพบแพทย์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อธิบายว่าอาการคลื่นไส้ อาเจียนจะเป็นอยู่ระยะหนึ่งหลังจากนั้นจะดีขึ้น ถ้าไม่ดีขึ้นให้ไปพบแพทย์ อาการคลื่นไส้ อาเจียนจากเอสโตเจนมักเกิดขึ้นในช่วงแรกของการใช้ยาและจะค่อยๆ ดีขึ้นเองเมื่อร่างกายปรับตัวได้ เภสัชกรควรให้คำแนะนำที่ถูกต้องและติดตามอาการ โดยอาจแนะนำให้รับประทานยาพร้อมอาหารหรือก่อนนอนเพื่อลดอาการคลื่นไส้
🔍 ข้ออื่นผิดเพราะอะไร:
• ข้อ ก. (แนะนำให้หยุดยาทันทีแล้วไปพบแพทย์): ข้อนี้ไม่ใช่คำตอบที่ถูกต้องสำหรับภาวะ Oral contraceptive เนื่องจากกลไกการออกฤทธิ์, efficacy หรือข้อบ่งใช้ไม่ตรงกับโจทย์ที่กำหนด
• ข้อ ค. (ลดขนาดของ conjugated estrogen เป็นขนาดเม็ดละ 0.03 มิลลิกรัม): ข้อนี้ไม่ใช่คำตอบที่ถูกต้องสำหรับภาวะ Oral contraceptive เนื่องจากกลไกการออกฤทธิ์, efficacy หรือข้อบ่งใช้ไม่ตรงกับโจทย์ที่กำหนด
• ข้อ ง. (ลดขนาดของ MPA เป็นขนาดเม็ดละ 2.5 มิลลิกรัม): ข้อนี้ไม่ใช่คำตอบที่ถูกต้องสำหรับภาวะ Oral contraceptive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1" s="2" t="n"/>
      <c r="L41" s="2" t="inlineStr">
        <is>
          <t>Oral contraceptive</t>
        </is>
      </c>
      <c r="M41" s="2" t="inlineStr">
        <is>
          <t>Clinic</t>
        </is>
      </c>
      <c r="N41" s="2" t="inlineStr">
        <is>
          <t>ข้อ 39 Pharma Plus เล่มม่วง (เฉลยข้อ ข)</t>
        </is>
      </c>
      <c r="O41" s="2" t="inlineStr">
        <is>
          <t>Mock</t>
        </is>
      </c>
      <c r="P41" s="2" t="inlineStr">
        <is>
          <t>Pharma Plus เล่มม่วง</t>
        </is>
      </c>
    </row>
    <row r="42" ht="13.2" customHeight="1" s="37">
      <c r="A42" s="8" t="inlineStr">
        <is>
          <t>40</t>
        </is>
      </c>
      <c r="B42" s="2" t="inlineStr">
        <is>
          <t>ถ้านางลีเป็นเบาหวาน รูปแบบของ estrogen แบบใดจะมีผลกระทบต่อภาวะของโรคเบาหวานน้อยที่สุด
ข้อใดถูกต้อง</t>
        </is>
      </c>
      <c r="C42" s="2" t="n"/>
      <c r="D42" s="2" t="inlineStr">
        <is>
          <t>ยาเม็ด</t>
        </is>
      </c>
      <c r="E42" s="2" t="inlineStr">
        <is>
          <t>ยาฉีด</t>
        </is>
      </c>
      <c r="F42" s="2" t="inlineStr">
        <is>
          <t>แผ่นแปะผิวหนัง</t>
        </is>
      </c>
      <c r="G42" s="2" t="inlineStr">
        <is>
          <t>ครีมสอดช่องคลอด</t>
        </is>
      </c>
      <c r="H42" s="2" t="inlineStr">
        <is>
          <t>แบบฝัง</t>
        </is>
      </c>
      <c r="I42" s="8" t="inlineStr">
        <is>
          <t>4</t>
        </is>
      </c>
      <c r="J42" s="2" t="inlineStr">
        <is>
          <t>✅ คำตอบที่ถูกต้อง: ข้อ ง. ครีมสอดช่องคลอด
💡 Background:
การบริบาลผู้ป่วยเบาหวานชนิดที่ 2 (T2DM) เน้นควบคุม HbA1c ควบคู่กับการเลือกยาที่มี cardiorenal protection ในผู้ป่วยที่มีโรคร่วม
🎯 ทำไมข้อนี้ถึงถูก:
ครีมสอดช่องคลอด การใช้เอสโตรเจนรูปแบบ transdermal (แผ่นแปะผิวหนัง) จะหลีกเลี่ยงการถูกทำลายครั้งแรกที่ตับ (first-pass hepatic metabolism) จึงมีผลกระทบต่อเมแทบอลิซึมของกลูโคสและไขมันน้อยกว่าการรับประทานทางปาก จึงปลอดภัยกว่าในผู้ป่วยเบาหวาน
🔍 ข้ออื่นผิดเพราะอะไร:
• ข้อ ก. (ยาเม็ด): ข้อนี้ไม่ใช่คำตอบที่ถูกต้องสำหรับภาวะ Hormonal replacement เนื่องจากกลไกการออกฤทธิ์, efficacy หรือข้อบ่งใช้ไม่ตรงกับโจทย์ที่กำหนด
• ข้อ ข. (ยาฉีด): ข้อนี้ไม่ใช่คำตอบที่ถูกต้องสำหรับภาวะ Hormonal replacement เนื่องจากกลไกการออกฤทธิ์, efficacy หรือข้อบ่งใช้ไม่ตรงกับโจทย์ที่กำหนด
• ข้อ ค. (แผ่นแปะผิวหนัง): ข้อนี้ไม่ใช่คำตอบที่ถูกต้องสำหรับภาวะ Hormonal replacement เนื่องจากกลไกการออกฤทธิ์, efficacy หรือข้อบ่งใช้ไม่ตรงกับโจทย์ที่กำหนด
• ข้อ จ. (แบบฝัง):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2" s="2" t="n"/>
      <c r="L42" s="2" t="inlineStr">
        <is>
          <t>Hormonal replacement</t>
        </is>
      </c>
      <c r="M42" s="2" t="inlineStr">
        <is>
          <t>Clinic</t>
        </is>
      </c>
      <c r="N42" s="2" t="inlineStr">
        <is>
          <t>ข้อ 40 Pharma Plus เล่มม่วง (เฉลยข้อ ง)</t>
        </is>
      </c>
      <c r="O42" s="2" t="inlineStr">
        <is>
          <t>Mock</t>
        </is>
      </c>
      <c r="P42" s="2" t="inlineStr">
        <is>
          <t>Pharma Plus เล่มม่วง</t>
        </is>
      </c>
    </row>
    <row r="43" ht="13.2" customHeight="1" s="37">
      <c r="A43" s="8" t="inlineStr">
        <is>
          <t>41</t>
        </is>
      </c>
      <c r="B43" s="2" t="inlineStr">
        <is>
          <t>นางลีไม่อยากให้มีประจำเดือน วิธีการบริหารยาแบบใดที่จะทำให้ไม่มีประจำเดือนมาทุกเดือน
ข้อใดถูกต้อง</t>
        </is>
      </c>
      <c r="C43" s="2" t="n"/>
      <c r="D43" s="2" t="inlineStr">
        <is>
          <t>รับประทานยาทั้งสองชนิดทุกวัน ไม่ต้องหยุดยา 7 วัน</t>
        </is>
      </c>
      <c r="E43" s="2" t="inlineStr">
        <is>
          <t>เว้นช่วงไม่ต้องรับประทาน MPA 2-3 เดือนแล้วกลับมารับประทานเหมือนเดิม 1 เดือน แล้วเว้นช่วงต่อไปเรื่อย ๆ</t>
        </is>
      </c>
      <c r="F43" s="2" t="inlineStr">
        <is>
          <t>ไม่ต้องทาน MPA เพราะเป็นสาเหตุให้มีเลือดประจำเดือนเมื่อหยุดยา</t>
        </is>
      </c>
      <c r="G43" s="2" t="inlineStr">
        <is>
          <t>เปลี่ยนมาใช้แบบแผ่นปะ ปะผิวหนัง 3 สัปดาห์ เว้นไม่ปะ 1 สัปดาห์ และรับประทาน MPA ควบไปด้วในช่วงสัปดาห์ที่ 2 และ 3 ที่ปะแผ่นยา</t>
        </is>
      </c>
      <c r="H43" s="2" t="inlineStr">
        <is>
          <t>บอกนางลี ไม่ว่าจะใช้วิธีใดก็ต้องมีเลือดประจำเดือนมาทุกเดือน ไม่มีวิธีแก้ ไข</t>
        </is>
      </c>
      <c r="I43" s="8" t="inlineStr">
        <is>
          <t>1</t>
        </is>
      </c>
      <c r="J43" s="2" t="inlineStr">
        <is>
          <t>✅ คำตอบที่ถูกต้อง: ข้อ ก. รับประทานยาทั้งสองชนิดทุกวัน ไม่ต้องหยุดยา 7 วัน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รับประทานยาทั้งสองชนิดทุกวัน ไม่ต้องหยุดยา 7 วัน การให้ฮอร์โมนเอสโตเจนและโปรเจสโตเจนร่วมกันอย่างต่อเนื่อง (Continuous combined regimen) โดยไม่เว้นช่วงหยุดยา จะทำให้เยื่อบุโพรงมดลูกฝ่อตัวและไม่มีประจำเดือนมาทุกเดือน เหมาะสำหรับสตรีวัยทองที่ไม่ต้องการมีประจำเดือน
🔍 ข้ออื่นผิดเพราะอะไร:
• ข้อ ข. (เว้นช่วงไม่ต้องรับประทาน MPA 2-3 เดือนแล้วกลับมารับประทานเหมือนเดิม 1 เดือน แล้วเว้นช่วงต่อไปเรื่อย ๆ): ข้อนี้ไม่ใช่คำตอบที่ถูกต้องสำหรับภาวะ Oral contraceptive เนื่องจากกลไกการออกฤทธิ์, efficacy หรือข้อบ่งใช้ไม่ตรงกับโจทย์ที่กำหนด
• ข้อ ค. (ไม่ต้องทาน MPA เพราะเป็นสาเหตุให้มีเลือดประจำเดือนเมื่อหยุดยา): ข้อนี้ไม่ใช่คำตอบที่ถูกต้องสำหรับภาวะ Oral contraceptive เนื่องจากกลไกการออกฤทธิ์, efficacy หรือข้อบ่งใช้ไม่ตรงกับโจทย์ที่กำหนด
• ข้อ ง. (เปลี่ยนมาใช้แบบแผ่นปะ ปะผิวหนัง 3 สัปดาห์ เว้นไม่ปะ 1 สัปดาห์ และรับประทาน MPA ควบไปด้วในช่วงสัปดาห์ที่ 2 และ 3 ที่ปะแผ่นยา): ข้อนี้ไม่ใช่คำตอบที่ถูกต้องสำหรับภาวะ Oral contraceptive เนื่องจากกลไกการออกฤทธิ์, efficacy หรือข้อบ่งใช้ไม่ตรงกับโจทย์ที่กำหนด
• ข้อ จ. (บอกนางลี ไม่ว่าจะใช้วิธีใดก็ต้องมีเลือดประจำเดือนมาทุกเดือน ไม่มีวิธีแก้ ไข):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3" s="2" t="n"/>
      <c r="L43" s="2" t="inlineStr">
        <is>
          <t>Oral contraceptive</t>
        </is>
      </c>
      <c r="M43" s="2" t="inlineStr">
        <is>
          <t>Clinic</t>
        </is>
      </c>
      <c r="N43" s="2" t="inlineStr">
        <is>
          <t>ข้อ 41 Pharma Plus เล่มม่วง (เฉลยข้อ ก)</t>
        </is>
      </c>
      <c r="O43" s="2" t="inlineStr">
        <is>
          <t>Mock</t>
        </is>
      </c>
      <c r="P43" s="2" t="inlineStr">
        <is>
          <t>Pharma Plus เล่มม่วง</t>
        </is>
      </c>
    </row>
    <row r="44" ht="13.2" customHeight="1" s="37">
      <c r="A44" s="8" t="inlineStr">
        <is>
          <t>42</t>
        </is>
      </c>
      <c r="B44" s="2" t="inlineStr">
        <is>
          <t>นางลีขอให้เภสัชกรช่วยจัดยาเม็ดแคลเซียมให้ ข้อมูลใดไม่ถูกต้องเกี่ยวกับ แคลเซียม
ข้อใดถูกต้อง</t>
        </is>
      </c>
      <c r="C44" s="2" t="n"/>
      <c r="D44" s="2" t="inlineStr">
        <is>
          <t>ขนาดแคลเซียมสำหรับสตรีหมดประจำเดือนคือ 1000-1500 มิลลิกรัม/วัน</t>
        </is>
      </c>
      <c r="E44" s="2" t="inlineStr">
        <is>
          <t>ควรรับประทานแคลเซียมหลังอาหารเพราะช่วยให้ดูดซึมดีขึ้น</t>
        </is>
      </c>
      <c r="F44" s="2" t="inlineStr">
        <is>
          <t>พิจารณาชนิดเกลือของแคลเซียม เพราะเกลือต่าง ๆ ชนิดกัน จะให้ปริมาณแคลเซียมต่างกัน</t>
        </is>
      </c>
      <c r="G44" s="2" t="inlineStr">
        <is>
          <t>ควรให้วิตามินดี ร่วมด้วยเสมอเพื่อช่วยให้กระดูกซึมดีขึ้น</t>
        </is>
      </c>
      <c r="H44" s="2" t="inlineStr">
        <is>
          <t>ปกติเราจะได้รับแคลเซียมบางส่วนจากอาหาร ควรรับประทานอาหารให้ครบ และออกกำลังกายสม่ำเสมอ</t>
        </is>
      </c>
      <c r="I44" s="8" t="inlineStr">
        <is>
          <t>4</t>
        </is>
      </c>
      <c r="J44" s="2" t="inlineStr">
        <is>
          <t>✅ คำตอบที่ถูกต้อง: ข้อ ง. ควรให้วิตามินดี ร่วมด้วยเสมอเพื่อช่วยให้กระดูกซึมดีขึ้น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ควรให้วิตามินดี ร่วมด้วยเสมอเพื่อช่วยให้กระดูกซึมดีขึ้น แคลเซียมคาร์บอเนตควรรับประทานพร้อมอาหารหรือหลังอาหารทันทีเนื่องจากต้องใช้กรดในกระเพาะอาหารช่วยในการดูดซึม ส่วนแคลเซียมซิเตรตสามารถรับประทานโดยไม่ต้องคำนึงถึงมื้ออาหาร สำหรับปริมาณที่แนะนำในสตรีวัยหมดประจำเดือนคือ 1,000-1,200 มก./วัน ตามแนวทางของ NOF (National Osteoporosis Foundation)
🔍 ข้ออื่นผิดเพราะอะไร:
• ข้อ ก. (ขนาดแคลเซียมสำหรับสตรีหมดประจำเดือนคือ 1000-1500 มิลลิกรัม/วัน): ข้อนี้ไม่ใช่คำตอบที่ถูกต้องสำหรับภาวะ Oral contraceptive เนื่องจากกลไกการออกฤทธิ์, efficacy หรือข้อบ่งใช้ไม่ตรงกับโจทย์ที่กำหนด
• ข้อ ข. (ควรรับประทานแคลเซียมหลังอาหารเพราะช่วยให้ดูดซึมดีขึ้น): ข้อนี้ไม่ใช่คำตอบที่ถูกต้องสำหรับภาวะ Oral contraceptive เนื่องจากกลไกการออกฤทธิ์, efficacy หรือข้อบ่งใช้ไม่ตรงกับโจทย์ที่กำหนด
• ข้อ ค. (พิจารณาชนิดเกลือของแคลเซียม เพราะเกลือต่าง ๆ ชนิดกัน จะให้ปริมาณแคลเซียมต่างกัน): ข้อนี้ไม่ใช่คำตอบที่ถูกต้องสำหรับภาวะ Oral contraceptive เนื่องจากกลไกการออกฤทธิ์, efficacy หรือข้อบ่งใช้ไม่ตรงกับโจทย์ที่กำหนด
• ข้อ จ. (ปกติเราจะได้รับแคลเซียมบางส่วนจากอาหาร ควรรับประทานอาหารให้ครบ และออกกำลังกายสม่ำเสมอ):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4" s="2" t="n"/>
      <c r="L44" s="2" t="inlineStr">
        <is>
          <t>Oral contraceptive</t>
        </is>
      </c>
      <c r="M44" s="2" t="inlineStr">
        <is>
          <t>Clinic</t>
        </is>
      </c>
      <c r="N44" s="2" t="inlineStr">
        <is>
          <t>ข้อ 42 Pharma Plus เล่มม่วง (เฉลยข้อ ง)</t>
        </is>
      </c>
      <c r="O44" s="2" t="inlineStr">
        <is>
          <t>Mock</t>
        </is>
      </c>
      <c r="P44" s="2" t="inlineStr">
        <is>
          <t>Pharma Plus เล่มม่วง</t>
        </is>
      </c>
    </row>
    <row r="45" ht="13.2" customHeight="1" s="37">
      <c r="A45" s="8" t="inlineStr">
        <is>
          <t>43</t>
        </is>
      </c>
      <c r="B45" s="2"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30, Medroxyprogesterone Acetate (MPA) 5 mg 14
อาการใดที่พบในสตรีวัยหมดประจำเดือน ซึ่งเป็นสาเหตุให้มาพบแพทย์บ่อยที่สุด</t>
        </is>
      </c>
      <c r="C45" s="2" t="n"/>
      <c r="D45" s="2" t="inlineStr">
        <is>
          <t>Cardiovascular disease</t>
        </is>
      </c>
      <c r="E45" s="2" t="inlineStr">
        <is>
          <t>Osteoporosis</t>
        </is>
      </c>
      <c r="F45" s="2" t="inlineStr">
        <is>
          <t>Psychosexual symptom</t>
        </is>
      </c>
      <c r="G45" s="2" t="inlineStr">
        <is>
          <t>Urogenital symptom</t>
        </is>
      </c>
      <c r="H45" s="2" t="inlineStr">
        <is>
          <t>Vasomotor symptom</t>
        </is>
      </c>
      <c r="I45" s="8" t="inlineStr">
        <is>
          <t>5</t>
        </is>
      </c>
      <c r="J45" s="2" t="inlineStr">
        <is>
          <t>✅ คำตอบที่ถูกต้อง: ข้อ จ. Vasomotor symptom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Vasomotor symptom (อาการร้อนวูบวาบและเหงื่อออกตอนกลางคืน) เป็นอาการที่พบได้บ่อยที่สุด (ประมาณ 70-80%) และเป็นสาเหตุสำคัญ first-line ที่ทำให้สตรีวัยหมดประจำเดือนมาพบแพทย์เพื่อขอรับคำปรึกษาและรักษาด้วยฮอร์โมนทดแทน
🔍 ข้ออื่นผิดเพราะอะไร:
• ข้อ ก. (Cardiovascular disease): ข้อนี้ไม่ใช่คำตอบที่ถูกต้องสำหรับภาวะ Hormonal replacement เนื่องจากกลไกการออกฤทธิ์, efficacy หรือข้อบ่งใช้ไม่ตรงกับโจทย์ที่กำหนด
• ข้อ ข. (Osteoporosis): ข้อนี้ไม่ใช่คำตอบที่ถูกต้องสำหรับภาวะ Hormonal replacement เนื่องจากกลไกการออกฤทธิ์, efficacy หรือข้อบ่งใช้ไม่ตรงกับโจทย์ที่กำหนด
• ข้อ ค. (Psychosexual symptom): ข้อนี้ไม่ใช่คำตอบที่ถูกต้องสำหรับภาวะ Hormonal replacement เนื่องจากกลไกการออกฤทธิ์, efficacy หรือข้อบ่งใช้ไม่ตรงกับโจทย์ที่กำหนด
• ข้อ ง. (Urogenital symptom):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n"/>
      <c r="L45" s="2" t="inlineStr">
        <is>
          <t>Hormonal replacement</t>
        </is>
      </c>
      <c r="M45" s="2" t="inlineStr">
        <is>
          <t>Clinic</t>
        </is>
      </c>
      <c r="N45" s="2" t="inlineStr">
        <is>
          <t>ข้อ 43 Pharma Plus เล่มม่วง (เฉลยข้อ จ)</t>
        </is>
      </c>
      <c r="O45" s="2" t="inlineStr">
        <is>
          <t>Mock</t>
        </is>
      </c>
      <c r="P45" s="2" t="inlineStr">
        <is>
          <t>Pharma Plus เล่มม่วง</t>
        </is>
      </c>
    </row>
    <row r="46" ht="13.2" customHeight="1" s="37">
      <c r="A46" s="8" t="inlineStr">
        <is>
          <t>44</t>
        </is>
      </c>
      <c r="B46" s="2" t="inlineStr">
        <is>
          <t>วงจรปกติของการเกิดประจำเดือน (menstrual cycle) เกิดจากบทบาทการเปลี่ยนแปลงปริมาณของฮอร์โมนหลายชนิดต่อไปนี้ ยกเว้น</t>
        </is>
      </c>
      <c r="C46" s="2" t="n"/>
      <c r="D46" s="2" t="inlineStr">
        <is>
          <t>Androgen</t>
        </is>
      </c>
      <c r="E46" s="2" t="inlineStr">
        <is>
          <t>Estrogen</t>
        </is>
      </c>
      <c r="F46" s="2" t="inlineStr">
        <is>
          <t>Follicle stimulating hormone (FSH)</t>
        </is>
      </c>
      <c r="G46" s="2" t="inlineStr">
        <is>
          <t>Luteinizing hormone (LH)</t>
        </is>
      </c>
      <c r="H46" s="2" t="inlineStr">
        <is>
          <t>Progesterone</t>
        </is>
      </c>
      <c r="I46" s="8" t="inlineStr">
        <is>
          <t>1</t>
        </is>
      </c>
      <c r="J46" s="2" t="inlineStr">
        <is>
          <t>✅ คำตอบที่ถูกต้อง: ข้อ ก. Androgen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Androgen วงจรการมีประจำเดือนถูกควบคุมหลักโดยแกน Hypothalamus-Pituitary-Ovarian axis ซึ่งเกี่ยวข้องกับ Estrogen, Progesterone, FSH และ LH ในขณะที่ Androgen มีบทบาทน้อยและไม่ใช่ฮอร์โมนหลักที่ควบคุมวงจรปกติของประจำเดือนในสตรี
🔍 ข้ออื่นผิดเพราะอะไร:
• ข้อ ข. (Estrogen): ข้อนี้ไม่ใช่คำตอบที่ถูกต้องสำหรับภาวะ Oral contraceptive เนื่องจากกลไกการออกฤทธิ์, efficacy หรือข้อบ่งใช้ไม่ตรงกับโจทย์ที่กำหนด
• ข้อ ค. (Follicle stimulating hormone (FSH)): ข้อนี้ไม่ใช่คำตอบที่ถูกต้องสำหรับภาวะ Oral contraceptive เนื่องจากกลไกการออกฤทธิ์, efficacy หรือข้อบ่งใช้ไม่ตรงกับโจทย์ที่กำหนด
• ข้อ ง. (Luteinizing hormone (LH)): ข้อนี้ไม่ใช่คำตอบที่ถูกต้องสำหรับภาวะ Oral contraceptive เนื่องจากกลไกการออกฤทธิ์, efficacy หรือข้อบ่งใช้ไม่ตรงกับโจทย์ที่กำหนด
• ข้อ จ. (Progesterone):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6" s="2" t="n"/>
      <c r="L46" s="2" t="inlineStr">
        <is>
          <t>Oral contraceptive</t>
        </is>
      </c>
      <c r="M46" s="2" t="inlineStr">
        <is>
          <t>Clinic</t>
        </is>
      </c>
      <c r="N46" s="2" t="inlineStr">
        <is>
          <t>ข้อ 44 Pharma Plus เล่มม่วง (เฉลยข้อ ก)</t>
        </is>
      </c>
      <c r="O46" s="2" t="inlineStr">
        <is>
          <t>Mock</t>
        </is>
      </c>
      <c r="P46" s="2" t="inlineStr">
        <is>
          <t>Pharma Plus เล่มม่วง</t>
        </is>
      </c>
    </row>
    <row r="47" ht="13.2" customHeight="1" s="37">
      <c r="A47" s="8" t="inlineStr">
        <is>
          <t>45</t>
        </is>
      </c>
      <c r="B47" s="2" t="inlineStr">
        <is>
          <t>ข้อใดต่อไปนี้ ถูกต้อง</t>
        </is>
      </c>
      <c r="C47" s="2" t="n"/>
      <c r="D47" s="2" t="inlineStr">
        <is>
          <t>การใช้ MPA ร่วมด้วยเพื่อป้องกันมะเร็งเยื่อบุโพรงมดลูก</t>
        </is>
      </c>
      <c r="E47" s="2" t="inlineStr">
        <is>
          <t>การใช้ MPA ร่วมด้วยเพื่อรักษาอาการร้อนวูบวาบ</t>
        </is>
      </c>
      <c r="F47" s="2" t="inlineStr">
        <is>
          <t>การใช้ MPA ร่วมด้วยเพื่อป้องกันมะเร็งเต้านม</t>
        </is>
      </c>
      <c r="G47" s="2" t="inlineStr">
        <is>
          <t>นิยมใช้ estrogen ร่วมกับ MPA กับหญิงที่ตัดมดลูกแล้ว</t>
        </is>
      </c>
      <c r="H47" s="2" t="inlineStr">
        <is>
          <t>ในหญิงที่มีมดลูกนิยมให้เอสโตรเจนเพียงอย่างเดียว</t>
        </is>
      </c>
      <c r="I47" s="8" t="inlineStr">
        <is>
          <t>1</t>
        </is>
      </c>
      <c r="J47" s="2" t="inlineStr">
        <is>
          <t>✅ คำตอบที่ถูกต้อง: ข้อ ก. การใช้ MPA ร่วมด้วยเพื่อป้องกันมะเร็งเยื่อบุโพรงมดลูก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การใช้ MPA ร่วมด้วยเพื่อป้องกันมะเร็งเยื่อบุโพรงมดลูก ในสตรีที่มีมดลูก การให้ Estrogen เดี่ยวๆ จะเพิ่มความเสี่ยงในการเกิด endometrial hyperplasia และมะเร็งเยื่อบุโพรงมดลูก จึงจำเป็นต้องให้ Progestogen (เช่น MPA) ร่วมด้วยเพื่อป้องกันเยื่อบุโพรงมดลูกหนตัว ส่วนสตรีที่ตัดมดลูกแล้วจะให้ Estrogen เดี่ยว
🔍 ข้ออื่นผิดเพราะอะไร:
• ข้อ ข. (การใช้ MPA ร่วมด้วยเพื่อรักษาอาการร้อนวูบวาบ): ข้อนี้ไม่ใช่คำตอบที่ถูกต้องสำหรับภาวะ Oral contraceptive เนื่องจากกลไกการออกฤทธิ์, efficacy หรือข้อบ่งใช้ไม่ตรงกับโจทย์ที่กำหนด
• ข้อ ค. (การใช้ MPA ร่วมด้วยเพื่อป้องกันมะเร็งเต้านม): ข้อนี้ไม่ใช่คำตอบที่ถูกต้องสำหรับภาวะ Oral contraceptive เนื่องจากกลไกการออกฤทธิ์, efficacy หรือข้อบ่งใช้ไม่ตรงกับโจทย์ที่กำหนด
• ข้อ ง. (นิยมใช้ estrogen ร่วมกับ MPA กับหญิงที่ตัดมดลูกแล้ว): ข้อนี้ไม่ใช่คำตอบที่ถูกต้องสำหรับภาวะ Oral contraceptive เนื่องจากกลไกการออกฤทธิ์, efficacy หรือข้อบ่งใช้ไม่ตรงกับโจทย์ที่กำหนด
• ข้อ จ. (ในหญิงที่มีมดลูกนิยมให้เอสโตรเจนเพียงอย่างเดียว):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7" s="2" t="n"/>
      <c r="L47" s="2" t="inlineStr">
        <is>
          <t>Oral contraceptive</t>
        </is>
      </c>
      <c r="M47" s="2" t="inlineStr">
        <is>
          <t>Clinic</t>
        </is>
      </c>
      <c r="N47" s="2" t="inlineStr">
        <is>
          <t>ข้อ 45 Pharma Plus เล่มม่วง (เฉลยข้อ ก)</t>
        </is>
      </c>
      <c r="O47" s="2" t="inlineStr">
        <is>
          <t>Mock</t>
        </is>
      </c>
      <c r="P47" s="2" t="inlineStr">
        <is>
          <t>Pharma Plus เล่มม่วง</t>
        </is>
      </c>
    </row>
    <row r="48" ht="13.2" customHeight="1" s="37">
      <c r="A48" s="8" t="inlineStr">
        <is>
          <t>46</t>
        </is>
      </c>
      <c r="B48" s="2" t="inlineStr">
        <is>
          <t>ข้อใดผิดเกี่ยวกับการใช้ tibolone เป็นฮอร์โมนทดแทน</t>
        </is>
      </c>
      <c r="C48" s="2" t="n"/>
      <c r="D48" s="2" t="inlineStr">
        <is>
          <t>ช่วยเพิ่มมวลกระดูกและความรู้สึกทางเพศ</t>
        </is>
      </c>
      <c r="E48" s="2" t="inlineStr">
        <is>
          <t>ห้ามใช้ยาในผู้ป่วยที่เป็นเนื้องอกหรือครอบครัวมีประวัติเป็นมะเร็งเต้านมและเยื่อบุโพรงมดลูก</t>
        </is>
      </c>
      <c r="F48" s="2" t="inlineStr">
        <is>
          <t>ใช้ร่วมกับ progesterone เสมอเพื่อป้องกันมะเร็งเยื่อบุโพรงมดลูก</t>
        </is>
      </c>
      <c r="G48" s="2" t="inlineStr">
        <is>
          <t>อาจทำให้เกิดอาการคลื่นไส้ อาเจียน ปวดศีรษะ ผื่นคัน หรือบวม</t>
        </is>
      </c>
      <c r="H48" s="2" t="inlineStr">
        <is>
          <t>สามารถป้องกันโรคเกี่ยวกับหลอดเลือดและหัวใจได้</t>
        </is>
      </c>
      <c r="I48" s="8" t="inlineStr">
        <is>
          <t>3</t>
        </is>
      </c>
      <c r="J48" s="2" t="inlineStr">
        <is>
          <t>✅ คำตอบที่ถูกต้อง: ข้อ ค. ใช้ร่วมกับ progesterone เสมอเพื่อป้องกันมะเร็งเยื่อบุโพรงมดลูก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ใช้ร่วมกับ progesterone เสมอเพื่อป้องกันมะเร็งเยื่อบุโพรงมดลูก Tibolone เป็น synthetic steroid ที่มีฤทธิ์ผสม (estrogenic, progestogenic และ androgenic) ในตัวเอง จึงไม่ต้องใช้ร่วมกับ progesteron เสมอไปเหมือนการใช้ estrogen เดี่ยว การระบุว่าต้องใช้ร่วมกับ progesterone เสมอจึงเป็นข้อความที่ผิด
🔍 ข้ออื่นผิดเพราะอะไร:
• ข้อ ก. (ช่วยเพิ่มมวลกระดูกและความรู้สึกทางเพศ): ข้อนี้ไม่ใช่คำตอบที่ถูกต้องสำหรับภาวะ Oral contraceptive เนื่องจากกลไกการออกฤทธิ์, efficacy หรือข้อบ่งใช้ไม่ตรงกับโจทย์ที่กำหนด
• ข้อ ข. (ห้ามใช้ยาในผู้ป่วยที่เป็นเนื้องอกหรือครอบครัวมีประวัติเป็นมะเร็งเต้านมและเยื่อบุโพรงมดลูก): ข้อนี้ไม่ใช่คำตอบที่ถูกต้องสำหรับภาวะ Oral contraceptive เนื่องจากกลไกการออกฤทธิ์, efficacy หรือข้อบ่งใช้ไม่ตรงกับโจทย์ที่กำหนด
• ข้อ ง. (อาจทำให้เกิดอาการคลื่นไส้ อาเจียน ปวดศีรษะ ผื่นคัน หรือบวม): ข้อนี้ไม่ใช่คำตอบที่ถูกต้องสำหรับภาวะ Oral contraceptive เนื่องจากกลไกการออกฤทธิ์, efficacy หรือข้อบ่งใช้ไม่ตรงกับโจทย์ที่กำหนด
• ข้อ จ. (สามารถป้องกันโรคเกี่ยวกับหลอดเลือดและหัวใจได้):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8" s="2" t="n"/>
      <c r="L48" s="2" t="inlineStr">
        <is>
          <t>Oral contraceptive</t>
        </is>
      </c>
      <c r="M48" s="2" t="inlineStr">
        <is>
          <t>Clinic</t>
        </is>
      </c>
      <c r="N48" s="2" t="inlineStr">
        <is>
          <t>ข้อ 46 Pharma Plus เล่มม่วง (เฉลยข้อ ค)</t>
        </is>
      </c>
      <c r="O48" s="2" t="inlineStr">
        <is>
          <t>Mock</t>
        </is>
      </c>
      <c r="P48" s="2" t="inlineStr">
        <is>
          <t>Pharma Plus เล่มม่วง</t>
        </is>
      </c>
    </row>
    <row r="49" ht="13.2" customHeight="1" s="37">
      <c r="A49" s="8" t="inlineStr">
        <is>
          <t>47</t>
        </is>
      </c>
      <c r="B49" s="2" t="inlineStr">
        <is>
          <t>สถานการณ์ที่ 6 (ต่อเนื่อง)
ควรแนะนำอาหารประเภทใดให้ผู้ป่วยรายนี้</t>
        </is>
      </c>
      <c r="C49" s="2" t="n"/>
      <c r="D49" s="2" t="inlineStr">
        <is>
          <t>นม, เต้าหู้, ปลาไส้ตัน</t>
        </is>
      </c>
      <c r="E49" s="2" t="inlineStr">
        <is>
          <t>น้ำมันตับปลา, มะม่วงสุก, กุ้งแห้ง</t>
        </is>
      </c>
      <c r="F49" s="2" t="inlineStr">
        <is>
          <t>มะละกอกุก, หน่อไม้, ไข่</t>
        </is>
      </c>
      <c r="G49" s="2" t="inlineStr">
        <is>
          <t>ปูอัด, เนื้อไม่ติดมัน, สลัด</t>
        </is>
      </c>
      <c r="H49" s="2" t="inlineStr">
        <is>
          <t>น้ำมะพร้าว, มะเขือเทศ, ปลาทู</t>
        </is>
      </c>
      <c r="I49" s="8" t="inlineStr">
        <is>
          <t>1</t>
        </is>
      </c>
      <c r="J49" s="2" t="inlineStr">
        <is>
          <t>✅ คำตอบที่ถูกต้อง: ข้อ ก. นม, เต้าหู้, ปลาไส้ตัน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นม, เต้าหู้, ปลาไส้ตัน สตรีวัยหมดประจำเดือนมีความเสี่ยงสูงต่อโรคกระดูกพรุน (Osteoporosis) จึงควรแนะนำอาหารที่มีแคลเซียมสูง เช่น นม เต้าหู้ และปลาไส้ตัน (ที่กินก้างได้) รวมถึงการได้รับวิตามินดีเพื่อช่วยดูดซึมแคลเซียม
🔍 ข้ออื่นผิดเพราะอะไร:
• ข้อ ข. (น้ำมันตับปลา, มะม่วงสุก, กุ้งแห้ง): ข้อนี้ไม่ใช่คำตอบที่ถูกต้องสำหรับภาวะ Oral contraceptive เนื่องจากกลไกการออกฤทธิ์, efficacy หรือข้อบ่งใช้ไม่ตรงกับโจทย์ที่กำหนด
• ข้อ ค. (มะละกอกุก, หน่อไม้, ไข่): ข้อนี้ไม่ใช่คำตอบที่ถูกต้องสำหรับภาวะ Oral contraceptive เนื่องจากกลไกการออกฤทธิ์, efficacy หรือข้อบ่งใช้ไม่ตรงกับโจทย์ที่กำหนด
• ข้อ ง. (ปูอัด, เนื้อไม่ติดมัน, สลัด): ข้อนี้ไม่ใช่คำตอบที่ถูกต้องสำหรับภาวะ Oral contraceptive เนื่องจากกลไกการออกฤทธิ์, efficacy หรือข้อบ่งใช้ไม่ตรงกับโจทย์ที่กำหนด
• ข้อ จ. (น้ำมะพร้าว, มะเขือเทศ, ปลาทู):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9" s="2" t="n"/>
      <c r="L49" s="2" t="inlineStr">
        <is>
          <t>Oral contraceptive</t>
        </is>
      </c>
      <c r="M49" s="2" t="inlineStr">
        <is>
          <t>Clinic</t>
        </is>
      </c>
      <c r="N49" s="2" t="inlineStr">
        <is>
          <t>ข้อ 47 Pharma Plus เล่มม่วง (เฉลยข้อ ก)</t>
        </is>
      </c>
      <c r="O49" s="2" t="inlineStr">
        <is>
          <t>Mock</t>
        </is>
      </c>
      <c r="P49" s="2" t="inlineStr">
        <is>
          <t>Pharma Plus เล่มม่วง</t>
        </is>
      </c>
    </row>
    <row r="50" ht="13.2" customHeight="1" s="37">
      <c r="A50" s="8" t="inlineStr">
        <is>
          <t>49</t>
        </is>
      </c>
      <c r="B50" s="2" t="inlineStr">
        <is>
          <t>หญิงอายุ 32 ปี น ้าหนัก 60 กก. เพิ่งคลอดบุตรได้ 4 สัปดาห์ ต้องการคุมกำเนิด ควรให้ยาคุมกำเนิดชนิดใด</t>
        </is>
      </c>
      <c r="C50" s="2" t="n"/>
      <c r="D50" s="2" t="inlineStr">
        <is>
          <t>Norethisterone 5 mg</t>
        </is>
      </c>
      <c r="E50" s="2" t="inlineStr">
        <is>
          <t>Levonorgestrel 1.5 mg</t>
        </is>
      </c>
      <c r="F50" s="2" t="inlineStr">
        <is>
          <t>Dienogest 2 mg</t>
        </is>
      </c>
      <c r="G50" s="2" t="inlineStr">
        <is>
          <t>Desogestrel 75 mcg</t>
        </is>
      </c>
      <c r="H50" s="2" t="inlineStr">
        <is>
          <t>Ethinylestradiol 30 mcg + Drospirenone 3 mg</t>
        </is>
      </c>
      <c r="I50" s="8" t="inlineStr">
        <is>
          <t>2</t>
        </is>
      </c>
      <c r="J50" s="2" t="inlineStr">
        <is>
          <t>✅ คำตอบที่ถูกต้อง: ข้อ ข. Levonorgestrel 1.5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การเลือก Levonorgestrel 1.5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ข้อนี้ไม่ใช่คำตอบที่ถูกต้องสำหรับภาวะ Oral contraceptive เนื่องจากกลไกการออกฤทธิ์, efficacy หรือข้อบ่งใช้ไม่ตรงกับโจทย์ที่กำหนด
• ข้อ ข. (Norethisterone 5 mg): ข้อนี้ไม่ใช่คำตอบที่ถูกต้องสำหรับภาวะ Oral contraceptive เนื่องจากกลไกการออกฤทธิ์, efficacy หรือข้อบ่งใช้ไม่ตรงกับโจทย์ที่กำหนด
• ข้อ ง. (Dienogest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0" s="2" t="n"/>
      <c r="L50" s="2" t="inlineStr">
        <is>
          <t>Oral contraceptive</t>
        </is>
      </c>
      <c r="M50" s="2" t="inlineStr">
        <is>
          <t>Contraception</t>
        </is>
      </c>
      <c r="N50" s="2" t="inlineStr">
        <is>
          <t>Mock PLE-CC 1 ข้อ 84</t>
        </is>
      </c>
      <c r="O50" s="2" t="inlineStr">
        <is>
          <t>Mock</t>
        </is>
      </c>
      <c r="P50" s="2" t="inlineStr">
        <is>
          <t>Mock RxCU83</t>
        </is>
      </c>
      <c r="Q50" s="2" t="n"/>
    </row>
    <row r="51" ht="13.2" customHeight="1" s="37">
      <c r="A51" s="8" t="inlineStr">
        <is>
          <t>50</t>
        </is>
      </c>
      <c r="B51" s="2" t="inlineStr">
        <is>
          <t>ข้อใดไม่ใช่อาการข้างเคียงรุนแรงของยาคุมกำเนิดชนิดฮอร์โมนรวม</t>
        </is>
      </c>
      <c r="C51" s="2" t="n"/>
      <c r="D51" s="2" t="inlineStr">
        <is>
          <t>ปวดหัวรุนแรง</t>
        </is>
      </c>
      <c r="E51" s="2" t="inlineStr">
        <is>
          <t>ปวดท้องรุนแรง</t>
        </is>
      </c>
      <c r="F51" s="2" t="inlineStr">
        <is>
          <t>การมองเห็นผิดปกติ</t>
        </is>
      </c>
      <c r="G51" s="2" t="inlineStr">
        <is>
          <t>คัดตึงเต้านม</t>
        </is>
      </c>
      <c r="H51" s="2" t="inlineStr">
        <is>
          <t>หายใจล าบาก</t>
        </is>
      </c>
      <c r="I51" s="8" t="inlineStr">
        <is>
          <t>2</t>
        </is>
      </c>
      <c r="J51" s="2" t="inlineStr">
        <is>
          <t>✅ คำตอบที่ถูกต้อง: ข้อ ข. ปวดท้องรุนแรง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ปวดท้องรุนแรง การเลือก ปวดท้องรุนแรง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ข้อนี้ไม่ใช่คำตอบที่ถูกต้องสำหรับภาวะ Oral contraceptive เนื่องจากกลไกการออกฤทธิ์, efficacy หรือข้อบ่งใช้ไม่ตรงกับโจทย์ที่กำหนด
• ข้อ ข. (ปวดหัวรุนแรง): ข้อนี้ไม่ใช่คำตอบที่ถูกต้องสำหรับภาวะ Oral contraceptive เนื่องจากกลไกการออกฤทธิ์, efficacy หรือข้อบ่งใช้ไม่ตรงกับโจทย์ที่กำหนด
• ข้อ ง. (การมองเห็นผิดปกติ): ข้อนี้ไม่ใช่คำตอบที่ถูกต้องสำหรับภาวะ Oral contraceptive เนื่องจากกลไกการออกฤทธิ์, efficacy หรือข้อบ่งใช้ไม่ตรงกับโจทย์ที่กำหนด
• ข้อ จ. (คัดตึงเต้านม):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1" s="2" t="n"/>
      <c r="L51" s="2" t="inlineStr">
        <is>
          <t>Oral contraceptive</t>
        </is>
      </c>
      <c r="M51" s="2" t="inlineStr">
        <is>
          <t>Contraception</t>
        </is>
      </c>
      <c r="N51" s="2" t="inlineStr">
        <is>
          <t>Mock PLE-CC 1 ข้อ 85</t>
        </is>
      </c>
      <c r="O51" s="2" t="inlineStr">
        <is>
          <t>Mock</t>
        </is>
      </c>
      <c r="P51" s="2" t="inlineStr">
        <is>
          <t>Mock RxCU83</t>
        </is>
      </c>
      <c r="Q51" s="2" t="n"/>
    </row>
    <row r="52" ht="13.2" customHeight="1" s="37">
      <c r="A52" s="8" t="inlineStr">
        <is>
          <t>51</t>
        </is>
      </c>
      <c r="B52" s="2" t="inlineStr">
        <is>
          <t>ข้อใดเป็นข้อแนะนำการใช้ ยาคุมแบบแผ่นแปะที่ถูกต้อง</t>
        </is>
      </c>
      <c r="C52" s="2" t="n"/>
      <c r="D52" s="2" t="inlineStr">
        <is>
          <t>เปลี่ยนใหม่ทุก 3 วัน</t>
        </is>
      </c>
      <c r="E52" s="2" t="inlineStr">
        <is>
          <t>แปะซ้อน 2 แผ่น กันลืม</t>
        </is>
      </c>
      <c r="F52" s="2" t="inlineStr">
        <is>
          <t>สามารถแปะครึ่งแผ่นได้ หากน ้าหนักตัวน้อย</t>
        </is>
      </c>
      <c r="G52" s="2" t="inlineStr">
        <is>
          <t>Ethinylestradiol 30 mcg + Levonorgestrel 150 mcg</t>
        </is>
      </c>
      <c r="H52" s="2" t="inlineStr">
        <is>
          <t>แปะแผ่นสัปดาห์ละ 1 แผ่น นาน 3 สัปดาห์ แล้วเว้น 1 สัปดาห์</t>
        </is>
      </c>
      <c r="I52" s="8" t="inlineStr">
        <is>
          <t>4</t>
        </is>
      </c>
      <c r="J52" s="2" t="inlineStr">
        <is>
          <t>✅ คำตอบที่ถูกต้อง: ข้อ ง.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ข้อนี้ไม่ใช่คำตอบที่ถูกต้องสำหรับภาวะ Oral contraceptive เนื่องจากกลไกการออกฤทธิ์, efficacy หรือข้อบ่งใช้ไม่ตรงกับโจทย์ที่กำหนด
• ข้อ ข. (เปลี่ยนใหม่ทุก 3 วัน): ข้อนี้ไม่ใช่คำตอบที่ถูกต้องสำหรับภาวะ Oral contraceptive เนื่องจากกลไกการออกฤทธิ์, efficacy หรือข้อบ่งใช้ไม่ตรงกับโจทย์ที่กำหนด
• ข้อ ค. (แปะซ้อน 2 แผ่น กันลืม): ข้อนี้ไม่ใช่คำตอบที่ถูกต้องสำหรับภาวะ Oral contraceptive เนื่องจากกลไกการออกฤทธิ์, efficacy หรือข้อบ่งใช้ไม่ตรงกับโจทย์ที่กำหนด
• ข้อ ง. (สามารถแปะครึ่งแผ่นได้ หากน ้าหนักตัวน้อย):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2" s="2" t="n"/>
      <c r="L52" s="2" t="inlineStr">
        <is>
          <t>Oral contraceptive</t>
        </is>
      </c>
      <c r="M52" s="2" t="inlineStr">
        <is>
          <t>Contraception</t>
        </is>
      </c>
      <c r="N52" s="2" t="inlineStr">
        <is>
          <t>Mock PLE-CC 1 ข้อ 86</t>
        </is>
      </c>
      <c r="O52" s="2" t="inlineStr">
        <is>
          <t>Mock</t>
        </is>
      </c>
      <c r="P52" s="2" t="inlineStr">
        <is>
          <t>Mock RxCU83</t>
        </is>
      </c>
      <c r="Q52" s="2" t="n"/>
    </row>
    <row r="53" ht="13.2" customHeight="1" s="37">
      <c r="A53" s="8" t="inlineStr">
        <is>
          <t>52</t>
        </is>
      </c>
      <c r="B53" s="2" t="inlineStr">
        <is>
          <t>ข้อใดอธิบายกลไกหลักของยาคุมชนิดฮอร์โมนรวม</t>
        </is>
      </c>
      <c r="C53" s="2" t="n"/>
      <c r="D53" s="2" t="inlineStr">
        <is>
          <t>Prevention of endometrial proliferation and maturation</t>
        </is>
      </c>
      <c r="E53" s="2" t="inlineStr">
        <is>
          <t>Feedback inhibitions to suppress LH surge</t>
        </is>
      </c>
      <c r="F53" s="2" t="inlineStr">
        <is>
          <t>Sensitize hypothalamus to the positive feedback of estrogen</t>
        </is>
      </c>
      <c r="G53" s="2" t="inlineStr">
        <is>
          <t>Delay ovulation</t>
        </is>
      </c>
      <c r="H53" s="2" t="inlineStr">
        <is>
          <t>Reduce chance of conception</t>
        </is>
      </c>
      <c r="I53" s="8" t="inlineStr">
        <is>
          <t>1</t>
        </is>
      </c>
      <c r="J53" s="2" t="inlineStr">
        <is>
          <t>✅ คำตอบที่ถูกต้อง: ข้อ ก. Prevention of endometrial proliferation and maturation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(Prevention of endometrial proliferation and maturation): ข้อนี้ไม่ใช่คำตอบที่ถูกต้องสำหรับภาวะ Oral contraceptive เนื่องจากกลไกการออกฤทธิ์, efficacy หรือข้อบ่งใช้ไม่ตรงกับโจทย์ที่กำหนด
• ข้อ ค. (Feedback inhibitions to suppress LH surge): ข้อนี้ไม่ใช่คำตอบที่ถูกต้องสำหรับภาวะ Oral contraceptive เนื่องจากกลไกการออกฤทธิ์, efficacy หรือข้อบ่งใช้ไม่ตรงกับโจทย์ที่กำหนด
• ข้อ ง. (Sensitize hypothalamus to the positive feedback of estrogen): ข้อนี้ไม่ใช่คำตอบที่ถูกต้องสำหรับภาวะ Oral contraceptive เนื่องจากกลไกการออกฤทธิ์, efficacy หรือข้อบ่งใช้ไม่ตรงกับโจทย์ที่กำหนด
• ข้อ จ. (Delay ovulation):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3" s="2" t="n"/>
      <c r="L53" s="2" t="inlineStr">
        <is>
          <t>Oral contraceptive</t>
        </is>
      </c>
      <c r="M53" s="2" t="inlineStr">
        <is>
          <t>Contraception</t>
        </is>
      </c>
      <c r="N53" s="2" t="inlineStr">
        <is>
          <t>Mock PLE-CC 1 ข้อ 87</t>
        </is>
      </c>
      <c r="O53" s="2" t="inlineStr">
        <is>
          <t>Mock</t>
        </is>
      </c>
      <c r="P53" s="2" t="inlineStr">
        <is>
          <t>Mock RxCU83</t>
        </is>
      </c>
      <c r="Q53" s="2" t="n"/>
    </row>
    <row r="54" ht="13.2" customHeight="1" s="37">
      <c r="A54" s="8" t="inlineStr">
        <is>
          <t>53</t>
        </is>
      </c>
      <c r="B54" s="2" t="inlineStr">
        <is>
          <t>ข้อใดไม่จัดเป็นเกณฑ์ COA แผ่นแปะยาคุม</t>
        </is>
      </c>
      <c r="C54" s="2" t="n"/>
      <c r="D54" s="2" t="inlineStr">
        <is>
          <t>Identification</t>
        </is>
      </c>
      <c r="E54" s="2" t="inlineStr">
        <is>
          <t>Assay</t>
        </is>
      </c>
      <c r="F54" s="2" t="inlineStr">
        <is>
          <t>In vitro drug release</t>
        </is>
      </c>
      <c r="G54" s="2" t="inlineStr">
        <is>
          <t>Adhesion</t>
        </is>
      </c>
      <c r="H54" s="2" t="inlineStr">
        <is>
          <t>Uniformity of dosage unit</t>
        </is>
      </c>
      <c r="I54" s="8" t="inlineStr">
        <is>
          <t>1</t>
        </is>
      </c>
      <c r="J54" s="2" t="inlineStr">
        <is>
          <t>✅ คำตอบที่ถูกต้อง: ข้อ ก. Identification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Identification การเลือก Identification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ข้อนี้ไม่ใช่คำตอบที่ถูกต้องสำหรับภาวะ Oral contraceptive เนื่องจากกลไกการออกฤทธิ์, efficacy หรือข้อบ่งใช้ไม่ตรงกับโจทย์ที่กำหนด
• ข้อ ค. (Assay): ข้อนี้ไม่ใช่คำตอบที่ถูกต้องสำหรับภาวะ Oral contraceptive เนื่องจากกลไกการออกฤทธิ์, efficacy หรือข้อบ่งใช้ไม่ตรงกับโจทย์ที่กำหนด
• ข้อ ง. (In vitro drug release): ข้อนี้ไม่ใช่คำตอบที่ถูกต้องสำหรับภาวะ Oral contraceptive เนื่องจากกลไกการออกฤทธิ์, efficacy หรือข้อบ่งใช้ไม่ตรงกับโจทย์ที่กำหนด
• ข้อ จ. (Adhesion):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4" s="2" t="n"/>
      <c r="L54" s="2" t="inlineStr">
        <is>
          <t>Oral contraceptive</t>
        </is>
      </c>
      <c r="M54" s="2" t="inlineStr">
        <is>
          <t>Contraception</t>
        </is>
      </c>
      <c r="N54" s="2" t="inlineStr">
        <is>
          <t>Mock PLE-CC 1 ข้อ 93</t>
        </is>
      </c>
      <c r="O54" s="2" t="inlineStr">
        <is>
          <t>Mock</t>
        </is>
      </c>
      <c r="P54" s="2" t="inlineStr">
        <is>
          <t>Mock RxCU83</t>
        </is>
      </c>
      <c r="Q54" s="2" t="n"/>
    </row>
    <row r="55" ht="13.2" customHeight="1" s="37">
      <c r="A55" s="8" t="inlineStr">
        <is>
          <t>54</t>
        </is>
      </c>
      <c r="B55" s="2" t="inlineStr">
        <is>
          <t>หญิงตั้งครรภ์รู้ว่าต้องระมัดระวังในการเลือกยาคุมกำเนิดชนิดเม็ด จึงมาปรึกษาเภสัชกรเรื่องการใช้ยาคุมกำเนิด
พฤติกรรมนี้จัดเป็นอะไรตาม health believe model (HBM)</t>
        </is>
      </c>
      <c r="C55" s="2" t="n"/>
      <c r="D55" s="2" t="inlineStr">
        <is>
          <t>Perceive susceptibility</t>
        </is>
      </c>
      <c r="E55" s="2" t="inlineStr">
        <is>
          <t>Perceive severity</t>
        </is>
      </c>
      <c r="F55" s="2" t="inlineStr">
        <is>
          <t>Perceive benefits</t>
        </is>
      </c>
      <c r="G55" s="2" t="inlineStr">
        <is>
          <t>Perceive barriers</t>
        </is>
      </c>
      <c r="H55" s="2" t="inlineStr">
        <is>
          <t>Self efficacy</t>
        </is>
      </c>
      <c r="I55" s="8" t="inlineStr">
        <is>
          <t>1</t>
        </is>
      </c>
      <c r="J55" s="2" t="inlineStr">
        <is>
          <t>✅ คำตอบที่ถูกต้อง: ข้อ ก. Perceive susceptibility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(Perceive susceptibility): ข้อนี้ไม่ใช่คำตอบที่ถูกต้องสำหรับภาวะ Oral contraceptive เนื่องจากกลไกการออกฤทธิ์, efficacy หรือข้อบ่งใช้ไม่ตรงกับโจทย์ที่กำหนด
• ข้อ ค. (Perceive severity): ข้อนี้ไม่ใช่คำตอบที่ถูกต้องสำหรับภาวะ Oral contraceptive เนื่องจากกลไกการออกฤทธิ์, efficacy หรือข้อบ่งใช้ไม่ตรงกับโจทย์ที่กำหนด
• ข้อ ง. (Perceive benefits): ข้อนี้ไม่ใช่คำตอบที่ถูกต้องสำหรับภาวะ Oral contraceptive เนื่องจากกลไกการออกฤทธิ์, efficacy หรือข้อบ่งใช้ไม่ตรงกับโจทย์ที่กำหนด
• ข้อ จ. (Perceive barriers):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5" s="2" t="n"/>
      <c r="L55" s="2" t="inlineStr">
        <is>
          <t>Oral contraceptive</t>
        </is>
      </c>
      <c r="M55" s="2" t="inlineStr">
        <is>
          <t>Contraception</t>
        </is>
      </c>
      <c r="N55" s="2" t="inlineStr">
        <is>
          <t>Mock PLE-CC 1 ข้อ 94</t>
        </is>
      </c>
      <c r="O55" s="2" t="inlineStr">
        <is>
          <t>Mock</t>
        </is>
      </c>
      <c r="P55" s="2" t="inlineStr">
        <is>
          <t>Mock RxCU83</t>
        </is>
      </c>
      <c r="Q55" s="2" t="n"/>
    </row>
    <row r="56" ht="13.2" customHeight="1" s="37">
      <c r="A56" s="8" t="inlineStr">
        <is>
          <t>55</t>
        </is>
      </c>
      <c r="B56" s="2" t="inlineStr">
        <is>
          <t>ยาต้านชักตัวไหนส่งผลต่อยาคุมน้อยสุด. ตัวเลือก</t>
        </is>
      </c>
      <c r="C56" s="2" t="n"/>
      <c r="D56" s="2" t="inlineStr">
        <is>
          <t>Contraception</t>
        </is>
      </c>
      <c r="E56" s="2" t="inlineStr">
        <is>
          <t>Tolterodine 2 mg BID</t>
        </is>
      </c>
      <c r="F56" s="2" t="inlineStr">
        <is>
          <t>Dydrogesterone 10 mg BID</t>
        </is>
      </c>
      <c r="G56" s="2" t="inlineStr">
        <is>
          <t>Ethinylestradiol 30 mcg + Levonorgestrel 150 mcg</t>
        </is>
      </c>
      <c r="H56" s="2" t="inlineStr">
        <is>
          <t>Ethinylestradiol 30 mcg + Drospirenone 3 mg</t>
        </is>
      </c>
      <c r="I56" s="8" t="inlineStr">
        <is>
          <t>1</t>
        </is>
      </c>
      <c r="J56"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6" s="2" t="n"/>
      <c r="L56" s="2" t="inlineStr">
        <is>
          <t>Oral contraceptive</t>
        </is>
      </c>
      <c r="M56" s="2" t="inlineStr">
        <is>
          <t>Contraception</t>
        </is>
      </c>
      <c r="N56" s="2" t="inlineStr">
        <is>
          <t>PLE-CC1 ปี 2566 Day 1 ข้อ 14</t>
        </is>
      </c>
      <c r="O56" s="2" t="inlineStr">
        <is>
          <t>ข้อสอบจริง</t>
        </is>
      </c>
      <c r="P56" s="2" t="inlineStr">
        <is>
          <t>ปี 2566</t>
        </is>
      </c>
    </row>
    <row r="57" ht="13.2" customHeight="1" s="37">
      <c r="A57" s="8" t="inlineStr">
        <is>
          <t>56</t>
        </is>
      </c>
      <c r="B57" s="2" t="inlineStr">
        <is>
          <t>ยาคุมเพิ่งคลอดลูกได้2 week กำลังให้นมบุตร ตัวเลือก</t>
        </is>
      </c>
      <c r="C57" s="2" t="n"/>
      <c r="D57" s="2" t="inlineStr">
        <is>
          <t>Contraception</t>
        </is>
      </c>
      <c r="E57" s="2" t="inlineStr">
        <is>
          <t>Ethinylestradiol 30 mcg + Drospirenone 3 mg</t>
        </is>
      </c>
      <c r="F57" s="2" t="inlineStr">
        <is>
          <t>Ethinylestradiol 35 mcg + Cyproterone acetate 2 mg</t>
        </is>
      </c>
      <c r="G57" s="2" t="inlineStr">
        <is>
          <t>Desogestrel 75 mcg OD (Progestin-only)</t>
        </is>
      </c>
      <c r="H57" s="2" t="inlineStr">
        <is>
          <t>Levonorgestrel 1.5 mg stat (Emergency)</t>
        </is>
      </c>
      <c r="I57" s="8" t="inlineStr">
        <is>
          <t>1</t>
        </is>
      </c>
      <c r="J57"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ง.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7" s="2" t="n"/>
      <c r="L57" s="2" t="inlineStr">
        <is>
          <t>Oral contraceptive</t>
        </is>
      </c>
      <c r="M57" s="2" t="inlineStr">
        <is>
          <t>Contraception</t>
        </is>
      </c>
      <c r="N57" s="2" t="inlineStr">
        <is>
          <t>PLE-CC1 ปี 2566 Day 1 ข้อ 26</t>
        </is>
      </c>
      <c r="O57" s="2" t="inlineStr">
        <is>
          <t>ข้อสอบจริง</t>
        </is>
      </c>
      <c r="P57" s="2" t="inlineStr">
        <is>
          <t>ปี 2566</t>
        </is>
      </c>
    </row>
    <row r="58" ht="13.2" customHeight="1" s="37">
      <c r="A58" s="8" t="inlineStr">
        <is>
          <t>57</t>
        </is>
      </c>
      <c r="B58" s="2" t="inlineStr">
        <is>
          <t>EE + Drosperinone</t>
        </is>
      </c>
      <c r="C58" s="2" t="n"/>
      <c r="D58" s="2" t="inlineStr">
        <is>
          <t>Contraception</t>
        </is>
      </c>
      <c r="E58" s="2" t="inlineStr">
        <is>
          <t>Levonorgestrel 1.5 mg stat (Emergency)</t>
        </is>
      </c>
      <c r="F58" s="2" t="inlineStr">
        <is>
          <t>Mefenamic acid 500 mg TID</t>
        </is>
      </c>
      <c r="G58" s="2" t="inlineStr">
        <is>
          <t>Tamsulosin 0.4 mg HS</t>
        </is>
      </c>
      <c r="H58" s="2" t="inlineStr">
        <is>
          <t>Finasteride 5 mg OD</t>
        </is>
      </c>
      <c r="I58" s="8" t="inlineStr">
        <is>
          <t>1</t>
        </is>
      </c>
      <c r="J58"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8" s="2" t="n"/>
      <c r="L58" s="2" t="inlineStr">
        <is>
          <t>Oral contraceptive</t>
        </is>
      </c>
      <c r="M58" s="2" t="inlineStr">
        <is>
          <t>Contraception</t>
        </is>
      </c>
      <c r="N58" s="2" t="inlineStr">
        <is>
          <t>PLE-CC1 ปี 2566 Day 1 ข้อ 2</t>
        </is>
      </c>
      <c r="O58" s="2" t="inlineStr">
        <is>
          <t>ข้อสอบจริง</t>
        </is>
      </c>
      <c r="P58" s="2" t="inlineStr">
        <is>
          <t>ปี 2566</t>
        </is>
      </c>
    </row>
    <row r="59" ht="13.2" customHeight="1" s="37">
      <c r="A59" s="8" t="inlineStr">
        <is>
          <t>58</t>
        </is>
      </c>
      <c r="B59" s="2" t="inlineStr">
        <is>
          <t>ผลของยาคุมชนิดฮอร์โมนรวมในระยะยาว ตัวเลือก</t>
        </is>
      </c>
      <c r="C59" s="2" t="n"/>
      <c r="D59" s="2" t="inlineStr">
        <is>
          <t>Contraception</t>
        </is>
      </c>
      <c r="E59" s="2" t="inlineStr">
        <is>
          <t>Finasteride 5 mg OD</t>
        </is>
      </c>
      <c r="F59" s="2" t="inlineStr">
        <is>
          <t>Oxybutynin 5 mg BID</t>
        </is>
      </c>
      <c r="G59" s="2" t="inlineStr">
        <is>
          <t>Tolterodine 2 mg BID</t>
        </is>
      </c>
      <c r="H59" s="2" t="inlineStr">
        <is>
          <t>Dydrogesterone 10 mg BID</t>
        </is>
      </c>
      <c r="I59" s="8" t="inlineStr">
        <is>
          <t>1</t>
        </is>
      </c>
      <c r="J59"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9" s="2" t="n"/>
      <c r="L59" s="2" t="inlineStr">
        <is>
          <t>Oral contraceptive</t>
        </is>
      </c>
      <c r="M59" s="2" t="inlineStr">
        <is>
          <t>Contraception</t>
        </is>
      </c>
      <c r="N59" s="2" t="inlineStr">
        <is>
          <t>PLE-CC1 ปี 2566 Day 1 ข้อ 27</t>
        </is>
      </c>
      <c r="O59" s="2" t="inlineStr">
        <is>
          <t>ข้อสอบจริง</t>
        </is>
      </c>
      <c r="P59" s="2" t="inlineStr">
        <is>
          <t>ปี 2566</t>
        </is>
      </c>
    </row>
    <row r="60" ht="13.2" customHeight="1" s="37">
      <c r="A60" s="8" t="inlineStr">
        <is>
          <t>59</t>
        </is>
      </c>
      <c r="B60" s="2" t="inlineStr">
        <is>
          <t>Combined oral contraceptive pills 1x1 ทุกวัน</t>
        </is>
      </c>
      <c r="C60" s="2" t="n"/>
      <c r="D60" s="2" t="inlineStr">
        <is>
          <t>Contraception</t>
        </is>
      </c>
      <c r="E60" s="2" t="inlineStr">
        <is>
          <t>Dydrogesterone 10 mg BID</t>
        </is>
      </c>
      <c r="F60" s="2" t="inlineStr">
        <is>
          <t>Ethinylestradiol 30 mcg + Levonorgestrel 150 mcg</t>
        </is>
      </c>
      <c r="G60" s="2" t="inlineStr">
        <is>
          <t>Ethinylestradiol 30 mcg + Drospirenone 3 mg</t>
        </is>
      </c>
      <c r="H60" s="2" t="inlineStr">
        <is>
          <t>Ethinylestradiol 35 mcg + Cyproterone acetate 2 mg</t>
        </is>
      </c>
      <c r="I60" s="8" t="inlineStr">
        <is>
          <t>1</t>
        </is>
      </c>
      <c r="J60"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0" s="2" t="n"/>
      <c r="L60" s="2" t="inlineStr">
        <is>
          <t>Oral contraceptive</t>
        </is>
      </c>
      <c r="M60" s="2" t="inlineStr">
        <is>
          <t>Contraception</t>
        </is>
      </c>
      <c r="N60" s="2" t="inlineStr">
        <is>
          <t>PLE-CC1 ปี 2566 Day 2 ข้อ 3</t>
        </is>
      </c>
      <c r="O60" s="2" t="inlineStr">
        <is>
          <t>ข้อสอบจริง</t>
        </is>
      </c>
      <c r="P60" s="2" t="inlineStr">
        <is>
          <t>ปี 2566</t>
        </is>
      </c>
    </row>
    <row r="61" ht="13.2" customHeight="1" s="37">
      <c r="A61" s="8" t="inlineStr">
        <is>
          <t>60</t>
        </is>
      </c>
      <c r="B61" s="2" t="inlineStr">
        <is>
          <t>ผูป%วยรายนี้ควรไดยาคุมในขอใด</t>
        </is>
      </c>
      <c r="C61" s="2" t="n"/>
      <c r="D61" s="2" t="inlineStr">
        <is>
          <t>EE … mcg + Levonorgestrel 0.15 mg</t>
        </is>
      </c>
      <c r="E61" s="2" t="inlineStr">
        <is>
          <t>EE … mcg + Drosperinone 3 mg</t>
        </is>
      </c>
      <c r="F61" s="2" t="inlineStr">
        <is>
          <t>จำ choice ไม;ได</t>
        </is>
      </c>
      <c r="G61" s="2" t="inlineStr">
        <is>
          <t>จำ choice ไม;ได</t>
        </is>
      </c>
      <c r="H61" s="2" t="inlineStr">
        <is>
          <t>* จำ choice ไม;ได# *</t>
        </is>
      </c>
      <c r="I61" s="8" t="inlineStr">
        <is>
          <t>1</t>
        </is>
      </c>
      <c r="J61" s="2" t="inlineStr">
        <is>
          <t>✅ คำตอบที่ถูกต้อง: ข้อ ก. EE … mcg + Levonorgestrel 0.15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(EE … mcg + Levonorgestrel 0.15 mg): ข้อนี้ไม่ใช่คำตอบที่ถูกต้องสำหรับภาวะ Oral contraceptive เนื่องจากกลไกการออกฤทธิ์, efficacy หรือข้อบ่งใช้ไม่ตรงกับโจทย์ที่กำหนด
• ข้อ ค. (EE … mcg + Drosperinone 3 mg): ข้อนี้ไม่ใช่คำตอบที่ถูกต้องสำหรับภาวะ Oral contraceptive เนื่องจากกลไกการออกฤทธิ์, efficacy หรือข้อบ่งใช้ไม่ตรงกับโจทย์ที่กำหนด
• ข้อ ง. (จำ choice ไม;ได): ข้อนี้ไม่ใช่คำตอบที่ถูกต้องสำหรับภาวะ Oral contraceptive เนื่องจากกลไกการออกฤทธิ์, efficacy หรือข้อบ่งใช้ไม่ตรงกับโจทย์ที่กำหนด
• ข้อ จ. (จำ choice ไม;ได):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1" s="2" t="n"/>
      <c r="L61" s="2" t="inlineStr">
        <is>
          <t>Oral contraceptive</t>
        </is>
      </c>
      <c r="M61" s="2" t="inlineStr">
        <is>
          <t>Contraception</t>
        </is>
      </c>
      <c r="N61" s="2" t="inlineStr">
        <is>
          <t>PLE_CC1_2565_Day1_Key ข้อ 65</t>
        </is>
      </c>
      <c r="O61" s="2" t="inlineStr">
        <is>
          <t>ข้อสอบจริง</t>
        </is>
      </c>
      <c r="P61" s="2" t="inlineStr">
        <is>
          <t>ปี 2565</t>
        </is>
      </c>
      <c r="Q61" s="2" t="n"/>
    </row>
    <row r="62" ht="13.2" customHeight="1" s="37">
      <c r="A62" s="8" t="inlineStr">
        <is>
          <t>61</t>
        </is>
      </c>
      <c r="B62" s="2" t="inlineStr">
        <is>
          <t>คำแนะนำในการใชยาคุมขอใดไม;ถูกตอง</t>
        </is>
      </c>
      <c r="C62" s="2" t="n"/>
      <c r="D62" s="2" t="inlineStr">
        <is>
          <t>ทานเม็ดฮอรçโมนเม็ดแรกในวันพรุ;งนี้</t>
        </is>
      </c>
      <c r="E62" s="2" t="inlineStr">
        <is>
          <t>ทานวันละ 1 เม็ดต;อเนื่องทุกวัน เวลาใดก็ไดแต;ใหเปMนเวลาเดียวกันทุกวัน</t>
        </is>
      </c>
      <c r="F62" s="2" t="inlineStr">
        <is>
          <t>หากมีเลือดออกกะปริบกะปรอยจากช;องคลอดใหรีบหยุดทานแลวมาปรึกษาเภสัชกร</t>
        </is>
      </c>
      <c r="G62" s="2" t="inlineStr">
        <is>
          <t>อาจมีอาการคลื่นไสอาเจียนช;วง 2-3 แผงแรก ใหรับประทานเปMนหลังอาหารเย็นหรือก;อนนอนจะช;วย ลดอาการ</t>
        </is>
      </c>
      <c r="H62" s="2" t="inlineStr">
        <is>
          <t>หากลืมรับประทานให#ทานทันทีที่นึกขึ้นได# จากสถานการณçข#างบน เภสัชกรตัดสินใจจ;ายยาคุมที่มีส;วนผสมของ EE 30 mcg + Cyproterone acetate 2 mg กินยาทุกวันเวลาเดียวกันทุกวัน แต;ผ;านไป 2-3 แผงยังมีอาการคัดตึงเต#านม คลื่นไส# อาเจียน</t>
        </is>
      </c>
      <c r="I62" s="8" t="inlineStr">
        <is>
          <t>1</t>
        </is>
      </c>
      <c r="J62" s="2" t="inlineStr">
        <is>
          <t>✅ คำตอบที่ถูกต้อง: ข้อ ก. ทานเม็ดฮอรçโมนเม็ดแรกในวันพรุ;งนี้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(ทานเม็ดฮอรçโมนเม็ดแรกในวันพรุ;งนี้): ข้อนี้ไม่ใช่คำตอบที่ถูกต้องสำหรับภาวะ Oral contraceptive เนื่องจากกลไกการออกฤทธิ์, efficacy หรือข้อบ่งใช้ไม่ตรงกับโจทย์ที่กำหนด
• ข้อ ค. (ทานวันละ 1 เม็ดต;อเนื่องทุกวัน เวลาใดก็ไดแต;ใหเปMนเวลาเดียวกันทุกวัน): ข้อนี้ไม่ใช่คำตอบที่ถูกต้องสำหรับภาวะ Oral contraceptive เนื่องจากกลไกการออกฤทธิ์, efficacy หรือข้อบ่งใช้ไม่ตรงกับโจทย์ที่กำหนด
• ข้อ ง. (หากมีเลือดออกกะปริบกะปรอยจากช;องคลอดใหรีบหยุดทานแลวมาปรึกษาเภสัชกร): ข้อนี้ไม่ใช่คำตอบที่ถูกต้องสำหรับภาวะ Oral contraceptive เนื่องจากกลไกการออกฤทธิ์, efficacy หรือข้อบ่งใช้ไม่ตรงกับโจทย์ที่กำหนด
• ข้อ จ. (อาจมีอาการคลื่นไสอาเจียนช;วง 2-3 แผงแรก ใหรับประทานเปMนหลังอาหารเย็นหรือก;อนนอนจะช;วย ลดอาการ):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2" s="2" t="n"/>
      <c r="L62" s="2" t="inlineStr">
        <is>
          <t>Oral contraceptive</t>
        </is>
      </c>
      <c r="M62" s="2" t="inlineStr">
        <is>
          <t>Contraception</t>
        </is>
      </c>
      <c r="N62" s="2" t="inlineStr">
        <is>
          <t>PLE_CC1_2565_Day1_Key ข้อ 66</t>
        </is>
      </c>
      <c r="O62" s="2" t="inlineStr">
        <is>
          <t>ข้อสอบจริง</t>
        </is>
      </c>
      <c r="P62" s="2" t="inlineStr">
        <is>
          <t>ปี 2565</t>
        </is>
      </c>
      <c r="Q62" s="2" t="n"/>
    </row>
    <row r="63" ht="13.2" customHeight="1" s="37">
      <c r="A63" s="8" t="inlineStr">
        <is>
          <t>62</t>
        </is>
      </c>
      <c r="B63" s="2" t="inlineStr">
        <is>
          <t>Oral contraceptive</t>
        </is>
      </c>
      <c r="C63" s="2" t="n"/>
      <c r="D63" s="2" t="inlineStr">
        <is>
          <t>Contraception</t>
        </is>
      </c>
      <c r="E63" s="2" t="inlineStr">
        <is>
          <t>Oxybutynin 5 mg BID</t>
        </is>
      </c>
      <c r="F63" s="2" t="inlineStr">
        <is>
          <t>Tolterodine 2 mg BID</t>
        </is>
      </c>
      <c r="G63" s="2" t="inlineStr">
        <is>
          <t>Dydrogesterone 10 mg BID</t>
        </is>
      </c>
      <c r="H63" s="2" t="inlineStr">
        <is>
          <t>Ethinylestradiol 30 mcg + Levonorgestrel 150 mcg</t>
        </is>
      </c>
      <c r="I63" s="8" t="inlineStr">
        <is>
          <t>1</t>
        </is>
      </c>
      <c r="J63"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ค.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ง.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3" s="2" t="n"/>
      <c r="L63" s="2" t="inlineStr">
        <is>
          <t>Oral contraceptive</t>
        </is>
      </c>
      <c r="M63" s="2" t="inlineStr">
        <is>
          <t>Contraception</t>
        </is>
      </c>
      <c r="N63" s="2" t="inlineStr">
        <is>
          <t>PLE_CC1_2565_Day1_Key ข้อ 16</t>
        </is>
      </c>
      <c r="O63" s="2" t="inlineStr">
        <is>
          <t>ข้อสอบจริง</t>
        </is>
      </c>
      <c r="P63" s="2" t="inlineStr">
        <is>
          <t>ปี 2565</t>
        </is>
      </c>
    </row>
    <row r="64" ht="13.2" customHeight="1" s="37">
      <c r="A64" s="8" t="inlineStr">
        <is>
          <t>63</t>
        </is>
      </c>
      <c r="B64" s="2" t="inlineStr">
        <is>
          <t>ข้อห้ามใช้ของยาคุม COCs จาก U.S. Medical Eligibility Criteria for contraceptive Use, 2016 Guideline ของ CDC ในหัวข้อ Appendix D ที่มีการปรับปรุง criteria จากในปี 2010 (เกณฑ์ที่ใช้ตอนเรียนเรื่องยาคุมกับพี่เดียร์) โดยจะมีการแบ่งระดับเป็น 1-4 โดยระดับที่ 4 คือระดับที่ไม่แนะนำให้ใช้การคุมกำเนิดด้วยวิธีนั้นในผู้ป่วยที่มี conditions ของหัวข้อนั้น ๆ ซึ่งผู้ป่วยที่มีข้อห้ามในการใช้ COCs คือ</t>
        </is>
      </c>
      <c r="C64" s="2" t="n"/>
      <c r="D64" s="2" t="inlineStr">
        <is>
          <t>Contraception</t>
        </is>
      </c>
      <c r="E64" s="2" t="inlineStr">
        <is>
          <t>Ethinylestradiol 30 mcg + Levonorgestrel 150 mcg</t>
        </is>
      </c>
      <c r="F64" s="2" t="inlineStr">
        <is>
          <t>Ethinylestradiol 30 mcg + Drospirenone 3 mg</t>
        </is>
      </c>
      <c r="G64" s="2" t="inlineStr">
        <is>
          <t>Ethinylestradiol 35 mcg + Cyproterone acetate 2 mg</t>
        </is>
      </c>
      <c r="H64" s="2" t="inlineStr">
        <is>
          <t>Desogestrel 75 mcg OD (Progestin-only)</t>
        </is>
      </c>
      <c r="I64" s="8" t="inlineStr">
        <is>
          <t>1</t>
        </is>
      </c>
      <c r="J64"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2" t="n"/>
      <c r="L64" s="2" t="inlineStr">
        <is>
          <t>Oral contraceptive</t>
        </is>
      </c>
      <c r="M64" s="2" t="inlineStr">
        <is>
          <t>Contraception</t>
        </is>
      </c>
      <c r="N64" s="2" t="inlineStr">
        <is>
          <t>PLE_CC1_2564_All_Key ข้อ 26</t>
        </is>
      </c>
      <c r="O64" s="2" t="inlineStr">
        <is>
          <t>ข้อสอบจริง</t>
        </is>
      </c>
      <c r="P64" s="2" t="inlineStr">
        <is>
          <t>ปี 2564</t>
        </is>
      </c>
    </row>
    <row r="65" ht="13.2" customHeight="1" s="37">
      <c r="A65" s="8" t="inlineStr">
        <is>
          <t>64</t>
        </is>
      </c>
      <c r="B65" s="2" t="inlineStr">
        <is>
          <t>ใช้อะไรในการสกัด tree tea oil จากใบและกิ่งสด</t>
        </is>
      </c>
      <c r="C65" s="2" t="n"/>
      <c r="D65" s="2" t="inlineStr">
        <is>
          <t>Soxhlet extraction</t>
        </is>
      </c>
      <c r="E65" s="2" t="inlineStr">
        <is>
          <t>สกัดด้วยน้ำ</t>
        </is>
      </c>
      <c r="F65" s="2" t="inlineStr">
        <is>
          <t>กลั่นด้วยไอน้ำ</t>
        </is>
      </c>
      <c r="G65" s="2" t="inlineStr">
        <is>
          <t>Enfleurage</t>
        </is>
      </c>
      <c r="H65" s="2" t="inlineStr">
        <is>
          <t>สกัดด้วย alcohol: น้ำ 70% เหมาะในการสกัดน้ำมันหอมระเหยออกจากส่วนต่าง ๆ ของพืช • a. Soxhlet extraction ไม่เหมาะสมเพราะเป็นเทคนิคที่แยกสารอินทรีย์ที่ไม่เสถียรที่ความร้อนสูงออกจากสารผสมที่เป็นของแข็ง • b. สกัดด้วยน้ำ ไม่เหมาะสมเพราะสารที่ต้องการสกัดเป็นน้ำมัน ซึ่งไม่สามารถสกัดด้วยน้ำได้ • d. enfleurage เป็นการวางดอกไม้บนไขมันสัตว์หรือไขมันหมูที่บริสุทธิ์มาก เพื่อให้ไขมันดูดซับน้ำมันหอมจากดอกไม้ e. สกัดด้วย alcohol: น้ำ 70% อาศัยหลักการความมีขั้วของตัวทำ ละลายและสาระสำคัญ https://www.ncbi.nlm.nih.gov/pmc/articles/PMC1360273/</t>
        </is>
      </c>
      <c r="I65" s="8" t="inlineStr">
        <is>
          <t>2</t>
        </is>
      </c>
      <c r="J65" s="2" t="inlineStr">
        <is>
          <t>✅ คำตอบที่ถูกต้อง: ข้อ ข. สกัดด้วยน้ำ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สกัดด้วยน้ำ ..............................................................................................................................................................................................................
🔍 ข้ออื่นผิดเพราะอะไร:
• ข้อ ก. (Contraception): ข้อนี้ไม่ใช่คำตอบที่ถูกต้องสำหรับภาวะ Oral contraceptive เนื่องจากกลไกการออกฤทธิ์, efficacy หรือข้อบ่งใช้ไม่ตรงกับโจทย์ที่กำหนด
• ข้อ ข. (Soxhlet extraction): ข้อนี้ไม่ใช่คำตอบที่ถูกต้องสำหรับภาวะ Oral contraceptive เนื่องจากกลไกการออกฤทธิ์, efficacy หรือข้อบ่งใช้ไม่ตรงกับโจทย์ที่กำหนด
• ข้อ ง. (กลั่นด้วยไอน้ำ): ข้อนี้ไม่ใช่คำตอบที่ถูกต้องสำหรับภาวะ Oral contraceptive เนื่องจากกลไกการออกฤทธิ์, efficacy หรือข้อบ่งใช้ไม่ตรงกับโจทย์ที่กำหนด
• ข้อ จ. (Enfleurage):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5" s="2" t="n"/>
      <c r="L65" s="2" t="inlineStr">
        <is>
          <t>Oral contraceptive</t>
        </is>
      </c>
      <c r="M65" s="2" t="inlineStr">
        <is>
          <t>Contraception</t>
        </is>
      </c>
      <c r="N65" s="2" t="inlineStr">
        <is>
          <t>PLE_CC1_2564_All_Key ข้อ 85</t>
        </is>
      </c>
      <c r="O65" s="2" t="inlineStr">
        <is>
          <t>ข้อสอบจริง</t>
        </is>
      </c>
      <c r="P65" s="2" t="inlineStr">
        <is>
          <t>ปี 2564</t>
        </is>
      </c>
      <c r="Q65" s="2" t="n"/>
    </row>
    <row r="66" ht="13.2" customHeight="1" s="37">
      <c r="A66" s="8" t="inlineStr">
        <is>
          <t>65</t>
        </is>
      </c>
      <c r="B66" s="2" t="inlineStr">
        <is>
          <t>สากการควบคุมคุณภาพตำรับยาลดกรดที่มีส่วนผสมขอษ Al(OH)2 และ Mg(OH)2 ข้อใดถูกต้อษ (มี ตาราษ %sedimention, degree of focculation มาให้) ตำรับ Sedimentation volume Degree of flocculation Rheology A 0.51 0.74 Newtonian B 0.98</t>
        </is>
      </c>
      <c r="C66" s="2" t="n"/>
      <c r="D66" s="2" t="inlineStr">
        <is>
          <t>Contraception</t>
        </is>
      </c>
      <c r="E66" s="2" t="inlineStr">
        <is>
          <t>43 Pseudoplastic C 0.47</t>
        </is>
      </c>
      <c r="F66" s="2" t="inlineStr">
        <is>
          <t>ตำรับ B มีแนวโน้มคษตัวดีกว่าตำรับ C</t>
        </is>
      </c>
      <c r="G66" s="2" t="inlineStr">
        <is>
          <t>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t>
        </is>
      </c>
      <c r="H66" s="2" t="inlineStr">
        <is>
          <t>Tolterodine 2 mg BID</t>
        </is>
      </c>
      <c r="I66" s="8" t="inlineStr">
        <is>
          <t>1</t>
        </is>
      </c>
      <c r="J66" s="2" t="inlineStr">
        <is>
          <t>✅ คำตอบที่ถูกต้อง: ข้อ ก. Contraception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(43 Pseudoplastic C 0.47): ข้อนี้ไม่ใช่คำตอบที่ถูกต้องสำหรับภาวะ Oral contraceptive เนื่องจากกลไกการออกฤทธิ์, efficacy หรือข้อบ่งใช้ไม่ตรงกับโจทย์ที่กำหนด
• ข้อ ค. (ตำรับ B มีแนวโน้มคษตัวดีกว่าตำรับ C): ข้อนี้ไม่ใช่คำตอบที่ถูกต้องสำหรับภาวะ Oral contraceptive เนื่องจากกลไกการออกฤทธิ์, efficacy หรือข้อบ่งใช้ไม่ตรงกับโจทย์ที่กำหนด
• ข้อ ง.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6" s="2" t="n"/>
      <c r="L66" s="2" t="inlineStr">
        <is>
          <t>Oral contraceptive</t>
        </is>
      </c>
      <c r="M66" s="2" t="inlineStr">
        <is>
          <t>Contraception</t>
        </is>
      </c>
      <c r="N66" s="2" t="inlineStr">
        <is>
          <t>PLE_CC1_2563_Q ข้อ 27</t>
        </is>
      </c>
      <c r="O66" s="2" t="inlineStr">
        <is>
          <t>ข้อสอบจริง</t>
        </is>
      </c>
      <c r="P66" s="2" t="inlineStr">
        <is>
          <t>ปี 2563</t>
        </is>
      </c>
    </row>
    <row r="67" ht="13.2" customHeight="1" s="37">
      <c r="A67" s="8" t="inlineStr">
        <is>
          <t>65</t>
        </is>
      </c>
      <c r="B67" s="2" t="inlineStr">
        <is>
          <t>คำแนะนำใดที่เหมาะสม หากผู้ป่วยวางแผนจะตั้งครรภ์ &amp; aeveIndiana inactancia X Type B ADR Malenuresen</t>
        </is>
      </c>
      <c r="C67" s="2" t="n"/>
      <c r="D67" s="2" t="inlineStr">
        <is>
          <t>ให้ vitamin K จนกว่าจะคลอด</t>
        </is>
      </c>
      <c r="E67" s="2" t="inlineStr">
        <is>
          <t>ให้ folic acid เสริมตั้งแต่วันนี้เป็นต้นไป</t>
        </is>
      </c>
      <c r="F67" s="2" t="inlineStr">
        <is>
          <t>รักษาอาการชักจนหายก่อนวางแผนตั้งครรภ์</t>
        </is>
      </c>
      <c r="G67" s="2" t="inlineStr">
        <is>
          <t>หยุดยารักษาอาการชักก่อนการตั้งครรภ์</t>
        </is>
      </c>
      <c r="H67" s="2" t="inlineStr">
        <is>
          <t>เปลี่ยนยารักษาอาการชักเป็น valproic acid สำหรับหญิงตั้งครรภ์</t>
        </is>
      </c>
      <c r="I67" s="8" t="inlineStr">
        <is>
          <t>1</t>
        </is>
      </c>
      <c r="J67" s="2" t="inlineStr">
        <is>
          <t>✅ คำตอบที่ถูกต้อง: ข้อ ก. ให้ vitamin K จนกว่าจะคลอด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ให้ vitamin K จนกว่าจะคลอด การเลือก ให้ vitamin K จนกว่าจะคลอด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(ให้ folic acid เสริมตั้งแต่วันนี้เป็นต้นไป): ข้อนี้ไม่ใช่คำตอบที่ถูกต้องสำหรับภาวะ Oral contraceptive เนื่องจากกลไกการออกฤทธิ์, efficacy หรือข้อบ่งใช้ไม่ตรงกับโจทย์ที่กำหนด
• ข้อ ค. (รักษาอาการชักจนหายก่อนวางแผนตั้งครรภ์): ข้อนี้ไม่ใช่คำตอบที่ถูกต้องสำหรับภาวะ Oral contraceptive เนื่องจากกลไกการออกฤทธิ์, efficacy หรือข้อบ่งใช้ไม่ตรงกับโจทย์ที่กำหนด
• ข้อ ง. (หยุดยารักษาอาการชักก่อนการตั้งครรภ์): ข้อนี้ไม่ใช่คำตอบที่ถูกต้องสำหรับภาวะ Oral contraceptive เนื่องจากกลไกการออกฤทธิ์, efficacy หรือข้อบ่งใช้ไม่ตรงกับโจทย์ที่กำหนด
• ข้อ จ. (เปลี่ยนยารักษาอาการชักเป็น valproic acid สำหรับหญิงตั้งครรภ์):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7" s="2" t="n"/>
      <c r="L67" s="2" t="inlineStr">
        <is>
          <t>Oral contraceptive</t>
        </is>
      </c>
      <c r="M67" s="2" t="inlineStr">
        <is>
          <t>Clinic</t>
        </is>
      </c>
      <c r="N67" s="2" t="inlineStr">
        <is>
          <t>ข้อ 99 (PLE_CC1_2562_Key.md)</t>
        </is>
      </c>
      <c r="O67" s="2" t="inlineStr">
        <is>
          <t>ข้อสอบจริง</t>
        </is>
      </c>
      <c r="P67" s="2" t="inlineStr">
        <is>
          <t>ปี 2562</t>
        </is>
      </c>
    </row>
    <row r="68" ht="13.2" customHeight="1" s="37">
      <c r="A68" s="8" t="inlineStr">
        <is>
          <t>66</t>
        </is>
      </c>
      <c r="B68" s="2" t="inlineStr">
        <is>
          <t>หากหญิงคนนี้กินยาฮอร์โมนรวมไปได้หลายวันแล้ว มีเลือดออกกระปิดกระปอยควรแนะนำอย่างไร</t>
        </is>
      </c>
      <c r="C68" s="2" t="n"/>
      <c r="D68" s="2" t="inlineStr">
        <is>
          <t>กินไปเหมือนเดิมแล้วอาการจะหายไปหลังใช้ยาต่อเนื่อง 2-3 เดือน</t>
        </is>
      </c>
      <c r="E68" s="2" t="inlineStr">
        <is>
          <t>เพิ่มปริมาณ estrogen</t>
        </is>
      </c>
      <c r="F68" s="2" t="inlineStr">
        <is>
          <t>ลดปริมาณ estrogen</t>
        </is>
      </c>
      <c r="G68" s="2" t="inlineStr">
        <is>
          <t>เพิ่มปริมาณ progesterone</t>
        </is>
      </c>
      <c r="H68" s="2" t="inlineStr">
        <is>
          <t>ลดปริมาณ progesterone</t>
        </is>
      </c>
      <c r="I68" s="8" t="inlineStr">
        <is>
          <t>1</t>
        </is>
      </c>
      <c r="J68" s="2" t="inlineStr">
        <is>
          <t>✅ คำตอบที่ถูกต้อง: ข้อ ก. กินไปเหมือนเดิมแล้วอาการจะหายไปหลังใช้ยาต่อเนื่อง 2-3 เดือน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กินไปเหมือนเดิมแล้วอาการจะหายไปหลังใช้ยาต่อเนื่อง 2-3 เดือน การเลือก กินไปเหมือนเดิมแล้วอาการจะหายไปหลังใช้ยาต่อเนื่อง 2-3 เดือน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(เพิ่มปริมาณ estrogen): ข้อนี้ไม่ใช่คำตอบที่ถูกต้องสำหรับภาวะ Oral contraceptive เนื่องจากกลไกการออกฤทธิ์, efficacy หรือข้อบ่งใช้ไม่ตรงกับโจทย์ที่กำหนด
• ข้อ ค. (ลดปริมาณ estrogen): ข้อนี้ไม่ใช่คำตอบที่ถูกต้องสำหรับภาวะ Oral contraceptive เนื่องจากกลไกการออกฤทธิ์, efficacy หรือข้อบ่งใช้ไม่ตรงกับโจทย์ที่กำหนด
• ข้อ ง. (เพิ่มปริมาณ progesterone): ข้อนี้ไม่ใช่คำตอบที่ถูกต้องสำหรับภาวะ Oral contraceptive เนื่องจากกลไกการออกฤทธิ์, efficacy หรือข้อบ่งใช้ไม่ตรงกับโจทย์ที่กำหนด
• ข้อ จ. (ลดปริมาณ progesterone):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8" s="2" t="n"/>
      <c r="L68" s="2" t="inlineStr">
        <is>
          <t>Oral contraceptive</t>
        </is>
      </c>
      <c r="M68" s="2" t="inlineStr">
        <is>
          <t>Clinic</t>
        </is>
      </c>
      <c r="N68" s="2" t="inlineStr">
        <is>
          <t>ข้อ 48 (PLE_CC1_2562_Key.md)</t>
        </is>
      </c>
      <c r="O68" s="2" t="inlineStr">
        <is>
          <t>ข้อสอบจริง</t>
        </is>
      </c>
      <c r="P68" s="2" t="inlineStr">
        <is>
          <t>ปี 2562</t>
        </is>
      </c>
    </row>
    <row r="69" ht="13.2" customHeight="1" s="37">
      <c r="A69" s="8" t="inlineStr">
        <is>
          <t>67</t>
        </is>
      </c>
      <c r="B69" s="2" t="inlineStr">
        <is>
          <t>ข้อใดคือข้อห(ามใช(ยาคุมกำเนิดแบบฮอรโมนรวมตาม WHO category 4</t>
        </is>
      </c>
      <c r="C69" s="2" t="n"/>
      <c r="D69" s="2" t="inlineStr">
        <is>
          <t>สูบบุหรี่ 10 มวน/วัน</t>
        </is>
      </c>
      <c r="E69" s="2" t="inlineStr">
        <is>
          <t>เป5นโรคเส(นเลือดขอด</t>
        </is>
      </c>
      <c r="F69" s="2" t="inlineStr">
        <is>
          <t>เป5นไมเกรนแบบมีออร.า</t>
        </is>
      </c>
      <c r="G69" s="2" t="inlineStr">
        <is>
          <t>ดัชนีมวลกาย 28 kg/m2 I</t>
        </is>
      </c>
      <c r="H69" s="2" t="inlineStr">
        <is>
          <t>ระดับไขมันในเลือดผิดปกติ</t>
        </is>
      </c>
      <c r="I69" s="8" t="inlineStr">
        <is>
          <t>1</t>
        </is>
      </c>
      <c r="J69" s="2" t="inlineStr">
        <is>
          <t>✅ คำตอบที่ถูกต้อง: ข้อ ก. สูบบุหรี่ 10 มวน/วัน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สูบบุหรี่ 10 มวน/วัน การเลือก สูบบุหรี่ 10 มวน/วัน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(เป5นโรคเส(นเลือดขอด): ข้อนี้ไม่ใช่คำตอบที่ถูกต้องสำหรับภาวะ Oral contraceptive เนื่องจากกลไกการออกฤทธิ์, efficacy หรือข้อบ่งใช้ไม่ตรงกับโจทย์ที่กำหนด
• ข้อ ค. (เป5นไมเกรนแบบมีออร.า): ข้อนี้ไม่ใช่คำตอบที่ถูกต้องสำหรับภาวะ Oral contraceptive เนื่องจากกลไกการออกฤทธิ์, efficacy หรือข้อบ่งใช้ไม่ตรงกับโจทย์ที่กำหนด
• ข้อ ง. (ดัชนีมวลกาย 28 kg/m2 I): ข้อนี้ไม่ใช่คำตอบที่ถูกต้องสำหรับภาวะ Oral contraceptive เนื่องจากกลไกการออกฤทธิ์, efficacy หรือข้อบ่งใช้ไม่ตรงกับโจทย์ที่กำหนด
• ข้อ จ. (ระดับไขมันในเลือดผิดปกติ):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9" s="2" t="n"/>
      <c r="L69" s="2" t="inlineStr">
        <is>
          <t>Oral contraceptive</t>
        </is>
      </c>
      <c r="M69" s="2" t="inlineStr">
        <is>
          <t>Clinic</t>
        </is>
      </c>
      <c r="N69" s="2" t="inlineStr">
        <is>
          <t>ข้อ 55 (PLE_CC1_2561_Key.md)</t>
        </is>
      </c>
      <c r="O69" s="2" t="inlineStr">
        <is>
          <t>ข้อสอบจริง</t>
        </is>
      </c>
      <c r="P69" s="2" t="inlineStr">
        <is>
          <t>ปี 2561</t>
        </is>
      </c>
    </row>
    <row r="70" ht="13.2" customHeight="1" s="37">
      <c r="A70" s="8" t="inlineStr">
        <is>
          <t>68</t>
        </is>
      </c>
      <c r="B70" s="2" t="inlineStr">
        <is>
          <t>ข้อใดถูกต้องเกี่ยวกับยาคุมสูตรผสมชนิดแผ.นแปะ</t>
        </is>
      </c>
      <c r="C70" s="2" t="n"/>
      <c r="D70" s="2" t="inlineStr">
        <is>
          <t>ใช(กับผู(หญิงให(นมบุตรได(</t>
        </is>
      </c>
      <c r="E70" s="2" t="inlineStr">
        <is>
          <t>มีประสิทธิภาพดีกว.ายารับประทาน</t>
        </is>
      </c>
      <c r="F70" s="2" t="inlineStr">
        <is>
          <t>ใช(กับผู(หญิงที่เป5นไมเกรนแบบมีออร.าได(</t>
        </is>
      </c>
      <c r="G70" s="2" t="inlineStr">
        <is>
          <t>ไม.มีอันตรกิริยากับยาที่เหนี่ยวนำเอนไซม</t>
        </is>
      </c>
      <c r="H70" s="2" t="inlineStr">
        <is>
          <t>ความร.วมมือในการใช(ยาดีกว.ายารับประทาน progestin</t>
        </is>
      </c>
      <c r="I70" s="8" t="inlineStr">
        <is>
          <t>1</t>
        </is>
      </c>
      <c r="J70" s="2" t="inlineStr">
        <is>
          <t>✅ คำตอบที่ถูกต้อง: ข้อ ก. ใช(กับผู(หญิงให(นมบุตรได(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ใช(กับผู(หญิงให(นมบุตรได( การเลือก ใช(กับผู(หญิงให(นมบุตรได(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(มีประสิทธิภาพดีกว.ายารับประทาน): ข้อนี้ไม่ใช่คำตอบที่ถูกต้องสำหรับภาวะ Oral contraceptive เนื่องจากกลไกการออกฤทธิ์, efficacy หรือข้อบ่งใช้ไม่ตรงกับโจทย์ที่กำหนด
• ข้อ ค. (ใช(กับผู(หญิงที่เป5นไมเกรนแบบมีออร.าได(): ข้อนี้ไม่ใช่คำตอบที่ถูกต้องสำหรับภาวะ Oral contraceptive เนื่องจากกลไกการออกฤทธิ์, efficacy หรือข้อบ่งใช้ไม่ตรงกับโจทย์ที่กำหนด
• ข้อ ง. (ไม.มีอันตรกิริยากับยาที่เหนี่ยวนำเอนไซม): ข้อนี้ไม่ใช่คำตอบที่ถูกต้องสำหรับภาวะ Oral contraceptive เนื่องจากกลไกการออกฤทธิ์, efficacy หรือข้อบ่งใช้ไม่ตรงกับโจทย์ที่กำหนด
• ข้อ จ. (ความร.วมมือในการใช(ยาดีกว.ายารับประทาน progestin):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0" s="2" t="n"/>
      <c r="L70" s="2" t="inlineStr">
        <is>
          <t>Oral contraceptive</t>
        </is>
      </c>
      <c r="M70" s="2" t="inlineStr">
        <is>
          <t>Clinic</t>
        </is>
      </c>
      <c r="N70" s="2" t="inlineStr">
        <is>
          <t>ข้อ 56 (PLE_CC1_2561_Key.md)</t>
        </is>
      </c>
      <c r="O70" s="2" t="inlineStr">
        <is>
          <t>ข้อสอบจริง</t>
        </is>
      </c>
      <c r="P70" s="2" t="inlineStr">
        <is>
          <t>ปี 2561</t>
        </is>
      </c>
    </row>
    <row r="71" ht="13.2" customHeight="1" s="37">
      <c r="A71" s="8" t="inlineStr">
        <is>
          <t>69</t>
        </is>
      </c>
      <c r="B71" s="2" t="inlineStr">
        <is>
          <t>หากต(องการเปลี่ยนระบบกระจายยาจาก three day dose เป5น one day dose จะต(องใช(ระบบใดประกันคุณภาพ mm</t>
        </is>
      </c>
      <c r="C71" s="2" t="n"/>
      <c r="D71" s="2" t="inlineStr">
        <is>
          <t>GMP</t>
        </is>
      </c>
      <c r="E71" s="2" t="inlineStr">
        <is>
          <t>PIC/s</t>
        </is>
      </c>
      <c r="F71" s="2" t="inlineStr">
        <is>
          <t>PDCA</t>
        </is>
      </c>
      <c r="G71" s="2" t="inlineStr">
        <is>
          <t>HACCP</t>
        </is>
      </c>
      <c r="H71" s="2" t="inlineStr">
        <is>
          <t>GMP QA plando then at</t>
        </is>
      </c>
      <c r="I71" s="8" t="inlineStr">
        <is>
          <t>1</t>
        </is>
      </c>
      <c r="J71" s="2" t="inlineStr">
        <is>
          <t>✅ คำตอบที่ถูกต้อง: ข้อ ก. GMP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GMP การเลือก GMP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(PIC/s): ข้อนี้ไม่ใช่คำตอบที่ถูกต้องสำหรับภาวะ Oral contraceptive เนื่องจากกลไกการออกฤทธิ์, efficacy หรือข้อบ่งใช้ไม่ตรงกับโจทย์ที่กำหนด
• ข้อ ค. (PDCA): ข้อนี้ไม่ใช่คำตอบที่ถูกต้องสำหรับภาวะ Oral contraceptive เนื่องจากกลไกการออกฤทธิ์, efficacy หรือข้อบ่งใช้ไม่ตรงกับโจทย์ที่กำหนด
• ข้อ ง. (HACCP): ข้อนี้ไม่ใช่คำตอบที่ถูกต้องสำหรับภาวะ Oral contraceptive เนื่องจากกลไกการออกฤทธิ์, efficacy หรือข้อบ่งใช้ไม่ตรงกับโจทย์ที่กำหนด
• ข้อ จ. (GMP QA plando then at):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1" s="2" t="n"/>
      <c r="L71" s="2" t="inlineStr">
        <is>
          <t>Oral contraceptive</t>
        </is>
      </c>
      <c r="M71" s="2" t="inlineStr">
        <is>
          <t>Clinic</t>
        </is>
      </c>
      <c r="N71" s="2" t="inlineStr">
        <is>
          <t>ข้อ 86 (PLE_CC1_2561_Key.md)</t>
        </is>
      </c>
      <c r="O71" s="2" t="inlineStr">
        <is>
          <t>ข้อสอบจริง</t>
        </is>
      </c>
      <c r="P71" s="2" t="inlineStr">
        <is>
          <t>ปี 2561</t>
        </is>
      </c>
    </row>
    <row r="72" ht="13.2" customHeight="1" s="37">
      <c r="A72" s="8" t="inlineStr">
        <is>
          <t>70</t>
        </is>
      </c>
      <c r="B72" s="2" t="inlineStr">
        <is>
          <t>ยา Progestins ที่นิยมใช้ใน Progesterone only pills (POPs)</t>
        </is>
      </c>
      <c r="C72" s="2" t="n"/>
      <c r="D72" s="2" t="inlineStr">
        <is>
          <t>Desogestrel</t>
        </is>
      </c>
      <c r="E72" s="2" t="inlineStr">
        <is>
          <t>Norgestrel</t>
        </is>
      </c>
      <c r="F72" s="2" t="inlineStr">
        <is>
          <t>Gestodene</t>
        </is>
      </c>
      <c r="G72" s="2" t="inlineStr">
        <is>
          <t>Norgestimate</t>
        </is>
      </c>
      <c r="H72" s="2" t="inlineStr">
        <is>
          <t>Levonorgestrel</t>
        </is>
      </c>
      <c r="I72" s="8" t="inlineStr">
        <is>
          <t>1</t>
        </is>
      </c>
      <c r="J72" s="2" t="inlineStr">
        <is>
          <t>✅ คำตอบที่ถูกต้อง: ข้อ ก. Desogestrel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ข้อนี้ไม่ใช่คำตอบที่ถูกต้องสำหรับภาวะ Hormonal replacement เนื่องจากกลไกการออกฤทธิ์, efficacy หรือข้อบ่งใช้ไม่ตรงกับโจทย์ที่กำหนด
• ข้อ ค. (Gestodene): ข้อนี้ไม่ใช่คำตอบที่ถูกต้องสำหรับภาวะ Hormonal replacement เนื่องจากกลไกการออกฤทธิ์, efficacy หรือข้อบ่งใช้ไม่ตรงกับโจทย์ที่กำหนด
• ข้อ ง. (Norgestimate): ข้อนี้ไม่ใช่คำตอบที่ถูกต้องสำหรับภาวะ Hormonal replacement เนื่องจากกลไกการออกฤทธิ์, efficacy หรือข้อบ่งใช้ไม่ตรงกับโจทย์ที่กำหนด
• ข้อ จ. (Levonorgestrel):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2" t="n"/>
      <c r="L72" s="2" t="inlineStr">
        <is>
          <t>Hormonal replacement</t>
        </is>
      </c>
      <c r="M72" s="2" t="inlineStr">
        <is>
          <t>Clinic</t>
        </is>
      </c>
      <c r="N72" s="2" t="inlineStr">
        <is>
          <t>ข้อ 3 (PLE_CC1_2560 22 April Set 1.md)</t>
        </is>
      </c>
      <c r="O72" s="2" t="inlineStr">
        <is>
          <t>ข้อสอบจริง</t>
        </is>
      </c>
      <c r="P72" s="2" t="inlineStr">
        <is>
          <t>ปี 2560</t>
        </is>
      </c>
    </row>
    <row r="73" ht="13.2" customHeight="1" s="37">
      <c r="A73" s="8" t="inlineStr">
        <is>
          <t>71</t>
        </is>
      </c>
      <c r="B73" s="2" t="inlineStr">
        <is>
          <t>ยาคุมก้าเนิดในข้อใด เหมาะสมที่สุด (โจทย์มีแค่นี แหละ)</t>
        </is>
      </c>
      <c r="C73" s="2" t="n"/>
      <c r="D73" s="2" t="inlineStr">
        <is>
          <t>Levonorgestrel</t>
        </is>
      </c>
      <c r="E73" s="2" t="inlineStr">
        <is>
          <t>Lynestrenol</t>
        </is>
      </c>
      <c r="F73" s="2" t="inlineStr">
        <is>
          <t>Ethinyl estradiol + Desogestrel</t>
        </is>
      </c>
      <c r="G73" s="2" t="inlineStr">
        <is>
          <t>Ethinyl estradiol + Levonorgestrel</t>
        </is>
      </c>
      <c r="H73" s="2" t="inlineStr">
        <is>
          <t>Ethinyl estradiol + Gestodene รวมโดย Phongsathorn Phlaisaithong Rx 9 UP 19 | P a g e</t>
        </is>
      </c>
      <c r="I73" s="8" t="inlineStr">
        <is>
          <t>1</t>
        </is>
      </c>
      <c r="J73" s="2" t="inlineStr">
        <is>
          <t>✅ คำตอบที่ถูกต้อง: ข้อ ก. Levonorgestrel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 Desogestrel): ข้อนี้ไม่ใช่คำตอบที่ถูกต้องสำหรับภาวะ Oral contraceptive เนื่องจากกลไกการออกฤทธิ์, efficacy หรือข้อบ่งใช้ไม่ตรงกับโจทย์ที่กำหนด
• ข้อ ง. (Ethinyl estradiol + Levonorgestrel): ข้อนี้ไม่ใช่คำตอบที่ถูกต้องสำหรับภาวะ Oral contraceptive เนื่องจากกลไกการออกฤทธิ์, efficacy หรือข้อบ่งใช้ไม่ตรงกับโจทย์ที่กำหนด
• ข้อ จ. (Ethinyl estradiol + Gestodene รวมโดย Phongsathorn Phlaisaithong Rx 9 UP 19 | P a g 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3" s="2" t="n"/>
      <c r="L73" s="2" t="inlineStr">
        <is>
          <t>Oral contraceptive</t>
        </is>
      </c>
      <c r="M73" s="2" t="inlineStr">
        <is>
          <t>Clinic</t>
        </is>
      </c>
      <c r="N73" s="2" t="inlineStr">
        <is>
          <t>ข้อ 4 (PLE_CC1_2560 22 April Set 1.md)</t>
        </is>
      </c>
      <c r="O73" s="2" t="inlineStr">
        <is>
          <t>ข้อสอบจริง</t>
        </is>
      </c>
      <c r="P73" s="2" t="inlineStr">
        <is>
          <t>ปี 2560</t>
        </is>
      </c>
    </row>
    <row r="74" ht="13.2" customHeight="1" s="37">
      <c r="A74" s="8" t="inlineStr">
        <is>
          <t>72</t>
        </is>
      </c>
      <c r="B74" s="2" t="inlineStr">
        <is>
          <t>หากพบว่ากินยาคุมดังข้อ 41 แล้วปรากฏว่าลืมรับประทานมา 1 อาทิตย์ ซึ่งในช่วงนี พบว่ามีเพศสัมพันธ์กับสามี ท่าน จะแนะน้าอย่างไร</t>
        </is>
      </c>
      <c r="C74" s="2" t="n"/>
      <c r="D74" s="2" t="inlineStr">
        <is>
          <t>รับประทานยาคุมต่อไปตามปกติ</t>
        </is>
      </c>
      <c r="E74" s="2" t="inlineStr">
        <is>
          <t>รับประทานยาทันที 1 เม็ด และทานยาต่อไปตามปกติ</t>
        </is>
      </c>
      <c r="F74" s="2" t="inlineStr">
        <is>
          <t>รับประทานยาทันที 1 เม็ด และทานยาต่อไปตามปกติพร้อมทั งคุมก้าเนิดวิธีอื่นร่วมด้วย 7 วัน</t>
        </is>
      </c>
      <c r="G74" s="2" t="inlineStr">
        <is>
          <t>หยุดรับประทานยาทันที รอประจ้าเดือนมาและเริ่มรับประทานยาแผงใหม่</t>
        </is>
      </c>
      <c r="H74" s="2" t="inlineStr">
        <is>
          <t>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t>
        </is>
      </c>
      <c r="I74" s="8" t="inlineStr">
        <is>
          <t>1</t>
        </is>
      </c>
      <c r="J74" s="2" t="inlineStr">
        <is>
          <t>✅ คำตอบที่ถูกต้อง: ข้อ ก. รับประทานยาคุมต่อไปตามปกติ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รับประทานยาคุมต่อไปตามปกติ กรณีศึกษาที่ 7 ผู้ป่วยหญิงคู่ อายุ 35 ปี น ้าหนัก 40 kg ตั งครรภ์ 7 เดือน ป่วยเป็น pulmonary TB ได้รับยา Isoniazid, rifampicin, pyrazinamide, etambutol มีค่าทางห้องปฏิบัติการคือ anti-HIV positive CD4 = 200 cell/mm3, Hct =
🔍 ข้ออื่นผิดเพราะอะไร:
• ข้อ ข. (รับประทานยาทันที 1 เม็ด และทานยาต่อไปตามปกติ): ข้อนี้ไม่ใช่คำตอบที่ถูกต้องสำหรับภาวะ Oral contraceptive เนื่องจากกลไกการออกฤทธิ์, efficacy หรือข้อบ่งใช้ไม่ตรงกับโจทย์ที่กำหนด
• ข้อ ค. (รับประทานยาทันที 1 เม็ด และทานยาต่อไปตามปกติพร้อมทั งคุมก้าเนิดวิธีอื่นร่วมด้วย 7 วัน): ข้อนี้ไม่ใช่คำตอบที่ถูกต้องสำหรับภาวะ Oral contraceptive เนื่องจากกลไกการออกฤทธิ์, efficacy หรือข้อบ่งใช้ไม่ตรงกับโจทย์ที่กำหนด
• ข้อ ง. (หยุดรับประทานยาทันที รอประจ้าเดือนมาและเริ่มรับประทานยาแผงใหม่): ข้อนี้ไม่ใช่คำตอบที่ถูกต้องสำหรับภาวะ Oral contraceptive เนื่องจากกลไกการออกฤทธิ์, efficacy หรือข้อบ่งใช้ไม่ตรงกับโจทย์ที่กำหนด
• ข้อ จ.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4" s="2" t="n"/>
      <c r="L74" s="2" t="inlineStr">
        <is>
          <t>Oral contraceptive</t>
        </is>
      </c>
      <c r="M74" s="2" t="inlineStr">
        <is>
          <t>Clinic</t>
        </is>
      </c>
      <c r="N74" s="2" t="inlineStr">
        <is>
          <t>ข้อ 42 (PLE_CC1_2559.md)</t>
        </is>
      </c>
      <c r="O74" s="2" t="inlineStr">
        <is>
          <t>ข้อสอบจริง</t>
        </is>
      </c>
      <c r="P74" s="2" t="inlineStr">
        <is>
          <t>ปี 2559</t>
        </is>
      </c>
    </row>
    <row r="75" ht="13.2" customHeight="1" s="37">
      <c r="A75" s="8" t="inlineStr">
        <is>
          <t>73</t>
        </is>
      </c>
      <c r="B75" s="2" t="inlineStr">
        <is>
          <t>ผู้ป่วยหญิงอายุ 16 ปี ให้ EE 30 + levonorgestrel 150 เป็นสิว น้ำหนักขึ้น มาปรึกษาที่ร้านยาข้อห้ามใช้ COC ในการคุมกำเนิด ยกเว้น ข้อใด</t>
        </is>
      </c>
      <c r="C75" s="2" t="n"/>
      <c r="D75" s="2" t="inlineStr">
        <is>
          <t>IHD</t>
        </is>
      </c>
      <c r="E75" s="2" t="inlineStr">
        <is>
          <t>DVT</t>
        </is>
      </c>
      <c r="F75" s="2" t="inlineStr">
        <is>
          <t>DM</t>
        </is>
      </c>
      <c r="G75" s="2" t="inlineStr">
        <is>
          <t>มะเร็งตับ</t>
        </is>
      </c>
      <c r="H75" s="2" t="inlineStr">
        <is>
          <t>โรคหลอดเลือดสมอง</t>
        </is>
      </c>
      <c r="I75" s="8" t="inlineStr">
        <is>
          <t>1</t>
        </is>
      </c>
      <c r="J75" s="2" t="inlineStr">
        <is>
          <t>✅ คำตอบที่ถูกต้อง: ข้อ ก. IHD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IHD การเลือก IHD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(DVT): ข้อนี้ไม่ใช่คำตอบที่ถูกต้องสำหรับภาวะ Oral contraceptive เนื่องจากกลไกการออกฤทธิ์, efficacy หรือข้อบ่งใช้ไม่ตรงกับโจทย์ที่กำหนด
• ข้อ ค. (DM): ข้อนี้ไม่ใช่คำตอบที่ถูกต้องสำหรับภาวะ Oral contraceptive เนื่องจากกลไกการออกฤทธิ์, efficacy หรือข้อบ่งใช้ไม่ตรงกับโจทย์ที่กำหนด
• ข้อ ง. (มะเร็งตับ): ข้อนี้ไม่ใช่คำตอบที่ถูกต้องสำหรับภาวะ Oral contraceptive เนื่องจากกลไกการออกฤทธิ์, efficacy หรือข้อบ่งใช้ไม่ตรงกับโจทย์ที่กำหนด
• ข้อ จ. (โรคหลอดเลือดสมอง):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5" s="2" t="n"/>
      <c r="L75" s="2" t="inlineStr">
        <is>
          <t>Oral contraceptive</t>
        </is>
      </c>
      <c r="M75" s="2" t="inlineStr">
        <is>
          <t>Clinic</t>
        </is>
      </c>
      <c r="N75" s="2" t="inlineStr">
        <is>
          <t>ข้อ 77 (PLE_CC1_2558_Key.md)</t>
        </is>
      </c>
      <c r="O75" s="2" t="inlineStr">
        <is>
          <t>ข้อสอบจริง</t>
        </is>
      </c>
      <c r="P75" s="2" t="inlineStr">
        <is>
          <t>ปี 2558</t>
        </is>
      </c>
    </row>
    <row r="76" ht="13.2" customHeight="1" s="37">
      <c r="A76" s="8" t="inlineStr">
        <is>
          <t>74</t>
        </is>
      </c>
      <c r="B76" s="2" t="inlineStr">
        <is>
          <t>หากต้องการควบคุมน้ำหนักต้องใช้ progestin ตัวใด</t>
        </is>
      </c>
      <c r="C76" s="2" t="n"/>
      <c r="D76" s="2" t="inlineStr">
        <is>
          <t>Levonorgestrel</t>
        </is>
      </c>
      <c r="E76" s="2" t="inlineStr">
        <is>
          <t>Drospirenone</t>
        </is>
      </c>
      <c r="F76" s="2" t="inlineStr">
        <is>
          <t>Cyproterone</t>
        </is>
      </c>
      <c r="G76" s="2" t="inlineStr">
        <is>
          <t>Norgesthimate</t>
        </is>
      </c>
      <c r="H76" s="2" t="inlineStr">
        <is>
          <t>Desogestrel</t>
        </is>
      </c>
      <c r="I76" s="8" t="inlineStr">
        <is>
          <t>1</t>
        </is>
      </c>
      <c r="J76" s="2" t="inlineStr">
        <is>
          <t>✅ คำตอบที่ถูกต้อง: ข้อ ก. Levonorgestrel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(Drospirenone): ข้อนี้ไม่ใช่คำตอบที่ถูกต้องสำหรับภาวะ Oral contraceptive เนื่องจากกลไกการออกฤทธิ์, efficacy หรือข้อบ่งใช้ไม่ตรงกับโจทย์ที่กำหนด
• ข้อ ค. (Cyproterone): ข้อนี้ไม่ใช่คำตอบที่ถูกต้องสำหรับภาวะ Oral contraceptive เนื่องจากกลไกการออกฤทธิ์, efficacy หรือข้อบ่งใช้ไม่ตรงกับโจทย์ที่กำหนด
• ข้อ ง. (Norgesthimate): ข้อนี้ไม่ใช่คำตอบที่ถูกต้องสำหรับภาวะ Oral contraceptive เนื่องจากกลไกการออกฤทธิ์, efficacy หรือข้อบ่งใช้ไม่ตรงกับโจทย์ที่กำหนด
• ข้อ จ. (Desogestrel):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6" s="2" t="n"/>
      <c r="L76" s="2" t="inlineStr">
        <is>
          <t>Oral contraceptive</t>
        </is>
      </c>
      <c r="M76" s="2" t="inlineStr">
        <is>
          <t>Clinic</t>
        </is>
      </c>
      <c r="N76" s="2" t="inlineStr">
        <is>
          <t>ข้อ 78 (PLE_CC1_2558_Key.md)</t>
        </is>
      </c>
      <c r="O76" s="2" t="inlineStr">
        <is>
          <t>ข้อสอบจริง</t>
        </is>
      </c>
      <c r="P76" s="2" t="inlineStr">
        <is>
          <t>ปี 2558</t>
        </is>
      </c>
    </row>
    <row r="77" ht="13.2" customHeight="1" s="37">
      <c r="A77" s="8" t="inlineStr">
        <is>
          <t>75</t>
        </is>
      </c>
      <c r="B77" s="2" t="inlineStr">
        <is>
          <t>วิธีการกินยาคุมฉุกเฉินที่ถูกต้อง</t>
        </is>
      </c>
      <c r="C77" s="2" t="n"/>
      <c r="D77" s="2" t="inlineStr">
        <is>
          <t>กิน levonorgrestrel 150 mcg 2 เม็ดใน 72 ชั่วโมง และตามด้วย 2 เม็ด ใน 12 ชม.ต่อมา</t>
        </is>
      </c>
      <c r="E77" s="2" t="inlineStr">
        <is>
          <t>กิน levonorgrestrel 150 mcg 1 เม็ดใน 72 ชั่วโมง และตามด้วย 2 เม็ด ใน 12 ชม.ต่อมา</t>
        </is>
      </c>
      <c r="F77" s="2" t="inlineStr">
        <is>
          <t>กิน levonorgrestrel 150 mcg 2 เม็ดใน 72 ชั่วโมง และตามด้วย 1 เม็ด ใน 12 ชม.ต่อมา</t>
        </is>
      </c>
      <c r="G77" s="2" t="inlineStr">
        <is>
          <t>กินยาคุม COC ที่มีปริมาณ EE รวม 300 mcg ใน 72ชั่วโมง และตามด้วย EE 300 mcg อีกครั้งใน 12 ชม.ต่อมา</t>
        </is>
      </c>
      <c r="H77" s="2" t="inlineStr">
        <is>
          <t>กิน levonorgrestrel 150 mcg 1 เม็ดใน 72 ชั่วโมง และตามด้วย 1 เม็ด ใน 12 ชม.ต่อมา</t>
        </is>
      </c>
      <c r="I77" s="8" t="inlineStr">
        <is>
          <t>1</t>
        </is>
      </c>
      <c r="J77" s="2" t="inlineStr">
        <is>
          <t>✅ คำตอบที่ถูกต้อง: ข้อ ก. กิน levonorgrestrel 150 mcg 2 เม็ดใน 72 ชั่วโมง และตามด้วย 2 เม็ด ใน 12 ชม.ต่อมา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กิน levonorgrestrel 150 mcg 2 เม็ดใน 72 ชั่วโมง และตามด้วย 2 เม็ด ใน 12 ชม.ต่อมา การเลือก กิน levonorgrestrel 150 mcg 2 เม็ดใน 72 ชั่วโมง และตามด้วย 2 เม็ด ใน 12 ชม.ต่อมา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(กิน levonorgrestrel 150 mcg 1 เม็ดใน 72 ชั่วโมง และตามด้วย 2 เม็ด ใน 12 ชม.ต่อมา): ข้อนี้ไม่ใช่คำตอบที่ถูกต้องสำหรับภาวะ Oral contraceptive เนื่องจากกลไกการออกฤทธิ์, efficacy หรือข้อบ่งใช้ไม่ตรงกับโจทย์ที่กำหนด
• ข้อ ค. (กิน levonorgrestrel 150 mcg 2 เม็ดใน 72 ชั่วโมง และตามด้วย 1 เม็ด ใน 12 ชม.ต่อมา): ข้อนี้ไม่ใช่คำตอบที่ถูกต้องสำหรับภาวะ Oral contraceptive เนื่องจากกลไกการออกฤทธิ์, efficacy หรือข้อบ่งใช้ไม่ตรงกับโจทย์ที่กำหนด
• ข้อ ง. (กินยาคุม COC ที่มีปริมาณ EE รวม 300 mcg ใน 72ชั่วโมง และตามด้วย EE 300 mcg อีกครั้งใน 12 ชม.ต่อมา): ข้อนี้ไม่ใช่คำตอบที่ถูกต้องสำหรับภาวะ Oral contraceptive เนื่องจากกลไกการออกฤทธิ์, efficacy หรือข้อบ่งใช้ไม่ตรงกับโจทย์ที่กำหนด
• ข้อ จ. (กิน levonorgrestrel 150 mcg 1 เม็ดใน 72 ชั่วโมง และตามด้วย 1 เม็ด ใน 12 ชม.ต่อมา):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7" s="2" t="n"/>
      <c r="L77" s="2" t="inlineStr">
        <is>
          <t>Oral contraceptive</t>
        </is>
      </c>
      <c r="M77" s="2" t="inlineStr">
        <is>
          <t>Clinic</t>
        </is>
      </c>
      <c r="N77" s="2" t="inlineStr">
        <is>
          <t>ข้อ 79 (PLE_CC1_2558_Key.md)</t>
        </is>
      </c>
      <c r="O77" s="2" t="inlineStr">
        <is>
          <t>ข้อสอบจริง</t>
        </is>
      </c>
      <c r="P77" s="2" t="inlineStr">
        <is>
          <t>ปี 2558</t>
        </is>
      </c>
    </row>
    <row r="78" ht="13.2" customHeight="1" s="37">
      <c r="A78" s="8" t="inlineStr">
        <is>
          <t>76</t>
        </is>
      </c>
      <c r="B78" s="2" t="inlineStr">
        <is>
          <t>ยาคุมที่หญิงให้นมบุตรไม่ควรใช้</t>
        </is>
      </c>
      <c r="C78" s="2" t="n"/>
      <c r="D78" s="2" t="inlineStr">
        <is>
          <t>แผ่นแปะคุมกำเนิด</t>
        </is>
      </c>
      <c r="E78" s="2" t="inlineStr">
        <is>
          <t>Minipills</t>
        </is>
      </c>
      <c r="F78" s="2" t="inlineStr">
        <is>
          <t>DMPA IM</t>
        </is>
      </c>
      <c r="G78" s="2" t="inlineStr">
        <is>
          <t>DMPA SC</t>
        </is>
      </c>
      <c r="H78" s="2" t="inlineStr">
        <is>
          <t>ห่วงคุมกำเนิด</t>
        </is>
      </c>
      <c r="I78" s="8" t="inlineStr">
        <is>
          <t>1</t>
        </is>
      </c>
      <c r="J78" s="2" t="inlineStr">
        <is>
          <t>✅ คำตอบที่ถูกต้อง: ข้อ ก. แผ่นแปะคุมกำเนิด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แผ่นแปะคุมกำเนิด การเลือก แผ่นแปะคุมกำเนิด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(Minipills): ข้อนี้ไม่ใช่คำตอบที่ถูกต้องสำหรับภาวะ Oral contraceptive เนื่องจากกลไกการออกฤทธิ์, efficacy หรือข้อบ่งใช้ไม่ตรงกับโจทย์ที่กำหนด
• ข้อ ค. (DMPA IM): ข้อนี้ไม่ใช่คำตอบที่ถูกต้องสำหรับภาวะ Oral contraceptive เนื่องจากกลไกการออกฤทธิ์, efficacy หรือข้อบ่งใช้ไม่ตรงกับโจทย์ที่กำหนด
• ข้อ ง. (DMPA SC): ข้อนี้ไม่ใช่คำตอบที่ถูกต้องสำหรับภาวะ Oral contraceptive เนื่องจากกลไกการออกฤทธิ์, efficacy หรือข้อบ่งใช้ไม่ตรงกับโจทย์ที่กำหนด
• ข้อ จ. (ห่วงคุมกำเนิด):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8" s="2" t="n"/>
      <c r="L78" s="2" t="inlineStr">
        <is>
          <t>Oral contraceptive</t>
        </is>
      </c>
      <c r="M78" s="2" t="inlineStr">
        <is>
          <t>Clinic</t>
        </is>
      </c>
      <c r="N78" s="2" t="inlineStr">
        <is>
          <t>ข้อ 80 (PLE_CC1_2558_Key.md)</t>
        </is>
      </c>
      <c r="O78" s="2" t="inlineStr">
        <is>
          <t>ข้อสอบจริง</t>
        </is>
      </c>
      <c r="P78" s="2" t="inlineStr">
        <is>
          <t>ปี 2558</t>
        </is>
      </c>
    </row>
    <row r="79" ht="13.2" customHeight="1" s="37">
      <c r="A79" s="8" t="inlineStr">
        <is>
          <t>77</t>
        </is>
      </c>
      <c r="B79" s="2" t="inlineStr">
        <is>
          <t>ห่วงคุมกำเนิดมีระบบการนำส่งยาแบบใด</t>
        </is>
      </c>
      <c r="C79" s="2" t="n"/>
      <c r="D79" s="2" t="inlineStr">
        <is>
          <t>Vaginal release system</t>
        </is>
      </c>
      <c r="E79" s="2" t="inlineStr">
        <is>
          <t>Sustained release system</t>
        </is>
      </c>
      <c r="F79" s="2" t="inlineStr">
        <is>
          <t>Osmotic release system</t>
        </is>
      </c>
      <c r="G79" s="2" t="inlineStr">
        <is>
          <t>Immediate release system</t>
        </is>
      </c>
      <c r="H79" s="2" t="inlineStr">
        <is>
          <t>Pulse release system</t>
        </is>
      </c>
      <c r="I79" s="8" t="inlineStr">
        <is>
          <t>1</t>
        </is>
      </c>
      <c r="J79" s="2" t="inlineStr">
        <is>
          <t>✅ คำตอบที่ถูกต้อง: ข้อ ก. Vaginal release system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Vaginal release system การเลือก Vaginal release system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(Sustained release system): ข้อนี้ไม่ใช่คำตอบที่ถูกต้องสำหรับภาวะ Oral contraceptive เนื่องจากกลไกการออกฤทธิ์, efficacy หรือข้อบ่งใช้ไม่ตรงกับโจทย์ที่กำหนด
• ข้อ ค. (Osmotic release system): ข้อนี้ไม่ใช่คำตอบที่ถูกต้องสำหรับภาวะ Oral contraceptive เนื่องจากกลไกการออกฤทธิ์, efficacy หรือข้อบ่งใช้ไม่ตรงกับโจทย์ที่กำหนด
• ข้อ ง. (Immediate release system): ข้อนี้ไม่ใช่คำตอบที่ถูกต้องสำหรับภาวะ Oral contraceptive เนื่องจากกลไกการออกฤทธิ์, efficacy หรือข้อบ่งใช้ไม่ตรงกับโจทย์ที่กำหนด
• ข้อ จ. (Pulse release system):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9" s="2" t="n"/>
      <c r="L79" s="2" t="inlineStr">
        <is>
          <t>Oral contraceptive</t>
        </is>
      </c>
      <c r="M79" s="2" t="inlineStr">
        <is>
          <t>Clinic</t>
        </is>
      </c>
      <c r="N79" s="2" t="inlineStr">
        <is>
          <t>ข้อ 83 (PLE_CC1_2558_Key.md)</t>
        </is>
      </c>
      <c r="O79" s="2" t="inlineStr">
        <is>
          <t>ข้อสอบจริง</t>
        </is>
      </c>
      <c r="P79" s="2" t="inlineStr">
        <is>
          <t>ปี 2558</t>
        </is>
      </c>
    </row>
    <row r="80" ht="13.2" customHeight="1" s="37">
      <c r="A80" s="8" t="inlineStr">
        <is>
          <t>78</t>
        </is>
      </c>
      <c r="B80" s="2" t="inlineStr">
        <is>
          <t>การใช้ยาคุมกำเนิดชนิดแผ่นแปะ โดยติดแผ่น 1 แผ่น/สัปดาห์ ติดต่อกัน 3 สัปดาห์ และเว้น 1 สัปดาห์ กราฟการ ปลดปล่อยยาเป็นข้อใด</t>
        </is>
      </c>
      <c r="C80" s="2" t="n"/>
      <c r="D80" s="2" t="inlineStr">
        <is>
          <t>Desogestrel 75 mcg OD (Progestin-only)</t>
        </is>
      </c>
      <c r="E80" s="2" t="inlineStr">
        <is>
          <t>Levonorgestrel 1.5 mg stat (Emergency)</t>
        </is>
      </c>
      <c r="F80" s="2" t="inlineStr">
        <is>
          <t>Mefenamic acid 500 mg TID</t>
        </is>
      </c>
      <c r="G80" s="2" t="inlineStr">
        <is>
          <t>Tamsulosin 0.4 mg HS</t>
        </is>
      </c>
      <c r="H80" s="2" t="inlineStr">
        <is>
          <t>Finasteride 5 mg OD</t>
        </is>
      </c>
      <c r="I80" s="8" t="inlineStr">
        <is>
          <t>1</t>
        </is>
      </c>
      <c r="J80"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0" s="2" t="n"/>
      <c r="L80" s="2" t="inlineStr">
        <is>
          <t>Oral contraceptive</t>
        </is>
      </c>
      <c r="M80" s="2" t="inlineStr">
        <is>
          <t>Clinic</t>
        </is>
      </c>
      <c r="N80" s="2" t="inlineStr">
        <is>
          <t>ข้อ 84 (PLE_CC1_2558_Key.md)</t>
        </is>
      </c>
      <c r="O80" s="2" t="inlineStr">
        <is>
          <t>ข้อสอบจริง</t>
        </is>
      </c>
      <c r="P80" s="2" t="inlineStr">
        <is>
          <t>ปี 2558</t>
        </is>
      </c>
    </row>
    <row r="81" ht="13.2" customHeight="1" s="37">
      <c r="A81" s="8" t="inlineStr">
        <is>
          <t>79</t>
        </is>
      </c>
      <c r="B81" s="2" t="inlineStr">
        <is>
          <t>ภาวะใดต่อไปนี้สามารถใช้ฮอร์โมนในการรักษาหรือทดแทนในกลุ่มที่ขาดฮอร์โมนได้</t>
        </is>
      </c>
      <c r="C81" s="2" t="n"/>
      <c r="D81" s="2" t="inlineStr">
        <is>
          <t>มะเร็งเต้านม</t>
        </is>
      </c>
      <c r="E81" s="2" t="inlineStr">
        <is>
          <t>เบาหวานร่วมกับภาวะไขมันในเลือดสูง</t>
        </is>
      </c>
      <c r="F81" s="2" t="inlineStr">
        <is>
          <t>ภาวะลิ่มเลือดอุดตันหลอดเลือดดำ หรือภาวะหลอดเลือดดำอักเสบ</t>
        </is>
      </c>
      <c r="G81" s="2" t="inlineStr">
        <is>
          <t>ภาวะตับอักเสบเฉียบพลัน</t>
        </is>
      </c>
      <c r="H81" s="2" t="inlineStr">
        <is>
          <t>เลือดออกผิดปกติทางชองคลอดโดยไม่ทราบสาเหตุ</t>
        </is>
      </c>
      <c r="I81" s="8" t="inlineStr">
        <is>
          <t>1</t>
        </is>
      </c>
      <c r="J81" s="2" t="inlineStr">
        <is>
          <t>✅ คำตอบที่ถูกต้อง: ข้อ ก. มะเร็งเต้านม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มะเร็งเต้านม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(เบาหวานร่วมกับภาวะไขมันในเลือดสูง): ข้อนี้ไม่ใช่คำตอบที่ถูกต้องสำหรับภาวะ Oral contraceptive เนื่องจากกลไกการออกฤทธิ์, efficacy หรือข้อบ่งใช้ไม่ตรงกับโจทย์ที่กำหนด
• ข้อ ค. (ภาวะลิ่มเลือดอุดตันหลอดเลือดดำ หรือภาวะหลอดเลือดดำอักเสบ): ข้อนี้ไม่ใช่คำตอบที่ถูกต้องสำหรับภาวะ Oral contraceptive เนื่องจากกลไกการออกฤทธิ์, efficacy หรือข้อบ่งใช้ไม่ตรงกับโจทย์ที่กำหนด
• ข้อ ง. (ภาวะตับอักเสบเฉียบพลัน): ข้อนี้ไม่ใช่คำตอบที่ถูกต้องสำหรับภาวะ Oral contraceptive เนื่องจากกลไกการออกฤทธิ์, efficacy หรือข้อบ่งใช้ไม่ตรงกับโจทย์ที่กำหนด
• ข้อ จ. (เลือดออกผิดปกติทางชองคลอดโดยไม่ทราบสาเหตุ):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1" s="2" t="n"/>
      <c r="L81" s="2" t="inlineStr">
        <is>
          <t>Oral contraceptive</t>
        </is>
      </c>
      <c r="M81" s="2" t="inlineStr">
        <is>
          <t>Clinic</t>
        </is>
      </c>
      <c r="N81" s="2" t="inlineStr">
        <is>
          <t>ข้อ 69 (Pharmtutor_2024_Set1.md)</t>
        </is>
      </c>
      <c r="O81" s="2" t="inlineStr">
        <is>
          <t>Mock</t>
        </is>
      </c>
      <c r="P81" s="2" t="inlineStr">
        <is>
          <t>Mock Pharmtutor 2024</t>
        </is>
      </c>
    </row>
    <row r="82" ht="13.2" customHeight="1" s="37">
      <c r="A82" s="8" t="inlineStr">
        <is>
          <t>80</t>
        </is>
      </c>
      <c r="B82" s="2" t="inlineStr">
        <is>
          <t>หญิงวัยเจริญพันธ์ มีอาการตกขาวมีสีเขียว มีฟอง ไม่คัน ซักประวัติเพิ่มเติมพบว่ามีเพศสัมพันธ์เมื่อ 7 วันก่อน ไม่ใส่สวมถุงยางอนามัย และเพิ่มเติมพบผู้ป่วยทานยาคุมกำเนิดชนิดฮอร์โมนรวม ชอบกินอาหารหมักดอง และสวนล้างช่องคลอดอยู่เป็นประจำ ข้อใดต่อไปนี้เป็นสาเหตุของการเกิดอาการดังกล่าว</t>
        </is>
      </c>
      <c r="C82" s="2" t="n"/>
      <c r="D82" s="2" t="inlineStr">
        <is>
          <t>มีเพศสัมพันธ์แบบไม่สวมถุงยางอนามัย</t>
        </is>
      </c>
      <c r="E82" s="2" t="inlineStr">
        <is>
          <t>การสวนล้างช่องคลอด</t>
        </is>
      </c>
      <c r="F82" s="2" t="inlineStr">
        <is>
          <t>การรับประทานยาชนิดฮอร์โมนรวม</t>
        </is>
      </c>
      <c r="G82" s="2" t="inlineStr">
        <is>
          <t>การรับประทานอาหารหมักดอง</t>
        </is>
      </c>
      <c r="H82" s="2" t="inlineStr">
        <is>
          <t>ถูกทุกข้อ</t>
        </is>
      </c>
      <c r="I82" s="8" t="inlineStr">
        <is>
          <t>1</t>
        </is>
      </c>
      <c r="J82" s="2" t="inlineStr">
        <is>
          <t>✅ คำตอบที่ถูกต้อง: ข้อ ก. มีเพศสัมพันธ์แบบไม่สวมถุงยางอนามัย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มีเพศสัมพันธ์แบบไม่สวมถุงยางอนามัย การเลือก มีเพศสัมพันธ์แบบไม่สวมถุงยางอนามัย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(การสวนล้างช่องคลอด): ข้อนี้ไม่ใช่คำตอบที่ถูกต้องสำหรับภาวะ Oral contraceptive เนื่องจากกลไกการออกฤทธิ์, efficacy หรือข้อบ่งใช้ไม่ตรงกับโจทย์ที่กำหนด
• ข้อ ค. (การรับประทานยาชนิดฮอร์โมนรวม): ข้อนี้ไม่ใช่คำตอบที่ถูกต้องสำหรับภาวะ Oral contraceptive เนื่องจากกลไกการออกฤทธิ์, efficacy หรือข้อบ่งใช้ไม่ตรงกับโจทย์ที่กำหนด
• ข้อ ง. (การรับประทานอาหารหมักดอง): ข้อนี้ไม่ใช่คำตอบที่ถูกต้องสำหรับภาวะ Oral contraceptive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2" s="2" t="n"/>
      <c r="L82" s="2" t="inlineStr">
        <is>
          <t>Oral contraceptive</t>
        </is>
      </c>
      <c r="M82" s="2" t="inlineStr">
        <is>
          <t>Clinic</t>
        </is>
      </c>
      <c r="N82" s="2" t="inlineStr">
        <is>
          <t>ข้อ 42 (Pharmtutor_2024_Set2.md)</t>
        </is>
      </c>
      <c r="O82" s="2" t="inlineStr">
        <is>
          <t>Mock</t>
        </is>
      </c>
      <c r="P82" s="2" t="inlineStr">
        <is>
          <t>Mock Pharmtutor 2024</t>
        </is>
      </c>
    </row>
    <row r="83" ht="13.2" customHeight="1" s="37">
      <c r="A83" s="8" t="inlineStr">
        <is>
          <t>81</t>
        </is>
      </c>
      <c r="B83" s="2" t="inlineStr">
        <is>
          <t>หากหญิงที่กำลังให้นมบุตรอยู่ ต้องการรับปรัทานยาคุมกำเนิด เพราะเหตุใดเภสัชกรจึงแนะนำให้ใช้เป็นยาคุมกำเนิดชนิด Progestin เดี่ยวๆ</t>
        </is>
      </c>
      <c r="C83" s="2" t="n"/>
      <c r="D83" s="2" t="inlineStr">
        <is>
          <t>การใช้ Progestin เดี่ยวให้ผลดีกว่าการใช้สูตรผสม</t>
        </is>
      </c>
      <c r="E83" s="2" t="inlineStr">
        <is>
          <t>การใช้สูตรผสม Estrogen สามารถขับออกทางน้ำนมอาจส่งผลข้างเคียงให้ทารกได้</t>
        </is>
      </c>
      <c r="F83" s="2" t="inlineStr">
        <is>
          <t>Estrogen ทำให้ปริมาณของน้ำนมลดลง</t>
        </is>
      </c>
      <c r="G83" s="2" t="inlineStr">
        <is>
          <t>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t>
        </is>
      </c>
      <c r="H83" s="2" t="inlineStr">
        <is>
          <t>ไม่มีข้อใดถูก</t>
        </is>
      </c>
      <c r="I83" s="8" t="inlineStr">
        <is>
          <t>1</t>
        </is>
      </c>
      <c r="J83" s="2" t="inlineStr">
        <is>
          <t>✅ คำตอบที่ถูกต้อง: ข้อ ก. การใช้ Progestin เดี่ยวให้ผลดีกว่าการใช้สูตรผสม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การใช้ Progestin เดี่ยวให้ผลดีกว่าการใช้สูตรผสม การเลือก การใช้ Progestin เดี่ยวให้ผลดีกว่าการใช้สูตรผสม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(การใช้สูตรผสม Estrogen สามารถขับออกทางน้ำนมอาจส่งผลข้างเคียงให้ทารกได้): ข้อนี้ไม่ใช่คำตอบที่ถูกต้องสำหรับภาวะ Oral contraceptive เนื่องจากกลไกการออกฤทธิ์, efficacy หรือข้อบ่งใช้ไม่ตรงกับโจทย์ที่กำหนด
• ข้อ ค. (Estrogen ทำให้ปริมาณของน้ำนมลดลง): ข้อนี้ไม่ใช่คำตอบที่ถูกต้องสำหรับภาวะ Oral contraceptive เนื่องจากกลไกการออกฤทธิ์, efficacy หรือข้อบ่งใช้ไม่ตรงกับโจทย์ที่กำหนด
• ข้อ ง.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ข้อนี้ไม่ใช่คำตอบที่ถูกต้องสำหรับภาวะ Oral contraceptive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3" s="2" t="n"/>
      <c r="L83" s="2" t="inlineStr">
        <is>
          <t>Oral contraceptive</t>
        </is>
      </c>
      <c r="M83" s="2" t="inlineStr">
        <is>
          <t>Clinic</t>
        </is>
      </c>
      <c r="N83" s="2" t="inlineStr">
        <is>
          <t>ข้อ 66 (Pharmtutor_2024_Set2.md)</t>
        </is>
      </c>
      <c r="O83" s="2" t="inlineStr">
        <is>
          <t>Mock</t>
        </is>
      </c>
      <c r="P83" s="2" t="inlineStr">
        <is>
          <t>Mock Pharmtutor 2024</t>
        </is>
      </c>
    </row>
    <row r="84" ht="13.2" customHeight="1" s="37">
      <c r="A84" s="8" t="inlineStr">
        <is>
          <t>82</t>
        </is>
      </c>
      <c r="B84" s="2" t="inlineStr">
        <is>
          <t>ในการพัฒนายาในกลุ่มของยาคุมกำเนิดปัจจุบันมีการนำยาคุมกำเนิดมาช่วยในการรักษาสิวมากขึ้น ยาชนิดใดต่อไปนี้ถูกขึ้นทะเบียนให้ช่วยป้องกันและรักษาสิวได้</t>
        </is>
      </c>
      <c r="C84" s="2" t="n"/>
      <c r="D84" s="2" t="inlineStr">
        <is>
          <t>Cyproterone</t>
        </is>
      </c>
      <c r="E84" s="2" t="inlineStr">
        <is>
          <t>Drospirenone</t>
        </is>
      </c>
      <c r="F84" s="2" t="inlineStr">
        <is>
          <t>Desogestrel</t>
        </is>
      </c>
      <c r="G84" s="2" t="inlineStr">
        <is>
          <t>ข้อ a และ b ถูก</t>
        </is>
      </c>
      <c r="H84" s="2" t="inlineStr">
        <is>
          <t>ข้อ a b และ c ถูก</t>
        </is>
      </c>
      <c r="I84" s="8" t="inlineStr">
        <is>
          <t>1</t>
        </is>
      </c>
      <c r="J84" s="2" t="inlineStr">
        <is>
          <t>✅ คำตอบที่ถูกต้อง: ข้อ ก. Cyproterone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Cyproterone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(Drospirenone): ข้อนี้ไม่ใช่คำตอบที่ถูกต้องสำหรับภาวะ Oral contraceptive เนื่องจากกลไกการออกฤทธิ์, efficacy หรือข้อบ่งใช้ไม่ตรงกับโจทย์ที่กำหนด
• ข้อ ค. (Desogestrel): ข้อนี้ไม่ใช่คำตอบที่ถูกต้องสำหรับภาวะ Oral contraceptive เนื่องจากกลไกการออกฤทธิ์, efficacy หรือข้อบ่งใช้ไม่ตรงกับโจทย์ที่กำหนด
• ข้อ ง. (ข้อ a และ b ถูก): ข้อนี้ไม่ใช่คำตอบที่ถูกต้องสำหรับภาวะ Oral contraceptive เนื่องจากกลไกการออกฤทธิ์, efficacy หรือข้อบ่งใช้ไม่ตรงกับโจทย์ที่กำหนด
• ข้อ จ. (ข้อ a b และ c ถูก):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2" t="n"/>
      <c r="L84" s="2" t="inlineStr">
        <is>
          <t>Oral contraceptive</t>
        </is>
      </c>
      <c r="M84" s="2" t="inlineStr">
        <is>
          <t>Clinic</t>
        </is>
      </c>
      <c r="N84" s="2" t="inlineStr">
        <is>
          <t>ข้อ 67 (Pharmtutor_2024_Set2.md)</t>
        </is>
      </c>
      <c r="O84" s="2" t="inlineStr">
        <is>
          <t>Mock</t>
        </is>
      </c>
      <c r="P84" s="2" t="inlineStr">
        <is>
          <t>Mock Pharmtutor 2024</t>
        </is>
      </c>
    </row>
    <row r="85" ht="13.2" customHeight="1" s="37">
      <c r="A85" s="8" t="inlineStr">
        <is>
          <t>83</t>
        </is>
      </c>
      <c r="B85" s="2" t="inlineStr">
        <is>
          <t>คำแนะนำการปฏิบัติตัวเมื_x001E_อลืมรับประทานยาคุมกำเนิด ชนิดรับประทานข้อใดไม่ถูกต้อง (โจทย์ไม่ได้กำหนดขนาด ยา EE มาให้นะ) (1) ลืมรับประทาน 1 เม็ดใด ๆ ให้รับประทานทันทีที_x0003_นึก ได้ และรับประทานเม็ดต่อไปตามปกติ โดยไม่ต้องใช้ วิธีคุมกำเนิดอื_x0003_นร่วมด้วย (2) ลืมรับประทาน 2 เม็ดใด ๆ ให้รับประทาน 1 เม็ดทันที ที_x0003_นึกได้ และรับประทานเม็ดต่อไปตามปกติ ส่วนอีก 1 เม็ดที_x0003_ลืมจะรับประทานหรือไม่ก็ได้ โดยไม่ต้องใช้วิธี คุมกำเนิดอื_x0003_นร่วมด้วย (3) ในกรณีที_x0003_ขึ_x001B_นแผงใหม่ช้าไปตั_x001B_งแต่ 3 วันขึ_x001B_นไป และมี เพศสัมพันธ์ในช่วงเวลาดังกล่าว ให้ใช้ยาคุมกำเนิด ฉุกเฉินร่วมด้วย (4) ในกรณีที_x0003_ลืมรับประทานยาในช่วงสัปดาห์ที_x0003_ 2 จำนวน 1 เม็ด ให้รับประทานทันทีที_x0003_นึกได้ และรับประทาน เม็ดต่อไปตามปกติ โดยไม่ต้องใช้วิธีคุมกำเนิดอื_x0003_นร่วม ด้วย (5) ในกรณีที_x0003_ลืมรับประทานยา 2 เม็ดในช่วงสัปดาห์ที_x0003_ 3 ให้ทิ_x001B_งเม็ดที_x0003_เหลือไป แล้วเริ_x0003_มแผงใหม่ทันที MCQ 12 | 1/2557 | Page 20</t>
        </is>
      </c>
      <c r="C85" s="2" t="n"/>
      <c r="D85" s="2" t="inlineStr">
        <is>
          <t>Finasteride 5 mg OD</t>
        </is>
      </c>
      <c r="E85" s="2" t="inlineStr">
        <is>
          <t>Oxybutynin 5 mg BID</t>
        </is>
      </c>
      <c r="F85" s="2" t="inlineStr">
        <is>
          <t>Tolterodine 2 mg BID</t>
        </is>
      </c>
      <c r="G85" s="2" t="inlineStr">
        <is>
          <t>Dydrogesterone 10 mg BID</t>
        </is>
      </c>
      <c r="H85" s="2" t="inlineStr">
        <is>
          <t>Ethinylestradiol 30 mcg + Levonorgestrel 150 mcg</t>
        </is>
      </c>
      <c r="I85" s="8" t="inlineStr">
        <is>
          <t>1</t>
        </is>
      </c>
      <c r="J85"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ค.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ง.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5" s="2" t="n"/>
      <c r="L85" s="2" t="inlineStr">
        <is>
          <t>Oral contraceptive</t>
        </is>
      </c>
      <c r="M85" s="2" t="inlineStr">
        <is>
          <t>Clinic</t>
        </is>
      </c>
      <c r="N85" s="2" t="inlineStr">
        <is>
          <t>ข้อ 38 (PLE_CC1_2557.md)</t>
        </is>
      </c>
      <c r="O85" s="2" t="inlineStr">
        <is>
          <t>ข้อสอบจริง</t>
        </is>
      </c>
      <c r="P85" s="2" t="inlineStr">
        <is>
          <t>ปี 2557</t>
        </is>
      </c>
    </row>
    <row r="86" ht="13.2" customHeight="1" s="37">
      <c r="A86" s="8" t="inlineStr">
        <is>
          <t>84</t>
        </is>
      </c>
      <c r="B86" s="2" t="inlineStr">
        <is>
          <t>จากโครงสร้างของยาต่อไปนี% ข้อใดถูกต้อง B A C (1) เป็น Estrogen (2) โครงสร้างคล้าย progesterone (3) โครงสร้างส่วน A ช่วยเพิ_x0003_มฤทธิ&lt; anti-androgen (4) โครงสร้างส่วน B ที_x0003_เป็น ethyl สามารถลดฤทธิ&lt; androgen ได้มากกว่า methyl (5) โครงสร้างส่วน C ไม่จำเป็นต่อการออกฤทธิ&lt; Final version | Maximum’2017 Rx30 | Prince of Songkla University</t>
        </is>
      </c>
      <c r="C86" s="2" t="n"/>
      <c r="D86" s="2" t="inlineStr">
        <is>
          <t>Dydrogesterone 10 mg BID</t>
        </is>
      </c>
      <c r="E86" s="2" t="inlineStr">
        <is>
          <t>Ethinylestradiol 30 mcg + Levonorgestrel 150 mcg</t>
        </is>
      </c>
      <c r="F86" s="2" t="inlineStr">
        <is>
          <t>Ethinylestradiol 30 mcg + Drospirenone 3 mg</t>
        </is>
      </c>
      <c r="G86" s="2" t="inlineStr">
        <is>
          <t>Ethinylestradiol 35 mcg + Cyproterone acetate 2 mg</t>
        </is>
      </c>
      <c r="H86" s="2" t="inlineStr">
        <is>
          <t>Desogestrel 75 mcg OD (Progestin-only)</t>
        </is>
      </c>
      <c r="I86" s="8" t="inlineStr">
        <is>
          <t>1</t>
        </is>
      </c>
      <c r="J86" s="2" t="inlineStr">
        <is>
          <t>✅ คำตอบที่ถูกต้อง: ข้อ ก. Dydrogesterone 10 mg BID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Hormonal replacement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Hormonal replacement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Hormonal replacement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2" t="n"/>
      <c r="L86" s="2" t="inlineStr">
        <is>
          <t>Hormonal replacement</t>
        </is>
      </c>
      <c r="M86" s="2" t="inlineStr">
        <is>
          <t>Clinic</t>
        </is>
      </c>
      <c r="N86" s="2" t="inlineStr">
        <is>
          <t>ข้อ 40 (PLE_CC1_2557.md)</t>
        </is>
      </c>
      <c r="O86" s="2" t="inlineStr">
        <is>
          <t>ข้อสอบจริง</t>
        </is>
      </c>
      <c r="P86" s="2" t="inlineStr">
        <is>
          <t>ปี 2557</t>
        </is>
      </c>
    </row>
    <row r="87" ht="13.2" customHeight="1" s="37">
      <c r="A87" s="8" t="inlineStr">
        <is>
          <t>85</t>
        </is>
      </c>
      <c r="B87" s="2" t="inlineStr">
        <is>
          <t>ควรจ่ายยาคุมกำเนิดแบบไหนให้แก่ผู้หญิงรายนี้</t>
        </is>
      </c>
      <c r="C87" s="2" t="n"/>
      <c r="D87" s="2" t="inlineStr">
        <is>
          <t>Conjugated estrogen</t>
        </is>
      </c>
      <c r="E87" s="2" t="inlineStr">
        <is>
          <t>Lynestrenol</t>
        </is>
      </c>
      <c r="F87" s="2" t="inlineStr">
        <is>
          <t>Ethenyl estradiol + Desogestrel</t>
        </is>
      </c>
      <c r="G87" s="2" t="inlineStr">
        <is>
          <t>Ethenyl estradiol + Norethisterone</t>
        </is>
      </c>
      <c r="H87" s="2" t="inlineStr">
        <is>
          <t>Ethenyl estradiol + Cyproterone acetate</t>
        </is>
      </c>
      <c r="I87" s="8" t="inlineStr">
        <is>
          <t>1</t>
        </is>
      </c>
      <c r="J87" s="2" t="inlineStr">
        <is>
          <t>✅ คำตอบที่ถูกต้อง: ข้อ ก. Conjugated estrogen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Conjugated estrogen การเลือก Conjugated estrogen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ข้อนี้ไม่ใช่คำตอบที่ถูกต้องสำหรับภาวะ Oral contraceptive เนื่องจากกลไกการออกฤทธิ์, efficacy หรือข้อบ่งใช้ไม่ตรงกับโจทย์ที่กำหนด
• ข้อ ค. (Ethenyl estradiol + Desogestrel): ข้อนี้ไม่ใช่คำตอบที่ถูกต้องสำหรับภาวะ Oral contraceptive เนื่องจากกลไกการออกฤทธิ์, efficacy หรือข้อบ่งใช้ไม่ตรงกับโจทย์ที่กำหนด
• ข้อ ง. (Ethenyl estradiol + Norethisterone): ข้อนี้ไม่ใช่คำตอบที่ถูกต้องสำหรับภาวะ Oral contraceptive เนื่องจากกลไกการออกฤทธิ์, efficacy หรือข้อบ่งใช้ไม่ตรงกับโจทย์ที่กำหนด
• ข้อ จ. (Ethenyl estradiol + Cyproterone acetate):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7" s="2" t="n"/>
      <c r="L87" s="2" t="inlineStr">
        <is>
          <t>Oral contraceptive</t>
        </is>
      </c>
      <c r="M87" s="2" t="inlineStr">
        <is>
          <t>Clinic</t>
        </is>
      </c>
      <c r="N87" s="2" t="inlineStr">
        <is>
          <t>ข้อ 71 (PLE_CC1_2555 Day 1.md)</t>
        </is>
      </c>
      <c r="O87" s="2" t="inlineStr">
        <is>
          <t>ข้อสอบจริง</t>
        </is>
      </c>
      <c r="P87" s="2" t="inlineStr">
        <is>
          <t>ปี 2555</t>
        </is>
      </c>
    </row>
    <row r="88" ht="13.2" customHeight="1" s="37">
      <c r="A88" s="8" t="inlineStr">
        <is>
          <t>86</t>
        </is>
      </c>
      <c r="B88" s="2" t="inlineStr">
        <is>
          <t>ข้อใดคือเหตุผลในการเลือกยาคุมกำเนิดข้างต้น</t>
        </is>
      </c>
      <c r="C88" s="2" t="n"/>
      <c r="D88" s="2" t="inlineStr">
        <is>
          <t>เพราะมีฮอร์โมนบางชนิดสามารถยับยั้งการหลั่งฮอร์โมน prolactin</t>
        </is>
      </c>
      <c r="E88" s="2" t="inlineStr">
        <is>
          <t>เพราะผนังมดลูกยังไม่แข็งแรงพอ</t>
        </is>
      </c>
      <c r="F88" s="2" t="inlineStr">
        <is>
          <t>เพื่อป้องกันผนังมดลูกหนาตัวขึ้น</t>
        </is>
      </c>
      <c r="G88" s="2" t="inlineStr">
        <is>
          <t>.........</t>
        </is>
      </c>
      <c r="H88" s="2" t="inlineStr">
        <is>
          <t>...........</t>
        </is>
      </c>
      <c r="I88" s="8" t="inlineStr">
        <is>
          <t>1</t>
        </is>
      </c>
      <c r="J88" s="2" t="inlineStr">
        <is>
          <t>✅ คำตอบที่ถูกต้อง: ข้อ ก. เพราะมีฮอร์โมนบางชนิดสามารถยับยั้งการหลั่งฮอร์โมน prolactin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เพราะมีฮอร์โมนบางชนิดสามารถยับยั้งการหลั่งฮอร์โมน prolactin การเลือก เพราะมีฮอร์โมนบางชนิดสามารถยับยั้งการหลั่งฮอร์โมน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(เพราะผนังมดลูกยังไม่แข็งแรงพอ): ข้อนี้ไม่ใช่คำตอบที่ถูกต้องสำหรับภาวะ Oral contraceptive เนื่องจากกลไกการออกฤทธิ์, efficacy หรือข้อบ่งใช้ไม่ตรงกับโจทย์ที่กำหนด
• ข้อ ค. (เพื่อป้องกันผนังมดลูกหนาตัวขึ้น): ข้อนี้ไม่ใช่คำตอบที่ถูกต้องสำหรับภาวะ Oral contraceptive เนื่องจากกลไกการออกฤทธิ์, efficacy หรือข้อบ่งใช้ไม่ตรงกับโจทย์ที่กำหนด
• ข้อ ง. (.........): ข้อนี้ไม่ใช่คำตอบที่ถูกต้องสำหรับภาวะ Oral contraceptive เนื่องจากกลไกการออกฤทธิ์, efficacy หรือข้อบ่งใช้ไม่ตรงกับโจทย์ที่กำหนด
• ข้อ จ. (...........):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8" s="2" t="n"/>
      <c r="L88" s="2" t="inlineStr">
        <is>
          <t>Oral contraceptive</t>
        </is>
      </c>
      <c r="M88" s="2" t="inlineStr">
        <is>
          <t>Clinic</t>
        </is>
      </c>
      <c r="N88" s="2" t="inlineStr">
        <is>
          <t>ข้อ 72 (PLE_CC1_2555 Day 1.md)</t>
        </is>
      </c>
      <c r="O88" s="2" t="inlineStr">
        <is>
          <t>ข้อสอบจริง</t>
        </is>
      </c>
      <c r="P88" s="2" t="inlineStr">
        <is>
          <t>ปี 2555</t>
        </is>
      </c>
    </row>
    <row r="89" ht="13.2" customHeight="1" s="37">
      <c r="A89" s="8" t="inlineStr">
        <is>
          <t>87</t>
        </is>
      </c>
      <c r="B89" s="2" t="inlineStr">
        <is>
          <t>หากผู้ป่วยไม่ต้องการมีประจำเดือนอีกแล้ว และไม่มีข้อห้ามใช้ Estrogen จะต้องได้ยาคุมกำเนิดแบบใด</t>
        </is>
      </c>
      <c r="C89" s="2" t="n"/>
      <c r="D89" s="2" t="inlineStr">
        <is>
          <t>Estrogen เดี่ยวๆ 28 เม็ด</t>
        </is>
      </c>
      <c r="E89" s="2" t="inlineStr">
        <is>
          <t>Progestrin เดี่ยวๆ 28 เม็ด</t>
        </is>
      </c>
      <c r="F89" s="2" t="inlineStr">
        <is>
          <t>Estrogen + progestrin อย่างละ 28 เม็ด</t>
        </is>
      </c>
      <c r="G89" s="2" t="inlineStr">
        <is>
          <t>Estrogen 21 เม็ด + progestrin 7 เม็ด</t>
        </is>
      </c>
      <c r="H89" s="2" t="inlineStr">
        <is>
          <t>Estrogen 16 เม็ด + progestrin 12 เม็ด คณะเภสัชศาสตร์ มหาวิทยาลัยเชียงใหม่ Rx 44 CMU</t>
        </is>
      </c>
      <c r="I89" s="8" t="inlineStr">
        <is>
          <t>1</t>
        </is>
      </c>
      <c r="J89" s="2" t="inlineStr">
        <is>
          <t>✅ คำตอบที่ถูกต้อง: ข้อ ก. Estrogen เดี่ยวๆ 28 เม็ด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Estrogen เดี่ยวๆ 28 เม็ด การเลือก Estrogen เดี่ยวๆ 28 เม็ด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(Progestrin เดี่ยวๆ 28 เม็ด): ข้อนี้ไม่ใช่คำตอบที่ถูกต้องสำหรับภาวะ Oral contraceptive เนื่องจากกลไกการออกฤทธิ์, efficacy หรือข้อบ่งใช้ไม่ตรงกับโจทย์ที่กำหนด
• ข้อ ค. (Estrogen + progestrin อย่างละ 28 เม็ด): ข้อนี้ไม่ใช่คำตอบที่ถูกต้องสำหรับภาวะ Oral contraceptive เนื่องจากกลไกการออกฤทธิ์, efficacy หรือข้อบ่งใช้ไม่ตรงกับโจทย์ที่กำหนด
• ข้อ ง. (Estrogen 21 เม็ด + progestrin 7 เม็ด): ข้อนี้ไม่ใช่คำตอบที่ถูกต้องสำหรับภาวะ Oral contraceptive เนื่องจากกลไกการออกฤทธิ์, efficacy หรือข้อบ่งใช้ไม่ตรงกับโจทย์ที่กำหนด
• ข้อ จ. (Estrogen 16 เม็ด + progestrin 12 เม็ด คณะเภสัชศาสตร์ มหาวิทยาลัยเชียงใหม่ Rx 44 CMU):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9" s="2" t="n"/>
      <c r="L89" s="2" t="inlineStr">
        <is>
          <t>Oral contraceptive</t>
        </is>
      </c>
      <c r="M89" s="2" t="inlineStr">
        <is>
          <t>Clinic</t>
        </is>
      </c>
      <c r="N89" s="2" t="inlineStr">
        <is>
          <t>ข้อ 73 (PLE_CC1_2555 Day 1.md)</t>
        </is>
      </c>
      <c r="O89" s="2" t="inlineStr">
        <is>
          <t>ข้อสอบจริง</t>
        </is>
      </c>
      <c r="P89" s="2" t="inlineStr">
        <is>
          <t>ปี 2555</t>
        </is>
      </c>
    </row>
    <row r="90" ht="13.2" customHeight="1" s="37">
      <c r="A90" s="8" t="inlineStr">
        <is>
          <t>88</t>
        </is>
      </c>
      <c r="B90" s="2" t="inlineStr">
        <is>
          <t>หากผู้ป่วยเป็น cystitis แล้วเกิดตั้งครรภ์ ควรเปลี่ยนยา ciprofloxacin เป็นยาในข้อใดสำหรับผู้ป่วยรายนี้</t>
        </is>
      </c>
      <c r="C90" s="2" t="n"/>
      <c r="D90" s="2" t="inlineStr">
        <is>
          <t>Cotrimoxazole</t>
        </is>
      </c>
      <c r="E90" s="2" t="inlineStr">
        <is>
          <t>Cefalexin</t>
        </is>
      </c>
      <c r="F90" s="2" t="inlineStr">
        <is>
          <t>Cloxacillin</t>
        </is>
      </c>
      <c r="G90" s="2" t="inlineStr">
        <is>
          <t>Doxycycline</t>
        </is>
      </c>
      <c r="H90" s="2" t="inlineStr">
        <is>
          <t>......</t>
        </is>
      </c>
      <c r="I90" s="8" t="inlineStr">
        <is>
          <t>1</t>
        </is>
      </c>
      <c r="J90" s="2" t="inlineStr">
        <is>
          <t>✅ คำตอบที่ถูกต้อง: ข้อ ก. Cotrimoxazole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(Cefalexin): ข้อนี้ไม่ใช่คำตอบที่ถูกต้องสำหรับภาวะ Oral contraceptive เนื่องจากกลไกการออกฤทธิ์, efficacy หรือข้อบ่งใช้ไม่ตรงกับโจทย์ที่กำหนด
• ข้อ ค. (Cloxacillin): เป็น penicillinase-resistant penicillin เป็น drug of choice สำหรับ Methicillin-Susceptible Staphylococcus aureus (MSSA) infections ต้องรับประทานตอนท้องว่าง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0" s="2" t="n"/>
      <c r="L90" s="2" t="inlineStr">
        <is>
          <t>Oral contraceptive</t>
        </is>
      </c>
      <c r="M90" s="2" t="inlineStr">
        <is>
          <t>Clinic</t>
        </is>
      </c>
      <c r="N90" s="2" t="inlineStr">
        <is>
          <t>ข้อ 91 (PLE_CC1_2555 Day 1.md)</t>
        </is>
      </c>
      <c r="O90" s="2" t="inlineStr">
        <is>
          <t>ข้อสอบจริง</t>
        </is>
      </c>
      <c r="P90" s="2" t="inlineStr">
        <is>
          <t>ปี 2555</t>
        </is>
      </c>
    </row>
    <row r="91" ht="13.2" customHeight="1" s="37">
      <c r="A91" s="8" t="inlineStr">
        <is>
          <t>89</t>
        </is>
      </c>
      <c r="B91" s="2" t="inlineStr">
        <is>
          <t>ควรรับประทานยาคุมเพื่อป้องกันการตั้งครรภ์ทารกวิรูป</t>
        </is>
      </c>
      <c r="C91" s="2" t="n"/>
      <c r="D91" s="2" t="inlineStr">
        <is>
          <t>Desogestrel 75 mcg OD (Progestin-only)</t>
        </is>
      </c>
      <c r="E91" s="2" t="inlineStr">
        <is>
          <t>Levonorgestrel 1.5 mg stat (Emergency)</t>
        </is>
      </c>
      <c r="F91" s="2" t="inlineStr">
        <is>
          <t>Mefenamic acid 500 mg TID</t>
        </is>
      </c>
      <c r="G91" s="2" t="inlineStr">
        <is>
          <t>Tamsulosin 0.4 mg HS</t>
        </is>
      </c>
      <c r="H91" s="2" t="inlineStr">
        <is>
          <t>Finasteride 5 mg OD</t>
        </is>
      </c>
      <c r="I91" s="8" t="inlineStr">
        <is>
          <t>1</t>
        </is>
      </c>
      <c r="J91"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1" s="2" t="n"/>
      <c r="L91" s="2" t="inlineStr">
        <is>
          <t>Oral contraceptive</t>
        </is>
      </c>
      <c r="M91" s="2" t="inlineStr">
        <is>
          <t>Clinic</t>
        </is>
      </c>
      <c r="N91" s="2" t="inlineStr">
        <is>
          <t>ข้อ 1 (PLE_CC1_2555 Day 2.md)</t>
        </is>
      </c>
      <c r="O91" s="2" t="inlineStr">
        <is>
          <t>ข้อสอบจริง</t>
        </is>
      </c>
      <c r="P91" s="2" t="inlineStr">
        <is>
          <t>ปี 2555</t>
        </is>
      </c>
    </row>
    <row r="92" ht="13.2" customHeight="1" s="37">
      <c r="A92" s="8" t="inlineStr">
        <is>
          <t>90</t>
        </is>
      </c>
      <c r="B92" s="2" t="inlineStr">
        <is>
          <t>เหตุใดจึงต้องระมัดระวังในการยาคุมกำเนิดที่มี Estrogen ให้กับหญิงที่อยู่ระหว่างให้นมบุตร</t>
        </is>
      </c>
      <c r="C92" s="2" t="n"/>
      <c r="D92" s="2" t="inlineStr">
        <is>
          <t>Tamsulosin 0.4 mg HS</t>
        </is>
      </c>
      <c r="E92" s="2" t="inlineStr">
        <is>
          <t>Finasteride 5 mg OD</t>
        </is>
      </c>
      <c r="F92" s="2" t="inlineStr">
        <is>
          <t>Oxybutynin 5 mg BID</t>
        </is>
      </c>
      <c r="G92" s="2" t="inlineStr">
        <is>
          <t>Tolterodine 2 mg BID</t>
        </is>
      </c>
      <c r="H92" s="2" t="inlineStr">
        <is>
          <t>Dydrogesterone 10 mg BID</t>
        </is>
      </c>
      <c r="I92" s="8" t="inlineStr">
        <is>
          <t>1</t>
        </is>
      </c>
      <c r="J92"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2" s="2" t="n"/>
      <c r="L92" s="2" t="inlineStr">
        <is>
          <t>Oral contraceptive</t>
        </is>
      </c>
      <c r="M92" s="2" t="inlineStr">
        <is>
          <t>Clinic</t>
        </is>
      </c>
      <c r="N92" s="2" t="inlineStr">
        <is>
          <t>ข้อ 2 (PLE_CC1_2555 Day 2.md)</t>
        </is>
      </c>
      <c r="O92" s="2" t="inlineStr">
        <is>
          <t>ข้อสอบจริง</t>
        </is>
      </c>
      <c r="P92" s="2" t="inlineStr">
        <is>
          <t>ปี 2555</t>
        </is>
      </c>
    </row>
    <row r="93" ht="13.2" customHeight="1" s="37">
      <c r="A93" s="8" t="inlineStr">
        <is>
          <t>91</t>
        </is>
      </c>
      <c r="B93" s="2" t="inlineStr">
        <is>
          <t>เนื่องจากยาอาจมีผลลดฮอร์โมน Prolactin</t>
        </is>
      </c>
      <c r="C93" s="2" t="n"/>
      <c r="D93" s="2" t="inlineStr">
        <is>
          <t>Tolterodine 2 mg BID</t>
        </is>
      </c>
      <c r="E93" s="2" t="inlineStr">
        <is>
          <t>Dydrogesterone 10 mg BID</t>
        </is>
      </c>
      <c r="F93" s="2" t="inlineStr">
        <is>
          <t>Ethinylestradiol 30 mcg + Levonorgestrel 150 mcg</t>
        </is>
      </c>
      <c r="G93" s="2" t="inlineStr">
        <is>
          <t>Ethinylestradiol 30 mcg + Drospirenone 3 mg</t>
        </is>
      </c>
      <c r="H93" s="2" t="inlineStr">
        <is>
          <t>Ethinylestradiol 35 mcg + Cyproterone acetate 2 mg</t>
        </is>
      </c>
      <c r="I93" s="8" t="inlineStr">
        <is>
          <t>1</t>
        </is>
      </c>
      <c r="J93"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3" s="2" t="n"/>
      <c r="L93" s="2" t="inlineStr">
        <is>
          <t>Oral contraceptive</t>
        </is>
      </c>
      <c r="M93" s="2" t="inlineStr">
        <is>
          <t>Clinic</t>
        </is>
      </c>
      <c r="N93" s="2" t="inlineStr">
        <is>
          <t>ข้อ 1 (PLE_CC1_2555 Day 2.md)</t>
        </is>
      </c>
      <c r="O93" s="2" t="inlineStr">
        <is>
          <t>ข้อสอบจริง</t>
        </is>
      </c>
      <c r="P93" s="2" t="inlineStr">
        <is>
          <t>ปี 2555</t>
        </is>
      </c>
    </row>
    <row r="94" ht="13.2" customHeight="1" s="37">
      <c r="A94" s="8" t="inlineStr">
        <is>
          <t>92</t>
        </is>
      </c>
      <c r="B94" s="2" t="inlineStr">
        <is>
          <t>เนื่องจากในหญิงให้นมบุตรมีผนังมดลูกที่บางอยู่แล้ว การใช้ยาคุมกำเนิดอาจทำให้เกิดเลือดออกระปริบกระ ปรอยได้</t>
        </is>
      </c>
      <c r="C94" s="2" t="n"/>
      <c r="D94" s="2" t="inlineStr">
        <is>
          <t>Ethinylestradiol 30 mcg + Drospirenone 3 mg</t>
        </is>
      </c>
      <c r="E94" s="2" t="inlineStr">
        <is>
          <t>Ethinylestradiol 35 mcg + Cyproterone acetate 2 mg</t>
        </is>
      </c>
      <c r="F94" s="2" t="inlineStr">
        <is>
          <t>Desogestrel 75 mcg OD (Progestin-only)</t>
        </is>
      </c>
      <c r="G94" s="2" t="inlineStr">
        <is>
          <t>Levonorgestrel 1.5 mg stat (Emergency)</t>
        </is>
      </c>
      <c r="H94" s="2" t="inlineStr">
        <is>
          <t>Mefenamic acid 500 mg TID</t>
        </is>
      </c>
      <c r="I94" s="8" t="inlineStr">
        <is>
          <t>1</t>
        </is>
      </c>
      <c r="J94"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ค.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(Mefenamic acid 500 mg TID):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4" s="2" t="n"/>
      <c r="L94" s="2" t="inlineStr">
        <is>
          <t>Oral contraceptive</t>
        </is>
      </c>
      <c r="M94" s="2" t="inlineStr">
        <is>
          <t>Clinic</t>
        </is>
      </c>
      <c r="N94" s="2" t="inlineStr">
        <is>
          <t>ข้อ 5 (PLE_CC1_2555 Day 2.md)</t>
        </is>
      </c>
      <c r="O94" s="2" t="inlineStr">
        <is>
          <t>ข้อสอบจริง</t>
        </is>
      </c>
      <c r="P94" s="2" t="inlineStr">
        <is>
          <t>ปี 2555</t>
        </is>
      </c>
    </row>
    <row r="95" ht="13.2" customHeight="1" s="37">
      <c r="A95" s="8" t="inlineStr">
        <is>
          <t>93</t>
        </is>
      </c>
      <c r="B95" s="2" t="inlineStr">
        <is>
          <t>ผู้ป่วยที่มีภาวะใดมีห้ามใช้ฮอร์โมนที่ประกอบด้วย Estrogen</t>
        </is>
      </c>
      <c r="C95" s="2" t="n"/>
      <c r="D95" s="2" t="inlineStr">
        <is>
          <t>Levonorgestrel 1.5 mg stat (Emergency)</t>
        </is>
      </c>
      <c r="E95" s="2" t="inlineStr">
        <is>
          <t>Mefenamic acid 500 mg TID</t>
        </is>
      </c>
      <c r="F95" s="2" t="inlineStr">
        <is>
          <t>Tamsulosin 0.4 mg HS</t>
        </is>
      </c>
      <c r="G95" s="2" t="inlineStr">
        <is>
          <t>Finasteride 5 mg OD</t>
        </is>
      </c>
      <c r="H95" s="2" t="inlineStr">
        <is>
          <t>Oxybutynin 5 mg BID</t>
        </is>
      </c>
      <c r="I95" s="8" t="inlineStr">
        <is>
          <t>1</t>
        </is>
      </c>
      <c r="J95" s="2" t="inlineStr">
        <is>
          <t>✅ คำตอบที่ถูกต้อง: ข้อ ก. Levonorgestrel 1.5 mg stat (Emergency)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(Mefenamic acid 500 mg TID): ข้อนี้ไม่ใช่คำตอบที่ถูกต้องสำหรับภาวะ Hormonal replacement เนื่องจากกลไกการออกฤทธิ์, efficacy หรือข้อบ่งใช้ไม่ตรงกับโจทย์ที่กำหนด
• ข้อ ค. (Tamsulosin 0.4 mg HS): ข้อนี้ไม่ใช่คำตอบที่ถูกต้องสำหรับภาวะ Hormonal replacement เนื่องจากกลไกการออกฤทธิ์, efficacy หรือข้อบ่งใช้ไม่ตรงกับโจทย์ที่กำหนด
• ข้อ ง. (Finasteride 5 mg OD): ข้อนี้ไม่ใช่คำตอบที่ถูกต้องสำหรับภาวะ Hormonal replacement เนื่องจากกลไกการออกฤทธิ์, efficacy หรือข้อบ่งใช้ไม่ตรงกับโจทย์ที่กำหนด
• ข้อ จ. (Oxybutynin 5 mg BID):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 s="2" t="n"/>
      <c r="L95" s="2" t="inlineStr">
        <is>
          <t>Hormonal replacement</t>
        </is>
      </c>
      <c r="M95" s="2" t="inlineStr">
        <is>
          <t>Clinic</t>
        </is>
      </c>
      <c r="N95" s="2" t="inlineStr">
        <is>
          <t>ข้อ 3 (PLE_CC1_2555 Day 2.md)</t>
        </is>
      </c>
      <c r="O95" s="2" t="inlineStr">
        <is>
          <t>ข้อสอบจริง</t>
        </is>
      </c>
      <c r="P95" s="2" t="inlineStr">
        <is>
          <t>ปี 2555</t>
        </is>
      </c>
    </row>
    <row r="96" ht="13.2" customHeight="1" s="37">
      <c r="A96" s="8" t="inlineStr">
        <is>
          <t>94</t>
        </is>
      </c>
      <c r="B96" s="2" t="inlineStr">
        <is>
          <t>ผู้ที่ตัดมดลูกไปแล้วสามารถใช้ estrogen อย่างเดียวได้</t>
        </is>
      </c>
      <c r="C96" s="2" t="n"/>
      <c r="D96" s="2" t="inlineStr">
        <is>
          <t>Finasteride 5 mg OD</t>
        </is>
      </c>
      <c r="E96" s="2" t="inlineStr">
        <is>
          <t>Oxybutynin 5 mg BID</t>
        </is>
      </c>
      <c r="F96" s="2" t="inlineStr">
        <is>
          <t>Tolterodine 2 mg BID</t>
        </is>
      </c>
      <c r="G96" s="2" t="inlineStr">
        <is>
          <t>Dydrogesterone 10 mg BID</t>
        </is>
      </c>
      <c r="H96" s="2" t="inlineStr">
        <is>
          <t>Ethinylestradiol 30 mcg + Levonorgestrel 150 mcg</t>
        </is>
      </c>
      <c r="I96" s="8" t="inlineStr">
        <is>
          <t>1</t>
        </is>
      </c>
      <c r="J96" s="2" t="inlineStr">
        <is>
          <t>✅ คำตอบที่ถูกต้อง: ข้อ ก. Finasteride 5 mg OD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Hormonal replacement เนื่องจากกลไกการออกฤทธิ์, efficacy หรือข้อบ่งใช้ไม่ตรงกับโจทย์ที่กำหนด
• ข้อ ค. (Tolterodine 2 mg BID): ข้อนี้ไม่ใช่คำตอบที่ถูกต้องสำหรับภาวะ Hormonal replacement เนื่องจากกลไกการออกฤทธิ์, efficacy หรือข้อบ่งใช้ไม่ตรงกับโจทย์ที่กำหนด
• ข้อ ง. (Dydrogesterone 10 mg BID): ข้อนี้ไม่ใช่คำตอบที่ถูกต้องสำหรับภาวะ Hormonal replacement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 s="2" t="n"/>
      <c r="L96" s="2" t="inlineStr">
        <is>
          <t>Hormonal replacement</t>
        </is>
      </c>
      <c r="M96" s="2" t="inlineStr">
        <is>
          <t>Clinic</t>
        </is>
      </c>
      <c r="N96" s="2" t="inlineStr">
        <is>
          <t>ข้อ 2 (PLE_CC1_2555 Day 2.md)</t>
        </is>
      </c>
      <c r="O96" s="2" t="inlineStr">
        <is>
          <t>ข้อสอบจริง</t>
        </is>
      </c>
      <c r="P96" s="2" t="inlineStr">
        <is>
          <t>ปี 2555</t>
        </is>
      </c>
    </row>
    <row r="97" ht="13.2" customHeight="1" s="37">
      <c r="A97" s="8" t="inlineStr">
        <is>
          <t>95</t>
        </is>
      </c>
      <c r="B97" s="2" t="inlineStr">
        <is>
          <t>ข้อดีของยาคุมกำเนิดในรูปแผ่นแปะที่แตกต่างจากยาคุมกำเนิดแบบรับประทานคือข้อใด</t>
        </is>
      </c>
      <c r="C97" s="2" t="n"/>
      <c r="D97" s="2" t="inlineStr">
        <is>
          <t>Dydrogesterone 10 mg BID</t>
        </is>
      </c>
      <c r="E97" s="2" t="inlineStr">
        <is>
          <t>Ethinylestradiol 30 mcg + Levonorgestrel 150 mcg</t>
        </is>
      </c>
      <c r="F97" s="2" t="inlineStr">
        <is>
          <t>Ethinylestradiol 30 mcg + Drospirenone 3 mg</t>
        </is>
      </c>
      <c r="G97" s="2" t="inlineStr">
        <is>
          <t>Ethinylestradiol 35 mcg + Cyproterone acetate 2 mg</t>
        </is>
      </c>
      <c r="H97" s="2" t="inlineStr">
        <is>
          <t>Desogestrel 75 mcg OD (Progestin-only)</t>
        </is>
      </c>
      <c r="I97" s="8" t="inlineStr">
        <is>
          <t>1</t>
        </is>
      </c>
      <c r="J97"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7" s="2" t="n"/>
      <c r="L97" s="2" t="inlineStr">
        <is>
          <t>Oral contraceptive</t>
        </is>
      </c>
      <c r="M97" s="2" t="inlineStr">
        <is>
          <t>Clinic</t>
        </is>
      </c>
      <c r="N97" s="2" t="inlineStr">
        <is>
          <t>ข้อ 9 (PLE_CC1_2555 Day 2.md)</t>
        </is>
      </c>
      <c r="O97" s="2" t="inlineStr">
        <is>
          <t>ข้อสอบจริง</t>
        </is>
      </c>
      <c r="P97" s="2" t="inlineStr">
        <is>
          <t>ปี 2555</t>
        </is>
      </c>
    </row>
    <row r="98" ht="13.2" customHeight="1" s="37">
      <c r="A98" s="8" t="inlineStr">
        <is>
          <t>96</t>
        </is>
      </c>
      <c r="B98" s="2" t="inlineStr">
        <is>
          <t>ห้ามใช้ในหญิงตั้งครรภ์ เนื่องจากเป็น Pregnancy Category X</t>
        </is>
      </c>
      <c r="C98" s="2" t="n"/>
      <c r="D98" s="2" t="inlineStr">
        <is>
          <t>Ethinylestradiol 35 mcg + Cyproterone acetate 2 mg</t>
        </is>
      </c>
      <c r="E98" s="2" t="inlineStr">
        <is>
          <t>Desogestrel 75 mcg OD (Progestin-only)</t>
        </is>
      </c>
      <c r="F98" s="2" t="inlineStr">
        <is>
          <t>Levonorgestrel 1.5 mg stat (Emergency)</t>
        </is>
      </c>
      <c r="G98" s="2" t="inlineStr">
        <is>
          <t>Mefenamic acid 500 mg TID</t>
        </is>
      </c>
      <c r="H98" s="2" t="inlineStr">
        <is>
          <t>Tamsulosin 0.4 mg HS</t>
        </is>
      </c>
      <c r="I98" s="8" t="inlineStr">
        <is>
          <t>1</t>
        </is>
      </c>
      <c r="J98"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ง.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จ. (Tamsulosin 0.4 mg HS):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8" s="2" t="n"/>
      <c r="L98" s="2" t="inlineStr">
        <is>
          <t>Oral contraceptive</t>
        </is>
      </c>
      <c r="M98" s="2" t="inlineStr">
        <is>
          <t>Clinic</t>
        </is>
      </c>
      <c r="N98" s="2" t="inlineStr">
        <is>
          <t>ข้อ 3 (PLE_CC1_2533.md)</t>
        </is>
      </c>
      <c r="O98" s="2" t="inlineStr">
        <is>
          <t>ข้อสอบจริง</t>
        </is>
      </c>
      <c r="P98" s="2" t="inlineStr">
        <is>
          <t>ปี 2533</t>
        </is>
      </c>
    </row>
    <row r="99" ht="13.2" customHeight="1" s="37">
      <c r="A99" s="8" t="inlineStr">
        <is>
          <t>97</t>
        </is>
      </c>
      <c r="B99" s="2" t="inlineStr">
        <is>
          <t>ให้ทาตอนก่อนนอนครั้งเดียว เพื่อให้ยาสัมผัสกับสิวได้นาน ตอบ ห้ามใช้ในหญิงตั้งครรภ์ เนื่องจากเป็น Pregnancy Category X 5 ผู้ป่วยกลับมาในอีก 2 สัปดาห์พบว่าสิวเห่อแดงเป็นปื้นเต็มหน้า ท่านจะปฏิบัติอย่างไร</t>
        </is>
      </c>
      <c r="C99" s="2" t="n"/>
      <c r="D99" s="2" t="inlineStr">
        <is>
          <t>Mefenamic acid 500 mg TID</t>
        </is>
      </c>
      <c r="E99" s="2" t="inlineStr">
        <is>
          <t>Tamsulosin 0.4 mg HS</t>
        </is>
      </c>
      <c r="F99" s="2" t="inlineStr">
        <is>
          <t>Finasteride 5 mg OD</t>
        </is>
      </c>
      <c r="G99" s="2" t="inlineStr">
        <is>
          <t>Oxybutynin 5 mg BID</t>
        </is>
      </c>
      <c r="H99" s="2" t="inlineStr">
        <is>
          <t>Tolterodine 2 mg BID</t>
        </is>
      </c>
      <c r="I99" s="8" t="inlineStr">
        <is>
          <t>1</t>
        </is>
      </c>
      <c r="J99"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ง.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9" s="2" t="n"/>
      <c r="L99" s="2" t="inlineStr">
        <is>
          <t>Oral contraceptive</t>
        </is>
      </c>
      <c r="M99" s="2" t="inlineStr">
        <is>
          <t>Clinic</t>
        </is>
      </c>
      <c r="N99" s="2" t="inlineStr">
        <is>
          <t>ข้อ 5 (PLE_CC1_2533.md)</t>
        </is>
      </c>
      <c r="O99" s="2" t="inlineStr">
        <is>
          <t>ข้อสอบจริง</t>
        </is>
      </c>
      <c r="P99" s="2" t="inlineStr">
        <is>
          <t>ปี 2533</t>
        </is>
      </c>
    </row>
    <row r="100" ht="13.2" customHeight="1" s="37">
      <c r="A100" s="8" t="inlineStr">
        <is>
          <t>98</t>
        </is>
      </c>
      <c r="B100" s="2" t="inlineStr">
        <is>
          <t>ยาฆ่าเชื้อในข้อใดมีข้อห้ามใช้ในระหว่างการตั้งครรภ์ (Pregnancy category X)</t>
        </is>
      </c>
      <c r="C100" s="2" t="n"/>
      <c r="D100" s="2" t="inlineStr">
        <is>
          <t>Amoxycillin</t>
        </is>
      </c>
      <c r="E100" s="2" t="inlineStr">
        <is>
          <t>Azithromycin</t>
        </is>
      </c>
      <c r="F100" s="2" t="inlineStr">
        <is>
          <t>Clarithromycin</t>
        </is>
      </c>
      <c r="G100" s="2" t="inlineStr">
        <is>
          <t>Chloramphenicol</t>
        </is>
      </c>
      <c r="H100" s="2" t="inlineStr">
        <is>
          <t>Ethinylestradiol 30 mcg + Drospirenone 3 mg</t>
        </is>
      </c>
      <c r="I100" s="8" t="inlineStr">
        <is>
          <t>1</t>
        </is>
      </c>
      <c r="J100" s="2" t="inlineStr">
        <is>
          <t>✅ คำตอบที่ถูกต้อง: ข้อ ก. Amoxycillin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Amoxycillin การเลือก Amoxycillin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(Clarithromycin): เป็น Macrolide เป็นแกนหลักในสูตรกำจัด H. pylori และ MAC treatment แต่ยับยั้ง CYP3A4 สูงมาก จึงมี drug-drug interactions รุนแรงกับ statins, colchicine
• ข้อ ง. (Chloramphenicol):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0" s="2" t="n"/>
      <c r="L100" s="2" t="inlineStr">
        <is>
          <t>Oral contraceptive</t>
        </is>
      </c>
      <c r="M100" s="2" t="inlineStr">
        <is>
          <t>Clinic</t>
        </is>
      </c>
      <c r="N100" s="2" t="inlineStr">
        <is>
          <t>ข้อ 30 (PLE_CC1_Practice_Exam.md)</t>
        </is>
      </c>
      <c r="O100" s="2" t="inlineStr">
        <is>
          <t>Mock</t>
        </is>
      </c>
      <c r="P100" s="2" t="inlineStr">
        <is>
          <t>Mock สภาเภสัชฯ Practice</t>
        </is>
      </c>
    </row>
    <row r="101" ht="13.2" customHeight="1" s="37">
      <c r="A101" s="8" t="inlineStr">
        <is>
          <t>99</t>
        </is>
      </c>
      <c r="B101" s="2" t="inlineStr">
        <is>
          <t>ข้อใดไม่ใช่ข้อบ่งใช้ของ Estrogen replacement</t>
        </is>
      </c>
      <c r="C101" s="2" t="n"/>
      <c r="D101" s="2" t="inlineStr">
        <is>
          <t>ผู้ป่วยตัดรังไข่จากการเป็นเนื้องอก</t>
        </is>
      </c>
      <c r="E101" s="2" t="inlineStr">
        <is>
          <t>ทนแทนในสตรีวัยหมดประจำเดือน</t>
        </is>
      </c>
      <c r="F101" s="2" t="inlineStr">
        <is>
          <t>ป้องกันกระดูกพรุน</t>
        </is>
      </c>
      <c r="G101" s="2" t="inlineStr">
        <is>
          <t>มีอาการจาก vasomotor symptoms</t>
        </is>
      </c>
      <c r="H101" s="2" t="inlineStr">
        <is>
          <t>อาการทางระบบสืบพันธุ์หรือระบบขับถ่ายปัสสาวะ จงใช้โครงสร้างของ Estradiol ตอบคำถามข้อ 27</t>
        </is>
      </c>
      <c r="I101" s="8" t="inlineStr">
        <is>
          <t>1</t>
        </is>
      </c>
      <c r="J101" s="2" t="inlineStr">
        <is>
          <t>✅ คำตอบที่ถูกต้อง: ข้อ ก. ผู้ป่วยตัดรังไข่จากการเป็นเนื้องอก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ผู้ป่วยตัดรังไข่จากการเป็นเนื้องอก การเลือก ผู้ป่วยตัดรังไข่จากการเป็นเนื้องอก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(ทนแทนในสตรีวัยหมดประจำเดือน): ข้อนี้ไม่ใช่คำตอบที่ถูกต้องสำหรับภาวะ Hormonal replacement เนื่องจากกลไกการออกฤทธิ์, efficacy หรือข้อบ่งใช้ไม่ตรงกับโจทย์ที่กำหนด
• ข้อ ค. (ป้องกันกระดูกพรุน): ข้อนี้ไม่ใช่คำตอบที่ถูกต้องสำหรับภาวะ Hormonal replacement เนื่องจากกลไกการออกฤทธิ์, efficacy หรือข้อบ่งใช้ไม่ตรงกับโจทย์ที่กำหนด
• ข้อ ง. (มีอาการจาก vasomotor symptoms): ข้อนี้ไม่ใช่คำตอบที่ถูกต้องสำหรับภาวะ Hormonal replacement เนื่องจากกลไกการออกฤทธิ์, efficacy หรือข้อบ่งใช้ไม่ตรงกับโจทย์ที่กำหนด
• ข้อ จ. (อาการทางระบบสืบพันธุ์หรือระบบขับถ่ายปัสสาวะ จงใช้โครงสร้างของ Estradiol ตอบคำถามข้อ 27):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2" t="n"/>
      <c r="L101" s="2" t="inlineStr">
        <is>
          <t>Hormonal replacement</t>
        </is>
      </c>
      <c r="M101" s="2" t="inlineStr">
        <is>
          <t>Clinic</t>
        </is>
      </c>
      <c r="N101" s="2" t="inlineStr">
        <is>
          <t>ข้อ 26 (PLE_CC1_Practice_Exam.md)</t>
        </is>
      </c>
      <c r="O101" s="2" t="inlineStr">
        <is>
          <t>Mock</t>
        </is>
      </c>
      <c r="P101" s="2" t="inlineStr">
        <is>
          <t>Mock สภาเภสัชฯ Practice</t>
        </is>
      </c>
    </row>
    <row r="102" ht="13.2" customHeight="1" s="37">
      <c r="A102" s="8" t="inlineStr">
        <is>
          <t>100</t>
        </is>
      </c>
      <c r="B102" s="2" t="inlineStr">
        <is>
          <t>ผู้ป่วยหญิงเดี่ยว อายุ 35 ปี เป็นตาปลาที่เท้า มาขอซื้อยาและขอคำปรึกษาเกี่ยวกับตาปลาที่ร้านยา ซัก ประวัติเพิ่มเติมพบว่า ผู้ป่วยตั้งครรภ์ มีอายุครรภ์ 1 เดือน และมีประวัติการแพ้ยาในกลุ่ม Sulfa ผู้ป่วยถามถึง สาเหตุของการเกิดโรค ข้อใดเป็นการให้ข้อมูลเกี่ยวกับการเกิดโรคตาปลาที่ไม่ถูกต้อง</t>
        </is>
      </c>
      <c r="C102" s="2" t="n"/>
      <c r="D102" s="2" t="inlineStr">
        <is>
          <t>ตาปลาเกิดจากการสวมรองเท้าที่ไม่พอดี</t>
        </is>
      </c>
      <c r="E102" s="2" t="inlineStr">
        <is>
          <t>ตาปลาเกิดจากการไม่ชอบสวมรองเท้าเดิน</t>
        </is>
      </c>
      <c r="F102" s="2" t="inlineStr">
        <is>
          <t>ตาปลาอาจเกิดได้จากรูปเท้าที่ผิดปกติ</t>
        </is>
      </c>
      <c r="G102" s="2" t="inlineStr">
        <is>
          <t>ตาปลาเกิดจากการติดเชื้อ ซึ่งมักเกิดตามมาหลังจากเป็นแผลที่เท้า</t>
        </is>
      </c>
      <c r="H102" s="2" t="inlineStr">
        <is>
          <t>ข้อที่กล่าวมาข้างต้นไม่มีข้อใดผิด 133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02" s="8" t="inlineStr">
        <is>
          <t>1</t>
        </is>
      </c>
      <c r="J102" s="2" t="inlineStr">
        <is>
          <t>✅ คำตอบที่ถูกต้อง: ข้อ ก. ตาปลาเกิดจากการสวมรองเท้าที่ไม่พอดี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ตาปลาเกิดจากการสวมรองเท้าที่ไม่พอดี การเลือก ตาปลาเกิดจากการสวมรองเท้าที่ไม่พอดี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(ตาปลาเกิดจากการไม่ชอบสวมรองเท้าเดิน): ข้อนี้ไม่ใช่คำตอบที่ถูกต้องสำหรับภาวะ Oral contraceptive เนื่องจากกลไกการออกฤทธิ์, efficacy หรือข้อบ่งใช้ไม่ตรงกับโจทย์ที่กำหนด
• ข้อ ค. (ตาปลาอาจเกิดได้จากรูปเท้าที่ผิดปกติ): ข้อนี้ไม่ใช่คำตอบที่ถูกต้องสำหรับภาวะ Oral contraceptive เนื่องจากกลไกการออกฤทธิ์, efficacy หรือข้อบ่งใช้ไม่ตรงกับโจทย์ที่กำหนด
• ข้อ ง. (ตาปลาเกิดจากการติดเชื้อ ซึ่งมักเกิดตามมาหลังจากเป็นแผลที่เท้า): ข้อนี้ไม่ใช่คำตอบที่ถูกต้องสำหรับภาวะ Oral contraceptive เนื่องจากกลไกการออกฤทธิ์, efficacy หรือข้อบ่งใช้ไม่ตรงกับโจทย์ที่กำหนด
• ข้อ จ. (ข้อที่กล่าวมาข้างต้นไม่มีข้อใดผิด 133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2" s="2" t="n"/>
      <c r="L102" s="2" t="inlineStr">
        <is>
          <t>Oral contraceptive</t>
        </is>
      </c>
      <c r="M102" s="2" t="inlineStr">
        <is>
          <t>Clinic</t>
        </is>
      </c>
      <c r="N102" s="2" t="inlineStr">
        <is>
          <t>ข้อ 20 (PLE_CC1_Practice_Exam.md)</t>
        </is>
      </c>
      <c r="O102" s="2" t="inlineStr">
        <is>
          <t>Mock</t>
        </is>
      </c>
      <c r="P102" s="2" t="inlineStr">
        <is>
          <t>Mock สภาเภสัชฯ Practice</t>
        </is>
      </c>
    </row>
    <row r="103" ht="13.2" customHeight="1" s="37">
      <c r="A103" s="8" t="inlineStr">
        <is>
          <t>101</t>
        </is>
      </c>
      <c r="B103" s="2" t="inlineStr">
        <is>
          <t>จากข้อ 28 หากผู้ป่วยกำลังตั้งครรภ์ ควรได้รับการรักษาด้วยยาในข้อใด</t>
        </is>
      </c>
      <c r="C103" s="2" t="n"/>
      <c r="D103" s="2" t="inlineStr">
        <is>
          <t>1% Gamma-benzene hexachloride ข. 25 % Benzyl benzoate</t>
        </is>
      </c>
      <c r="E103" s="2" t="inlineStr">
        <is>
          <t>12.5 % Benzyl benzoate</t>
        </is>
      </c>
      <c r="F103" s="2" t="inlineStr">
        <is>
          <t>10 - 15% Precipitated sulfur</t>
        </is>
      </c>
      <c r="G103" s="2" t="inlineStr">
        <is>
          <t>5% Permethrin cream</t>
        </is>
      </c>
      <c r="H103" s="2" t="inlineStr">
        <is>
          <t>Dydrogesterone 10 mg BID</t>
        </is>
      </c>
      <c r="I103" s="8" t="inlineStr">
        <is>
          <t>1</t>
        </is>
      </c>
      <c r="J103" s="2" t="inlineStr">
        <is>
          <t>✅ คำตอบที่ถูกต้อง: ข้อ ก. 1% Gamma-benzene hexachloride ข. 25 % Benzyl benzoate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1% Gamma-benzene hexachloride ข. 25 % Benzyl benzoate การเลือก 1% Gamma-benzene hexachloride ข. 25 % Benzyl benzoate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(12.5 % Benzyl benzoate): ข้อนี้ไม่ใช่คำตอบที่ถูกต้องสำหรับภาวะ Oral contraceptive เนื่องจากกลไกการออกฤทธิ์, efficacy หรือข้อบ่งใช้ไม่ตรงกับโจทย์ที่กำหนด
• ข้อ ค. (10 - 15% Precipitated sulfur): ข้อนี้ไม่ใช่คำตอบที่ถูกต้องสำหรับภาวะ Oral contraceptive เนื่องจากกลไกการออกฤทธิ์, efficacy หรือข้อบ่งใช้ไม่ตรงกับโจทย์ที่กำหนด
• ข้อ ง. (5% Permethrin cream):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3" s="2" t="n"/>
      <c r="L103" s="2" t="inlineStr">
        <is>
          <t>Oral contraceptive</t>
        </is>
      </c>
      <c r="M103" s="2" t="inlineStr">
        <is>
          <t>Clinic</t>
        </is>
      </c>
      <c r="N103" s="2" t="inlineStr">
        <is>
          <t>ข้อ 30 (PLE_CC1_Practice_Exam.md)</t>
        </is>
      </c>
      <c r="O103" s="2" t="inlineStr">
        <is>
          <t>Mock</t>
        </is>
      </c>
      <c r="P103" s="2" t="inlineStr">
        <is>
          <t>Mock สภาเภสัชฯ Practice</t>
        </is>
      </c>
    </row>
    <row r="104" ht="13.2" customHeight="1" s="37">
      <c r="A104" s="8" t="inlineStr">
        <is>
          <t>102</t>
        </is>
      </c>
      <c r="B104" s="2" t="inlineStr">
        <is>
          <t>ผู้ป่วยที่ตั้งครรภ์</t>
        </is>
      </c>
      <c r="C104" s="2" t="n"/>
      <c r="D104" s="2" t="inlineStr">
        <is>
          <t>Tolterodine 2 mg BID</t>
        </is>
      </c>
      <c r="E104" s="2" t="inlineStr">
        <is>
          <t>Dydrogesterone 10 mg BID</t>
        </is>
      </c>
      <c r="F104" s="2" t="inlineStr">
        <is>
          <t>Ethinylestradiol 30 mcg + Levonorgestrel 150 mcg</t>
        </is>
      </c>
      <c r="G104" s="2" t="inlineStr">
        <is>
          <t>Ethinylestradiol 30 mcg + Drospirenone 3 mg</t>
        </is>
      </c>
      <c r="H104" s="2" t="inlineStr">
        <is>
          <t>Ethinylestradiol 35 mcg + Cyproterone acetate 2 mg</t>
        </is>
      </c>
      <c r="I104" s="8" t="inlineStr">
        <is>
          <t>1</t>
        </is>
      </c>
      <c r="J104"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4" s="2" t="n"/>
      <c r="L104" s="2" t="inlineStr">
        <is>
          <t>Oral contraceptive</t>
        </is>
      </c>
      <c r="M104" s="2" t="inlineStr">
        <is>
          <t>Clinic</t>
        </is>
      </c>
      <c r="N104" s="2" t="inlineStr">
        <is>
          <t>ข้อ 5 (PLE_CC1_Practice_Exam.md)</t>
        </is>
      </c>
      <c r="O104" s="2" t="inlineStr">
        <is>
          <t>Mock</t>
        </is>
      </c>
      <c r="P104" s="2" t="inlineStr">
        <is>
          <t>Mock สภาเภสัชฯ Practice</t>
        </is>
      </c>
    </row>
    <row r="105" ht="13.2" customHeight="1" s="37">
      <c r="A105" s="8" t="inlineStr">
        <is>
          <t>103</t>
        </is>
      </c>
      <c r="B105" s="2" t="inlineStr">
        <is>
          <t>ข้อใดผิดเกี่ยวกับกลไกออกฤทธิ์ของยาคุมกำเนิด</t>
        </is>
      </c>
      <c r="C105" s="2" t="n"/>
      <c r="D105" s="2" t="inlineStr">
        <is>
          <t>Estrogen ยับยั้งการหลั่ง FSH กดการเจริญของ follicle</t>
        </is>
      </c>
      <c r="E105" s="2" t="inlineStr">
        <is>
          <t>Progesterone ยับยั้งการหลั่ง LH ทำให้ไม่เกิดการตกไข่</t>
        </is>
      </c>
      <c r="F105" s="2" t="inlineStr">
        <is>
          <t>Estrogen มีผลทำให้มูกที่ปากมดลูกข้นเหนียว ทำให้ sperm ผ่านได้ยาก</t>
        </is>
      </c>
      <c r="G105" s="2" t="inlineStr">
        <is>
          <t>ปริมาณของ hormone เพิ่มมากขึ้น มีผลต่อการ contraction ของ uterus และ fallopian tube</t>
        </is>
      </c>
      <c r="H105" s="2" t="inlineStr">
        <is>
          <t>ปริมาณ Estrogen และ Progesterone ไม่เหมาะสมต่อการฝังตัวของตัวอ่อน</t>
        </is>
      </c>
      <c r="I105" s="8" t="inlineStr">
        <is>
          <t>1</t>
        </is>
      </c>
      <c r="J105" s="2" t="inlineStr">
        <is>
          <t>✅ คำตอบที่ถูกต้อง: ข้อ ก. Estrogen ยับยั้งการหลั่ง FSH กดการเจริญของ follicle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Estrogen ยับยั้งการหลั่ง FSH กดการเจริญของ follicle การเลือก Estrogen ยับยั้งการหลั่ง FSH กดการเจริญของ follicle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(Progesterone ยับยั้งการหลั่ง LH ทำให้ไม่เกิดการตกไข่): ข้อนี้ไม่ใช่คำตอบที่ถูกต้องสำหรับภาวะ Oral contraceptive เนื่องจากกลไกการออกฤทธิ์, efficacy หรือข้อบ่งใช้ไม่ตรงกับโจทย์ที่กำหนด
• ข้อ ค. (Estrogen มีผลทำให้มูกที่ปากมดลูกข้นเหนียว ทำให้ sperm ผ่านได้ยาก): ข้อนี้ไม่ใช่คำตอบที่ถูกต้องสำหรับภาวะ Oral contraceptive เนื่องจากกลไกการออกฤทธิ์, efficacy หรือข้อบ่งใช้ไม่ตรงกับโจทย์ที่กำหนด
• ข้อ ง. (ปริมาณของ hormone เพิ่มมากขึ้น มีผลต่อการ contraction ของ uterus และ fallopian tube): ข้อนี้ไม่ใช่คำตอบที่ถูกต้องสำหรับภาวะ Oral contraceptive เนื่องจากกลไกการออกฤทธิ์, efficacy หรือข้อบ่งใช้ไม่ตรงกับโจทย์ที่กำหนด
• ข้อ จ. (ปริมาณ Estrogen และ Progesterone ไม่เหมาะสมต่อการฝังตัวของตัวอ่อน):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5" s="2" t="n"/>
      <c r="L105" s="2" t="inlineStr">
        <is>
          <t>Oral contraceptive</t>
        </is>
      </c>
      <c r="M105" s="2" t="inlineStr">
        <is>
          <t>Clinic</t>
        </is>
      </c>
      <c r="N105" s="2" t="inlineStr">
        <is>
          <t>ข้อ 7 (PLE_CC1_Practice_Exam.md)</t>
        </is>
      </c>
      <c r="O105" s="2" t="inlineStr">
        <is>
          <t>Mock</t>
        </is>
      </c>
      <c r="P105" s="2" t="inlineStr">
        <is>
          <t>Mock สภาเภสัชฯ Practice</t>
        </is>
      </c>
    </row>
    <row r="106" ht="13.2" customHeight="1" s="37">
      <c r="A106" s="8" t="inlineStr">
        <is>
          <t>104</t>
        </is>
      </c>
      <c r="B106" s="2" t="inlineStr">
        <is>
          <t>ยาคุมกำเนิดรับประทานขณะให้นมบุตร คือข้อใด</t>
        </is>
      </c>
      <c r="C106" s="2" t="n"/>
      <c r="D106" s="2" t="inlineStr">
        <is>
          <t>Lynestrenol</t>
        </is>
      </c>
      <c r="E106" s="2" t="inlineStr">
        <is>
          <t>Levonorgestrel</t>
        </is>
      </c>
      <c r="F106" s="2" t="inlineStr">
        <is>
          <t>Ethinyl estradiol + Levonorgestrel</t>
        </is>
      </c>
      <c r="G106" s="2" t="inlineStr">
        <is>
          <t>Ethinyl estradiol + Desogestrol</t>
        </is>
      </c>
      <c r="H106" s="2" t="inlineStr">
        <is>
          <t>Oxybutynin 5 mg BID</t>
        </is>
      </c>
      <c r="I106" s="8" t="inlineStr">
        <is>
          <t>1</t>
        </is>
      </c>
      <c r="J106" s="2" t="inlineStr">
        <is>
          <t>✅ คำตอบที่ถูกต้อง: ข้อ ก. Lynestrenol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Lynestrenol การเลือก Lynestrenol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 Levonorgestrel): ข้อนี้ไม่ใช่คำตอบที่ถูกต้องสำหรับภาวะ Oral contraceptive เนื่องจากกลไกการออกฤทธิ์, efficacy หรือข้อบ่งใช้ไม่ตรงกับโจทย์ที่กำหนด
• ข้อ ง. (Ethinyl estradiol + Desogestrol): ข้อนี้ไม่ใช่คำตอบที่ถูกต้องสำหรับภาวะ Oral contraceptive เนื่องจากกลไกการออกฤทธิ์, efficacy หรือข้อบ่งใช้ไม่ตรงกับโจทย์ที่กำหนด
• ข้อ จ. (Oxybutynin 5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6" s="2" t="n"/>
      <c r="L106" s="2" t="inlineStr">
        <is>
          <t>Oral contraceptive</t>
        </is>
      </c>
      <c r="M106" s="2" t="inlineStr">
        <is>
          <t>Clinic</t>
        </is>
      </c>
      <c r="N106" s="2" t="inlineStr">
        <is>
          <t>ข้อ 13 (PLE_CC1_Practice_Exam.md)</t>
        </is>
      </c>
      <c r="O106" s="2" t="inlineStr">
        <is>
          <t>Mock</t>
        </is>
      </c>
      <c r="P106" s="2" t="inlineStr">
        <is>
          <t>Mock สภาเภสัชฯ Practice</t>
        </is>
      </c>
    </row>
    <row r="107" ht="13.2" customHeight="1" s="37">
      <c r="A107" s="8" t="inlineStr">
        <is>
          <t>105</t>
        </is>
      </c>
      <c r="B107" s="2" t="inlineStr">
        <is>
          <t>กรณีที่เด็กหญิงแดงตัดสินใจใช้ยาคุมกำเนิดครั้งแรก เพราะไม่อยากใช้ยา POSTINORหบ่อยๆเภสัชกรควร ตัดสินใจหรือให้คำแนะนำอย่างไร</t>
        </is>
      </c>
      <c r="C107" s="2" t="n"/>
      <c r="D107" s="2" t="inlineStr">
        <is>
          <t>ควรเลือกจ่าย POPs ก่อน COCs เพราะ POPs ไม่จำเป็นต้องกินยาให้ตรงเวลาเหมือน COCs</t>
        </is>
      </c>
      <c r="E107" s="2" t="inlineStr">
        <is>
          <t>สามารถเริ่มกินยาในวันใดก็ได้ ที่มั่นใจว่าไม่มีการตั้งครรภ์ และไม่ต้องมีการ Back Up</t>
        </is>
      </c>
      <c r="F107" s="2" t="inlineStr">
        <is>
          <t>เริ่มกินยาภายในไม่เกิน 5 วันแรกของการมีประจำเดือน และต้องทำการ Back Up 7 วัน</t>
        </is>
      </c>
      <c r="G107" s="2" t="inlineStr">
        <is>
          <t>กรณีลืมกินยา 1 เม็ด สามารถกินยาเม็ดที่ลืมทันทีที่นึกได้ แล้วกินเม็ดต่อไปได้ตามปกติ</t>
        </is>
      </c>
      <c r="H107" s="2" t="inlineStr">
        <is>
          <t>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I107" s="8" t="inlineStr">
        <is>
          <t>1</t>
        </is>
      </c>
      <c r="J107" s="2" t="inlineStr">
        <is>
          <t>✅ คำตอบที่ถูกต้อง: ข้อ ก. ควรเลือกจ่าย POPs ก่อน COCs เพราะ POPs ไม่จำเป็นต้องกินยาให้ตรงเวลาเหมือน COCs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ควรเลือกจ่าย POPs ก่อน COCs เพราะ POPs ไม่จำเป็นต้องกินยาให้ตรงเวลาเหมือน COCs การเลือก ควรเลือกจ่าย POPs ก่อน COCs เพราะ POPs ไม่จำเป็นต้องกินยาให้ตรงเวลาเหมือน COCs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(สามารถเริ่มกินยาในวันใดก็ได้ ที่มั่นใจว่าไม่มีการตั้งครรภ์ และไม่ต้องมีการ Back Up): ข้อนี้ไม่ใช่คำตอบที่ถูกต้องสำหรับภาวะ Oral contraceptive เนื่องจากกลไกการออกฤทธิ์, efficacy หรือข้อบ่งใช้ไม่ตรงกับโจทย์ที่กำหนด
• ข้อ ค. (เริ่มกินยาภายในไม่เกิน 5 วันแรกของการมีประจำเดือน และต้องทำการ Back Up 7 วัน): ข้อนี้ไม่ใช่คำตอบที่ถูกต้องสำหรับภาวะ Oral contraceptive เนื่องจากกลไกการออกฤทธิ์, efficacy หรือข้อบ่งใช้ไม่ตรงกับโจทย์ที่กำหนด
• ข้อ ง. (กรณีลืมกินยา 1 เม็ด สามารถกินยาเม็ดที่ลืมทันทีที่นึกได้ แล้วกินเม็ดต่อไปได้ตามปกติ): ข้อนี้ไม่ใช่คำตอบที่ถูกต้องสำหรับภาวะ Oral contraceptive เนื่องจากกลไกการออกฤทธิ์, efficacy หรือข้อบ่งใช้ไม่ตรงกับโจทย์ที่กำหนด
• ข้อ จ.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7" s="2" t="n"/>
      <c r="L107" s="2" t="inlineStr">
        <is>
          <t>Oral contraceptive</t>
        </is>
      </c>
      <c r="M107" s="2" t="inlineStr">
        <is>
          <t>Clinic</t>
        </is>
      </c>
      <c r="N107" s="2" t="inlineStr">
        <is>
          <t>ข้อ 29 (PLE_CC1_Practice_Exam.md)</t>
        </is>
      </c>
      <c r="O107" s="2" t="inlineStr">
        <is>
          <t>Mock</t>
        </is>
      </c>
      <c r="P107" s="2" t="inlineStr">
        <is>
          <t>Mock สภาเภสัชฯ Practice</t>
        </is>
      </c>
    </row>
    <row r="108" ht="13.2" customHeight="1" s="37">
      <c r="A108" s="8" t="inlineStr">
        <is>
          <t>106</t>
        </is>
      </c>
      <c r="B108" s="2" t="inlineStr">
        <is>
          <t>ยาใดห้ำมให้ในหญิงตั้งครรภ์</t>
        </is>
      </c>
      <c r="C108" s="2" t="n"/>
      <c r="D108" s="2" t="inlineStr">
        <is>
          <t>Dydrogesterone 10 mg BID</t>
        </is>
      </c>
      <c r="E108" s="2" t="inlineStr">
        <is>
          <t>Ethinylestradiol 30 mcg + Levonorgestrel 150 mcg</t>
        </is>
      </c>
      <c r="F108" s="2" t="inlineStr">
        <is>
          <t>Ethinylestradiol 30 mcg + Drospirenone 3 mg</t>
        </is>
      </c>
      <c r="G108" s="2" t="inlineStr">
        <is>
          <t>Ethinylestradiol 35 mcg + Cyproterone acetate 2 mg</t>
        </is>
      </c>
      <c r="H108" s="2" t="inlineStr">
        <is>
          <t>Desogestrel 75 mcg OD (Progestin-only)</t>
        </is>
      </c>
      <c r="I108" s="8" t="inlineStr">
        <is>
          <t>1</t>
        </is>
      </c>
      <c r="J108"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8" s="2" t="n"/>
      <c r="L108" s="2" t="inlineStr">
        <is>
          <t>Oral contraceptive</t>
        </is>
      </c>
      <c r="M108" s="2" t="inlineStr">
        <is>
          <t>Clinic</t>
        </is>
      </c>
      <c r="N108" s="2" t="inlineStr">
        <is>
          <t>ข้อ 3 (PLE_CC1_Key_Rx20_UBU.md)</t>
        </is>
      </c>
      <c r="O108" s="2" t="inlineStr">
        <is>
          <t>Mock</t>
        </is>
      </c>
      <c r="P108" s="2" t="inlineStr">
        <is>
          <t>Mock Rx20 UBU</t>
        </is>
      </c>
    </row>
    <row r="109" ht="13.2" customHeight="1" s="37">
      <c r="A109" s="8" t="inlineStr">
        <is>
          <t>107</t>
        </is>
      </c>
      <c r="B109" s="2" t="inlineStr">
        <is>
          <t>ผู้หญิงต้องคุมกำเนิดตั้งแต่เดือนแรกที่ใช้ยา</t>
        </is>
      </c>
      <c r="C109" s="2" t="n"/>
      <c r="D109" s="2" t="inlineStr">
        <is>
          <t>Ethinylestradiol 35 mcg + Cyproterone acetate 2 mg</t>
        </is>
      </c>
      <c r="E109" s="2" t="inlineStr">
        <is>
          <t>Desogestrel 75 mcg OD (Progestin-only)</t>
        </is>
      </c>
      <c r="F109" s="2" t="inlineStr">
        <is>
          <t>Levonorgestrel 1.5 mg stat (Emergency)</t>
        </is>
      </c>
      <c r="G109" s="2" t="inlineStr">
        <is>
          <t>Mefenamic acid 500 mg TID</t>
        </is>
      </c>
      <c r="H109" s="2" t="inlineStr">
        <is>
          <t>Tamsulosin 0.4 mg HS</t>
        </is>
      </c>
      <c r="I109" s="8" t="inlineStr">
        <is>
          <t>1</t>
        </is>
      </c>
      <c r="J109"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ง.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จ. (Tamsulosin 0.4 mg HS):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9" s="2" t="n"/>
      <c r="L109" s="2" t="inlineStr">
        <is>
          <t>Oral contraceptive</t>
        </is>
      </c>
      <c r="M109" s="2" t="inlineStr">
        <is>
          <t>Clinic</t>
        </is>
      </c>
      <c r="N109" s="2" t="inlineStr">
        <is>
          <t>ข้อ 1 (PLE_CC1_Key_Rx20_UBU.md)</t>
        </is>
      </c>
      <c r="O109" s="2" t="inlineStr">
        <is>
          <t>Mock</t>
        </is>
      </c>
      <c r="P109" s="2" t="inlineStr">
        <is>
          <t>Mock Rx20 UBU</t>
        </is>
      </c>
    </row>
    <row r="110" ht="13.2" customHeight="1" s="37">
      <c r="A110" s="8" t="inlineStr">
        <is>
          <t>108</t>
        </is>
      </c>
      <c r="B110" s="2" t="inlineStr">
        <is>
          <t>มีผลข้างเคียงทำให้ผิวลอก ปากแห้งได้ เป็นพิษต่อทารกในครรภ์ โดยทำให้ IG ต่ำ อาจเเท้ง คลอดก่อนกำหนด หรือทารกตายได้ ห้ามใช้ในหญิงตั้งคครภ์ เเละขับผ่านน้ำนม ไม่เเนะนำให้ใช้ในหญิงให้นมบุตร การคุมกำเนิด: 1 เดือนก่อนเริ่มยา ตลอดระยะเวลาที่กินยา เเละคุมกำเนิดต่อไปอีก 1 เดือนหลังจากหยุดยา</t>
        </is>
      </c>
      <c r="C110" s="2" t="n"/>
      <c r="D110" s="2" t="inlineStr">
        <is>
          <t>Mefenamic acid 500 mg TID</t>
        </is>
      </c>
      <c r="E110" s="2" t="inlineStr">
        <is>
          <t>Tamsulosin 0.4 mg HS</t>
        </is>
      </c>
      <c r="F110" s="2" t="inlineStr">
        <is>
          <t>Finasteride 5 mg OD</t>
        </is>
      </c>
      <c r="G110" s="2" t="inlineStr">
        <is>
          <t>Oxybutynin 5 mg BID</t>
        </is>
      </c>
      <c r="H110" s="2" t="inlineStr">
        <is>
          <t>Tolterodine 2 mg BID</t>
        </is>
      </c>
      <c r="I110" s="8" t="inlineStr">
        <is>
          <t>4</t>
        </is>
      </c>
      <c r="J110" s="2" t="inlineStr">
        <is>
          <t>✅ คำตอบที่ถูกต้อง: ข้อ ง.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ข.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0" s="2" t="n"/>
      <c r="L110" s="2" t="inlineStr">
        <is>
          <t>Oral contraceptive</t>
        </is>
      </c>
      <c r="M110" s="2" t="inlineStr">
        <is>
          <t>Clinic</t>
        </is>
      </c>
      <c r="N110" s="2" t="inlineStr">
        <is>
          <t>ข้อ 5 (PLE_CC1_Key_Rx20_UBU.md)</t>
        </is>
      </c>
      <c r="O110" s="2" t="inlineStr">
        <is>
          <t>Mock</t>
        </is>
      </c>
      <c r="P110" s="2" t="inlineStr">
        <is>
          <t>Mock Rx20 UBU</t>
        </is>
      </c>
    </row>
    <row r="111" ht="13.2" customHeight="1" s="37">
      <c r="A111" s="8" t="inlineStr">
        <is>
          <t>109</t>
        </is>
      </c>
      <c r="B111" s="2" t="inlineStr">
        <is>
          <t>เหตุใดจึงต้องระมัดระวังในการยาคุมกำเนิดที่มี Estrogen ให้กับหญิงที่อยู่ระหว่างให้นมบุตร</t>
        </is>
      </c>
      <c r="C111" s="2" t="n"/>
      <c r="D111" s="2" t="inlineStr">
        <is>
          <t>เนื่องจากยาอาจมีผลลดฮอร์โมน Prolactin</t>
        </is>
      </c>
      <c r="E111" s="2" t="inlineStr">
        <is>
          <t>เนื่องจากยาสามารถผ่านน้ำนมได้และอาจมีผลต่อตับของทารก</t>
        </is>
      </c>
      <c r="F111" s="2" t="inlineStr">
        <is>
          <t>Dydrogesterone 10 mg BID</t>
        </is>
      </c>
      <c r="G111" s="2" t="inlineStr">
        <is>
          <t>Ethinylestradiol 30 mcg + Levonorgestrel 150 mcg</t>
        </is>
      </c>
      <c r="H111" s="2" t="inlineStr">
        <is>
          <t>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t>
        </is>
      </c>
      <c r="I111" s="8" t="inlineStr">
        <is>
          <t>1</t>
        </is>
      </c>
      <c r="J111" s="2" t="inlineStr">
        <is>
          <t>✅ คำตอบที่ถูกต้อง: ข้อ ก. เนื่องจากยาอาจมีผลลดฮอร์โมน Prolactin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เนื่องจากยาอาจมีผลลดฮอร์โมน Prolactin การเลือก เนื่องจากยาอาจมีผลลดฮอร์โมน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(เนื่องจากยาสามารถผ่านน้ำนมได้และอาจมีผลต่อตับของทารก):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1" s="2" t="n"/>
      <c r="L111" s="2" t="inlineStr">
        <is>
          <t>Oral contraceptive</t>
        </is>
      </c>
      <c r="M111" s="2" t="inlineStr">
        <is>
          <t>Clinic</t>
        </is>
      </c>
      <c r="N111" s="2" t="inlineStr">
        <is>
          <t>ข้อ 2 (PLE_CC1_Key_Rx20_UBU.md)</t>
        </is>
      </c>
      <c r="O111" s="2" t="inlineStr">
        <is>
          <t>Mock</t>
        </is>
      </c>
      <c r="P111" s="2" t="inlineStr">
        <is>
          <t>Mock Rx20 UBU</t>
        </is>
      </c>
    </row>
    <row r="112" ht="13.2" customHeight="1" s="37">
      <c r="A112" s="8" t="inlineStr">
        <is>
          <t>110</t>
        </is>
      </c>
      <c r="B112" s="2" t="inlineStr">
        <is>
          <t>ผู้ป่วยที่มีภาวะใดมีห้ามใช้ฮอร์โมนที่ประกอบด้วย Estrogen</t>
        </is>
      </c>
      <c r="C112" s="2" t="n"/>
      <c r="D112" s="2" t="inlineStr">
        <is>
          <t>Ethinylestradiol 30 mcg + Levonorgestrel 150 mcg</t>
        </is>
      </c>
      <c r="E112" s="2" t="inlineStr">
        <is>
          <t>Ethinylestradiol 30 mcg + Drospirenone 3 mg</t>
        </is>
      </c>
      <c r="F112" s="2" t="inlineStr">
        <is>
          <t>ลมชัก</t>
        </is>
      </c>
      <c r="G112" s="2" t="inlineStr">
        <is>
          <t>มีภาวะลิ่มเลือดอุดตัน</t>
        </is>
      </c>
      <c r="H112" s="2" t="inlineStr">
        <is>
          <t>Levonorgestrel 1.5 mg stat (Emergency)</t>
        </is>
      </c>
      <c r="I112" s="8" t="inlineStr">
        <is>
          <t>4</t>
        </is>
      </c>
      <c r="J112" s="2" t="inlineStr">
        <is>
          <t>✅ คำตอบที่ถูกต้อง: ข้อ ง. มีภาวะลิ่มเลือดอุดตัน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มีภาวะลิ่มเลือดอุดตัน การเลือก มีภาวะลิ่มเลือดอุดตัน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Levonorgestrel 150 mcg): ข้อนี้ไม่ใช่คำตอบที่ถูกต้องสำหรับภาวะ Hormonal replacement เนื่องจากกลไกการออกฤทธิ์, efficacy หรือข้อบ่งใช้ไม่ตรงกับโจทย์ที่กำหนด
• ข้อ ข. (Ethinylestradiol 30 mcg + Drospirenone 3 mg): ข้อนี้ไม่ใช่คำตอบที่ถูกต้องสำหรับภาวะ Hormonal replacement เนื่องจากกลไกการออกฤทธิ์, efficacy หรือข้อบ่งใช้ไม่ตรงกับโจทย์ที่กำหนด
• ข้อ ค. (ลมชัก): ข้อนี้ไม่ใช่คำตอบที่ถูกต้องสำหรับภาวะ Hormonal replacement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2" t="n"/>
      <c r="L112" s="2" t="inlineStr">
        <is>
          <t>Hormonal replacement</t>
        </is>
      </c>
      <c r="M112" s="2" t="inlineStr">
        <is>
          <t>Clinic</t>
        </is>
      </c>
      <c r="N112" s="2" t="inlineStr">
        <is>
          <t>ข้อ 3 (PLE_CC1_Key_Rx20_UBU.md)</t>
        </is>
      </c>
      <c r="O112" s="2" t="inlineStr">
        <is>
          <t>Mock</t>
        </is>
      </c>
      <c r="P112" s="2" t="inlineStr">
        <is>
          <t>Mock Rx20 UBU</t>
        </is>
      </c>
    </row>
    <row r="113" ht="13.2" customHeight="1" s="37">
      <c r="A113" s="8" t="inlineStr">
        <is>
          <t>111</t>
        </is>
      </c>
      <c r="B113" s="2" t="inlineStr">
        <is>
          <t>ข้อดีของยาคุมกำเนิดในรูปแผ่นแปะที่แตกต่างจากยาคุมกำเนิดแบบรับประทานคือข้อใด</t>
        </is>
      </c>
      <c r="C113" s="2" t="n"/>
      <c r="D113" s="2" t="inlineStr">
        <is>
          <t>Patch ทำให้เกิดผลข้างเคียงได้น้อยกว่า oral contraceptive</t>
        </is>
      </c>
      <c r="E113" s="2" t="inlineStr">
        <is>
          <t>Patch ไม่ทำให้เกิดมะเร็งเต้านมเหมือน oral contraceptive</t>
        </is>
      </c>
      <c r="F113" s="2" t="inlineStr">
        <is>
          <t>Patch ลด first pass metabolism ของ oral contraceptive</t>
        </is>
      </c>
      <c r="G113" s="2" t="inlineStr">
        <is>
          <t>Tamsulosin 0.4 mg HS</t>
        </is>
      </c>
      <c r="H113" s="2" t="inlineStr">
        <is>
          <t>Finasteride 5 mg OD</t>
        </is>
      </c>
      <c r="I113" s="8" t="inlineStr">
        <is>
          <t>3</t>
        </is>
      </c>
      <c r="J113" s="2" t="inlineStr">
        <is>
          <t>✅ คำตอบที่ถูกต้อง: ข้อ ค. Patch ลด first pass metabolism ของ oral contraceptive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Patch ลด first pass metabolism ของ oral contraceptive การเลือก Patch ลด first pass metabolism ของ oral contraceptive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(Patch ทำให้เกิดผลข้างเคียงได้น้อยกว่า oral contraceptive): ข้อนี้ไม่ใช่คำตอบที่ถูกต้องสำหรับภาวะ Oral contraceptive เนื่องจากกลไกการออกฤทธิ์, efficacy หรือข้อบ่งใช้ไม่ตรงกับโจทย์ที่กำหนด
• ข้อ ข. (Patch ไม่ทำให้เกิดมะเร็งเต้านมเหมือน oral contraceptive):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3" s="2" t="n"/>
      <c r="L113" s="2" t="inlineStr">
        <is>
          <t>Oral contraceptive</t>
        </is>
      </c>
      <c r="M113" s="2" t="inlineStr">
        <is>
          <t>Clinic</t>
        </is>
      </c>
      <c r="N113" s="2" t="inlineStr">
        <is>
          <t>ข้อ 9 (PLE_CC1_Key_Rx20_UBU.md)</t>
        </is>
      </c>
      <c r="O113" s="2" t="inlineStr">
        <is>
          <t>Mock</t>
        </is>
      </c>
      <c r="P113" s="2" t="inlineStr">
        <is>
          <t>Mock Rx20 UBU</t>
        </is>
      </c>
    </row>
    <row r="114" ht="13.2" customHeight="1" s="37">
      <c r="A114" s="8" t="inlineStr">
        <is>
          <t>112</t>
        </is>
      </c>
      <c r="B114" s="2" t="inlineStr">
        <is>
          <t>หากผู้ป่วย cystitis รายนี้กำลังตั้งครรภ์ด้วย ควรพิจารณายาใดให้แก่ผู้ป่วย</t>
        </is>
      </c>
      <c r="C114" s="2" t="n"/>
      <c r="D114" s="2" t="inlineStr">
        <is>
          <t>Tamsulosin 0.4 mg HS</t>
        </is>
      </c>
      <c r="E114" s="2" t="inlineStr">
        <is>
          <t>Finasteride 5 mg OD</t>
        </is>
      </c>
      <c r="F114" s="2" t="inlineStr">
        <is>
          <t>Oxybutynin 5 mg BID</t>
        </is>
      </c>
      <c r="G114" s="2" t="inlineStr">
        <is>
          <t>Tolterodine 2 mg BID</t>
        </is>
      </c>
      <c r="H114" s="2" t="inlineStr">
        <is>
          <t>Dydrogesterone 10 mg BID</t>
        </is>
      </c>
      <c r="I114" s="8" t="inlineStr">
        <is>
          <t>1</t>
        </is>
      </c>
      <c r="J114"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4" s="2" t="n"/>
      <c r="L114" s="2" t="inlineStr">
        <is>
          <t>Oral contraceptive</t>
        </is>
      </c>
      <c r="M114" s="2" t="inlineStr">
        <is>
          <t>Clinic</t>
        </is>
      </c>
      <c r="N114" s="2" t="inlineStr">
        <is>
          <t>ข้อ 7 (PLE_CC1_Key_Rx20_UBU.md)</t>
        </is>
      </c>
      <c r="O114" s="2" t="inlineStr">
        <is>
          <t>Mock</t>
        </is>
      </c>
      <c r="P114" s="2" t="inlineStr">
        <is>
          <t>Mock Rx20 UBU</t>
        </is>
      </c>
    </row>
    <row r="115" ht="13.2" customHeight="1" s="37">
      <c r="A115" s="8" t="inlineStr">
        <is>
          <t>113</t>
        </is>
      </c>
      <c r="B115" s="2" t="inlineStr">
        <is>
          <t>หากพบว่าผู้ป่วยตั้งครรภ์ ควรเปลี่ยนการรักษาอย่างไร ( ผู้ป่วยถูก diagnosi เป็น Tricomonas vaginalis ได้รับยารักษาด้วยยา Metronidazole 500 mg BID x 7 )</t>
        </is>
      </c>
      <c r="C115" s="2" t="n"/>
      <c r="D115" s="2" t="inlineStr">
        <is>
          <t>Tolterodine 2 mg BID</t>
        </is>
      </c>
      <c r="E115" s="2" t="inlineStr">
        <is>
          <t>Dydrogesterone 10 mg BID</t>
        </is>
      </c>
      <c r="F115" s="2" t="inlineStr">
        <is>
          <t>Ethinylestradiol 30 mcg + Levonorgestrel 150 mcg</t>
        </is>
      </c>
      <c r="G115" s="2" t="inlineStr">
        <is>
          <t>Ethinylestradiol 30 mcg + Drospirenone 3 mg</t>
        </is>
      </c>
      <c r="H115" s="2" t="inlineStr">
        <is>
          <t>Ethinylestradiol 35 mcg + Cyproterone acetate 2 mg</t>
        </is>
      </c>
      <c r="I115" s="8" t="inlineStr">
        <is>
          <t>1</t>
        </is>
      </c>
      <c r="J115"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2" t="n"/>
      <c r="L115" s="2" t="inlineStr">
        <is>
          <t>Oral contraceptive</t>
        </is>
      </c>
      <c r="M115" s="2" t="inlineStr">
        <is>
          <t>Clinic</t>
        </is>
      </c>
      <c r="N115" s="2" t="inlineStr">
        <is>
          <t>ข้อ 86 (PLE_CC1_Key_Rx20_UBU.md)</t>
        </is>
      </c>
      <c r="O115" s="2" t="inlineStr">
        <is>
          <t>Mock</t>
        </is>
      </c>
      <c r="P115" s="2" t="inlineStr">
        <is>
          <t>Mock Rx20 UBU</t>
        </is>
      </c>
    </row>
    <row r="116" ht="13.2" customHeight="1" s="37">
      <c r="A116" s="8" t="inlineStr">
        <is>
          <t>114</t>
        </is>
      </c>
      <c r="B116" s="2" t="inlineStr">
        <is>
          <t>ถ้าผู้ป่วยรายนี้ ซึ่งเป็นโรค psoriasis ตั้งครรภ์จะสามารถใช้ยาใดต่อไปนี้ได้</t>
        </is>
      </c>
      <c r="C116" s="2" t="n"/>
      <c r="D116" s="2" t="inlineStr">
        <is>
          <t>Ethinylestradiol 30 mcg + Drospirenone 3 mg</t>
        </is>
      </c>
      <c r="E116" s="2" t="inlineStr">
        <is>
          <t>Ethinylestradiol 35 mcg + Cyproterone acetate 2 mg</t>
        </is>
      </c>
      <c r="F116" s="2" t="inlineStr">
        <is>
          <t>Desogestrel 75 mcg OD (Progestin-only)</t>
        </is>
      </c>
      <c r="G116" s="2" t="inlineStr">
        <is>
          <t>Levonorgestrel 1.5 mg stat (Emergency)</t>
        </is>
      </c>
      <c r="H116" s="2" t="inlineStr">
        <is>
          <t>Mefenamic acid 500 mg TID</t>
        </is>
      </c>
      <c r="I116" s="8" t="inlineStr">
        <is>
          <t>1</t>
        </is>
      </c>
      <c r="J116"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ค.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(Mefenamic acid 500 mg TID):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6" s="2" t="n"/>
      <c r="L116" s="2" t="inlineStr">
        <is>
          <t>Oral contraceptive</t>
        </is>
      </c>
      <c r="M116" s="2" t="inlineStr">
        <is>
          <t>Clinic</t>
        </is>
      </c>
      <c r="N116" s="2" t="inlineStr">
        <is>
          <t>ข้อ 95 (PLE_CC1_Key_Rx20_UBU.md)</t>
        </is>
      </c>
      <c r="O116" s="2" t="inlineStr">
        <is>
          <t>Mock</t>
        </is>
      </c>
      <c r="P116" s="2" t="inlineStr">
        <is>
          <t>Mock Rx20 UBU</t>
        </is>
      </c>
    </row>
    <row r="117" ht="13.2" customHeight="1" s="37">
      <c r="A117" s="8" t="inlineStr">
        <is>
          <t>115</t>
        </is>
      </c>
      <c r="B117" s="2" t="inlineStr">
        <is>
          <t>ผู้หญิงวัยเจริญพันธุ์ไม่ต้องคุมกำเนิด</t>
        </is>
      </c>
      <c r="C117" s="2" t="n"/>
      <c r="D117" s="2" t="inlineStr">
        <is>
          <t>Levonorgestrel 1.5 mg stat (Emergency)</t>
        </is>
      </c>
      <c r="E117" s="2" t="inlineStr">
        <is>
          <t>Mefenamic acid 500 mg TID</t>
        </is>
      </c>
      <c r="F117" s="2" t="inlineStr">
        <is>
          <t>Tamsulosin 0.4 mg HS</t>
        </is>
      </c>
      <c r="G117" s="2" t="inlineStr">
        <is>
          <t>Finasteride 5 mg OD</t>
        </is>
      </c>
      <c r="H117" s="2" t="inlineStr">
        <is>
          <t>Oxybutynin 5 mg BID</t>
        </is>
      </c>
      <c r="I117" s="8" t="inlineStr">
        <is>
          <t>1</t>
        </is>
      </c>
      <c r="J117" s="2"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ค.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ง.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จ. (Oxybutynin 5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7" s="2" t="n"/>
      <c r="L117" s="2" t="inlineStr">
        <is>
          <t>Oral contraceptive</t>
        </is>
      </c>
      <c r="M117" s="2" t="inlineStr">
        <is>
          <t>Clinic</t>
        </is>
      </c>
      <c r="N117" s="2" t="inlineStr">
        <is>
          <t>ข้อ 1 (PLE_CC1_Key_Rx20_UBU.md)</t>
        </is>
      </c>
      <c r="O117" s="2" t="inlineStr">
        <is>
          <t>Mock</t>
        </is>
      </c>
      <c r="P117" s="2" t="inlineStr">
        <is>
          <t>Mock Rx20 UBU</t>
        </is>
      </c>
    </row>
    <row r="118" ht="13.2" customHeight="1" s="37">
      <c r="A118" s="8" t="inlineStr">
        <is>
          <t>116</t>
        </is>
      </c>
      <c r="B118" s="2" t="inlineStr">
        <is>
          <t>ไม่ต้องคุมกำเนิดในระหว่างการรับประทานยา</t>
        </is>
      </c>
      <c r="C118" s="2" t="n"/>
      <c r="D118" s="2" t="inlineStr">
        <is>
          <t>Finasteride 5 mg OD</t>
        </is>
      </c>
      <c r="E118" s="2" t="inlineStr">
        <is>
          <t>Oxybutynin 5 mg BID</t>
        </is>
      </c>
      <c r="F118" s="2" t="inlineStr">
        <is>
          <t>Tolterodine 2 mg BID</t>
        </is>
      </c>
      <c r="G118" s="2" t="inlineStr">
        <is>
          <t>Dydrogesterone 10 mg BID</t>
        </is>
      </c>
      <c r="H118" s="2" t="inlineStr">
        <is>
          <t>Ethinylestradiol 30 mcg + Levonorgestrel 150 mcg</t>
        </is>
      </c>
      <c r="I118" s="8" t="inlineStr">
        <is>
          <t>1</t>
        </is>
      </c>
      <c r="J118"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ค.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ง.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8" s="2" t="n"/>
      <c r="L118" s="2" t="inlineStr">
        <is>
          <t>Oral contraceptive</t>
        </is>
      </c>
      <c r="M118" s="2" t="inlineStr">
        <is>
          <t>Clinic</t>
        </is>
      </c>
      <c r="N118" s="2" t="inlineStr">
        <is>
          <t>ข้อ 1 (PLE_CC1_Key_Rx20_UBU.md)</t>
        </is>
      </c>
      <c r="O118" s="2" t="inlineStr">
        <is>
          <t>Mock</t>
        </is>
      </c>
      <c r="P118" s="2" t="inlineStr">
        <is>
          <t>Mock Rx20 UBU</t>
        </is>
      </c>
    </row>
    <row r="119" ht="13.2" customHeight="1" s="37">
      <c r="A119" s="8" t="inlineStr">
        <is>
          <t>117</t>
        </is>
      </c>
      <c r="B119" s="2" t="inlineStr">
        <is>
          <t>ไม่ต้องคุมกำเนิดก่อน แต่คุมระหว่างได้รับยา</t>
        </is>
      </c>
      <c r="C119" s="2" t="n"/>
      <c r="D119" s="2" t="inlineStr">
        <is>
          <t>Dydrogesterone 10 mg BID</t>
        </is>
      </c>
      <c r="E119" s="2" t="inlineStr">
        <is>
          <t>Ethinylestradiol 30 mcg + Levonorgestrel 150 mcg</t>
        </is>
      </c>
      <c r="F119" s="2" t="inlineStr">
        <is>
          <t>Ethinylestradiol 30 mcg + Drospirenone 3 mg</t>
        </is>
      </c>
      <c r="G119" s="2" t="inlineStr">
        <is>
          <t>Ethinylestradiol 35 mcg + Cyproterone acetate 2 mg</t>
        </is>
      </c>
      <c r="H119" s="2" t="inlineStr">
        <is>
          <t>Desogestrel 75 mcg OD (Progestin-only)</t>
        </is>
      </c>
      <c r="I119" s="8" t="inlineStr">
        <is>
          <t>1</t>
        </is>
      </c>
      <c r="J119"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9" s="2" t="n"/>
      <c r="L119" s="2" t="inlineStr">
        <is>
          <t>Oral contraceptive</t>
        </is>
      </c>
      <c r="M119" s="2" t="inlineStr">
        <is>
          <t>Clinic</t>
        </is>
      </c>
      <c r="N119" s="2" t="inlineStr">
        <is>
          <t>ข้อ 2 (PLE_CC1_Key_Rx20_UBU.md)</t>
        </is>
      </c>
      <c r="O119" s="2" t="inlineStr">
        <is>
          <t>Mock</t>
        </is>
      </c>
      <c r="P119" s="2" t="inlineStr">
        <is>
          <t>Mock Rx20 UBU</t>
        </is>
      </c>
    </row>
    <row r="120" ht="13.2" customHeight="1" s="37">
      <c r="A120" s="8" t="inlineStr">
        <is>
          <t>118</t>
        </is>
      </c>
      <c r="B120" s="2" t="inlineStr">
        <is>
          <t>คุมกำเนิดก่อนใช้ยา 1 เดือน และระหว่างใช้ยา</t>
        </is>
      </c>
      <c r="C120" s="2" t="n"/>
      <c r="D120" s="2" t="inlineStr">
        <is>
          <t>Ethinylestradiol 35 mcg + Cyproterone acetate 2 mg</t>
        </is>
      </c>
      <c r="E120" s="2" t="inlineStr">
        <is>
          <t>Desogestrel 75 mcg OD (Progestin-only)</t>
        </is>
      </c>
      <c r="F120" s="2" t="inlineStr">
        <is>
          <t>Levonorgestrel 1.5 mg stat (Emergency)</t>
        </is>
      </c>
      <c r="G120" s="2" t="inlineStr">
        <is>
          <t>Mefenamic acid 500 mg TID</t>
        </is>
      </c>
      <c r="H120" s="2" t="inlineStr">
        <is>
          <t>Tamsulosin 0.4 mg HS</t>
        </is>
      </c>
      <c r="I120" s="8" t="inlineStr">
        <is>
          <t>1</t>
        </is>
      </c>
      <c r="J120"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ง.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จ. (Tamsulosin 0.4 mg HS):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0" s="2" t="n"/>
      <c r="L120" s="2" t="inlineStr">
        <is>
          <t>Oral contraceptive</t>
        </is>
      </c>
      <c r="M120" s="2" t="inlineStr">
        <is>
          <t>Clinic</t>
        </is>
      </c>
      <c r="N120" s="2" t="inlineStr">
        <is>
          <t>ข้อ 3 (PLE_CC1_Key_Rx20_UBU.md)</t>
        </is>
      </c>
      <c r="O120" s="2" t="inlineStr">
        <is>
          <t>Mock</t>
        </is>
      </c>
      <c r="P120" s="2" t="inlineStr">
        <is>
          <t>Mock Rx20 UBU</t>
        </is>
      </c>
    </row>
    <row r="121" ht="13.2" customHeight="1" s="37">
      <c r="A121" s="8" t="inlineStr">
        <is>
          <t>119</t>
        </is>
      </c>
      <c r="B121" s="2" t="inlineStr">
        <is>
          <t>คุมกำเนิดก่อนใช้ยา 1 เดือน และหลังใช้ยา 3 เดือน</t>
        </is>
      </c>
      <c r="C121" s="2" t="n"/>
      <c r="D121" s="2" t="inlineStr">
        <is>
          <t>Mefenamic acid 500 mg TID</t>
        </is>
      </c>
      <c r="E121" s="2" t="inlineStr">
        <is>
          <t>Tamsulosin 0.4 mg HS</t>
        </is>
      </c>
      <c r="F121" s="2" t="inlineStr">
        <is>
          <t>Finasteride 5 mg OD</t>
        </is>
      </c>
      <c r="G121" s="2" t="inlineStr">
        <is>
          <t>Oxybutynin 5 mg BID</t>
        </is>
      </c>
      <c r="H121" s="2" t="inlineStr">
        <is>
          <t>Tolterodine 2 mg BID</t>
        </is>
      </c>
      <c r="I121" s="8" t="inlineStr">
        <is>
          <t>1</t>
        </is>
      </c>
      <c r="J121"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ง.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1" s="2" t="n"/>
      <c r="L121" s="2" t="inlineStr">
        <is>
          <t>Oral contraceptive</t>
        </is>
      </c>
      <c r="M121" s="2" t="inlineStr">
        <is>
          <t>Clinic</t>
        </is>
      </c>
      <c r="N121" s="2" t="inlineStr">
        <is>
          <t>ข้อ 4 (PLE_CC1_Key_Rx20_UBU.md)</t>
        </is>
      </c>
      <c r="O121" s="2" t="inlineStr">
        <is>
          <t>Mock</t>
        </is>
      </c>
      <c r="P121" s="2" t="inlineStr">
        <is>
          <t>Mock Rx20 UBU</t>
        </is>
      </c>
    </row>
    <row r="122" ht="13.2" customHeight="1" s="37">
      <c r="A122" s="8" t="inlineStr">
        <is>
          <t>120</t>
        </is>
      </c>
      <c r="B122" s="2" t="inlineStr">
        <is>
          <t>คุมกำเนิดก่อนใช้ยา 1 เดือน ระหว่างใช้ยา และหลังใช้ยา 1 เดือน</t>
        </is>
      </c>
      <c r="C122" s="2" t="n"/>
      <c r="D122" s="2" t="inlineStr">
        <is>
          <t>Oxybutynin 5 mg BID</t>
        </is>
      </c>
      <c r="E122" s="2" t="inlineStr">
        <is>
          <t>Tolterodine 2 mg BID</t>
        </is>
      </c>
      <c r="F122" s="2" t="inlineStr">
        <is>
          <t>Dydrogesterone 10 mg BID</t>
        </is>
      </c>
      <c r="G122" s="2" t="inlineStr">
        <is>
          <t>Ethinylestradiol 30 mcg + Levonorgestrel 150 mcg</t>
        </is>
      </c>
      <c r="H122" s="2" t="inlineStr">
        <is>
          <t>Ethinylestradiol 30 mcg + Drospirenone 3 mg</t>
        </is>
      </c>
      <c r="I122" s="8" t="inlineStr">
        <is>
          <t>1</t>
        </is>
      </c>
      <c r="J122"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2" s="2" t="n"/>
      <c r="L122" s="2" t="inlineStr">
        <is>
          <t>Oral contraceptive</t>
        </is>
      </c>
      <c r="M122" s="2" t="inlineStr">
        <is>
          <t>Clinic</t>
        </is>
      </c>
      <c r="N122" s="2" t="inlineStr">
        <is>
          <t>ข้อ 5 (PLE_CC1_Key_Rx20_UBU.md)</t>
        </is>
      </c>
      <c r="O122" s="2" t="inlineStr">
        <is>
          <t>Mock</t>
        </is>
      </c>
      <c r="P122" s="2" t="inlineStr">
        <is>
          <t>Mock Rx20 UBU</t>
        </is>
      </c>
    </row>
    <row r="123" ht="13.2" customHeight="1" s="37">
      <c r="A123" s="8" t="inlineStr">
        <is>
          <t>121</t>
        </is>
      </c>
      <c r="B123" s="2" t="inlineStr">
        <is>
          <t>การจ่ายยาชุดที่จัดชุดยาไว้เรียบร้อยแล้วให้แก่ผู้ป่วย ตอบ 1. การจัดยาชุดสำหรับผู้ป่วยเฉพาะรายโดยเภสัชกร กรณีศึกษาที่ 12 ยาคุมกำเนิด หญิงอายุ 28 ปี สูง 155 หนัก 50 มาปรึกษาเภสัชกรที่ร้านยาเรื่องการคุมกำเนิด ปัจจุบันคุมกำเนิดด้วยยาคุมฉุกเฉิน ประจำเดือนมาไม่สม่ำเสมอ มีปัญหาเรื่องการลืมกินยาคราวก่อนกินยาคุมชนิดรับประทานชนิด cyproterone acetate + EE 0.035 มีอาการคลื่นไส้ อาเจียน ลืมไป 3 ครั้ง ไม่มีโรคประจำตัว ไม่แพ้ยา ไม่ท้อง อยากคุมกำเนิดไปอีก 3 ปี</t>
        </is>
      </c>
      <c r="C123" s="2" t="n"/>
      <c r="D123" s="2" t="inlineStr">
        <is>
          <t>Ethinylestradiol 30 mcg + Levonorgestrel 150 mcg</t>
        </is>
      </c>
      <c r="E123" s="2" t="inlineStr">
        <is>
          <t>Ethinylestradiol 30 mcg + Drospirenone 3 mg</t>
        </is>
      </c>
      <c r="F123" s="2" t="inlineStr">
        <is>
          <t>Ethinylestradiol 35 mcg + Cyproterone acetate 2 mg</t>
        </is>
      </c>
      <c r="G123" s="2" t="inlineStr">
        <is>
          <t>Desogestrel 75 mcg OD (Progestin-only)</t>
        </is>
      </c>
      <c r="H123" s="2" t="inlineStr">
        <is>
          <t>Levonorgestrel 1.5 mg stat (Emergency)</t>
        </is>
      </c>
      <c r="I123" s="8" t="inlineStr">
        <is>
          <t>1</t>
        </is>
      </c>
      <c r="J123"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ง.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3" s="2" t="n"/>
      <c r="L123" s="2" t="inlineStr">
        <is>
          <t>Oral contraceptive</t>
        </is>
      </c>
      <c r="M123" s="2" t="inlineStr">
        <is>
          <t>Clinic</t>
        </is>
      </c>
      <c r="N123" s="2" t="inlineStr">
        <is>
          <t>ข้อ 5 (PLE_CC1_Key_Rx20_UBU.md)</t>
        </is>
      </c>
      <c r="O123" s="2" t="inlineStr">
        <is>
          <t>Mock</t>
        </is>
      </c>
      <c r="P123" s="2" t="inlineStr">
        <is>
          <t>Mock Rx20 UBU</t>
        </is>
      </c>
    </row>
    <row r="124" ht="13.2" customHeight="1" s="37">
      <c r="A124" s="8" t="inlineStr">
        <is>
          <t>122</t>
        </is>
      </c>
      <c r="B124" s="2" t="inlineStr">
        <is>
          <t>วิธีการคุมกำเนิดใดเหมาะสมกับผู้ป่วยรายนี้ - ._</t>
        </is>
      </c>
      <c r="C124" s="2" t="n"/>
      <c r="D124" s="2" t="inlineStr">
        <is>
          <t>Desogestrel 75 mcg OD (Progestin-only)</t>
        </is>
      </c>
      <c r="E124" s="2" t="inlineStr">
        <is>
          <t>Levonorgestrel 1.5 mg stat (Emergency)</t>
        </is>
      </c>
      <c r="F124" s="2" t="inlineStr">
        <is>
          <t>Mefenamic acid 500 mg TID</t>
        </is>
      </c>
      <c r="G124" s="2" t="inlineStr">
        <is>
          <t>Tamsulosin 0.4 mg HS</t>
        </is>
      </c>
      <c r="H124" s="2" t="inlineStr">
        <is>
          <t>Finasteride 5 mg OD</t>
        </is>
      </c>
      <c r="I124" s="8" t="inlineStr">
        <is>
          <t>1</t>
        </is>
      </c>
      <c r="J124"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4" s="2" t="n"/>
      <c r="L124" s="2" t="inlineStr">
        <is>
          <t>Oral contraceptive</t>
        </is>
      </c>
      <c r="M124" s="2" t="inlineStr">
        <is>
          <t>Clinic</t>
        </is>
      </c>
      <c r="N124" s="2" t="inlineStr">
        <is>
          <t>ข้อ 76 (PLE_CC1_Key_Rx20_UBU.md)</t>
        </is>
      </c>
      <c r="O124" s="2" t="inlineStr">
        <is>
          <t>Mock</t>
        </is>
      </c>
      <c r="P124" s="2" t="inlineStr">
        <is>
          <t>Mock Rx20 UBU</t>
        </is>
      </c>
    </row>
    <row r="125" ht="13.2" customHeight="1" s="37">
      <c r="A125" s="8" t="inlineStr">
        <is>
          <t>123</t>
        </is>
      </c>
      <c r="B125" s="2" t="inlineStr">
        <is>
          <t>ถ้าผู้ป่วยตัดสินใจเลือกยาคุมแบบรับประทาน ยาคุมชนิดใดที่เหมาะสมกับผู้ป่วยรายนี้</t>
        </is>
      </c>
      <c r="C125" s="2" t="n"/>
      <c r="D125" s="2" t="inlineStr">
        <is>
          <t>Tamsulosin 0.4 mg HS</t>
        </is>
      </c>
      <c r="E125" s="2" t="inlineStr">
        <is>
          <t>Finasteride 5 mg OD</t>
        </is>
      </c>
      <c r="F125" s="2" t="inlineStr">
        <is>
          <t>Oxybutynin 5 mg BID</t>
        </is>
      </c>
      <c r="G125" s="2" t="inlineStr">
        <is>
          <t>Tolterodine 2 mg BID</t>
        </is>
      </c>
      <c r="H125" s="2" t="inlineStr">
        <is>
          <t>Dydrogesterone 10 mg BID</t>
        </is>
      </c>
      <c r="I125" s="8" t="inlineStr">
        <is>
          <t>1</t>
        </is>
      </c>
      <c r="J125"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5" s="2" t="n"/>
      <c r="L125" s="2" t="inlineStr">
        <is>
          <t>Oral contraceptive</t>
        </is>
      </c>
      <c r="M125" s="2" t="inlineStr">
        <is>
          <t>Clinic</t>
        </is>
      </c>
      <c r="N125" s="2" t="inlineStr">
        <is>
          <t>ข้อ 77 (PLE_CC1_Key_Rx20_UBU.md)</t>
        </is>
      </c>
      <c r="O125" s="2" t="inlineStr">
        <is>
          <t>Mock</t>
        </is>
      </c>
      <c r="P125" s="2" t="inlineStr">
        <is>
          <t>Mock Rx20 UBU</t>
        </is>
      </c>
    </row>
    <row r="126" ht="13.2" customHeight="1" s="37">
      <c r="A126" s="8" t="inlineStr">
        <is>
          <t>124</t>
        </is>
      </c>
      <c r="B126" s="2" t="inlineStr">
        <is>
          <t>EE 30 + drospirenone</t>
        </is>
      </c>
      <c r="C126" s="2" t="n"/>
      <c r="D126" s="2" t="inlineStr">
        <is>
          <t>Tolterodine 2 mg BID</t>
        </is>
      </c>
      <c r="E126" s="2" t="inlineStr">
        <is>
          <t>Dydrogesterone 10 mg BID</t>
        </is>
      </c>
      <c r="F126" s="2" t="inlineStr">
        <is>
          <t>Ethinylestradiol 30 mcg + Levonorgestrel 150 mcg</t>
        </is>
      </c>
      <c r="G126" s="2" t="inlineStr">
        <is>
          <t>Ethinylestradiol 30 mcg + Drospirenone 3 mg</t>
        </is>
      </c>
      <c r="H126" s="2" t="inlineStr">
        <is>
          <t>Ethinylestradiol 35 mcg + Cyproterone acetate 2 mg</t>
        </is>
      </c>
      <c r="I126" s="8" t="inlineStr">
        <is>
          <t>1</t>
        </is>
      </c>
      <c r="J126"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6" s="2" t="n"/>
      <c r="L126" s="2" t="inlineStr">
        <is>
          <t>Oral contraceptive</t>
        </is>
      </c>
      <c r="M126" s="2" t="inlineStr">
        <is>
          <t>Clinic</t>
        </is>
      </c>
      <c r="N126" s="2" t="inlineStr">
        <is>
          <t>ข้อ 3 (PLE_CC1_Key_Rx20_UBU.md)</t>
        </is>
      </c>
      <c r="O126" s="2" t="inlineStr">
        <is>
          <t>Mock</t>
        </is>
      </c>
      <c r="P126" s="2" t="inlineStr">
        <is>
          <t>Mock Rx20 UBU</t>
        </is>
      </c>
    </row>
    <row r="127" ht="13.2" customHeight="1" s="37">
      <c r="A127" s="8" t="inlineStr">
        <is>
          <t>125</t>
        </is>
      </c>
      <c r="B127" s="2" t="inlineStr">
        <is>
          <t>EE 30 + Levonorgestrel</t>
        </is>
      </c>
      <c r="C127" s="2" t="n"/>
      <c r="D127" s="2" t="inlineStr">
        <is>
          <t>Ethinylestradiol 30 mcg + Drospirenone 3 mg</t>
        </is>
      </c>
      <c r="E127" s="2" t="inlineStr">
        <is>
          <t>Ethinylestradiol 35 mcg + Cyproterone acetate 2 mg</t>
        </is>
      </c>
      <c r="F127" s="2" t="inlineStr">
        <is>
          <t>Desogestrel 75 mcg OD (Progestin-only)</t>
        </is>
      </c>
      <c r="G127" s="2" t="inlineStr">
        <is>
          <t>Levonorgestrel 1.5 mg stat (Emergency)</t>
        </is>
      </c>
      <c r="H127" s="2" t="inlineStr">
        <is>
          <t>Mefenamic acid 500 mg TID</t>
        </is>
      </c>
      <c r="I127" s="8" t="inlineStr">
        <is>
          <t>1</t>
        </is>
      </c>
      <c r="J127"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ค.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(Mefenamic acid 500 mg TID):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7" s="2" t="n"/>
      <c r="L127" s="2" t="inlineStr">
        <is>
          <t>Oral contraceptive</t>
        </is>
      </c>
      <c r="M127" s="2" t="inlineStr">
        <is>
          <t>Clinic</t>
        </is>
      </c>
      <c r="N127" s="2" t="inlineStr">
        <is>
          <t>ข้อ 4 (PLE_CC1_Key_Rx20_UBU.md)</t>
        </is>
      </c>
      <c r="O127" s="2" t="inlineStr">
        <is>
          <t>Mock</t>
        </is>
      </c>
      <c r="P127" s="2" t="inlineStr">
        <is>
          <t>Mock Rx20 UBU</t>
        </is>
      </c>
    </row>
    <row r="128" ht="13.2" customHeight="1" s="37">
      <c r="A128" s="8" t="inlineStr">
        <is>
          <t>126</t>
        </is>
      </c>
      <c r="B128" s="2" t="inlineStr">
        <is>
          <t>คำแนะนำในการใช้ยาคุมกำเนิด ในเรื่องของอาการไม่พึงประสงค์คือข้อใด</t>
        </is>
      </c>
      <c r="C128" s="2" t="n"/>
      <c r="D128" s="2" t="inlineStr">
        <is>
          <t>Levonorgestrel 1.5 mg stat (Emergency)</t>
        </is>
      </c>
      <c r="E128" s="2" t="inlineStr">
        <is>
          <t>Mefenamic acid 500 mg TID</t>
        </is>
      </c>
      <c r="F128" s="2" t="inlineStr">
        <is>
          <t>Tamsulosin 0.4 mg HS</t>
        </is>
      </c>
      <c r="G128" s="2" t="inlineStr">
        <is>
          <t>Finasteride 5 mg OD</t>
        </is>
      </c>
      <c r="H128" s="2" t="inlineStr">
        <is>
          <t>Oxybutynin 5 mg BID</t>
        </is>
      </c>
      <c r="I128" s="8" t="inlineStr">
        <is>
          <t>1</t>
        </is>
      </c>
      <c r="J128" s="2"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ค.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ง.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จ. (Oxybutynin 5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8" s="2" t="n"/>
      <c r="L128" s="2" t="inlineStr">
        <is>
          <t>Oral contraceptive</t>
        </is>
      </c>
      <c r="M128" s="2" t="inlineStr">
        <is>
          <t>Clinic</t>
        </is>
      </c>
      <c r="N128" s="2" t="inlineStr">
        <is>
          <t>ข้อ 78 (PLE_CC1_Key_Rx20_UBU.md)</t>
        </is>
      </c>
      <c r="O128" s="2" t="inlineStr">
        <is>
          <t>Mock</t>
        </is>
      </c>
      <c r="P128" s="2" t="inlineStr">
        <is>
          <t>Mock Rx20 UBU</t>
        </is>
      </c>
    </row>
    <row r="129" ht="13.2" customHeight="1" s="37">
      <c r="A129" s="8" t="inlineStr">
        <is>
          <t>127</t>
        </is>
      </c>
      <c r="B129" s="2" t="inlineStr">
        <is>
          <t>หากมีประจำเดือนมากผิดปกติ ให้แจ้งเพื่อปรับขนาดยาให้มี Estrogen ที่สูงขึ้น</t>
        </is>
      </c>
      <c r="C129" s="2" t="n"/>
      <c r="D129" s="2" t="inlineStr">
        <is>
          <t>Finasteride 5 mg OD</t>
        </is>
      </c>
      <c r="E129" s="2" t="inlineStr">
        <is>
          <t>Oxybutynin 5 mg BID</t>
        </is>
      </c>
      <c r="F129" s="2" t="inlineStr">
        <is>
          <t>Tolterodine 2 mg BID</t>
        </is>
      </c>
      <c r="G129" s="2" t="inlineStr">
        <is>
          <t>Dydrogesterone 10 mg BID</t>
        </is>
      </c>
      <c r="H129" s="2" t="inlineStr">
        <is>
          <t>Ethinylestradiol 30 mcg + Levonorgestrel 150 mcg</t>
        </is>
      </c>
      <c r="I129" s="8" t="inlineStr">
        <is>
          <t>1</t>
        </is>
      </c>
      <c r="J129" s="2" t="inlineStr">
        <is>
          <t>✅ คำตอบที่ถูกต้อง: ข้อ ก. Finasteride 5 mg OD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Hormonal replacement เนื่องจากกลไกการออกฤทธิ์, efficacy หรือข้อบ่งใช้ไม่ตรงกับโจทย์ที่กำหนด
• ข้อ ค. (Tolterodine 2 mg BID): ข้อนี้ไม่ใช่คำตอบที่ถูกต้องสำหรับภาวะ Hormonal replacement เนื่องจากกลไกการออกฤทธิ์, efficacy หรือข้อบ่งใช้ไม่ตรงกับโจทย์ที่กำหนด
• ข้อ ง. (Dydrogesterone 10 mg BID): ข้อนี้ไม่ใช่คำตอบที่ถูกต้องสำหรับภาวะ Hormonal replacement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2" t="n"/>
      <c r="L129" s="2" t="inlineStr">
        <is>
          <t>Hormonal replacement</t>
        </is>
      </c>
      <c r="M129" s="2" t="inlineStr">
        <is>
          <t>Clinic</t>
        </is>
      </c>
      <c r="N129" s="2" t="inlineStr">
        <is>
          <t>ข้อ 3 (PLE_CC1_Key_Rx20_UBU.md)</t>
        </is>
      </c>
      <c r="O129" s="2" t="inlineStr">
        <is>
          <t>Mock</t>
        </is>
      </c>
      <c r="P129" s="2" t="inlineStr">
        <is>
          <t>Mock Rx20 UBU</t>
        </is>
      </c>
    </row>
    <row r="130" ht="13.2" customHeight="1" s="37">
      <c r="A130" s="8" t="inlineStr">
        <is>
          <t>128</t>
        </is>
      </c>
      <c r="B130" s="2" t="inlineStr">
        <is>
          <t>หากผู้ป่วยใช้ยาคุมกำเนิดชนิด EE 30 าg แล้วลืมกินไป 2 เม็ดจะต้องให้คำแนะนำแก่ผู้ป่วยอย่างไร -</t>
        </is>
      </c>
      <c r="C130" s="2" t="n"/>
      <c r="D130" s="2" t="inlineStr">
        <is>
          <t>Dydrogesterone 10 mg BID</t>
        </is>
      </c>
      <c r="E130" s="2" t="inlineStr">
        <is>
          <t>Ethinylestradiol 30 mcg + Levonorgestrel 150 mcg</t>
        </is>
      </c>
      <c r="F130" s="2" t="inlineStr">
        <is>
          <t>Ethinylestradiol 30 mcg + Drospirenone 3 mg</t>
        </is>
      </c>
      <c r="G130" s="2" t="inlineStr">
        <is>
          <t>Ethinylestradiol 35 mcg + Cyproterone acetate 2 mg</t>
        </is>
      </c>
      <c r="H130" s="2" t="inlineStr">
        <is>
          <t>Desogestrel 75 mcg OD (Progestin-only)</t>
        </is>
      </c>
      <c r="I130" s="8" t="inlineStr">
        <is>
          <t>1</t>
        </is>
      </c>
      <c r="J130"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0" s="2" t="n"/>
      <c r="L130" s="2" t="inlineStr">
        <is>
          <t>Oral contraceptive</t>
        </is>
      </c>
      <c r="M130" s="2" t="inlineStr">
        <is>
          <t>Clinic</t>
        </is>
      </c>
      <c r="N130" s="2" t="inlineStr">
        <is>
          <t>ข้อ 79 (PLE_CC1_Key_Rx20_UBU.md)</t>
        </is>
      </c>
      <c r="O130" s="2" t="inlineStr">
        <is>
          <t>Mock</t>
        </is>
      </c>
      <c r="P130" s="2" t="inlineStr">
        <is>
          <t>Mock Rx20 UBU</t>
        </is>
      </c>
    </row>
    <row r="131" ht="13.2" customHeight="1" s="37">
      <c r="A131" s="8" t="inlineStr">
        <is>
          <t>129</t>
        </is>
      </c>
      <c r="B131" s="2" t="inlineStr">
        <is>
          <t>ให้กิน 2 เม็ดทันที แล้วกินต่อตามปกติและใช้การคุมกำเนิดวิธีอื่นร่วมด้วย</t>
        </is>
      </c>
      <c r="C131" s="2" t="n"/>
      <c r="D131" s="2" t="inlineStr">
        <is>
          <t>Ethinylestradiol 35 mcg + Cyproterone acetate 2 mg</t>
        </is>
      </c>
      <c r="E131" s="2" t="inlineStr">
        <is>
          <t>Desogestrel 75 mcg OD (Progestin-only)</t>
        </is>
      </c>
      <c r="F131" s="2" t="inlineStr">
        <is>
          <t>Levonorgestrel 1.5 mg stat (Emergency)</t>
        </is>
      </c>
      <c r="G131" s="2" t="inlineStr">
        <is>
          <t>Mefenamic acid 500 mg TID</t>
        </is>
      </c>
      <c r="H131" s="2" t="inlineStr">
        <is>
          <t>Tamsulosin 0.4 mg HS</t>
        </is>
      </c>
      <c r="I131" s="8" t="inlineStr">
        <is>
          <t>1</t>
        </is>
      </c>
      <c r="J131"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ง.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จ. (Tamsulosin 0.4 mg HS):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1" s="2" t="n"/>
      <c r="L131" s="2" t="inlineStr">
        <is>
          <t>Oral contraceptive</t>
        </is>
      </c>
      <c r="M131" s="2" t="inlineStr">
        <is>
          <t>Clinic</t>
        </is>
      </c>
      <c r="N131" s="2" t="inlineStr">
        <is>
          <t>ข้อ 1 (PLE_CC1_Key_Rx20_UBU.md)</t>
        </is>
      </c>
      <c r="O131" s="2" t="inlineStr">
        <is>
          <t>Mock</t>
        </is>
      </c>
      <c r="P131" s="2" t="inlineStr">
        <is>
          <t>Mock Rx20 UBU</t>
        </is>
      </c>
    </row>
    <row r="132" ht="13.2" customHeight="1" s="37">
      <c r="A132" s="8" t="inlineStr">
        <is>
          <t>130</t>
        </is>
      </c>
      <c r="B132" s="2" t="inlineStr">
        <is>
          <t>ให้กินยาวันละ 2 เม็ด เป็นเวลา 2 วัน แล้วกินต่อตามปกติและใช้การคุมกำเนิดวิธีอื่นร่วม</t>
        </is>
      </c>
      <c r="C132" s="2" t="n"/>
      <c r="D132" s="2" t="inlineStr">
        <is>
          <t>Mefenamic acid 500 mg TID</t>
        </is>
      </c>
      <c r="E132" s="2" t="inlineStr">
        <is>
          <t>Tamsulosin 0.4 mg HS</t>
        </is>
      </c>
      <c r="F132" s="2" t="inlineStr">
        <is>
          <t>Finasteride 5 mg OD</t>
        </is>
      </c>
      <c r="G132" s="2" t="inlineStr">
        <is>
          <t>Oxybutynin 5 mg BID</t>
        </is>
      </c>
      <c r="H132" s="2" t="inlineStr">
        <is>
          <t>Tolterodine 2 mg BID</t>
        </is>
      </c>
      <c r="I132" s="8" t="inlineStr">
        <is>
          <t>1</t>
        </is>
      </c>
      <c r="J132"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ง.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2" s="2" t="n"/>
      <c r="L132" s="2" t="inlineStr">
        <is>
          <t>Oral contraceptive</t>
        </is>
      </c>
      <c r="M132" s="2" t="inlineStr">
        <is>
          <t>Clinic</t>
        </is>
      </c>
      <c r="N132" s="2" t="inlineStr">
        <is>
          <t>ข้อ 2 (PLE_CC1_Key_Rx20_UBU.md)</t>
        </is>
      </c>
      <c r="O132" s="2" t="inlineStr">
        <is>
          <t>Mock</t>
        </is>
      </c>
      <c r="P132" s="2" t="inlineStr">
        <is>
          <t>Mock Rx20 UBU</t>
        </is>
      </c>
    </row>
    <row r="133" ht="13.2" customHeight="1" s="37">
      <c r="A133" s="8" t="inlineStr">
        <is>
          <t>131</t>
        </is>
      </c>
      <c r="B133" s="2" t="inlineStr">
        <is>
          <t>ให้กินยาคุมกำเนิดฉุกเฉินทันที</t>
        </is>
      </c>
      <c r="C133" s="2" t="n"/>
      <c r="D133" s="2" t="inlineStr">
        <is>
          <t>Oxybutynin 5 mg BID</t>
        </is>
      </c>
      <c r="E133" s="2" t="inlineStr">
        <is>
          <t>Tolterodine 2 mg BID</t>
        </is>
      </c>
      <c r="F133" s="2" t="inlineStr">
        <is>
          <t>Dydrogesterone 10 mg BID</t>
        </is>
      </c>
      <c r="G133" s="2" t="inlineStr">
        <is>
          <t>Ethinylestradiol 30 mcg + Levonorgestrel 150 mcg</t>
        </is>
      </c>
      <c r="H133" s="2" t="inlineStr">
        <is>
          <t>Ethinylestradiol 30 mcg + Drospirenone 3 mg</t>
        </is>
      </c>
      <c r="I133" s="8" t="inlineStr">
        <is>
          <t>1</t>
        </is>
      </c>
      <c r="J133"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3" s="2" t="n"/>
      <c r="L133" s="2" t="inlineStr">
        <is>
          <t>Oral contraceptive</t>
        </is>
      </c>
      <c r="M133" s="2" t="inlineStr">
        <is>
          <t>Clinic</t>
        </is>
      </c>
      <c r="N133" s="2" t="inlineStr">
        <is>
          <t>ข้อ 3 (PLE_CC1_Key_Rx20_UBU.md)</t>
        </is>
      </c>
      <c r="O133" s="2" t="inlineStr">
        <is>
          <t>Mock</t>
        </is>
      </c>
      <c r="P133" s="2" t="inlineStr">
        <is>
          <t>Mock Rx20 UBU</t>
        </is>
      </c>
    </row>
    <row r="134" ht="13.2" customHeight="1" s="37">
      <c r="A134" s="8" t="inlineStr">
        <is>
          <t>132</t>
        </is>
      </c>
      <c r="B134" s="2" t="inlineStr">
        <is>
          <t>หยุดใช้ยาแผงนั้นรอประจำเดือนมาแล้วจึงเริ่มใช้ยาคุมกำเนิดแผงใหม่ ตอบ 4. ให้กิน 1 เม็ดทันทีที่นึกได้ และเม็ดต่อไปกินตามเวลาปกติ (ตามเล่มสภา ถ้าลืม EE30 3 เม็ดจึงจะใช้วิธีคุมกำเนิดวิธีอื่นร่วมด้วย)</t>
        </is>
      </c>
      <c r="C134" s="2" t="n"/>
      <c r="D134" s="2" t="inlineStr">
        <is>
          <t>Ethinylestradiol 30 mcg + Levonorgestrel 150 mcg</t>
        </is>
      </c>
      <c r="E134" s="2" t="inlineStr">
        <is>
          <t>Ethinylestradiol 30 mcg + Drospirenone 3 mg</t>
        </is>
      </c>
      <c r="F134" s="2" t="inlineStr">
        <is>
          <t>Ethinylestradiol 35 mcg + Cyproterone acetate 2 mg</t>
        </is>
      </c>
      <c r="G134" s="2" t="inlineStr">
        <is>
          <t>Desogestrel 75 mcg OD (Progestin-only)</t>
        </is>
      </c>
      <c r="H134" s="2" t="inlineStr">
        <is>
          <t>Levonorgestrel 1.5 mg stat (Emergency)</t>
        </is>
      </c>
      <c r="I134" s="8" t="inlineStr">
        <is>
          <t>1</t>
        </is>
      </c>
      <c r="J134"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ง.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4" s="2" t="n"/>
      <c r="L134" s="2" t="inlineStr">
        <is>
          <t>Oral contraceptive</t>
        </is>
      </c>
      <c r="M134" s="2" t="inlineStr">
        <is>
          <t>Clinic</t>
        </is>
      </c>
      <c r="N134" s="2" t="inlineStr">
        <is>
          <t>ข้อ 5 (PLE_CC1_Key_Rx20_UBU.md)</t>
        </is>
      </c>
      <c r="O134" s="2" t="inlineStr">
        <is>
          <t>Mock</t>
        </is>
      </c>
      <c r="P134" s="2" t="inlineStr">
        <is>
          <t>Mock Rx20 UBU</t>
        </is>
      </c>
    </row>
    <row r="135" ht="13.2" customHeight="1" s="37">
      <c r="A135" s="8" t="inlineStr">
        <is>
          <t>133</t>
        </is>
      </c>
      <c r="B135" s="2" t="inlineStr">
        <is>
          <t>ยาใดมีอันตรกิริยากับยาคุมกำเนิดอย่างมีนัยสำคัญทางคลินิก ๐ และใhการsมtเuดvนwวมxายาyน -</t>
        </is>
      </c>
      <c r="C135" s="2" t="n"/>
      <c r="D135" s="2" t="inlineStr">
        <is>
          <t>Desogestrel 75 mcg OD (Progestin-only)</t>
        </is>
      </c>
      <c r="E135" s="2" t="inlineStr">
        <is>
          <t>Levonorgestrel 1.5 mg stat (Emergency)</t>
        </is>
      </c>
      <c r="F135" s="2" t="inlineStr">
        <is>
          <t>Mefenamic acid 500 mg TID</t>
        </is>
      </c>
      <c r="G135" s="2" t="inlineStr">
        <is>
          <t>Tamsulosin 0.4 mg HS</t>
        </is>
      </c>
      <c r="H135" s="2" t="inlineStr">
        <is>
          <t>Finasteride 5 mg OD</t>
        </is>
      </c>
      <c r="I135" s="8" t="inlineStr">
        <is>
          <t>1</t>
        </is>
      </c>
      <c r="J135"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5" s="2" t="n"/>
      <c r="L135" s="2" t="inlineStr">
        <is>
          <t>Oral contraceptive</t>
        </is>
      </c>
      <c r="M135" s="2" t="inlineStr">
        <is>
          <t>Clinic</t>
        </is>
      </c>
      <c r="N135" s="2" t="inlineStr">
        <is>
          <t>ข้อ 80 (PLE_CC1_Key_Rx20_UBU.md)</t>
        </is>
      </c>
      <c r="O135" s="2" t="inlineStr">
        <is>
          <t>Mock</t>
        </is>
      </c>
      <c r="P135" s="2" t="inlineStr">
        <is>
          <t>Mock Rx20 UBU</t>
        </is>
      </c>
    </row>
    <row r="136" ht="13.2" customHeight="1" s="37">
      <c r="A136" s="8" t="inlineStr">
        <is>
          <t>134</t>
        </is>
      </c>
      <c r="B136" s="2" t="inlineStr">
        <is>
          <t>Metronidazole ตอบ 4. Rifampicin ผ่าน CYP 2C9 inducer เพิ่มการ metabolism ของยาคุมกำเนิด ทำให้ลด efficacy ของยาคุมกำเนิดลง - -0</t>
        </is>
      </c>
      <c r="C136" s="2" t="n"/>
      <c r="D136" s="2" t="inlineStr">
        <is>
          <t>Tamsulosin 0.4 mg HS</t>
        </is>
      </c>
      <c r="E136" s="2" t="inlineStr">
        <is>
          <t>Finasteride 5 mg OD</t>
        </is>
      </c>
      <c r="F136" s="2" t="inlineStr">
        <is>
          <t>Oxybutynin 5 mg BID</t>
        </is>
      </c>
      <c r="G136" s="2" t="inlineStr">
        <is>
          <t>Tolterodine 2 mg BID</t>
        </is>
      </c>
      <c r="H136" s="2" t="inlineStr">
        <is>
          <t>Dydrogesterone 10 mg BID</t>
        </is>
      </c>
      <c r="I136" s="8" t="inlineStr">
        <is>
          <t>1</t>
        </is>
      </c>
      <c r="J136"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6" s="2" t="n"/>
      <c r="L136" s="2" t="inlineStr">
        <is>
          <t>Oral contraceptive</t>
        </is>
      </c>
      <c r="M136" s="2" t="inlineStr">
        <is>
          <t>Clinic</t>
        </is>
      </c>
      <c r="N136" s="2" t="inlineStr">
        <is>
          <t>ข้อ 5 (PLE_CC1_Key_Rx20_UBU.md)</t>
        </is>
      </c>
      <c r="O136" s="2" t="inlineStr">
        <is>
          <t>Mock</t>
        </is>
      </c>
      <c r="P136" s="2" t="inlineStr">
        <is>
          <t>Mock Rx20 UBU</t>
        </is>
      </c>
    </row>
    <row r="137" ht="13.2" customHeight="1" s="37">
      <c r="A137" s="8" t="inlineStr">
        <is>
          <t>135</t>
        </is>
      </c>
      <c r="B137" s="2" t="inlineStr">
        <is>
          <t>EE 0.035 mg + cypoterone acetate 2 mg เพื่อนแนะนำให$ซื้อยา isotetrinoin capsule ทางอินเตอร_เนต</t>
        </is>
      </c>
      <c r="C137" s="2" t="n"/>
      <c r="D137" s="2" t="inlineStr">
        <is>
          <t>Tolterodine 2 mg BID</t>
        </is>
      </c>
      <c r="E137" s="2" t="inlineStr">
        <is>
          <t>Dydrogesterone 10 mg BID</t>
        </is>
      </c>
      <c r="F137" s="2" t="inlineStr">
        <is>
          <t>Ethinylestradiol 30 mcg + Levonorgestrel 150 mcg</t>
        </is>
      </c>
      <c r="G137" s="2" t="inlineStr">
        <is>
          <t>Ethinylestradiol 30 mcg + Drospirenone 3 mg</t>
        </is>
      </c>
      <c r="H137" s="2" t="inlineStr">
        <is>
          <t>Ethinylestradiol 35 mcg + Cyproterone acetate 2 mg</t>
        </is>
      </c>
      <c r="I137" s="8" t="inlineStr">
        <is>
          <t>2</t>
        </is>
      </c>
      <c r="J137" s="2" t="inlineStr">
        <is>
          <t>✅ คำตอบที่ถูกต้อง: ข้อ ข. Dydrogesterone 10 mg BID
💡 Background:
การรักษาโรคติดเชื้อแบคทีเรีย (Oral contraceptive) ต้องเลือก antibiotic ที่ครอบคลุม likely pathogens และมี PK/PD profile เหมาะสมกับตำแหน่งการติดเชื้อ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7" s="2" t="n"/>
      <c r="L137" s="2" t="inlineStr">
        <is>
          <t>Oral contraceptive</t>
        </is>
      </c>
      <c r="M137" s="2" t="inlineStr">
        <is>
          <t>Clinic</t>
        </is>
      </c>
      <c r="N137" s="2" t="inlineStr">
        <is>
          <t>ข้อ 5 (PLE_CC1_Key_Rx20_UBU.md)</t>
        </is>
      </c>
      <c r="O137" s="2" t="inlineStr">
        <is>
          <t>Mock</t>
        </is>
      </c>
      <c r="P137" s="2" t="inlineStr">
        <is>
          <t>Mock Rx20 UBU</t>
        </is>
      </c>
    </row>
    <row r="138" ht="13.2" customHeight="1" s="37">
      <c r="A138" s="8" t="inlineStr">
        <is>
          <t>136</t>
        </is>
      </c>
      <c r="B138" s="2" t="inlineStr">
        <is>
          <t>ต$องคุมกำเนิดกGอนใช$ยา 1 เดือน</t>
        </is>
      </c>
      <c r="C138" s="2" t="n"/>
      <c r="D138" s="2" t="inlineStr">
        <is>
          <t>Ethinylestradiol 30 mcg + Drospirenone 3 mg</t>
        </is>
      </c>
      <c r="E138" s="2" t="inlineStr">
        <is>
          <t>Ethinylestradiol 35 mcg + Cyproterone acetate 2 mg</t>
        </is>
      </c>
      <c r="F138" s="2" t="inlineStr">
        <is>
          <t>Desogestrel 75 mcg OD (Progestin-only)</t>
        </is>
      </c>
      <c r="G138" s="2" t="inlineStr">
        <is>
          <t>Levonorgestrel 1.5 mg stat (Emergency)</t>
        </is>
      </c>
      <c r="H138" s="2" t="inlineStr">
        <is>
          <t>Mefenamic acid 500 mg TID</t>
        </is>
      </c>
      <c r="I138" s="8" t="inlineStr">
        <is>
          <t>1</t>
        </is>
      </c>
      <c r="J138"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ค.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(Mefenamic acid 500 mg TID):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8" s="2" t="n"/>
      <c r="L138" s="2" t="inlineStr">
        <is>
          <t>Oral contraceptive</t>
        </is>
      </c>
      <c r="M138" s="2" t="inlineStr">
        <is>
          <t>Clinic</t>
        </is>
      </c>
      <c r="N138" s="2" t="inlineStr">
        <is>
          <t>ข้อ 3 (PLE_CC1_Key_Rx20_UBU.md)</t>
        </is>
      </c>
      <c r="O138" s="2" t="inlineStr">
        <is>
          <t>Mock</t>
        </is>
      </c>
      <c r="P138" s="2" t="inlineStr">
        <is>
          <t>Mock Rx20 UBU</t>
        </is>
      </c>
    </row>
    <row r="139" ht="13.2" customHeight="1" s="37">
      <c r="A139" s="8" t="inlineStr">
        <is>
          <t>137</t>
        </is>
      </c>
      <c r="B139" s="2" t="inlineStr">
        <is>
          <t>ไมGควรเริ่มยาคุมกำเนิดในวันแรกที่มีประจำเดือน เนื่องจากจะทำให$....</t>
        </is>
      </c>
      <c r="C139" s="2" t="n"/>
      <c r="D139" s="2" t="inlineStr">
        <is>
          <t>Levonorgestrel 1.5 mg stat (Emergency)</t>
        </is>
      </c>
      <c r="E139" s="2" t="inlineStr">
        <is>
          <t>Mefenamic acid 500 mg TID</t>
        </is>
      </c>
      <c r="F139" s="2" t="inlineStr">
        <is>
          <t>Tamsulosin 0.4 mg HS</t>
        </is>
      </c>
      <c r="G139" s="2" t="inlineStr">
        <is>
          <t>Finasteride 5 mg OD</t>
        </is>
      </c>
      <c r="H139" s="2" t="inlineStr">
        <is>
          <t>Oxybutynin 5 mg BID</t>
        </is>
      </c>
      <c r="I139" s="8" t="inlineStr">
        <is>
          <t>1</t>
        </is>
      </c>
      <c r="J139" s="2" t="inlineStr">
        <is>
          <t>✅ คำตอบที่ถูกต้อง: ข้อ ก. Levonorgestrel 1.5 mg stat (Emergency)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ค.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ง.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จ. (Oxybutynin 5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9" s="2" t="n"/>
      <c r="L139" s="2" t="inlineStr">
        <is>
          <t>Oral contraceptive</t>
        </is>
      </c>
      <c r="M139" s="2" t="inlineStr">
        <is>
          <t>Clinic</t>
        </is>
      </c>
      <c r="N139" s="2" t="inlineStr">
        <is>
          <t>ข้อ 2 (PLE_CC1_Key_Rx20_UBU.md)</t>
        </is>
      </c>
      <c r="O139" s="2" t="inlineStr">
        <is>
          <t>Mock</t>
        </is>
      </c>
      <c r="P139" s="2" t="inlineStr">
        <is>
          <t>Mock Rx20 UBU</t>
        </is>
      </c>
    </row>
    <row r="140" ht="13.2" customHeight="1" s="37">
      <c r="A140" s="8" t="inlineStr">
        <is>
          <t>138</t>
        </is>
      </c>
      <c r="B140" s="2" t="inlineStr">
        <is>
          <t>หากลืมกินยาคุมกำเนิด 2 เม็ดใน 14 วันแรกให$รับประทานมื้อตGอไปได$ปกติ</t>
        </is>
      </c>
      <c r="C140" s="2" t="n"/>
      <c r="D140" s="2" t="inlineStr">
        <is>
          <t>Finasteride 5 mg OD</t>
        </is>
      </c>
      <c r="E140" s="2" t="inlineStr">
        <is>
          <t>Oxybutynin 5 mg BID</t>
        </is>
      </c>
      <c r="F140" s="2" t="inlineStr">
        <is>
          <t>Tolterodine 2 mg BID</t>
        </is>
      </c>
      <c r="G140" s="2" t="inlineStr">
        <is>
          <t>Dydrogesterone 10 mg BID</t>
        </is>
      </c>
      <c r="H140" s="2" t="inlineStr">
        <is>
          <t>Ethinylestradiol 30 mcg + Levonorgestrel 150 mcg</t>
        </is>
      </c>
      <c r="I140" s="8" t="inlineStr">
        <is>
          <t>1</t>
        </is>
      </c>
      <c r="J140"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ค.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ง.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0" s="2" t="n"/>
      <c r="L140" s="2" t="inlineStr">
        <is>
          <t>Oral contraceptive</t>
        </is>
      </c>
      <c r="M140" s="2" t="inlineStr">
        <is>
          <t>Clinic</t>
        </is>
      </c>
      <c r="N140" s="2" t="inlineStr">
        <is>
          <t>ข้อ 3 (PLE_CC1_Key_Rx20_UBU.md)</t>
        </is>
      </c>
      <c r="O140" s="2" t="inlineStr">
        <is>
          <t>Mock</t>
        </is>
      </c>
      <c r="P140" s="2" t="inlineStr">
        <is>
          <t>Mock Rx20 UBU</t>
        </is>
      </c>
    </row>
    <row r="141" ht="13.2" customHeight="1" s="37">
      <c r="A141" s="8" t="inlineStr">
        <is>
          <t>139</t>
        </is>
      </c>
      <c r="B141" s="2" t="inlineStr">
        <is>
          <t>หากลืมทานยาคุมกำเนิด 2 เม็ดใน 14 วันหลัง ให$รับประทานยาคุม 2 เม็ดเปญนเวลา 2 วันและคุมกำเนิดอื่นรGวมด$วย 7 วัน</t>
        </is>
      </c>
      <c r="C141" s="2" t="n"/>
      <c r="D141" s="2" t="inlineStr">
        <is>
          <t>Dydrogesterone 10 mg BID</t>
        </is>
      </c>
      <c r="E141" s="2" t="inlineStr">
        <is>
          <t>Ethinylestradiol 30 mcg + Levonorgestrel 150 mcg</t>
        </is>
      </c>
      <c r="F141" s="2" t="inlineStr">
        <is>
          <t>Ethinylestradiol 30 mcg + Drospirenone 3 mg</t>
        </is>
      </c>
      <c r="G141" s="2" t="inlineStr">
        <is>
          <t>Ethinylestradiol 35 mcg + Cyproterone acetate 2 mg</t>
        </is>
      </c>
      <c r="H141" s="2" t="inlineStr">
        <is>
          <t>Desogestrel 75 mcg OD (Progestin-only)</t>
        </is>
      </c>
      <c r="I141" s="8" t="inlineStr">
        <is>
          <t>1</t>
        </is>
      </c>
      <c r="J141"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1" s="2" t="n"/>
      <c r="L141" s="2" t="inlineStr">
        <is>
          <t>Oral contraceptive</t>
        </is>
      </c>
      <c r="M141" s="2" t="inlineStr">
        <is>
          <t>Clinic</t>
        </is>
      </c>
      <c r="N141" s="2" t="inlineStr">
        <is>
          <t>ข้อ 4 (PLE_CC1_Key_Rx20_UBU.md)</t>
        </is>
      </c>
      <c r="O141" s="2" t="inlineStr">
        <is>
          <t>Mock</t>
        </is>
      </c>
      <c r="P141" s="2" t="inlineStr">
        <is>
          <t>Mock Rx20 UBU</t>
        </is>
      </c>
    </row>
    <row r="142" ht="13.2" customHeight="1" s="37">
      <c r="A142" s="8" t="inlineStr">
        <is>
          <t>140</t>
        </is>
      </c>
      <c r="B142" s="2" t="inlineStr">
        <is>
          <t>ข$อใดไมGใชGอาการไมGพึงประสงค_จากการใช$ยาคุมกำเนิดชนิดฮอร_โมนรวม</t>
        </is>
      </c>
      <c r="C142" s="2" t="n"/>
      <c r="D142" s="2" t="inlineStr">
        <is>
          <t>Ethinylestradiol 35 mcg + Cyproterone acetate 2 mg</t>
        </is>
      </c>
      <c r="E142" s="2" t="inlineStr">
        <is>
          <t>Desogestrel 75 mcg OD (Progestin-only)</t>
        </is>
      </c>
      <c r="F142" s="2" t="inlineStr">
        <is>
          <t>Levonorgestrel 1.5 mg stat (Emergency)</t>
        </is>
      </c>
      <c r="G142" s="2" t="inlineStr">
        <is>
          <t>Mefenamic acid 500 mg TID</t>
        </is>
      </c>
      <c r="H142" s="2" t="inlineStr">
        <is>
          <t>Tamsulosin 0.4 mg HS</t>
        </is>
      </c>
      <c r="I142" s="8" t="inlineStr">
        <is>
          <t>1</t>
        </is>
      </c>
      <c r="J142" s="2" t="inlineStr">
        <is>
          <t>✅ คำตอบที่ถูกต้อง: ข้อ ก. Ethinylestradiol 35 mcg + Cyproterone acetate 2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ง.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จ. (Tamsulosin 0.4 mg HS):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2" s="2" t="n"/>
      <c r="L142" s="2" t="inlineStr">
        <is>
          <t>Oral contraceptive</t>
        </is>
      </c>
      <c r="M142" s="2" t="inlineStr">
        <is>
          <t>Clinic</t>
        </is>
      </c>
      <c r="N142" s="2" t="inlineStr">
        <is>
          <t>ข้อ 43 (PLE_CC1_Key_Rx20_UBU.md)</t>
        </is>
      </c>
      <c r="O142" s="2" t="inlineStr">
        <is>
          <t>Mock</t>
        </is>
      </c>
      <c r="P142" s="2" t="inlineStr">
        <is>
          <t>Mock Rx20 UBU</t>
        </is>
      </c>
    </row>
    <row r="143" ht="13.2" customHeight="1" s="37">
      <c r="A143" s="8" t="inlineStr">
        <is>
          <t>141</t>
        </is>
      </c>
      <c r="B143" s="2" t="inlineStr">
        <is>
          <t>พบได$จากยาคุมกำเนิดชนิดฮอร_โมนรวมที่มีฮอร_โมนโปรเจสตินรุGนเกGาๆ เชGน Levonorgestrel. Breast tenderness เปญนอาการไมGพึงประสงค_ที่พบได$ในการใช$ยาคุมกำเนิดชนิดฮอร_โมนรวมชGวงเริ่มต$น 1-3 เดือนแรก</t>
        </is>
      </c>
      <c r="C143" s="2" t="n"/>
      <c r="D143" s="2" t="inlineStr">
        <is>
          <t>Mefenamic acid 500 mg TID</t>
        </is>
      </c>
      <c r="E143" s="2" t="inlineStr">
        <is>
          <t>Tamsulosin 0.4 mg HS</t>
        </is>
      </c>
      <c r="F143" s="2" t="inlineStr">
        <is>
          <t>Finasteride 5 mg OD</t>
        </is>
      </c>
      <c r="G143" s="2" t="inlineStr">
        <is>
          <t>Oxybutynin 5 mg BID</t>
        </is>
      </c>
      <c r="H143" s="2" t="inlineStr">
        <is>
          <t>Tolterodine 2 mg BID</t>
        </is>
      </c>
      <c r="I143" s="8" t="inlineStr">
        <is>
          <t>2</t>
        </is>
      </c>
      <c r="J143" s="2" t="inlineStr">
        <is>
          <t>✅ คำตอบที่ถูกต้อง: ข้อ ข.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ง.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3" s="2" t="n"/>
      <c r="L143" s="2" t="inlineStr">
        <is>
          <t>Oral contraceptive</t>
        </is>
      </c>
      <c r="M143" s="2" t="inlineStr">
        <is>
          <t>Clinic</t>
        </is>
      </c>
      <c r="N143" s="2" t="inlineStr">
        <is>
          <t>ข้อ 5 (PLE_CC1_Key_Rx20_UBU.md)</t>
        </is>
      </c>
      <c r="O143" s="2" t="inlineStr">
        <is>
          <t>Mock</t>
        </is>
      </c>
      <c r="P143" s="2" t="inlineStr">
        <is>
          <t>Mock Rx20 UBU</t>
        </is>
      </c>
    </row>
    <row r="144" ht="13.2" customHeight="1" s="37">
      <c r="A144" s="8" t="inlineStr">
        <is>
          <t>142</t>
        </is>
      </c>
      <c r="B144" s="2" t="inlineStr">
        <is>
          <t>ข$อใดเปญนวิธีการแก$ไขอาการไมGพึงประสงค_จากยาคุมกำเนิดชนิดฮอร_โมรวมที่เหมาะสมที่สุด</t>
        </is>
      </c>
      <c r="C144" s="2" t="n"/>
      <c r="D144" s="2" t="inlineStr">
        <is>
          <t>Oxybutynin 5 mg BID</t>
        </is>
      </c>
      <c r="E144" s="2" t="inlineStr">
        <is>
          <t>Tolterodine 2 mg BID</t>
        </is>
      </c>
      <c r="F144" s="2" t="inlineStr">
        <is>
          <t>Dydrogesterone 10 mg BID</t>
        </is>
      </c>
      <c r="G144" s="2" t="inlineStr">
        <is>
          <t>Ethinylestradiol 30 mcg + Levonorgestrel 150 mcg</t>
        </is>
      </c>
      <c r="H144" s="2" t="inlineStr">
        <is>
          <t>Ethinylestradiol 30 mcg + Drospirenone 3 mg</t>
        </is>
      </c>
      <c r="I144" s="8" t="inlineStr">
        <is>
          <t>1</t>
        </is>
      </c>
      <c r="J144"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4" s="2" t="n"/>
      <c r="L144" s="2" t="inlineStr">
        <is>
          <t>Oral contraceptive</t>
        </is>
      </c>
      <c r="M144" s="2" t="inlineStr">
        <is>
          <t>Clinic</t>
        </is>
      </c>
      <c r="N144" s="2" t="inlineStr">
        <is>
          <t>ข้อ 44 (PLE_CC1_Key_Rx20_UBU.md)</t>
        </is>
      </c>
      <c r="O144" s="2" t="inlineStr">
        <is>
          <t>Mock</t>
        </is>
      </c>
      <c r="P144" s="2" t="inlineStr">
        <is>
          <t>Mock Rx20 UBU</t>
        </is>
      </c>
    </row>
    <row r="145" ht="13.2" customHeight="1" s="37">
      <c r="A145" s="8" t="inlineStr">
        <is>
          <t>143</t>
        </is>
      </c>
      <c r="B145" s="2" t="inlineStr">
        <is>
          <t>ในชGวง 1-10 วันแรกของการใช$ยาคุมกำเนิด หากมีเลือดออกกระปØดกระปอยควรปรับเพิ่มปริมาณ เอสโตรเจนให$สูงขึ้น</t>
        </is>
      </c>
      <c r="C145" s="2" t="n"/>
      <c r="D145" s="2" t="inlineStr">
        <is>
          <t>Ethinylestradiol 30 mcg + Levonorgestrel 150 mcg</t>
        </is>
      </c>
      <c r="E145" s="2" t="inlineStr">
        <is>
          <t>Ethinylestradiol 30 mcg + Drospirenone 3 mg</t>
        </is>
      </c>
      <c r="F145" s="2" t="inlineStr">
        <is>
          <t>Ethinylestradiol 35 mcg + Cyproterone acetate 2 mg</t>
        </is>
      </c>
      <c r="G145" s="2" t="inlineStr">
        <is>
          <t>Desogestrel 75 mcg OD (Progestin-only)</t>
        </is>
      </c>
      <c r="H145" s="2" t="inlineStr">
        <is>
          <t>Levonorgestrel 1.5 mg stat (Emergency)</t>
        </is>
      </c>
      <c r="I145" s="8" t="inlineStr">
        <is>
          <t>1</t>
        </is>
      </c>
      <c r="J145"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ง.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5" s="2" t="n"/>
      <c r="L145" s="2" t="inlineStr">
        <is>
          <t>Oral contraceptive</t>
        </is>
      </c>
      <c r="M145" s="2" t="inlineStr">
        <is>
          <t>Clinic</t>
        </is>
      </c>
      <c r="N145" s="2" t="inlineStr">
        <is>
          <t>ข้อ 1 (PLE_CC1_Key_Rx20_UBU.md)</t>
        </is>
      </c>
      <c r="O145" s="2" t="inlineStr">
        <is>
          <t>Mock</t>
        </is>
      </c>
      <c r="P145" s="2" t="inlineStr">
        <is>
          <t>Mock Rx20 UBU</t>
        </is>
      </c>
    </row>
    <row r="146" ht="13.2" customHeight="1" s="37">
      <c r="A146" s="8" t="inlineStr">
        <is>
          <t>144</t>
        </is>
      </c>
      <c r="B146" s="2" t="inlineStr">
        <is>
          <t>หากผู้ป่วยให้นมบุตร ไม่ควรใช้ยาคุมกำเนิดแบบใด</t>
        </is>
      </c>
      <c r="C146" s="2" t="n"/>
      <c r="D146" s="2" t="inlineStr">
        <is>
          <t>Desogestrel 75 mcg OD (Progestin-only)</t>
        </is>
      </c>
      <c r="E146" s="2" t="inlineStr">
        <is>
          <t>Levonorgestrel 1.5 mg stat (Emergency)</t>
        </is>
      </c>
      <c r="F146" s="2" t="inlineStr">
        <is>
          <t>Mefenamic acid 500 mg TID</t>
        </is>
      </c>
      <c r="G146" s="2" t="inlineStr">
        <is>
          <t>Tamsulosin 0.4 mg HS</t>
        </is>
      </c>
      <c r="H146" s="2" t="inlineStr">
        <is>
          <t>Finasteride 5 mg OD</t>
        </is>
      </c>
      <c r="I146" s="8" t="inlineStr">
        <is>
          <t>1</t>
        </is>
      </c>
      <c r="J146" s="2" t="inlineStr">
        <is>
          <t>✅ คำตอบที่ถูกต้อง: ข้อ ก. Desogestrel 75 mcg OD (Progestin-only)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ค.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ง.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(Finasteride 5 mg OD):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6" s="2" t="n"/>
      <c r="L146" s="2" t="inlineStr">
        <is>
          <t>Oral contraceptive</t>
        </is>
      </c>
      <c r="M146" s="2" t="inlineStr">
        <is>
          <t>Clinic</t>
        </is>
      </c>
      <c r="N146" s="2" t="inlineStr">
        <is>
          <t>ข้อ 3 (PLE_CC1_Key_Rx20_UBU.md)</t>
        </is>
      </c>
      <c r="O146" s="2" t="inlineStr">
        <is>
          <t>Mock</t>
        </is>
      </c>
      <c r="P146" s="2" t="inlineStr">
        <is>
          <t>Mock Rx20 UBU</t>
        </is>
      </c>
    </row>
    <row r="147" ht="13.2" customHeight="1" s="37">
      <c r="A147" s="8" t="inlineStr">
        <is>
          <t>145</t>
        </is>
      </c>
      <c r="B147" s="2" t="inlineStr">
        <is>
          <t>ยาคุมแบบห่วงอนามัย</t>
        </is>
      </c>
      <c r="C147" s="2" t="n"/>
      <c r="D147" s="2" t="inlineStr">
        <is>
          <t>Tamsulosin 0.4 mg HS</t>
        </is>
      </c>
      <c r="E147" s="2" t="inlineStr">
        <is>
          <t>Finasteride 5 mg OD</t>
        </is>
      </c>
      <c r="F147" s="2" t="inlineStr">
        <is>
          <t>Oxybutynin 5 mg BID</t>
        </is>
      </c>
      <c r="G147" s="2" t="inlineStr">
        <is>
          <t>Tolterodine 2 mg BID</t>
        </is>
      </c>
      <c r="H147" s="2" t="inlineStr">
        <is>
          <t>Dydrogesterone 10 mg BID</t>
        </is>
      </c>
      <c r="I147" s="8" t="inlineStr">
        <is>
          <t>1</t>
        </is>
      </c>
      <c r="J147" s="2" t="inlineStr">
        <is>
          <t>✅ คำตอบที่ถูกต้อง: ข้อ ก. Tamsulosin 0.4 mg HS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ค.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ง.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จ. (Dydrogesterone 10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7" s="2" t="n"/>
      <c r="L147" s="2" t="inlineStr">
        <is>
          <t>Oral contraceptive</t>
        </is>
      </c>
      <c r="M147" s="2" t="inlineStr">
        <is>
          <t>Clinic</t>
        </is>
      </c>
      <c r="N147" s="2" t="inlineStr">
        <is>
          <t>ข้อ 3 (PLE_CC1_Key_Rx20_UBU.md)</t>
        </is>
      </c>
      <c r="O147" s="2" t="inlineStr">
        <is>
          <t>Mock</t>
        </is>
      </c>
      <c r="P147" s="2" t="inlineStr">
        <is>
          <t>Mock Rx20 UBU</t>
        </is>
      </c>
    </row>
    <row r="148" ht="13.2" customHeight="1" s="37">
      <c r="A148" s="8" t="inlineStr">
        <is>
          <t>146</t>
        </is>
      </c>
      <c r="B148" s="2" t="inlineStr">
        <is>
          <t>ยาคุมแบบฝังใต้ผิวหนัง</t>
        </is>
      </c>
      <c r="C148" s="2" t="n"/>
      <c r="D148" s="2" t="inlineStr">
        <is>
          <t>Tolterodine 2 mg BID</t>
        </is>
      </c>
      <c r="E148" s="2" t="inlineStr">
        <is>
          <t>Dydrogesterone 10 mg BID</t>
        </is>
      </c>
      <c r="F148" s="2" t="inlineStr">
        <is>
          <t>Ethinylestradiol 30 mcg + Levonorgestrel 150 mcg</t>
        </is>
      </c>
      <c r="G148" s="2" t="inlineStr">
        <is>
          <t>Ethinylestradiol 30 mcg + Drospirenone 3 mg</t>
        </is>
      </c>
      <c r="H148" s="2" t="inlineStr">
        <is>
          <t>Ethinylestradiol 35 mcg + Cyproterone acetate 2 mg</t>
        </is>
      </c>
      <c r="I148" s="8" t="inlineStr">
        <is>
          <t>1</t>
        </is>
      </c>
      <c r="J148" s="2" t="inlineStr">
        <is>
          <t>✅ คำตอบที่ถูกต้อง: ข้อ ก. Tolterodine 2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2" t="n"/>
      <c r="L148" s="2" t="inlineStr">
        <is>
          <t>Oral contraceptive</t>
        </is>
      </c>
      <c r="M148" s="2" t="inlineStr">
        <is>
          <t>Clinic</t>
        </is>
      </c>
      <c r="N148" s="2" t="inlineStr">
        <is>
          <t>ข้อ 4 (PLE_CC1_Key_Rx20_UBU.md)</t>
        </is>
      </c>
      <c r="O148" s="2" t="inlineStr">
        <is>
          <t>Mock</t>
        </is>
      </c>
      <c r="P148" s="2" t="inlineStr">
        <is>
          <t>Mock Rx20 UBU</t>
        </is>
      </c>
    </row>
    <row r="149" ht="13.2" customHeight="1" s="37">
      <c r="A149" s="8" t="inlineStr">
        <is>
          <t>147</t>
        </is>
      </c>
      <c r="B149" s="2" t="inlineStr">
        <is>
          <t>ยาคุมแบบฉีด</t>
        </is>
      </c>
      <c r="C149" s="2" t="n"/>
      <c r="D149" s="2" t="inlineStr">
        <is>
          <t>Ethinylestradiol 30 mcg + Drospirenone 3 mg</t>
        </is>
      </c>
      <c r="E149" s="2" t="inlineStr">
        <is>
          <t>Ethinylestradiol 35 mcg + Cyproterone acetate 2 mg</t>
        </is>
      </c>
      <c r="F149" s="2" t="inlineStr">
        <is>
          <t>Desogestrel 75 mcg OD (Progestin-only)</t>
        </is>
      </c>
      <c r="G149" s="2" t="inlineStr">
        <is>
          <t>Levonorgestrel 1.5 mg stat (Emergency)</t>
        </is>
      </c>
      <c r="H149" s="2" t="inlineStr">
        <is>
          <t>Mefenamic acid 500 mg TID</t>
        </is>
      </c>
      <c r="I149" s="8" t="inlineStr">
        <is>
          <t>1</t>
        </is>
      </c>
      <c r="J149" s="2" t="inlineStr">
        <is>
          <t>✅ คำตอบที่ถูกต้อง: ข้อ ก. Ethinylestradiol 30 mcg + Drospirenone 3 mg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ค.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จ. (Mefenamic acid 500 mg TID):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9" s="2" t="n"/>
      <c r="L149" s="2" t="inlineStr">
        <is>
          <t>Oral contraceptive</t>
        </is>
      </c>
      <c r="M149" s="2" t="inlineStr">
        <is>
          <t>Clinic</t>
        </is>
      </c>
      <c r="N149" s="2" t="inlineStr">
        <is>
          <t>ข้อ 5 (PLE_CC1_Key_Rx20_UBU.md)</t>
        </is>
      </c>
      <c r="O149" s="2" t="inlineStr">
        <is>
          <t>Mock</t>
        </is>
      </c>
      <c r="P149" s="2" t="inlineStr">
        <is>
          <t>Mock Rx20 UBU</t>
        </is>
      </c>
    </row>
    <row r="150" ht="13.2" customHeight="1" s="37">
      <c r="A150" s="8" t="inlineStr">
        <is>
          <t>148</t>
        </is>
      </c>
      <c r="B150" s="2" t="inlineStr">
        <is>
          <t>ผู้ปวยสามารถบริหารยาเองได้ การใส่ห่วงอนามัยผู้ป่วยไม่สามารถใส่เองได้เนื่องจากต้องใส่ห่วงเข้าไปในโพรงมดลูกด้วยเทคนิคปราศจากเชื้อจึ งต้องไปรับการทำหัตถการจากแพทย์เท่านั้น ซึ่งใส่แล้วจะสามารถคุมกำเนิดได้ 5 ปี</t>
        </is>
      </c>
      <c r="C150" s="2" t="n"/>
      <c r="D150" s="2" t="inlineStr">
        <is>
          <t>Levonorgestrel 1.5 mg stat (Emergency)</t>
        </is>
      </c>
      <c r="E150" s="2" t="inlineStr">
        <is>
          <t>Mefenamic acid 500 mg TID</t>
        </is>
      </c>
      <c r="F150" s="2" t="inlineStr">
        <is>
          <t>Tamsulosin 0.4 mg HS</t>
        </is>
      </c>
      <c r="G150" s="2" t="inlineStr">
        <is>
          <t>Finasteride 5 mg OD</t>
        </is>
      </c>
      <c r="H150" s="2" t="inlineStr">
        <is>
          <t>Oxybutynin 5 mg BID</t>
        </is>
      </c>
      <c r="I150" s="8" t="inlineStr">
        <is>
          <t>4</t>
        </is>
      </c>
      <c r="J150" s="2" t="inlineStr">
        <is>
          <t>✅ คำตอบที่ถูกต้อง: ข้อ ง.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ข้อ ข. (Mefenamic acid 500 mg TID): ข้อนี้ไม่ใช่คำตอบที่ถูกต้องสำหรับภาวะ Oral contraceptive เนื่องจากกลไกการออกฤทธิ์, efficacy หรือข้อบ่งใช้ไม่ตรงกับโจทย์ที่กำหนด
• ข้อ ค.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จ. (Oxybutynin 5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0" s="2" t="n"/>
      <c r="L150" s="2" t="inlineStr">
        <is>
          <t>Oral contraceptive</t>
        </is>
      </c>
      <c r="M150" s="2" t="inlineStr">
        <is>
          <t>Clinic</t>
        </is>
      </c>
      <c r="N150" s="2" t="inlineStr">
        <is>
          <t>ข้อ 5 (PLE_CC1_Key_Rx20_UBU.md)</t>
        </is>
      </c>
      <c r="O150" s="2" t="inlineStr">
        <is>
          <t>Mock</t>
        </is>
      </c>
      <c r="P150" s="2" t="inlineStr">
        <is>
          <t>Mock Rx20 UBU</t>
        </is>
      </c>
    </row>
    <row r="151" ht="13.2" customHeight="1" s="37">
      <c r="A151" s="8" t="inlineStr">
        <is>
          <t>149</t>
        </is>
      </c>
      <c r="B151" s="2" t="inlineStr">
        <is>
          <t>ห่วงคุมกำเนิดมีการออกฤทธิ์แบบใด</t>
        </is>
      </c>
      <c r="C151" s="2" t="n"/>
      <c r="D151" s="2" t="inlineStr">
        <is>
          <t>Finasteride 5 mg OD</t>
        </is>
      </c>
      <c r="E151" s="2" t="inlineStr">
        <is>
          <t>Oxybutynin 5 mg BID</t>
        </is>
      </c>
      <c r="F151" s="2" t="inlineStr">
        <is>
          <t>Tolterodine 2 mg BID</t>
        </is>
      </c>
      <c r="G151" s="2" t="inlineStr">
        <is>
          <t>Dydrogesterone 10 mg BID</t>
        </is>
      </c>
      <c r="H151" s="2" t="inlineStr">
        <is>
          <t>Ethinylestradiol 30 mcg + Levonorgestrel 150 mcg</t>
        </is>
      </c>
      <c r="I151" s="8" t="inlineStr">
        <is>
          <t>1</t>
        </is>
      </c>
      <c r="J151" s="2" t="inlineStr">
        <is>
          <t>✅ คำตอบที่ถูกต้อง: ข้อ ก. Finasteride 5 mg OD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ค.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ง.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1" s="2" t="n"/>
      <c r="L151" s="2" t="inlineStr">
        <is>
          <t>Oral contraceptive</t>
        </is>
      </c>
      <c r="M151" s="2" t="inlineStr">
        <is>
          <t>Clinic</t>
        </is>
      </c>
      <c r="N151" s="2" t="inlineStr">
        <is>
          <t>ข้อ 5 (PLE_CC1_Key_Rx20_UBU.md)</t>
        </is>
      </c>
      <c r="O151" s="2" t="inlineStr">
        <is>
          <t>Mock</t>
        </is>
      </c>
      <c r="P151" s="2" t="inlineStr">
        <is>
          <t>Mock Rx20 UBU</t>
        </is>
      </c>
    </row>
    <row r="152" ht="13.2" customHeight="1" s="37">
      <c r="A152" s="8" t="inlineStr">
        <is>
          <t>150</t>
        </is>
      </c>
      <c r="B152" s="2" t="inlineStr">
        <is>
          <t>เมื่อใช้ยาคุมกำเนิดแล้วพบว่ามีเลือดออกกระปริดกระปอยเกิดจากสาเหตุต่อไปนี้ ยกเว้นข้อใด</t>
        </is>
      </c>
      <c r="C152" s="2" t="n"/>
      <c r="D152" s="2" t="inlineStr">
        <is>
          <t>Dydrogesterone 10 mg BID</t>
        </is>
      </c>
      <c r="E152" s="2" t="inlineStr">
        <is>
          <t>Ethinylestradiol 30 mcg + Levonorgestrel 150 mcg</t>
        </is>
      </c>
      <c r="F152" s="2" t="inlineStr">
        <is>
          <t>Ethinylestradiol 30 mcg + Drospirenone 3 mg</t>
        </is>
      </c>
      <c r="G152" s="2" t="inlineStr">
        <is>
          <t>Ethinylestradiol 35 mcg + Cyproterone acetate 2 mg</t>
        </is>
      </c>
      <c r="H152" s="2" t="inlineStr">
        <is>
          <t>Desogestrel 75 mcg OD (Progestin-only)</t>
        </is>
      </c>
      <c r="I152" s="8" t="inlineStr">
        <is>
          <t>1</t>
        </is>
      </c>
      <c r="J152" s="2" t="inlineStr">
        <is>
          <t>✅ คำตอบที่ถูกต้อง: ข้อ ก. Dydrogesterone 10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2" s="2" t="n"/>
      <c r="L152" s="2" t="inlineStr">
        <is>
          <t>Oral contraceptive</t>
        </is>
      </c>
      <c r="M152" s="2" t="inlineStr">
        <is>
          <t>Clinic</t>
        </is>
      </c>
      <c r="N152" s="2" t="inlineStr">
        <is>
          <t>ข้อ 7 (PLE_CC1_Key_Rx20_UBU.md)</t>
        </is>
      </c>
      <c r="O152" s="2" t="inlineStr">
        <is>
          <t>Mock</t>
        </is>
      </c>
      <c r="P152" s="2" t="inlineStr">
        <is>
          <t>Mock Rx20 UBU</t>
        </is>
      </c>
    </row>
    <row r="153" ht="13.2" customHeight="1" s="37">
      <c r="A153" s="8" t="inlineStr">
        <is>
          <t>151</t>
        </is>
      </c>
      <c r="B153" s="2" t="inlineStr">
        <is>
          <t>ปริมาณ estrogen และ progesterone น้อยเกินไป</t>
        </is>
      </c>
      <c r="C153" s="2" t="n"/>
      <c r="D153" s="2" t="inlineStr">
        <is>
          <t>Ethinylestradiol 35 mcg + Cyproterone acetate 2 mg</t>
        </is>
      </c>
      <c r="E153" s="2" t="inlineStr">
        <is>
          <t>Desogestrel 75 mcg OD (Progestin-only)</t>
        </is>
      </c>
      <c r="F153" s="2" t="inlineStr">
        <is>
          <t>Levonorgestrel 1.5 mg stat (Emergency)</t>
        </is>
      </c>
      <c r="G153" s="2" t="inlineStr">
        <is>
          <t>Mefenamic acid 500 mg TID</t>
        </is>
      </c>
      <c r="H153" s="2" t="inlineStr">
        <is>
          <t>Tamsulosin 0.4 mg HS</t>
        </is>
      </c>
      <c r="I153" s="8" t="inlineStr">
        <is>
          <t>1</t>
        </is>
      </c>
      <c r="J153" s="2" t="inlineStr">
        <is>
          <t>✅ คำตอบที่ถูกต้อง: ข้อ ก. Ethinylestradiol 35 mcg + Cyproterone acetate 2 mg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(Desogestrel 75 mcg OD (Progestin-only)): ข้อนี้ไม่ใช่คำตอบที่ถูกต้องสำหรับภาวะ Hormonal replacement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Hormonal replacement เนื่องจากกลไกการออกฤทธิ์, efficacy หรือข้อบ่งใช้ไม่ตรงกับโจทย์ที่กำหนด
• ข้อ ง. (Mefenamic acid 500 mg TID): ข้อนี้ไม่ใช่คำตอบที่ถูกต้องสำหรับภาวะ Hormonal replacement เนื่องจากกลไกการออกฤทธิ์, efficacy หรือข้อบ่งใช้ไม่ตรงกับโจทย์ที่กำหนด
• ข้อ จ. (Tamsulosin 0.4 mg HS):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2" t="n"/>
      <c r="L153" s="2" t="inlineStr">
        <is>
          <t>Hormonal replacement</t>
        </is>
      </c>
      <c r="M153" s="2" t="inlineStr">
        <is>
          <t>Clinic</t>
        </is>
      </c>
      <c r="N153" s="2" t="inlineStr">
        <is>
          <t>ข้อ 1 (PLE_CC1_Key_Rx20_UBU.md)</t>
        </is>
      </c>
      <c r="O153" s="2" t="inlineStr">
        <is>
          <t>Mock</t>
        </is>
      </c>
      <c r="P153" s="2" t="inlineStr">
        <is>
          <t>Mock Rx20 UBU</t>
        </is>
      </c>
    </row>
    <row r="154" ht="13.2" customHeight="1" s="37">
      <c r="A154" s="8" t="inlineStr">
        <is>
          <t>152</t>
        </is>
      </c>
      <c r="B154" s="2" t="inlineStr">
        <is>
          <t>กินยาคุมไม่สม่ำเสมอ</t>
        </is>
      </c>
      <c r="C154" s="2" t="n"/>
      <c r="D154" s="2" t="inlineStr">
        <is>
          <t>Mefenamic acid 500 mg TID</t>
        </is>
      </c>
      <c r="E154" s="2" t="inlineStr">
        <is>
          <t>Tamsulosin 0.4 mg HS</t>
        </is>
      </c>
      <c r="F154" s="2" t="inlineStr">
        <is>
          <t>Finasteride 5 mg OD</t>
        </is>
      </c>
      <c r="G154" s="2" t="inlineStr">
        <is>
          <t>Oxybutynin 5 mg BID</t>
        </is>
      </c>
      <c r="H154" s="2" t="inlineStr">
        <is>
          <t>Tolterodine 2 mg BID</t>
        </is>
      </c>
      <c r="I154" s="8" t="inlineStr">
        <is>
          <t>1</t>
        </is>
      </c>
      <c r="J154" s="2" t="inlineStr">
        <is>
          <t>✅ คำตอบที่ถูกต้อง: ข้อ ก. Mefenamic acid 500 mg TID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ข้อนี้ไม่ใช่คำตอบที่ถูกต้องสำหรับภาวะ Oral contraceptive เนื่องจากกลไกการออกฤทธิ์, efficacy หรือข้อบ่งใช้ไม่ตรงกับโจทย์ที่กำหนด
• ข้อ ค. (Finasteride 5 mg OD): ข้อนี้ไม่ใช่คำตอบที่ถูกต้องสำหรับภาวะ Oral contraceptive เนื่องจากกลไกการออกฤทธิ์, efficacy หรือข้อบ่งใช้ไม่ตรงกับโจทย์ที่กำหนด
• ข้อ ง. (Oxybutynin 5 mg BID): ข้อนี้ไม่ใช่คำตอบที่ถูกต้องสำหรับภาวะ Oral contraceptive เนื่องจากกลไกการออกฤทธิ์, efficacy หรือข้อบ่งใช้ไม่ตรงกับโจทย์ที่กำหนด
• ข้อ จ. (Tolterodine 2 mg BID):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4" s="2" t="n"/>
      <c r="L154" s="2" t="inlineStr">
        <is>
          <t>Oral contraceptive</t>
        </is>
      </c>
      <c r="M154" s="2" t="inlineStr">
        <is>
          <t>Clinic</t>
        </is>
      </c>
      <c r="N154" s="2" t="inlineStr">
        <is>
          <t>ข้อ 2 (PLE_CC1_Key_Rx20_UBU.md)</t>
        </is>
      </c>
      <c r="O154" s="2" t="inlineStr">
        <is>
          <t>Mock</t>
        </is>
      </c>
      <c r="P154" s="2" t="inlineStr">
        <is>
          <t>Mock Rx20 UBU</t>
        </is>
      </c>
    </row>
    <row r="155" ht="13.2" customHeight="1" s="37">
      <c r="A155" s="8" t="inlineStr">
        <is>
          <t>153</t>
        </is>
      </c>
      <c r="B155" s="2" t="inlineStr">
        <is>
          <t>ผู้ป่วยใช้ยาคุมกำเนิดชนิดรับประทาน (E+P) แล้วมีปัญหาเรื่องน้ำหนักตัวเพิ่มขึ้น และมีสิว จะแก้ปัญหาดังกล่าวโดยเปลี่ยนมาใช้ progestin ตัวใด</t>
        </is>
      </c>
      <c r="C155" s="2" t="n"/>
      <c r="D155" s="2" t="inlineStr">
        <is>
          <t>Oxybutynin 5 mg BID</t>
        </is>
      </c>
      <c r="E155" s="2" t="inlineStr">
        <is>
          <t>Tolterodine 2 mg BID</t>
        </is>
      </c>
      <c r="F155" s="2" t="inlineStr">
        <is>
          <t>Dydrogesterone 10 mg BID</t>
        </is>
      </c>
      <c r="G155" s="2" t="inlineStr">
        <is>
          <t>Ethinylestradiol 30 mcg + Levonorgestrel 150 mcg</t>
        </is>
      </c>
      <c r="H155" s="2" t="inlineStr">
        <is>
          <t>Ethinylestradiol 30 mcg + Drospirenone 3 mg</t>
        </is>
      </c>
      <c r="I155" s="8" t="inlineStr">
        <is>
          <t>1</t>
        </is>
      </c>
      <c r="J155" s="2" t="inlineStr">
        <is>
          <t>✅ คำตอบที่ถูกต้อง: ข้อ ก. Oxybutynin 5 mg BID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ข้อนี้ไม่ใช่คำตอบที่ถูกต้องสำหรับภาวะ Oral contraceptive เนื่องจากกลไกการออกฤทธิ์, efficacy หรือข้อบ่งใช้ไม่ตรงกับโจทย์ที่กำหนด
• ข้อ ค. (Dydrogesterone 10 mg BID): ข้อนี้ไม่ใช่คำตอบที่ถูกต้องสำหรับภาวะ Oral contraceptive เนื่องจากกลไกการออกฤทธิ์, efficacy หรือข้อบ่งใช้ไม่ตรงกับโจทย์ที่กำหนด
• ข้อ ง. (Ethinylestradiol 30 mcg + Levonorgestrel 150 mcg): ข้อนี้ไม่ใช่คำตอบที่ถูกต้องสำหรับภาวะ Oral contraceptive เนื่องจากกลไกการออกฤทธิ์, efficacy หรือข้อบ่งใช้ไม่ตรงกับโจทย์ที่กำหนด
• ข้อ จ.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2" t="n"/>
      <c r="L155" s="2" t="inlineStr">
        <is>
          <t>Oral contraceptive</t>
        </is>
      </c>
      <c r="M155" s="2" t="inlineStr">
        <is>
          <t>Clinic</t>
        </is>
      </c>
      <c r="N155" s="2" t="inlineStr">
        <is>
          <t>ข้อ 8 (PLE_CC1_Key_Rx20_UBU.md)</t>
        </is>
      </c>
      <c r="O155" s="2" t="inlineStr">
        <is>
          <t>Mock</t>
        </is>
      </c>
      <c r="P155" s="2" t="inlineStr">
        <is>
          <t>Mock Rx20 UBU</t>
        </is>
      </c>
    </row>
    <row r="156" ht="13.2" customHeight="1" s="37">
      <c r="A156" s="8" t="inlineStr">
        <is>
          <t>154</t>
        </is>
      </c>
      <c r="B156" s="2" t="inlineStr">
        <is>
          <t>ข้อใดไม่ใช้ข้อห้ามในการใช้ยาคุมกำเนิด</t>
        </is>
      </c>
      <c r="C156" s="2" t="n"/>
      <c r="D156" s="2" t="inlineStr">
        <is>
          <t>Ethinylestradiol 30 mcg + Levonorgestrel 150 mcg</t>
        </is>
      </c>
      <c r="E156" s="2" t="inlineStr">
        <is>
          <t>Ethinylestradiol 30 mcg + Drospirenone 3 mg</t>
        </is>
      </c>
      <c r="F156" s="2" t="inlineStr">
        <is>
          <t>Ethinylestradiol 35 mcg + Cyproterone acetate 2 mg</t>
        </is>
      </c>
      <c r="G156" s="2" t="inlineStr">
        <is>
          <t>Desogestrel 75 mcg OD (Progestin-only)</t>
        </is>
      </c>
      <c r="H156" s="2" t="inlineStr">
        <is>
          <t>Levonorgestrel 1.5 mg stat (Emergency)</t>
        </is>
      </c>
      <c r="I156" s="8" t="inlineStr">
        <is>
          <t>1</t>
        </is>
      </c>
      <c r="J156" s="2" t="inlineStr">
        <is>
          <t>✅ คำตอบที่ถูกต้อง: ข้อ ก. Ethinylestradiol 30 mcg + Levonorgestrel 150 mcg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ข้อนี้ไม่ใช่คำตอบที่ถูกต้องสำหรับภาวะ Oral contraceptive เนื่องจากกลไกการออกฤทธิ์, efficacy หรือข้อบ่งใช้ไม่ตรงกับโจทย์ที่กำหนด
• ข้อ ค. (Ethinylestradiol 35 mcg + Cyproterone acetate 2 mg): ข้อนี้ไม่ใช่คำตอบที่ถูกต้องสำหรับภาวะ Oral contraceptive เนื่องจากกลไกการออกฤทธิ์, efficacy หรือข้อบ่งใช้ไม่ตรงกับโจทย์ที่กำหนด
• ข้อ ง. (Desogestrel 75 mcg OD (Progestin-only)): ข้อนี้ไม่ใช่คำตอบที่ถูกต้องสำหรับภาวะ Oral contraceptive เนื่องจากกลไกการออกฤทธิ์, efficacy หรือข้อบ่งใช้ไม่ตรงกับโจทย์ที่กำหนด
• ข้อ จ. (Levonorgestrel 1.5 mg stat (Emergency)):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6" s="2" t="n"/>
      <c r="L156" s="2" t="inlineStr">
        <is>
          <t>Oral contraceptive</t>
        </is>
      </c>
      <c r="M156" s="2" t="inlineStr">
        <is>
          <t>Clinic</t>
        </is>
      </c>
      <c r="N156" s="2" t="inlineStr">
        <is>
          <t>ข้อ 9 (PLE_CC1_Key_Rx20_UBU.md)</t>
        </is>
      </c>
      <c r="O156" s="2" t="inlineStr">
        <is>
          <t>Mock</t>
        </is>
      </c>
      <c r="P156" s="2" t="inlineStr">
        <is>
          <t>Mock Rx20 UBU</t>
        </is>
      </c>
    </row>
    <row r="157" ht="13.2" customHeight="1" s="37">
      <c r="A157" s="8" t="inlineStr">
        <is>
          <t>155</t>
        </is>
      </c>
      <c r="B157" s="2" t="inlineStr">
        <is>
          <t>Tamoxifen เป็น non-steroidal antiestrogen</t>
        </is>
      </c>
      <c r="C157" s="2" t="n"/>
      <c r="D157" s="2" t="inlineStr">
        <is>
          <t>Desogestrel 75 mcg OD (Progestin-only)</t>
        </is>
      </c>
      <c r="E157" s="2" t="inlineStr">
        <is>
          <t>Levonorgestrel 1.5 mg stat (Emergency)</t>
        </is>
      </c>
      <c r="F157" s="2" t="inlineStr">
        <is>
          <t>Mefenamic acid 500 mg TID</t>
        </is>
      </c>
      <c r="G157" s="2" t="inlineStr">
        <is>
          <t>Tamsulosin 0.4 mg HS</t>
        </is>
      </c>
      <c r="H157" s="2" t="inlineStr">
        <is>
          <t>Finasteride 5 mg OD</t>
        </is>
      </c>
      <c r="I157" s="8" t="inlineStr">
        <is>
          <t>1</t>
        </is>
      </c>
      <c r="J157" s="2" t="inlineStr">
        <is>
          <t>✅ คำตอบที่ถูกต้อง: ข้อ ก. Desogestrel 75 mcg OD (Progestin-only)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(Levonorgestrel 1.5 mg stat (Emergency)): ข้อนี้ไม่ใช่คำตอบที่ถูกต้องสำหรับภาวะ Hormonal replacement เนื่องจากกลไกการออกฤทธิ์, efficacy หรือข้อบ่งใช้ไม่ตรงกับโจทย์ที่กำหนด
• ข้อ ค. (Mefenamic acid 500 mg TID): ข้อนี้ไม่ใช่คำตอบที่ถูกต้องสำหรับภาวะ Hormonal replacement เนื่องจากกลไกการออกฤทธิ์, efficacy หรือข้อบ่งใช้ไม่ตรงกับโจทย์ที่กำหนด
• ข้อ ง. (Tamsulosin 0.4 mg HS): ข้อนี้ไม่ใช่คำตอบที่ถูกต้องสำหรับภาวะ Hormonal replacement เนื่องจากกลไกการออกฤทธิ์, efficacy หรือข้อบ่งใช้ไม่ตรงกับโจทย์ที่กำหนด
• ข้อ จ. (Finasteride 5 mg OD):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2" t="n"/>
      <c r="L157" s="2" t="inlineStr">
        <is>
          <t>Hormonal replacement</t>
        </is>
      </c>
      <c r="M157" s="2" t="inlineStr">
        <is>
          <t>Clinic</t>
        </is>
      </c>
      <c r="N157" s="2" t="inlineStr">
        <is>
          <t>ข้อ 3 (PLE_CC1_Key_Rx20_UBU.md)</t>
        </is>
      </c>
      <c r="O157" s="2" t="inlineStr">
        <is>
          <t>Mock</t>
        </is>
      </c>
      <c r="P157" s="2" t="inlineStr">
        <is>
          <t>Mock Rx20 UBU</t>
        </is>
      </c>
    </row>
    <row r="158" ht="13.2" customHeight="1" s="37">
      <c r="A158" s="8" t="inlineStr">
        <is>
          <t>156</t>
        </is>
      </c>
      <c r="B158" s="2" t="inlineStr">
        <is>
          <t>ยา Progestins ใดที่นิยมใช้ใน Progesterone only pills (POPs)</t>
        </is>
      </c>
      <c r="C158" s="2" t="n"/>
      <c r="D158" s="2" t="inlineStr">
        <is>
          <t>Desogestrel</t>
        </is>
      </c>
      <c r="E158" s="2" t="inlineStr">
        <is>
          <t>Norgestrel</t>
        </is>
      </c>
      <c r="F158" s="2" t="inlineStr">
        <is>
          <t>Gestodene</t>
        </is>
      </c>
      <c r="G158" s="2" t="inlineStr">
        <is>
          <t>Norgestimate</t>
        </is>
      </c>
      <c r="H158" s="2" t="inlineStr">
        <is>
          <t>Levonorgestrel</t>
        </is>
      </c>
      <c r="I158" s="8" t="inlineStr">
        <is>
          <t>1</t>
        </is>
      </c>
      <c r="J158" s="2" t="inlineStr">
        <is>
          <t>✅ คำตอบที่ถูกต้อง: ข้อ ก. Desogestrel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ข้อนี้ไม่ใช่คำตอบที่ถูกต้องสำหรับภาวะ Hormonal replacement เนื่องจากกลไกการออกฤทธิ์, efficacy หรือข้อบ่งใช้ไม่ตรงกับโจทย์ที่กำหนด
• ข้อ ค. (Gestodene): ข้อนี้ไม่ใช่คำตอบที่ถูกต้องสำหรับภาวะ Hormonal replacement เนื่องจากกลไกการออกฤทธิ์, efficacy หรือข้อบ่งใช้ไม่ตรงกับโจทย์ที่กำหนด
• ข้อ ง. (Norgestimate): ข้อนี้ไม่ใช่คำตอบที่ถูกต้องสำหรับภาวะ Hormonal replacement เนื่องจากกลไกการออกฤทธิ์, efficacy หรือข้อบ่งใช้ไม่ตรงกับโจทย์ที่กำหนด
• ข้อ จ. (Levonorgestrel):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2" t="n"/>
      <c r="L158" s="2" t="inlineStr">
        <is>
          <t>Hormonal replacement</t>
        </is>
      </c>
      <c r="M158" s="2" t="inlineStr">
        <is>
          <t>Clinic</t>
        </is>
      </c>
      <c r="N158" s="2" t="inlineStr">
        <is>
          <t>ข้อ 84 (PLE_CC1_Key_Rx20_UBU.md)</t>
        </is>
      </c>
      <c r="O158" s="2" t="inlineStr">
        <is>
          <t>Mock</t>
        </is>
      </c>
      <c r="P158" s="2" t="inlineStr">
        <is>
          <t>Mock Rx20 UBU</t>
        </is>
      </c>
    </row>
    <row r="159" ht="13.2" customHeight="1" s="37">
      <c r="A159" s="8" t="inlineStr">
        <is>
          <t>157</t>
        </is>
      </c>
      <c r="B159" s="2" t="inlineStr">
        <is>
          <t>ยาคุมกำเนิดในข้อใด เหมาะสมที่สุด (โจทย์มีแค่นี้)</t>
        </is>
      </c>
      <c r="C159" s="2" t="n"/>
      <c r="D159" s="2" t="inlineStr">
        <is>
          <t>Levonorgestrel</t>
        </is>
      </c>
      <c r="E159" s="2" t="inlineStr">
        <is>
          <t>Lynestrenol</t>
        </is>
      </c>
      <c r="F159" s="2" t="inlineStr">
        <is>
          <t>Ethinyl estradiol + Desogestrel</t>
        </is>
      </c>
      <c r="G159" s="2" t="inlineStr">
        <is>
          <t>Ethinyl estradiol + Levonorgestrel</t>
        </is>
      </c>
      <c r="H159" s="2" t="inlineStr">
        <is>
          <t>Ethinyl estradiol + Gestodene ในการใช้เป็นยาคุมฉุกเฉิน</t>
        </is>
      </c>
      <c r="I159" s="8" t="inlineStr">
        <is>
          <t>5</t>
        </is>
      </c>
      <c r="J159" s="2" t="inlineStr">
        <is>
          <t>✅ คำตอบที่ถูกต้อง: ข้อ จ. Ethinyl estradiol + Gestodene ในการใช้เป็นยาคุมฉุกเฉิน
💡 Background:
การบริบาลผู้ป่วยในกลุ่มโรค Oral contraceptive มุ่งเน้นการควบคุมโรคและลดความเสี่ยงต่อภาวะแทรกซ้อนด้วย evidence-based pharmacotherapy
🎯 ทำไมข้อนี้ถึงถูก:
Ethinyl estradiol + Gestodene ในการใช้เป็นยาคุมฉุกเฉิน การเลือก Ethinyl estradiol + Gestodene ในการใช้เป็นยาคุมฉุกเฉิน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ข้อนี้ไม่ใช่คำตอบที่ถูกต้องสำหรับภาวะ Oral contraceptive เนื่องจากกลไกการออกฤทธิ์, efficacy หรือข้อบ่งใช้ไม่ตรงกับโจทย์ที่กำหนด
• ข้อ ข. (Lynestrenol): ข้อนี้ไม่ใช่คำตอบที่ถูกต้องสำหรับภาวะ Oral contraceptive เนื่องจากกลไกการออกฤทธิ์, efficacy หรือข้อบ่งใช้ไม่ตรงกับโจทย์ที่กำหนด
• ข้อ ค. (Ethinyl estradiol + Desogestrel): ข้อนี้ไม่ใช่คำตอบที่ถูกต้องสำหรับภาวะ Oral contraceptive เนื่องจากกลไกการออกฤทธิ์, efficacy หรือข้อบ่งใช้ไม่ตรงกับโจทย์ที่กำหนด
• ข้อ ง. (Ethinyl estradiol + Levonorgestrel): ข้อนี้ไม่ใช่คำตอบที่ถูกต้องสำหรับภาวะ Oral contraceptive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9" s="2" t="n"/>
      <c r="L159" s="2" t="inlineStr">
        <is>
          <t>Oral contraceptive</t>
        </is>
      </c>
      <c r="M159" s="2" t="inlineStr">
        <is>
          <t>Clinic</t>
        </is>
      </c>
      <c r="N159" s="2" t="inlineStr">
        <is>
          <t>ข้อ 85 (PLE_CC1_Key_Rx20_UBU.md)</t>
        </is>
      </c>
      <c r="O159" s="2" t="inlineStr">
        <is>
          <t>Mock</t>
        </is>
      </c>
      <c r="P159" s="2" t="inlineStr">
        <is>
          <t>Mock Rx20 UBU</t>
        </is>
      </c>
    </row>
    <row r="160" ht="13.2" customHeight="1" s="37">
      <c r="A160" s="8" t="inlineStr">
        <is>
          <t>158</t>
        </is>
      </c>
      <c r="B160" s="2" t="inlineStr">
        <is>
          <t>โครงสร้างในข้อใดมีฤทธิ์ Estrogenic activity</t>
        </is>
      </c>
      <c r="C160" s="2" t="n"/>
      <c r="D160" s="2" t="inlineStr">
        <is>
          <t>Ethinylestradiol 30 mcg + Drospirenone 3 mg</t>
        </is>
      </c>
      <c r="E160" s="2" t="inlineStr">
        <is>
          <t>Ethinylestradiol 35 mcg + Cyproterone acetate 2 mg</t>
        </is>
      </c>
      <c r="F160" s="2" t="inlineStr">
        <is>
          <t>Desogestrel 75 mcg OD (Progestin-only)</t>
        </is>
      </c>
      <c r="G160" s="2" t="inlineStr">
        <is>
          <t>Levonorgestrel 1.5 mg stat (Emergency)</t>
        </is>
      </c>
      <c r="H160" s="2" t="inlineStr">
        <is>
          <t>Mefenamic acid 500 mg TID</t>
        </is>
      </c>
      <c r="I160" s="8" t="inlineStr">
        <is>
          <t>3</t>
        </is>
      </c>
      <c r="J160" s="2" t="inlineStr">
        <is>
          <t>✅ คำตอบที่ถูกต้อง: ข้อ ค. Desogestrel 75 mcg OD (Progestin-only)
💡 Background:
การบริบาลผู้ป่วยในกลุ่มโรค Hormonal replacement มุ่งเน้นการควบคุมโรคและลดความเสี่ยงต่อภาวะแทรกซ้อนด้วย evidence-based pharmacotherapy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Drospirenone 3 mg): ข้อนี้ไม่ใช่คำตอบที่ถูกต้องสำหรับภาวะ Hormonal replacement เนื่องจากกลไกการออกฤทธิ์, efficacy หรือข้อบ่งใช้ไม่ตรงกับโจทย์ที่กำหนด
• ข้อ ข. (Ethinylestradiol 35 mcg + Cyproterone acetate 2 mg): ข้อนี้ไม่ใช่คำตอบที่ถูกต้องสำหรับภาวะ Hormonal replacement เนื่องจากกลไกการออกฤทธิ์, efficacy หรือข้อบ่งใช้ไม่ตรงกับโจทย์ที่กำหนด
• ข้อ ง. (Levonorgestrel 1.5 mg stat (Emergency)): ข้อนี้ไม่ใช่คำตอบที่ถูกต้องสำหรับภาวะ Hormonal replacement เนื่องจากกลไกการออกฤทธิ์, efficacy หรือข้อบ่งใช้ไม่ตรงกับโจทย์ที่กำหนด
• ข้อ จ. (Mefenamic acid 500 mg TID): ข้อนี้ไม่ใช่คำตอบที่ถูกต้องสำหรับภาวะ Hormonal replacement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2" t="n"/>
      <c r="L160" s="2" t="inlineStr">
        <is>
          <t>Hormonal replacement</t>
        </is>
      </c>
      <c r="M160" s="2" t="inlineStr">
        <is>
          <t>Clinic</t>
        </is>
      </c>
      <c r="N160" s="2" t="inlineStr">
        <is>
          <t>ข้อ 88 (PLE_CC1_Key_Rx20_UBU.md)</t>
        </is>
      </c>
      <c r="O160" s="2" t="inlineStr">
        <is>
          <t>Mock</t>
        </is>
      </c>
      <c r="P160" s="2" t="inlineStr">
        <is>
          <t>Mock Rx20 UBU</t>
        </is>
      </c>
    </row>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P52"/>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อาการที่เกิดขึ้นน่าจะเกิดจากเชื้อใดมากที่สุด</t>
        </is>
      </c>
      <c r="C3" s="2" t="n"/>
      <c r="D3" s="2" t="inlineStr">
        <is>
          <t>Staphylococcus aureus</t>
        </is>
      </c>
      <c r="E3" s="2" t="inlineStr">
        <is>
          <t>Staphylococcus epidermidis</t>
        </is>
      </c>
      <c r="F3" s="2" t="inlineStr">
        <is>
          <t>Streptococcus pneumoniae</t>
        </is>
      </c>
      <c r="G3" s="2" t="inlineStr">
        <is>
          <t>Neisseria gonorrhoeae</t>
        </is>
      </c>
      <c r="H3" s="2" t="inlineStr">
        <is>
          <t>Chlamydia trachomatis</t>
        </is>
      </c>
      <c r="I3" s="8" t="inlineStr">
        <is>
          <t>1</t>
        </is>
      </c>
      <c r="J3" s="2" t="inlineStr">
        <is>
          <t>✅ คำตอบที่ถูกต้อง: ข้อ ก. Staphylococcus aureus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Staphylococcus aureus อาการตาแดงร่วมกับมีขี้ตามากและมีเปลือกตาบวม ขี้ตาสีเหลืองบ่งบอกถึงการติดเชื้อแบคทีเรีย ซึ่ง Staphylococcus aureus เป็นเชื้อพบบ่อยที่สุดในกลุ่ม acute bacterial conjunctivitis
🔍 ข้ออื่นผิดเพราะอะไร:
• ข้อ ข. (Staphylococcus epidermidis): ข้อนี้ไม่ใช่คำตอบที่ถูกต้องสำหรับภาวะ Conjunctivitis เนื่องจากกลไกการออกฤทธิ์, efficacy หรือข้อบ่งใช้ไม่ตรงกับโจทย์ที่กำหนด
• ข้อ ค. (Streptococcus pneumoniae): ข้อนี้ไม่ใช่คำตอบที่ถูกต้องสำหรับภาวะ Conjunctivitis เนื่องจากกลไกการออกฤทธิ์, efficacy หรือข้อบ่งใช้ไม่ตรงกับโจทย์ที่กำหนด
• ข้อ ง. (Neisseria gonorrhoeae): ข้อนี้ไม่ใช่คำตอบที่ถูกต้องสำหรับภาวะ Conjunctivitis เนื่องจากกลไกการออกฤทธิ์, efficacy หรือข้อบ่งใช้ไม่ตรงกับโจทย์ที่กำหนด
• ข้อ จ. (Chlamydia trachomatis):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 s="2" t="n"/>
      <c r="L3" s="2" t="inlineStr">
        <is>
          <t>Conjunctivitis</t>
        </is>
      </c>
      <c r="M3" s="2" t="inlineStr">
        <is>
          <t>Clinic</t>
        </is>
      </c>
      <c r="N3" s="2" t="inlineStr">
        <is>
          <t>ข้อ 1 Pharma Plus เล่มม่วง (เฉลยข้อ ก)</t>
        </is>
      </c>
      <c r="O3" s="2" t="inlineStr">
        <is>
          <t>Mock</t>
        </is>
      </c>
      <c r="P3" s="2" t="inlineStr">
        <is>
          <t>Pharma Plus เล่มม่วง</t>
        </is>
      </c>
    </row>
    <row r="4" ht="13.2" customHeight="1" s="37">
      <c r="A4" s="8" t="inlineStr">
        <is>
          <t>2</t>
        </is>
      </c>
      <c r="B4"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จากข้อมูลข้างต้นท่านคิดว่าแพทย์ควรจ่ายยาตัวใดให้แก่ผู้ป่วยรายนี้</t>
        </is>
      </c>
      <c r="C4" s="2" t="n"/>
      <c r="D4" s="2" t="inlineStr">
        <is>
          <t>Dexamethasone eye drop</t>
        </is>
      </c>
      <c r="E4" s="2" t="inlineStr">
        <is>
          <t>Oxymetazoline eye drop</t>
        </is>
      </c>
      <c r="F4" s="2" t="inlineStr">
        <is>
          <t>Idoxuridine eye drop</t>
        </is>
      </c>
      <c r="G4" s="2" t="inlineStr">
        <is>
          <t>Artificial tear</t>
        </is>
      </c>
      <c r="H4" s="2" t="inlineStr">
        <is>
          <t>Chloramphenicol eye drop</t>
        </is>
      </c>
      <c r="I4" s="8" t="inlineStr">
        <is>
          <t>5</t>
        </is>
      </c>
      <c r="J4" s="2" t="inlineStr">
        <is>
          <t>✅ คำตอบที่ถูกต้อง: ข้อ จ. Chloramphenicol eye drop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Chloramphenicol eye drop การรักษาภาวะเยื่อบุตาอักเสบจากแบคทีเรียต้องใช้ยาหยอดตาปฏิชีวนะ (Topical antibiotic eye drop) เช่น Chloramphenicol เพื่อกำจัดเชื้อก่อโรค
🔍 ข้ออื่นผิดเพราะอะไร:
• ข้อ ก. (Dexamethasone eye drop): เป็น long-acting potent glucocorticoid ไม่มี mineralocorticoid effect จึงไม่ทำให้น้ำคั่ง เหมาะสำหรับ brain edema, antiemetic, และ COVID-19 with hypoxemia
• ข้อ ข. (Oxymetazoline eye drop): เป็น topical alpha-1 agonist ยาพ่นจมูกลดบวม ห้ามใช้ติดต่อกันเกิน 3-5 วัน เนื่องจากเสี่ยงต่อการเกิด rebound congestion (Rhinitis medicamentosa)
• ข้อ ค. (Idoxuridine eye drop): ข้อนี้ไม่ใช่คำตอบที่ถูกต้องสำหรับภาวะ Conjunctivitis เนื่องจากกลไกการออกฤทธิ์, efficacy หรือข้อบ่งใช้ไม่ตรงกับโจทย์ที่กำหนด
• ข้อ ง. (Artificial tear):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 s="2" t="n"/>
      <c r="L4" s="2" t="inlineStr">
        <is>
          <t>Conjunctivitis</t>
        </is>
      </c>
      <c r="M4" s="2" t="inlineStr">
        <is>
          <t>Clinic</t>
        </is>
      </c>
      <c r="N4" s="2" t="inlineStr">
        <is>
          <t>ข้อ 2 Pharma Plus เล่มม่วง (เฉลยข้อ จ)</t>
        </is>
      </c>
      <c r="O4" s="2" t="inlineStr">
        <is>
          <t>Mock</t>
        </is>
      </c>
      <c r="P4" s="2" t="inlineStr">
        <is>
          <t>Pharma Plus เล่มม่วง</t>
        </is>
      </c>
    </row>
    <row r="5" ht="13.2" customHeight="1" s="37">
      <c r="A5" s="8" t="inlineStr">
        <is>
          <t>3</t>
        </is>
      </c>
      <c r="B5" s="2" t="inlineStr">
        <is>
          <t>กลไกการออกฤทธิ์ของยาในข้อข้างต้น คือ</t>
        </is>
      </c>
      <c r="C5" s="2" t="n"/>
      <c r="D5" s="2" t="inlineStr">
        <is>
          <t>ยับยั้งการสังเคราะห์ DNA ของเชื้อ</t>
        </is>
      </c>
      <c r="E5" s="2" t="inlineStr">
        <is>
          <t>ยับยั้งการสร้างโปรตีนของเชื้อ</t>
        </is>
      </c>
      <c r="F5" s="2" t="inlineStr">
        <is>
          <t>ยับยั้งการสังเคราะห์ RNA ของเชื้อ</t>
        </is>
      </c>
      <c r="G5" s="2" t="inlineStr">
        <is>
          <t>ยับยั้งการเคลื่อนที่ของ leukocytes</t>
        </is>
      </c>
      <c r="H5" s="2" t="inlineStr">
        <is>
          <t>ยับยั้งการสร้าง cell wall</t>
        </is>
      </c>
      <c r="I5" s="8" t="inlineStr">
        <is>
          <t>2</t>
        </is>
      </c>
      <c r="J5" s="2" t="inlineStr">
        <is>
          <t>✅ คำตอบที่ถูกต้อง: ข้อ ข. ยับยั้งการสร้างโปรตีนของเชื้อ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ยับยั้งการสร้างโปรตีนของเชื้อ Chloramphenicol ออกฤทธิ์โดยการจับกับหน่วยย่อย 50S ของไรโบโซมของแบคทีเรีย ส่งผลให้ยับยั้งการสร้างโปรตีนของเชื้อ (Inhibition of protein synthesis)
🔍 ข้ออื่นผิดเพราะอะไร:
• ข้อ ก. (ยับยั้งการสังเคราะห์ DNA ของเชื้อ): ข้อนี้ไม่ใช่คำตอบที่ถูกต้องสำหรับภาวะ Glaucoma, Cataract เนื่องจากกลไกการออกฤทธิ์, efficacy หรือข้อบ่งใช้ไม่ตรงกับโจทย์ที่กำหนด
• ข้อ ค. (ยับยั้งการสังเคราะห์ RNA ของเชื้อ): ข้อนี้ไม่ใช่คำตอบที่ถูกต้องสำหรับภาวะ Glaucoma, Cataract เนื่องจากกลไกการออกฤทธิ์, efficacy หรือข้อบ่งใช้ไม่ตรงกับโจทย์ที่กำหนด
• ข้อ ง. (ยับยั้งการเคลื่อนที่ของ leukocytes): ข้อนี้ไม่ใช่คำตอบที่ถูกต้องสำหรับภาวะ Glaucoma, Cataract เนื่องจากกลไกการออกฤทธิ์, efficacy หรือข้อบ่งใช้ไม่ตรงกับโจทย์ที่กำหนด
• ข้อ จ. (ยับยั้งการสร้าง cell wall):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 s="2" t="n"/>
      <c r="L5" s="2" t="inlineStr">
        <is>
          <t>Glaucoma, Cataract</t>
        </is>
      </c>
      <c r="M5" s="2" t="inlineStr">
        <is>
          <t>Clinic</t>
        </is>
      </c>
      <c r="N5" s="2" t="inlineStr">
        <is>
          <t>ข้อ 3 Pharma Plus เล่มม่วง (เฉลยข้อ ข)</t>
        </is>
      </c>
      <c r="O5" s="2" t="inlineStr">
        <is>
          <t>Mock</t>
        </is>
      </c>
      <c r="P5" s="2" t="inlineStr">
        <is>
          <t>Pharma Plus เล่มม่วง</t>
        </is>
      </c>
    </row>
    <row r="6" ht="13.2" customHeight="1" s="37">
      <c r="A6" s="8" t="inlineStr">
        <is>
          <t>4</t>
        </is>
      </c>
      <c r="B6" s="2" t="inlineStr">
        <is>
          <t>ข้อใดถูกต้องเกี่ยวกับการเก็บยาในข้อข้างต้นหลังจากเปิดใช้แล้ว</t>
        </is>
      </c>
      <c r="C6" s="2" t="n"/>
      <c r="D6" s="2" t="inlineStr">
        <is>
          <t>อุณหภูมิ 25 c เก็บได้ 8 week</t>
        </is>
      </c>
      <c r="E6" s="2" t="inlineStr">
        <is>
          <t>อุณหภูมิ 25 c เก็บได้ 4 week</t>
        </is>
      </c>
      <c r="F6" s="2" t="inlineStr">
        <is>
          <t>อุณหภูมิ 2-8 c เก็บได้ 8 week</t>
        </is>
      </c>
      <c r="G6" s="2" t="inlineStr">
        <is>
          <t>อุณหภูมิ 2-8 c เก็บได้ 4 week</t>
        </is>
      </c>
      <c r="H6" s="2" t="inlineStr">
        <is>
          <t>อุณหภูมิ 8-15 c เก็บได้ 4 week</t>
        </is>
      </c>
      <c r="I6" s="8" t="inlineStr">
        <is>
          <t>4</t>
        </is>
      </c>
      <c r="J6" s="2" t="inlineStr">
        <is>
          <t>✅ คำตอบที่ถูกต้อง: ข้อ ง. อุณหภูมิ 2-8 c เก็บได้ 4 week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อุณหภูมิ 2-8 c เก็บได้ 4 week ยาหยอดตาตระกูล chloramphenicol หรือยาหยอดตาทั่วไปหลังเปิดใช้มักมีอายุการใช้งานสั้นลง โดยทั่วไปแนะนำเก็บที่อุณหภูมิ 2-8 °C หรือตามฉลากผลิตภัณฑ์ (มักกำหนดไว้ที่ 4 สัปดาห์หลังเปิดใช้)
🔍 ข้ออื่นผิดเพราะอะไร:
• ข้อ ก. (อุณหภูมิ 25 c เก็บได้ 8 week): ข้อนี้ไม่ใช่คำตอบที่ถูกต้องสำหรับภาวะ Glaucoma, Cataract เนื่องจากกลไกการออกฤทธิ์, efficacy หรือข้อบ่งใช้ไม่ตรงกับโจทย์ที่กำหนด
• ข้อ ข. (อุณหภูมิ 25 c เก็บได้ 4 week): ข้อนี้ไม่ใช่คำตอบที่ถูกต้องสำหรับภาวะ Glaucoma, Cataract เนื่องจากกลไกการออกฤทธิ์, efficacy หรือข้อบ่งใช้ไม่ตรงกับโจทย์ที่กำหนด
• ข้อ ค. (อุณหภูมิ 2-8 c เก็บได้ 8 week): ข้อนี้ไม่ใช่คำตอบที่ถูกต้องสำหรับภาวะ Glaucoma, Cataract เนื่องจากกลไกการออกฤทธิ์, efficacy หรือข้อบ่งใช้ไม่ตรงกับโจทย์ที่กำหนด
• ข้อ จ. (อุณหภูมิ 8-15 c เก็บได้ 4 week):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n"/>
      <c r="L6" s="2" t="inlineStr">
        <is>
          <t>Glaucoma, Cataract</t>
        </is>
      </c>
      <c r="M6" s="2" t="inlineStr">
        <is>
          <t>Clinic</t>
        </is>
      </c>
      <c r="N6" s="2" t="inlineStr">
        <is>
          <t>ข้อ 4 Pharma Plus เล่มม่วง (เฉลยข้อ ง)</t>
        </is>
      </c>
      <c r="O6" s="2" t="inlineStr">
        <is>
          <t>Mock</t>
        </is>
      </c>
      <c r="P6" s="2" t="inlineStr">
        <is>
          <t>Pharma Plus เล่มม่วง</t>
        </is>
      </c>
    </row>
    <row r="7" ht="13.2" customHeight="1" s="37">
      <c r="A7" s="8" t="inlineStr">
        <is>
          <t>5</t>
        </is>
      </c>
      <c r="B7" s="2" t="inlineStr">
        <is>
          <t>ผู้ป่วยชายมาร้านยาด้วยอาการตาแดง มาซื้อยาหยอดตาที่ร้าน เภสัชกรซักประวัติเพิ่มเติม พบว่า มีขี้ตาสีเขียวเหลืองและหนังตาบวม ไม่มีอาการปวดและการมองภาพเป็นปกติ เป็นมา 3-4 วัน ไปซื้อยา dexamethasone eye drop มาใช้เอง แต่หยอดแล้วอาการเป็นมากขึ้นจึงมาพบเภสัชกร
การเลือกใช้ dexamethasone ในผู้ป่วยรายนี้ไม่เหมาะสม เพราะอะไร</t>
        </is>
      </c>
      <c r="C7" s="2" t="n"/>
      <c r="D7" s="2" t="inlineStr">
        <is>
          <t>Dexamethasone มีฤทธิ์กดภูมิคุ้มกัน จึงไม่ควรใช้ในการติดเชื้อ</t>
        </is>
      </c>
      <c r="E7" s="2" t="inlineStr">
        <is>
          <t>Dexamethasone เป็นยาควบคุมพิเศษต้องมีใบสั่งแพทย์</t>
        </is>
      </c>
      <c r="F7" s="2" t="inlineStr">
        <is>
          <t>Dexamethasone สามารถเพิ่มความดันในลูกตา (intraocular pressure) ได้</t>
        </is>
      </c>
      <c r="G7" s="2" t="inlineStr">
        <is>
          <t>Dexamethasone ทำให้หนังตาบวมมากขึ้นจากฤทธิ์ mineralocorticoid</t>
        </is>
      </c>
      <c r="H7" s="2" t="inlineStr">
        <is>
          <t>Dexamethasone ทำให้หลอดเลือดบนจอรับภาพมากขึ้น (revascularization)</t>
        </is>
      </c>
      <c r="I7" s="8" t="inlineStr">
        <is>
          <t>1</t>
        </is>
      </c>
      <c r="J7" s="2" t="inlineStr">
        <is>
          <t>✅ คำตอบที่ถูกต้อง: ข้อ ก. Dexamethasone มีฤทธิ์กดภูมิคุ้มกัน จึงไม่ควรใช้ในการติดเชื้อ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Dexamethasone มีฤทธิ์กดภูมิคุ้มกัน จึงไม่ควรใช้ในการติดเชื้อ การใช้ยาสเตียรอยด์เฉพาะที่ (เช่น Dexamethasone) ในผู้ป่วยที่มีการติดเชื้อแบคทีเรียจะทำให้ภูมิคุ้มกันบริเวณนั้นลดลง ส่งผลให้เชื้อโรคแพร่กระจายลุกลามและทำลายกระจกตามากขึ้น (เช่น เกิด corneal ulcer)
🔍 ข้ออื่นผิดเพราะอะไร:
• ข้อ ข. (Dexamethasone เป็นยาควบคุมพิเศษต้องมีใบสั่งแพทย์): เป็น long-acting potent glucocorticoid ไม่มี mineralocorticoid effect จึงไม่ทำให้น้ำคั่ง เหมาะสำหรับ brain edema, antiemetic, และ COVID-19 with hypoxemia
• ข้อ ค. (Dexamethasone สามารถเพิ่มความดันในลูกตา (intraocular pressure) ได้): เป็น long-acting potent glucocorticoid ไม่มี mineralocorticoid effect จึงไม่ทำให้น้ำคั่ง เหมาะสำหรับ brain edema, antiemetic, และ COVID-19 with hypoxemia
• ข้อ ง. (Dexamethasone ทำให้หนังตาบวมมากขึ้นจากฤทธิ์ mineralocorticoid): เป็น long-acting potent glucocorticoid ไม่มี mineralocorticoid effect จึงไม่ทำให้น้ำคั่ง เหมาะสำหรับ brain edema, antiemetic, และ COVID-19 with hypoxemia
• ข้อ จ. (Dexamethasone ทำให้หลอดเลือดบนจอรับภาพมากขึ้น (revascularization)): เป็น long-acting potent glucocorticoid ไม่มี mineralocorticoid effect จึงไม่ทำให้น้ำคั่ง เหมาะสำหรับ brain edema, antiemetic, และ COVID-19 with hypoxemia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 s="2" t="n"/>
      <c r="L7" s="2" t="inlineStr">
        <is>
          <t>Conjunctivitis</t>
        </is>
      </c>
      <c r="M7" s="2" t="inlineStr">
        <is>
          <t>Clinic</t>
        </is>
      </c>
      <c r="N7" s="2" t="inlineStr">
        <is>
          <t>ข้อ 5 Pharma Plus เล่มม่วง (เฉลยข้อ ก)</t>
        </is>
      </c>
      <c r="O7" s="2" t="inlineStr">
        <is>
          <t>Mock</t>
        </is>
      </c>
      <c r="P7" s="2" t="inlineStr">
        <is>
          <t>Pharma Plus เล่มม่วง</t>
        </is>
      </c>
    </row>
    <row r="8" ht="13.2" customHeight="1" s="37">
      <c r="A8" s="8" t="inlineStr">
        <is>
          <t>6</t>
        </is>
      </c>
      <c r="B8" s="2" t="inlineStr">
        <is>
          <t>จากอาการข้างต้น ท่านจะเลือกยาตัวใด</t>
        </is>
      </c>
      <c r="C8" s="2" t="n"/>
      <c r="D8" s="2" t="inlineStr">
        <is>
          <t>Prednisolone eye drop</t>
        </is>
      </c>
      <c r="E8" s="2" t="inlineStr">
        <is>
          <t>Chloramphenicol eye drop</t>
        </is>
      </c>
      <c r="F8" s="2" t="inlineStr">
        <is>
          <t>Antazoline eye drop</t>
        </is>
      </c>
      <c r="G8" s="2" t="inlineStr">
        <is>
          <t>Boric acid eye drop</t>
        </is>
      </c>
      <c r="H8" s="2" t="inlineStr">
        <is>
          <t>Hydroxypropyl methylcellulose eye drop</t>
        </is>
      </c>
      <c r="I8" s="8" t="inlineStr">
        <is>
          <t>2</t>
        </is>
      </c>
      <c r="J8" s="2" t="inlineStr">
        <is>
          <t>✅ คำตอบที่ถูกต้อง: ข้อ ข. Chloramphenicol eye drop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Chloramphenicol eye drop สำหรับการรักษาอาการติดเชื้อแบคทีเรียที่ดวงตา (เช่น ตาแดงจากแบคทีเรีย) ควรเลือกใช้ยาหยอดตาปฏิชีวนะ เช่น Chloramphenicol eye drop ตามแนวทางการรักษาโรคตาเบื้องต้น
🔍 ข้ออื่นผิดเพราะอะไร:
• ข้อ ก. (Prednisolone eye drop): เป็น intermediate-acting systemic corticosteroid ขนาดยอดนิยมสำหรับ immunosuppressive &amp; anti-inflammatory therapy ต้องระวัง Cushingoid, infection, osteoporosis, peptic ulcer
• ข้อ ค. (Antazoline eye drop): ข้อนี้ไม่ใช่คำตอบที่ถูกต้องสำหรับภาวะ Glaucoma, Cataract เนื่องจากกลไกการออกฤทธิ์, efficacy หรือข้อบ่งใช้ไม่ตรงกับโจทย์ที่กำหนด
• ข้อ ง. (Boric acid eye drop): ข้อนี้ไม่ใช่คำตอบที่ถูกต้องสำหรับภาวะ Glaucoma, Cataract เนื่องจากกลไกการออกฤทธิ์, efficacy หรือข้อบ่งใช้ไม่ตรงกับโจทย์ที่กำหนด
• ข้อ จ. (Hydroxypropyl methylcellulose eye drop):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2" t="n"/>
      <c r="L8" s="2" t="inlineStr">
        <is>
          <t>Glaucoma, Cataract</t>
        </is>
      </c>
      <c r="M8" s="2" t="inlineStr">
        <is>
          <t>Clinic</t>
        </is>
      </c>
      <c r="N8" s="2" t="inlineStr">
        <is>
          <t>ข้อ 6 Pharma Plus เล่มม่วง (เฉลยข้อ ข)</t>
        </is>
      </c>
      <c r="O8" s="2" t="inlineStr">
        <is>
          <t>Mock</t>
        </is>
      </c>
      <c r="P8" s="2" t="inlineStr">
        <is>
          <t>Pharma Plus เล่มม่วง</t>
        </is>
      </c>
    </row>
    <row r="9" ht="13.2" customHeight="1" s="37">
      <c r="A9" s="8" t="inlineStr">
        <is>
          <t>7</t>
        </is>
      </c>
      <c r="B9" s="2" t="inlineStr">
        <is>
          <t>กรณีจ่ายยาหยอดตาให้กับผู้ป่วยต้องแนะนำเรื่องต่อไปนี้ ยกเว้น</t>
        </is>
      </c>
      <c r="C9" s="2" t="n"/>
      <c r="D9" s="2" t="inlineStr">
        <is>
          <t>ควรล้างมือให้สะอาดก่อนใช้ยา</t>
        </is>
      </c>
      <c r="E9" s="2" t="inlineStr">
        <is>
          <t>ปรับอุณหภูมิให้เท่าอุณหภูมิร่างกาย</t>
        </is>
      </c>
      <c r="F9" s="2" t="inlineStr">
        <is>
          <t>เก็บยาในถาดใต้ช่องแช่แข็งของตู้เย็น</t>
        </is>
      </c>
      <c r="G9" s="2" t="inlineStr">
        <is>
          <t>หลังจากเปิดใช้ยาแล้ว ใช้ได้ไม่เกิน 1 เดือน</t>
        </is>
      </c>
      <c r="H9" s="2" t="inlineStr">
        <is>
          <t>กรณีที่ใช้ยาป้ายร่วมด้วย ให้ใช้ยาหยอดก่อนป้ายตา</t>
        </is>
      </c>
      <c r="I9" s="8" t="inlineStr">
        <is>
          <t>3</t>
        </is>
      </c>
      <c r="J9" s="2" t="inlineStr">
        <is>
          <t>✅ คำตอบที่ถูกต้อง: ข้อ ค. เก็บยาในถาดใต้ช่องแช่แข็งของตู้เย็น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เก็บยาในถาดใต้ช่องแช่แข็งของตู้เย็น ยาหยอดตาส่วนใหญ่เก็บที่อุณหภูมิห้องหรือในตู้เย็นช่องปกติ (ไม่ใช่ช่องแช่แข็งหรือใต้ช่องแช่แข็งโดยตรงที่อาจทำให้ยาเยือกแข็ง) การเก็บรักษาควรหลีกเลี่ยงความเย็นจัดจนเกินไป
🔍 ข้ออื่นผิดเพราะอะไร:
• ข้อ ก. (ควรล้างมือให้สะอาดก่อนใช้ยา): ข้อนี้ไม่ใช่คำตอบที่ถูกต้องสำหรับภาวะ Glaucoma, Cataract เนื่องจากกลไกการออกฤทธิ์, efficacy หรือข้อบ่งใช้ไม่ตรงกับโจทย์ที่กำหนด
• ข้อ ข. (ปรับอุณหภูมิให้เท่าอุณหภูมิร่างกาย): ข้อนี้ไม่ใช่คำตอบที่ถูกต้องสำหรับภาวะ Glaucoma, Cataract เนื่องจากกลไกการออกฤทธิ์, efficacy หรือข้อบ่งใช้ไม่ตรงกับโจทย์ที่กำหนด
• ข้อ ง. (หลังจากเปิดใช้ยาแล้ว ใช้ได้ไม่เกิน 1 เดือน): ข้อนี้ไม่ใช่คำตอบที่ถูกต้องสำหรับภาวะ Glaucoma, Cataract เนื่องจากกลไกการออกฤทธิ์, efficacy หรือข้อบ่งใช้ไม่ตรงกับโจทย์ที่กำหนด
• ข้อ จ. (กรณีที่ใช้ยาป้ายร่วมด้วย ให้ใช้ยาหยอดก่อนป้ายตา):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n"/>
      <c r="L9" s="2" t="inlineStr">
        <is>
          <t>Glaucoma, Cataract</t>
        </is>
      </c>
      <c r="M9" s="2" t="inlineStr">
        <is>
          <t>Clinic</t>
        </is>
      </c>
      <c r="N9" s="2" t="inlineStr">
        <is>
          <t>ข้อ 7 Pharma Plus เล่มม่วง (เฉลยข้อ ค)</t>
        </is>
      </c>
      <c r="O9" s="2" t="inlineStr">
        <is>
          <t>Mock</t>
        </is>
      </c>
      <c r="P9" s="2" t="inlineStr">
        <is>
          <t>Pharma Plus เล่มม่วง</t>
        </is>
      </c>
    </row>
    <row r="10" ht="13.2" customHeight="1" s="37">
      <c r="A10" s="8" t="inlineStr">
        <is>
          <t>8</t>
        </is>
      </c>
      <c r="B10" s="2" t="inlineStr">
        <is>
          <t>กรณีใดที่ต้องรีบส่งต่อผู้ป่วยรายนี้ไปโรงพยาบาล</t>
        </is>
      </c>
      <c r="C10" s="2" t="n"/>
      <c r="D10" s="2" t="inlineStr">
        <is>
          <t>ใช้ยาแล้วแสบตา</t>
        </is>
      </c>
      <c r="E10" s="2" t="inlineStr">
        <is>
          <t>ใช้ยาแล้วมีอาการขมที่ลิ้น</t>
        </is>
      </c>
      <c r="F10" s="2" t="inlineStr">
        <is>
          <t>การมองภาพ เห็นภาพซ้อน</t>
        </is>
      </c>
      <c r="G10" s="2" t="inlineStr">
        <is>
          <t>ใช้ยา 1 วันและขี้ตาไม่หายไป</t>
        </is>
      </c>
      <c r="H10" s="2" t="inlineStr">
        <is>
          <t>มีอาการปวดศีรษะร่วมด้วย</t>
        </is>
      </c>
      <c r="I10" s="8" t="inlineStr">
        <is>
          <t>3</t>
        </is>
      </c>
      <c r="J10" s="2" t="inlineStr">
        <is>
          <t>✅ คำตอบที่ถูกต้อง: ข้อ ค. การมองภาพ เห็นภาพซ้อน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การมองภาพ เห็นภาพซ้อน อาการเห็นภาพซ้อน (Diplopia) หรือการมองเห็นผิดปกติถือเป็นสัญญาณเตือนอันตราย (Red flag) ที่บ่งบอกถึงโรคทางตารุนแรงหรือความผิดปกติทางระบบประสาทที่ต้องส่งต่อจักษุแพทย์ทันที
🔍 ข้ออื่นผิดเพราะอะไร:
• ข้อ ก. (ใช้ยาแล้วแสบตา): ข้อนี้ไม่ใช่คำตอบที่ถูกต้องสำหรับภาวะ Glaucoma, Cataract เนื่องจากกลไกการออกฤทธิ์, efficacy หรือข้อบ่งใช้ไม่ตรงกับโจทย์ที่กำหนด
• ข้อ ข. (ใช้ยาแล้วมีอาการขมที่ลิ้น): ข้อนี้ไม่ใช่คำตอบที่ถูกต้องสำหรับภาวะ Glaucoma, Cataract เนื่องจากกลไกการออกฤทธิ์, efficacy หรือข้อบ่งใช้ไม่ตรงกับโจทย์ที่กำหนด
• ข้อ ง. (ใช้ยา 1 วันและขี้ตาไม่หายไป): ข้อนี้ไม่ใช่คำตอบที่ถูกต้องสำหรับภาวะ Glaucoma, Cataract เนื่องจากกลไกการออกฤทธิ์, efficacy หรือข้อบ่งใช้ไม่ตรงกับโจทย์ที่กำหนด
• ข้อ จ. (มีอาการปวดศีรษะร่วมด้วย):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 s="2" t="n"/>
      <c r="L10" s="2" t="inlineStr">
        <is>
          <t>Glaucoma, Cataract</t>
        </is>
      </c>
      <c r="M10" s="2" t="inlineStr">
        <is>
          <t>Clinic</t>
        </is>
      </c>
      <c r="N10" s="2" t="inlineStr">
        <is>
          <t>ข้อ 8 Pharma Plus เล่มม่วง (เฉลยข้อ ค)</t>
        </is>
      </c>
      <c r="O10" s="2" t="inlineStr">
        <is>
          <t>Mock</t>
        </is>
      </c>
      <c r="P10" s="2" t="inlineStr">
        <is>
          <t>Pharma Plus เล่มม่วง</t>
        </is>
      </c>
    </row>
    <row r="11" ht="13.2" customHeight="1" s="37">
      <c r="A11" s="8" t="inlineStr">
        <is>
          <t>9</t>
        </is>
      </c>
      <c r="B11" s="2" t="inlineStr">
        <is>
          <t>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สังเกตเห็นว่าเด็กชอบเอามือึงใบหูตัวเองตลอดเวลา และสังเกตเห็นว่ามีขี้ขาวขุ่นไหลออกจากหู
จากอาการข้างต้นผู้ป่วยมีอาการของโรคใด</t>
        </is>
      </c>
      <c r="C11" s="2" t="n"/>
      <c r="D11" s="2" t="inlineStr">
        <is>
          <t>Otitis media</t>
        </is>
      </c>
      <c r="E11" s="2" t="inlineStr">
        <is>
          <t>Tinnitus</t>
        </is>
      </c>
      <c r="F11" s="2" t="inlineStr">
        <is>
          <t>Influenza</t>
        </is>
      </c>
      <c r="G11" s="2" t="inlineStr">
        <is>
          <t>Sinusitis</t>
        </is>
      </c>
      <c r="H11" s="2" t="inlineStr">
        <is>
          <t>Tonsillitis</t>
        </is>
      </c>
      <c r="I11" s="8" t="inlineStr">
        <is>
          <t>1</t>
        </is>
      </c>
      <c r="J11" s="2" t="inlineStr">
        <is>
          <t>✅ คำตอบที่ถูกต้อง: ข้อ ก. Otitis media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Otitis media อาการไข้ร่วมกับการดึงใบหูในเด็กเล็ก และมีหนอง/ขี้ขาวขุ่นไหลออกจากรูหู (Otorrhea) บ่งบอกถึงภาวะหูชั้นกลางอักเสบเฉียบพลัน (Acute Otitis Media) ที่มีการทะลุของเยื่อแก้วหู
🔍 ข้ออื่นผิดเพราะอะไร:
• ข้อ ข. (Tinnitus): ข้อนี้ไม่ใช่คำตอบที่ถูกต้องสำหรับภาวะ Glaucoma, Cataract เนื่องจากกลไกการออกฤทธิ์, efficacy หรือข้อบ่งใช้ไม่ตรงกับโจทย์ที่กำหนด
• ข้อ ค. (Influenza): วัคซีนไข้หวัดใหญ่ชนิด inactivated ฉีดปีละ 1 ครั้ง ในกลุ่มเสี่ยง 7 กลุ่มโรคเรื้อรัง และเด็กอายุ 6 เดือน - 2 ปี
• ข้อ ง. (Sinusitis): ข้อนี้ไม่ใช่คำตอบที่ถูกต้องสำหรับภาวะ Glaucoma, Cataract เนื่องจากกลไกการออกฤทธิ์, efficacy หรือข้อบ่งใช้ไม่ตรงกับโจทย์ที่กำหนด
• ข้อ จ. (Tonsillitis): ข้อนี้ไม่ใช่คำตอบที่ถูกต้องสำหรับภาวะ Glaucoma, Cataract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n"/>
      <c r="L11" s="2" t="inlineStr">
        <is>
          <t>Glaucoma, Cataract</t>
        </is>
      </c>
      <c r="M11" s="2" t="inlineStr">
        <is>
          <t>Clinic</t>
        </is>
      </c>
      <c r="N11" s="2" t="inlineStr">
        <is>
          <t>ข้อ 9 Pharma Plus เล่มม่วง (เฉลยข้อ ก)</t>
        </is>
      </c>
      <c r="O11" s="2" t="inlineStr">
        <is>
          <t>Mock</t>
        </is>
      </c>
      <c r="P11" s="2" t="inlineStr">
        <is>
          <t>Pharma Plus เล่มม่วง</t>
        </is>
      </c>
    </row>
    <row r="12" ht="13.2" customHeight="1" s="37">
      <c r="A12" s="8" t="inlineStr">
        <is>
          <t>10</t>
        </is>
      </c>
      <c r="B12" s="2" t="inlineStr">
        <is>
          <t>อาการที่เกิดขึ้นสามารถเกิดได้จากเชื้อจุลชีพต่อไปนี้ ยกเว้นข้อใด</t>
        </is>
      </c>
      <c r="C12" s="2" t="n"/>
      <c r="D12" s="2" t="inlineStr">
        <is>
          <t>Streptococcus pyogenes</t>
        </is>
      </c>
      <c r="E12" s="2" t="inlineStr">
        <is>
          <t>Streptococcus pneumoniae</t>
        </is>
      </c>
      <c r="F12" s="2" t="inlineStr">
        <is>
          <t>Candida albicans</t>
        </is>
      </c>
      <c r="G12" s="2" t="inlineStr">
        <is>
          <t>Staphylococcus aureus</t>
        </is>
      </c>
      <c r="H12" s="2" t="inlineStr">
        <is>
          <t>Hemophilus influenza</t>
        </is>
      </c>
      <c r="I12" s="8" t="inlineStr">
        <is>
          <t>3</t>
        </is>
      </c>
      <c r="J12" s="2" t="inlineStr">
        <is>
          <t>✅ คำตอบที่ถูกต้อง: ข้อ ค. Candida albicans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Candida albicans เชื้อที่เป็นสาเหตุหลักของ Acute Otitis Media ได้แก่ Streptococcus pneumoniae, Hemophilus influenzae, และ Moraxella catarrhalis รวมถึง Streptococcus pyogenes และ Staphylococcus aureus ส่วน Candida albicans พบน้อยมากใน AOM ทั่วไป
🔍 ข้ออื่นผิดเพราะอะไร:
• ข้อ ก. (Streptococcus pyogenes): ข้อนี้ไม่ใช่คำตอบที่ถูกต้องสำหรับภาวะ Glaucoma, Cataract เนื่องจากกลไกการออกฤทธิ์, efficacy หรือข้อบ่งใช้ไม่ตรงกับโจทย์ที่กำหนด
• ข้อ ข. (Streptococcus pneumoniae): ข้อนี้ไม่ใช่คำตอบที่ถูกต้องสำหรับภาวะ Glaucoma, Cataract เนื่องจากกลไกการออกฤทธิ์, efficacy หรือข้อบ่งใช้ไม่ตรงกับโจทย์ที่กำหนด
• ข้อ ง. (Staphylococcus aureus): ข้อนี้ไม่ใช่คำตอบที่ถูกต้องสำหรับภาวะ Glaucoma, Cataract เนื่องจากกลไกการออกฤทธิ์, efficacy หรือข้อบ่งใช้ไม่ตรงกับโจทย์ที่กำหนด
• ข้อ จ. (Hemophilus influenza): วัคซีนไข้หวัดใหญ่ชนิด inactivated ฉีดปีละ 1 ครั้ง ในกลุ่มเสี่ยง 7 กลุ่มโรคเรื้อรัง และเด็กอายุ 6 เดือน - 2 ปี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2" t="n"/>
      <c r="L12" s="2" t="inlineStr">
        <is>
          <t>Glaucoma, Cataract</t>
        </is>
      </c>
      <c r="M12" s="2" t="inlineStr">
        <is>
          <t>Clinic</t>
        </is>
      </c>
      <c r="N12" s="2" t="inlineStr">
        <is>
          <t>ข้อ 10 Pharma Plus เล่มม่วง (เฉลยข้อ ค)</t>
        </is>
      </c>
      <c r="O12" s="2" t="inlineStr">
        <is>
          <t>Mock</t>
        </is>
      </c>
      <c r="P12" s="2" t="inlineStr">
        <is>
          <t>Pharma Plus เล่มม่วง</t>
        </is>
      </c>
    </row>
    <row r="13" ht="13.2" customHeight="1" s="37">
      <c r="A13" s="8" t="inlineStr">
        <is>
          <t>11</t>
        </is>
      </c>
      <c r="B13" s="2" t="inlineStr">
        <is>
          <t>ยาต้านจุลชีพที่ควรเลือกใช้เป็นอันดับแรกสำหรับผู้ป่วยรายนี้คือ</t>
        </is>
      </c>
      <c r="C13" s="2" t="n"/>
      <c r="D13" s="2" t="inlineStr">
        <is>
          <t>Norfloxacin</t>
        </is>
      </c>
      <c r="E13" s="2" t="inlineStr">
        <is>
          <t>Tetracycline</t>
        </is>
      </c>
      <c r="F13" s="2" t="inlineStr">
        <is>
          <t>Amoxicillin</t>
        </is>
      </c>
      <c r="G13" s="2" t="inlineStr">
        <is>
          <t>Chloramphenicol</t>
        </is>
      </c>
      <c r="H13" s="2" t="inlineStr">
        <is>
          <t>Sulfamethoxazole + trimethoprim</t>
        </is>
      </c>
      <c r="I13" s="8" t="inlineStr">
        <is>
          <t>3</t>
        </is>
      </c>
      <c r="J13" s="2" t="inlineStr">
        <is>
          <t>✅ คำตอบที่ถูกต้อง: ข้อ ค. Amoxicillin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Amoxicillin ตามแนวทางการรักษามาตรฐาน (AAP Guidelines) ยาต้านจุลชีพ first-line สำหรับ Acute Otitis Media ในเด็กคือ Amoxicillin เนื่องจากครอบคลุมเชื้อ Streptococcus pneumoniae ได้ดีที่สุด
🔍 ข้ออื่นผิดเพราะอะไร:
• ข้อ ก. (Norfloxacin): ข้อนี้ไม่ใช่คำตอบที่ถูกต้องสำหรับภาวะ Glaucoma, Cataract เนื่องจากกลไกการออกฤทธิ์, efficacy หรือข้อบ่งใช้ไม่ตรงกับโจทย์ที่กำหนด
• ข้อ ข. (Tetracycline): ข้อนี้ไม่ใช่คำตอบที่ถูกต้องสำหรับภาวะ Glaucoma, Cataract เนื่องจากกลไกการออกฤทธิ์, efficacy หรือข้อบ่งใช้ไม่ตรงกับโจทย์ที่กำหนด
• ข้อ ง. (Chloramphenicol): ข้อนี้ไม่ใช่คำตอบที่ถูกต้องสำหรับภาวะ Glaucoma, Cataract เนื่องจากกลไกการออกฤทธิ์, efficacy หรือข้อบ่งใช้ไม่ตรงกับโจทย์ที่กำหนด
• ข้อ จ. (Sulfamethoxazole + trimethoprim):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n"/>
      <c r="L13" s="2" t="inlineStr">
        <is>
          <t>Glaucoma, Cataract</t>
        </is>
      </c>
      <c r="M13" s="2" t="inlineStr">
        <is>
          <t>Clinic</t>
        </is>
      </c>
      <c r="N13" s="2" t="inlineStr">
        <is>
          <t>ข้อ 11 Pharma Plus เล่มม่วง (เฉลยข้อ ค)</t>
        </is>
      </c>
      <c r="O13" s="2" t="inlineStr">
        <is>
          <t>Mock</t>
        </is>
      </c>
      <c r="P13" s="2" t="inlineStr">
        <is>
          <t>Pharma Plus เล่มม่วง</t>
        </is>
      </c>
    </row>
    <row r="14" ht="13.2" customHeight="1" s="37">
      <c r="A14" s="8" t="inlineStr">
        <is>
          <t>12</t>
        </is>
      </c>
      <c r="B14" s="2" t="inlineStr">
        <is>
          <t>ข้อใดผิดเกี่ยวกับยาที่เลือกใช้ในข้อข้างต้น</t>
        </is>
      </c>
      <c r="C14" s="2" t="n"/>
      <c r="D14" s="2" t="inlineStr">
        <is>
          <t>มีฤทธิ์เป็น bacteriostatic</t>
        </is>
      </c>
      <c r="E14" s="2" t="inlineStr">
        <is>
          <t>หากเกิดการแพ้จะพบผื่นแพ้แบบ erythema multiforme</t>
        </is>
      </c>
      <c r="F14" s="2" t="inlineStr">
        <is>
          <t>กลไกการดื้อยาที่สำคัญคือเชื้อสร้าง beta-lactamase มาทำลายยา</t>
        </is>
      </c>
      <c r="G14" s="2" t="inlineStr">
        <is>
          <t>โดยทั่วไปกลุ่มนี้ออกฤทธิ์ต่อแบคทีเรียแกรมบวกได้ดีกว่าแบคทีเรียแกรมลบ</t>
        </is>
      </c>
      <c r="H14" s="2" t="inlineStr">
        <is>
          <t>ได้รับยาในขนาดสูง (toxic dose) ทำให้เกิด neuromuscular hypersensitivity</t>
        </is>
      </c>
      <c r="I14" s="8" t="inlineStr">
        <is>
          <t>1</t>
        </is>
      </c>
      <c r="J14" s="2" t="inlineStr">
        <is>
          <t>✅ คำตอบที่ถูกต้อง: ข้อ ก. มีฤทธิ์เป็น bacteriostatic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มีฤทธิ์เป็น bacteriostatic ยาปฏิชีวนะกลุ่ม beta-lactams โดยทั่วไปมีฤทธิ์ฆ่าเชื้อแบคทีเรีย (bactericidal) ไม่ใช่ bacteriostatic และออกฤทธิ์ครอบคลุมเชื้อแกรมบวกได้ดีกว่าแกรมลบ กลไกการดื้อยาหลักคือการสร้างเอนไซม์ beta-lactamase มาทำลายวงแหวน beta-lactam
🔍 ข้ออื่นผิดเพราะอะไร:
• ข้อ ข. (หากเกิดการแพ้จะพบผื่นแพ้แบบ erythema multiforme): ข้อนี้ไม่ใช่คำตอบที่ถูกต้องสำหรับภาวะ Glaucoma, Cataract เนื่องจากกลไกการออกฤทธิ์, efficacy หรือข้อบ่งใช้ไม่ตรงกับโจทย์ที่กำหนด
• ข้อ ค. (กลไกการดื้อยาที่สำคัญคือเชื้อสร้าง beta-lactamase มาทำลายยา): ข้อนี้ไม่ใช่คำตอบที่ถูกต้องสำหรับภาวะ Glaucoma, Cataract เนื่องจากกลไกการออกฤทธิ์, efficacy หรือข้อบ่งใช้ไม่ตรงกับโจทย์ที่กำหนด
• ข้อ ง. (โดยทั่วไปกลุ่มนี้ออกฤทธิ์ต่อแบคทีเรียแกรมบวกได้ดีกว่าแบคทีเรียแกรมลบ): ข้อนี้ไม่ใช่คำตอบที่ถูกต้องสำหรับภาวะ Glaucoma, Cataract เนื่องจากกลไกการออกฤทธิ์, efficacy หรือข้อบ่งใช้ไม่ตรงกับโจทย์ที่กำหนด
• ข้อ จ. (ได้รับยาในขนาดสูง (toxic dose) ทำให้เกิด neuromuscular hypersensitivity):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2" t="n"/>
      <c r="L14" s="2" t="inlineStr">
        <is>
          <t>Glaucoma, Cataract</t>
        </is>
      </c>
      <c r="M14" s="2" t="inlineStr">
        <is>
          <t>Clinic</t>
        </is>
      </c>
      <c r="N14" s="2" t="inlineStr">
        <is>
          <t>ข้อ 12 Pharma Plus เล่มม่วง (เฉลยข้อ ก ข จ)</t>
        </is>
      </c>
      <c r="O14" s="2" t="inlineStr">
        <is>
          <t>Mock</t>
        </is>
      </c>
      <c r="P14" s="2" t="inlineStr">
        <is>
          <t>Pharma Plus เล่มม่วง</t>
        </is>
      </c>
    </row>
    <row r="15" ht="13.2" customHeight="1" s="37">
      <c r="A15" s="8" t="inlineStr">
        <is>
          <t>13</t>
        </is>
      </c>
      <c r="B15" s="2" t="inlineStr">
        <is>
          <t>จากยาที่แพทย์เลือกจ่ายข้างต้นนี้ ขนาดยาปกติสำหรับเด็กคือ 20 mg/kg/day และร้านยามียาชนิด dry syrup 125 mg/5mL ท่านจะแนะนำให้ผู้ป่วยรับประทานยานี้อย่างไร</t>
        </is>
      </c>
      <c r="C15" s="2" t="n"/>
      <c r="D15" s="2" t="inlineStr">
        <is>
          <t>รับประทานยาครั้งละ 1/4 ช้อนชา วันละ 4 ครั้ง</t>
        </is>
      </c>
      <c r="E15" s="2" t="inlineStr">
        <is>
          <t>รับประทานยาครั้งละ 1/2 ช้อนชา วันละ 3 ครั้ง</t>
        </is>
      </c>
      <c r="F15" s="2" t="inlineStr">
        <is>
          <t>รับประทานยาครั้งละ 3/4 ช้อนชา วันละ 3 ครั้ง</t>
        </is>
      </c>
      <c r="G15" s="2" t="inlineStr">
        <is>
          <t>รับประทานยาครั้งละ 1 ช้อนชา วันละ 3 ครั้ง</t>
        </is>
      </c>
      <c r="H15" s="2" t="inlineStr">
        <is>
          <t>รับประทานยาครั้งละ 1 ช้อนชา วันละ 4 ครั้ง</t>
        </is>
      </c>
      <c r="I15" s="8" t="inlineStr">
        <is>
          <t>2</t>
        </is>
      </c>
      <c r="J15" s="2" t="inlineStr">
        <is>
          <t>✅ คำตอบที่ถูกต้อง: ข้อ ข. รับประทานยาครั้งละ 1/2 ช้อนชา วันละ 3 ครั้ง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รับประทานยาครั้งละ 1/2 ช้อนชา วันละ 3 ครั้ง การคำนวณขนาดยาในเด็ก (Pediatric dosing calculation) พิจารณาจากน้ำหนักตัว ขนาดยาต่อวัน และความเข้มข้นของยาน้ำแขวนตะกอน (dry syrup) เพื่อให้ได้ปริมาณตัวยาที่เหมาะสมต่อครั้งและจำนวนมื้อที่ถูกต้องตามหลักเภสัชกรรม
🔍 ข้ออื่นผิดเพราะอะไร:
• ข้อ ก. (รับประทานยาครั้งละ 1/4 ช้อนชา วันละ 4 ครั้ง): ข้อนี้ไม่ใช่คำตอบที่ถูกต้องสำหรับภาวะ Glaucoma, Cataract เนื่องจากกลไกการออกฤทธิ์, efficacy หรือข้อบ่งใช้ไม่ตรงกับโจทย์ที่กำหนด
• ข้อ ค. (รับประทานยาครั้งละ 3/4 ช้อนชา วันละ 3 ครั้ง): ข้อนี้ไม่ใช่คำตอบที่ถูกต้องสำหรับภาวะ Glaucoma, Cataract เนื่องจากกลไกการออกฤทธิ์, efficacy หรือข้อบ่งใช้ไม่ตรงกับโจทย์ที่กำหนด
• ข้อ ง. (รับประทานยาครั้งละ 1 ช้อนชา วันละ 3 ครั้ง): ข้อนี้ไม่ใช่คำตอบที่ถูกต้องสำหรับภาวะ Glaucoma, Cataract เนื่องจากกลไกการออกฤทธิ์, efficacy หรือข้อบ่งใช้ไม่ตรงกับโจทย์ที่กำหนด
• ข้อ จ. (รับประทานยาครั้งละ 1 ช้อนชา วันละ 4 ครั้ง):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n"/>
      <c r="L15" s="2" t="inlineStr">
        <is>
          <t>Glaucoma, Cataract</t>
        </is>
      </c>
      <c r="M15" s="2" t="inlineStr">
        <is>
          <t>Clinic</t>
        </is>
      </c>
      <c r="N15" s="2" t="inlineStr">
        <is>
          <t>ข้อ 13 Pharma Plus เล่มม่วง (เฉลยข้อ ข)</t>
        </is>
      </c>
      <c r="O15" s="2" t="inlineStr">
        <is>
          <t>Mock</t>
        </is>
      </c>
      <c r="P15" s="2" t="inlineStr">
        <is>
          <t>Pharma Plus เล่มม่วง</t>
        </is>
      </c>
    </row>
    <row r="16" ht="13.2" customHeight="1" s="37">
      <c r="A16" s="8" t="inlineStr">
        <is>
          <t>14</t>
        </is>
      </c>
      <c r="B16" s="2" t="inlineStr">
        <is>
          <t>ชายอายุ 22 ปี มีอาการคันตา ตาแดง 2 ข้าง น้ำตาไหล ไม่มีขี้ตา ไม่ปวดตา เป็นมา 2-3 วัน มักเป็นบ่อยช่วงฤดูฝน
ผู้ป่วยรายนี้เป็นโรคอะไร</t>
        </is>
      </c>
      <c r="C16" s="2" t="n"/>
      <c r="D16" s="2" t="inlineStr">
        <is>
          <t>Blepharitis</t>
        </is>
      </c>
      <c r="E16" s="2" t="inlineStr">
        <is>
          <t>Hordeolum</t>
        </is>
      </c>
      <c r="F16" s="2" t="inlineStr">
        <is>
          <t>Glaucoma</t>
        </is>
      </c>
      <c r="G16" s="2" t="inlineStr">
        <is>
          <t>Bacterial conjunctivitis</t>
        </is>
      </c>
      <c r="H16" s="2" t="inlineStr">
        <is>
          <t>Allergic conjunctivitis</t>
        </is>
      </c>
      <c r="I16" s="8" t="inlineStr">
        <is>
          <t>5</t>
        </is>
      </c>
      <c r="J16" s="2" t="inlineStr">
        <is>
          <t>✅ คำตอบที่ถูกต้อง: ข้อ จ. Allergic conjunctivitis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Allergic conjunctivitis อาการคันตา ตาแดงทั้ง 2 ข้าง มีน้ำตาไหล ไม่มีขี้ตา (non-purulent discharge) และมักเป็น ๆ หาย ๆ ตามฤดูกาล (เช่น ช่วงฤดูฝนหรือหน้าฝุ่น) เป็นลักษณะจำเพาะของเยื่อบุตาอักเสบจากภูมิแพ้ (Allergic conjunctivitis)
🔍 ข้ออื่นผิดเพราะอะไร:
• ข้อ ก. (Blepharitis): ข้อนี้ไม่ใช่คำตอบที่ถูกต้องสำหรับภาวะ Conjunctivitis เนื่องจากกลไกการออกฤทธิ์, efficacy หรือข้อบ่งใช้ไม่ตรงกับโจทย์ที่กำหนด
• ข้อ ข. (Hordeolum): ข้อนี้ไม่ใช่คำตอบที่ถูกต้องสำหรับภาวะ Conjunctivitis เนื่องจากกลไกการออกฤทธิ์, efficacy หรือข้อบ่งใช้ไม่ตรงกับโจทย์ที่กำหนด
• ข้อ ค. (Glaucoma): ข้อนี้ไม่ใช่คำตอบที่ถูกต้องสำหรับภาวะ Conjunctivitis เนื่องจากกลไกการออกฤทธิ์, efficacy หรือข้อบ่งใช้ไม่ตรงกับโจทย์ที่กำหนด
• ข้อ ง. (Bacterial conjunctivitis):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2" t="n"/>
      <c r="L16" s="2" t="inlineStr">
        <is>
          <t>Conjunctivitis</t>
        </is>
      </c>
      <c r="M16" s="2" t="inlineStr">
        <is>
          <t>Clinic</t>
        </is>
      </c>
      <c r="N16" s="2" t="inlineStr">
        <is>
          <t>ข้อ 14 Pharma Plus เล่มม่วง (เฉลยข้อ จ)</t>
        </is>
      </c>
      <c r="O16" s="2" t="inlineStr">
        <is>
          <t>Mock</t>
        </is>
      </c>
      <c r="P16" s="2" t="inlineStr">
        <is>
          <t>Pharma Plus เล่มม่วง</t>
        </is>
      </c>
    </row>
    <row r="17" ht="13.2" customHeight="1" s="37">
      <c r="A17" s="8" t="inlineStr">
        <is>
          <t>15</t>
        </is>
      </c>
      <c r="B17" s="2" t="inlineStr">
        <is>
          <t>ชายอายุ 22 ปี มีอาการคันตา ตาแดง 2 ข้าง น้ำตาไหล ไม่มีขี้ตา ไม่ปวดตา เป็นมา 2-3 วัน มักเป็นบ่อยช่วงฤดูฝน
หากผู้ป่วยรายนี้ใส่ contact lens ควรแนะนำผู้ป่วยอย่างไร</t>
        </is>
      </c>
      <c r="C17" s="2" t="n"/>
      <c r="D17" s="2" t="inlineStr">
        <is>
          <t>ใส่ contact lens ตามปกติแล้วหยอดตา</t>
        </is>
      </c>
      <c r="E17" s="2" t="inlineStr">
        <is>
          <t>ใส่ contact lens ให้น้อยลง เช่น วันเว้นวัน</t>
        </is>
      </c>
      <c r="F17" s="2" t="inlineStr">
        <is>
          <t>หากจำเป็นต้องหยอดตา ให้หยอดตาก่อนใส่ contact lens 1-2 นาที</t>
        </is>
      </c>
      <c r="G17" s="2" t="inlineStr">
        <is>
          <t>หากจำเป็นต้องหยอดตา ให้ใส่ contact lens ก่อนหยอดตา</t>
        </is>
      </c>
      <c r="H17" s="2" t="inlineStr">
        <is>
          <t>งดใส่ contact lens ในช่วงที่มีอาการ</t>
        </is>
      </c>
      <c r="I17" s="8" t="inlineStr">
        <is>
          <t>5</t>
        </is>
      </c>
      <c r="J17" s="2" t="inlineStr">
        <is>
          <t>✅ คำตอบที่ถูกต้อง: ข้อ จ. งดใส่ contact lens ในช่วงที่มีอาการ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งดใส่ contact lens ในช่วงที่มีอาการ ในผู้ป่วยที่เป็นเยื่อบุตาอักเสบจากภูมิแพ้และใส่คอนแทคเลนส์ ควรแนะนำให้งดใส่คอนแทคเลนส์ชั่วคราวในช่วงที่มีอาการ เพื่อลดการระคายเคืองและการดูดซับสารกันเสียหรือตัวยาในคอนแทคเลนส์
🔍 ข้ออื่นผิดเพราะอะไร:
• ข้อ ก. (ใส่ contact lens ตามปกติแล้วหยอดตา): ข้อนี้ไม่ใช่คำตอบที่ถูกต้องสำหรับภาวะ Conjunctivitis เนื่องจากกลไกการออกฤทธิ์, efficacy หรือข้อบ่งใช้ไม่ตรงกับโจทย์ที่กำหนด
• ข้อ ข. (ใส่ contact lens ให้น้อยลง เช่น วันเว้นวัน): ข้อนี้ไม่ใช่คำตอบที่ถูกต้องสำหรับภาวะ Conjunctivitis เนื่องจากกลไกการออกฤทธิ์, efficacy หรือข้อบ่งใช้ไม่ตรงกับโจทย์ที่กำหนด
• ข้อ ค. (หากจำเป็นต้องหยอดตา ให้หยอดตาก่อนใส่ contact lens 1-2 นาที): ข้อนี้ไม่ใช่คำตอบที่ถูกต้องสำหรับภาวะ Conjunctivitis เนื่องจากกลไกการออกฤทธิ์, efficacy หรือข้อบ่งใช้ไม่ตรงกับโจทย์ที่กำหนด
• ข้อ ง. (หากจำเป็นต้องหยอดตา ให้ใส่ contact lens ก่อนหยอดตา):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 s="2" t="n"/>
      <c r="L17" s="2" t="inlineStr">
        <is>
          <t>Conjunctivitis</t>
        </is>
      </c>
      <c r="M17" s="2" t="inlineStr">
        <is>
          <t>Clinic</t>
        </is>
      </c>
      <c r="N17" s="2" t="inlineStr">
        <is>
          <t>ข้อ 15 Pharma Plus เล่มม่วง (เฉลยข้อ จ)</t>
        </is>
      </c>
      <c r="O17" s="2" t="inlineStr">
        <is>
          <t>Mock</t>
        </is>
      </c>
      <c r="P17" s="2" t="inlineStr">
        <is>
          <t>Pharma Plus เล่มม่วง</t>
        </is>
      </c>
    </row>
    <row r="18" ht="13.2" customHeight="1" s="37">
      <c r="A18" s="8" t="inlineStr">
        <is>
          <t>16</t>
        </is>
      </c>
      <c r="B18" s="2" t="inlineStr">
        <is>
          <t>ข้อใดไม่ใช่ ophthalmic decongestant</t>
        </is>
      </c>
      <c r="C18" s="2" t="n"/>
      <c r="D18" s="2" t="inlineStr">
        <is>
          <t>Boric acid</t>
        </is>
      </c>
      <c r="E18" s="2" t="inlineStr">
        <is>
          <t>Phenylephrine</t>
        </is>
      </c>
      <c r="F18" s="2" t="inlineStr">
        <is>
          <t>Oxymetazoline</t>
        </is>
      </c>
      <c r="G18" s="2" t="inlineStr">
        <is>
          <t>Naphazoline</t>
        </is>
      </c>
      <c r="H18" s="2" t="inlineStr">
        <is>
          <t>Tetrahydrozoline</t>
        </is>
      </c>
      <c r="I18" s="8" t="inlineStr">
        <is>
          <t>1</t>
        </is>
      </c>
      <c r="J18" s="2" t="inlineStr">
        <is>
          <t>✅ คำตอบที่ถูกต้อง: ข้อ ก. Boric acid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Boric acid กลุ่มยา Ophthalmic decongestant ได้แก่ ยากลุ่ม alpha-agonists เช่น Phenylephrine, Oxymetazoline, Naphazoline และ Tetrahydrozoline ซึ่งใช้ลดอาการตาแดงจากเส้นเลือดขยายตัว ส่วน Boric acid เป็นสารละลายบัฟเฟอร์หรืออ่อนโยนใช้ชะล้าง ไม่ใช่ยาลดบวมหลอดเลือด
🔍 ข้ออื่นผิดเพราะอะไร:
• ข้อ ข. (Phenylephrine): ข้อนี้ไม่ใช่คำตอบที่ถูกต้องสำหรับภาวะ Glaucoma, Cataract เนื่องจากกลไกการออกฤทธิ์, efficacy หรือข้อบ่งใช้ไม่ตรงกับโจทย์ที่กำหนด
• ข้อ ค. (Oxymetazoline): เป็น topical alpha-1 agonist ยาพ่นจมูกลดบวม ห้ามใช้ติดต่อกันเกิน 3-5 วัน เนื่องจากเสี่ยงต่อการเกิด rebound congestion (Rhinitis medicamentosa)
• ข้อ ง. (Naphazoline): ข้อนี้ไม่ใช่คำตอบที่ถูกต้องสำหรับภาวะ Glaucoma, Cataract เนื่องจากกลไกการออกฤทธิ์, efficacy หรือข้อบ่งใช้ไม่ตรงกับโจทย์ที่กำหนด
• ข้อ จ. (Tetrahydrozoline):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 s="2" t="n"/>
      <c r="L18" s="2" t="inlineStr">
        <is>
          <t>Glaucoma, Cataract</t>
        </is>
      </c>
      <c r="M18" s="2" t="inlineStr">
        <is>
          <t>Clinic</t>
        </is>
      </c>
      <c r="N18" s="2" t="inlineStr">
        <is>
          <t>ข้อ 16 Pharma Plus เล่มม่วง (เฉลยข้อ ก)</t>
        </is>
      </c>
      <c r="O18" s="2" t="inlineStr">
        <is>
          <t>Mock</t>
        </is>
      </c>
      <c r="P18" s="2" t="inlineStr">
        <is>
          <t>Pharma Plus เล่มม่วง</t>
        </is>
      </c>
    </row>
    <row r="19" ht="13.2" customHeight="1" s="37">
      <c r="A19" s="8" t="inlineStr">
        <is>
          <t>17</t>
        </is>
      </c>
      <c r="B19" s="2" t="inlineStr">
        <is>
          <t>กรณีที่ผู้ป่วยเป็นตาแดงจากการติดเชื้อ เชื้อในข้อใดเป็นสาเหตุที่พบได้บ่อย</t>
        </is>
      </c>
      <c r="C19" s="2" t="n"/>
      <c r="D19" s="2" t="inlineStr">
        <is>
          <t>Escherichia coli</t>
        </is>
      </c>
      <c r="E19" s="2" t="inlineStr">
        <is>
          <t>Staphylococcus aureus</t>
        </is>
      </c>
      <c r="F19" s="2" t="inlineStr">
        <is>
          <t>Acinetobacter spp.</t>
        </is>
      </c>
      <c r="G19" s="2" t="inlineStr">
        <is>
          <t>Neisseria gonorrhoeae</t>
        </is>
      </c>
      <c r="H19" s="2" t="inlineStr">
        <is>
          <t>Buekholderia pseudomallei</t>
        </is>
      </c>
      <c r="I19" s="8" t="inlineStr">
        <is>
          <t>2</t>
        </is>
      </c>
      <c r="J19" s="2" t="inlineStr">
        <is>
          <t>✅ คำตอบที่ถูกต้อง: ข้อ ข. Staphylococcus aureus
💡 Background:
การรักษาโรคติดเชื้อแบคทีเรีย (Conjunctivitis) ต้องเลือก antibiotic ที่ครอบคลุม likely pathogens และมี PK/PD profile เหมาะสมกับตำแหน่งการติดเชื้อ
🎯 ทำไมข้อนี้ถึงถูก:
Staphylococcus aureus เชื้อแบคทีเรียที่เป็นสาเหตุหลักของเยื่อบุตาอักเสบติดเชื้อ (Bacterial conjunctivitis) ทั่วไป ได้แก่ Staphylococcus aureus, Streptococcus pneumoniae และ Haemophilus influenzae
🔍 ข้ออื่นผิดเพราะอะไร:
• ข้อ ก. (Escherichia coli): ข้อนี้ไม่ใช่คำตอบที่ถูกต้องสำหรับภาวะ Conjunctivitis เนื่องจากกลไกการออกฤทธิ์, efficacy หรือข้อบ่งใช้ไม่ตรงกับโจทย์ที่กำหนด
• ข้อ ค. (Acinetobacter spp.): ข้อนี้ไม่ใช่คำตอบที่ถูกต้องสำหรับภาวะ Conjunctivitis เนื่องจากกลไกการออกฤทธิ์, efficacy หรือข้อบ่งใช้ไม่ตรงกับโจทย์ที่กำหนด
• ข้อ ง. (Neisseria gonorrhoeae): ข้อนี้ไม่ใช่คำตอบที่ถูกต้องสำหรับภาวะ Conjunctivitis เนื่องจากกลไกการออกฤทธิ์, efficacy หรือข้อบ่งใช้ไม่ตรงกับโจทย์ที่กำหนด
• ข้อ จ. (Buekholderia pseudomallei): ข้อนี้ไม่ใช่คำตอบที่ถูกต้องสำหรับภาวะ Conjunctivitis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2" t="n"/>
      <c r="L19" s="2" t="inlineStr">
        <is>
          <t>Conjunctivitis</t>
        </is>
      </c>
      <c r="M19" s="2" t="inlineStr">
        <is>
          <t>Clinic</t>
        </is>
      </c>
      <c r="N19" s="2" t="inlineStr">
        <is>
          <t>ข้อ 17 Pharma Plus เล่มม่วง (เฉลยข้อ ข)</t>
        </is>
      </c>
      <c r="O19" s="2" t="inlineStr">
        <is>
          <t>Mock</t>
        </is>
      </c>
      <c r="P19" s="2" t="inlineStr">
        <is>
          <t>Pharma Plus เล่มม่วง</t>
        </is>
      </c>
    </row>
    <row r="20" ht="13.2" customHeight="1" s="37">
      <c r="A20" s="8" t="inlineStr">
        <is>
          <t>18</t>
        </is>
      </c>
      <c r="B20"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หลังจากที่เภสัชกรได้ทำการซักประวัติแล้ว ท่านคิดว่าอาการที่ผู้ป่วยเล่าสัมพันธ์กับโรคใด</t>
        </is>
      </c>
      <c r="C20" s="2" t="n"/>
      <c r="D20" s="2" t="inlineStr">
        <is>
          <t>โรคต้อกระจก</t>
        </is>
      </c>
      <c r="E20" s="2" t="inlineStr">
        <is>
          <t>โรคตาแดง</t>
        </is>
      </c>
      <c r="F20" s="2" t="inlineStr">
        <is>
          <t>โรคต้อเนื้อ</t>
        </is>
      </c>
      <c r="G20" s="2" t="inlineStr">
        <is>
          <t>โรคต้อกุ้งยิง</t>
        </is>
      </c>
      <c r="H20" s="2" t="inlineStr">
        <is>
          <t>โรคต้อหิน</t>
        </is>
      </c>
      <c r="I20" s="8" t="inlineStr">
        <is>
          <t>5</t>
        </is>
      </c>
      <c r="J20" s="2" t="inlineStr">
        <is>
          <t>✅ คำตอบที่ถูกต้อง: ข้อ จ. โรคต้อหิน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โรคต้อหิน อาการตามัว ปวดตามาก และสู้แสงไม่ได้ในผู้สูงอายุ เป็นลักษณะจำเพาะของโรคต้อหินมุมปิดเฉียบพลัน (Acute angle-closure glaucoma) ซึ่งเกิดจากความดันในลูกตาพุ่งสูงอย่างรวดเร็ว ต่างจากต้อกระจกที่จะมัวแบบค่อยเป็นค่อยไปและไม่มีอาการปวด
🔍 ข้ออื่นผิดเพราะอะไร:
• ข้อ ก. (โรคต้อกระจก): ข้อนี้ไม่ใช่คำตอบที่ถูกต้องสำหรับภาวะ Glaucoma, Cataract เนื่องจากกลไกการออกฤทธิ์, efficacy หรือข้อบ่งใช้ไม่ตรงกับโจทย์ที่กำหนด
• ข้อ ข. (โรคตาแดง): ข้อนี้ไม่ใช่คำตอบที่ถูกต้องสำหรับภาวะ Glaucoma, Cataract เนื่องจากกลไกการออกฤทธิ์, efficacy หรือข้อบ่งใช้ไม่ตรงกับโจทย์ที่กำหนด
• ข้อ ค. (โรคต้อเนื้อ): ข้อนี้ไม่ใช่คำตอบที่ถูกต้องสำหรับภาวะ Glaucoma, Cataract เนื่องจากกลไกการออกฤทธิ์, efficacy หรือข้อบ่งใช้ไม่ตรงกับโจทย์ที่กำหนด
• ข้อ ง. (โรคต้อกุ้งยิง):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n"/>
      <c r="L20" s="2" t="inlineStr">
        <is>
          <t>Glaucoma, Cataract</t>
        </is>
      </c>
      <c r="M20" s="2" t="inlineStr">
        <is>
          <t>Clinic</t>
        </is>
      </c>
      <c r="N20" s="2" t="inlineStr">
        <is>
          <t>ข้อ 18 Pharma Plus เล่มม่วง (เฉลยข้อ จ)</t>
        </is>
      </c>
      <c r="O20" s="2" t="inlineStr">
        <is>
          <t>Mock</t>
        </is>
      </c>
      <c r="P20" s="2" t="inlineStr">
        <is>
          <t>Pharma Plus เล่มม่วง</t>
        </is>
      </c>
    </row>
    <row r="21" ht="13.2" customHeight="1" s="37">
      <c r="A21" s="8" t="inlineStr">
        <is>
          <t>19</t>
        </is>
      </c>
      <c r="B21"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เภสัชกรจึงได้ให้คำแนะนำแก่ผู้ป่วย อยากทราบว่าข้อใดไม่ถูกต้อง</t>
        </is>
      </c>
      <c r="C21" s="2" t="n"/>
      <c r="D21" s="2" t="inlineStr">
        <is>
          <t>เกิดจากความดันโลหิตสูงกว่าปกติ</t>
        </is>
      </c>
      <c r="E21" s="2" t="inlineStr">
        <is>
          <t>สามารถพบได้ในผู้ที่มีการใช้ steroid เป็นประจำ</t>
        </is>
      </c>
      <c r="F21" s="2" t="inlineStr">
        <is>
          <t>หากไม่รับการรักษาจะทำให้เกิดตาบอดได้</t>
        </is>
      </c>
      <c r="G21" s="2" t="inlineStr">
        <is>
          <t>การรักษาสามารถใช้ยาหยอดตา atropine เพื่อควบคุมอาการได้</t>
        </is>
      </c>
      <c r="H21" s="2" t="inlineStr">
        <is>
          <t>แพทย์จะพิจารณารักษาตาอีกข้าง (ในกรณีที่เป็นตาข้างเดียว) เฉียบพลันในอนาคตได้</t>
        </is>
      </c>
      <c r="I21" s="8" t="inlineStr">
        <is>
          <t>1</t>
        </is>
      </c>
      <c r="J21" s="2" t="inlineStr">
        <is>
          <t>✅ คำตอบที่ถูกต้อง: ข้อ ก. เกิดจากความดันโลหิตสูงกว่าปกติ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เกิดจากความดันโลหิตสูงกว่าปกติ ห้ามใช้ยา Atropine (mydriatics) ในผู้ป่วยต้อหินมุมปิดเด็ดขาด เนื่องจากจะทำให้ม่านตาขยายและไปปิดมุมตามากยิ่งขึ้น ส่งผลให้ความดันในลูกตาสูงขึ้นอย่างรุนแรงและอาการแย่ลง
🔍 ข้ออื่นผิดเพราะอะไร:
• ข้อ ข. (สามารถพบได้ในผู้ที่มีการใช้ steroid เป็นประจำ): ข้อนี้ไม่ใช่คำตอบที่ถูกต้องสำหรับภาวะ Glaucoma, Cataract เนื่องจากกลไกการออกฤทธิ์, efficacy หรือข้อบ่งใช้ไม่ตรงกับโจทย์ที่กำหนด
• ข้อ ค. (หากไม่รับการรักษาจะทำให้เกิดตาบอดได้): ข้อนี้ไม่ใช่คำตอบที่ถูกต้องสำหรับภาวะ Glaucoma, Cataract เนื่องจากกลไกการออกฤทธิ์, efficacy หรือข้อบ่งใช้ไม่ตรงกับโจทย์ที่กำหนด
• ข้อ ง. (การรักษาสามารถใช้ยาหยอดตา atropine เพื่อควบคุมอาการได้): ข้อนี้ไม่ใช่คำตอบที่ถูกต้องสำหรับภาวะ Glaucoma, Cataract เนื่องจากกลไกการออกฤทธิ์, efficacy หรือข้อบ่งใช้ไม่ตรงกับโจทย์ที่กำหนด
• ข้อ จ. (แพทย์จะพิจารณารักษาตาอีกข้าง (ในกรณีที่เป็นตาข้างเดียว) เฉียบพลันในอนาคตได้):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 s="2" t="n"/>
      <c r="L21" s="2" t="inlineStr">
        <is>
          <t>Glaucoma, Cataract</t>
        </is>
      </c>
      <c r="M21" s="2" t="inlineStr">
        <is>
          <t>Clinic</t>
        </is>
      </c>
      <c r="N21" s="2" t="inlineStr">
        <is>
          <t>ข้อ 19 Pharma Plus เล่มม่วง (เฉลยข้อ ก ง)</t>
        </is>
      </c>
      <c r="O21" s="2" t="inlineStr">
        <is>
          <t>Mock</t>
        </is>
      </c>
      <c r="P21" s="2" t="inlineStr">
        <is>
          <t>Pharma Plus เล่มม่วง</t>
        </is>
      </c>
    </row>
    <row r="22" ht="13.2" customHeight="1" s="37">
      <c r="A22" s="8" t="inlineStr">
        <is>
          <t>20</t>
        </is>
      </c>
      <c r="B22" s="2" t="inlineStr">
        <is>
          <t>สารชนิดใดที่สามารถใช้รักษาได้โดยมีฤทธิ์ลด aqueous humor ภายในลูกตา</t>
        </is>
      </c>
      <c r="C22" s="2" t="n"/>
      <c r="D22" s="2" t="inlineStr">
        <is>
          <t>Timolol</t>
        </is>
      </c>
      <c r="E22" s="2" t="inlineStr">
        <is>
          <t>Pilocarpine</t>
        </is>
      </c>
      <c r="F22" s="2" t="inlineStr">
        <is>
          <t>Mannitol</t>
        </is>
      </c>
      <c r="G22" s="2" t="inlineStr">
        <is>
          <t>Thiazide</t>
        </is>
      </c>
      <c r="H22" s="2" t="inlineStr">
        <is>
          <t>Carbachol</t>
        </is>
      </c>
      <c r="I22" s="8" t="inlineStr">
        <is>
          <t>1</t>
        </is>
      </c>
      <c r="J22" s="2" t="inlineStr">
        <is>
          <t>✅ คำตอบที่ถูกต้อง: ข้อ ก. Timolol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เป็นยากลุ่ม Beta-blocker ที่มีกลไกหลักในการลดการสร้าง aqueous humor จาก ciliary body ทำให้ความดันในลูกตาลดลง (Mannitol เป็น hyperosmotic agent ลดปริมาตรน้ำวุ้นตา แต่ Timolol เป็นตัวเลือกมาตรฐานหยอดตาที่ออกฤทธิ์ลดการสร้างน้ำหล่อเลี้ยงตาโดยตรง)
🔍 ข้ออื่นผิดเพราะอะไร:
• ข้อ ข. (Pilocarpine): ข้อนี้ไม่ใช่คำตอบที่ถูกต้องสำหรับภาวะ Glaucoma, Cataract เนื่องจากกลไกการออกฤทธิ์, efficacy หรือข้อบ่งใช้ไม่ตรงกับโจทย์ที่กำหนด
• ข้อ ค. (Mannitol): เป็น Diluent ชนิด non-hygroscopic ให้ negative heat of solution (รู้สึกเย็นในปาก) นิยมใช้ใน chewable tablets และ orally disintegrating tablets (ODTs)
• ข้อ ง. (Thiazide): ข้อนี้ไม่ใช่คำตอบที่ถูกต้องสำหรับภาวะ Glaucoma, Cataract เนื่องจากกลไกการออกฤทธิ์, efficacy หรือข้อบ่งใช้ไม่ตรงกับโจทย์ที่กำหนด
• ข้อ จ. (Carbachol):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 s="2" t="n"/>
      <c r="L22" s="2" t="inlineStr">
        <is>
          <t>Glaucoma, Cataract</t>
        </is>
      </c>
      <c r="M22" s="2" t="inlineStr">
        <is>
          <t>Clinic</t>
        </is>
      </c>
      <c r="N22" s="2" t="inlineStr">
        <is>
          <t>ข้อ 20 Pharma Plus เล่มม่วง (เฉลยข้อ ก)</t>
        </is>
      </c>
      <c r="O22" s="2" t="inlineStr">
        <is>
          <t>Mock</t>
        </is>
      </c>
      <c r="P22" s="2" t="inlineStr">
        <is>
          <t>Pharma Plus เล่มม่วง</t>
        </is>
      </c>
    </row>
    <row r="23" ht="13.2" customHeight="1" s="37">
      <c r="A23" s="8" t="inlineStr">
        <is>
          <t>21</t>
        </is>
      </c>
      <c r="B23" s="2" t="inlineStr">
        <is>
          <t>ข้อใดเป็นคำแนะนำการใช้ยาตาที่ไม่ถูกต้อง</t>
        </is>
      </c>
      <c r="C23" s="2" t="n"/>
      <c r="D23" s="2" t="inlineStr">
        <is>
          <t>ล้างมือให้สะอาดก่อนและหลังหยอดตา</t>
        </is>
      </c>
      <c r="E23" s="2" t="inlineStr">
        <is>
          <t>เอนตัวไปข้างหน้าเล็กน้อย</t>
        </is>
      </c>
      <c r="F23" s="2" t="inlineStr">
        <is>
          <t>ดึงหนังตาล่างออกเป็นกระพุ้ง</t>
        </is>
      </c>
      <c r="G23" s="2" t="inlineStr">
        <is>
          <t>เมื่อหยอดยาเสร็จ กดที่หัวตาเบาๆ 2-3 นาที เพื่อมีให้ยาไหลลงในท่อน้ำตา</t>
        </is>
      </c>
      <c r="H23" s="2" t="inlineStr">
        <is>
          <t>หากต้องหยอดยาตา 2 ชนิด ให้หยอดห่างกัน 5 นาที</t>
        </is>
      </c>
      <c r="I23" s="8" t="inlineStr">
        <is>
          <t>2</t>
        </is>
      </c>
      <c r="J23" s="2" t="inlineStr">
        <is>
          <t>✅ คำตอบที่ถูกต้อง: ข้อ ข. เอนตัวไปข้างหน้าเล็กน้อย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เอนตัวไปข้างหน้าเล็กน้อย ขั้นตอนการหยอดตาที่ถูกต้องควรกดบริเวณหัวตา (Nasolacrimal occlusion) เพื่อลดการดูดซึมเข้าระบบร่างกาย (systemic absorption) และเพิ่มฤทธิ์เฉพาะที่ ข้อความในตัวเลือก ง. พิมพ์ผิดว่า 'เพื่อมีให้ยา' แต่ความหมายคือป้องกันไม่ให้ยาไหลลงท่อน้ำตา แต่ข้อแนะนำมาตรฐานอื่นๆ ถูกต้องตามหลักการให้ยาจักษุ
🔍 ข้ออื่นผิดเพราะอะไร:
• ข้อ ก. (ล้างมือให้สะอาดก่อนและหลังหยอดตา): ข้อนี้ไม่ใช่คำตอบที่ถูกต้องสำหรับภาวะ Glaucoma, Cataract เนื่องจากกลไกการออกฤทธิ์, efficacy หรือข้อบ่งใช้ไม่ตรงกับโจทย์ที่กำหนด
• ข้อ ค. (ดึงหนังตาล่างออกเป็นกระพุ้ง): ข้อนี้ไม่ใช่คำตอบที่ถูกต้องสำหรับภาวะ Glaucoma, Cataract เนื่องจากกลไกการออกฤทธิ์, efficacy หรือข้อบ่งใช้ไม่ตรงกับโจทย์ที่กำหนด
• ข้อ ง. (เมื่อหยอดยาเสร็จ กดที่หัวตาเบาๆ 2-3 นาที เพื่อมีให้ยาไหลลงในท่อน้ำตา): ข้อนี้ไม่ใช่คำตอบที่ถูกต้องสำหรับภาวะ Glaucoma, Cataract เนื่องจากกลไกการออกฤทธิ์, efficacy หรือข้อบ่งใช้ไม่ตรงกับโจทย์ที่กำหนด
• ข้อ จ. (หากต้องหยอดยาตา 2 ชนิด ให้หยอดห่างกัน 5 นาที):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2" t="n"/>
      <c r="L23" s="2" t="inlineStr">
        <is>
          <t>Glaucoma, Cataract</t>
        </is>
      </c>
      <c r="M23" s="2" t="inlineStr">
        <is>
          <t>Clinic</t>
        </is>
      </c>
      <c r="N23" s="2" t="inlineStr">
        <is>
          <t>ข้อ 21 Pharma Plus เล่มม่วง (เฉลยข้อ ข)</t>
        </is>
      </c>
      <c r="O23" s="2" t="inlineStr">
        <is>
          <t>Mock</t>
        </is>
      </c>
      <c r="P23" s="2" t="inlineStr">
        <is>
          <t>Pharma Plus เล่มม่วง</t>
        </is>
      </c>
    </row>
    <row r="24" ht="13.2" customHeight="1" s="37">
      <c r="A24" s="8" t="inlineStr">
        <is>
          <t>22</t>
        </is>
      </c>
      <c r="B24" s="2" t="inlineStr">
        <is>
          <t>ยาชนิดใดต่อไปนี้ไม่มีข้อห้ามใช้ หรือข้อควรระวังในผู้ป่วยโรคต้อหิน</t>
        </is>
      </c>
      <c r="C24" s="2" t="n"/>
      <c r="D24" s="2" t="inlineStr">
        <is>
          <t>0.1% Diclofenac ED.</t>
        </is>
      </c>
      <c r="E24" s="2" t="inlineStr">
        <is>
          <t>0.1% Fluorometholone ED</t>
        </is>
      </c>
      <c r="F24" s="2" t="inlineStr">
        <is>
          <t>0.1% Dexamethasone ED</t>
        </is>
      </c>
      <c r="G24" s="2" t="inlineStr">
        <is>
          <t>0.5% Atropine ED</t>
        </is>
      </c>
      <c r="H24" s="2" t="inlineStr">
        <is>
          <t>0.05% Naphazoline ED</t>
        </is>
      </c>
      <c r="I24" s="8" t="inlineStr">
        <is>
          <t>1</t>
        </is>
      </c>
      <c r="J24" s="2" t="inlineStr">
        <is>
          <t>✅ คำตอบที่ถูกต้อง: ข้อ ก. 0.1% Diclofenac ED.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0.1% Diclofenac ED. ยาหยอดตากลุ่ม Steroids (Fluorometholone, Dexamethasone), Anticholinergics/Mydriatics (Atropine) และ Sympathomimetics/Decongestants (Naphazoline) มีข้อห้ามหรือข้อควรระวังสูงในต้อหินเนื่องจากทำให้ความดันตาสูงขึ้นหรือม่านตาขยาย ส่วนยาแก้อักเสบไม่ใช่สเตียรอยด์ (NSAIDs เช่น Diclofenac) มี safety กว่าในแง่ของการไม่เพิ่มความดันตาจากสเตียรอยด์
🔍 ข้ออื่นผิดเพราะอะไร:
• ข้อ ข. (0.1% Fluorometholone ED): ข้อนี้ไม่ใช่คำตอบที่ถูกต้องสำหรับภาวะ Glaucoma, Cataract เนื่องจากกลไกการออกฤทธิ์, efficacy หรือข้อบ่งใช้ไม่ตรงกับโจทย์ที่กำหนด
• ข้อ ค. (0.1% Dexamethasone ED): เป็น long-acting potent glucocorticoid ไม่มี mineralocorticoid effect จึงไม่ทำให้น้ำคั่ง เหมาะสำหรับ brain edema, antiemetic, และ COVID-19 with hypoxemia
• ข้อ ง. (0.5% Atropine ED): ข้อนี้ไม่ใช่คำตอบที่ถูกต้องสำหรับภาวะ Glaucoma, Cataract เนื่องจากกลไกการออกฤทธิ์, efficacy หรือข้อบ่งใช้ไม่ตรงกับโจทย์ที่กำหนด
• ข้อ จ. (0.05% Naphazoline ED):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4" s="2" t="n"/>
      <c r="L24" s="2" t="inlineStr">
        <is>
          <t>Glaucoma, Cataract</t>
        </is>
      </c>
      <c r="M24" s="2" t="inlineStr">
        <is>
          <t>Clinic</t>
        </is>
      </c>
      <c r="N24" s="2" t="inlineStr">
        <is>
          <t>ข้อ 22 Pharma Plus เล่มม่วง (เฉลยข้อ ก จ)</t>
        </is>
      </c>
      <c r="O24" s="2" t="inlineStr">
        <is>
          <t>Mock</t>
        </is>
      </c>
      <c r="P24" s="2" t="inlineStr">
        <is>
          <t>Pharma Plus เล่มม่วง</t>
        </is>
      </c>
    </row>
    <row r="25" ht="13.2" customHeight="1" s="37">
      <c r="A25" s="8" t="inlineStr">
        <is>
          <t>23</t>
        </is>
      </c>
      <c r="B25" s="2" t="inlineStr">
        <is>
          <t>ข้อใดคือเสียของการใช้ dexamethasone eye drops เป็นเวลานาน Zero ↓ Ifname first order kinetic first T90 % = % Te , shelf-life &amp;85</t>
        </is>
      </c>
      <c r="C25" s="2" t="n"/>
      <c r="D25" s="2" t="inlineStr">
        <is>
          <t>Eye irritation</t>
        </is>
      </c>
      <c r="E25" s="2" t="inlineStr">
        <is>
          <t>Cataract</t>
        </is>
      </c>
      <c r="F25" s="2" t="inlineStr">
        <is>
          <t>Decrease intraocular pressure</t>
        </is>
      </c>
      <c r="G25" s="2" t="inlineStr">
        <is>
          <t>Eyelash lengthener</t>
        </is>
      </c>
      <c r="H25" s="2" t="inlineStr">
        <is>
          <t>Retinitis pigmentosa</t>
        </is>
      </c>
      <c r="I25" s="8" t="inlineStr">
        <is>
          <t>1</t>
        </is>
      </c>
      <c r="J25" s="2" t="inlineStr">
        <is>
          <t>✅ คำตอบที่ถูกต้อง: ข้อ ก. Eye irritation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Eye irritation การเลือก Eye irritation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(Cataract): ข้อนี้ไม่ใช่คำตอบที่ถูกต้องสำหรับภาวะ Glaucoma, Cataract เนื่องจากกลไกการออกฤทธิ์, efficacy หรือข้อบ่งใช้ไม่ตรงกับโจทย์ที่กำหนด
• ข้อ ค. (Decrease intraocular pressure): ข้อนี้ไม่ใช่คำตอบที่ถูกต้องสำหรับภาวะ Glaucoma, Cataract เนื่องจากกลไกการออกฤทธิ์, efficacy หรือข้อบ่งใช้ไม่ตรงกับโจทย์ที่กำหนด
• ข้อ ง. (Eyelash lengthener): ข้อนี้ไม่ใช่คำตอบที่ถูกต้องสำหรับภาวะ Glaucoma, Cataract เนื่องจากกลไกการออกฤทธิ์, efficacy หรือข้อบ่งใช้ไม่ตรงกับโจทย์ที่กำหนด
• ข้อ จ. (Retinitis pigmentosa):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2" t="n"/>
      <c r="L25" s="2" t="inlineStr">
        <is>
          <t>Glaucoma, Cataract</t>
        </is>
      </c>
      <c r="M25" s="2" t="inlineStr">
        <is>
          <t>Clinic</t>
        </is>
      </c>
      <c r="N25" s="2" t="inlineStr">
        <is>
          <t>ข้อ 16 (PLE_CC1_2562_Key.md)</t>
        </is>
      </c>
      <c r="O25" s="2" t="inlineStr">
        <is>
          <t>ข้อสอบจริง</t>
        </is>
      </c>
      <c r="P25" s="2" t="inlineStr">
        <is>
          <t>ปี 2562</t>
        </is>
      </c>
    </row>
    <row r="26" ht="13.2" customHeight="1" s="37">
      <c r="A26" s="8" t="inlineStr">
        <is>
          <t>24</t>
        </is>
      </c>
      <c r="B26" s="2" t="inlineStr">
        <is>
          <t>ในปัจจุบันยาชนิดใกที่ช่วยรักษาอาการของต้อหินได้ครบทุกกลไกของการเกิดโรค</t>
        </is>
      </c>
      <c r="C26" s="2" t="n"/>
      <c r="D26" s="2" t="inlineStr">
        <is>
          <t>Timolol</t>
        </is>
      </c>
      <c r="E26" s="2" t="inlineStr">
        <is>
          <t>Latanoprost</t>
        </is>
      </c>
      <c r="F26" s="2" t="inlineStr">
        <is>
          <t>Acetazolamide</t>
        </is>
      </c>
      <c r="G26" s="2" t="inlineStr">
        <is>
          <t>Apraclonidine</t>
        </is>
      </c>
      <c r="H26" s="2" t="inlineStr">
        <is>
          <t>Pilocarpine</t>
        </is>
      </c>
      <c r="I26" s="8" t="inlineStr">
        <is>
          <t>1</t>
        </is>
      </c>
      <c r="J26" s="2" t="inlineStr">
        <is>
          <t>✅ คำตอบที่ถูกต้อง: ข้อ ก. Timolol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(Latanoprost): ข้อนี้ไม่ใช่คำตอบที่ถูกต้องสำหรับภาวะ Glaucoma, Cataract เนื่องจากกลไกการออกฤทธิ์, efficacy หรือข้อบ่งใช้ไม่ตรงกับโจทย์ที่กำหนด
• ข้อ ค. (Acetazolamide): ข้อนี้ไม่ใช่คำตอบที่ถูกต้องสำหรับภาวะ Glaucoma, Cataract เนื่องจากกลไกการออกฤทธิ์, efficacy หรือข้อบ่งใช้ไม่ตรงกับโจทย์ที่กำหนด
• ข้อ ง. (Apraclonidine): ข้อนี้ไม่ใช่คำตอบที่ถูกต้องสำหรับภาวะ Glaucoma, Cataract เนื่องจากกลไกการออกฤทธิ์, efficacy หรือข้อบ่งใช้ไม่ตรงกับโจทย์ที่กำหนด
• ข้อ จ. (Pilocarpine):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6" s="2" t="n"/>
      <c r="L26" s="2" t="inlineStr">
        <is>
          <t>Glaucoma, Cataract</t>
        </is>
      </c>
      <c r="M26" s="2" t="inlineStr">
        <is>
          <t>Clinic</t>
        </is>
      </c>
      <c r="N26" s="2" t="inlineStr">
        <is>
          <t>ข้อ 75 (Pharmtutor_2024_Set2.md)</t>
        </is>
      </c>
      <c r="O26" s="2" t="inlineStr">
        <is>
          <t>Mock</t>
        </is>
      </c>
      <c r="P26" s="2" t="inlineStr">
        <is>
          <t>Mock Pharmtutor 2024</t>
        </is>
      </c>
    </row>
    <row r="27" ht="13.2" customHeight="1" s="37">
      <c r="A27" s="8" t="inlineStr">
        <is>
          <t>25</t>
        </is>
      </c>
      <c r="B27" s="2" t="inlineStr">
        <is>
          <t>ยาหยอดตาชนิดหนึ่ง ฉลากแจ้งว่ามีปริมาณสารสำคัญ polymyxin B sulfate 10,000 units/ml วันหมดอายุคือ 12 เม.ย. 2558 แต่เมื่อตรวจวิเคราะห์พบว่ามีปริมาณสารสำคัญเพียง 8,500 units/ml ยาดังกล่าว จัดเป็นยาประเภทใด</t>
        </is>
      </c>
      <c r="C27" s="2" t="n"/>
      <c r="D27" s="2" t="inlineStr">
        <is>
          <t>ยาปลอม</t>
        </is>
      </c>
      <c r="E27" s="2" t="inlineStr">
        <is>
          <t>ยาเสื่อมคุณภาพ</t>
        </is>
      </c>
      <c r="F27" s="2" t="inlineStr">
        <is>
          <t>ยาผิดมาตรฐาน</t>
        </is>
      </c>
      <c r="G27" s="2" t="inlineStr">
        <is>
          <t>ยาเทียม</t>
        </is>
      </c>
      <c r="H27" s="2" t="inlineStr">
        <is>
          <t>ยาแปรสภาพ ตะลุยโจทย์เภสัชจุฬาฯ สอบผ่าน 100%</t>
        </is>
      </c>
      <c r="I27" s="8" t="inlineStr">
        <is>
          <t>1</t>
        </is>
      </c>
      <c r="J27" s="2" t="inlineStr">
        <is>
          <t>✅ คำตอบที่ถูกต้อง: ข้อ ก. ยาปลอม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ยาปลอม การเลือก ยาปลอม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(ยาเสื่อมคุณภาพ): ข้อนี้ไม่ใช่คำตอบที่ถูกต้องสำหรับภาวะ Glaucoma, Cataract เนื่องจากกลไกการออกฤทธิ์, efficacy หรือข้อบ่งใช้ไม่ตรงกับโจทย์ที่กำหนด
• ข้อ ค. (ยาผิดมาตรฐาน): ข้อนี้ไม่ใช่คำตอบที่ถูกต้องสำหรับภาวะ Glaucoma, Cataract เนื่องจากกลไกการออกฤทธิ์, efficacy หรือข้อบ่งใช้ไม่ตรงกับโจทย์ที่กำหนด
• ข้อ ง. (ยาเทียม): ข้อนี้ไม่ใช่คำตอบที่ถูกต้องสำหรับภาวะ Glaucoma, Cataract เนื่องจากกลไกการออกฤทธิ์, efficacy หรือข้อบ่งใช้ไม่ตรงกับโจทย์ที่กำหนด
• ข้อ จ. (ยาแปรสภาพ ตะลุยโจทย์เภสัชจุฬาฯ สอบผ่าน 100%):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7" s="2" t="n"/>
      <c r="L27" s="2" t="inlineStr">
        <is>
          <t>Glaucoma, Cataract</t>
        </is>
      </c>
      <c r="M27" s="2" t="inlineStr">
        <is>
          <t>Clinic</t>
        </is>
      </c>
      <c r="N27" s="2" t="inlineStr">
        <is>
          <t>ข้อ 3 (LAW-CU-71.md)</t>
        </is>
      </c>
      <c r="O27" s="2" t="inlineStr">
        <is>
          <t>Mock</t>
        </is>
      </c>
      <c r="P27" s="2" t="inlineStr">
        <is>
          <t>Mock กฎหมาย CU71</t>
        </is>
      </c>
    </row>
    <row r="28" ht="13.2" customHeight="1" s="37">
      <c r="A28" s="8" t="inlineStr">
        <is>
          <t>26</t>
        </is>
      </c>
      <c r="B28" s="2" t="inlineStr">
        <is>
          <t>Sodium starch glycolate เป็นสารช่วยแตกตัว Case 4: Conjunctivitis</t>
        </is>
      </c>
      <c r="C28" s="2" t="n"/>
      <c r="D28" s="2" t="inlineStr">
        <is>
          <t>Prednisolone acetate 1% eye drops</t>
        </is>
      </c>
      <c r="E28" s="2" t="inlineStr">
        <is>
          <t>Acetazolamide 250 mg BID</t>
        </is>
      </c>
      <c r="F28" s="2" t="inlineStr">
        <is>
          <t>Timolol 0.5% eye drops 1 drop BID</t>
        </is>
      </c>
      <c r="G28" s="2" t="inlineStr">
        <is>
          <t>Latanoprost 0.005% eye drops 1 drop HS</t>
        </is>
      </c>
      <c r="H28" s="2" t="inlineStr">
        <is>
          <t>Brimonidine 0.2% eye drops 1 drop BID</t>
        </is>
      </c>
      <c r="I28" s="8" t="inlineStr">
        <is>
          <t>1</t>
        </is>
      </c>
      <c r="J28" s="2" t="inlineStr">
        <is>
          <t>✅ คำตอบที่ถูกต้อง: ข้อ ก. Prednisolone acetate 1% eye drops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ข้อนี้ไม่ใช่คำตอบที่ถูกต้องสำหรับภาวะ Conjunctivitis เนื่องจากกลไกการออกฤทธิ์, efficacy หรือข้อบ่งใช้ไม่ตรงกับโจทย์ที่กำหนด
• ข้อ ค. (Timolol 0.5% eye drops 1 drop BID): ข้อนี้ไม่ใช่คำตอบที่ถูกต้องสำหรับภาวะ Conjunctivitis เนื่องจากกลไกการออกฤทธิ์, efficacy หรือข้อบ่งใช้ไม่ตรงกับโจทย์ที่กำหนด
• ข้อ ง. (Latanoprost 0.005% eye drops 1 drop HS): ข้อนี้ไม่ใช่คำตอบที่ถูกต้องสำหรับภาวะ Conjunctivitis เนื่องจากกลไกการออกฤทธิ์, efficacy หรือข้อบ่งใช้ไม่ตรงกับโจทย์ที่กำหนด
• ข้อ จ. (Brimonidine 0.2% eye drops 1 drop BID):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8" s="2" t="n"/>
      <c r="L28" s="2" t="inlineStr">
        <is>
          <t>Conjunctivitis</t>
        </is>
      </c>
      <c r="M28" s="2" t="inlineStr">
        <is>
          <t>Clinic</t>
        </is>
      </c>
      <c r="N28" s="2" t="inlineStr">
        <is>
          <t>ข้อ 1 (PLE_CC1_2555 Day 2.md)</t>
        </is>
      </c>
      <c r="O28" s="2" t="inlineStr">
        <is>
          <t>ข้อสอบจริง</t>
        </is>
      </c>
      <c r="P28" s="2" t="inlineStr">
        <is>
          <t>ปี 2555</t>
        </is>
      </c>
    </row>
    <row r="29" ht="13.2" customHeight="1" s="37">
      <c r="A29" s="8" t="inlineStr">
        <is>
          <t>27</t>
        </is>
      </c>
      <c r="B29"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 ้าตาบ้าง อาการนี้น่าจะเกิดจากสาเหตุใด</t>
        </is>
      </c>
      <c r="C29" s="2" t="n"/>
      <c r="D29" s="2" t="inlineStr">
        <is>
          <t>Latanoprost 0.005% eye drops 1 drop HS</t>
        </is>
      </c>
      <c r="E29" s="2" t="inlineStr">
        <is>
          <t>Brimonidine 0.2% eye drops 1 drop BID</t>
        </is>
      </c>
      <c r="F29" s="2" t="inlineStr">
        <is>
          <t>Dorzolamide 2% eye drops 1 drop BID</t>
        </is>
      </c>
      <c r="G29" s="2" t="inlineStr">
        <is>
          <t>Tobramycin 0.3% eye drops 1 drop QID</t>
        </is>
      </c>
      <c r="H29" s="2" t="inlineStr">
        <is>
          <t>Chloramphenicol 0.5% eye drops 1 drop QID</t>
        </is>
      </c>
      <c r="I29" s="8" t="inlineStr">
        <is>
          <t>1</t>
        </is>
      </c>
      <c r="J29" s="2" t="inlineStr">
        <is>
          <t>✅ คำตอบที่ถูกต้อง: ข้อ ก.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ข้อนี้ไม่ใช่คำตอบที่ถูกต้องสำหรับภาวะ Conjunctivitis เนื่องจากกลไกการออกฤทธิ์, efficacy หรือข้อบ่งใช้ไม่ตรงกับโจทย์ที่กำหนด
• ข้อ ค. (Dorzolamide 2% eye drops 1 drop BID): ข้อนี้ไม่ใช่คำตอบที่ถูกต้องสำหรับภาวะ Conjunctivitis เนื่องจากกลไกการออกฤทธิ์, efficacy หรือข้อบ่งใช้ไม่ตรงกับโจทย์ที่กำหนด
• ข้อ ง. (Tobramycin 0.3% eye drops 1 drop QID): ข้อนี้ไม่ใช่คำตอบที่ถูกต้องสำหรับภาวะ Conjunctivitis เนื่องจากกลไกการออกฤทธิ์, efficacy หรือข้อบ่งใช้ไม่ตรงกับโจทย์ที่กำหนด
• ข้อ จ. (Chloramphenicol 0.5% eye drops 1 drop QID):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9" s="2" t="n"/>
      <c r="L29" s="2" t="inlineStr">
        <is>
          <t>Conjunctivitis</t>
        </is>
      </c>
      <c r="M29" s="2" t="inlineStr">
        <is>
          <t>Clinic</t>
        </is>
      </c>
      <c r="N29" s="2" t="inlineStr">
        <is>
          <t>ข้อ 1 (PLE_CC1_2555 Day 2.md)</t>
        </is>
      </c>
      <c r="O29" s="2" t="inlineStr">
        <is>
          <t>ข้อสอบจริง</t>
        </is>
      </c>
      <c r="P29" s="2" t="inlineStr">
        <is>
          <t>ปี 2555</t>
        </is>
      </c>
    </row>
    <row r="30" ht="13.2" customHeight="1" s="37">
      <c r="A30" s="8" t="inlineStr">
        <is>
          <t>28</t>
        </is>
      </c>
      <c r="B30" s="2" t="inlineStr">
        <is>
          <t>เก็บยาหยอดตาไว้ที่อุณหภูมิห้องปกติ ให้แสงสว่างส่องถึง</t>
        </is>
      </c>
      <c r="C30" s="2" t="n"/>
      <c r="D30" s="2" t="inlineStr">
        <is>
          <t>Tobramycin 0.3% eye drops 1 drop QID</t>
        </is>
      </c>
      <c r="E30" s="2" t="inlineStr">
        <is>
          <t>Chloramphenicol 0.5% eye drops 1 drop QID</t>
        </is>
      </c>
      <c r="F30" s="2" t="inlineStr">
        <is>
          <t>Artificial tears 1 drop QID</t>
        </is>
      </c>
      <c r="G30" s="2" t="inlineStr">
        <is>
          <t>Antazoline/Tetrahydrozoline eye drops 1 drop TID</t>
        </is>
      </c>
      <c r="H30" s="2" t="inlineStr">
        <is>
          <t>Prednisolone acetate 1% eye drops</t>
        </is>
      </c>
      <c r="I30" s="8" t="inlineStr">
        <is>
          <t>1</t>
        </is>
      </c>
      <c r="J30" s="2" t="inlineStr">
        <is>
          <t>✅ คำตอบที่ถูกต้อง: ข้อ ก. Tobramycin 0.3%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ข้อนี้ไม่ใช่คำตอบที่ถูกต้องสำหรับภาวะ Glaucoma, Cataract เนื่องจากกลไกการออกฤทธิ์, efficacy หรือข้อบ่งใช้ไม่ตรงกับโจทย์ที่กำหนด
• ข้อ ค. (Artificial tears 1 drop QID): ข้อนี้ไม่ใช่คำตอบที่ถูกต้องสำหรับภาวะ Glaucoma, Cataract เนื่องจากกลไกการออกฤทธิ์, efficacy หรือข้อบ่งใช้ไม่ตรงกับโจทย์ที่กำหนด
• ข้อ ง. (Antazoline/Tetrahydrozoline eye drops 1 drop TID): ข้อนี้ไม่ใช่คำตอบที่ถูกต้องสำหรับภาวะ Glaucoma, Cataract เนื่องจากกลไกการออกฤทธิ์, efficacy หรือข้อบ่งใช้ไม่ตรงกับโจทย์ที่กำหนด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0" s="2" t="n"/>
      <c r="L30" s="2" t="inlineStr">
        <is>
          <t>Glaucoma, Cataract</t>
        </is>
      </c>
      <c r="M30" s="2" t="inlineStr">
        <is>
          <t>Clinic</t>
        </is>
      </c>
      <c r="N30" s="2" t="inlineStr">
        <is>
          <t>ข้อ 1 (PLE_CC1_2555 Day 2.md)</t>
        </is>
      </c>
      <c r="O30" s="2" t="inlineStr">
        <is>
          <t>ข้อสอบจริง</t>
        </is>
      </c>
      <c r="P30" s="2" t="inlineStr">
        <is>
          <t>ปี 2555</t>
        </is>
      </c>
    </row>
    <row r="31" ht="13.2" customHeight="1" s="37">
      <c r="A31" s="8" t="inlineStr">
        <is>
          <t>29</t>
        </is>
      </c>
      <c r="B31" s="2" t="inlineStr">
        <is>
          <t>เมื่อหยอดตาเสร็จแล้ว หลับตาสักครู่ และไม่ควรใช้ยาร่วมกับผู้อื่น</t>
        </is>
      </c>
      <c r="C31" s="2" t="n"/>
      <c r="D31" s="2" t="inlineStr">
        <is>
          <t>Antazoline/Tetrahydrozoline eye drops 1 drop TID</t>
        </is>
      </c>
      <c r="E31" s="2" t="inlineStr">
        <is>
          <t>Prednisolone acetate 1% eye drops</t>
        </is>
      </c>
      <c r="F31" s="2" t="inlineStr">
        <is>
          <t>Acetazolamide 250 mg BID</t>
        </is>
      </c>
      <c r="G31" s="2" t="inlineStr">
        <is>
          <t>Timolol 0.5% eye drops 1 drop BID</t>
        </is>
      </c>
      <c r="H31" s="2" t="inlineStr">
        <is>
          <t>Latanoprost 0.005% eye drops 1 drop HS</t>
        </is>
      </c>
      <c r="I31" s="8" t="inlineStr">
        <is>
          <t>1</t>
        </is>
      </c>
      <c r="J31" s="2" t="inlineStr">
        <is>
          <t>✅ คำตอบที่ถูกต้อง: ข้อ ก. Antazoline/Tetrahydrozoline eye drops 1 drop TID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ข้อนี้ไม่ใช่คำตอบที่ถูกต้องสำหรับภาวะ Glaucoma, Cataract เนื่องจากกลไกการออกฤทธิ์, efficacy หรือข้อบ่งใช้ไม่ตรงกับโจทย์ที่กำหนด
• ข้อ ง. (Timolol 0.5%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จ. (Latanoprost 0.005% eye drops 1 drop HS):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1" s="2" t="n"/>
      <c r="L31" s="2" t="inlineStr">
        <is>
          <t>Glaucoma, Cataract</t>
        </is>
      </c>
      <c r="M31" s="2" t="inlineStr">
        <is>
          <t>Clinic</t>
        </is>
      </c>
      <c r="N31" s="2" t="inlineStr">
        <is>
          <t>ข้อ 2 (PLE_CC1_2555 Day 2.md)</t>
        </is>
      </c>
      <c r="O31" s="2" t="inlineStr">
        <is>
          <t>ข้อสอบจริง</t>
        </is>
      </c>
      <c r="P31" s="2" t="inlineStr">
        <is>
          <t>ปี 2555</t>
        </is>
      </c>
    </row>
    <row r="32" ht="13.2" customHeight="1" s="37">
      <c r="A32" s="8" t="inlineStr">
        <is>
          <t>30</t>
        </is>
      </c>
      <c r="B32" s="2" t="inlineStr">
        <is>
          <t>หากลืมหยอดตา สามารถหยอดพร้อมกัน 2 หยดในครั้งถัดไปได้</t>
        </is>
      </c>
      <c r="C32" s="2" t="n"/>
      <c r="D32" s="2" t="inlineStr">
        <is>
          <t>Timolol 0.5% eye drops 1 drop BID</t>
        </is>
      </c>
      <c r="E32" s="2" t="inlineStr">
        <is>
          <t>Latanoprost 0.005% eye drops 1 drop HS</t>
        </is>
      </c>
      <c r="F32" s="2" t="inlineStr">
        <is>
          <t>Brimonidine 0.2% eye drops 1 drop BID</t>
        </is>
      </c>
      <c r="G32" s="2" t="inlineStr">
        <is>
          <t>Dorzolamide 2% eye drops 1 drop BID</t>
        </is>
      </c>
      <c r="H32" s="2" t="inlineStr">
        <is>
          <t>Tobramycin 0.3% eye drops 1 drop QID</t>
        </is>
      </c>
      <c r="I32" s="8" t="inlineStr">
        <is>
          <t>1</t>
        </is>
      </c>
      <c r="J32" s="2" t="inlineStr">
        <is>
          <t>✅ คำตอบที่ถูกต้อง: ข้อ ก. Timolol 0.5% eye drops 1 drop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Timolol 0.5% eye drops 1 drop BID การเลือก Timolol 0.5%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(Latanoprost 0.005% eye drops 1 drop HS): ข้อนี้ไม่ใช่คำตอบที่ถูกต้องสำหรับภาวะ Glaucoma, Cataract เนื่องจากกลไกการออกฤทธิ์, efficacy หรือข้อบ่งใช้ไม่ตรงกับโจทย์ที่กำหนด
• ข้อ ค. (Brimonidine 0.2%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ง. (Dorzolamide 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จ. (Tobramycin 0.3% eye drops 1 drop QID):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 s="2" t="n"/>
      <c r="L32" s="2" t="inlineStr">
        <is>
          <t>Glaucoma, Cataract</t>
        </is>
      </c>
      <c r="M32" s="2" t="inlineStr">
        <is>
          <t>Clinic</t>
        </is>
      </c>
      <c r="N32" s="2" t="inlineStr">
        <is>
          <t>ข้อ 4 (PLE_CC1_2555 Day 2.md)</t>
        </is>
      </c>
      <c r="O32" s="2" t="inlineStr">
        <is>
          <t>ข้อสอบจริง</t>
        </is>
      </c>
      <c r="P32" s="2" t="inlineStr">
        <is>
          <t>ปี 2555</t>
        </is>
      </c>
    </row>
    <row r="33" ht="13.2" customHeight="1" s="37">
      <c r="A33" s="8" t="inlineStr">
        <is>
          <t>31</t>
        </is>
      </c>
      <c r="B33" s="2" t="inlineStr">
        <is>
          <t>ยาใดจะทำให้อาการตาแดงของผู้หญิงรายนี้หายไปได้ดีที่สุด</t>
        </is>
      </c>
      <c r="C33" s="2" t="n"/>
      <c r="D33" s="2" t="inlineStr">
        <is>
          <t>Antihistamines</t>
        </is>
      </c>
      <c r="E33" s="2" t="inlineStr">
        <is>
          <t>Antibacterials</t>
        </is>
      </c>
      <c r="F33" s="2" t="inlineStr">
        <is>
          <t>Antivirals</t>
        </is>
      </c>
      <c r="G33" s="2" t="inlineStr">
        <is>
          <t>Vasoconstrictors</t>
        </is>
      </c>
      <c r="H33" s="2" t="inlineStr">
        <is>
          <t>mast cell stabilizers decongestant หรือ oral antihistamine (ref: หนังสือ survival guideline on pharmacotherapy Rx30 care&amp; Rx31 science,Pharmacy, PSU)</t>
        </is>
      </c>
      <c r="I33" s="8" t="inlineStr">
        <is>
          <t>1</t>
        </is>
      </c>
      <c r="J33" s="2" t="inlineStr">
        <is>
          <t>✅ คำตอบที่ถูกต้อง: ข้อ ก. Antihistamines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Antihistamines การเลือก Antihistamines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(Antibacterials): ข้อนี้ไม่ใช่คำตอบที่ถูกต้องสำหรับภาวะ Conjunctivitis เนื่องจากกลไกการออกฤทธิ์, efficacy หรือข้อบ่งใช้ไม่ตรงกับโจทย์ที่กำหนด
• ข้อ ค. (Antivirals): ข้อนี้ไม่ใช่คำตอบที่ถูกต้องสำหรับภาวะ Conjunctivitis เนื่องจากกลไกการออกฤทธิ์, efficacy หรือข้อบ่งใช้ไม่ตรงกับโจทย์ที่กำหนด
• ข้อ ง. (Vasoconstrictors): ข้อนี้ไม่ใช่คำตอบที่ถูกต้องสำหรับภาวะ Conjunctivitis เนื่องจากกลไกการออกฤทธิ์, efficacy หรือข้อบ่งใช้ไม่ตรงกับโจทย์ที่กำหนด
• ข้อ จ. (mast cell stabilizers decongestant หรือ oral antihistamine (ref: หนังสือ survival guideline on pharmacotherapy Rx30 care&amp; Rx31 science,Pharmacy, PSU)):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 s="2" t="n"/>
      <c r="L33" s="2" t="inlineStr">
        <is>
          <t>Conjunctivitis</t>
        </is>
      </c>
      <c r="M33" s="2" t="inlineStr">
        <is>
          <t>Clinic</t>
        </is>
      </c>
      <c r="N33" s="2" t="inlineStr">
        <is>
          <t>ข้อ 2 (PLE_CC1_2554 SET2.md)</t>
        </is>
      </c>
      <c r="O33" s="2" t="inlineStr">
        <is>
          <t>ข้อสอบจริง</t>
        </is>
      </c>
      <c r="P33" s="2" t="inlineStr">
        <is>
          <t>ปี 2554</t>
        </is>
      </c>
    </row>
    <row r="34" ht="13.2" customHeight="1" s="37">
      <c r="A34" s="8" t="inlineStr">
        <is>
          <t>32</t>
        </is>
      </c>
      <c r="B34" s="2" t="inlineStr">
        <is>
          <t>ข้อใดผิดเกี่ยวกับคำแนะนาในการหยอดตา</t>
        </is>
      </c>
      <c r="C34" s="2" t="n"/>
      <c r="D34" s="2" t="inlineStr">
        <is>
          <t>การป้องกันรสขมจากยาหยอดตา ทำได้โดยการกดบริเวณหัวตา</t>
        </is>
      </c>
      <c r="E34" s="2" t="inlineStr">
        <is>
          <t>ควรใช้ขี้ผึ้งป้ายตา หลัง ยาหยอดตา 5-10 นาที</t>
        </is>
      </c>
      <c r="F34" s="2" t="inlineStr">
        <is>
          <t>อายุของยาหยอดตา คือ 1 เดือนหลังจากเปิดใช้</t>
        </is>
      </c>
      <c r="G34" s="2" t="inlineStr">
        <is>
          <t>ยาหยอดตาทุกชนิด ต้องเก็บในตู้เย็น</t>
        </is>
      </c>
      <c r="H34" s="2" t="inlineStr">
        <is>
          <t>หากสีของยาหยอดตาเปลี่ยนไปทุกกรณี ควรนำไปทิ้ง (ref: http://webnotes.fda.moph.go.th/consumer/csmb/csmb2545.nsf/%E0%B8%AA%E0%B8%B2%E0%B8% A3%E0%B8%B0%E0%B8%84%E0%B8%A7%E0%B8%B2%E0%B8%A1%E0%B8%A3%E0%B8%B 9%E0%B9%89/4FA119FDCBBF8A23C7256CCC0023CD5C?opendocument)</t>
        </is>
      </c>
      <c r="I34" s="8" t="inlineStr">
        <is>
          <t>4</t>
        </is>
      </c>
      <c r="J34" s="2" t="inlineStr">
        <is>
          <t>✅ คำตอบที่ถูกต้อง: ข้อ ง. ยาหยอดตาทุกชนิด ต้องเก็บในตู้เย็น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ยาหยอดตาทุกชนิด ต้องเก็บในตู้เย็น การเลือก ยาหยอดตาทุกชนิด ต้องเก็บในตู้เย็น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ก. (การป้องกันรสขมจากยาหยอดตา ทำได้โดยการกดบริเวณหัวตา): ข้อนี้ไม่ใช่คำตอบที่ถูกต้องสำหรับภาวะ Glaucoma, Cataract เนื่องจากกลไกการออกฤทธิ์, efficacy หรือข้อบ่งใช้ไม่ตรงกับโจทย์ที่กำหนด
• ข้อ ข. (ควรใช้ขี้ผึ้งป้ายตา หลัง ยาหยอดตา 5-10 นาที): ข้อนี้ไม่ใช่คำตอบที่ถูกต้องสำหรับภาวะ Glaucoma, Cataract เนื่องจากกลไกการออกฤทธิ์, efficacy หรือข้อบ่งใช้ไม่ตรงกับโจทย์ที่กำหนด
• ข้อ ค. (อายุของยาหยอดตา คือ 1 เดือนหลังจากเปิดใช้): ข้อนี้ไม่ใช่คำตอบที่ถูกต้องสำหรับภาวะ Glaucoma, Cataract เนื่องจากกลไกการออกฤทธิ์, efficacy หรือข้อบ่งใช้ไม่ตรงกับโจทย์ที่กำหนด
• ข้อ จ. (หากสีของยาหยอดตาเปลี่ยนไปทุกกรณี ควรนำไปทิ้ง (ref: http://webnotes.fda.moph.go.th/consumer/csmb/csmb2545.nsf/%E0%B8%AA%E0%B8%B2%E0%B8% A3%E0%B8%B0%E0%B8%84%E0%B8%A7%E0%B8%B2%E0%B8%A1%E0%B8%A3%E0%B8%B 9%E0%B9%89/4FA119FDCBBF8A23C7256CCC0023CD5C?opendocument)):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4" s="2" t="n"/>
      <c r="L34" s="2" t="inlineStr">
        <is>
          <t>Glaucoma, Cataract</t>
        </is>
      </c>
      <c r="M34" s="2" t="inlineStr">
        <is>
          <t>Clinic</t>
        </is>
      </c>
      <c r="N34" s="2" t="inlineStr">
        <is>
          <t>ข้อ 6 (PLE_CC1_2554 SET2.md)</t>
        </is>
      </c>
      <c r="O34" s="2" t="inlineStr">
        <is>
          <t>ข้อสอบจริง</t>
        </is>
      </c>
      <c r="P34" s="2" t="inlineStr">
        <is>
          <t>ปี 2554</t>
        </is>
      </c>
    </row>
    <row r="35" ht="13.2" customHeight="1" s="37">
      <c r="A35" s="8" t="inlineStr">
        <is>
          <t>33</t>
        </is>
      </c>
      <c r="B35" s="2" t="inlineStr">
        <is>
          <t>เชื้อก่อโรคใดต่อไปนี้พบเป็นสาเหตุน้อยที่สุดที่ทำให้เกิดเยื่อบุตาอักเสบ (conjunctivitis)</t>
        </is>
      </c>
      <c r="C35" s="2" t="n"/>
      <c r="D35" s="2" t="inlineStr">
        <is>
          <t>Adenovirus</t>
        </is>
      </c>
      <c r="E35" s="2" t="inlineStr">
        <is>
          <t>Rhinovirus</t>
        </is>
      </c>
      <c r="F35" s="2" t="inlineStr">
        <is>
          <t>Streptococcous spp.</t>
        </is>
      </c>
      <c r="G35" s="2" t="inlineStr">
        <is>
          <t>Haemophilus influenza</t>
        </is>
      </c>
      <c r="H35" s="2" t="inlineStr">
        <is>
          <t>Staphylococcous spp.</t>
        </is>
      </c>
      <c r="I35" s="8" t="inlineStr">
        <is>
          <t>1</t>
        </is>
      </c>
      <c r="J35" s="2" t="inlineStr">
        <is>
          <t>✅ คำตอบที่ถูกต้อง: ข้อ ก. Adenovirus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Adenovirus การเลือก Adenovirus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(Rhinovirus): ข้อนี้ไม่ใช่คำตอบที่ถูกต้องสำหรับภาวะ Conjunctivitis เนื่องจากกลไกการออกฤทธิ์, efficacy หรือข้อบ่งใช้ไม่ตรงกับโจทย์ที่กำหนด
• ข้อ ค. (Streptococcous spp.): ข้อนี้ไม่ใช่คำตอบที่ถูกต้องสำหรับภาวะ Conjunctivitis เนื่องจากกลไกการออกฤทธิ์, efficacy หรือข้อบ่งใช้ไม่ตรงกับโจทย์ที่กำหนด
• ข้อ ง. (Haemophilus influenza): วัคซีนไข้หวัดใหญ่ชนิด inactivated ฉีดปีละ 1 ครั้ง ในกลุ่มเสี่ยง 7 กลุ่มโรคเรื้อรัง และเด็กอายุ 6 เดือน - 2 ปี
• ข้อ จ. (Staphylococcous spp.):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5" s="2" t="n"/>
      <c r="L35" s="2" t="inlineStr">
        <is>
          <t>Conjunctivitis</t>
        </is>
      </c>
      <c r="M35" s="2" t="inlineStr">
        <is>
          <t>Clinic</t>
        </is>
      </c>
      <c r="N35" s="2" t="inlineStr">
        <is>
          <t>ข้อ 28 (PLE_CC1_Practice_Exam.md)</t>
        </is>
      </c>
      <c r="O35" s="2" t="inlineStr">
        <is>
          <t>Mock</t>
        </is>
      </c>
      <c r="P35" s="2" t="inlineStr">
        <is>
          <t>Mock สภาเภสัชฯ Practice</t>
        </is>
      </c>
    </row>
    <row r="36" ht="13.2" customHeight="1" s="37">
      <c r="A36" s="8" t="inlineStr">
        <is>
          <t>34</t>
        </is>
      </c>
      <c r="B36" s="2" t="inlineStr">
        <is>
          <t>ต่อมาผู้ป่วยหญิงไทยรายเดิมมาขอซื้อยาหยอดตาตัวเดิมเนื่องจากมีอาการตามัว ปวดตามาก และตาสู้แสง ไม่ได้ เป็นมา 5 วันแล้ว ข้อใดเป็นข้อปฏิบัติที่ถูกต้องที่สุด</t>
        </is>
      </c>
      <c r="C36" s="2" t="n"/>
      <c r="D36" s="2" t="inlineStr">
        <is>
          <t>ซักประวัติหาสาเหตุที่เกิดขึ้นพร้อมกับจ่ายยาตัวเดิมเพื่อบรรเทาอาการ</t>
        </is>
      </c>
      <c r="E36" s="2" t="inlineStr">
        <is>
          <t>เปลี่ยนตัวยาที่มีข้อบ่งใช้เดิมแต่เป็นยากลุ่มใหม่เนื่องจากผู้ป่วยยังคงมีอาการเกี่ยวกับดวงตาอยู่</t>
        </is>
      </c>
      <c r="F36" s="2" t="inlineStr">
        <is>
          <t>ซักประวัติเพิ่มเติมเกี่ยวกับโรคประจำตัว การใช้ยาก่อนหน้า การมองเห็น</t>
        </is>
      </c>
      <c r="G36" s="2" t="inlineStr">
        <is>
          <t>แนะนำให้ผู้ป่วยสังเกตอาการไปก่อนถ้าไม่ดีขึ้นให้กลับมาพบเภสัชกรอีกครั้งเพื่อหาสาเหตุ</t>
        </is>
      </c>
      <c r="H36" s="2" t="inlineStr">
        <is>
          <t>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t>
        </is>
      </c>
      <c r="I36" s="8" t="inlineStr">
        <is>
          <t>1</t>
        </is>
      </c>
      <c r="J36" s="2" t="inlineStr">
        <is>
          <t>✅ คำตอบที่ถูกต้อง: ข้อ ก. ซักประวัติหาสาเหตุที่เกิดขึ้นพร้อมกับจ่ายยาตัวเดิมเพื่อบรรเทาอาการ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ซักประวัติหาสาเหตุที่เกิดขึ้นพร้อมกับจ่ายยาตัวเดิมเพื่อบรรเทาอาการ การเลือก ซักประวัติหาสาเหตุที่เกิดขึ้นพร้อมกับจ่ายยาตัวเดิมเพื่อบรรเทาอาการ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เปลี่ยนตัวยาที่มีข้อบ่งใช้เดิมแต่เป็นยากลุ่มใหม่เนื่องจากผู้ป่วยยังคงมีอาการเกี่ยวกับดวงตาอยู่): ข้อนี้ไม่ใช่คำตอบที่ถูกต้องสำหรับภาวะ Glaucoma, Cataract เนื่องจากกลไกการออกฤทธิ์, efficacy หรือข้อบ่งใช้ไม่ตรงกับโจทย์ที่กำหนด
• ข้อ ค. (ซักประวัติเพิ่มเติมเกี่ยวกับโรคประจำตัว การใช้ยาก่อนหน้า การมองเห็น): ข้อนี้ไม่ใช่คำตอบที่ถูกต้องสำหรับภาวะ Glaucoma, Cataract เนื่องจากกลไกการออกฤทธิ์, efficacy หรือข้อบ่งใช้ไม่ตรงกับโจทย์ที่กำหนด
• ข้อ ง. (แนะนำให้ผู้ป่วยสังเกตอาการไปก่อนถ้าไม่ดีขึ้นให้กลับมาพบเภสัชกรอีกครั้งเพื่อหาสาเหตุ): ข้อนี้ไม่ใช่คำตอบที่ถูกต้องสำหรับภาวะ Glaucoma, Cataract เนื่องจากกลไกการออกฤทธิ์, efficacy หรือข้อบ่งใช้ไม่ตรงกับโจทย์ที่กำหนด
• ข้อ จ.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6" s="2" t="n"/>
      <c r="L36" s="2" t="inlineStr">
        <is>
          <t>Glaucoma, Cataract</t>
        </is>
      </c>
      <c r="M36" s="2" t="inlineStr">
        <is>
          <t>Clinic</t>
        </is>
      </c>
      <c r="N36" s="2" t="inlineStr">
        <is>
          <t>ข้อ 9 (PLE_CC1_Practice_Exam.md)</t>
        </is>
      </c>
      <c r="O36" s="2" t="inlineStr">
        <is>
          <t>Mock</t>
        </is>
      </c>
      <c r="P36" s="2" t="inlineStr">
        <is>
          <t>Mock สภาเภสัชฯ Practice</t>
        </is>
      </c>
    </row>
    <row r="37" ht="13.2" customHeight="1" s="37">
      <c r="A37" s="8" t="inlineStr">
        <is>
          <t>35</t>
        </is>
      </c>
      <c r="B37" s="2" t="inlineStr">
        <is>
          <t>สถานการณ์จำลอง ณ ร้านยา หญิงไทยวัยกลางคน มาขอซื้อยา เนื่องจากมีอาการน้ำมูกไหล คันและคัดจมูก จามบ่อยๆ เป็นมา ตั้งแต่เดือนที่แล้ว โดยมีอาการประมาณ 2 ครั้งต่อสัปดาห์ เภสัชกรได้สอบถามเพิ่มเติมพบว่าน้ำมูกมีลักษณะ ใส ไม่มีไข้ คันตาเป็นบางครั้ง และมักเป็นช่วงกลางวัน ปัจจุบันมีอาชีพเป็นแม่ค้าขายข้าวแกง โดยช่วงนี้มีการ ทำถนนหน้าร้าน และมีโรคที่เป็นอยู่คือต้อหิน ปฏิเสธการแพ้ยา ถ้าท่านเป็นเภสัชกรประจำร้านยาจะมีวิธีการ จัดการอย่างไรจึงจะเหมาะสมที่สุด</t>
        </is>
      </c>
      <c r="C37" s="2" t="n"/>
      <c r="D37" s="2" t="inlineStr">
        <is>
          <t>จ่ายยา Actifedห</t>
        </is>
      </c>
      <c r="E37" s="2" t="inlineStr">
        <is>
          <t>จ่ายยา Hydroxyzine</t>
        </is>
      </c>
      <c r="F37" s="2" t="inlineStr">
        <is>
          <t>จ่ายยา Fexofenadine</t>
        </is>
      </c>
      <c r="G37" s="2" t="inlineStr">
        <is>
          <t>จ่ายยา Brompheniramine</t>
        </is>
      </c>
      <c r="H37" s="2" t="inlineStr">
        <is>
          <t>จ่ายยา Chlorpheniramine</t>
        </is>
      </c>
      <c r="I37" s="8" t="inlineStr">
        <is>
          <t>1</t>
        </is>
      </c>
      <c r="J37" s="2" t="inlineStr">
        <is>
          <t>✅ คำตอบที่ถูกต้อง: ข้อ ก. จ่ายยา Actifedห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จ่ายยา Actifedห จ่ายยา Actifed ห จ่ายยา Actifed ห จ่ายยา Actifed ห จ่ายยา Actifed ห การเลือก จ่ายยา Actifed ห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(จ่ายยา Hydroxyzine): ข้อนี้ไม่ใช่คำตอบที่ถูกต้องสำหรับภาวะ Glaucoma, Cataract เนื่องจากกลไกการออกฤทธิ์, efficacy หรือข้อบ่งใช้ไม่ตรงกับโจทย์ที่กำหนด
• ข้อ ค. (จ่ายยา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(จ่ายยา Brompheniramine): ข้อนี้ไม่ใช่คำตอบที่ถูกต้องสำหรับภาวะ Glaucoma, Cataract เนื่องจากกลไกการออกฤทธิ์, efficacy หรือข้อบ่งใช้ไม่ตรงกับโจทย์ที่กำหนด
• ข้อ จ. (จ่ายยา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7" s="2" t="n"/>
      <c r="L37" s="2" t="inlineStr">
        <is>
          <t>Glaucoma, Cataract</t>
        </is>
      </c>
      <c r="M37" s="2" t="inlineStr">
        <is>
          <t>Clinic</t>
        </is>
      </c>
      <c r="N37" s="2" t="inlineStr">
        <is>
          <t>ข้อ 27 (PLE_CC1_Practice_Exam.md)</t>
        </is>
      </c>
      <c r="O37" s="2" t="inlineStr">
        <is>
          <t>Mock</t>
        </is>
      </c>
      <c r="P37" s="2" t="inlineStr">
        <is>
          <t>Mock สภาเภสัชฯ Practice</t>
        </is>
      </c>
    </row>
    <row r="38" ht="13.2" customHeight="1" s="37">
      <c r="A38" s="8" t="inlineStr">
        <is>
          <t>36</t>
        </is>
      </c>
      <c r="B38" s="2" t="inlineStr">
        <is>
          <t>Sodium starch glycolate เป็นสารช่วยแตกตัว เรื่องที่ 4 Conjunctivitis</t>
        </is>
      </c>
      <c r="C38" s="2" t="n"/>
      <c r="D38" s="2" t="inlineStr">
        <is>
          <t>Prednisolone acetate 1% eye drops</t>
        </is>
      </c>
      <c r="E38" s="2" t="inlineStr">
        <is>
          <t>Acetazolamide 250 mg BID</t>
        </is>
      </c>
      <c r="F38" s="2" t="inlineStr">
        <is>
          <t>Timolol 0.5% eye drops 1 drop BID</t>
        </is>
      </c>
      <c r="G38" s="2" t="inlineStr">
        <is>
          <t>Latanoprost 0.005% eye drops 1 drop HS</t>
        </is>
      </c>
      <c r="H38" s="2" t="inlineStr">
        <is>
          <t>Brimonidine 0.2% eye drops 1 drop BID</t>
        </is>
      </c>
      <c r="I38" s="8" t="inlineStr">
        <is>
          <t>1</t>
        </is>
      </c>
      <c r="J38" s="2" t="inlineStr">
        <is>
          <t>✅ คำตอบที่ถูกต้อง: ข้อ ก. Prednisolone acetate 1% eye drops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ข้อนี้ไม่ใช่คำตอบที่ถูกต้องสำหรับภาวะ Conjunctivitis เนื่องจากกลไกการออกฤทธิ์, efficacy หรือข้อบ่งใช้ไม่ตรงกับโจทย์ที่กำหนด
• ข้อ ค. (Timolol 0.5% eye drops 1 drop BID): ข้อนี้ไม่ใช่คำตอบที่ถูกต้องสำหรับภาวะ Conjunctivitis เนื่องจากกลไกการออกฤทธิ์, efficacy หรือข้อบ่งใช้ไม่ตรงกับโจทย์ที่กำหนด
• ข้อ ง. (Latanoprost 0.005% eye drops 1 drop HS): ข้อนี้ไม่ใช่คำตอบที่ถูกต้องสำหรับภาวะ Conjunctivitis เนื่องจากกลไกการออกฤทธิ์, efficacy หรือข้อบ่งใช้ไม่ตรงกับโจทย์ที่กำหนด
• ข้อ จ. (Brimonidine 0.2% eye drops 1 drop BID):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8" s="2" t="n"/>
      <c r="L38" s="2" t="inlineStr">
        <is>
          <t>Conjunctivitis</t>
        </is>
      </c>
      <c r="M38" s="2" t="inlineStr">
        <is>
          <t>Clinic</t>
        </is>
      </c>
      <c r="N38" s="2" t="inlineStr">
        <is>
          <t>ข้อ 1 (PLE_CC1_Key_Rx20_UBU.md)</t>
        </is>
      </c>
      <c r="O38" s="2" t="inlineStr">
        <is>
          <t>Mock</t>
        </is>
      </c>
      <c r="P38" s="2" t="inlineStr">
        <is>
          <t>Mock Rx20 UBU</t>
        </is>
      </c>
    </row>
    <row r="39" ht="13.2" customHeight="1" s="37">
      <c r="A39" s="8" t="inlineStr">
        <is>
          <t>37</t>
        </is>
      </c>
      <c r="B39"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และมีน้ำตาบ้าง อาการนี้น่าจะเกิดจากสาเหตุใด</t>
        </is>
      </c>
      <c r="C39" s="2" t="n"/>
      <c r="D39" s="2" t="inlineStr">
        <is>
          <t>Latanoprost 0.005% eye drops 1 drop HS</t>
        </is>
      </c>
      <c r="E39" s="2" t="inlineStr">
        <is>
          <t>Brimonidine 0.2% eye drops 1 drop BID</t>
        </is>
      </c>
      <c r="F39" s="2" t="inlineStr">
        <is>
          <t>Dorzolamide 2% eye drops 1 drop BID</t>
        </is>
      </c>
      <c r="G39" s="2" t="inlineStr">
        <is>
          <t>Tobramycin 0.3% eye drops 1 drop QID</t>
        </is>
      </c>
      <c r="H39" s="2" t="inlineStr">
        <is>
          <t>Chloramphenicol 0.5% eye drops 1 drop QID</t>
        </is>
      </c>
      <c r="I39" s="8" t="inlineStr">
        <is>
          <t>1</t>
        </is>
      </c>
      <c r="J39" s="2" t="inlineStr">
        <is>
          <t>✅ คำตอบที่ถูกต้อง: ข้อ ก.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ข้อนี้ไม่ใช่คำตอบที่ถูกต้องสำหรับภาวะ Conjunctivitis เนื่องจากกลไกการออกฤทธิ์, efficacy หรือข้อบ่งใช้ไม่ตรงกับโจทย์ที่กำหนด
• ข้อ ค. (Dorzolamide 2% eye drops 1 drop BID): ข้อนี้ไม่ใช่คำตอบที่ถูกต้องสำหรับภาวะ Conjunctivitis เนื่องจากกลไกการออกฤทธิ์, efficacy หรือข้อบ่งใช้ไม่ตรงกับโจทย์ที่กำหนด
• ข้อ ง. (Tobramycin 0.3% eye drops 1 drop QID): ข้อนี้ไม่ใช่คำตอบที่ถูกต้องสำหรับภาวะ Conjunctivitis เนื่องจากกลไกการออกฤทธิ์, efficacy หรือข้อบ่งใช้ไม่ตรงกับโจทย์ที่กำหนด
• ข้อ จ. (Chloramphenicol 0.5% eye drops 1 drop QID):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2" t="n"/>
      <c r="L39" s="2" t="inlineStr">
        <is>
          <t>Conjunctivitis</t>
        </is>
      </c>
      <c r="M39" s="2" t="inlineStr">
        <is>
          <t>Clinic</t>
        </is>
      </c>
      <c r="N39" s="2" t="inlineStr">
        <is>
          <t>ข้อ 1 (PLE_CC1_Key_Rx20_UBU.md)</t>
        </is>
      </c>
      <c r="O39" s="2" t="inlineStr">
        <is>
          <t>Mock</t>
        </is>
      </c>
      <c r="P39" s="2" t="inlineStr">
        <is>
          <t>Mock Rx20 UBU</t>
        </is>
      </c>
    </row>
    <row r="40" ht="13.2" customHeight="1" s="37">
      <c r="A40" s="8" t="inlineStr">
        <is>
          <t>38</t>
        </is>
      </c>
      <c r="B40" s="2" t="inlineStr">
        <is>
          <t>เมื่อหยอดตาเสร็จแล้ว หลับตาสักครู่ และไม่ควรใช้ยาร่วมกับผู้อื่น</t>
        </is>
      </c>
      <c r="C40" s="2" t="n"/>
      <c r="D40" s="2" t="inlineStr">
        <is>
          <t>Tobramycin 0.3% eye drops 1 drop QID</t>
        </is>
      </c>
      <c r="E40" s="2" t="inlineStr">
        <is>
          <t>Chloramphenicol 0.5% eye drops 1 drop QID</t>
        </is>
      </c>
      <c r="F40" s="2" t="inlineStr">
        <is>
          <t>Artificial tears 1 drop QID</t>
        </is>
      </c>
      <c r="G40" s="2" t="inlineStr">
        <is>
          <t>Antazoline/Tetrahydrozoline eye drops 1 drop TID</t>
        </is>
      </c>
      <c r="H40" s="2" t="inlineStr">
        <is>
          <t>Prednisolone acetate 1% eye drops</t>
        </is>
      </c>
      <c r="I40" s="8" t="inlineStr">
        <is>
          <t>1</t>
        </is>
      </c>
      <c r="J40" s="2" t="inlineStr">
        <is>
          <t>✅ คำตอบที่ถูกต้อง: ข้อ ก. Tobramycin 0.3%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ข้อนี้ไม่ใช่คำตอบที่ถูกต้องสำหรับภาวะ Glaucoma, Cataract เนื่องจากกลไกการออกฤทธิ์, efficacy หรือข้อบ่งใช้ไม่ตรงกับโจทย์ที่กำหนด
• ข้อ ค. (Artificial tears 1 drop QID): ข้อนี้ไม่ใช่คำตอบที่ถูกต้องสำหรับภาวะ Glaucoma, Cataract เนื่องจากกลไกการออกฤทธิ์, efficacy หรือข้อบ่งใช้ไม่ตรงกับโจทย์ที่กำหนด
• ข้อ ง. (Antazoline/Tetrahydrozoline eye drops 1 drop TID): ข้อนี้ไม่ใช่คำตอบที่ถูกต้องสำหรับภาวะ Glaucoma, Cataract เนื่องจากกลไกการออกฤทธิ์, efficacy หรือข้อบ่งใช้ไม่ตรงกับโจทย์ที่กำหนด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0" s="2" t="n"/>
      <c r="L40" s="2" t="inlineStr">
        <is>
          <t>Glaucoma, Cataract</t>
        </is>
      </c>
      <c r="M40" s="2" t="inlineStr">
        <is>
          <t>Clinic</t>
        </is>
      </c>
      <c r="N40" s="2" t="inlineStr">
        <is>
          <t>ข้อ 2 (PLE_CC1_Key_Rx20_UBU.md)</t>
        </is>
      </c>
      <c r="O40" s="2" t="inlineStr">
        <is>
          <t>Mock</t>
        </is>
      </c>
      <c r="P40" s="2" t="inlineStr">
        <is>
          <t>Mock Rx20 UBU</t>
        </is>
      </c>
    </row>
    <row r="41" ht="13.2" customHeight="1" s="37">
      <c r="A41" s="8" t="inlineStr">
        <is>
          <t>39</t>
        </is>
      </c>
      <c r="B41" s="2" t="inlineStr">
        <is>
          <t>... มักไม่มีขี้ตาหรือมีขี้ตาเป็นเมือกใสๆ เล็กน้อย การติดต่อของโรคเกิดโดยตรงจากการสัมผัส การใช้ของร่วมกัน การไอจาม แม้กระทั่งการหายใจรดกันก็อาจทำให้เชื้อแพร่กระจายได้ หลังจากได้รับเชื้อแล้วจะทำให้เกิดอาการภายใน 1-2 วัน และเมื่อเกิดเป็นตาแดงขึ้น จะมีโอกาสแพร่เชื้อให้ผู้อื่นนานถึง 2 สัปดาห์</t>
        </is>
      </c>
      <c r="C41" s="2" t="n"/>
      <c r="D41" s="2" t="inlineStr">
        <is>
          <t>Antazoline/Tetrahydrozoline eye drops 1 drop TID</t>
        </is>
      </c>
      <c r="E41" s="2" t="inlineStr">
        <is>
          <t>Prednisolone acetate 1% eye drops</t>
        </is>
      </c>
      <c r="F41" s="2" t="inlineStr">
        <is>
          <t>Acetazolamide 250 mg BID</t>
        </is>
      </c>
      <c r="G41" s="2" t="inlineStr">
        <is>
          <t>Timolol 0.5% eye drops 1 drop BID</t>
        </is>
      </c>
      <c r="H41" s="2" t="inlineStr">
        <is>
          <t>Latanoprost 0.005% eye drops 1 drop HS</t>
        </is>
      </c>
      <c r="I41" s="8" t="inlineStr">
        <is>
          <t>5</t>
        </is>
      </c>
      <c r="J41" s="2" t="inlineStr">
        <is>
          <t>✅ คำตอบที่ถูกต้อง: ข้อ จ. Latanoprost 0.005% eye drops 1 drop HS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ก. (Antazoline/Tetrahydrozoline eye drops 1 drop TID): ข้อนี้ไม่ใช่คำตอบที่ถูกต้องสำหรับภาวะ Conjunctivitis เนื่องจากกลไกการออกฤทธิ์, efficacy หรือข้อบ่งใช้ไม่ตรงกับโจทย์ที่กำหนด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ข้อนี้ไม่ใช่คำตอบที่ถูกต้องสำหรับภาวะ Conjunctivitis เนื่องจากกลไกการออกฤทธิ์, efficacy หรือข้อบ่งใช้ไม่ตรงกับโจทย์ที่กำหนด
• ข้อ ง. (Timolol 0.5% eye drops 1 drop BID): ข้อนี้ไม่ใช่คำตอบที่ถูกต้องสำหรับภาวะ Conjunctivitis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1" s="2" t="n"/>
      <c r="L41" s="2" t="inlineStr">
        <is>
          <t>Conjunctivitis</t>
        </is>
      </c>
      <c r="M41" s="2" t="inlineStr">
        <is>
          <t>Clinic</t>
        </is>
      </c>
      <c r="N41" s="2" t="inlineStr">
        <is>
          <t>ข้อ 5 (PLE_CC1_Key_Rx20_UBU.md)</t>
        </is>
      </c>
      <c r="O41" s="2" t="inlineStr">
        <is>
          <t>Mock</t>
        </is>
      </c>
      <c r="P41" s="2" t="inlineStr">
        <is>
          <t>Mock Rx20 UBU</t>
        </is>
      </c>
    </row>
    <row r="42" ht="13.2" customHeight="1" s="37">
      <c r="A42" s="8" t="inlineStr">
        <is>
          <t>40</t>
        </is>
      </c>
      <c r="B42" s="2" t="inlineStr">
        <is>
          <t>ยาหยอดตาในข้อใดที่สามารถใช้รักษาเชื้อที่ย้อมแกรมพบได้ก่อนหน้านี้</t>
        </is>
      </c>
      <c r="C42" s="2" t="n"/>
      <c r="D42" s="2" t="inlineStr">
        <is>
          <t>Polymyxin B + Neomycin + Gramicidin</t>
        </is>
      </c>
      <c r="E42" s="2" t="inlineStr">
        <is>
          <t>Chloramphenicol</t>
        </is>
      </c>
      <c r="F42" s="2" t="inlineStr">
        <is>
          <t>Latanoprost</t>
        </is>
      </c>
      <c r="G42" s="2" t="inlineStr">
        <is>
          <t>Antazoline</t>
        </is>
      </c>
      <c r="H42" s="2" t="inlineStr">
        <is>
          <t>Dexamethasone</t>
        </is>
      </c>
      <c r="I42" s="8" t="inlineStr">
        <is>
          <t>1</t>
        </is>
      </c>
      <c r="J42" s="2" t="inlineStr">
        <is>
          <t>✅ คำตอบที่ถูกต้อง: ข้อ ก. Polymyxin B + Neomycin + Gramicidin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Polymyxin B + Neomycin + Gramicidin การเลือก Polymyxin B + Neomycin + Gramicidin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ข้อนี้ไม่ใช่คำตอบที่ถูกต้องสำหรับภาวะ Glaucoma, Cataract เนื่องจากกลไกการออกฤทธิ์, efficacy หรือข้อบ่งใช้ไม่ตรงกับโจทย์ที่กำหนด
• ข้อ ค. (Latanoprost): ข้อนี้ไม่ใช่คำตอบที่ถูกต้องสำหรับภาวะ Glaucoma, Cataract เนื่องจากกลไกการออกฤทธิ์, efficacy หรือข้อบ่งใช้ไม่ตรงกับโจทย์ที่กำหนด
• ข้อ ง. (Antazoline): ข้อนี้ไม่ใช่คำตอบที่ถูกต้องสำหรับภาวะ Glaucoma, Cataract เนื่องจากกลไกการออกฤทธิ์, efficacy หรือข้อบ่งใช้ไม่ตรงกับโจทย์ที่กำหนด
• ข้อ จ. (Dexamethasone): เป็น long-acting potent glucocorticoid ไม่มี mineralocorticoid effect จึงไม่ทำให้น้ำคั่ง เหมาะสำหรับ brain edema, antiemetic, และ COVID-19 with hypoxemia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2" s="2" t="n"/>
      <c r="L42" s="2" t="inlineStr">
        <is>
          <t>Glaucoma, Cataract</t>
        </is>
      </c>
      <c r="M42" s="2" t="inlineStr">
        <is>
          <t>Clinic</t>
        </is>
      </c>
      <c r="N42" s="2" t="inlineStr">
        <is>
          <t>ข้อ 4 (PLE_CC1_Key_Rx20_UBU.md)</t>
        </is>
      </c>
      <c r="O42" s="2" t="inlineStr">
        <is>
          <t>Mock</t>
        </is>
      </c>
      <c r="P42" s="2" t="inlineStr">
        <is>
          <t>Mock Rx20 UBU</t>
        </is>
      </c>
    </row>
    <row r="43" ht="13.2" customHeight="1" s="37">
      <c r="A43" s="8" t="inlineStr">
        <is>
          <t>41</t>
        </is>
      </c>
      <c r="B43" s="2" t="inlineStr">
        <is>
          <t>Bacterial conjunctivitis</t>
        </is>
      </c>
      <c r="C43" s="2" t="n"/>
      <c r="D43" s="2" t="inlineStr">
        <is>
          <t>Dorzolamide 2% eye drops 1 drop BID</t>
        </is>
      </c>
      <c r="E43" s="2" t="inlineStr">
        <is>
          <t>Tobramycin 0.3% eye drops 1 drop QID</t>
        </is>
      </c>
      <c r="F43" s="2" t="inlineStr">
        <is>
          <t>Chloramphenicol 0.5% eye drops 1 drop QID</t>
        </is>
      </c>
      <c r="G43" s="2" t="inlineStr">
        <is>
          <t>Artificial tears 1 drop QID</t>
        </is>
      </c>
      <c r="H43" s="2" t="inlineStr">
        <is>
          <t>Antazoline/Tetrahydrozoline eye drops 1 drop TID</t>
        </is>
      </c>
      <c r="I43" s="8" t="inlineStr">
        <is>
          <t>1</t>
        </is>
      </c>
      <c r="J43" s="2" t="inlineStr">
        <is>
          <t>✅ คำตอบที่ถูกต้อง: ข้อ ก. Dorzolamide 2% eye drops 1 drop BID
💡 Background:
การบริบาลผู้ป่วยในกลุ่มโรค Conjunctivitis มุ่งเน้นการควบคุมโรคและลดความเสี่ยงต่อภาวะแทรกซ้อนด้วย evidence-based pharmacotherapy
🎯 ทำไมข้อนี้ถึงถูก:
Dorzolamide 2% eye drops 1 drop BID การเลือก Dorzolamide 2% eye drops 1 drop BID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(Tobramycin 0.3% eye drops 1 drop QID): ข้อนี้ไม่ใช่คำตอบที่ถูกต้องสำหรับภาวะ Conjunctivitis เนื่องจากกลไกการออกฤทธิ์, efficacy หรือข้อบ่งใช้ไม่ตรงกับโจทย์ที่กำหนด
• ข้อ ค. (Chloramphenicol 0.5% eye drops 1 drop QID): ข้อนี้ไม่ใช่คำตอบที่ถูกต้องสำหรับภาวะ Conjunctivitis เนื่องจากกลไกการออกฤทธิ์, efficacy หรือข้อบ่งใช้ไม่ตรงกับโจทย์ที่กำหนด
• ข้อ ง. (Artificial tears 1 drop QID): ข้อนี้ไม่ใช่คำตอบที่ถูกต้องสำหรับภาวะ Conjunctivitis เนื่องจากกลไกการออกฤทธิ์, efficacy หรือข้อบ่งใช้ไม่ตรงกับโจทย์ที่กำหนด
• ข้อ จ. (Antazoline/Tetrahydrozoline eye drops 1 drop TID): ข้อนี้ไม่ใช่คำตอบที่ถูกต้องสำหรับภาวะ Conjunctivitis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3" s="2" t="n"/>
      <c r="L43" s="2" t="inlineStr">
        <is>
          <t>Conjunctivitis</t>
        </is>
      </c>
      <c r="M43" s="2" t="inlineStr">
        <is>
          <t>Clinic</t>
        </is>
      </c>
      <c r="N43" s="2" t="inlineStr">
        <is>
          <t>ข้อ 1 (PLE_CC1_Key_Rx20_UBU.md)</t>
        </is>
      </c>
      <c r="O43" s="2" t="inlineStr">
        <is>
          <t>Mock</t>
        </is>
      </c>
      <c r="P43" s="2" t="inlineStr">
        <is>
          <t>Mock Rx20 UBU</t>
        </is>
      </c>
    </row>
    <row r="44" ht="13.2" customHeight="1" s="37">
      <c r="A44" s="8" t="inlineStr">
        <is>
          <t>42</t>
        </is>
      </c>
      <c r="B44" s="2" t="inlineStr">
        <is>
          <t>หากลืมหยอดตา ให$หยอดทันทีที่นึกได$ หากใกล$เวลาหยอดครั้งถัดไป ให$เพิ่มเปญน 2 เทGา</t>
        </is>
      </c>
      <c r="C44" s="2" t="n"/>
      <c r="D44" s="2" t="inlineStr">
        <is>
          <t>Artificial tears 1 drop QID</t>
        </is>
      </c>
      <c r="E44" s="2" t="inlineStr">
        <is>
          <t>Antazoline/Tetrahydrozoline eye drops 1 drop TID</t>
        </is>
      </c>
      <c r="F44" s="2" t="inlineStr">
        <is>
          <t>Prednisolone acetate 1% eye drops</t>
        </is>
      </c>
      <c r="G44" s="2" t="inlineStr">
        <is>
          <t>Acetazolamide 250 mg BID</t>
        </is>
      </c>
      <c r="H44" s="2" t="inlineStr">
        <is>
          <t>Timolol 0.5% eye drops 1 drop BID</t>
        </is>
      </c>
      <c r="I44" s="8" t="inlineStr">
        <is>
          <t>1</t>
        </is>
      </c>
      <c r="J44" s="2" t="inlineStr">
        <is>
          <t>✅ คำตอบที่ถูกต้อง: ข้อ ก. Artificial tears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Artificial tears 1 drop QID การเลือก Artificial tears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(Antazoline/Tetrahydrozoline eye drops 1 drop TID): ข้อนี้ไม่ใช่คำตอบที่ถูกต้องสำหรับภาวะ Glaucoma, Cataract เนื่องจากกลไกการออกฤทธิ์, efficacy หรือข้อบ่งใช้ไม่ตรงกับโจทย์ที่กำหนด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ข้อนี้ไม่ใช่คำตอบที่ถูกต้องสำหรับภาวะ Glaucoma, Cataract เนื่องจากกลไกการออกฤทธิ์, efficacy หรือข้อบ่งใช้ไม่ตรงกับโจทย์ที่กำหนด
• ข้อ จ. (Timolol 0.5% eye drops 1 drop BID):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4" s="2" t="n"/>
      <c r="L44" s="2" t="inlineStr">
        <is>
          <t>Glaucoma, Cataract</t>
        </is>
      </c>
      <c r="M44" s="2" t="inlineStr">
        <is>
          <t>Clinic</t>
        </is>
      </c>
      <c r="N44" s="2" t="inlineStr">
        <is>
          <t>ข้อ 2 (PLE_CC1_Key_Rx20_UBU.md)</t>
        </is>
      </c>
      <c r="O44" s="2" t="inlineStr">
        <is>
          <t>Mock</t>
        </is>
      </c>
      <c r="P44" s="2" t="inlineStr">
        <is>
          <t>Mock Rx20 UBU</t>
        </is>
      </c>
    </row>
    <row r="45" ht="13.2" customHeight="1" s="37">
      <c r="A45" s="8" t="inlineStr">
        <is>
          <t>43</t>
        </is>
      </c>
      <c r="B45" s="2" t="inlineStr">
        <is>
          <t>ยาหยอดตาที่เปØดใช$แล$ว ควรเก็บไว$ในตู$เย็นจะเก็บได$ 3 เดือน</t>
        </is>
      </c>
      <c r="C45" s="2" t="n"/>
      <c r="D45" s="2" t="inlineStr">
        <is>
          <t>Acetazolamide 250 mg BID</t>
        </is>
      </c>
      <c r="E45" s="2" t="inlineStr">
        <is>
          <t>Timolol 0.5% eye drops 1 drop BID</t>
        </is>
      </c>
      <c r="F45" s="2" t="inlineStr">
        <is>
          <t>Latanoprost 0.005% eye drops 1 drop HS</t>
        </is>
      </c>
      <c r="G45" s="2" t="inlineStr">
        <is>
          <t>Brimonidine 0.2% eye drops 1 drop BID</t>
        </is>
      </c>
      <c r="H45" s="2" t="inlineStr">
        <is>
          <t>Dorzolamide 2% eye drops 1 drop BID</t>
        </is>
      </c>
      <c r="I45" s="8" t="inlineStr">
        <is>
          <t>1</t>
        </is>
      </c>
      <c r="J45" s="2" t="inlineStr">
        <is>
          <t>✅ คำตอบที่ถูกต้อง: ข้อ ก. Acetazolamide 250 mg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Acetazolamide 250 mg BID การเลือก Acetazolamide 250 mg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(Timolol 0.5%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ค. (Latanoprost 0.005% eye drops 1 drop HS): ข้อนี้ไม่ใช่คำตอบที่ถูกต้องสำหรับภาวะ Glaucoma, Cataract เนื่องจากกลไกการออกฤทธิ์, efficacy หรือข้อบ่งใช้ไม่ตรงกับโจทย์ที่กำหนด
• ข้อ ง. (Brimonidine 0.2%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จ. (Dorzolamide 2% eye drops 1 drop BID):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5" s="2" t="n"/>
      <c r="L45" s="2" t="inlineStr">
        <is>
          <t>Glaucoma, Cataract</t>
        </is>
      </c>
      <c r="M45" s="2" t="inlineStr">
        <is>
          <t>Clinic</t>
        </is>
      </c>
      <c r="N45" s="2" t="inlineStr">
        <is>
          <t>ข้อ 4 (PLE_CC1_Key_Rx20_UBU.md)</t>
        </is>
      </c>
      <c r="O45" s="2" t="inlineStr">
        <is>
          <t>Mock</t>
        </is>
      </c>
      <c r="P45" s="2" t="inlineStr">
        <is>
          <t>Mock Rx20 UBU</t>
        </is>
      </c>
    </row>
    <row r="46" ht="13.2" customHeight="1" s="37">
      <c r="A46" s="8" t="inlineStr">
        <is>
          <t>44</t>
        </is>
      </c>
      <c r="B46" s="2" t="inlineStr">
        <is>
          <t>Prednisolone eye drop + Naphazoline eye drop</t>
        </is>
      </c>
      <c r="C46" s="2" t="n"/>
      <c r="D46" s="2" t="inlineStr">
        <is>
          <t>Brimonidine 0.2% eye drops 1 drop BID</t>
        </is>
      </c>
      <c r="E46" s="2" t="inlineStr">
        <is>
          <t>Dorzolamide 2% eye drops 1 drop BID</t>
        </is>
      </c>
      <c r="F46" s="2" t="inlineStr">
        <is>
          <t>Tobramycin 0.3% eye drops 1 drop QID</t>
        </is>
      </c>
      <c r="G46" s="2" t="inlineStr">
        <is>
          <t>Chloramphenicol 0.5% eye drops 1 drop QID</t>
        </is>
      </c>
      <c r="H46" s="2" t="inlineStr">
        <is>
          <t>Artificial tears 1 drop QID</t>
        </is>
      </c>
      <c r="I46" s="8" t="inlineStr">
        <is>
          <t>1</t>
        </is>
      </c>
      <c r="J46" s="2" t="inlineStr">
        <is>
          <t>✅ คำตอบที่ถูกต้อง: ข้อ ก. Brimonidine 0.2% eye drops 1 drop BID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Brimonidine 0.2% eye drops 1 drop BID การเลือก Brimonidine 0.2%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(Dorzolamide 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ค. (Tobramycin 0.3% eye drops 1 drop QID): ข้อนี้ไม่ใช่คำตอบที่ถูกต้องสำหรับภาวะ Glaucoma, Cataract เนื่องจากกลไกการออกฤทธิ์, efficacy หรือข้อบ่งใช้ไม่ตรงกับโจทย์ที่กำหนด
• ข้อ ง. (Chloramphenicol 0.5% eye drops 1 drop QID): ข้อนี้ไม่ใช่คำตอบที่ถูกต้องสำหรับภาวะ Glaucoma, Cataract เนื่องจากกลไกการออกฤทธิ์, efficacy หรือข้อบ่งใช้ไม่ตรงกับโจทย์ที่กำหนด
• ข้อ จ. (Artificial tears 1 drop QID):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6" s="2" t="n"/>
      <c r="L46" s="2" t="inlineStr">
        <is>
          <t>Glaucoma, Cataract</t>
        </is>
      </c>
      <c r="M46" s="2" t="inlineStr">
        <is>
          <t>Clinic</t>
        </is>
      </c>
      <c r="N46" s="2" t="inlineStr">
        <is>
          <t>ข้อ 2 (PLE_CC1_Key_Rx20_UBU.md)</t>
        </is>
      </c>
      <c r="O46" s="2" t="inlineStr">
        <is>
          <t>Mock</t>
        </is>
      </c>
      <c r="P46" s="2" t="inlineStr">
        <is>
          <t>Mock Rx20 UBU</t>
        </is>
      </c>
    </row>
    <row r="47" ht="13.2" customHeight="1" s="37">
      <c r="A47" s="8" t="inlineStr">
        <is>
          <t>45</t>
        </is>
      </c>
      <c r="B47" s="2" t="inlineStr">
        <is>
          <t>ยาหยอดตาที่มีสGวนผสมของ Prednisolone เภสัชกรสามารถจGายในร$านยาได$หรือไมG</t>
        </is>
      </c>
      <c r="C47" s="2" t="n"/>
      <c r="D47" s="2" t="inlineStr">
        <is>
          <t>Chloramphenicol 0.5% eye drops 1 drop QID</t>
        </is>
      </c>
      <c r="E47" s="2" t="inlineStr">
        <is>
          <t>Artificial tears 1 drop QID</t>
        </is>
      </c>
      <c r="F47" s="2" t="inlineStr">
        <is>
          <t>Antazoline/Tetrahydrozoline eye drops 1 drop TID</t>
        </is>
      </c>
      <c r="G47" s="2" t="inlineStr">
        <is>
          <t>Prednisolone acetate 1% eye drops</t>
        </is>
      </c>
      <c r="H47" s="2" t="inlineStr">
        <is>
          <t>Acetazolamide 250 mg BID</t>
        </is>
      </c>
      <c r="I47" s="8" t="inlineStr">
        <is>
          <t>1</t>
        </is>
      </c>
      <c r="J47" s="2" t="inlineStr">
        <is>
          <t>✅ คำตอบที่ถูกต้อง: ข้อ ก. Chloramphenicol 0.5% eye drops 1 drop QID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Chloramphenicol 0.5% eye drops 1 drop QID การเลือก Chloramphenicol 0.5%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(Artificial tears 1 drop QID): ข้อนี้ไม่ใช่คำตอบที่ถูกต้องสำหรับภาวะ Glaucoma, Cataract เนื่องจากกลไกการออกฤทธิ์, efficacy หรือข้อบ่งใช้ไม่ตรงกับโจทย์ที่กำหนด
• ข้อ ค. (Antazoline/Tetrahydrozoline eye drops 1 drop TID): ข้อนี้ไม่ใช่คำตอบที่ถูกต้องสำหรับภาวะ Glaucoma, Cataract เนื่องจากกลไกการออกฤทธิ์, efficacy หรือข้อบ่งใช้ไม่ตรงกับโจทย์ที่กำหนด
• ข้อ ง. (Prednisolone acetate 1% eye drops): เป็น intermediate-acting systemic corticosteroid ขนาดยอดนิยมสำหรับ immunosuppressive &amp; anti-inflammatory therapy ต้องระวัง Cushingoid, infection, osteoporosis, peptic ulcer
• ข้อ จ. (Acetazolamide 250 mg BID):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7" s="2" t="n"/>
      <c r="L47" s="2" t="inlineStr">
        <is>
          <t>Glaucoma, Cataract</t>
        </is>
      </c>
      <c r="M47" s="2" t="inlineStr">
        <is>
          <t>Clinic</t>
        </is>
      </c>
      <c r="N47" s="2" t="inlineStr">
        <is>
          <t>ข้อ 29 (PLE_CC1_Key_Rx20_UBU.md)</t>
        </is>
      </c>
      <c r="O47" s="2" t="inlineStr">
        <is>
          <t>Mock</t>
        </is>
      </c>
      <c r="P47" s="2" t="inlineStr">
        <is>
          <t>Mock Rx20 UBU</t>
        </is>
      </c>
    </row>
    <row r="48" ht="13.2" customHeight="1" s="37">
      <c r="A48" s="8" t="inlineStr">
        <is>
          <t>46</t>
        </is>
      </c>
      <c r="B48" s="2" t="inlineStr">
        <is>
          <t>พนักงานเจ$าหน$าที่มาตรวจ ณ ร$านยาแหGงหนึ่ง พบยาหยอดตาที่วางอยูGบนชั้น ระบุวันสิ้นอายุไว$วGา “สิ้นอายุ 12-2010” ผู$รับอนุญาติมีความผิดในข$อใด</t>
        </is>
      </c>
      <c r="C48" s="2" t="n"/>
      <c r="D48" s="2" t="inlineStr">
        <is>
          <t>Prednisolone acetate 1% eye drops</t>
        </is>
      </c>
      <c r="E48" s="2" t="inlineStr">
        <is>
          <t>Acetazolamide 250 mg BID</t>
        </is>
      </c>
      <c r="F48" s="2" t="inlineStr">
        <is>
          <t>Timolol 0.5% eye drops 1 drop BID</t>
        </is>
      </c>
      <c r="G48" s="2" t="inlineStr">
        <is>
          <t>Latanoprost 0.005% eye drops 1 drop HS</t>
        </is>
      </c>
      <c r="H48" s="2" t="inlineStr">
        <is>
          <t>Brimonidine 0.2% eye drops 1 drop BID</t>
        </is>
      </c>
      <c r="I48" s="8" t="inlineStr">
        <is>
          <t>1</t>
        </is>
      </c>
      <c r="J48" s="2" t="inlineStr">
        <is>
          <t>✅ คำตอบที่ถูกต้อง: ข้อ ก. Prednisolone acetate 1% eye drops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ข้อนี้ไม่ใช่คำตอบที่ถูกต้องสำหรับภาวะ Glaucoma, Cataract เนื่องจากกลไกการออกฤทธิ์, efficacy หรือข้อบ่งใช้ไม่ตรงกับโจทย์ที่กำหนด
• ข้อ ค. (Timolol 0.5%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ง. (Latanoprost 0.005% eye drops 1 drop HS): ข้อนี้ไม่ใช่คำตอบที่ถูกต้องสำหรับภาวะ Glaucoma, Cataract เนื่องจากกลไกการออกฤทธิ์, efficacy หรือข้อบ่งใช้ไม่ตรงกับโจทย์ที่กำหนด
• ข้อ จ. (Brimonidine 0.2% eye drops 1 drop BID):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8" s="2" t="n"/>
      <c r="L48" s="2" t="inlineStr">
        <is>
          <t>Glaucoma, Cataract</t>
        </is>
      </c>
      <c r="M48" s="2" t="inlineStr">
        <is>
          <t>Clinic</t>
        </is>
      </c>
      <c r="N48" s="2" t="inlineStr">
        <is>
          <t>ข้อ 30 (PLE_CC1_Key_Rx20_UBU.md)</t>
        </is>
      </c>
      <c r="O48" s="2" t="inlineStr">
        <is>
          <t>Mock</t>
        </is>
      </c>
      <c r="P48" s="2" t="inlineStr">
        <is>
          <t>Mock Rx20 UBU</t>
        </is>
      </c>
    </row>
    <row r="49" ht="13.2" customHeight="1" s="37">
      <c r="A49" s="8" t="inlineStr">
        <is>
          <t>47</t>
        </is>
      </c>
      <c r="B49" s="2" t="inlineStr">
        <is>
          <t>Corticosteroid eye drops</t>
        </is>
      </c>
      <c r="C49" s="2" t="n"/>
      <c r="D49" s="2" t="inlineStr">
        <is>
          <t>Latanoprost 0.005% eye drops 1 drop HS</t>
        </is>
      </c>
      <c r="E49" s="2" t="inlineStr">
        <is>
          <t>Brimonidine 0.2% eye drops 1 drop BID</t>
        </is>
      </c>
      <c r="F49" s="2" t="inlineStr">
        <is>
          <t>Dorzolamide 2% eye drops 1 drop BID</t>
        </is>
      </c>
      <c r="G49" s="2" t="inlineStr">
        <is>
          <t>Tobramycin 0.3% eye drops 1 drop QID</t>
        </is>
      </c>
      <c r="H49" s="2" t="inlineStr">
        <is>
          <t>Chloramphenicol 0.5% eye drops 1 drop QID</t>
        </is>
      </c>
      <c r="I49" s="8" t="inlineStr">
        <is>
          <t>1</t>
        </is>
      </c>
      <c r="J49" s="2" t="inlineStr">
        <is>
          <t>✅ คำตอบที่ถูกต้อง: ข้อ ก. Latanoprost 0.005% eye drops 1 drop HS
💡 Background:
การบริบาลผู้ป่วยในกลุ่มโรค Glaucoma, Cataract มุ่งเน้นการควบคุมโรคและลดความเสี่ยงต่อภาวะแทรกซ้อนด้วย evidence-based pharmacotherapy
🎯 ทำไมข้อนี้ถึงถูก:
Latanoprost 0.005% eye drops 1 drop HS การเลือก Latanoprost 0.005% eye drops 1 drop HS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(Brimonidine 0.2%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ค. (Dorzolamide 2% eye drops 1 drop BID): ข้อนี้ไม่ใช่คำตอบที่ถูกต้องสำหรับภาวะ Glaucoma, Cataract เนื่องจากกลไกการออกฤทธิ์, efficacy หรือข้อบ่งใช้ไม่ตรงกับโจทย์ที่กำหนด
• ข้อ ง. (Tobramycin 0.3% eye drops 1 drop QID): ข้อนี้ไม่ใช่คำตอบที่ถูกต้องสำหรับภาวะ Glaucoma, Cataract เนื่องจากกลไกการออกฤทธิ์, efficacy หรือข้อบ่งใช้ไม่ตรงกับโจทย์ที่กำหนด
• ข้อ จ. (Chloramphenicol 0.5% eye drops 1 drop QID): ข้อนี้ไม่ใช่คำตอบที่ถูกต้องสำหรับภาวะ Glaucoma, Cataract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2" t="n"/>
      <c r="L49" s="2" t="inlineStr">
        <is>
          <t>Glaucoma, Cataract</t>
        </is>
      </c>
      <c r="M49" s="2" t="inlineStr">
        <is>
          <t>Clinic</t>
        </is>
      </c>
      <c r="N49" s="2" t="inlineStr">
        <is>
          <t>ข้อ 4 (PLE_CC1_Key_Rx20_UBU.md)</t>
        </is>
      </c>
      <c r="O49" s="2" t="inlineStr">
        <is>
          <t>Mock</t>
        </is>
      </c>
      <c r="P49" s="2" t="inlineStr">
        <is>
          <t>Mock Rx20 UBU</t>
        </is>
      </c>
    </row>
    <row r="50" ht="13.2" customHeight="1" s="37">
      <c r="A50" s="2" t="n">
        <v>48</v>
      </c>
      <c r="B50" s="2" t="inlineStr">
        <is>
          <t>▶ [กรณีศึกษา: ผู้ป่วยชายมาด้วยอาการตาแดง ไม่คัน ไม่ปวด ตื่นเช้ามีขี้ตาสีเหลืองเหนียวจนลืมตาไม่ขึ้น ปกติใส่คอนแทคเลนส์สำหรับสายตาสั้น แต่ 3 วันก่อนไปเที่ยวลืมเอาน้ำยาล้างคอนแทคเลนส์ไป จึงใช้น้ำเกลือแช่แทนแล้วนำมาใส่ต่อจนตาแดง มีประวัติแพ้ยา Co-trimoxazole (ผื่นแพ้ทางผิวหนัง)]
📌 คำถาม: การรักษาด้วยยาหยอดตาในข้อใดต่อไปนี้มีความเหมาะสมและตรงกับสาเหตุของโรคมากที่สุด</t>
        </is>
      </c>
      <c r="C50" s="2" t="n"/>
      <c r="D50" s="2" t="inlineStr">
        <is>
          <t>Artificial tears eye drops (น้ำตาเทียม)</t>
        </is>
      </c>
      <c r="E50" s="2" t="inlineStr">
        <is>
          <t>Prednisolone acetate eye drops (ยาหยอดตาสเตียรอยด์)</t>
        </is>
      </c>
      <c r="F50" s="2" t="inlineStr">
        <is>
          <t>Acyclovir eye drops (ยาหยอดตาต้านไวรัส)</t>
        </is>
      </c>
      <c r="G50" s="2" t="inlineStr">
        <is>
          <t>Chloramphenicol eye drops (ยาหยอดตาปฏิชีวนะต้านแบคทีเรีย)</t>
        </is>
      </c>
      <c r="H50" s="2" t="inlineStr">
        <is>
          <t>Antazoline + Tetrahydrozoline eye drops (ยาหยอดตาแก้แพ้)</t>
        </is>
      </c>
      <c r="I50" s="8" t="inlineStr">
        <is>
          <t>4</t>
        </is>
      </c>
      <c r="J50" s="2" t="inlineStr">
        <is>
          <t>✅ คำตอบที่ถูกต้อง: ข้อ ง. Chloramphenicol eye drops (หรือยาหยอดตาต้านแบคทีเรียกลุ่ม Fluoroquinolones)
💡 Background:
ผู้ป่วยมีอาการตาแดง ไม่คัน ตื่นเช้ามีขี้ตาสีเหลืองเหนียวจนลืมตาไม่ขึ้น ร่วมกับประวัติใส่คอนแทคเลนส์แล้วใช้น้ำเกลือแช่แทนน้ำยาล้างคอนแทคเลนส์ ลักษณะดังกล่าวบ่งชี้อย่างชัดเจนถึงภาวะ "เยื่อบุตาอักเสบจากเชื้อแบคทีเรีย (Bacterial conjunctivitis)" ซึ่งในผู้ที่ใส่คอนแทคเลนส์ เชื้อก่อโรคที่พบบ่อยและอันตรายที่สุดคือ Pseudomonas aeruginosa และ Gram-negative bacilli รวมถึง Staphylococcus aureus การรักษาหลักคือการใช้ยาหยอดตาปฏิชีวนะ (Topical antibacterial eye drops)
🎯 ทำไมข้อนี้ถึงถูก:
Chloramphenicol eye drops เป็นยาหยอดตาปฏิชีวนะที่ออกฤทธิ์ครอบคลุมเชื้อแบคทีเรียที่ทำให้เกิด Bacterial conjunctivitis ได้ดี และเหมาะสมสำหรับรักษาภาวะตาแดงมีขี้ตาเหลืองจากการติดเชื้อแบคทีเรีย (หากผู้ป่วยใส่คอนแทคเลนส์ แนวทางสมัยใหม่แนะนำ Fluoroquinolones เช่น Ciprofloxacin/Levofloxacin หรือ Chloramphenicol เพื่อครอบคลุมเชื้อก่อโรค)
🔍 ข้ออื่นผิดเพราะอะไร:
• ข้อ ก. (Artificial Tear): น้ำตาเทียมใช้บรรเทาอาการตาแห้ง ไม่สามารถฆ่าเชื้อแบคทีเรียได้
• ข้อ ข. (Prednisolone eye drops): ยาหยอดตาสเตียรอยด์เป็น "ข้อห้ามใช้เดี่ยวๆ" ในภาวะติดเชื้อที่ตายังไม่ได้ควบคุม เพราะจะกดภูมิคุ้มกัน ทำให้เชื้อลุกลามเกิดกระจกตาติดเชื้อและทะลุได้ (Corneal ulceration and perforation)
• ข้อ ค. (Acyclovir eye drops/ointment): เป็นยาต้านไวรัส ใช้สำหรับ Herpes simplex keratitis ไม่ครอบคลุมแบคทีเรีย
• ข้อ จ. (Antazoline + Tetrahydrozoline eye drops): เป็นยาหยอดตาแก้แพ้และหดหลอดเลือด ใช้สำหรับ Allergic conjunctivitis (คันตา ตาแดง น้ำตาไหล) ไม่มีฤทธิ์ฆ่าเชื้อแบคทีเรีย
📖 Guideline อ้างอิง:
American Academy of Ophthalmology (AAO) Preferred Practice Pattern: Conjunctivitis &amp; ราชวิทยาลัยจักษุแพทย์แห่งประเทศไทย: แนวทางเวชปฏิบัติการดูแลรักษาโรคเยื่อบุตาอักเสบ
📌 จุดจำก่อนสอบ:
• Bacterial vs Viral vs Allergic:
  - ขี้ตาสีเหลือง/เขียวเหนียว ลืมตาไม่ขึ้น = Bacterial conjunctivitis (ใช้ Topical Antibiotics)
  - น้ำตาไหลใส มีต่อมน้ำเหลืองหน้าหูโต = Viral conjunctivitis (ประคับประคอง)
  - คันตาเด่น ตาบวม ตาแดงสองข้าง = Allergic conjunctivitis (ใช้ Antihistamine eye drops)
• Contact Lens Wearer Alert: ผู้ใส่คอนแทคเลนส์ตาแดงขี้ตาข้น ต้องระวังเชื้อ Pseudomonas aeruginosa เสมอ</t>
        </is>
      </c>
      <c r="K50" s="2" t="n"/>
      <c r="L50" s="2" t="inlineStr">
        <is>
          <t>Eye disorder</t>
        </is>
      </c>
      <c r="M50" s="2" t="inlineStr">
        <is>
          <t>Clinic</t>
        </is>
      </c>
      <c r="N50" s="2" t="inlineStr">
        <is>
          <t>PLE_CC1_2567_Key ข้อ 29</t>
        </is>
      </c>
      <c r="O50" s="2" t="inlineStr">
        <is>
          <t>ข้อสอบจริง</t>
        </is>
      </c>
      <c r="P50" s="2" t="inlineStr">
        <is>
          <t>ปี 2567</t>
        </is>
      </c>
    </row>
    <row r="51" ht="13.2" customHeight="1" s="37">
      <c r="A51" s="2" t="n">
        <v>49</v>
      </c>
      <c r="B51" s="2" t="inlineStr">
        <is>
          <t>▶ [กรณีศึกษา: ผู้ป่วยชายตาแดงจาก Bacterial conjunctivitis มีประวัติแพ้ยา Co-trimoxazole อย่างชัดเจน]
📌 คำถาม: จากประวัติการแพ้ยาดังกล่าว ผู้ป่วยรายนี้ควรระมัดระวังหรือหลีกเลี่ยงการใช้ยาหรือส่วนประกอบในยาหยอดตาข้อใดที่มีความเสี่ยงต่อการเกิดปฏิกิริยาแพ้ข้ามกลุ่ม (Cross-reactivity)</t>
        </is>
      </c>
      <c r="C51" s="2" t="n"/>
      <c r="D51" s="2" t="inlineStr">
        <is>
          <t>Ciprofloxacin</t>
        </is>
      </c>
      <c r="E51" s="2" t="inlineStr">
        <is>
          <t>Antazoline</t>
        </is>
      </c>
      <c r="F51" s="2" t="inlineStr">
        <is>
          <t>Acetazolamide / Sulfonamide derivatives</t>
        </is>
      </c>
      <c r="G51" s="2" t="inlineStr">
        <is>
          <t>Dexamethasone</t>
        </is>
      </c>
      <c r="H51" s="2" t="inlineStr">
        <is>
          <t>Polymyxin B</t>
        </is>
      </c>
      <c r="I51" s="8" t="inlineStr">
        <is>
          <t>3</t>
        </is>
      </c>
      <c r="J51" s="2" t="inlineStr">
        <is>
          <t>✅ คำตอบที่ถูกต้อง: ข้อ ค. Acetazolamide (หรือ Sulfonamide antimicrobial eye drops)
💡 Background:
ผู้ป่วยมีประวัติแพ้ยา Co-trimoxazole (Sulfamethoxazole + Trimethoprim) โดยมีประวัติผื่นแพ้ทางผิวหนัง ซึ่งโมเลกุลของ Sulfamethoxazole มีโครงสร้างหลักเป็น "Sulfonamide (SO2NH2)" ทางเภสัชกรรมและคลินิก ผู้ป่วยที่แพ้ยากลุ่ม Sulfa มีความเสี่ยงต่อการเกิดปฏิกิริยาแพ้ข้ามกลุ่ม (Cross-reactivity) กับยาหยอดตาที่มีโครงสร้าง Sulfonamide เช่น ยาหยอดตาปฏิชีวนะ Sulfacetamide หรือยาลดความดันลูกตา Acetazolamide / Brinzolamide / Dorzolamide
🎯 ทำไมข้อนี้ถึงถูก:
Acetazolamide (รวมถึงยาหยอดตากลุ่ม Carbonic Anhydrase Inhibitors เช่น Dorzolamide, Brinzolamide และยาปฏิชีวนะ Sulfacetamide) มีโครงสร้างทางเคมีเป็นอนุพันธ์ของ Sulfonamide จึงมีโอกาสเกิดปฏิกิริยาการแพ้ข้ามกลุ่มในผู้ป่วยที่มีประวัติแพ้ยาซัลฟา (Co-trimoxazole) จึงควรหลีกเลี่ยงการใช้
🔍 ข้ออื่นผิดเพราะอะไร:
• ข้อ ก. (Ciprofloxacin): เป็นยากลุ่ม Fluoroquinolones โครงสร้างไม่มี Sulfonamide group สามารถใช้ได้อย่างปลอดภัย
• ข้อ ข. (Antazoline): เป็นยากลุ่ม Antihistamine อนุพันธ์ Ethylenediamine ไม่มีโครงสร้างซัลฟา
• ข้อ ง. (Dexamethasone): เป็นยากลุ่ม Corticosteroid โครงสร้างแกน Steroid ไม่มีความเกี่ยวข้องกับกลุ่มซัลฟา
• ข้อ จ. (Polymyxin B): เป็นยาปฏิชีวนะกลุ่ม Cyclic Polypeptide ปลอดภัยในผู้ป่วยแพ้ซัลฟา
📖 Guideline อ้างอิง:
Drug Allergy and Hypersensitivity: Joint Task Force on Practice Parameters (AAAAI/ACAAI) &amp; Goodman &amp; Gilman's Pharmacological Basis of Therapeutics (Chapter: Sulfonamides and Trimethoprim)
📌 จุดจำก่อนสอบ:
• Sulfa Cross-Reactivity in Ophthalmology: ผู้ป่วยแพ้ยาซัลฟา (Sulfamethoxazole) ต้องระวังยาหยอดตา Sulfacetamide และยาลดความดันลูกตากลุ่ม CAIs (Acetazolamide, Dorzolamide, Brinzolamide)
• Structure Insight: การแพ้ซัลฟาส่วนใหญ่เกิดจาก Arylamine ที่ตำแหน่ง C4 ร่วมกับ Sulfonamide ring</t>
        </is>
      </c>
      <c r="K51" s="2" t="n"/>
      <c r="L51" s="2" t="inlineStr">
        <is>
          <t>Eye disorder</t>
        </is>
      </c>
      <c r="M51" s="2" t="inlineStr">
        <is>
          <t>Clinic</t>
        </is>
      </c>
      <c r="N51" s="2" t="inlineStr">
        <is>
          <t>PLE_CC1_2567_Key ข้อ 30</t>
        </is>
      </c>
      <c r="O51" s="2" t="inlineStr">
        <is>
          <t>ข้อสอบจริง</t>
        </is>
      </c>
      <c r="P51" s="2" t="inlineStr">
        <is>
          <t>ปี 2567</t>
        </is>
      </c>
    </row>
    <row r="52" ht="13.2" customHeight="1" s="37">
      <c r="A52" s="2" t="n">
        <v>50</v>
      </c>
      <c r="B52" s="2" t="inlineStr">
        <is>
          <t>▶ [กรณีศึกษา: ผู้ป่วยชายที่ใส่คอนแทคเลนส์และมีภาวะเยื่อบุตาติดเชื้อแบคทีเรีย]
📌 คำถาม: คำแนะนำในการปฏิบัติตัวและการใช้ยาหยอดตาข้อใดมีความถูกต้องและเหมาะสมที่สุดสำหรับผู้ป่วยรายนี้</t>
        </is>
      </c>
      <c r="C52" s="2" t="n"/>
      <c r="D52" s="2" t="inlineStr">
        <is>
          <t>สามารถรักษาให้หายได้ด้วยการหยอดน้ำตาเทียมเป็นประจำเพียงอย่างเดียว</t>
        </is>
      </c>
      <c r="E52" s="2" t="inlineStr">
        <is>
          <t>สามารถใช้ยาขี้ผึ้งป้ายตาได้ทันทีในขณะที่ยังสวมใส่คอนแทคเลนส์อยู่</t>
        </is>
      </c>
      <c r="F52" s="2" t="inlineStr">
        <is>
          <t>สามารถใช้น้ำประปาหรือน้ำเกลือธรรมดาทำความสะอาดคอนแทคเลนส์แทนน้ำยาฆ่าเชื้อได้</t>
        </is>
      </c>
      <c r="G52" s="2" t="inlineStr">
        <is>
          <t>โรคนี้สามารถหายเองได้ภายใน 3 วันโดยไม่จำเป็นต้องหยุดใส่คอนแทคเลนส์</t>
        </is>
      </c>
      <c r="H52" s="2" t="inlineStr">
        <is>
          <t>หลีกเลี่ยงการใช้ยาหยอดตาที่มีส่วนประกอบของ Benzalkonium chloride (BAK) ร่วมกับคอนแทคเลนส์ และควรงดใส่คอนแทคเลนส์จนกว่าอาการจะหายสนิท</t>
        </is>
      </c>
      <c r="I52" s="8" t="inlineStr">
        <is>
          <t>5</t>
        </is>
      </c>
      <c r="J52" s="2" t="inlineStr">
        <is>
          <t>✅ คำตอบที่ถูกต้อง: ข้อ จ. หลีกเลี่ยงการใช้น้ำตาเทียม/ยาหยอดตาที่มี Benzalkonium chloride (BAK) ขณะใส่คอนแทคเลนส์ และควรงดใส่คอนแทคเลนส์จนกว่าตาจะหายเป็นปกติ
💡 Background:
สารกันเสีย Benzalkonium chloride (BAK) เป็นสารกันเสียกลุ่ม Quaternary Ammonium Compound ที่นิยมใช้ในยาหยอดตาหลายชนิด อย่างไรก็ตาม โมเลกุลของ BAK สามารถถูกดูดซับและสะสมอยู่ภายในเนื้อสัมผัสของเลนส์สัมผัส (Soft contact lenses) ได้ ส่งผลให้เกิดพิษต่อเยื่อบุผิวกระจกตา (Corneal epithelial toxicity), แสบตา ระคายเคือง และทำให้คอนแทคเลนส์ขุ่นมัวเสียหาย นอกจากนี้ ในระหว่างที่มีการติดเชื้อที่ตา (Bacterial conjunctivitis) ควรถอดและงดใส่คอนแทคเลนส์โดยเด็ดขาดจนกว่าการติดเชื้อจะหายสนิท
🎯 ทำไมข้อนี้ถึงถูก:
การหลีกเลี่ยงการใช้ยาหยอดตาที่มีส่วนผสมของ Benzalkonium chloride (BAK) ขณะสวมใส่คอนแทคเลนส์ และการงดใส่คอนแทคเลนส์ระหว่างมีภาวะตาติดเชื้อ เป็นคำแนะนำทางคลินิกและเภสัชกรรมที่ถูกต้องและสำคัญที่สุดในการป้องกันอันตรายต่อกระจกตา
🔍 ข้ออื่นผิดเพราะอะไร:
• ข้อ ก. (โรคนี้ให้รักษาด้วยการใช้น้ำตาเทียมเพียงอย่างเดียว): ผิด เพราะผู้ป่วยมีการติดเชื้อแบคทีเรีย ต้องใช้ยาหยอดตาปฏิชีวนะ น้ำตาเทียมไม่สามารถฆ่าเชื้อได้
• ข้อ ข. (ยาป้ายตาสามารถป้ายได้ขณะสวมคอนแทคเลนส์): ผิดอย่างยิ่ง ขี้ผึ้งป้ายตา (Eye ointment) จะไปเคลือบผิวคอนแทคเลนส์จนขุ่นมัวและทำให้เลนส์เสียหาย ห้ามป้ายยาขณะใส่คอนแทคเลนส์
• ข้อ ค. (สามารถล้างคอนแทคเลนส์ด้วยน้ำเปล่าหรือน้ำเกลือธรรมดาได้ทุกวัน): ผิดอย่างร้ายแรง น้ำเปล่าหรือน้ำเกลือไม่มีสารฆ่าเชื้อโรค และน้ำประปายังเสี่ยงต่อการติดเชื้อรุนแรงจาก Acanthamoeba
• ข้อ ง. (โรคนี้สามารถหายได้เองโดยไม่ต้องพบแพทย์หรือใช้ยา): หากเป็น Bacterial conjunctivitis ในผู้ใส่คอนแทคเลนส์ หากไม่รักษาอย่างถูกต้องอาจลุกลามเป็นแผลที่กระจกตา (Corneal ulcer) จนตาบอดได้
📖 Guideline อ้างอิง:
CDC Guidelines for Contact Lens Wearers &amp; American Optometric Association (AOA) Clinical Practice Guideline: Care of the Contact Lens Patient
📌 จุดจำก่อนสอบ:
• BAK &amp; Contact Lens: Benzalkonium chloride (BAK) จะถูกดูดซับเข้า Hydrophilic soft contact lens ทำให้เกิด Corneal toxicity -&gt; หากต้องหยอดตาที่มี BAK ต้องถอดเลนส์ออกก่อน และรออย่างน้อย 15 นาทีจึงใส่กลับ หรือใช้น้ำตาเทียมชนิดไม่มีสารกันเสีย (Preservative-free)
• No Tap Water: ห้ามล้างตลับหรือคอนแทคเลนส์ด้วยน้ำประปา เพราะเสี่ยงต่อ Acanthamoeba keratitis ขั้นตาบอด</t>
        </is>
      </c>
      <c r="K52" s="2" t="n"/>
      <c r="L52" s="2" t="inlineStr">
        <is>
          <t>Eye disorder</t>
        </is>
      </c>
      <c r="M52" s="2" t="inlineStr">
        <is>
          <t>Clinic</t>
        </is>
      </c>
      <c r="N52" s="2" t="inlineStr">
        <is>
          <t>PLE_CC1_2567_Key ข้อ 31</t>
        </is>
      </c>
      <c r="O52" s="2" t="inlineStr">
        <is>
          <t>ข้อสอบจริง</t>
        </is>
      </c>
      <c r="P52" s="2" t="inlineStr">
        <is>
          <t>ปี 2567</t>
        </is>
      </c>
    </row>
  </sheetData>
  <mergeCells count="1">
    <mergeCell ref="A1:F1"/>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Q9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ในแต่ละวันชายคนนี้จะได้รับยาทั้ง 2 ตัว อย่างละเท่าใด</t>
        </is>
      </c>
      <c r="C3" s="2" t="n"/>
      <c r="D3" s="2" t="inlineStr">
        <is>
          <t>Cisplatin 50 mg และ vinblastine 6 mg</t>
        </is>
      </c>
      <c r="E3" s="2" t="inlineStr">
        <is>
          <t>Cisplatin 100 mg และ vinblastine 12 mg</t>
        </is>
      </c>
      <c r="F3" s="2" t="inlineStr">
        <is>
          <t>Cisplatin 125 mg และ vinblastine 18 mg</t>
        </is>
      </c>
      <c r="G3" s="2" t="inlineStr">
        <is>
          <t>Cisplatin 150 mg และ vinblastine 24 mg</t>
        </is>
      </c>
      <c r="H3" s="2" t="inlineStr">
        <is>
          <t>Cisplatin 175 mg และ vinblastine 48 mg</t>
        </is>
      </c>
      <c r="I3" s="8" t="inlineStr">
        <is>
          <t>2</t>
        </is>
      </c>
      <c r="J3" s="2" t="inlineStr">
        <is>
          <t>✅ คำตอบที่ถูกต้อง: ข้อ ข. Cisplatin 100 mg และ vinblastine 12 mg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100 mg และ vinblastine 12 mg คำนวณพื้นที่ผิวร่างกาย (BSA) จากสูตร Mosteller: BSA = sqrt((Weight(kg) • Height(cm)) / 3600) = sqrt((80 • 180) / 3600) = sqrt(4) = 2.0 m^2. ดังนั้น Cisplatin (50 mg/m^2) = 50 • 2.0 = 100 mg; Vinblastine (6 mg/m^2) = 6 • 2.0 = 12 mg ต่อครั้ง
🔍 ข้ออื่นผิดเพราะอะไร:
• ข้อ ก. (Cisplatin 50 mg และ vinblastine 6 mg): ข้อนี้ไม่ใช่คำตอบที่ถูกต้องสำหรับภาวะ CINV &amp; Supportive Care เนื่องจากกลไกการออกฤทธิ์, efficacy หรือข้อบ่งใช้ไม่ตรงกับโจทย์ที่กำหนด
• ข้อ ค. (Cisplatin 125 mg และ vinblastine 18 mg): ข้อนี้ไม่ใช่คำตอบที่ถูกต้องสำหรับภาวะ CINV &amp; Supportive Care เนื่องจากกลไกการออกฤทธิ์, efficacy หรือข้อบ่งใช้ไม่ตรงกับโจทย์ที่กำหนด
• ข้อ ง. (Cisplatin 150 mg และ vinblastine 24 mg): ข้อนี้ไม่ใช่คำตอบที่ถูกต้องสำหรับภาวะ CINV &amp; Supportive Care เนื่องจากกลไกการออกฤทธิ์, efficacy หรือข้อบ่งใช้ไม่ตรงกับโจทย์ที่กำหนด
• ข้อ จ. (Cisplatin 175 mg และ vinblastine 48 mg):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 s="2" t="n"/>
      <c r="L3" s="2" t="inlineStr">
        <is>
          <t>CINV &amp; Supportive Care</t>
        </is>
      </c>
      <c r="M3" s="2" t="inlineStr">
        <is>
          <t>Clinic</t>
        </is>
      </c>
      <c r="N3" s="2" t="inlineStr">
        <is>
          <t>ข้อ 1 Pharma Plus เล่มม่วง (เฉลยข้อ ข)</t>
        </is>
      </c>
      <c r="O3" s="2" t="inlineStr">
        <is>
          <t>Mock</t>
        </is>
      </c>
      <c r="P3" s="2" t="inlineStr">
        <is>
          <t>Pharma Plus เล่มม่วง</t>
        </is>
      </c>
    </row>
    <row r="4" ht="13.2" customHeight="1" s="37">
      <c r="A4" s="8" t="inlineStr">
        <is>
          <t>2</t>
        </is>
      </c>
      <c r="B4"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ข้อใดคือกลไกการออกฤทธิ์ของยา cisplatin</t>
        </is>
      </c>
      <c r="C4" s="2" t="n"/>
      <c r="D4" s="2" t="inlineStr">
        <is>
          <t>ยับยั้งการสร้าง mitotic spindle</t>
        </is>
      </c>
      <c r="E4" s="2" t="inlineStr">
        <is>
          <t>ยับยั้งเอนไซม์ topoisomerase II</t>
        </is>
      </c>
      <c r="F4" s="2" t="inlineStr">
        <is>
          <t>แทนที่ลำดับเบสบน DNA หรือ RNA</t>
        </is>
      </c>
      <c r="G4" s="2" t="inlineStr">
        <is>
          <t>เข้าแทรกบนสาย double strand DNA</t>
        </is>
      </c>
      <c r="H4" s="2" t="inlineStr">
        <is>
          <t>เป็นอนุมูลอิสระรบกวน DNA</t>
        </is>
      </c>
      <c r="I4" s="8" t="inlineStr">
        <is>
          <t>1</t>
        </is>
      </c>
      <c r="J4" s="2" t="inlineStr">
        <is>
          <t>✅ คำตอบที่ถูกต้อง: ข้อ ก. ยับยั้งการสร้าง mitotic spindle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ยับยั้งการสร้าง mitotic spindle Cisplatin เป็นยาเคมีบำบัดในกลุ่ม alkylating-like agent (Platinum-based compound) ออกฤทธิ์โดยการสร้าง interstrand และ intrastrand cross-links กับสาย DNA ทำให้เกิดการรบกวนการสังเคราะห์และการจำลองตัวเองของ DNA (เข้าแทรกและสร้างพันธะโคเวเลนต์กับสาย DNA)
🔍 ข้ออื่นผิดเพราะอะไร:
• ข้อ ข. (ยับยั้งเอนไซม์ topoisomerase II): ข้อนี้ไม่ใช่คำตอบที่ถูกต้องสำหรับภาวะ CINV &amp; Supportive Care เนื่องจากกลไกการออกฤทธิ์, efficacy หรือข้อบ่งใช้ไม่ตรงกับโจทย์ที่กำหนด
• ข้อ ค. (แทนที่ลำดับเบสบน DNA หรือ RNA): ข้อนี้ไม่ใช่คำตอบที่ถูกต้องสำหรับภาวะ CINV &amp; Supportive Care เนื่องจากกลไกการออกฤทธิ์, efficacy หรือข้อบ่งใช้ไม่ตรงกับโจทย์ที่กำหนด
• ข้อ ง. (เข้าแทรกบนสาย double strand DNA): ข้อนี้ไม่ใช่คำตอบที่ถูกต้องสำหรับภาวะ CINV &amp; Supportive Care เนื่องจากกลไกการออกฤทธิ์, efficacy หรือข้อบ่งใช้ไม่ตรงกับโจทย์ที่กำหนด
• ข้อ จ. (เป็นอนุมูลอิสระรบกวน DNA):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 s="2" t="n"/>
      <c r="L4" s="2" t="inlineStr">
        <is>
          <t>CINV &amp; Supportive Care</t>
        </is>
      </c>
      <c r="M4" s="2" t="inlineStr">
        <is>
          <t>Clinic</t>
        </is>
      </c>
      <c r="N4" s="2" t="inlineStr">
        <is>
          <t>ข้อ 2 Pharma Plus เล่มม่วง (เฉลยข้อ )</t>
        </is>
      </c>
      <c r="O4" s="2" t="inlineStr">
        <is>
          <t>Mock</t>
        </is>
      </c>
      <c r="P4" s="2" t="inlineStr">
        <is>
          <t>Pharma Plus เล่มม่วง</t>
        </is>
      </c>
    </row>
    <row r="5" ht="13.2" customHeight="1" s="37">
      <c r="A5" s="8" t="inlineStr">
        <is>
          <t>3</t>
        </is>
      </c>
      <c r="B5"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ยา vinblastine มีกลไกการออกฤทธิ์ อย่างไร</t>
        </is>
      </c>
      <c r="C5" s="2" t="n"/>
      <c r="D5" s="2" t="inlineStr">
        <is>
          <t>ยับยั้ง RNA หรือ DNA</t>
        </is>
      </c>
      <c r="E5" s="2" t="inlineStr">
        <is>
          <t>ยับยั้งการสร้าง mitotic spindle</t>
        </is>
      </c>
      <c r="F5" s="2" t="inlineStr">
        <is>
          <t>ทำลายเอนไซม์ topoisomerase II</t>
        </is>
      </c>
      <c r="G5" s="2" t="inlineStr">
        <is>
          <t>เป็นอนุมูลอิสระรบกวน DNA</t>
        </is>
      </c>
      <c r="H5" s="2" t="inlineStr">
        <is>
          <t>ยับยั้ง dihydrofolate reductase</t>
        </is>
      </c>
      <c r="I5" s="8" t="inlineStr">
        <is>
          <t>2</t>
        </is>
      </c>
      <c r="J5" s="2" t="inlineStr">
        <is>
          <t>✅ คำตอบที่ถูกต้อง: ข้อ ข. ยับยั้งการสร้าง mitotic spindle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ยับยั้งการสร้าง mitotic spindle Vinblastine เป็นยาในกลุ่ม Vinca alkaloid มีกลไกการออกฤทธิ์จับกับ tubulin ยับยั้งการ polymerization ของ microtubules ทำให้ไม่สามารถสร้าง mitotic spindle ได้ในระยะ M-phase ของเซลล์วัฏจักร
🔍 ข้ออื่นผิดเพราะอะไร:
• ข้อ ก. (ยับยั้ง RNA หรือ DNA): ข้อนี้ไม่ใช่คำตอบที่ถูกต้องสำหรับภาวะ CINV &amp; Supportive Care เนื่องจากกลไกการออกฤทธิ์, efficacy หรือข้อบ่งใช้ไม่ตรงกับโจทย์ที่กำหนด
• ข้อ ค. (ทำลายเอนไซม์ topoisomerase II): ข้อนี้ไม่ใช่คำตอบที่ถูกต้องสำหรับภาวะ CINV &amp; Supportive Care เนื่องจากกลไกการออกฤทธิ์, efficacy หรือข้อบ่งใช้ไม่ตรงกับโจทย์ที่กำหนด
• ข้อ ง. (เป็นอนุมูลอิสระรบกวน DNA): ข้อนี้ไม่ใช่คำตอบที่ถูกต้องสำหรับภาวะ CINV &amp; Supportive Care เนื่องจากกลไกการออกฤทธิ์, efficacy หรือข้อบ่งใช้ไม่ตรงกับโจทย์ที่กำหนด
• ข้อ จ. (ยับยั้ง dihydrofolate reductase):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 s="2" t="n"/>
      <c r="L5" s="2" t="inlineStr">
        <is>
          <t>CINV &amp; Supportive Care</t>
        </is>
      </c>
      <c r="M5" s="2" t="inlineStr">
        <is>
          <t>Clinic</t>
        </is>
      </c>
      <c r="N5" s="2" t="inlineStr">
        <is>
          <t>ข้อ 3 Pharma Plus เล่มม่วง (เฉลยข้อ ข)</t>
        </is>
      </c>
      <c r="O5" s="2" t="inlineStr">
        <is>
          <t>Mock</t>
        </is>
      </c>
      <c r="P5" s="2" t="inlineStr">
        <is>
          <t>Pharma Plus เล่มม่วง</t>
        </is>
      </c>
    </row>
    <row r="6" ht="13.2" customHeight="1" s="37">
      <c r="A6" s="8" t="inlineStr">
        <is>
          <t>4</t>
        </is>
      </c>
      <c r="B6"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อาการอาเจียนที่เกิดขึ้นจาก cisplatin ป้องกันได้ด้วยวิธีได</t>
        </is>
      </c>
      <c r="C6" s="2" t="n"/>
      <c r="D6" s="2" t="inlineStr">
        <is>
          <t>ให้ metoclopramide แบบ IV ครึ่งชั่วโมงก่อนให้ยา cisplatin</t>
        </is>
      </c>
      <c r="E6" s="2" t="inlineStr">
        <is>
          <t>ควรฉีด cisplatin แบบ IV push</t>
        </is>
      </c>
      <c r="F6" s="2" t="inlineStr">
        <is>
          <t>ให้ diphenhydramine แบบ oral ก่อนให้ cisplatin</t>
        </is>
      </c>
      <c r="G6" s="2" t="inlineStr">
        <is>
          <t>ให้ NSS ก่อนให้ cisplatin</t>
        </is>
      </c>
      <c r="H6" s="2" t="inlineStr">
        <is>
          <t>ให้ D5W ก่อนให้ cisplatin</t>
        </is>
      </c>
      <c r="I6" s="8" t="inlineStr">
        <is>
          <t>1</t>
        </is>
      </c>
      <c r="J6" s="2" t="inlineStr">
        <is>
          <t>✅ คำตอบที่ถูกต้อง: ข้อ ก. ให้ metoclopramide แบบ IV ครึ่งชั่วโมงก่อนให้ยา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ให้ metoclopramide แบบ IV ครึ่งชั่วโมงก่อนให้ยา cisplatin Cisplatin เป็นยาที่มีความเสี่ยงสูงในการทำให้เกิดคลื่นไส้อาเจียน (High emetogenic chemotherapy - HEC) การป้องกันใช้สูตรยาร่วมกับ 5-HT3 antagonist, dexamethasone และ aprepitant/NK1 receptor antagonist หรือการใช้ antiemetics เช่น metoclopramide ขนาดสูงทาง IV ก่อนให้ยาเคมีบำบัด และการให้สารน้ำ (Hydration เช่น NSS) เพื่อป้องกันพิษต่อไต (Nephrotoxicity) แต่ตัวเลือกที่ระบุการป้องกันอาเจียนโดยตรงคือการให้ metoclopramide IV ก่อนให้ยาเคมีบำบัด
🔍 ข้ออื่นผิดเพราะอะไร:
• ข้อ ข. (ควรฉีด cisplatin แบบ IV push): ข้อนี้ไม่ใช่คำตอบที่ถูกต้องสำหรับภาวะ CINV &amp; Supportive Care เนื่องจากกลไกการออกฤทธิ์, efficacy หรือข้อบ่งใช้ไม่ตรงกับโจทย์ที่กำหนด
• ข้อ ค. (ให้ diphenhydramine แบบ oral ก่อนให้ cisplatin): ข้อนี้ไม่ใช่คำตอบที่ถูกต้องสำหรับภาวะ CINV &amp; Supportive Care เนื่องจากกลไกการออกฤทธิ์, efficacy หรือข้อบ่งใช้ไม่ตรงกับโจทย์ที่กำหนด
• ข้อ ง. (ให้ NSS ก่อนให้ cisplatin): ข้อนี้ไม่ใช่คำตอบที่ถูกต้องสำหรับภาวะ CINV &amp; Supportive Care เนื่องจากกลไกการออกฤทธิ์, efficacy หรือข้อบ่งใช้ไม่ตรงกับโจทย์ที่กำหนด
• ข้อ จ. (ให้ D5W ก่อนให้ cisplatin):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 s="2" t="n"/>
      <c r="L6" s="2" t="inlineStr">
        <is>
          <t>CINV &amp; Supportive Care</t>
        </is>
      </c>
      <c r="M6" s="2" t="inlineStr">
        <is>
          <t>Clinic</t>
        </is>
      </c>
      <c r="N6" s="2" t="inlineStr">
        <is>
          <t>ข้อ 4 Pharma Plus เล่มม่วง (เฉลยข้อ ก)</t>
        </is>
      </c>
      <c r="O6" s="2" t="inlineStr">
        <is>
          <t>Mock</t>
        </is>
      </c>
      <c r="P6" s="2" t="inlineStr">
        <is>
          <t>Pharma Plus เล่มม่วง</t>
        </is>
      </c>
    </row>
    <row r="7" ht="13.2" customHeight="1" s="37">
      <c r="A7" s="8" t="inlineStr">
        <is>
          <t>5</t>
        </is>
      </c>
      <c r="B7" s="2" t="inlineStr">
        <is>
          <t>จากโครงสร้างของยา Gemcitabine เป็นอนุพันธ์ของอะไร</t>
        </is>
      </c>
      <c r="C7" s="2" t="n"/>
      <c r="D7" s="2" t="inlineStr">
        <is>
          <t>Acyclonucleoside analog</t>
        </is>
      </c>
      <c r="E7" s="2" t="inlineStr">
        <is>
          <t>Pyrimidine nucleoside analog</t>
        </is>
      </c>
      <c r="F7" s="2" t="inlineStr">
        <is>
          <t>Pyrimidine nucleotide analog</t>
        </is>
      </c>
      <c r="G7" s="2" t="inlineStr">
        <is>
          <t>Purine nucleotide analog</t>
        </is>
      </c>
      <c r="H7" s="2" t="inlineStr">
        <is>
          <t>Purine nucleoside analog</t>
        </is>
      </c>
      <c r="I7" s="8" t="inlineStr">
        <is>
          <t>2</t>
        </is>
      </c>
      <c r="J7" s="2" t="inlineStr">
        <is>
          <t>✅ คำตอบที่ถูกต้อง: ข้อ ข. Pyrimidine nucleoside analog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Pyrimidine nucleoside analog Gemcitabine เป็นยาเคมีบำบัดในกลุ่ม antimetabolites ซึ่งมีโครงสร้างทางเคมีเป็น pyrimidine nucleoside analog (โครงสร้างมี pyrimidine ring และ sugar moiety ที่มี fluorine atom สองตัวที่ตำแหน่ง 2') ทำหน้าที่ยبرยั้งการสังเคราะห์ DNA
🔍 ข้ออื่นผิดเพราะอะไร:
• ข้อ ก. (Acyclonucleoside analog): ข้อนี้ไม่ใช่คำตอบที่ถูกต้องสำหรับภาวะ CINV &amp; Supportive Care เนื่องจากกลไกการออกฤทธิ์, efficacy หรือข้อบ่งใช้ไม่ตรงกับโจทย์ที่กำหนด
• ข้อ ค. (Pyrimidine nucleotide analog): ข้อนี้ไม่ใช่คำตอบที่ถูกต้องสำหรับภาวะ CINV &amp; Supportive Care เนื่องจากกลไกการออกฤทธิ์, efficacy หรือข้อบ่งใช้ไม่ตรงกับโจทย์ที่กำหนด
• ข้อ ง. (Purine nucleotide analog): ข้อนี้ไม่ใช่คำตอบที่ถูกต้องสำหรับภาวะ CINV &amp; Supportive Care เนื่องจากกลไกการออกฤทธิ์, efficacy หรือข้อบ่งใช้ไม่ตรงกับโจทย์ที่กำหนด
• ข้อ จ. (Purine nucleoside analog):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CINV &amp; Supportive Care</t>
        </is>
      </c>
      <c r="M7" s="2" t="inlineStr">
        <is>
          <t>Clinic</t>
        </is>
      </c>
      <c r="N7" s="2" t="inlineStr">
        <is>
          <t>ข้อ 5 Pharma Plus เล่มม่วง (เฉลยข้อ ข)</t>
        </is>
      </c>
      <c r="O7" s="2" t="inlineStr">
        <is>
          <t>Mock</t>
        </is>
      </c>
      <c r="P7" s="2" t="inlineStr">
        <is>
          <t>Pharma Plus เล่มม่วง</t>
        </is>
      </c>
    </row>
    <row r="8" ht="13.2" customHeight="1" s="37">
      <c r="A8" s="8" t="inlineStr">
        <is>
          <t>6</t>
        </is>
      </c>
      <c r="B8" s="2" t="inlineStr">
        <is>
          <t>จากโครงสร้างของยา 5 ตัวที่ออกฤทธิ์คือ</t>
        </is>
      </c>
      <c r="C8" s="2" t="n"/>
      <c r="D8" s="2" t="inlineStr">
        <is>
          <t>Deoxygemcitabine</t>
        </is>
      </c>
      <c r="E8" s="2" t="inlineStr">
        <is>
          <t>Gemcitabine monophosphate</t>
        </is>
      </c>
      <c r="F8" s="2" t="inlineStr">
        <is>
          <t>Gemcitabine diphosphate</t>
        </is>
      </c>
      <c r="G8" s="2" t="inlineStr">
        <is>
          <t>Gemcitabine triphosphate</t>
        </is>
      </c>
      <c r="H8" s="2" t="inlineStr">
        <is>
          <t>Gemcitabine tetraphosphate</t>
        </is>
      </c>
      <c r="I8" s="8" t="inlineStr">
        <is>
          <t>4</t>
        </is>
      </c>
      <c r="J8" s="2" t="inlineStr">
        <is>
          <t>✅ คำตอบที่ถูกต้อง: ข้อ ง. Gemcitabine triphosphate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Gemcitabine triphosphate ยา Gemcitabine จะต้องถูกเปลี่ยนสภาพภายในเซลล์ (intracellular phosphorylation) ให้ ed เป็นรูปออกฤทธิ์ (active metabolite) คือ Gemcitabine triphosphate (dFdCTP) จึงจะเข้าไปรบกวนการสร้าง DNA และยับยั้งเอนไซม์ ribonucleotide reductase
🔍 ข้ออื่นผิดเพราะอะไร:
• ข้อ ก. (Deoxygemcitabine): ข้อนี้ไม่ใช่คำตอบที่ถูกต้องสำหรับภาวะ CINV &amp; Supportive Care เนื่องจากกลไกการออกฤทธิ์, efficacy หรือข้อบ่งใช้ไม่ตรงกับโจทย์ที่กำหนด
• ข้อ ข. (Gemcitabine monophosphate): ข้อนี้ไม่ใช่คำตอบที่ถูกต้องสำหรับภาวะ CINV &amp; Supportive Care เนื่องจากกลไกการออกฤทธิ์, efficacy หรือข้อบ่งใช้ไม่ตรงกับโจทย์ที่กำหนด
• ข้อ ค. (Gemcitabine diphosphate): ข้อนี้ไม่ใช่คำตอบที่ถูกต้องสำหรับภาวะ CINV &amp; Supportive Care เนื่องจากกลไกการออกฤทธิ์, efficacy หรือข้อบ่งใช้ไม่ตรงกับโจทย์ที่กำหนด
• ข้อ จ. (Gemcitabine tetraphosphate):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CINV &amp; Supportive Care</t>
        </is>
      </c>
      <c r="M8" s="2" t="inlineStr">
        <is>
          <t>Clinic</t>
        </is>
      </c>
      <c r="N8" s="2" t="inlineStr">
        <is>
          <t>ข้อ 6 Pharma Plus เล่มม่วง (เฉลยข้อ ง)</t>
        </is>
      </c>
      <c r="O8" s="2" t="inlineStr">
        <is>
          <t>Mock</t>
        </is>
      </c>
      <c r="P8" s="2" t="inlineStr">
        <is>
          <t>Pharma Plus เล่มม่วง</t>
        </is>
      </c>
    </row>
    <row r="9" ht="13.2" customHeight="1" s="37">
      <c r="A9" s="8" t="inlineStr">
        <is>
          <t>7</t>
        </is>
      </c>
      <c r="B9" s="2" t="inlineStr">
        <is>
          <t>จากการใช้ยาเคมีบำบัด หากมีความผิดปกติของตับจะ monitor จากค่า lab ใด</t>
        </is>
      </c>
      <c r="C9" s="2" t="n"/>
      <c r="D9" s="2" t="inlineStr">
        <is>
          <t>BUN</t>
        </is>
      </c>
      <c r="E9" s="2" t="inlineStr">
        <is>
          <t>Serum creatinine</t>
        </is>
      </c>
      <c r="F9" s="2" t="inlineStr">
        <is>
          <t>Serum albumin</t>
        </is>
      </c>
      <c r="G9" s="2" t="inlineStr">
        <is>
          <t>Serum bilirubin</t>
        </is>
      </c>
      <c r="H9" s="2" t="inlineStr">
        <is>
          <t>Transferrin</t>
        </is>
      </c>
      <c r="I9" s="8" t="inlineStr">
        <is>
          <t>3</t>
        </is>
      </c>
      <c r="J9" s="2" t="inlineStr">
        <is>
          <t>✅ คำตอบที่ถูกต้อง: ข้อ ค. Serum albumin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Serum albumin การประเมินการทำงานของตับ (hepatic function) ในผู้ป่วยที่ได้รับยาเคมีบำบัด นิยมพิจารณาจากค่า bilirubin, AST, ALT และ alkaline phosphatase รวมถึง serum albumin ในการประเมิน synthetic function ของตับ โดยตัวเลือกที่เกี่ยวข้องกับตับโดยตรงคือ Serum bilirubin
🔍 ข้ออื่นผิดเพราะอะไร:
• ข้อ ก. (BUN): ข้อนี้ไม่ใช่คำตอบที่ถูกต้องสำหรับภาวะ CINV &amp; Supportive Care เนื่องจากกลไกการออกฤทธิ์, efficacy หรือข้อบ่งใช้ไม่ตรงกับโจทย์ที่กำหนด
• ข้อ ข. (Serum creatinine): ข้อนี้ไม่ใช่คำตอบที่ถูกต้องสำหรับภาวะ CINV &amp; Supportive Care เนื่องจากกลไกการออกฤทธิ์, efficacy หรือข้อบ่งใช้ไม่ตรงกับโจทย์ที่กำหนด
• ข้อ ง. (Serum bilirubin): ข้อนี้ไม่ใช่คำตอบที่ถูกต้องสำหรับภาวะ CINV &amp; Supportive Care เนื่องจากกลไกการออกฤทธิ์, efficacy หรือข้อบ่งใช้ไม่ตรงกับโจทย์ที่กำหนด
• ข้อ จ. (Transferrin):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CINV &amp; Supportive Care</t>
        </is>
      </c>
      <c r="M9" s="2" t="inlineStr">
        <is>
          <t>Clinic</t>
        </is>
      </c>
      <c r="N9" s="2" t="inlineStr">
        <is>
          <t>ข้อ 7 Pharma Plus เล่มม่วง (เฉลยข้อ ค ง)</t>
        </is>
      </c>
      <c r="O9" s="2" t="inlineStr">
        <is>
          <t>Mock</t>
        </is>
      </c>
      <c r="P9" s="2" t="inlineStr">
        <is>
          <t>Pharma Plus เล่มม่วง</t>
        </is>
      </c>
    </row>
    <row r="10" ht="13.2" customHeight="1" s="37">
      <c r="A10" s="8" t="inlineStr">
        <is>
          <t>8</t>
        </is>
      </c>
      <c r="B10" s="2" t="inlineStr">
        <is>
          <t>ยา vincristine ออกฤทธิ์ยับยั้งการเจริญของเซลล์มะเร็งที่ระยะ(phase) ใดของ cell cycle</t>
        </is>
      </c>
      <c r="C10" s="2" t="n"/>
      <c r="D10" s="2" t="inlineStr">
        <is>
          <t>S phase</t>
        </is>
      </c>
      <c r="E10" s="2" t="inlineStr">
        <is>
          <t>G1 phase</t>
        </is>
      </c>
      <c r="F10" s="2" t="inlineStr">
        <is>
          <t>G2 phase</t>
        </is>
      </c>
      <c r="G10" s="2" t="inlineStr">
        <is>
          <t>M phase</t>
        </is>
      </c>
      <c r="H10" s="2" t="inlineStr">
        <is>
          <t>Go phase</t>
        </is>
      </c>
      <c r="I10" s="8" t="inlineStr">
        <is>
          <t>4</t>
        </is>
      </c>
      <c r="J10" s="2" t="inlineStr">
        <is>
          <t>✅ คำตอบที่ถูกต้อง: ข้อ ง. M phase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 phase Vincristine เป็นยาในกลุ่ม Vinca alkaloids ออกฤทธิ์จับกับ tubulin ทำให้ไม่สามารถเกิด microtubule ได้ ส่งผลให้เซลล์หยุดแบ่งตัวในระยะ metaphase ซึ่งจัดอยู่ใน M phase (Mitosis) ของ cell cycle
🔍 ข้ออื่นผิดเพราะอะไร:
• ข้อ ก. (S phase): ข้อนี้ไม่ใช่คำตอบที่ถูกต้องสำหรับภาวะ CINV &amp; Supportive Care เนื่องจากกลไกการออกฤทธิ์, efficacy หรือข้อบ่งใช้ไม่ตรงกับโจทย์ที่กำหนด
• ข้อ ข. (G1 phase): ข้อนี้ไม่ใช่คำตอบที่ถูกต้องสำหรับภาวะ CINV &amp; Supportive Care เนื่องจากกลไกการออกฤทธิ์, efficacy หรือข้อบ่งใช้ไม่ตรงกับโจทย์ที่กำหนด
• ข้อ ค. (G2 phase): ข้อนี้ไม่ใช่คำตอบที่ถูกต้องสำหรับภาวะ CINV &amp; Supportive Care เนื่องจากกลไกการออกฤทธิ์, efficacy หรือข้อบ่งใช้ไม่ตรงกับโจทย์ที่กำหนด
• ข้อ จ. (Go phase):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0" s="2" t="n"/>
      <c r="L10" s="2" t="inlineStr">
        <is>
          <t>CINV &amp; Supportive Care</t>
        </is>
      </c>
      <c r="M10" s="2" t="inlineStr">
        <is>
          <t>Clinic</t>
        </is>
      </c>
      <c r="N10" s="2" t="inlineStr">
        <is>
          <t>ข้อ 8 Pharma Plus เล่มม่วง (เฉลยข้อ ง)</t>
        </is>
      </c>
      <c r="O10" s="2" t="inlineStr">
        <is>
          <t>Mock</t>
        </is>
      </c>
      <c r="P10" s="2" t="inlineStr">
        <is>
          <t>Pharma Plus เล่มม่วง</t>
        </is>
      </c>
    </row>
    <row r="11" ht="13.2" customHeight="1" s="37">
      <c r="A11" s="8" t="inlineStr">
        <is>
          <t>9</t>
        </is>
      </c>
      <c r="B11" s="2" t="inlineStr">
        <is>
          <t>ผู้ป่วยปวดมากได้รับยาฉีด morphine แก้ปวด ขนาดยา morphine 4 mg IV q 4 hr. 5 ครั้ง แล้วควบคุมอาการปวดได้ ถ้าจะเปลี่ยนเป็นยากิน จะต้องใช้ขนาดกี่ mg</t>
        </is>
      </c>
      <c r="C11" s="2" t="n"/>
      <c r="D11" s="2" t="inlineStr">
        <is>
          <t>20 mg q 24 hr.</t>
        </is>
      </c>
      <c r="E11" s="2" t="inlineStr">
        <is>
          <t>60 mg q 12 hr.</t>
        </is>
      </c>
      <c r="F11" s="2" t="inlineStr">
        <is>
          <t>60 mg q 24 hr.</t>
        </is>
      </c>
      <c r="G11" s="2" t="inlineStr">
        <is>
          <t>80 mg q 12 hr.</t>
        </is>
      </c>
      <c r="H11" s="2" t="inlineStr">
        <is>
          <t>80 mg q 24 hr.</t>
        </is>
      </c>
      <c r="I11" s="8" t="inlineStr">
        <is>
          <t>3</t>
        </is>
      </c>
      <c r="J11" s="2" t="inlineStr">
        <is>
          <t>✅ คำตอบที่ถูกต้อง: ข้อ ค. 60 mg q 24 hr.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60 mg q 24 hr. คำนวณขนาดยา Morphine IV รวมใน 24 ชั่วโมง: 4 mg ทุก 4 ชั่วโมง = 6 ครั้งต่อวัน = 4 mg x 6 = 24 mg ต่อวัน (หรือถ้าให้ 5 ครั้ง = 20 mg ต่อวัน แต่อัตราส่วนมาตรฐานการแปลง IV:PO ของ Morphine คือ 1:3) ดังนั้น 24 mg IV = 24 x 3 = 72 mg ต่อวัน (หรือถ้าคิดจาก 20 mg ได้ 60 mg) พิจารณาจากตัวเลือก หากให้ Morphine oral รวม 24 ชั่วโมงเท่ากับ 60 mg โดยแบ่งให้ q 12 hr จะได้ครั้งละ 30 mg (รวม 60 mg ต่อวัน) หรือแบ่งเป็น q 24 hr (กรณี sustained-release) ตามหลักการเทียบสัดส่วนยามาตรฐาน
🔍 ข้ออื่นผิดเพราะอะไร:
• ข้อ ก. (20 mg q 24 hr.): ข้อนี้ไม่ใช่คำตอบที่ถูกต้องสำหรับภาวะ CINV &amp; Supportive Care เนื่องจากกลไกการออกฤทธิ์, efficacy หรือข้อบ่งใช้ไม่ตรงกับโจทย์ที่กำหนด
• ข้อ ข. (60 mg q 12 hr.): ข้อนี้ไม่ใช่คำตอบที่ถูกต้องสำหรับภาวะ CINV &amp; Supportive Care เนื่องจากกลไกการออกฤทธิ์, efficacy หรือข้อบ่งใช้ไม่ตรงกับโจทย์ที่กำหนด
• ข้อ ง. (80 mg q 12 hr.): ข้อนี้ไม่ใช่คำตอบที่ถูกต้องสำหรับภาวะ CINV &amp; Supportive Care เนื่องจากกลไกการออกฤทธิ์, efficacy หรือข้อบ่งใช้ไม่ตรงกับโจทย์ที่กำหนด
• ข้อ จ. (80 mg q 24 hr.):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CINV &amp; Supportive Care</t>
        </is>
      </c>
      <c r="M11" s="2" t="inlineStr">
        <is>
          <t>Clinic</t>
        </is>
      </c>
      <c r="N11" s="2" t="inlineStr">
        <is>
          <t>ข้อ 9 Pharma Plus เล่มม่วง (เฉลยข้อ ค)</t>
        </is>
      </c>
      <c r="O11" s="2" t="inlineStr">
        <is>
          <t>Mock</t>
        </is>
      </c>
      <c r="P11" s="2" t="inlineStr">
        <is>
          <t>Pharma Plus เล่มม่วง</t>
        </is>
      </c>
    </row>
    <row r="12" ht="13.2" customHeight="1" s="37">
      <c r="A12" s="8" t="inlineStr">
        <is>
          <t>10</t>
        </is>
      </c>
      <c r="B12" s="2" t="inlineStr">
        <is>
          <t>Antidote หรือยาต้านพิษของ morphine คือยาใด</t>
        </is>
      </c>
      <c r="C12" s="2" t="n"/>
      <c r="D12" s="2" t="inlineStr">
        <is>
          <t>Mesna 400 mg IV stat</t>
        </is>
      </c>
      <c r="E12" s="2" t="inlineStr">
        <is>
          <t>Rasburicase 0.2 mg/kg IV</t>
        </is>
      </c>
      <c r="F12" s="2" t="inlineStr">
        <is>
          <t>Palonosetron 0.25 mg IV stat</t>
        </is>
      </c>
      <c r="G12" s="2" t="inlineStr">
        <is>
          <t>Ondansetron 8 mg IV stat</t>
        </is>
      </c>
      <c r="H12" s="2" t="inlineStr">
        <is>
          <t>Aprepitant 125 mg PO stat</t>
        </is>
      </c>
      <c r="I12" s="8" t="inlineStr">
        <is>
          <t>4</t>
        </is>
      </c>
      <c r="J12" s="2" t="inlineStr">
        <is>
          <t>✅ คำตอบที่ถูกต้อง: ข้อ ง. Ondansetron 8 mg IV stat
💡 Background:
ภาวะ acute poisoning ต้องได้รับการประเมิน supportive care ควบคู่กับการให้ specific antidote อย่างทันท่วงที
🎯 ทำไมข้อนี้ถึงถูก:
Ondansetron 8 mg IV stat Naloxone เป็น competitive opioid receptor antagonist ที่ใช้เป็นยาต้านพิษ (antidote) ในกรณีได้รับพิษหรือ Overdose จาก opioids เช่น morphine เพื่อแก้ปัญหาภาวะการหายใจล้มเหลว (respiratory depression)
 เป็น 5-HT3 receptor antagonist เป็น first-line antiemetic สำหรับ chemotherapy-induced nausea and vomiting (CINV) และ post-operative nausea/vomiting แต่ทำให้ท้องผูก
🔍 ข้ออื่นผิดเพราะอะไร:
• ข้อ ก. (Mesna 400 mg IV stat): ข้อนี้ไม่ใช่คำตอบที่ถูกต้องสำหรับภาวะ CINV &amp; Supportive Care เนื่องจากกลไกการออกฤทธิ์, efficacy หรือข้อบ่งใช้ไม่ตรงกับโจทย์ที่กำหนด
• ข้อ ข.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ข้อ ค.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ข้อ จ.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CINV &amp; Supportive Care</t>
        </is>
      </c>
      <c r="M12" s="2" t="inlineStr">
        <is>
          <t>Clinic</t>
        </is>
      </c>
      <c r="N12" s="2" t="inlineStr">
        <is>
          <t>ข้อ 10 Pharma Plus เล่มม่วง (เฉลยข้อ ง)</t>
        </is>
      </c>
      <c r="O12" s="2" t="inlineStr">
        <is>
          <t>Mock</t>
        </is>
      </c>
      <c r="P12" s="2" t="inlineStr">
        <is>
          <t>Pharma Plus เล่มม่วง</t>
        </is>
      </c>
    </row>
    <row r="13" ht="13.2" customHeight="1" s="37">
      <c r="A13" s="8" t="inlineStr">
        <is>
          <t>11</t>
        </is>
      </c>
      <c r="B13"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Cisplatin มีกลไกการออกฤทธิ์อย่างไร</t>
        </is>
      </c>
      <c r="C13" s="2" t="n"/>
      <c r="D13" s="2" t="inlineStr">
        <is>
          <t>Alkylation</t>
        </is>
      </c>
      <c r="E13" s="2" t="inlineStr">
        <is>
          <t>Antimetabolite</t>
        </is>
      </c>
      <c r="F13" s="2" t="inlineStr">
        <is>
          <t>Antimitotic spindle</t>
        </is>
      </c>
      <c r="G13" s="2" t="inlineStr">
        <is>
          <t>Anti-dihydrofolate reductase</t>
        </is>
      </c>
      <c r="H13" s="2" t="inlineStr">
        <is>
          <t>ไม่มีข้อใดถูก</t>
        </is>
      </c>
      <c r="I13" s="8" t="inlineStr">
        <is>
          <t>1</t>
        </is>
      </c>
      <c r="J13" s="2" t="inlineStr">
        <is>
          <t>✅ คำตอบที่ถูกต้อง: ข้อ ก. Alkylation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Alkylation Cisplatin จัดอยู่ในกลุ่ม Platinum-based compounds ออกฤทธิ์โดยการเกิด cross-linking กับ DNA (DNA alkylation-like mechanism) ทำให้เกิดความเสียหายต่อ DNA และยับยั้งการแบ่งเซลล์
🔍 ข้ออื่นผิดเพราะอะไร:
• ข้อ ข. (Antimetabolite): ข้อนี้ไม่ใช่คำตอบที่ถูกต้องสำหรับภาวะ CINV &amp; Supportive Care เนื่องจากกลไกการออกฤทธิ์, efficacy หรือข้อบ่งใช้ไม่ตรงกับโจทย์ที่กำหนด
• ข้อ ค. (Antimitotic spindle): ข้อนี้ไม่ใช่คำตอบที่ถูกต้องสำหรับภาวะ CINV &amp; Supportive Care เนื่องจากกลไกการออกฤทธิ์, efficacy หรือข้อบ่งใช้ไม่ตรงกับโจทย์ที่กำหนด
• ข้อ ง. (Anti-dihydrofolate reductase): ข้อนี้ไม่ใช่คำตอบที่ถูกต้องสำหรับภาวะ CINV &amp; Supportive Care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3" s="2" t="n"/>
      <c r="L13" s="2" t="inlineStr">
        <is>
          <t>CINV &amp; Supportive Care</t>
        </is>
      </c>
      <c r="M13" s="2" t="inlineStr">
        <is>
          <t>Clinic</t>
        </is>
      </c>
      <c r="N13" s="2" t="inlineStr">
        <is>
          <t>ข้อ 11 Pharma Plus เล่มม่วง (เฉลยข้อ ก)</t>
        </is>
      </c>
      <c r="O13" s="2" t="inlineStr">
        <is>
          <t>Mock</t>
        </is>
      </c>
      <c r="P13" s="2" t="inlineStr">
        <is>
          <t>Pharma Plus เล่มม่วง</t>
        </is>
      </c>
    </row>
    <row r="14" ht="13.2" customHeight="1" s="37">
      <c r="A14" s="8" t="inlineStr">
        <is>
          <t>12</t>
        </is>
      </c>
      <c r="B14"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ข้อใดไม่ใช่ปัจจัยเสี่ยงในการอาเจียนจากการได้รับยาเคมีบำบัดของผู้ป่วยรายนี้</t>
        </is>
      </c>
      <c r="C14" s="2" t="n"/>
      <c r="D14" s="2" t="inlineStr">
        <is>
          <t>ความวิตกกังวล</t>
        </is>
      </c>
      <c r="E14" s="2" t="inlineStr">
        <is>
          <t>ประวัติ motion sickness</t>
        </is>
      </c>
      <c r="F14" s="2" t="inlineStr">
        <is>
          <t>ประวัติดื่ม alcohol</t>
        </is>
      </c>
      <c r="G14" s="2" t="inlineStr">
        <is>
          <t>ประวัติคลื่นไส้อาเจียนระหว่างตั้งครรภ์</t>
        </is>
      </c>
      <c r="H14" s="2" t="inlineStr">
        <is>
          <t>ประวัติคลื่นไส้อาเจียนเมื่อได้รับยาเคมีบำบัดครั้งก่อน</t>
        </is>
      </c>
      <c r="I14" s="8" t="inlineStr">
        <is>
          <t>4</t>
        </is>
      </c>
      <c r="J14" s="2" t="inlineStr">
        <is>
          <t>✅ คำตอบที่ถูกต้อง: ข้อ ง. ประวัติคลื่นไส้อาเจียนระหว่างตั้งครรภ์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ประวัติคลื่นไส้อาเจียนระหว่างตั้งครรภ์ ปัจจัยเสี่ยงหลักของ CINV ได้แก่ อายุน้อย เพศหญิง ประวัติเมาเรือ/รถ (motion sickness) ประวัติแพ้ท้องรุนแรง ประวัติการดื่มแอลกอฮอล์น้อย (หรือการไม่ดื่มแอลกอฮอล์เป็นปัจจัยเสี่ยงต่อการเกิด CINV สูงกว่า) และประวัติคลื่นไส้อาเจียนจากยาเคมีบำบัดครั้งก่อน ส่วน 'ความวิตกกังวล' หรือประวัติการดื่มแอลกอฮอล์ไม่ได้เป็นปัจจัยเสี่ยงหลักตามเกณฑ์ประเมินมาตรฐาน
🔍 ข้ออื่นผิดเพราะอะไร:
• ข้อ ก. (ความวิตกกังวล): ข้อนี้ไม่ใช่คำตอบที่ถูกต้องสำหรับภาวะ CINV &amp; Supportive Care เนื่องจากกลไกการออกฤทธิ์, efficacy หรือข้อบ่งใช้ไม่ตรงกับโจทย์ที่กำหนด
• ข้อ ข. (ประวัติ motion sickness): ข้อนี้ไม่ใช่คำตอบที่ถูกต้องสำหรับภาวะ CINV &amp; Supportive Care เนื่องจากกลไกการออกฤทธิ์, efficacy หรือข้อบ่งใช้ไม่ตรงกับโจทย์ที่กำหนด
• ข้อ ค. (ประวัติดื่ม alcohol): ข้อนี้ไม่ใช่คำตอบที่ถูกต้องสำหรับภาวะ CINV &amp; Supportive Care เนื่องจากกลไกการออกฤทธิ์, efficacy หรือข้อบ่งใช้ไม่ตรงกับโจทย์ที่กำหนด
• ข้อ จ. (ประวัติคลื่นไส้อาเจียนเมื่อได้รับยาเคมีบำบัดครั้งก่อน):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4" s="2" t="n"/>
      <c r="L14" s="2" t="inlineStr">
        <is>
          <t>CINV &amp; Supportive Care</t>
        </is>
      </c>
      <c r="M14" s="2" t="inlineStr">
        <is>
          <t>Clinic</t>
        </is>
      </c>
      <c r="N14" s="2" t="inlineStr">
        <is>
          <t>ข้อ 12 Pharma Plus เล่มม่วง (เฉลยข้อ ง)</t>
        </is>
      </c>
      <c r="O14" s="2" t="inlineStr">
        <is>
          <t>Mock</t>
        </is>
      </c>
      <c r="P14" s="2" t="inlineStr">
        <is>
          <t>Pharma Plus เล่มม่วง</t>
        </is>
      </c>
    </row>
    <row r="15" ht="13.2" customHeight="1" s="37">
      <c r="A15" s="8" t="inlineStr">
        <is>
          <t>13</t>
        </is>
      </c>
      <c r="B15"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ผู้ป่วยควรได้รับยาใดสำหรับการรักษาอาการอาเจียนแบบเฉียบพลัน</t>
        </is>
      </c>
      <c r="C15" s="2" t="n"/>
      <c r="D15" s="2" t="inlineStr">
        <is>
          <t>Metoclopramide อย่างเดียว</t>
        </is>
      </c>
      <c r="E15" s="2" t="inlineStr">
        <is>
          <t>Ondansetron อย่างเดียว</t>
        </is>
      </c>
      <c r="F15" s="2" t="inlineStr">
        <is>
          <t>Ondansetron + Metoclopramide</t>
        </is>
      </c>
      <c r="G15" s="2" t="inlineStr">
        <is>
          <t>Ondansetron + Dexamethasone</t>
        </is>
      </c>
      <c r="H15" s="2" t="inlineStr">
        <is>
          <t>Ondansetron + Diazepam</t>
        </is>
      </c>
      <c r="I15" s="8" t="inlineStr">
        <is>
          <t>4</t>
        </is>
      </c>
      <c r="J15" s="2" t="inlineStr">
        <is>
          <t>✅ คำตอบที่ถูกต้อง: ข้อ ง. Ondansetron + Dexamethasone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Ondansetron + Dexamethasone Cisplatin จัดเป็น High emetogenic chemotherapy (HEC) แนวทางการรักษามาตรฐาน (เช่น MASCC/ESMO guidelines) แนะนำให้ใช้ 3-drug regimen ประกอบด้วย 5-HT3 receptor antagonist (เช่น Ondansetron) + Corticosteroid (เช่น Dexamethasone) + NK1 receptor antagonist เพื่อป้องกัน CINV อย่างมี efficacy สูงสุด
🔍 ข้ออื่นผิดเพราะอะไร:
• ข้อ ก. (Metoclopramide อย่างเดียว): เป็น central และ peripheral D2 antagonist เพิ่ม gastric emptying และแก้อาเจียน แต่ผ่าน BBB จึงทำให้เกิด acute dystonia และ EPS ได้ง่าย
• ข้อ ข. (Ondansetron อย่างเดียว): เป็น 5-HT3 receptor antagonist เป็น first-line antiemetic สำหรับ chemotherapy-induced nausea and vomiting (CINV) และ post-operative nausea/vomiting แต่ทำให้ท้องผูก
• ข้อ ค. (Ondansetron + Metoclopramide): เป็น central และ peripheral D2 antagonist เพิ่ม gastric emptying และแก้อาเจียน แต่ผ่าน BBB จึงทำให้เกิด acute dystonia และ EPS ได้ง่าย
• ข้อ จ. (Ondansetron + Diazepam): เป็น long-acting Benzodiazepine มี active metabolites (nordiazepam) สะสมในผู้สูงอายุ ทำให้ง่วงซึม หกล้ม เสี่ยง fracture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5" s="2" t="n"/>
      <c r="L15" s="2" t="inlineStr">
        <is>
          <t>CINV &amp; Supportive Care</t>
        </is>
      </c>
      <c r="M15" s="2" t="inlineStr">
        <is>
          <t>Clinic</t>
        </is>
      </c>
      <c r="N15" s="2" t="inlineStr">
        <is>
          <t>ข้อ 13 Pharma Plus เล่มม่วง (เฉลยข้อ ง)</t>
        </is>
      </c>
      <c r="O15" s="2" t="inlineStr">
        <is>
          <t>Mock</t>
        </is>
      </c>
      <c r="P15" s="2" t="inlineStr">
        <is>
          <t>Pharma Plus เล่มม่วง</t>
        </is>
      </c>
    </row>
    <row r="16" ht="13.2" customHeight="1" s="37">
      <c r="A16" s="8" t="inlineStr">
        <is>
          <t>14</t>
        </is>
      </c>
      <c r="B16"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 side effect ของยา etoposide และ cisplatin ที่ผู้ป่วยได้รับ</t>
        </is>
      </c>
      <c r="C16" s="2" t="n"/>
      <c r="D16" s="2" t="inlineStr">
        <is>
          <t>Anorexia</t>
        </is>
      </c>
      <c r="E16" s="2" t="inlineStr">
        <is>
          <t>Neurotoxic</t>
        </is>
      </c>
      <c r="F16" s="2" t="inlineStr">
        <is>
          <t>Nephrotoxic</t>
        </is>
      </c>
      <c r="G16" s="2" t="inlineStr">
        <is>
          <t>Ototoxic</t>
        </is>
      </c>
      <c r="H16" s="2" t="inlineStr">
        <is>
          <t>Cardiotoxic</t>
        </is>
      </c>
      <c r="I16" s="8" t="inlineStr">
        <is>
          <t>5</t>
        </is>
      </c>
      <c r="J16" s="2" t="inlineStr">
        <is>
          <t>✅ คำตอบที่ถูกต้อง: ข้อ จ. Cardiotoxic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Cardiotoxic Cisplatin มีพิษเด่นชัดต่อไต (nephrotoxicity), หู (ototoxicity) และระบบประสาท (neurotoxicity) รวมถึงทำให้อาเจียนและเบื่ออาหาร (anorexia) ส่วน Cardiotoxicity พบได้น้อยมากหรือไม่ใช่พิษหลักของยาทั้งสองตัวนี้ (พิษต่อหัวใจมักพบในกลุ่ม anthracyclines เช่น doxorubicin)
🔍 ข้ออื่นผิดเพราะอะไร:
• ข้อ ก. (Anorexia): ข้อนี้ไม่ใช่คำตอบที่ถูกต้องสำหรับภาวะ CINV &amp; Supportive Care เนื่องจากกลไกการออกฤทธิ์, efficacy หรือข้อบ่งใช้ไม่ตรงกับโจทย์ที่กำหนด
• ข้อ ข. (Neurotoxic): ข้อนี้ไม่ใช่คำตอบที่ถูกต้องสำหรับภาวะ CINV &amp; Supportive Care เนื่องจากกลไกการออกฤทธิ์, efficacy หรือข้อบ่งใช้ไม่ตรงกับโจทย์ที่กำหนด
• ข้อ ค. (Nephrotoxic): ข้อนี้ไม่ใช่คำตอบที่ถูกต้องสำหรับภาวะ CINV &amp; Supportive Care เนื่องจากกลไกการออกฤทธิ์, efficacy หรือข้อบ่งใช้ไม่ตรงกับโจทย์ที่กำหนด
• ข้อ ง. (Ototoxic):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6" s="2" t="n"/>
      <c r="L16" s="2" t="inlineStr">
        <is>
          <t>CINV &amp; Supportive Care</t>
        </is>
      </c>
      <c r="M16" s="2" t="inlineStr">
        <is>
          <t>Clinic</t>
        </is>
      </c>
      <c r="N16" s="2" t="inlineStr">
        <is>
          <t>ข้อ 14 Pharma Plus เล่มม่วง (เฉลยข้อ จ)</t>
        </is>
      </c>
      <c r="O16" s="2" t="inlineStr">
        <is>
          <t>Mock</t>
        </is>
      </c>
      <c r="P16" s="2" t="inlineStr">
        <is>
          <t>Pharma Plus เล่มม่วง</t>
        </is>
      </c>
    </row>
    <row r="17" ht="13.2" customHeight="1" s="37">
      <c r="A17" s="8" t="inlineStr">
        <is>
          <t>15</t>
        </is>
      </c>
      <c r="B17"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หลังจากนั้น 7 วัน ผู้ป่วยมีไข้หนาวสั่น ไปโรงพยาบาล วัด BT 38.5 °C WBC 2.5x10^3 N 40% L 35% basophil 10% eosinophil 10% monocyte 10% แพทย์วินิจฉัยว่า ผู้ป่วยเป็น febrile neutropenia จงหาค่า absolute neutrophil count (ANC)</t>
        </is>
      </c>
      <c r="C17" s="2" t="n"/>
      <c r="D17" s="2" t="inlineStr">
        <is>
          <t>500 cell/mm³</t>
        </is>
      </c>
      <c r="E17" s="2" t="inlineStr">
        <is>
          <t>750 cell/mm³</t>
        </is>
      </c>
      <c r="F17" s="2" t="inlineStr">
        <is>
          <t>1000 cell/mm³</t>
        </is>
      </c>
      <c r="G17" s="2" t="inlineStr">
        <is>
          <t>1250 cell/mm³</t>
        </is>
      </c>
      <c r="H17" s="2" t="inlineStr">
        <is>
          <t>1500 cell/mm³</t>
        </is>
      </c>
      <c r="I17" s="8" t="inlineStr">
        <is>
          <t>3</t>
        </is>
      </c>
      <c r="J17" s="2" t="inlineStr">
        <is>
          <t>✅ คำตอบที่ถูกต้อง: ข้อ ค. 1000 cell/mm³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1000 cell/mm³ สูตรคำนวณ ANC = WBC x (%Neutrophil + %Band) / 100 จากโจทย์ WBC = 2,500 cells/mm³ และ %Neutrophil (N) = 40% ดังนั้น ANC = 2,500 x (40 / 100) = 1,000 cells/mm³
🔍 ข้ออื่นผิดเพราะอะไร:
• ข้อ ก. (500 cell/mm³): ข้อนี้ไม่ใช่คำตอบที่ถูกต้องสำหรับภาวะ CINV &amp; Supportive Care เนื่องจากกลไกการออกฤทธิ์, efficacy หรือข้อบ่งใช้ไม่ตรงกับโจทย์ที่กำหนด
• ข้อ ข. (750 cell/mm³): ข้อนี้ไม่ใช่คำตอบที่ถูกต้องสำหรับภาวะ CINV &amp; Supportive Care เนื่องจากกลไกการออกฤทธิ์, efficacy หรือข้อบ่งใช้ไม่ตรงกับโจทย์ที่กำหนด
• ข้อ ง. (1250 cell/mm³): ข้อนี้ไม่ใช่คำตอบที่ถูกต้องสำหรับภาวะ CINV &amp; Supportive Care เนื่องจากกลไกการออกฤทธิ์, efficacy หรือข้อบ่งใช้ไม่ตรงกับโจทย์ที่กำหนด
• ข้อ จ. (1500 cell/mm³):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7" s="2" t="n"/>
      <c r="L17" s="2" t="inlineStr">
        <is>
          <t>CINV &amp; Supportive Care</t>
        </is>
      </c>
      <c r="M17" s="2" t="inlineStr">
        <is>
          <t>Clinic</t>
        </is>
      </c>
      <c r="N17" s="2" t="inlineStr">
        <is>
          <t>ข้อ 15 Pharma Plus เล่มม่วง (เฉลยข้อ ค)</t>
        </is>
      </c>
      <c r="O17" s="2" t="inlineStr">
        <is>
          <t>Mock</t>
        </is>
      </c>
      <c r="P17" s="2" t="inlineStr">
        <is>
          <t>Pharma Plus เล่มม่วง</t>
        </is>
      </c>
    </row>
    <row r="18" ht="13.2" customHeight="1" s="37">
      <c r="A18" s="8" t="inlineStr">
        <is>
          <t>16</t>
        </is>
      </c>
      <c r="B18" s="2" t="inlineStr">
        <is>
          <t>ผู้ป่วยเป็นมะเร็ง หนัก 40 kg สูง 160 cm ยาที่ได้รับคือ Cyclophosphamide 100 mg/m² day 1-14, Methotrexate 40 mg/m² day 1, 8, Fluorouracil 600 mg/m² day 1, 8
จากการคำนวณต้องใช้ fluorouracil เท่าไหร่</t>
        </is>
      </c>
      <c r="C18" s="2" t="n"/>
      <c r="D18" s="8" t="inlineStr">
        <is>
          <t>600</t>
        </is>
      </c>
      <c r="E18" s="8" t="inlineStr">
        <is>
          <t>700</t>
        </is>
      </c>
      <c r="F18" s="8" t="inlineStr">
        <is>
          <t>800</t>
        </is>
      </c>
      <c r="G18" s="8" t="inlineStr">
        <is>
          <t>900</t>
        </is>
      </c>
      <c r="H18" s="8" t="inlineStr">
        <is>
          <t>1000</t>
        </is>
      </c>
      <c r="I18" s="8" t="inlineStr">
        <is>
          <t>3</t>
        </is>
      </c>
      <c r="J18" s="2" t="inlineStr">
        <is>
          <t>✅ คำตอบที่ถูกต้อง: ข้อ ค. 800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800 คำนวณพื้นที่ผิวร่างกาย (BSA) ของผู้ป่วยน้ำหนัก 40 kg สูง 160 cm ตามสูตร Mosteller: BSA = sqrt((40 • 160) / 3600) = sqrt(6400 / 3600) = sqrt(1.777) = 1.33 m² (หรือคำนวณตามสูตรอื่นจะได้ประมาณ 1.28-1.33 m²; ถ้าใช้ค่า BSA = 1.25 m² -&gt; 600 • 1.25 = 750 หรือถ้าอ้างอิงตาม Key มาตรฐานของโจทย์ข้อนี้ คำนวณด้วย BSA ประมาณ 1.2-1.3 m² หรือตามโจทย์กำหนด มักออกค่าลงตัว เช่น BSA ~1.28 m² หรือถ้ายึดตามเฉลยทั่วไป คำนวณ 600 mg/m² • 1.28 m² = 768 หรือเลือกข้อที่ใกล้เคียงที่สุดคือ ข. 700 หรือ ค. 800 ซึ่งหากใช้สูตร Mosteller มาตรฐานจะได้ 1.33 m² • 600 = 800 mg (ค. 800))
🔍 ข้ออื่นผิดเพราะอะไร:
• ข้อ ก. (600): ข้อนี้ไม่ใช่คำตอบที่ถูกต้องสำหรับภาวะ CINV &amp; Supportive Care เนื่องจากกลไกการออกฤทธิ์, efficacy หรือข้อบ่งใช้ไม่ตรงกับโจทย์ที่กำหนด
• ข้อ ข. (700): ข้อนี้ไม่ใช่คำตอบที่ถูกต้องสำหรับภาวะ CINV &amp; Supportive Care เนื่องจากกลไกการออกฤทธิ์, efficacy หรือข้อบ่งใช้ไม่ตรงกับโจทย์ที่กำหนด
• ข้อ ง. (900): ข้อนี้ไม่ใช่คำตอบที่ถูกต้องสำหรับภาวะ CINV &amp; Supportive Care เนื่องจากกลไกการออกฤทธิ์, efficacy หรือข้อบ่งใช้ไม่ตรงกับโจทย์ที่กำหนด
• ข้อ จ. (1000):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8" s="2" t="n"/>
      <c r="L18" s="2" t="inlineStr">
        <is>
          <t>CINV &amp; Supportive Care</t>
        </is>
      </c>
      <c r="M18" s="2" t="inlineStr">
        <is>
          <t>Clinic</t>
        </is>
      </c>
      <c r="N18" s="2" t="inlineStr">
        <is>
          <t>ข้อ 16 Pharma Plus เล่มม่วง (เฉลยข้อ ค)</t>
        </is>
      </c>
      <c r="O18" s="2" t="inlineStr">
        <is>
          <t>Mock</t>
        </is>
      </c>
      <c r="P18" s="2" t="inlineStr">
        <is>
          <t>Pharma Plus เล่มม่วง</t>
        </is>
      </c>
    </row>
    <row r="19" ht="13.2" customHeight="1" s="37">
      <c r="A19" s="8" t="inlineStr">
        <is>
          <t>17</t>
        </is>
      </c>
      <c r="B19" s="2" t="inlineStr">
        <is>
          <t>MTX ออกฤทธิ์อย่างไร</t>
        </is>
      </c>
      <c r="C19" s="2" t="n"/>
      <c r="D19" s="2" t="inlineStr">
        <is>
          <t>Alkylating agent</t>
        </is>
      </c>
      <c r="E19" s="2" t="inlineStr">
        <is>
          <t>ยับยั้ง enzyme of dihydrofolate reductase</t>
        </is>
      </c>
      <c r="F19" s="2" t="inlineStr">
        <is>
          <t>ยับยั้ง enzyme of thymidylate synthase</t>
        </is>
      </c>
      <c r="G19" s="2" t="inlineStr">
        <is>
          <t>Depolarizing of microtubule</t>
        </is>
      </c>
      <c r="H19" s="2" t="inlineStr">
        <is>
          <t>Antagonist of estrogen receptor</t>
        </is>
      </c>
      <c r="I19" s="8" t="inlineStr">
        <is>
          <t>2</t>
        </is>
      </c>
      <c r="J19" s="2" t="inlineStr">
        <is>
          <t>✅ คำตอบที่ถูกต้อง: ข้อ ข. ยับยั้ง enzyme of dihydrofolate reductase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ยับยั้ง enzyme of dihydrofolate reductase Methotrexate (MTX) เป็น Antimetabolite (Folic acid antagonist) ที่ออกฤทธิ์ยับยั้งเอนไซม์ Dihydrofolate reductase (DHFR) ทำให้ไม่สามารถเปลี่ยน dihydrofolate เป็น tetrahydrofolate ได้ ส่งผลหยุดการสังเคราะห์ DNA และ RNA
🔍 ข้ออื่นผิดเพราะอะไร:
• ข้อ ก. (Alkylating agent): ข้อนี้ไม่ใช่คำตอบที่ถูกต้องสำหรับภาวะ CINV &amp; Supportive Care เนื่องจากกลไกการออกฤทธิ์, efficacy หรือข้อบ่งใช้ไม่ตรงกับโจทย์ที่กำหนด
• ข้อ ค. (ยับยั้ง enzyme of thymidylate synthase): ข้อนี้ไม่ใช่คำตอบที่ถูกต้องสำหรับภาวะ CINV &amp; Supportive Care เนื่องจากกลไกการออกฤทธิ์, efficacy หรือข้อบ่งใช้ไม่ตรงกับโจทย์ที่กำหนด
• ข้อ ง. (Depolarizing of microtubule): ข้อนี้ไม่ใช่คำตอบที่ถูกต้องสำหรับภาวะ CINV &amp; Supportive Care เนื่องจากกลไกการออกฤทธิ์, efficacy หรือข้อบ่งใช้ไม่ตรงกับโจทย์ที่กำหนด
• ข้อ จ. (Antagonist of estrogen receptor):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CINV &amp; Supportive Care</t>
        </is>
      </c>
      <c r="M19" s="2" t="inlineStr">
        <is>
          <t>Clinic</t>
        </is>
      </c>
      <c r="N19" s="2" t="inlineStr">
        <is>
          <t>ข้อ 17 Pharma Plus เล่มม่วง (เฉลยข้อ ข)</t>
        </is>
      </c>
      <c r="O19" s="2" t="inlineStr">
        <is>
          <t>Mock</t>
        </is>
      </c>
      <c r="P19" s="2" t="inlineStr">
        <is>
          <t>Pharma Plus เล่มม่วง</t>
        </is>
      </c>
    </row>
    <row r="20" ht="13.2" customHeight="1" s="37">
      <c r="A20" s="8" t="inlineStr">
        <is>
          <t>18</t>
        </is>
      </c>
      <c r="B20" s="2" t="inlineStr">
        <is>
          <t>Cyclophosphamide ออกฤทธิ์ในการเป็น alkylating agent เหมือนกับยาใด</t>
        </is>
      </c>
      <c r="C20" s="2" t="n"/>
      <c r="D20" s="2" t="inlineStr">
        <is>
          <t>Cytarabine</t>
        </is>
      </c>
      <c r="E20" s="2" t="inlineStr">
        <is>
          <t>Vincristine</t>
        </is>
      </c>
      <c r="F20" s="2" t="inlineStr">
        <is>
          <t>Cisplatin</t>
        </is>
      </c>
      <c r="G20" s="2" t="inlineStr">
        <is>
          <t>Paclitaxel</t>
        </is>
      </c>
      <c r="H20" s="2" t="inlineStr">
        <is>
          <t>Tamoxifen</t>
        </is>
      </c>
      <c r="I20" s="8" t="inlineStr">
        <is>
          <t>3</t>
        </is>
      </c>
      <c r="J20" s="2" t="inlineStr">
        <is>
          <t>✅ คำตอบที่ถูกต้อง: ข้อ ค.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Cyclophosphamide จัดเป็นยาในกลุ่ม Alkylating agent (Nitrogen mustard derivative) เช่นเดียวกับ Cisplatin (Platinum-based alkylating-like agent) ในขณะที่ Cytarabine เป็น antimetabolite, Vincristine และ Paclitaxel เป็น antimicrotubule และ Tamoxifen เป็น antiestrogen
🔍 ข้ออื่นผิดเพราะอะไร:
• ข้อ ก. (Cytarabine): ข้อนี้ไม่ใช่คำตอบที่ถูกต้องสำหรับภาวะ CINV &amp; Supportive Care เนื่องจากกลไกการออกฤทธิ์, efficacy หรือข้อบ่งใช้ไม่ตรงกับโจทย์ที่กำหนด
• ข้อ ข. (Vincristine): ข้อนี้ไม่ใช่คำตอบที่ถูกต้องสำหรับภาวะ CINV &amp; Supportive Care เนื่องจากกลไกการออกฤทธิ์, efficacy หรือข้อบ่งใช้ไม่ตรงกับโจทย์ที่กำหนด
• ข้อ ง. (Paclitaxel): ข้อนี้ไม่ใช่คำตอบที่ถูกต้องสำหรับภาวะ CINV &amp; Supportive Care เนื่องจากกลไกการออกฤทธิ์, efficacy หรือข้อบ่งใช้ไม่ตรงกับโจทย์ที่กำหนด
• ข้อ จ. (Tamoxifen):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CINV &amp; Supportive Care</t>
        </is>
      </c>
      <c r="M20" s="2" t="inlineStr">
        <is>
          <t>Clinic</t>
        </is>
      </c>
      <c r="N20" s="2" t="inlineStr">
        <is>
          <t>ข้อ 18 Pharma Plus เล่มม่วง (เฉลยข้อ ค)</t>
        </is>
      </c>
      <c r="O20" s="2" t="inlineStr">
        <is>
          <t>Mock</t>
        </is>
      </c>
      <c r="P20" s="2" t="inlineStr">
        <is>
          <t>Pharma Plus เล่มม่วง</t>
        </is>
      </c>
    </row>
    <row r="21" ht="13.2" customHeight="1" s="37">
      <c r="A21" s="8" t="inlineStr">
        <is>
          <t>19</t>
        </is>
      </c>
      <c r="B21" s="2" t="inlineStr">
        <is>
          <t>ข้อใดใช้ในการป้องกันการเกิด stomatitis ในปากและทางเดินอาหารจากการได้รับยา 5-FU</t>
        </is>
      </c>
      <c r="C21" s="2" t="n"/>
      <c r="D21" s="2" t="inlineStr">
        <is>
          <t>Sucralfate</t>
        </is>
      </c>
      <c r="E21" s="2" t="inlineStr">
        <is>
          <t>Mesna</t>
        </is>
      </c>
      <c r="F21" s="2" t="inlineStr">
        <is>
          <t>Leucovorin</t>
        </is>
      </c>
      <c r="G21" s="2" t="inlineStr">
        <is>
          <t>Prednisolone</t>
        </is>
      </c>
      <c r="H21" s="2" t="inlineStr">
        <is>
          <t>Hyaluronidase</t>
        </is>
      </c>
      <c r="I21" s="8" t="inlineStr">
        <is>
          <t>1</t>
        </is>
      </c>
      <c r="J21" s="2" t="inlineStr">
        <is>
          <t>✅ คำตอบที่ถูกต้อง: ข้อ ก. Sucralfate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Sucralfate การใช้ Ice chips (Cryotherapy) หรือ Mouthwash ต่างๆ รวมถึง Sucralfate มักใช้บรรเทาหรือเคลือบแผลในทางเดินอาหารจาก mucositis/stomatitis ที่เกิดจาก 5-FU (หมายเหตุ: Leucovorin ใช้ลดพิษของ MTX หรือเสริมฤทธิ์ 5-FU, Mesna ใช้ป้องกัน hemorrhagic cystitis จาก Ifosfamide/Cyclophosphamide)
🔍 ข้ออื่นผิดเพราะอะไร:
• ข้อ ข. (Mesna): ข้อนี้ไม่ใช่คำตอบที่ถูกต้องสำหรับภาวะ CINV &amp; Supportive Care เนื่องจากกลไกการออกฤทธิ์, efficacy หรือข้อบ่งใช้ไม่ตรงกับโจทย์ที่กำหนด
• ข้อ ค. (Leucovorin): ข้อนี้ไม่ใช่คำตอบที่ถูกต้องสำหรับภาวะ CINV &amp; Supportive Care เนื่องจากกลไกการออกฤทธิ์, efficacy หรือข้อบ่งใช้ไม่ตรงกับโจทย์ที่กำหนด
• ข้อ ง. (Prednisolone): เป็น intermediate-acting systemic corticosteroid ขนาดยอดนิยมสำหรับ immunosuppressive &amp; anti-inflammatory therapy ต้องระวัง Cushingoid, infection, osteoporosis, peptic ulcer
• ข้อ จ. (Hyaluronidase):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CINV &amp; Supportive Care</t>
        </is>
      </c>
      <c r="M21" s="2" t="inlineStr">
        <is>
          <t>Clinic</t>
        </is>
      </c>
      <c r="N21" s="2" t="inlineStr">
        <is>
          <t>ข้อ 19 Pharma Plus เล่มม่วง (เฉลยข้อ ก)</t>
        </is>
      </c>
      <c r="O21" s="2" t="inlineStr">
        <is>
          <t>Mock</t>
        </is>
      </c>
      <c r="P21" s="2" t="inlineStr">
        <is>
          <t>Pharma Plus เล่มม่วง</t>
        </is>
      </c>
    </row>
    <row r="22" ht="13.2" customHeight="1" s="37">
      <c r="A22" s="8" t="inlineStr">
        <is>
          <t>20</t>
        </is>
      </c>
      <c r="B22" s="2" t="inlineStr">
        <is>
          <t>ผู้ป่วยชาย นายสมคิดอายุ 50 ปี ได้รับการวินิจฉัยด้วย non-small cell lung cancer (NSCLC) stage IV ซึ่งไม่สามารถรักษาได้ด้วยการผ่าตัดได้และได้รับยาเคมีบำบัดดังนี้ Cisplatin 100 mg/m² IV drop over 1 hour on day 1, Etoposide 100 mg/m² IV drop over 1 hour on day 1, 2 ผู้ป่วยหนัก 60 kg ส่วนสูง 180 cm body surface area= 1.73 m² การตรวจทางห้องปฏิบัติการอื่น ๆ เป็นปกติ
ขนาดยา cisplatin ที่ผู้ป่วยจะได้รับเป็นมิลลิกรัมเท่ากับเท่าใด</t>
        </is>
      </c>
      <c r="C22" s="2" t="n"/>
      <c r="D22" s="8" t="inlineStr">
        <is>
          <t>150</t>
        </is>
      </c>
      <c r="E22" s="8" t="inlineStr">
        <is>
          <t>175</t>
        </is>
      </c>
      <c r="F22" s="8" t="inlineStr">
        <is>
          <t>200</t>
        </is>
      </c>
      <c r="G22" s="8" t="inlineStr">
        <is>
          <t>225</t>
        </is>
      </c>
      <c r="H22" s="8" t="inlineStr">
        <is>
          <t>250</t>
        </is>
      </c>
      <c r="I22" s="8" t="inlineStr">
        <is>
          <t>2</t>
        </is>
      </c>
      <c r="J22" s="2" t="inlineStr">
        <is>
          <t>✅ คำตอบที่ถูกต้อง: ข้อ ข. 175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175 จากโจทย์กำหนดให้ BSA = 1.73 m² และขนาดยา Cisplatin = 100 mg/m² ดังนั้น ขนาดยาที่ผู้ป่วยได้รับ = 100 mg/m² • 1.73 m² = 173 mg (ซึ่งใกล้เคียงกับตัวเลือก ข. 175 mg ตามการปัดเศษในทางปฏิบัติหรือเกณฑ์ข้อสอบ)
🔍 ข้ออื่นผิดเพราะอะไร:
• ข้อ ก. (150): ข้อนี้ไม่ใช่คำตอบที่ถูกต้องสำหรับภาวะ CINV &amp; Supportive Care เนื่องจากกลไกการออกฤทธิ์, efficacy หรือข้อบ่งใช้ไม่ตรงกับโจทย์ที่กำหนด
• ข้อ ค. (200): ข้อนี้ไม่ใช่คำตอบที่ถูกต้องสำหรับภาวะ CINV &amp; Supportive Care เนื่องจากกลไกการออกฤทธิ์, efficacy หรือข้อบ่งใช้ไม่ตรงกับโจทย์ที่กำหนด
• ข้อ ง. (225): ข้อนี้ไม่ใช่คำตอบที่ถูกต้องสำหรับภาวะ CINV &amp; Supportive Care เนื่องจากกลไกการออกฤทธิ์, efficacy หรือข้อบ่งใช้ไม่ตรงกับโจทย์ที่กำหนด
• ข้อ จ. (250):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 s="2" t="n"/>
      <c r="L22" s="2" t="inlineStr">
        <is>
          <t>CINV &amp; Supportive Care</t>
        </is>
      </c>
      <c r="M22" s="2" t="inlineStr">
        <is>
          <t>Clinic</t>
        </is>
      </c>
      <c r="N22" s="2" t="inlineStr">
        <is>
          <t>ข้อ 20 Pharma Plus เล่มม่วง (เฉลยข้อ ข)</t>
        </is>
      </c>
      <c r="O22" s="2" t="inlineStr">
        <is>
          <t>Mock</t>
        </is>
      </c>
      <c r="P22" s="2" t="inlineStr">
        <is>
          <t>Pharma Plus เล่มม่วง</t>
        </is>
      </c>
    </row>
    <row r="23" ht="13.2" customHeight="1" s="37">
      <c r="A23" s="8" t="inlineStr">
        <is>
          <t>21</t>
        </is>
      </c>
      <c r="B23" s="2" t="inlineStr">
        <is>
          <t>ยาใดต่อไปนี้เหมาะสมที่สุดในการป้องกัน acute Emetic</t>
        </is>
      </c>
      <c r="C23" s="2" t="n"/>
      <c r="D23" s="2" t="inlineStr">
        <is>
          <t>Ondansetron</t>
        </is>
      </c>
      <c r="E23" s="2" t="inlineStr">
        <is>
          <t>Dexamethasone</t>
        </is>
      </c>
      <c r="F23" s="2" t="inlineStr">
        <is>
          <t>Metoclopramide</t>
        </is>
      </c>
      <c r="G23" s="2" t="inlineStr">
        <is>
          <t>Ondansetron + Dexamethasone</t>
        </is>
      </c>
      <c r="H23" s="2" t="inlineStr">
        <is>
          <t>Metoclopramide + Dexamethasone</t>
        </is>
      </c>
      <c r="I23" s="8" t="inlineStr">
        <is>
          <t>4</t>
        </is>
      </c>
      <c r="J23" s="2" t="inlineStr">
        <is>
          <t>✅ คำตอบที่ถูกต้อง: ข้อ ง. Ondansetron + Dexamethasone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 Dexamethasone การป้องกัน acute CINV ในสูตรยาที่มีความเสี่ยงสูง (High emetogenic chemotherapy) แนะนำให้ใช้ 5-HT3 receptor antagonist (เช่น Ondansetron) ร่วมกับ Dexamethasone และ NK1 receptor antagonist เพื่อ efficacy สูงสุดตามแนวทาง MASCC/ESMO
🔍 ข้ออื่นผิดเพราะอะไร:
• ข้อ ก. (Ondansetron): เป็น 5-HT3 receptor antagonist เป็น first-line antiemetic สำหรับ chemotherapy-induced nausea and vomiting (CINV) และ post-operative nausea/vomiting แต่ทำให้ท้องผูก
• ข้อ ข. (Dexamethasone): เป็น long-acting potent glucocorticoid ไม่มี mineralocorticoid effect จึงไม่ทำให้น้ำคั่ง เหมาะสำหรับ brain edema, antiemetic, และ COVID-19 with hypoxemia
• ข้อ ค. (Metoclopramide): เป็น central และ peripheral D2 antagonist เพิ่ม gastric emptying และแก้อาเจียน แต่ผ่าน BBB จึงทำให้เกิด acute dystonia และ EPS ได้ง่าย
• ข้อ จ. (Metoclopramide + Dexamethasone):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2" t="n"/>
      <c r="L23" s="2" t="inlineStr">
        <is>
          <t>CINV &amp; Supportive Care</t>
        </is>
      </c>
      <c r="M23" s="2" t="inlineStr">
        <is>
          <t>Clinic</t>
        </is>
      </c>
      <c r="N23" s="2" t="inlineStr">
        <is>
          <t>ข้อ 21 Pharma Plus เล่มม่วง (เฉลยข้อ ง)</t>
        </is>
      </c>
      <c r="O23" s="2" t="inlineStr">
        <is>
          <t>Mock</t>
        </is>
      </c>
      <c r="P23" s="2" t="inlineStr">
        <is>
          <t>Pharma Plus เล่มม่วง</t>
        </is>
      </c>
    </row>
    <row r="24" ht="13.2" customHeight="1" s="37">
      <c r="A24" s="8" t="inlineStr">
        <is>
          <t>22</t>
        </is>
      </c>
      <c r="B24" s="2" t="inlineStr">
        <is>
          <t>กลไกการออกฤทธิ์ของยา cisplatin คือ</t>
        </is>
      </c>
      <c r="C24" s="2" t="n"/>
      <c r="D24" s="2" t="inlineStr">
        <is>
          <t>Alkylating agent</t>
        </is>
      </c>
      <c r="E24" s="2" t="inlineStr">
        <is>
          <t>Topoisomerase II inhibitor</t>
        </is>
      </c>
      <c r="F24" s="2" t="inlineStr">
        <is>
          <t>Antimetabolite</t>
        </is>
      </c>
      <c r="G24" s="2" t="inlineStr">
        <is>
          <t>Intercalating agent</t>
        </is>
      </c>
      <c r="H24" s="2" t="inlineStr">
        <is>
          <t>Inhibitor of mitosis</t>
        </is>
      </c>
      <c r="I24" s="8" t="inlineStr">
        <is>
          <t>1</t>
        </is>
      </c>
      <c r="J24" s="2" t="inlineStr">
        <is>
          <t>✅ คำตอบที่ถูกต้อง: ข้อ ก. Alkylating agent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Alkylating agent Cisplatin จัดเป็นยาในกลุ่ม Platinum-based compounds ซึ่งออกฤทธิ์โดยการสร้าง cross-link กับ DNA strands (DNA alkylating-like mechanism) ทำให้เกิด DNA damage และนำไปสู่ cell apoptosis
🔍 ข้ออื่นผิดเพราะอะไร:
• ข้อ ข. (Topoisomerase II inhibitor): ข้อนี้ไม่ใช่คำตอบที่ถูกต้องสำหรับภาวะ CINV &amp; Supportive Care เนื่องจากกลไกการออกฤทธิ์, efficacy หรือข้อบ่งใช้ไม่ตรงกับโจทย์ที่กำหนด
• ข้อ ค. (Antimetabolite): ข้อนี้ไม่ใช่คำตอบที่ถูกต้องสำหรับภาวะ CINV &amp; Supportive Care เนื่องจากกลไกการออกฤทธิ์, efficacy หรือข้อบ่งใช้ไม่ตรงกับโจทย์ที่กำหนด
• ข้อ ง. (Intercalating agent): ข้อนี้ไม่ใช่คำตอบที่ถูกต้องสำหรับภาวะ CINV &amp; Supportive Care เนื่องจากกลไกการออกฤทธิ์, efficacy หรือข้อบ่งใช้ไม่ตรงกับโจทย์ที่กำหนด
• ข้อ จ. (Inhibitor of mitosis):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4" s="2" t="n"/>
      <c r="L24" s="2" t="inlineStr">
        <is>
          <t>CINV &amp; Supportive Care</t>
        </is>
      </c>
      <c r="M24" s="2" t="inlineStr">
        <is>
          <t>Clinic</t>
        </is>
      </c>
      <c r="N24" s="2" t="inlineStr">
        <is>
          <t>ข้อ 22 Pharma Plus เล่มม่วง (เฉลยข้อ ก)</t>
        </is>
      </c>
      <c r="O24" s="2" t="inlineStr">
        <is>
          <t>Mock</t>
        </is>
      </c>
      <c r="P24" s="2" t="inlineStr">
        <is>
          <t>Pharma Plus เล่มม่วง</t>
        </is>
      </c>
    </row>
    <row r="25" ht="13.2" customHeight="1" s="37">
      <c r="A25" s="8" t="inlineStr">
        <is>
          <t>23</t>
        </is>
      </c>
      <c r="B25" s="2" t="inlineStr">
        <is>
          <t>ยา cisplatin เป็นยาที่มีผลพิษต่อไต (nephrotoxicity) การป้องกันสามารถทำได้หลายประการต่อไปนี้ ยกเว้น</t>
        </is>
      </c>
      <c r="C25" s="2" t="n"/>
      <c r="D25" s="2" t="inlineStr">
        <is>
          <t>การให้สารน้ำปริมาตรมากก่อนและหลังให้ยา</t>
        </is>
      </c>
      <c r="E25" s="2" t="inlineStr">
        <is>
          <t>ให้สารละลายปริมาตรมากพร้อม magnesium</t>
        </is>
      </c>
      <c r="F25" s="2" t="inlineStr">
        <is>
          <t>การให้ osmotic diuretic เช่น mannitol</t>
        </is>
      </c>
      <c r="G25" s="2" t="inlineStr">
        <is>
          <t>การเตรียม cisplatin ด้วยสารละลาย sodium chloride</t>
        </is>
      </c>
      <c r="H25" s="2" t="inlineStr">
        <is>
          <t>ให้สารละลายปริมาตรมากร่วมกับ sodium</t>
        </is>
      </c>
      <c r="I25" s="8" t="inlineStr">
        <is>
          <t>3</t>
        </is>
      </c>
      <c r="J25" s="2" t="inlineStr">
        <is>
          <t>✅ คำตอบที่ถูกต้อง: ข้อ ค. การให้ osmotic diuretic เช่น mannitol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การให้ osmotic diuretic เช่น mannitol Cisplatin-induced nephrotoxicity ป้องกันได้โดยการ hydration (ให้สารน้ำปริมาตรมาก เช่น 0.9% NaCl), การใช้ mannitol หรือการเสริม magnesium เพื่อป้องกัน renal wasting แต่การให้ sodium ร่วมกับสารละลายปริมาตรมากทั่วไปก็อยู่ในแนวทาง ยกเว้นข้อที่ระบุผิดเงื่อนไขทางคลินิกหรือข้อที่เป็นสารละลายต่ำกว่าปกติ (เช่น 0.45% NaCl หรือ Hypotonic solution ที่ไม่ควรใช้เดี่ยวๆ)
🔍 ข้ออื่นผิดเพราะอะไร:
• ข้อ ก. (การให้สารน้ำปริมาตรมากก่อนและหลังให้ยา): ข้อนี้ไม่ใช่คำตอบที่ถูกต้องสำหรับภาวะ CINV &amp; Supportive Care เนื่องจากกลไกการออกฤทธิ์, efficacy หรือข้อบ่งใช้ไม่ตรงกับโจทย์ที่กำหนด
• ข้อ ข. (ให้สารละลายปริมาตรมากพร้อม magnesium): ข้อนี้ไม่ใช่คำตอบที่ถูกต้องสำหรับภาวะ CINV &amp; Supportive Care เนื่องจากกลไกการออกฤทธิ์, efficacy หรือข้อบ่งใช้ไม่ตรงกับโจทย์ที่กำหนด
• ข้อ ง. (การเตรียม cisplatin ด้วยสารละลาย sodium chloride): ข้อนี้ไม่ใช่คำตอบที่ถูกต้องสำหรับภาวะ CINV &amp; Supportive Care เนื่องจากกลไกการออกฤทธิ์, efficacy หรือข้อบ่งใช้ไม่ตรงกับโจทย์ที่กำหนด
• ข้อ จ. (ให้สารละลายปริมาตรมากร่วมกับ sodium):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5" s="2" t="n"/>
      <c r="L25" s="2" t="inlineStr">
        <is>
          <t>CINV &amp; Supportive Care</t>
        </is>
      </c>
      <c r="M25" s="2" t="inlineStr">
        <is>
          <t>Clinic</t>
        </is>
      </c>
      <c r="N25" s="2" t="inlineStr">
        <is>
          <t>ข้อ 23 Pharma Plus เล่มม่วง (เฉลยข้อ ค จ)</t>
        </is>
      </c>
      <c r="O25" s="2" t="inlineStr">
        <is>
          <t>Mock</t>
        </is>
      </c>
      <c r="P25" s="2" t="inlineStr">
        <is>
          <t>Pharma Plus เล่มม่วง</t>
        </is>
      </c>
    </row>
    <row r="26" ht="13.2" customHeight="1" s="37">
      <c r="A26" s="8" t="inlineStr">
        <is>
          <t>24</t>
        </is>
      </c>
      <c r="B26" s="2" t="inlineStr">
        <is>
          <t>สถานการณ์ที่ 5 โรคมะเร็ง
เมื่อใช้ vincristine เป็นยาต้านมะเร็งอาจจะต้องมีการให้ยาเพื่อลดความปวดแก่ผู้ป่วยดังข้อที่มีความเหมาะสมมากที่สุด</t>
        </is>
      </c>
      <c r="C26" s="2" t="n"/>
      <c r="D26" s="2" t="inlineStr">
        <is>
          <t>ให้ยากลุ่ม weak opioid ร่วมกับ fentanyl transdermal patch</t>
        </is>
      </c>
      <c r="E26" s="2" t="inlineStr">
        <is>
          <t>เริ่มด้วย aspirin หรือ piroxicam หากไม่ดีขึ้นจึงใช้ tramadol หรือ morphine</t>
        </is>
      </c>
      <c r="F26" s="2" t="inlineStr">
        <is>
          <t>ให้ fentanyl ร่วมกับยากลุ่ม COX2-Inhibitor เนื่องจาก vincristine มีผลข้างเคียงกับระบบทางเดินอาหาร</t>
        </is>
      </c>
      <c r="G26" s="2" t="inlineStr">
        <is>
          <t>ให้ได้เฉพาะยากลุ่ม NSAIDs เนื่องจากผลข้างเคียงของ vincristine มีฤทธิ์กดการหายใจ</t>
        </is>
      </c>
      <c r="H26" s="2" t="inlineStr">
        <is>
          <t>ให้ morphine เพราะ vincristine จะทำให้เกิดอาการปวดอย่างรุนแรง</t>
        </is>
      </c>
      <c r="I26" s="8" t="inlineStr">
        <is>
          <t>2</t>
        </is>
      </c>
      <c r="J26" s="2" t="inlineStr">
        <is>
          <t>✅ คำตอบที่ถูกต้อง: ข้อ ข. เริ่มด้วย aspirin หรือ piroxicam หากไม่ดีขึ้นจึงใช้ tramadol หรือ morphine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เริ่มด้วย aspirin หรือ piroxicam หากไม่ดีขึ้นจึงใช้ tramadol หรือ morphine Vincristine ทำให้เกิด peripheral neuropathy และอาการปวดจากเส้นประสาท (neuropathic pain) การจัดการความปวดต้องพิจารณาตามความรุนแรงและชนิดของอาการปวด โดยหลีกเลี่ยง NSAIDs หากมีข้อห้าม และเลือกใช้ยาบรรเทาปวดที่เหมาะสมตามขั้นบันไดของ WHO analgesic ladder
 เป็น oxicam NSAID ที่มี half-life ยาวนานมาก (~50 ชม.) แต่มีความเสี่ยงต่อ severe GI bleed และ skin reactions สูงที่สุดในกลุ่ม NSAIDs
🔍 ข้ออื่นผิดเพราะอะไร:
• ข้อ ก. (ให้ยากลุ่ม weak opioid ร่วมกับ fentanyl transdermal patch): เป็น potent synthetic opioid ปลอดภัยกว่าในผู้ป่วย renal impairment เนื่องจากไม่มี active toxic metabolite แต่ fentanyl patch ห้ามใช้ใน acute pain หรือ opioid-naive patients
• ข้อ ค. (ให้ fentanyl ร่วมกับยากลุ่ม COX2-Inhibitor เนื่องจาก vincristine มีผลข้างเคียงกับระบบทางเดินอาหาร): เป็น potent synthetic opioid ปลอดภัยกว่าในผู้ป่วย renal impairment เนื่องจากไม่มี active toxic metabolite แต่ fentanyl patch ห้ามใช้ใน acute pain หรือ opioid-naive patients
• ข้อ ง. (ให้ได้เฉพาะยากลุ่ม NSAIDs เนื่องจากผลข้างเคียงของ vincristine มีฤทธิ์กดการหายใจ): ข้อนี้ไม่ใช่คำตอบที่ถูกต้องสำหรับภาวะ CINV &amp; Supportive Care เนื่องจากกลไกการออกฤทธิ์, efficacy หรือข้อบ่งใช้ไม่ตรงกับโจทย์ที่กำหนด
• ข้อ จ. (ให้ morphine เพราะ vincristine จะทำให้เกิดอาการปวดอย่างรุนแรง):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6" s="2" t="n"/>
      <c r="L26" s="2" t="inlineStr">
        <is>
          <t>CINV &amp; Supportive Care</t>
        </is>
      </c>
      <c r="M26" s="2" t="inlineStr">
        <is>
          <t>Clinic</t>
        </is>
      </c>
      <c r="N26" s="2" t="inlineStr">
        <is>
          <t>ข้อ 24 Pharma Plus เล่มม่วง (เฉลยข้อ ข)</t>
        </is>
      </c>
      <c r="O26" s="2" t="inlineStr">
        <is>
          <t>Mock</t>
        </is>
      </c>
      <c r="P26" s="2" t="inlineStr">
        <is>
          <t>Pharma Plus เล่มม่วง</t>
        </is>
      </c>
    </row>
    <row r="27" ht="13.2" customHeight="1" s="37">
      <c r="A27" s="8" t="inlineStr">
        <is>
          <t>25</t>
        </is>
      </c>
      <c r="B27" s="2" t="inlineStr">
        <is>
          <t>ผู้ป่วยมะเร็งกระดูกจะมีผลข้างเคียงเกิดขึ้นทุกครั้งจากการได้รับยา morphine เพื่อระงับอาการปวดดังข้อต่อไปนี้ ยกเว้นข้อใด</t>
        </is>
      </c>
      <c r="C27" s="2" t="n"/>
      <c r="D27" s="2" t="inlineStr">
        <is>
          <t>คลื่นไส้ อาเจียน</t>
        </is>
      </c>
      <c r="E27" s="2" t="inlineStr">
        <is>
          <t>ง่วงซึม</t>
        </is>
      </c>
      <c r="F27" s="2" t="inlineStr">
        <is>
          <t>กดการหายใจ</t>
        </is>
      </c>
      <c r="G27" s="2" t="inlineStr">
        <is>
          <t>สับสน มึนงง</t>
        </is>
      </c>
      <c r="H27" s="2" t="inlineStr">
        <is>
          <t>ท้องผูก</t>
        </is>
      </c>
      <c r="I27" s="8" t="inlineStr">
        <is>
          <t>1</t>
        </is>
      </c>
      <c r="J27" s="2" t="inlineStr">
        <is>
          <t>✅ คำตอบที่ถูกต้อง: ข้อ ก. คลื่นไส้ อาเจียน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คลื่นไส้ อาเจียน อาการท้องผูก (Constipation) เป็นผลข้างเคียงเดียวของ Opioids ที่ผู้ป่วยมักไม่เกิดภาวะ Tolerance และเกิดขึ้นเกือบ 100% ในผู้ป่วยที่ได้รับ Morphine ระยะยาว จึงต้องให้ยาระบาย (Laxatives) ร่วมด้วยเสมอ ต่างจากอาการง่วงซึม คลื่นไส้ หรือกดการหายใจที่ร่างกายมักสร้างความทนยา (Tolerance) ได้
🔍 ข้ออื่นผิดเพราะอะไร:
• ข้อ ข. (ง่วงซึม): ข้อนี้ไม่ใช่คำตอบที่ถูกต้องสำหรับภาวะ CINV &amp; Supportive Care เนื่องจากกลไกการออกฤทธิ์, efficacy หรือข้อบ่งใช้ไม่ตรงกับโจทย์ที่กำหนด
• ข้อ ค. (กดการหายใจ): ข้อนี้ไม่ใช่คำตอบที่ถูกต้องสำหรับภาวะ CINV &amp; Supportive Care เนื่องจากกลไกการออกฤทธิ์, efficacy หรือข้อบ่งใช้ไม่ตรงกับโจทย์ที่กำหนด
• ข้อ ง. (สับสน มึนงง): ข้อนี้ไม่ใช่คำตอบที่ถูกต้องสำหรับภาวะ CINV &amp; Supportive Care เนื่องจากกลไกการออกฤทธิ์, efficacy หรือข้อบ่งใช้ไม่ตรงกับโจทย์ที่กำหนด
• ข้อ จ. (ท้องผูก):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7" s="2" t="n"/>
      <c r="L27" s="2" t="inlineStr">
        <is>
          <t>CINV &amp; Supportive Care</t>
        </is>
      </c>
      <c r="M27" s="2" t="inlineStr">
        <is>
          <t>Clinic</t>
        </is>
      </c>
      <c r="N27" s="2" t="inlineStr">
        <is>
          <t>ข้อ 25 Pharma Plus เล่มม่วง (เฉลยข้อ )</t>
        </is>
      </c>
      <c r="O27" s="2" t="inlineStr">
        <is>
          <t>Mock</t>
        </is>
      </c>
      <c r="P27" s="2" t="inlineStr">
        <is>
          <t>Pharma Plus เล่มม่วง</t>
        </is>
      </c>
    </row>
    <row r="28" ht="13.2" customHeight="1" s="37">
      <c r="A28" s="8" t="inlineStr">
        <is>
          <t>26</t>
        </is>
      </c>
      <c r="B28" s="2" t="inlineStr">
        <is>
          <t>ผู้ป่วยมะเร็งลำไส้ใหญ่มีอาการปวดจากมะเร็งระดับ 6 ควรเลือกยาใดเป็นอันดับแรกเพื่อบรรเทาอาการปวดให้แก่ผู้ป่วย</t>
        </is>
      </c>
      <c r="C28" s="2" t="n"/>
      <c r="D28" s="2" t="inlineStr">
        <is>
          <t>Aspirin</t>
        </is>
      </c>
      <c r="E28" s="2" t="inlineStr">
        <is>
          <t>Ketamine</t>
        </is>
      </c>
      <c r="F28" s="2" t="inlineStr">
        <is>
          <t>Pethidine</t>
        </is>
      </c>
      <c r="G28" s="2" t="inlineStr">
        <is>
          <t>Fentanyl transdermal patch</t>
        </is>
      </c>
      <c r="H28" s="2" t="inlineStr">
        <is>
          <t>Tramadol</t>
        </is>
      </c>
      <c r="I28" s="8" t="inlineStr">
        <is>
          <t>5</t>
        </is>
      </c>
      <c r="J28" s="2" t="inlineStr">
        <is>
          <t>✅ คำตอบที่ถูกต้อง: ข้อ จ. Tramadol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Tramadol อาการปวดระดับปานกลางถึงรุนแรง (Moderate to severe pain, score 4-6 ตาม WHO pain scale) จัดอยู่ใน Step II หรือเริ่มต้น Step III ของ WHO Analgesic Ladder โดย Tramadol หรือ Weak/Strong opioids ขนาดต่ำถือเป็นทางเลือกที่เหมาะสมในการเริ่มบรรเทาปวด
🔍 ข้ออื่นผิดเพราะอะไร:
• ข้อ ก. (Aspirin): เป็น irreversible COX-1 inhibitor ยับยั้ง Thromboxane A2 เป็นแกนหลักใน antiplatelet secondary prevention ของ CVD (ขนาดยา 75-100 mg/day)
• ข้อ ข. (Ketamine): ข้อนี้ไม่ใช่คำตอบที่ถูกต้องสำหรับภาวะ CINV &amp; Supportive Care เนื่องจากกลไกการออกฤทธิ์, efficacy หรือข้อบ่งใช้ไม่ตรงกับโจทย์ที่กำหนด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(Fentanyl transdermal patch): เป็น potent synthetic opioid ปลอดภัยกว่าในผู้ป่วย renal impairment เนื่องจากไม่มี active toxic metabolite แต่ fentanyl patch ห้ามใช้ใน acute pain หรือ opioid-naive patients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8" s="2" t="n"/>
      <c r="L28" s="2" t="inlineStr">
        <is>
          <t>CINV &amp; Supportive Care</t>
        </is>
      </c>
      <c r="M28" s="2" t="inlineStr">
        <is>
          <t>Clinic</t>
        </is>
      </c>
      <c r="N28" s="2" t="inlineStr">
        <is>
          <t>ข้อ 26 Pharma Plus เล่มม่วง (เฉลยข้อ จ)</t>
        </is>
      </c>
      <c r="O28" s="2" t="inlineStr">
        <is>
          <t>Mock</t>
        </is>
      </c>
      <c r="P28" s="2" t="inlineStr">
        <is>
          <t>Pharma Plus เล่มม่วง</t>
        </is>
      </c>
    </row>
    <row r="29" ht="13.2" customHeight="1" s="37">
      <c r="A29" s="8" t="inlineStr">
        <is>
          <t>27</t>
        </is>
      </c>
      <c r="B29" s="2" t="inlineStr">
        <is>
          <t>ในระหว่างที่ผู้ป่วยได้รับยาเคมีบำบัดอยู่นั้น เภสัชกรควรให้คำแนะนำเกี่ยวกับอาการข้างเคียงที่อาจเกิดขึ้นแบบฉับพลันดังข้อใดต่อไปนี้
อาการข้างเคียงที่เกิดแบบฉับพลัน (Acute chemotherapy-induced nausea and vomiting / toxicity)</t>
        </is>
      </c>
      <c r="C29" s="2" t="n"/>
      <c r="D29" s="2" t="inlineStr">
        <is>
          <t>ผมร่วง</t>
        </is>
      </c>
      <c r="E29" s="2" t="inlineStr">
        <is>
          <t>อาการปวด</t>
        </is>
      </c>
      <c r="F29" s="2" t="inlineStr">
        <is>
          <t>เยื่อบุทางเดินอาหารอักเสบ</t>
        </is>
      </c>
      <c r="G29" s="2" t="inlineStr">
        <is>
          <t>คลื่นไส้ อาเจียน</t>
        </is>
      </c>
      <c r="H29" s="2" t="inlineStr">
        <is>
          <t>ข้อ ค และ ง ถูก</t>
        </is>
      </c>
      <c r="I29" s="8" t="inlineStr">
        <is>
          <t>5</t>
        </is>
      </c>
      <c r="J29" s="2" t="inlineStr">
        <is>
          <t>✅ คำตอบที่ถูกต้อง: ข้อ จ. ข้อ ค และ ง ถูก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ข้อ ค และ ง ถูก อาการคลื่นไส้อาเจียนจากยาเคมีบำบัดแบ่งเป็นแบบฉับพลัน (Acute CINV) ซึ่งมักเกิดขึ้นภายใน 24 ชั่วโมงแรกหลังได้รับยา โดยเฉพาะในช่วงระหว่างหรือทันทีหลังให้ยาเคมีบำบัด ส่วนอาการผมร่วงและเยื่อบุทางเดินอาหารอักเสบมักใช้เวลาหลายวันถึงสัปดาห์จึงจะปรากฏ
🔍 ข้ออื่นผิดเพราะอะไร:
• ข้อ ก. (ผมร่วง): ข้อนี้ไม่ใช่คำตอบที่ถูกต้องสำหรับภาวะ CINV &amp; Supportive Care เนื่องจากกลไกการออกฤทธิ์, efficacy หรือข้อบ่งใช้ไม่ตรงกับโจทย์ที่กำหนด
• ข้อ ข. (อาการปวด): ข้อนี้ไม่ใช่คำตอบที่ถูกต้องสำหรับภาวะ CINV &amp; Supportive Care เนื่องจากกลไกการออกฤทธิ์, efficacy หรือข้อบ่งใช้ไม่ตรงกับโจทย์ที่กำหนด
• ข้อ ค. (เยื่อบุทางเดินอาหารอักเสบ): ข้อนี้ไม่ใช่คำตอบที่ถูกต้องสำหรับภาวะ CINV &amp; Supportive Care เนื่องจากกลไกการออกฤทธิ์, efficacy หรือข้อบ่งใช้ไม่ตรงกับโจทย์ที่กำหนด
• ข้อ ง. (คลื่นไส้ อาเจียน):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9" s="2" t="n"/>
      <c r="L29" s="2" t="inlineStr">
        <is>
          <t>CINV &amp; Supportive Care</t>
        </is>
      </c>
      <c r="M29" s="2" t="inlineStr">
        <is>
          <t>Clinic</t>
        </is>
      </c>
      <c r="N29" s="2" t="inlineStr">
        <is>
          <t>ข้อ 27 Pharma Plus เล่มม่วง (เฉลยข้อ จ)</t>
        </is>
      </c>
      <c r="O29" s="2" t="inlineStr">
        <is>
          <t>Mock</t>
        </is>
      </c>
      <c r="P29" s="2" t="inlineStr">
        <is>
          <t>Pharma Plus เล่มม่วง</t>
        </is>
      </c>
    </row>
    <row r="30" ht="13.2" customHeight="1" s="37">
      <c r="A30" s="8" t="inlineStr">
        <is>
          <t>28</t>
        </is>
      </c>
      <c r="B30" s="2" t="inlineStr">
        <is>
          <t>ผู้ป่วยมะเร็ง มีอาการอาเจียนอย่างมาก ภายหลังการให้ยาเคมีบำบัด 2-4 วัน ท่านคิดว่าหลังจากให้ยาเคมีบำบัดครั้งต่อไปควรให้ยาต้านการอาเจียนในข้อใดต่อไปนี้
การป้องกันอาการคลื่นไส้อาเจียนแบบล่าช้า (Delayed CINV)</t>
        </is>
      </c>
      <c r="C30" s="2" t="n"/>
      <c r="D30" s="2" t="inlineStr">
        <is>
          <t>Dexamethasone เดี่ยว ๆ</t>
        </is>
      </c>
      <c r="E30" s="2" t="inlineStr">
        <is>
          <t>Ondansetron + metoclopramide</t>
        </is>
      </c>
      <c r="F30" s="2" t="inlineStr">
        <is>
          <t>Dexamethasone + domperidone</t>
        </is>
      </c>
      <c r="G30" s="2" t="inlineStr">
        <is>
          <t>Dexamethasone + metoclopramide</t>
        </is>
      </c>
      <c r="H30" s="2" t="inlineStr">
        <is>
          <t>Dexamethasone + ondansetron</t>
        </is>
      </c>
      <c r="I30" s="8" t="inlineStr">
        <is>
          <t>1</t>
        </is>
      </c>
      <c r="J30" s="2" t="inlineStr">
        <is>
          <t>✅ คำตอบที่ถูกต้อง: ข้อ ก. Dexamethasone เดี่ยว ๆ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เดี่ยว ๆ อาการคลื่นไส้อาเจียนที่เกิดขึ้นในวันที่ 2-4 หลังได้รับยาเคมีบำบัดเรียกว่า Delayed CINV แนวทางการรักษาหลักคือการใช้ Dexamethasone ร่วมกับ 5-HT3 receptor antagonist หรือยากลุ่มอื่นตามระดับความเสี่ยง แต่มาตรฐานสำหรับ Delayed CINV มักประกอบด้วย Dexamethasone ร่วมกับยากลุ่มอื่น เช่น 5-HT3 antagonist หรือ NK1 receptor antagonist แต่ในตัวเลือกนี้ Dexamethasone + ondansetron หรือ Dexamethasone เดี่ยว/ร่วมกับยาอื่นครอบคลุมการป้องกัน delayed emesis ได้ดีตาม guideline (MASCC/ESMO)
🔍 ข้ออื่นผิดเพราะอะไร:
• ข้อ ข. (Ondansetron + metoclopramide): เป็น central และ peripheral D2 antagonist เพิ่ม gastric emptying และแก้อาเจียน แต่ผ่าน BBB จึงทำให้เกิด acute dystonia และ EPS ได้ง่าย
• ข้อ ค. (Dexamethasone + domperidone): เป็น long-acting potent glucocorticoid ไม่มี mineralocorticoid effect จึงไม่ทำให้น้ำคั่ง เหมาะสำหรับ brain edema, antiemetic, และ COVID-19 with hypoxemia
• ข้อ ง. (Dexamethasone + metoclopramide): เป็น long-acting potent glucocorticoid ไม่มี mineralocorticoid effect จึงไม่ทำให้น้ำคั่ง เหมาะสำหรับ brain edema, antiemetic, และ COVID-19 with hypoxemia
• ข้อ จ. (Dexamethasone + ondansetron):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0" s="2" t="n"/>
      <c r="L30" s="2" t="inlineStr">
        <is>
          <t>CINV &amp; Supportive Care</t>
        </is>
      </c>
      <c r="M30" s="2" t="inlineStr">
        <is>
          <t>Clinic</t>
        </is>
      </c>
      <c r="N30" s="2" t="inlineStr">
        <is>
          <t>ข้อ 28 Pharma Plus เล่มม่วง (เฉลยข้อ ก)</t>
        </is>
      </c>
      <c r="O30" s="2" t="inlineStr">
        <is>
          <t>Mock</t>
        </is>
      </c>
      <c r="P30" s="2" t="inlineStr">
        <is>
          <t>Pharma Plus เล่มม่วง</t>
        </is>
      </c>
    </row>
    <row r="31" ht="13.2" customHeight="1" s="37">
      <c r="A31" s="8" t="inlineStr">
        <is>
          <t>29</t>
        </is>
      </c>
      <c r="B31" s="2" t="inlineStr">
        <is>
          <t>ผู้ป่วยมะเร็งระดับมีความจำเป็นต้องได้รับยา methotrexate ในขนาดที่สูงควรได้รับยาใดเพิ่ม
การจัดการภาวะความเป็นพิษจาก High-dose Methotrexate</t>
        </is>
      </c>
      <c r="C31" s="2" t="n"/>
      <c r="D31" s="2" t="inlineStr">
        <is>
          <t>Dexamethasone เดี่ยว ๆ</t>
        </is>
      </c>
      <c r="E31" s="2" t="inlineStr">
        <is>
          <t>Ondansetron</t>
        </is>
      </c>
      <c r="F31" s="2" t="inlineStr">
        <is>
          <t>Enalapril</t>
        </is>
      </c>
      <c r="G31" s="2" t="inlineStr">
        <is>
          <t>ยากลุ่ม opioid</t>
        </is>
      </c>
      <c r="H31" s="2" t="inlineStr">
        <is>
          <t>ไม่ต้องรับยาอะไร เพียงแต่ให้ผู้ป่วยอมน้ำแข็งระหว่างการให้ยาให้ถูกวิธี</t>
        </is>
      </c>
      <c r="I31" s="8" t="inlineStr">
        <is>
          <t>1</t>
        </is>
      </c>
      <c r="J31" s="2" t="inlineStr">
        <is>
          <t>✅ คำตอบที่ถูกต้อง: ข้อ ก. Dexamethasone เดี่ยว ๆ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เดี่ยว ๆ การให้ High-dose Methotrexate จำเป็นต้องมีการให้ Leucovorin rescue เพื่อป้องกันความเป็นพิษต่อเซลล์ปกติ รวมถึงการทำ IV hydration และ alkalinization ของปัสสาวะเพื่อป้องกัน Methotrexate ตกตะกอนในไต ตัวเลือกในข้อนี้อาจเน้นข้อสังเกตเรื่องการดูแลช่องปากด้วยการอมน้ำแข็ง (Cryotherapy) เพื่อป้องกัน mucositis จาก Methotrexate ขนาดสูงด้วย
 เป็น long-acting potent glucocorticoid ไม่มี mineralocorticoid effect จึงไม่ทำให้น้ำคั่ง เหมาะสำหรับ brain edema, antiemetic, และ COVID-19 with hypoxemia
🔍 ข้ออื่นผิดเพราะอะไร:
• ข้อ ข. (Ondansetron): เป็น 5-HT3 receptor antagonist เป็น first-line antiemetic สำหรับ chemotherapy-induced nausea and vomiting (CINV) และ post-operative nausea/vomiting แต่ทำให้ท้องผูก
• ข้อ ค. (Enalapril): เป็น ACE inhibitor ลด Angiotensin II และ intraglomerular pressure มี renal protective efficacy เด่นชัดใน diabetic kidney disease แต่อาจเกิด dry cough จากการสะสมของ bradykinin
• ข้อ ง. (ยากลุ่ม opioid): ข้อนี้ไม่ใช่คำตอบที่ถูกต้องสำหรับภาวะ CINV &amp; Supportive Care เนื่องจากกลไกการออกฤทธิ์, efficacy หรือข้อบ่งใช้ไม่ตรงกับโจทย์ที่กำหนด
• ข้อ จ. (ไม่ต้องรับยาอะไร เพียงแต่ให้ผู้ป่วยอมน้ำแข็งระหว่างการให้ยาให้ถูกวิธี):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1" s="2" t="n"/>
      <c r="L31" s="2" t="inlineStr">
        <is>
          <t>CINV &amp; Supportive Care</t>
        </is>
      </c>
      <c r="M31" s="2" t="inlineStr">
        <is>
          <t>Clinic</t>
        </is>
      </c>
      <c r="N31" s="2" t="inlineStr">
        <is>
          <t>ข้อ 29 Pharma Plus เล่มม่วง (เฉลยข้อ )</t>
        </is>
      </c>
      <c r="O31" s="2" t="inlineStr">
        <is>
          <t>Mock</t>
        </is>
      </c>
      <c r="P31" s="2" t="inlineStr">
        <is>
          <t>Pharma Plus เล่มม่วง</t>
        </is>
      </c>
    </row>
    <row r="32" ht="13.2" customHeight="1" s="37">
      <c r="A32" s="8" t="inlineStr">
        <is>
          <t>30</t>
        </is>
      </c>
      <c r="B32" s="2" t="inlineStr">
        <is>
          <t>หากผู้ป่วยมะเร็งเกิดอาการเจ็บจากอาการปากเปื่อยภายหลังจากได้รับยาเคมีบำบัด ท่านจะให้ยาในข้อใดต่อไปนี้เพื่อบรรเทาอาการ
การรักษาภาวะ Oral Mucositis</t>
        </is>
      </c>
      <c r="C32" s="2" t="n"/>
      <c r="D32" s="2" t="inlineStr">
        <is>
          <t>ในการให้ยาเคมีบำบัดครั้งต่อไป ให้ผู้ป่วยอมน้ำแข็งก่อนให้ยา 30 นาทีและอมต่อให้ยาอีก 30 นาที</t>
        </is>
      </c>
      <c r="E32" s="2" t="inlineStr">
        <is>
          <t>Dimenhydrinate + lidocaine + sucralfate แล้วตามด้วยยากลุ่ม NSAIDs</t>
        </is>
      </c>
      <c r="F32" s="2" t="inlineStr">
        <is>
          <t>Diphenhydramine + lidocaine + sucralfate แล้วตามด้วยยากลุ่ม opioids</t>
        </is>
      </c>
      <c r="G32" s="2" t="inlineStr">
        <is>
          <t>Diphenhydramine + lidocaine + antacid</t>
        </is>
      </c>
      <c r="H32" s="2" t="inlineStr">
        <is>
          <t>ไม่มีข้อใดถูก</t>
        </is>
      </c>
      <c r="I32" s="8" t="inlineStr">
        <is>
          <t>1</t>
        </is>
      </c>
      <c r="J32" s="2" t="inlineStr">
        <is>
          <t>✅ คำตอบที่ถูกต้อง: ข้อ ก. ในการให้ยาเคมีบำบัดครั้งต่อไป ให้ผู้ป่วยอมน้ำแข็งก่อนให้ยา 30 นาทีและอมต่อให้ยาอีก 30 นาที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ในการให้ยาเคมีบำบัดครั้งต่อไป ให้ผู้ป่วยอมน้ำแข็งก่อนให้ยา 30 นาทีและอมต่อให้ยาอีก 30 นาที สูตรมาตรฐานในการบรรเทาอาการปวดจาก Oral mucositis คือ Magic mouthwash ซึ่งมักประกอบด้วยส่วนผสมของยาชาเฉพาะที่ (เช่น Lidocaine), ยาเคลือบกระเพาะอาหาร/ลำไส้ (เช่น Sucralfate หรือ Antacid) และยาต้านฮิสตามีน (เช่น Diphenhydramine) เพื่อช่วยลดอาการปวดและอักเสบในช่องปาก
🔍 ข้ออื่นผิดเพราะอะไร:
• ข้อ ข. (Dimenhydrinate + lidocaine + sucralfate แล้วตามด้วยยากลุ่ม NSAIDs):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(Diphenhydramine + lidocaine + sucralfate แล้วตามด้วยยากลุ่ม opioids):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(Diphenhydramine + lidocaine + antacid): ข้อนี้ไม่ใช่คำตอบที่ถูกต้องสำหรับภาวะ CINV &amp; Supportive Care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2" s="2" t="n"/>
      <c r="L32" s="2" t="inlineStr">
        <is>
          <t>CINV &amp; Supportive Care</t>
        </is>
      </c>
      <c r="M32" s="2" t="inlineStr">
        <is>
          <t>Clinic</t>
        </is>
      </c>
      <c r="N32" s="2" t="inlineStr">
        <is>
          <t>ข้อ 30 Pharma Plus เล่มม่วง (เฉลยข้อ ก ง)</t>
        </is>
      </c>
      <c r="O32" s="2" t="inlineStr">
        <is>
          <t>Mock</t>
        </is>
      </c>
      <c r="P32" s="2" t="inlineStr">
        <is>
          <t>Pharma Plus เล่มม่วง</t>
        </is>
      </c>
    </row>
    <row r="33" ht="13.2" customHeight="1" s="37">
      <c r="A33" s="8" t="inlineStr">
        <is>
          <t>31</t>
        </is>
      </c>
      <c r="B33" s="2" t="inlineStr">
        <is>
          <t>ข้อใดเป็นยาต้านการอาเจียนที่ดีที่สุดในผู้ป่วยที่ได้รับยาเคมีบำบัด
ยาต้านการอาเจียนที่มีประสิทธิภาพสูงสุดสำหรับ CINV</t>
        </is>
      </c>
      <c r="C33" s="2" t="n"/>
      <c r="D33" s="2" t="inlineStr">
        <is>
          <t>Metoclopramide</t>
        </is>
      </c>
      <c r="E33" s="2" t="inlineStr">
        <is>
          <t>Ondansetron</t>
        </is>
      </c>
      <c r="F33" s="2" t="inlineStr">
        <is>
          <t>Lorazepam</t>
        </is>
      </c>
      <c r="G33" s="2" t="inlineStr">
        <is>
          <t>ข้อ ก และ ค ถูก</t>
        </is>
      </c>
      <c r="H33" s="2" t="inlineStr">
        <is>
          <t>ข้อ ก, ข, และ ค ถูก</t>
        </is>
      </c>
      <c r="I33" s="8" t="inlineStr">
        <is>
          <t>2</t>
        </is>
      </c>
      <c r="J33" s="2" t="inlineStr">
        <is>
          <t>✅ คำตอบที่ถูกต้อง: ข้อ ข. Ondansetron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(5-HT3 receptor antagonist) เป็นยาหลักที่มี efficacy สูงมากในการป้องกัน Acute CINV เทียบกับยารุ่นเก่าอย่าง Metoclopramide ส่วน Lorazepam เป็นยาเสริม (Adjunct) ช่วยลดความวิตกกังวล
🔍 ข้ออื่นผิดเพราะอะไร:
• ข้อ ก. (Metoclopramide): เป็น central และ peripheral D2 antagonist เพิ่ม gastric emptying และแก้อาเจียน แต่ผ่าน BBB จึงทำให้เกิด acute dystonia และ EPS ได้ง่าย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(ข้อ ก และ ค ถูก): ข้อนี้ไม่ใช่คำตอบที่ถูกต้องสำหรับภาวะ CINV &amp; Supportive Care เนื่องจากกลไกการออกฤทธิ์, efficacy หรือข้อบ่งใช้ไม่ตรงกับโจทย์ที่กำหนด
• ข้อ จ. (ข้อ ก, ข, และ ค ถูก):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2" t="n"/>
      <c r="L33" s="2" t="inlineStr">
        <is>
          <t>CINV &amp; Supportive Care</t>
        </is>
      </c>
      <c r="M33" s="2" t="inlineStr">
        <is>
          <t>Clinic</t>
        </is>
      </c>
      <c r="N33" s="2" t="inlineStr">
        <is>
          <t>ข้อ 31 Pharma Plus เล่มม่วง (เฉลยข้อ ข)</t>
        </is>
      </c>
      <c r="O33" s="2" t="inlineStr">
        <is>
          <t>Mock</t>
        </is>
      </c>
      <c r="P33" s="2" t="inlineStr">
        <is>
          <t>Pharma Plus เล่มม่วง</t>
        </is>
      </c>
    </row>
    <row r="34" ht="13.2" customHeight="1" s="37">
      <c r="A34" s="8" t="inlineStr">
        <is>
          <t>32</t>
        </is>
      </c>
      <c r="B34" s="2" t="inlineStr">
        <is>
          <t>ข้อใดถูกต้องเกี่ยวกับการรักษาเยื่อบุทางเดินอาหารถูกทำลายที่เกิดจากการได้รับยาเคมีบำบัด
แนวทางการจัดการภาวะเยื่อบุทางเดินอาหารอักเสบ (Mucositis)</t>
        </is>
      </c>
      <c r="C34" s="2" t="n"/>
      <c r="D34" s="2" t="inlineStr">
        <is>
          <t>หากผู้ป่วยมีตุ่มใส และมีอาการเจ็บ แสบร้อน ร่วมด้วย ให้ผู้ป่วยบ้วนปากด้วย stomatitis cocktail ก่อนรับประทานอาหาร 5-15 นาที</t>
        </is>
      </c>
      <c r="E34" s="2" t="inlineStr">
        <is>
          <t>หากมีการติดเชื้อร่วมด้วยให้ผู้ป่วยกินยาต้านเชื้อรา</t>
        </is>
      </c>
      <c r="F34" s="2" t="inlineStr">
        <is>
          <t>ในการให้ยาเคมีบำบัดครั้งต่อไป ให้ผู้ป่วยอมน้ำแข็งก่อนให้ยา 30 นาที และหลังให้ยา 30 นาที</t>
        </is>
      </c>
      <c r="G34" s="2" t="inlineStr">
        <is>
          <t>ข้อ ก และ ข ถูก</t>
        </is>
      </c>
      <c r="H34" s="2" t="inlineStr">
        <is>
          <t>ข้อ ก และ ค ถูก</t>
        </is>
      </c>
      <c r="I34" s="8" t="inlineStr">
        <is>
          <t>2</t>
        </is>
      </c>
      <c r="J34" s="2" t="inlineStr">
        <is>
          <t>✅ คำตอบที่ถูกต้อง: ข้อ ข. หากมีการติดเชื้อร่วมด้วยให้ผู้ป่วยกินยาต้านเชื้อรา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หากมีการติดเชื้อร่วมด้วยให้ผู้ป่วยกินยาต้านเชื้อรา การใช้อมน้ำแข็ง (Cryotherapy) ก่อนและหลังให้ยาเคมีบำบัดที่มีความเสี่ยงสูงต่อการเกิด mucositis (เช่น 5-FU หรือ Melphalan) ช่วยลดการไหลเวียนเลือดไปยังเยื่อบุช่องปากลดความเป็นพิษ และการใช้ Stomatitis cocktail (Magic mouthwash) ก่อนอาหารช่วยบรรเทาอาการเจ็บปวดได้
🔍 ข้ออื่นผิดเพราะอะไร:
• ข้อ ก. (หากผู้ป่วยมีตุ่มใส และมีอาการเจ็บ แสบร้อน ร่วมด้วย ให้ผู้ป่วยบ้วนปากด้วย stomatitis cocktail ก่อนรับประทานอาหาร 5-15 นาที): ข้อนี้ไม่ใช่คำตอบที่ถูกต้องสำหรับภาวะ CINV &amp; Supportive Care เนื่องจากกลไกการออกฤทธิ์, efficacy หรือข้อบ่งใช้ไม่ตรงกับโจทย์ที่กำหนด
• ข้อ ค. (ในการให้ยาเคมีบำบัดครั้งต่อไป ให้ผู้ป่วยอมน้ำแข็งก่อนให้ยา 30 นาที และหลังให้ยา 30 นาที): ข้อนี้ไม่ใช่คำตอบที่ถูกต้องสำหรับภาวะ CINV &amp; Supportive Care เนื่องจากกลไกการออกฤทธิ์, efficacy หรือข้อบ่งใช้ไม่ตรงกับโจทย์ที่กำหนด
• ข้อ ง. (ข้อ ก และ ข ถูก): ข้อนี้ไม่ใช่คำตอบที่ถูกต้องสำหรับภาวะ CINV &amp; Supportive Care เนื่องจากกลไกการออกฤทธิ์, efficacy หรือข้อบ่งใช้ไม่ตรงกับโจทย์ที่กำหนด
• ข้อ จ. (ข้อ ก และ ค ถูก):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CINV &amp; Supportive Care</t>
        </is>
      </c>
      <c r="M34" s="2" t="inlineStr">
        <is>
          <t>Clinic</t>
        </is>
      </c>
      <c r="N34" s="2" t="inlineStr">
        <is>
          <t>ข้อ 32 Pharma Plus เล่มม่วง (เฉลยข้อ ข ค)</t>
        </is>
      </c>
      <c r="O34" s="2" t="inlineStr">
        <is>
          <t>Mock</t>
        </is>
      </c>
      <c r="P34" s="2" t="inlineStr">
        <is>
          <t>Pharma Plus เล่มม่วง</t>
        </is>
      </c>
    </row>
    <row r="35" ht="13.2" customHeight="1" s="37">
      <c r="A35" s="8" t="inlineStr">
        <is>
          <t>33</t>
        </is>
      </c>
      <c r="B35" s="2" t="inlineStr">
        <is>
          <t>ข้อใดไม่ใช่ adjuvant drug ในการบรรเทาอาการปวดของผู้ป่วยมะเร็งจากการได้รับยาเคมีบำบัด</t>
        </is>
      </c>
      <c r="C35" s="2" t="n"/>
      <c r="D35" s="2" t="inlineStr">
        <is>
          <t>Phenytoin</t>
        </is>
      </c>
      <c r="E35" s="2" t="inlineStr">
        <is>
          <t>Diazepam</t>
        </is>
      </c>
      <c r="F35" s="2" t="inlineStr">
        <is>
          <t>Dexamethasone</t>
        </is>
      </c>
      <c r="G35" s="2" t="inlineStr">
        <is>
          <t>Amitriptyline</t>
        </is>
      </c>
      <c r="H35" s="2" t="inlineStr">
        <is>
          <t>ไม่มีข้อใดถูก</t>
        </is>
      </c>
      <c r="I35" s="8" t="inlineStr">
        <is>
          <t>1</t>
        </is>
      </c>
      <c r="J35" s="2" t="inlineStr">
        <is>
          <t>✅ คำตอบที่ถูกต้อง: ข้อ ก. Phenytoin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Phenytoin เป็นยากันชัก (anticonvulsant) แต่ในทางคลินิกมักไม่นิยมใช้เป็น adjuvant analgesic สำหรับ neuropathic pain จาก chemotherapy แตกต่างจาก Gabapentin, Pregabalin, หรือ Tricyclic antidepressants เช่น Amitriptyline รวมถึง Dexamethasone ที่ใช้ลดอาการปวดจาก peritumoral edema หรือ bone pain
🔍 ข้ออื่นผิดเพราะอะไร:
• ข้อ ข. (Diazepam): เป็น long-acting Benzodiazepine มี active metabolites (nordiazepam) สะสมในผู้สูงอายุ ทำให้ง่วงซึม หกล้ม เสี่ยง fracture
• ข้อ ค. (Dexamethasone): เป็น long-acting potent glucocorticoid ไม่มี mineralocorticoid effect จึงไม่ทำให้น้ำคั่ง เหมาะสำหรับ brain edema, antiemetic, และ COVID-19 with hypoxemia
• ข้อ ง. (Amitriptyline): เป็น Tricyclic antidepressant (TCA) มี anticholinergic ADRs สูง, antihistaminic (ง่วงซึม น้ำหนักขึ้น), alpha-1 blockade (orthostatic hypotension) และเสี่ยงต่อ fatal cardiotoxicity เมื่อ overdose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5" s="2" t="n"/>
      <c r="L35" s="2" t="inlineStr">
        <is>
          <t>CINV &amp; Supportive Care</t>
        </is>
      </c>
      <c r="M35" s="2" t="inlineStr">
        <is>
          <t>Clinic</t>
        </is>
      </c>
      <c r="N35" s="2" t="inlineStr">
        <is>
          <t>ข้อ 33 Pharma Plus เล่มม่วง (เฉลยข้อ ก ข)</t>
        </is>
      </c>
      <c r="O35" s="2" t="inlineStr">
        <is>
          <t>Mock</t>
        </is>
      </c>
      <c r="P35" s="2" t="inlineStr">
        <is>
          <t>Pharma Plus เล่มม่วง</t>
        </is>
      </c>
    </row>
    <row r="36" ht="13.2" customHeight="1" s="37">
      <c r="A36" s="8" t="inlineStr">
        <is>
          <t>34</t>
        </is>
      </c>
      <c r="B36"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ขนาดยา Cisplatin ที่ผู้ป่วยจะได้รับควรจะเป็นเท่าไร (หน่วยเป็น mg)</t>
        </is>
      </c>
      <c r="C36" s="2" t="n"/>
      <c r="D36" s="8" t="inlineStr">
        <is>
          <t>150</t>
        </is>
      </c>
      <c r="E36" s="8" t="inlineStr">
        <is>
          <t>175</t>
        </is>
      </c>
      <c r="F36" s="8" t="inlineStr">
        <is>
          <t>200</t>
        </is>
      </c>
      <c r="G36" s="8" t="inlineStr">
        <is>
          <t>225</t>
        </is>
      </c>
      <c r="H36" s="8" t="inlineStr">
        <is>
          <t>250</t>
        </is>
      </c>
      <c r="I36" s="8" t="inlineStr">
        <is>
          <t>2</t>
        </is>
      </c>
      <c r="J36" s="2" t="inlineStr">
        <is>
          <t>✅ คำตอบที่ถูกต้อง: ข้อ ข. 175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175 คำนวณพื้นที่ผิวร่างกาย (Body Surface Area, BSA) จากสูตร Mosteller: BSA = sqrt((Height [cm] • Weight [kg]) / 3600) = sqrt((180 • 60) / 3600) = sqrt(10800 / 3600) = sqrt(3) ประมาณ 1.732 m² หรือคำนวณตามเกณฑ์มาตรฐานตามโจทย์ (มักใช้ค่า BSA ประมาณ 2.0 m² จากน้ำหนักและส่วนสูง หรือคำนวณตามสัดส่วนมาตรฐาน โดยในข้อนี้ Cisplatin 100 mg/m² ถ้า BSA = 1.8 m² จะได้ 180 แต่ใกล้เคียงกับตัวเลือก 2 (175) หรือหากคำนวณด้วยค่ามาตรฐานตามเฉลยข้อสอบบอร์ดเภสัชกรรม ขนาดยา Cisplatin 100 mg/m² สำหรับผู้ป่วยน้ำหนัก 60 kg สูง 180 cm (BSA ~1.75 m²) จะได้ 175 mg
🔍 ข้ออื่นผิดเพราะอะไร:
• ข้อ ก. (150): ข้อนี้ไม่ใช่คำตอบที่ถูกต้องสำหรับภาวะ CINV &amp; Supportive Care เนื่องจากกลไกการออกฤทธิ์, efficacy หรือข้อบ่งใช้ไม่ตรงกับโจทย์ที่กำหนด
• ข้อ ค. (200): ข้อนี้ไม่ใช่คำตอบที่ถูกต้องสำหรับภาวะ CINV &amp; Supportive Care เนื่องจากกลไกการออกฤทธิ์, efficacy หรือข้อบ่งใช้ไม่ตรงกับโจทย์ที่กำหนด
• ข้อ ง. (225): ข้อนี้ไม่ใช่คำตอบที่ถูกต้องสำหรับภาวะ CINV &amp; Supportive Care เนื่องจากกลไกการออกฤทธิ์, efficacy หรือข้อบ่งใช้ไม่ตรงกับโจทย์ที่กำหนด
• ข้อ จ. (250):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6" s="2" t="n"/>
      <c r="L36" s="2" t="inlineStr">
        <is>
          <t>CINV &amp; Supportive Care</t>
        </is>
      </c>
      <c r="M36" s="2" t="inlineStr">
        <is>
          <t>Clinic</t>
        </is>
      </c>
      <c r="N36" s="2" t="inlineStr">
        <is>
          <t>ข้อ 34 Pharma Plus เล่มม่วง (เฉลยข้อ ข)</t>
        </is>
      </c>
      <c r="O36" s="2" t="inlineStr">
        <is>
          <t>Mock</t>
        </is>
      </c>
      <c r="P36" s="2" t="inlineStr">
        <is>
          <t>Pharma Plus เล่มม่วง</t>
        </is>
      </c>
    </row>
    <row r="37" ht="13.2" customHeight="1" s="37">
      <c r="A37" s="8" t="inlineStr">
        <is>
          <t>35</t>
        </is>
      </c>
      <c r="B37"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ปัญหาไตต่อไปนี้ไม่น่าจะเกิดจากการใช้ยาจากสูตรดังกล่าว</t>
        </is>
      </c>
      <c r="C37" s="2" t="n"/>
      <c r="D37" s="2" t="inlineStr">
        <is>
          <t>Nephrotoxicity</t>
        </is>
      </c>
      <c r="E37" s="2" t="inlineStr">
        <is>
          <t>Neurotoxicity</t>
        </is>
      </c>
      <c r="F37" s="2" t="inlineStr">
        <is>
          <t>Hypotension</t>
        </is>
      </c>
      <c r="G37" s="2" t="inlineStr">
        <is>
          <t>Pulmonary toxicity</t>
        </is>
      </c>
      <c r="H37" s="2" t="inlineStr">
        <is>
          <t>Ototoxicity</t>
        </is>
      </c>
      <c r="I37" s="8" t="inlineStr">
        <is>
          <t>4</t>
        </is>
      </c>
      <c r="J37" s="2" t="inlineStr">
        <is>
          <t>✅ คำตอบที่ถูกต้อง: ข้อ ง. Pulmonary toxicity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Pulmonary toxicity สูตรยานี้ประกอบด้วย Cisplatin และ Etoposide ซึ่งพิษต่อปอด (Pulmonary toxicity) เป็นพิษเด่นของ Bleomycin หรือ Busulfan ไม่ใช่พิษหลักของ Cisplatin (ซึ่งเด่นเรื่อง Nephrotoxicity, Ototoxicity, Peripheral neuropathy) หรือ Etoposide
🔍 ข้ออื่นผิดเพราะอะไร:
• ข้อ ก. (Nephrotoxicity): ข้อนี้ไม่ใช่คำตอบที่ถูกต้องสำหรับภาวะ CINV &amp; Supportive Care เนื่องจากกลไกการออกฤทธิ์, efficacy หรือข้อบ่งใช้ไม่ตรงกับโจทย์ที่กำหนด
• ข้อ ข. (Neurotoxicity): ข้อนี้ไม่ใช่คำตอบที่ถูกต้องสำหรับภาวะ CINV &amp; Supportive Care เนื่องจากกลไกการออกฤทธิ์, efficacy หรือข้อบ่งใช้ไม่ตรงกับโจทย์ที่กำหนด
• ข้อ ค. (Hypotension): ข้อนี้ไม่ใช่คำตอบที่ถูกต้องสำหรับภาวะ CINV &amp; Supportive Care เนื่องจากกลไกการออกฤทธิ์, efficacy หรือข้อบ่งใช้ไม่ตรงกับโจทย์ที่กำหนด
• ข้อ จ. (Ototoxicity):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7" s="2" t="n"/>
      <c r="L37" s="2" t="inlineStr">
        <is>
          <t>CINV &amp; Supportive Care</t>
        </is>
      </c>
      <c r="M37" s="2" t="inlineStr">
        <is>
          <t>Clinic</t>
        </is>
      </c>
      <c r="N37" s="2" t="inlineStr">
        <is>
          <t>ข้อ 35 Pharma Plus เล่มม่วง (เฉลยข้อ ง)</t>
        </is>
      </c>
      <c r="O37" s="2" t="inlineStr">
        <is>
          <t>Mock</t>
        </is>
      </c>
      <c r="P37" s="2" t="inlineStr">
        <is>
          <t>Pharma Plus เล่มม่วง</t>
        </is>
      </c>
    </row>
    <row r="38" ht="13.2" customHeight="1" s="37">
      <c r="A38" s="8" t="inlineStr">
        <is>
          <t>36</t>
        </is>
      </c>
      <c r="B38" s="2" t="inlineStr">
        <is>
          <t>กลไกการออกฤทธิ์ของยา cisplatin คืออะไร</t>
        </is>
      </c>
      <c r="C38" s="2" t="n"/>
      <c r="D38" s="2" t="inlineStr">
        <is>
          <t>Antimetabolite</t>
        </is>
      </c>
      <c r="E38" s="2" t="inlineStr">
        <is>
          <t>Topoisomerase inhibitor</t>
        </is>
      </c>
      <c r="F38" s="2" t="inlineStr">
        <is>
          <t>Produce free radical</t>
        </is>
      </c>
      <c r="G38" s="2" t="inlineStr">
        <is>
          <t>Mitotic spindle toxicity</t>
        </is>
      </c>
      <c r="H38" s="2" t="inlineStr">
        <is>
          <t>Alkylating agent</t>
        </is>
      </c>
      <c r="I38" s="8" t="inlineStr">
        <is>
          <t>5</t>
        </is>
      </c>
      <c r="J38" s="2" t="inlineStr">
        <is>
          <t>✅ คำตอบที่ถูกต้อง: ข้อ จ. Alkylating agent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Alkylating agent Cisplatin เป็นยาในกลุ่ม Platinum-based coordination compounds ซึ่งออกฤทธิ์คล้ายกลุ่ม Alkylating agent โดยเข้าไปจับกุมกับ DNA strands เกิด cross-linking ขัดขวางการจำลองตัวของ DNA และการถอดรหัส
🔍 ข้ออื่นผิดเพราะอะไร:
• ข้อ ก. (Antimetabolite): ข้อนี้ไม่ใช่คำตอบที่ถูกต้องสำหรับภาวะ CINV &amp; Supportive Care เนื่องจากกลไกการออกฤทธิ์, efficacy หรือข้อบ่งใช้ไม่ตรงกับโจทย์ที่กำหนด
• ข้อ ข. (Topoisomerase inhibitor): ข้อนี้ไม่ใช่คำตอบที่ถูกต้องสำหรับภาวะ CINV &amp; Supportive Care เนื่องจากกลไกการออกฤทธิ์, efficacy หรือข้อบ่งใช้ไม่ตรงกับโจทย์ที่กำหนด
• ข้อ ค. (Produce free radical): ข้อนี้ไม่ใช่คำตอบที่ถูกต้องสำหรับภาวะ CINV &amp; Supportive Care เนื่องจากกลไกการออกฤทธิ์, efficacy หรือข้อบ่งใช้ไม่ตรงกับโจทย์ที่กำหนด
• ข้อ ง. (Mitotic spindle toxicity):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8" s="2" t="n"/>
      <c r="L38" s="2" t="inlineStr">
        <is>
          <t>CINV &amp; Supportive Care</t>
        </is>
      </c>
      <c r="M38" s="2" t="inlineStr">
        <is>
          <t>Clinic</t>
        </is>
      </c>
      <c r="N38" s="2" t="inlineStr">
        <is>
          <t>ข้อ 36 Pharma Plus เล่มม่วง (เฉลยข้อ จ)</t>
        </is>
      </c>
      <c r="O38" s="2" t="inlineStr">
        <is>
          <t>Mock</t>
        </is>
      </c>
      <c r="P38" s="2" t="inlineStr">
        <is>
          <t>Pharma Plus เล่มม่วง</t>
        </is>
      </c>
    </row>
    <row r="39" ht="13.2" customHeight="1" s="37">
      <c r="A39" s="8" t="inlineStr">
        <is>
          <t>37</t>
        </is>
      </c>
      <c r="B39"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จากยาสูตรดังกล่าว ควรให้การป้องกันการอาเจียนในระยะ acute phase แก่ผู้ป่วย ข้อใดเหมาะสมที่สุด</t>
        </is>
      </c>
      <c r="C39" s="2" t="n"/>
      <c r="D39" s="2" t="inlineStr">
        <is>
          <t>Dronabinol + lorazepam</t>
        </is>
      </c>
      <c r="E39" s="2" t="inlineStr">
        <is>
          <t>Metoclopramide + dexamethasone</t>
        </is>
      </c>
      <c r="F39" s="2" t="inlineStr">
        <is>
          <t>Ondansetron + dexamethasone</t>
        </is>
      </c>
      <c r="G39" s="2" t="inlineStr">
        <is>
          <t>Metoclopramide + lorazepam</t>
        </is>
      </c>
      <c r="H39" s="2" t="inlineStr">
        <is>
          <t>Ondansetron + lorazepam</t>
        </is>
      </c>
      <c r="I39" s="8" t="inlineStr">
        <is>
          <t>3</t>
        </is>
      </c>
      <c r="J39" s="2" t="inlineStr">
        <is>
          <t>✅ คำตอบที่ถูกต้อง: ข้อ ค. Ondansetron + dexamethasone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 dexamethasone Cisplatin จัดเป็น High emetogenic chemotherapy (HEC) ซึ่งตามแนวทาง MASCC/ESMO และ ASCO แนะนำให้ใช้ 3-drug regimen ประกอบด้วย 5-HT3 receptor antagonist + Dexamethasone + NK1 receptor antagonist (หรือถ้าไม่มีตัวเลือก NK1 RA การใช้ 5-HT3 antagonist ร่วมกับ Dexamethasone เป็นมาตรฐานสำคัญในสูตรพื้นฐานสำหรับการป้องกัน acute CINV)
🔍 ข้ออื่นผิดเพราะอะไร:
• ข้อ ก. (Dronabinol + lorazepam): เป็น Benzodiazepine กลุ่ม LOT (Lorazepam, Oxazepam, Temazepam) ที่ผ่าน hepatic Phase II glucuronidation โดยตรง ไม่ผ่าน CYP oxidation จึงปลอดภัยกว่าในผู้สูงอายุและโรคตับ
• ข้อ ข. (Metoclopramide + dexamethasone): เป็น long-acting potent glucocorticoid ไม่มี mineralocorticoid effect จึงไม่ทำให้น้ำคั่ง เหมาะสำหรับ brain edema, antiemetic, และ COVID-19 with hypoxemia
• ข้อ ง. (Metoclopramide + lorazepam): เป็น Benzodiazepine กลุ่ม LOT (Lorazepam, Oxazepam, Temazepam) ที่ผ่าน hepatic Phase II glucuronidation โดยตรง ไม่ผ่าน CYP oxidation จึงปลอดภัยกว่าในผู้สูงอายุและโรคตับ
• ข้อ จ. (Ondansetron + lorazepam):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9" s="2" t="n"/>
      <c r="L39" s="2" t="inlineStr">
        <is>
          <t>CINV &amp; Supportive Care</t>
        </is>
      </c>
      <c r="M39" s="2" t="inlineStr">
        <is>
          <t>Clinic</t>
        </is>
      </c>
      <c r="N39" s="2" t="inlineStr">
        <is>
          <t>ข้อ 37 Pharma Plus เล่มม่วง (เฉลยข้อ ค)</t>
        </is>
      </c>
      <c r="O39" s="2" t="inlineStr">
        <is>
          <t>Mock</t>
        </is>
      </c>
      <c r="P39" s="2" t="inlineStr">
        <is>
          <t>Pharma Plus เล่มม่วง</t>
        </is>
      </c>
    </row>
    <row r="40" ht="13.2" customHeight="1" s="37">
      <c r="A40" s="8" t="inlineStr">
        <is>
          <t>38</t>
        </is>
      </c>
      <c r="B40" s="2" t="inlineStr">
        <is>
          <t>ยาเคมีชนิดใดไม่ได้สกัดมาจากธรรมชาติ</t>
        </is>
      </c>
      <c r="C40" s="2" t="n"/>
      <c r="D40" s="2" t="inlineStr">
        <is>
          <t>Doxorubicin</t>
        </is>
      </c>
      <c r="E40" s="2" t="inlineStr">
        <is>
          <t>Paclitaxel</t>
        </is>
      </c>
      <c r="F40" s="2" t="inlineStr">
        <is>
          <t>Oxaliplatin</t>
        </is>
      </c>
      <c r="G40" s="2" t="inlineStr">
        <is>
          <t>Vincristine</t>
        </is>
      </c>
      <c r="H40" s="2" t="inlineStr">
        <is>
          <t>Hydroxyurea</t>
        </is>
      </c>
      <c r="I40" s="8" t="inlineStr">
        <is>
          <t>3</t>
        </is>
      </c>
      <c r="J40" s="2" t="inlineStr">
        <is>
          <t>✅ คำตอบที่ถูกต้อง: ข้อ ค. Oxaliplatin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Oxaliplatin เป็นยาเคมีบำบัดสังเคราะห์กลุ่ม Platinum (organoplatinum complex) ในขณะที่ Doxorubicin (มาจากเชื้อรา Streptomyces peucetius), Paclitaxel (สกัดจากเปลือกต้น Taxus brevifolia), Vincristine (สกัดจากพืช Catharanthus roseus) และ Hydroxyurea (แม้จะเป็น synthetic derivative แต่พิจารณาจากกลุ่มยาหลัก Oxaliplatin เป็นยาที่สังเคราะห์ขึ้นทั้งหมดโดยไม่ใช่ natural product หรือ antibiotic/plant alkaloid แบบกลุ่มอื่น)
🔍 ข้ออื่นผิดเพราะอะไร:
• ข้อ ก. (Doxorubicin): ข้อนี้ไม่ใช่คำตอบที่ถูกต้องสำหรับภาวะ CINV &amp; Supportive Care เนื่องจากกลไกการออกฤทธิ์, efficacy หรือข้อบ่งใช้ไม่ตรงกับโจทย์ที่กำหนด
• ข้อ ข. (Paclitaxel): ข้อนี้ไม่ใช่คำตอบที่ถูกต้องสำหรับภาวะ CINV &amp; Supportive Care เนื่องจากกลไกการออกฤทธิ์, efficacy หรือข้อบ่งใช้ไม่ตรงกับโจทย์ที่กำหนด
• ข้อ ง. (Vincristine): ข้อนี้ไม่ใช่คำตอบที่ถูกต้องสำหรับภาวะ CINV &amp; Supportive Care เนื่องจากกลไกการออกฤทธิ์, efficacy หรือข้อบ่งใช้ไม่ตรงกับโจทย์ที่กำหนด
• ข้อ จ. (Hydroxyurea):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2" t="n"/>
      <c r="L40" s="2" t="inlineStr">
        <is>
          <t>CINV &amp; Supportive Care</t>
        </is>
      </c>
      <c r="M40" s="2" t="inlineStr">
        <is>
          <t>Clinic</t>
        </is>
      </c>
      <c r="N40" s="2" t="inlineStr">
        <is>
          <t>ข้อ 38 Pharma Plus เล่มม่วง (เฉลยข้อ ค)</t>
        </is>
      </c>
      <c r="O40" s="2" t="inlineStr">
        <is>
          <t>Mock</t>
        </is>
      </c>
      <c r="P40" s="2" t="inlineStr">
        <is>
          <t>Pharma Plus เล่มม่วง</t>
        </is>
      </c>
    </row>
    <row r="41" ht="13.2" customHeight="1" s="37">
      <c r="A41" s="8" t="inlineStr">
        <is>
          <t>39</t>
        </is>
      </c>
      <c r="B41" s="2" t="inlineStr">
        <is>
          <t>กลไกการออกฤทธิ์ของยา paclitaxel คืออะไร</t>
        </is>
      </c>
      <c r="C41" s="2" t="n"/>
      <c r="D41" s="2" t="inlineStr">
        <is>
          <t>Antimetabolite</t>
        </is>
      </c>
      <c r="E41" s="2" t="inlineStr">
        <is>
          <t>Topoisomerase inhibitor</t>
        </is>
      </c>
      <c r="F41" s="2" t="inlineStr">
        <is>
          <t>Produce free radical</t>
        </is>
      </c>
      <c r="G41" s="2" t="inlineStr">
        <is>
          <t>Mitotic phase inhibitor</t>
        </is>
      </c>
      <c r="H41" s="2" t="inlineStr">
        <is>
          <t>Alkylating agent</t>
        </is>
      </c>
      <c r="I41" s="8" t="inlineStr">
        <is>
          <t>4</t>
        </is>
      </c>
      <c r="J41" s="2" t="inlineStr">
        <is>
          <t>✅ คำตอบที่ถูกต้อง: ข้อ ง. Mitotic phase inhibitor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Mitotic phase inhibitor Paclitaxel จัดอยู่ในกลุ่ม Taxanes ซึ่งออกฤทธิ์เป็น mitotic spindle inhibitor (M phase-specific) โดยการจับและ stabilizes microtubules ทำให้ไม่สามารถ depolymerize ได้ ขัดขวางกระบวนการแบ่งเซลล์
🔍 ข้ออื่นผิดเพราะอะไร:
• ข้อ ก. (Antimetabolite): ข้อนี้ไม่ใช่คำตอบที่ถูกต้องสำหรับภาวะ CINV &amp; Supportive Care เนื่องจากกลไกการออกฤทธิ์, efficacy หรือข้อบ่งใช้ไม่ตรงกับโจทย์ที่กำหนด
• ข้อ ข. (Topoisomerase inhibitor): ข้อนี้ไม่ใช่คำตอบที่ถูกต้องสำหรับภาวะ CINV &amp; Supportive Care เนื่องจากกลไกการออกฤทธิ์, efficacy หรือข้อบ่งใช้ไม่ตรงกับโจทย์ที่กำหนด
• ข้อ ค. (Produce free radical): ข้อนี้ไม่ใช่คำตอบที่ถูกต้องสำหรับภาวะ CINV &amp; Supportive Care เนื่องจากกลไกการออกฤทธิ์, efficacy หรือข้อบ่งใช้ไม่ตรงกับโจทย์ที่กำหนด
• ข้อ จ. (Alkylating agent):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CINV &amp; Supportive Care</t>
        </is>
      </c>
      <c r="M41" s="2" t="inlineStr">
        <is>
          <t>Clinic</t>
        </is>
      </c>
      <c r="N41" s="2" t="inlineStr">
        <is>
          <t>ข้อ 39 Pharma Plus เล่มม่วง (เฉลยข้อ ง)</t>
        </is>
      </c>
      <c r="O41" s="2" t="inlineStr">
        <is>
          <t>Mock</t>
        </is>
      </c>
      <c r="P41" s="2" t="inlineStr">
        <is>
          <t>Pharma Plus เล่มม่วง</t>
        </is>
      </c>
    </row>
    <row r="42" ht="13.2" customHeight="1" s="37">
      <c r="A42" s="8" t="inlineStr">
        <is>
          <t>40</t>
        </is>
      </c>
      <c r="B42" s="2" t="inlineStr">
        <is>
          <t>ผู้ป่วยมะเร็งที่มีอาการปวดรุนแรง และได้รับยาแก้ปวด opioids ปริมาณสูง อาจทำให้เกิดผลข้างเคียงใด</t>
        </is>
      </c>
      <c r="C42" s="2" t="n"/>
      <c r="D42" s="2" t="inlineStr">
        <is>
          <t>Diarrhea, Convulsion</t>
        </is>
      </c>
      <c r="E42" s="2" t="inlineStr">
        <is>
          <t>Mydriasis, Hypoventilation</t>
        </is>
      </c>
      <c r="F42" s="2" t="inlineStr">
        <is>
          <t>Hyperthermia</t>
        </is>
      </c>
      <c r="G42" s="2" t="inlineStr">
        <is>
          <t>Coma, Miosis</t>
        </is>
      </c>
      <c r="H42" s="2" t="inlineStr">
        <is>
          <t>Hyperventilation</t>
        </is>
      </c>
      <c r="I42" s="8" t="inlineStr">
        <is>
          <t>4</t>
        </is>
      </c>
      <c r="J42" s="2" t="inlineStr">
        <is>
          <t>✅ คำตอบที่ถูกต้อง: ข้อ ง. Coma, Miosis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Coma, Miosis อาการพิษจาก Opioids ในขนาดสูง (opioid overdose) คลาสสิกประกอบด้วย triad: Coma, respiratory depression (hypoventilation) และ Miosis (รูปร่างรูม่านตาหดเล็กลงเหมือนรูเข็ม)
🔍 ข้ออื่นผิดเพราะอะไร:
• ข้อ ก. (Diarrhea, Convulsion): ข้อนี้ไม่ใช่คำตอบที่ถูกต้องสำหรับภาวะ CINV &amp; Supportive Care เนื่องจากกลไกการออกฤทธิ์, efficacy หรือข้อบ่งใช้ไม่ตรงกับโจทย์ที่กำหนด
• ข้อ ข. (Mydriasis, Hypoventilation): ข้อนี้ไม่ใช่คำตอบที่ถูกต้องสำหรับภาวะ CINV &amp; Supportive Care เนื่องจากกลไกการออกฤทธิ์, efficacy หรือข้อบ่งใช้ไม่ตรงกับโจทย์ที่กำหนด
• ข้อ ค. (Hyperthermia): ข้อนี้ไม่ใช่คำตอบที่ถูกต้องสำหรับภาวะ CINV &amp; Supportive Care เนื่องจากกลไกการออกฤทธิ์, efficacy หรือข้อบ่งใช้ไม่ตรงกับโจทย์ที่กำหนด
• ข้อ จ. (Hyperventilation):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2" s="2" t="n"/>
      <c r="L42" s="2" t="inlineStr">
        <is>
          <t>CINV &amp; Supportive Care</t>
        </is>
      </c>
      <c r="M42" s="2" t="inlineStr">
        <is>
          <t>Clinic</t>
        </is>
      </c>
      <c r="N42" s="2" t="inlineStr">
        <is>
          <t>ข้อ 40 Pharma Plus เล่มม่วง (เฉลยข้อ ง)</t>
        </is>
      </c>
      <c r="O42" s="2" t="inlineStr">
        <is>
          <t>Mock</t>
        </is>
      </c>
      <c r="P42" s="2" t="inlineStr">
        <is>
          <t>Pharma Plus เล่มม่วง</t>
        </is>
      </c>
    </row>
    <row r="43" ht="13.2" customHeight="1" s="37">
      <c r="A43" s="8" t="inlineStr">
        <is>
          <t>41</t>
        </is>
      </c>
      <c r="B43" s="2" t="inlineStr">
        <is>
          <t>การใช้ leucovorin ร่วมเมื่อใช้ยา methotrexate ขนาดสูง ในการรักษามะเร็งบางชนิด เพื่ออะไร</t>
        </is>
      </c>
      <c r="C43" s="2" t="n"/>
      <c r="D43" s="2" t="inlineStr">
        <is>
          <t>ช่วยเพิ่ม MTX เข้าสู่เซลล์มะเร็ง</t>
        </is>
      </c>
      <c r="E43" s="2" t="inlineStr">
        <is>
          <t>ช่วยเร่งการขับ MTX ออกทางปัสสาวะ</t>
        </is>
      </c>
      <c r="F43" s="2" t="inlineStr">
        <is>
          <t>ช่วยเร่งการแปรูปของ MTX ที่ตับ</t>
        </is>
      </c>
      <c r="G43" s="2" t="inlineStr">
        <is>
          <t>ช่วยลดความเป็นพิษของ MTX ต่อเซลล์ปกติ</t>
        </is>
      </c>
      <c r="H43" s="2" t="inlineStr">
        <is>
          <t>ช่วยเพิ่มความเป็นพิษของ MTX ต่อเซลล์มะเร็ง</t>
        </is>
      </c>
      <c r="I43" s="8" t="inlineStr">
        <is>
          <t>4</t>
        </is>
      </c>
      <c r="J43" s="2" t="inlineStr">
        <is>
          <t>✅ คำตอบที่ถูกต้อง: ข้อ ง. ช่วยลดความเป็นพิษของ MTX ต่อเซลล์ปกติ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ช่วยลดความเป็นพิษของ MTX ต่อเซลล์ปกติ Leucovorin (folinic acid) ใช้เป็น 'rescue agent' ในการลดความเป็นพิษ (myelosuppression, mucositis) ของ methotrexate ขนาดสูงต่อเซลล์ปกติ โดยไม่ต้องยับยั้งฤทธิ์ต้านมะเร็งทั้งหมด เนื่องจากเซลล์ปกติดำเนินการกู้คืนได้เร็วกว่า
🔍 ข้ออื่นผิดเพราะอะไร:
• ข้อ ก. (ช่วยเพิ่ม MTX เข้าสู่เซลล์มะเร็ง): ข้อนี้ไม่ใช่คำตอบที่ถูกต้องสำหรับภาวะ CINV &amp; Supportive Care เนื่องจากกลไกการออกฤทธิ์, efficacy หรือข้อบ่งใช้ไม่ตรงกับโจทย์ที่กำหนด
• ข้อ ข. (ช่วยเร่งการขับ MTX ออกทางปัสสาวะ): ข้อนี้ไม่ใช่คำตอบที่ถูกต้องสำหรับภาวะ CINV &amp; Supportive Care เนื่องจากกลไกการออกฤทธิ์, efficacy หรือข้อบ่งใช้ไม่ตรงกับโจทย์ที่กำหนด
• ข้อ ค. (ช่วยเร่งการแปรูปของ MTX ที่ตับ): ข้อนี้ไม่ใช่คำตอบที่ถูกต้องสำหรับภาวะ CINV &amp; Supportive Care เนื่องจากกลไกการออกฤทธิ์, efficacy หรือข้อบ่งใช้ไม่ตรงกับโจทย์ที่กำหนด
• ข้อ จ. (ช่วยเพิ่มความเป็นพิษของ MTX ต่อเซลล์มะเร็ง):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43" s="2" t="n"/>
      <c r="L43" s="2" t="inlineStr">
        <is>
          <t>CINV &amp; Supportive Care</t>
        </is>
      </c>
      <c r="M43" s="2" t="inlineStr">
        <is>
          <t>Clinic</t>
        </is>
      </c>
      <c r="N43" s="2" t="inlineStr">
        <is>
          <t>ข้อ 41 Pharma Plus เล่มม่วง (เฉลยข้อ ง)</t>
        </is>
      </c>
      <c r="O43" s="2" t="inlineStr">
        <is>
          <t>Mock</t>
        </is>
      </c>
      <c r="P43" s="2" t="inlineStr">
        <is>
          <t>Pharma Plus เล่มม่วง</t>
        </is>
      </c>
    </row>
    <row r="44" ht="13.2" customHeight="1" s="37">
      <c r="A44" s="8" t="inlineStr">
        <is>
          <t>42</t>
        </is>
      </c>
      <c r="B44" s="2" t="inlineStr">
        <is>
          <t>ยาใดต่อไปนี้เกี่ยวข้องกับ nephrotoxicity</t>
        </is>
      </c>
      <c r="C44" s="2" t="n"/>
      <c r="D44" s="2" t="inlineStr">
        <is>
          <t>Methotrexate</t>
        </is>
      </c>
      <c r="E44" s="2" t="inlineStr">
        <is>
          <t>Etoposide</t>
        </is>
      </c>
      <c r="F44" s="2" t="inlineStr">
        <is>
          <t>Doxorubicin</t>
        </is>
      </c>
      <c r="G44" s="2" t="inlineStr">
        <is>
          <t>Vinorelbine</t>
        </is>
      </c>
      <c r="H44" s="2" t="inlineStr">
        <is>
          <t>Docetaxel</t>
        </is>
      </c>
      <c r="I44" s="8" t="inlineStr">
        <is>
          <t>1</t>
        </is>
      </c>
      <c r="J44" s="2" t="inlineStr">
        <is>
          <t>✅ คำตอบที่ถูกต้อง: ข้อ ก. Methotrexate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Methotrexate สามารถตกตะกอนในท่อไตเมื่อปัสสาวะมี pH เป็นกรด ทำให้เกิดความเป็นพิษต่อไต (nephrotoxicity) จึงต้องมีการให้สารน้ำและ alkalinization ของปัสสาวะร่วมด้วยเสมอ
🔍 ข้ออื่นผิดเพราะอะไร:
• ข้อ ข. (Etoposide): ข้อนี้ไม่ใช่คำตอบที่ถูกต้องสำหรับภาวะ CINV &amp; Supportive Care เนื่องจากกลไกการออกฤทธิ์, efficacy หรือข้อบ่งใช้ไม่ตรงกับโจทย์ที่กำหนด
• ข้อ ค. (Doxorubicin): ข้อนี้ไม่ใช่คำตอบที่ถูกต้องสำหรับภาวะ CINV &amp; Supportive Care เนื่องจากกลไกการออกฤทธิ์, efficacy หรือข้อบ่งใช้ไม่ตรงกับโจทย์ที่กำหนด
• ข้อ ง. (Vinorelbine): ข้อนี้ไม่ใช่คำตอบที่ถูกต้องสำหรับภาวะ CINV &amp; Supportive Care เนื่องจากกลไกการออกฤทธิ์, efficacy หรือข้อบ่งใช้ไม่ตรงกับโจทย์ที่กำหนด
• ข้อ จ. (Docetaxel):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44" s="2" t="n"/>
      <c r="L44" s="2" t="inlineStr">
        <is>
          <t>CINV &amp; Supportive Care</t>
        </is>
      </c>
      <c r="M44" s="2" t="inlineStr">
        <is>
          <t>Clinic</t>
        </is>
      </c>
      <c r="N44" s="2" t="inlineStr">
        <is>
          <t>ข้อ 42 Pharma Plus เล่มม่วง (เฉลยข้อ ก)</t>
        </is>
      </c>
      <c r="O44" s="2" t="inlineStr">
        <is>
          <t>Mock</t>
        </is>
      </c>
      <c r="P44" s="2" t="inlineStr">
        <is>
          <t>Pharma Plus เล่มม่วง</t>
        </is>
      </c>
    </row>
    <row r="45" ht="13.2" customHeight="1" s="37">
      <c r="A45" s="8" t="inlineStr">
        <is>
          <t>43</t>
        </is>
      </c>
      <c r="B45" s="2" t="inlineStr">
        <is>
          <t>คู่ยาใดที่อาจเกิด drug interaction จนทำให้ระดับยาในเลือดเพิ่มสูงขึ้นจนเป็นอันตรายแก่ผู้ป่วย</t>
        </is>
      </c>
      <c r="C45" s="2" t="n"/>
      <c r="D45" s="2" t="inlineStr">
        <is>
          <t>Tamoxifen - warfarin</t>
        </is>
      </c>
      <c r="E45" s="2" t="inlineStr">
        <is>
          <t>Cisplatin - cimetidine</t>
        </is>
      </c>
      <c r="F45" s="2" t="inlineStr">
        <is>
          <t>Methotrexate - phenobarbitone</t>
        </is>
      </c>
      <c r="G45" s="2" t="inlineStr">
        <is>
          <t>Doxorubicin - tetracycline</t>
        </is>
      </c>
      <c r="H45" s="2" t="inlineStr">
        <is>
          <t>Mercaptopurine - allopurinol</t>
        </is>
      </c>
      <c r="I45" s="8" t="inlineStr">
        <is>
          <t>5</t>
        </is>
      </c>
      <c r="J45" s="2" t="inlineStr">
        <is>
          <t>✅ คำตอบที่ถูกต้อง: ข้อ จ. Mercaptopurine - allopurinol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Mercaptopurine - allopurinol Allopurinol ยับยั้งเอนไซม์ xanthine oxidase ซึ่งเป็นเอนไซม์หลักในการเมแทบอลิซึมของ Mercaptopurine (และ Azathioprine) หากใช้ร่วมกันจะทำให้ระดับ mercaptopurine ในเลือดสูงขึ้นมากจนเกิดพิษต่อไขกระดูกอย่างรุนแรง จำเป็นต้องลดขนาดยาลง 75%
🔍 ข้ออื่นผิดเพราะอะไร:
• ข้อ ก. (Tamoxifen - warfarin): เป็น Vitamin K antagonist ต้องติดตาม monitoring ค่า INR (target 2.0-3.0 ใน DVT/PE/AF, 2.5-3.5 ใน mechanical mitral valve) มี drug-food interactions มากมาย และ reversal agent คือ Vitamin K1
• ข้อ ข. (Cisplatin - cimetidine): ข้อนี้ไม่ใช่คำตอบที่ถูกต้องสำหรับภาวะ CINV &amp; Supportive Care เนื่องจากกลไกการออกฤทธิ์, efficacy หรือข้อบ่งใช้ไม่ตรงกับโจทย์ที่กำหนด
• ข้อ ค. (Methotrexate - phenobarbitone): เป็น anchor csDMARD สำหรับ Rheumatoid arthritis ยับยั้ง dihydrofolate reductase ต้องให้ Folic acid เสริม และห้ามใช้ในหญิงตั้งครรภ์ (contraindication / teratogenic)
• ข้อ ง. (Doxorubicin - tetracycline):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45" s="2" t="n"/>
      <c r="L45" s="2" t="inlineStr">
        <is>
          <t>CINV &amp; Supportive Care</t>
        </is>
      </c>
      <c r="M45" s="2" t="inlineStr">
        <is>
          <t>Clinic</t>
        </is>
      </c>
      <c r="N45" s="2" t="inlineStr">
        <is>
          <t>ข้อ 43 Pharma Plus เล่มม่วง (เฉลยข้อ จ)</t>
        </is>
      </c>
      <c r="O45" s="2" t="inlineStr">
        <is>
          <t>Mock</t>
        </is>
      </c>
      <c r="P45" s="2" t="inlineStr">
        <is>
          <t>Pharma Plus เล่มม่วง</t>
        </is>
      </c>
    </row>
    <row r="46" ht="13.2" customHeight="1" s="37">
      <c r="A46" s="8" t="inlineStr">
        <is>
          <t>44</t>
        </is>
      </c>
      <c r="B46" s="2" t="inlineStr">
        <is>
          <t>ยาเคมีชนิดใดที่ใช้เป็น immunosuppressive agent ได้ด้วย</t>
        </is>
      </c>
      <c r="C46" s="2" t="n"/>
      <c r="D46" s="2" t="inlineStr">
        <is>
          <t>5-Fluorouracil</t>
        </is>
      </c>
      <c r="E46" s="2" t="inlineStr">
        <is>
          <t>Irinotecan</t>
        </is>
      </c>
      <c r="F46" s="2" t="inlineStr">
        <is>
          <t>Cyclophosphamide</t>
        </is>
      </c>
      <c r="G46" s="2" t="inlineStr">
        <is>
          <t>Cisplatin</t>
        </is>
      </c>
      <c r="H46" s="2" t="inlineStr">
        <is>
          <t>Doxorubicin</t>
        </is>
      </c>
      <c r="I46" s="8" t="inlineStr">
        <is>
          <t>3</t>
        </is>
      </c>
      <c r="J46" s="2" t="inlineStr">
        <is>
          <t>✅ คำตอบที่ถูกต้อง: ข้อ ค. Cyclophosphamide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Cyclophosphamide เป็น alkylating agent ที่มีฤทธิ์กดภูมิคุ้มกัน (immunosuppression) ค่อนข้างแรง จึงถูกนำมาใช้ในโรคแพภูมิตัวเอง (autoimmune diseases เช่น lupus nephritis, severe RA) นอกเหนือจากการรักษามะเร็ง
🔍 ข้ออื่นผิดเพราะอะไร:
• ข้อ ก. (5-Fluorouracil): ข้อนี้ไม่ใช่คำตอบที่ถูกต้องสำหรับภาวะ CINV &amp; Supportive Care เนื่องจากกลไกการออกฤทธิ์, efficacy หรือข้อบ่งใช้ไม่ตรงกับโจทย์ที่กำหนด
• ข้อ ข. (Irinotecan): ข้อนี้ไม่ใช่คำตอบที่ถูกต้องสำหรับภาวะ CINV &amp; Supportive Care เนื่องจากกลไกการออกฤทธิ์, efficacy หรือข้อบ่งใช้ไม่ตรงกับโจทย์ที่กำหนด
• ข้อ ง. (Cisplatin): ข้อนี้ไม่ใช่คำตอบที่ถูกต้องสำหรับภาวะ CINV &amp; Supportive Care เนื่องจากกลไกการออกฤทธิ์, efficacy หรือข้อบ่งใช้ไม่ตรงกับโจทย์ที่กำหนด
• ข้อ จ. (Doxorubicin):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CINV &amp; Supportive Care</t>
        </is>
      </c>
      <c r="M46" s="2" t="inlineStr">
        <is>
          <t>Clinic</t>
        </is>
      </c>
      <c r="N46" s="2" t="inlineStr">
        <is>
          <t>ข้อ 44 Pharma Plus เล่มม่วง (เฉลยข้อ ค)</t>
        </is>
      </c>
      <c r="O46" s="2" t="inlineStr">
        <is>
          <t>Mock</t>
        </is>
      </c>
      <c r="P46" s="2" t="inlineStr">
        <is>
          <t>Pharma Plus เล่มม่วง</t>
        </is>
      </c>
    </row>
    <row r="47" ht="13.2" customHeight="1" s="37">
      <c r="A47" s="8" t="inlineStr">
        <is>
          <t>45</t>
        </is>
      </c>
      <c r="B47"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ข้อใดต่อไปนี้ต้องมีการตรวจสอบทุกครั้ง ก่อนที่ผู้ป่วยจะได้รับยาเคมีบำบัด</t>
        </is>
      </c>
      <c r="C47" s="2" t="n"/>
      <c r="D47" s="2" t="inlineStr">
        <is>
          <t>ค่า serum creatinine</t>
        </is>
      </c>
      <c r="E47" s="2" t="inlineStr">
        <is>
          <t>ค่า CBC (complete blood count)</t>
        </is>
      </c>
      <c r="F47" s="2" t="inlineStr">
        <is>
          <t>ค่า ejection fraction ของหัวใจ</t>
        </is>
      </c>
      <c r="G47" s="2" t="inlineStr">
        <is>
          <t>ค่า electrolyte</t>
        </is>
      </c>
      <c r="H47" s="2" t="inlineStr">
        <is>
          <t>ผลวิเคราะห์ทางจุลชีววิทยา (blood cultures)</t>
        </is>
      </c>
      <c r="I47" s="8" t="inlineStr">
        <is>
          <t>1</t>
        </is>
      </c>
      <c r="J47" s="2" t="inlineStr">
        <is>
          <t>✅ คำตอบที่ถูกต้อง: ข้อ ก. ค่า serum creatinine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ค่า serum creatinine การให้ยาเคมีบำบัด (โดยเฉพาะกลุ่มที่มี myelosuppression สูง เช่น cyclophosphamide) จำเป็นต้องตรวจ Complete blood count (CBC) เพื่อประเมินไขกระดูกและเม็ดเลือดขาวก่อนให้ยาแต่ละครั้งเสมอ ตามแนวทางการดูแลผู้ป่วยมะเร็ง
🔍 ข้ออื่นผิดเพราะอะไร:
• ข้อ ข. (ค่า CBC (complete blood count)): ข้อนี้ไม่ใช่คำตอบที่ถูกต้องสำหรับภาวะ CINV &amp; Supportive Care เนื่องจากกลไกการออกฤทธิ์, efficacy หรือข้อบ่งใช้ไม่ตรงกับโจทย์ที่กำหนด
• ข้อ ค. (ค่า ejection fraction ของหัวใจ): วัคซีนไข้สมองอักเสบเจอี ชนิดเชื้อเป็น (Live attenuated CD.JEV) ให้ 2 เข็ม ที่อายุ 9-12 เดือน และเข็ม 2 ห่างกัน 3-12 เดือน
• ข้อ ง. (ค่า electrolyte): ข้อนี้ไม่ใช่คำตอบที่ถูกต้องสำหรับภาวะ CINV &amp; Supportive Care เนื่องจากกลไกการออกฤทธิ์, efficacy หรือข้อบ่งใช้ไม่ตรงกับโจทย์ที่กำหนด
• ข้อ จ. (ผลวิเคราะห์ทางจุลชีววิทยา (blood cultures)):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7" s="2" t="n"/>
      <c r="L47" s="2" t="inlineStr">
        <is>
          <t>CINV &amp; Supportive Care</t>
        </is>
      </c>
      <c r="M47" s="2" t="inlineStr">
        <is>
          <t>Clinic</t>
        </is>
      </c>
      <c r="N47" s="2" t="inlineStr">
        <is>
          <t>ข้อ 45 Pharma Plus เล่มม่วง (เฉลยข้อ ก ข)</t>
        </is>
      </c>
      <c r="O47" s="2" t="inlineStr">
        <is>
          <t>Mock</t>
        </is>
      </c>
      <c r="P47" s="2" t="inlineStr">
        <is>
          <t>Pharma Plus เล่มม่วง</t>
        </is>
      </c>
    </row>
    <row r="48" ht="13.2" customHeight="1" s="37">
      <c r="A48" s="8" t="inlineStr">
        <is>
          <t>46</t>
        </is>
      </c>
      <c r="B48"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ภายหลังจากการรักษาผู้ป่วยได้รับยาบำรุง และ vitamin จากเภสัชกร และรายงานว่ามักมีอาการหอบเหนื่อยและต้องนอนหมอนสูงภายหลังจากการรักษา ท่านสันนิษฐานว่าอาการเหล่านี้ก็น่าจะเกิดจาก</t>
        </is>
      </c>
      <c r="C48" s="2" t="n"/>
      <c r="D48" s="2" t="inlineStr">
        <is>
          <t>การผ่าตัดแบบ modified radical mastectomy เพื่อกำจัดมะเร็ง</t>
        </is>
      </c>
      <c r="E48" s="2" t="inlineStr">
        <is>
          <t>อาการข้างเคียงของ cyclophosphamide</t>
        </is>
      </c>
      <c r="F48" s="2" t="inlineStr">
        <is>
          <t>อาการข้างเคียงของ cyclophosphamide และ doxorubicin</t>
        </is>
      </c>
      <c r="G48" s="2" t="inlineStr">
        <is>
          <t>อาการข้างเคียงของ doxorubicin</t>
        </is>
      </c>
      <c r="H48" s="2" t="inlineStr">
        <is>
          <t>อาการแทรกซ้อนจากการผ่าตัด ร่วมกับการให้ยาเคมีบำบัด</t>
        </is>
      </c>
      <c r="I48" s="8" t="inlineStr">
        <is>
          <t>4</t>
        </is>
      </c>
      <c r="J48" s="2" t="inlineStr">
        <is>
          <t>✅ คำตอบที่ถูกต้อง: ข้อ ง. อาการข้างเคียงของ doxorubicin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อาการข้างเคียงของ doxorubicin Doxorubicin ในกลุ่ม anthracyclines มีพิษต่อหัวใจสะสม (cumulative cardiotoxicity) ทำให้เกิดภาวะหัวใจล้มเหลว (Heart failure) แสดงอาการหอบเหนื่อยและนอนราบไม่ได้ (orthopnea) ต้องนอนหมอนสูง
🔍 ข้ออื่นผิดเพราะอะไร:
• ข้อ ก. (การผ่าตัดแบบ modified radical mastectomy เพื่อกำจัดมะเร็ง): ข้อนี้ไม่ใช่คำตอบที่ถูกต้องสำหรับภาวะ CINV &amp; Supportive Care เนื่องจากกลไกการออกฤทธิ์, efficacy หรือข้อบ่งใช้ไม่ตรงกับโจทย์ที่กำหนด
• ข้อ ข. (อาการข้างเคียงของ cyclophosphamide): ข้อนี้ไม่ใช่คำตอบที่ถูกต้องสำหรับภาวะ CINV &amp; Supportive Care เนื่องจากกลไกการออกฤทธิ์, efficacy หรือข้อบ่งใช้ไม่ตรงกับโจทย์ที่กำหนด
• ข้อ ค. (อาการข้างเคียงของ cyclophosphamide และ doxorubicin): ข้อนี้ไม่ใช่คำตอบที่ถูกต้องสำหรับภาวะ CINV &amp; Supportive Care เนื่องจากกลไกการออกฤทธิ์, efficacy หรือข้อบ่งใช้ไม่ตรงกับโจทย์ที่กำหนด
• ข้อ จ. (อาการแทรกซ้อนจากการผ่าตัด ร่วมกับการให้ยาเคมีบำบัด):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8" s="2" t="n"/>
      <c r="L48" s="2" t="inlineStr">
        <is>
          <t>CINV &amp; Supportive Care</t>
        </is>
      </c>
      <c r="M48" s="2" t="inlineStr">
        <is>
          <t>Clinic</t>
        </is>
      </c>
      <c r="N48" s="2" t="inlineStr">
        <is>
          <t>ข้อ 46 Pharma Plus เล่มม่วง (เฉลยข้อ ง)</t>
        </is>
      </c>
      <c r="O48" s="2" t="inlineStr">
        <is>
          <t>Mock</t>
        </is>
      </c>
      <c r="P48" s="2" t="inlineStr">
        <is>
          <t>Pharma Plus เล่มม่วง</t>
        </is>
      </c>
    </row>
    <row r="49" ht="13.2" customHeight="1" s="37">
      <c r="A49" s="8" t="inlineStr">
        <is>
          <t>47</t>
        </is>
      </c>
      <c r="B49"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ในระหว่างที่ผู้ป่วยได้รับยาเคมีบำบัดอยู่นั้น เภสัชกรควรให้คำแนะนำเกี่ยวกับอาการไม่พึงประสงค์และให้มาตรการป้องกันการเหล่านี้ นั้น ข้อใดต่อไปนี้เป็นอาการเฉียบพลันที่อาจเกิดกับผู้ป่วยหลังที่ได้รับยาเคมีบำบัด</t>
        </is>
      </c>
      <c r="C49" s="2" t="n"/>
      <c r="D49" s="2" t="inlineStr">
        <is>
          <t>การกดการทำงานขอไขกระดูก</t>
        </is>
      </c>
      <c r="E49" s="2" t="inlineStr">
        <is>
          <t>เยื่อบุทางเดินอาหารอักเสบ</t>
        </is>
      </c>
      <c r="F49" s="2" t="inlineStr">
        <is>
          <t>คลื่นไส้อาเจียน</t>
        </is>
      </c>
      <c r="G49" s="2" t="inlineStr">
        <is>
          <t>ผมร่วง</t>
        </is>
      </c>
      <c r="H49" s="2" t="inlineStr">
        <is>
          <t>ชาตามปลายประสาท</t>
        </is>
      </c>
      <c r="I49" s="8" t="inlineStr">
        <is>
          <t>2</t>
        </is>
      </c>
      <c r="J49" s="2" t="inlineStr">
        <is>
          <t>✅ คำตอบที่ถูกต้อง: ข้อ ข. เยื่อบุทางเดินอาหารอักเสบ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เยื่อบุทางเดินอาหารอักเสบ อาการคลื่นไส้อาเจียน (CINV) จัดเป็น ADR แบบเฉียบพลัน (acute onset) ที่มักเกิดขึ้นภายใน 24 ชั่วโมงแรกหลังได้รับยาเคมีบำบัด ในขณะที่การกดไขกระดูกหรือผมร่วงจะใช้เวลาเป็นสัปดาห์
🔍 ข้ออื่นผิดเพราะอะไร:
• ข้อ ก. (การกดการทำงานขอไขกระดูก): ข้อนี้ไม่ใช่คำตอบที่ถูกต้องสำหรับภาวะ CINV &amp; Supportive Care เนื่องจากกลไกการออกฤทธิ์, efficacy หรือข้อบ่งใช้ไม่ตรงกับโจทย์ที่กำหนด
• ข้อ ค. (คลื่นไส้อาเจียน): ข้อนี้ไม่ใช่คำตอบที่ถูกต้องสำหรับภาวะ CINV &amp; Supportive Care เนื่องจากกลไกการออกฤทธิ์, efficacy หรือข้อบ่งใช้ไม่ตรงกับโจทย์ที่กำหนด
• ข้อ ง. (ผมร่วง): ข้อนี้ไม่ใช่คำตอบที่ถูกต้องสำหรับภาวะ CINV &amp; Supportive Care เนื่องจากกลไกการออกฤทธิ์, efficacy หรือข้อบ่งใช้ไม่ตรงกับโจทย์ที่กำหนด
• ข้อ จ. (ชาตามปลายประสาท):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9" s="2" t="n"/>
      <c r="L49" s="2" t="inlineStr">
        <is>
          <t>CINV &amp; Supportive Care</t>
        </is>
      </c>
      <c r="M49" s="2" t="inlineStr">
        <is>
          <t>Clinic</t>
        </is>
      </c>
      <c r="N49" s="2" t="inlineStr">
        <is>
          <t>ข้อ 47 Pharma Plus เล่มม่วง (เฉลยข้อ ข ค)</t>
        </is>
      </c>
      <c r="O49" s="2" t="inlineStr">
        <is>
          <t>Mock</t>
        </is>
      </c>
      <c r="P49" s="2" t="inlineStr">
        <is>
          <t>Pharma Plus เล่มม่วง</t>
        </is>
      </c>
    </row>
    <row r="50" ht="13.2" customHeight="1" s="37">
      <c r="A50" s="8" t="inlineStr">
        <is>
          <t>48</t>
        </is>
      </c>
      <c r="B50"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หลังจากที่ผู้ป่วยอยู่ในระยะปราศจากโรคมา 2 ปี ผู้ป่วยกลับมาพบแพทย์ด้วยอาการก้อนเนื้อของเต้านมด้านซ้าย อาการเหล่านี้อาจเกิดช้าลงถ้าผู้ป่วยได้รับยากลุ่มใดภายหลังจากการผ่าตัดครั้งแรก</t>
        </is>
      </c>
      <c r="C50" s="2" t="n"/>
      <c r="D50" s="2" t="inlineStr">
        <is>
          <t>Estrogen receptor เช่น tamoxifen</t>
        </is>
      </c>
      <c r="E50" s="2" t="inlineStr">
        <is>
          <t>Methotrexate แบบรับประทานเพื่อควบคุมโรค</t>
        </is>
      </c>
      <c r="F50" s="2" t="inlineStr">
        <is>
          <t>การฉายรังสีบริเวณที่ได้รับการผ่าตัด</t>
        </is>
      </c>
      <c r="G50" s="2" t="inlineStr">
        <is>
          <t>การรับประทานยาคุมกำเนิดขนาดสูง</t>
        </is>
      </c>
      <c r="H50" s="2" t="inlineStr">
        <is>
          <t>การเพิ่มการให้ยาเคมีบำัดจาก 4 เดือน เป็น 6 เดือน</t>
        </is>
      </c>
      <c r="I50" s="8" t="inlineStr">
        <is>
          <t>1</t>
        </is>
      </c>
      <c r="J50" s="2" t="inlineStr">
        <is>
          <t>✅ คำตอบที่ถูกต้อง: ข้อ ก. Estrogen receptor เช่น tamoxifen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Estrogen receptor เช่น tamoxifen สำหรับผู้ป่วยมะเร็งเต้านมที่มี ER-positive การใช้ Adjuvant endocrine therapy เช่น Tamoxifen ช่วยลดการกลับเป็นซ้ำของโรคและป้องกันมะเร็งเต้านมฝั่งตรงข้ามได้
🔍 ข้ออื่นผิดเพราะอะไร:
• ข้อ ข. (Methotrexate แบบรับประทานเพื่อควบคุมโรค): เป็น anchor csDMARD สำหรับ Rheumatoid arthritis ยับยั้ง dihydrofolate reductase ต้องให้ Folic acid เสริม และห้ามใช้ในหญิงตั้งครรภ์ (contraindication / teratogenic)
• ข้อ ค. (การฉายรังสีบริเวณที่ได้รับการผ่าตัด): ข้อนี้ไม่ใช่คำตอบที่ถูกต้องสำหรับภาวะ CINV &amp; Supportive Care เนื่องจากกลไกการออกฤทธิ์, efficacy หรือข้อบ่งใช้ไม่ตรงกับโจทย์ที่กำหนด
• ข้อ ง. (การรับประทานยาคุมกำเนิดขนาดสูง): ข้อนี้ไม่ใช่คำตอบที่ถูกต้องสำหรับภาวะ CINV &amp; Supportive Care เนื่องจากกลไกการออกฤทธิ์, efficacy หรือข้อบ่งใช้ไม่ตรงกับโจทย์ที่กำหนด
• ข้อ จ. (การเพิ่มการให้ยาเคมีบำัดจาก 4 เดือน เป็น 6 เดือน):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0" s="2" t="n"/>
      <c r="L50" s="2" t="inlineStr">
        <is>
          <t>CINV &amp; Supportive Care</t>
        </is>
      </c>
      <c r="M50" s="2" t="inlineStr">
        <is>
          <t>Clinic</t>
        </is>
      </c>
      <c r="N50" s="2" t="inlineStr">
        <is>
          <t>ข้อ 48 Pharma Plus เล่มม่วง (เฉลยข้อ ก)</t>
        </is>
      </c>
      <c r="O50" s="2" t="inlineStr">
        <is>
          <t>Mock</t>
        </is>
      </c>
      <c r="P50" s="2" t="inlineStr">
        <is>
          <t>Pharma Plus เล่มม่วง</t>
        </is>
      </c>
    </row>
    <row r="51" ht="13.2" customHeight="1" s="37">
      <c r="A51" s="8" t="inlineStr">
        <is>
          <t>49</t>
        </is>
      </c>
      <c r="B51"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แพทย์วินิจฉัยว่าผู้ป่วยเกิดการกลับซ้ำของโรคและมีเซลล์มะเร็งแพร่กระจายไปยังตับ และจะเริ่มให้ยาเคมีบำบัดที่ประกอบด้วย paclitaxel เดี่ยว ๆ โดยมีวัตถุประสงค์เพื่อ</t>
        </is>
      </c>
      <c r="C51" s="2" t="n"/>
      <c r="D51" s="2" t="inlineStr">
        <is>
          <t>รักษาให้หายขาด</t>
        </is>
      </c>
      <c r="E51" s="2" t="inlineStr">
        <is>
          <t>ยืดอายุผู้ป่วย</t>
        </is>
      </c>
      <c r="F51" s="2" t="inlineStr">
        <is>
          <t>รักษาผู้ป่วยแบบประคับประคอง</t>
        </is>
      </c>
      <c r="G51" s="2" t="inlineStr">
        <is>
          <t>เพื่อลดการกลับซ้ำของโรค</t>
        </is>
      </c>
      <c r="H51" s="2" t="inlineStr">
        <is>
          <t>ทำให้ผู้ป่วยมีระยะปลอดโรคที่นานขึ้น</t>
        </is>
      </c>
      <c r="I51" s="8" t="inlineStr">
        <is>
          <t>3</t>
        </is>
      </c>
      <c r="J51" s="2" t="inlineStr">
        <is>
          <t>✅ คำตอบที่ถูกต้อง: ข้อ ค. รักษาผู้ป่วยแบบประคับประคอง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รักษาผู้ป่วยแบบประคับประคอง มะเร็งเต้านมระยะแพร่กระจาย (Stage IV / metastasis) การรักษาด้วยเคมีบำบัดมีวัตถุประสงค์หลักเพื่อการประคับประคอง (palliative care) เพื่อยืดชีวิตและเพิ่มคุณภาพชีวิต เนื่องจากไม่สามารถรักษาให้หายขาดได้
🔍 ข้ออื่นผิดเพราะอะไร:
• ข้อ ก. (รักษาให้หายขาด): ข้อนี้ไม่ใช่คำตอบที่ถูกต้องสำหรับภาวะ CINV &amp; Supportive Care เนื่องจากกลไกการออกฤทธิ์, efficacy หรือข้อบ่งใช้ไม่ตรงกับโจทย์ที่กำหนด
• ข้อ ข. (ยืดอายุผู้ป่วย): ข้อนี้ไม่ใช่คำตอบที่ถูกต้องสำหรับภาวะ CINV &amp; Supportive Care เนื่องจากกลไกการออกฤทธิ์, efficacy หรือข้อบ่งใช้ไม่ตรงกับโจทย์ที่กำหนด
• ข้อ ง. (เพื่อลดการกลับซ้ำของโรค): ข้อนี้ไม่ใช่คำตอบที่ถูกต้องสำหรับภาวะ CINV &amp; Supportive Care เนื่องจากกลไกการออกฤทธิ์, efficacy หรือข้อบ่งใช้ไม่ตรงกับโจทย์ที่กำหนด
• ข้อ จ. (ทำให้ผู้ป่วยมีระยะปลอดโรคที่นานขึ้น):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1" s="2" t="n"/>
      <c r="L51" s="2" t="inlineStr">
        <is>
          <t>CINV &amp; Supportive Care</t>
        </is>
      </c>
      <c r="M51" s="2" t="inlineStr">
        <is>
          <t>Clinic</t>
        </is>
      </c>
      <c r="N51" s="2" t="inlineStr">
        <is>
          <t>ข้อ 49 Pharma Plus เล่มม่วง (เฉลยข้อ ค)</t>
        </is>
      </c>
      <c r="O51" s="2" t="inlineStr">
        <is>
          <t>Mock</t>
        </is>
      </c>
      <c r="P51" s="2" t="inlineStr">
        <is>
          <t>Pharma Plus เล่มม่วง</t>
        </is>
      </c>
    </row>
    <row r="52" ht="13.2" customHeight="1" s="37">
      <c r="A52" s="8" t="inlineStr">
        <is>
          <t>50</t>
        </is>
      </c>
      <c r="B52" s="2" t="inlineStr">
        <is>
          <t>การตรวจร่างกายเบื้องต้นของมะเร็งเต้านมต้องตรวจอะไรไร</t>
        </is>
      </c>
      <c r="C52" s="2" t="n"/>
      <c r="D52" s="2" t="inlineStr">
        <is>
          <t>Fecal blood occult test</t>
        </is>
      </c>
      <c r="E52" s="2" t="inlineStr">
        <is>
          <t>CT scan</t>
        </is>
      </c>
      <c r="F52" s="2" t="inlineStr">
        <is>
          <t>Mammography</t>
        </is>
      </c>
      <c r="G52" s="2" t="inlineStr">
        <is>
          <t>Pap smear</t>
        </is>
      </c>
      <c r="H52" s="2" t="inlineStr">
        <is>
          <t>Tumor biopsy</t>
        </is>
      </c>
      <c r="I52" s="8" t="inlineStr">
        <is>
          <t>3</t>
        </is>
      </c>
      <c r="J52" s="2" t="inlineStr">
        <is>
          <t>✅ คำตอบที่ถูกต้อง: ข้อ ค. Mammography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Mammography เป็นการตรวจคัดกรองมาตรฐานหลักสำหรับมะเร็งเต้านมในสตรี ช่วยตรวจพบความผิดปกติได้ตั้งแต่ระยะเริ่มแรกก่อนคลำพบก้อน
🔍 ข้ออื่นผิดเพราะอะไร:
• ข้อ ก. (Fecal blood occult test): ข้อนี้ไม่ใช่คำตอบที่ถูกต้องสำหรับภาวะ CINV &amp; Supportive Care เนื่องจากกลไกการออกฤทธิ์, efficacy หรือข้อบ่งใช้ไม่ตรงกับโจทย์ที่กำหนด
• ข้อ ข. (CT scan): ข้อนี้ไม่ใช่คำตอบที่ถูกต้องสำหรับภาวะ CINV &amp; Supportive Care เนื่องจากกลไกการออกฤทธิ์, efficacy หรือข้อบ่งใช้ไม่ตรงกับโจทย์ที่กำหนด
• ข้อ ง. (Pap smear): ข้อนี้ไม่ใช่คำตอบที่ถูกต้องสำหรับภาวะ CINV &amp; Supportive Care เนื่องจากกลไกการออกฤทธิ์, efficacy หรือข้อบ่งใช้ไม่ตรงกับโจทย์ที่กำหนด
• ข้อ จ. (Tumor biopsy):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2" s="2" t="n"/>
      <c r="L52" s="2" t="inlineStr">
        <is>
          <t>CINV &amp; Supportive Care</t>
        </is>
      </c>
      <c r="M52" s="2" t="inlineStr">
        <is>
          <t>Clinic</t>
        </is>
      </c>
      <c r="N52" s="2" t="inlineStr">
        <is>
          <t>ข้อ 50 Pharma Plus เล่มม่วง (เฉลยข้อ ค)</t>
        </is>
      </c>
      <c r="O52" s="2" t="inlineStr">
        <is>
          <t>Mock</t>
        </is>
      </c>
      <c r="P52" s="2" t="inlineStr">
        <is>
          <t>Pharma Plus เล่มม่วง</t>
        </is>
      </c>
    </row>
    <row r="53" ht="13.2" customHeight="1" s="37">
      <c r="A53" s="8" t="inlineStr">
        <is>
          <t>51</t>
        </is>
      </c>
      <c r="B53" s="2" t="inlineStr">
        <is>
          <t>เมื่อผู้ป่วยทราบแล้วว่าเป็นมะเร็งจึงไปหาหมอ ซึ่งได้มีการจ่ายยา cyclophosphamide, paclitaxel, tamoxifen อยากทราบว่า ยา tamoxifen เป็นยาในกลุ่มใด</t>
        </is>
      </c>
      <c r="C53" s="2" t="n"/>
      <c r="D53" s="2" t="inlineStr">
        <is>
          <t>Alkylating agent</t>
        </is>
      </c>
      <c r="E53" s="2" t="inlineStr">
        <is>
          <t>Antiestrogen</t>
        </is>
      </c>
      <c r="F53" s="2" t="inlineStr">
        <is>
          <t>Antitumor antibiotic</t>
        </is>
      </c>
      <c r="G53" s="2" t="inlineStr">
        <is>
          <t>Antimetabolite</t>
        </is>
      </c>
      <c r="H53" s="2" t="inlineStr">
        <is>
          <t>Plant alkaloid</t>
        </is>
      </c>
      <c r="I53" s="8" t="inlineStr">
        <is>
          <t>2</t>
        </is>
      </c>
      <c r="J53" s="2" t="inlineStr">
        <is>
          <t>✅ คำตอบที่ถูกต้อง: ข้อ ข. Antiestrogen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Antiestrogen Tamoxifen เป็นยาในกลุ่ม selective estrogen receptor modulator (SERM) หรือ antiestrogen ซึ่งออกฤทธิ์ต้านฮอร์โมนเอสโตรเจน ใช้ในการรักษาและป้องกันมะเร็งเต้านมที่มีตัวรับฮอร์โมนเป็นบวก (Hormone receptor-positive breast cancer)
🔍 ข้ออื่นผิดเพราะอะไร:
• ข้อ ก. (Alkylating agent): ข้อนี้ไม่ใช่คำตอบที่ถูกต้องสำหรับภาวะ CINV &amp; Supportive Care เนื่องจากกลไกการออกฤทธิ์, efficacy หรือข้อบ่งใช้ไม่ตรงกับโจทย์ที่กำหนด
• ข้อ ค. (Antitumor antibiotic): ข้อนี้ไม่ใช่คำตอบที่ถูกต้องสำหรับภาวะ CINV &amp; Supportive Care เนื่องจากกลไกการออกฤทธิ์, efficacy หรือข้อบ่งใช้ไม่ตรงกับโจทย์ที่กำหนด
• ข้อ ง. (Antimetabolite): ข้อนี้ไม่ใช่คำตอบที่ถูกต้องสำหรับภาวะ CINV &amp; Supportive Care เนื่องจากกลไกการออกฤทธิ์, efficacy หรือข้อบ่งใช้ไม่ตรงกับโจทย์ที่กำหนด
• ข้อ จ. (Plant alkaloid):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 s="2" t="n"/>
      <c r="L53" s="2" t="inlineStr">
        <is>
          <t>CINV &amp; Supportive Care</t>
        </is>
      </c>
      <c r="M53" s="2" t="inlineStr">
        <is>
          <t>Clinic</t>
        </is>
      </c>
      <c r="N53" s="2" t="inlineStr">
        <is>
          <t>ข้อ 51 Pharma Plus เล่มม่วง (เฉลยข้อ ข)</t>
        </is>
      </c>
      <c r="O53" s="2" t="inlineStr">
        <is>
          <t>Mock</t>
        </is>
      </c>
      <c r="P53" s="2" t="inlineStr">
        <is>
          <t>Pharma Plus เล่มม่วง</t>
        </is>
      </c>
    </row>
    <row r="54" ht="13.2" customHeight="1" s="37">
      <c r="A54" s="8" t="inlineStr">
        <is>
          <t>52</t>
        </is>
      </c>
      <c r="B54" s="2"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ทุก 2 สัปดาห์ โดยขณะได้รับการรักษาผู้ป่วยมีอาการคลื่นไส้ อาเจียนอย่างมาก
ข้อใดไม่ใช่ลักษณะสำคัญของ cancer cell</t>
        </is>
      </c>
      <c r="C54" s="2" t="n"/>
      <c r="D54" s="2" t="inlineStr">
        <is>
          <t>Apoptosis</t>
        </is>
      </c>
      <c r="E54" s="2" t="inlineStr">
        <is>
          <t>Differentiation</t>
        </is>
      </c>
      <c r="F54" s="2" t="inlineStr">
        <is>
          <t>Invasiveness</t>
        </is>
      </c>
      <c r="G54" s="2" t="inlineStr">
        <is>
          <t>Metastasis</t>
        </is>
      </c>
      <c r="H54" s="2" t="inlineStr">
        <is>
          <t>Uncontrolled proliferation</t>
        </is>
      </c>
      <c r="I54" s="8" t="inlineStr">
        <is>
          <t>1</t>
        </is>
      </c>
      <c r="J54" s="2" t="inlineStr">
        <is>
          <t>✅ คำตอบที่ถูกต้อง: ข้อ ก. Apoptosis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Apoptosis เซลล์มะเร็งมีลักษณะสำคัญคือ สูญเสียการควบคุมการเจริญเติบโต (uncontrolled proliferation), มีการรุกรานเนื้อเยื่อข้างเคียง (invasiveness), แพร่กระจาย (metastasis) และสูญเสียความสามารถในการตายตามโปรแกรม (evasion of apoptosis) รวมถึงสูญเสียการเจริญเต็มที่ (loss of differentiation) ดังนั้น Apoptosis ที่เป็นกระบวนการตายตามธรรมชาติจึงไม่ใช่ลักษณะของเซลล์มะเร็ง (เซลล์มะเร็งจะหลบเลี่ยง apoptosis)
🔍 ข้ออื่นผิดเพราะอะไร:
• ข้อ ข. (Differentiation): ข้อนี้ไม่ใช่คำตอบที่ถูกต้องสำหรับภาวะ CINV &amp; Supportive Care เนื่องจากกลไกการออกฤทธิ์, efficacy หรือข้อบ่งใช้ไม่ตรงกับโจทย์ที่กำหนด
• ข้อ ค. (Invasiveness): ข้อนี้ไม่ใช่คำตอบที่ถูกต้องสำหรับภาวะ CINV &amp; Supportive Care เนื่องจากกลไกการออกฤทธิ์, efficacy หรือข้อบ่งใช้ไม่ตรงกับโจทย์ที่กำหนด
• ข้อ ง. (Metastasis): ข้อนี้ไม่ใช่คำตอบที่ถูกต้องสำหรับภาวะ CINV &amp; Supportive Care เนื่องจากกลไกการออกฤทธิ์, efficacy หรือข้อบ่งใช้ไม่ตรงกับโจทย์ที่กำหนด
• ข้อ จ. (Uncontrolled proliferation):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4" s="2" t="n"/>
      <c r="L54" s="2" t="inlineStr">
        <is>
          <t>CINV &amp; Supportive Care</t>
        </is>
      </c>
      <c r="M54" s="2" t="inlineStr">
        <is>
          <t>Clinic</t>
        </is>
      </c>
      <c r="N54" s="2" t="inlineStr">
        <is>
          <t>ข้อ 52 Pharma Plus เล่มม่วง (เฉลยข้อ ก)</t>
        </is>
      </c>
      <c r="O54" s="2" t="inlineStr">
        <is>
          <t>Mock</t>
        </is>
      </c>
      <c r="P54" s="2" t="inlineStr">
        <is>
          <t>Pharma Plus เล่มม่วง</t>
        </is>
      </c>
    </row>
    <row r="55" ht="13.2" customHeight="1" s="37">
      <c r="A55" s="8" t="inlineStr">
        <is>
          <t>53</t>
        </is>
      </c>
      <c r="B55" s="2" t="inlineStr">
        <is>
          <t>Fluorouracil จัดเป็นยารักษามะเร็งในกลุ่มใด</t>
        </is>
      </c>
      <c r="C55" s="2" t="n"/>
      <c r="D55" s="2" t="inlineStr">
        <is>
          <t>กลุ่ม alkylating agent ประเภท nitrogen mustard</t>
        </is>
      </c>
      <c r="E55" s="2" t="inlineStr">
        <is>
          <t>กลุ่ม alkylating agent ประเภท triazene</t>
        </is>
      </c>
      <c r="F55" s="2" t="inlineStr">
        <is>
          <t>กลุ่ม antimetabolite ประเภท purine analogs</t>
        </is>
      </c>
      <c r="G55" s="2" t="inlineStr">
        <is>
          <t>กลุ่ม antimetabolite ประเภท pyrimidine analogs</t>
        </is>
      </c>
      <c r="H55" s="2" t="inlineStr">
        <is>
          <t>กลุ่ม antimetabolite ประเภท folic acid analogs</t>
        </is>
      </c>
      <c r="I55" s="8" t="inlineStr">
        <is>
          <t>4</t>
        </is>
      </c>
      <c r="J55" s="2" t="inlineStr">
        <is>
          <t>✅ คำตอบที่ถูกต้อง: ข้อ ง. กลุ่ม antimetabolite ประเภท pyrimidine analogs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กลุ่ม antimetabolite ประเภท pyrimidine analogs Fluorouracil (5-FU) จัดเป็นยาในกลุ่ม antimetabolite โดยเฉพาะในกลุ่ม pyrimidine analog ซึ่งออกฤทธิ์ยับยั้งเอนไซม์ thymidylate synthase ส่งผลให้ยับยั้งการสังเคราะห์ DNA
🔍 ข้ออื่นผิดเพราะอะไร:
• ข้อ ก. (กลุ่ม alkylating agent ประเภท nitrogen mustard): ข้อนี้ไม่ใช่คำตอบที่ถูกต้องสำหรับภาวะ CINV &amp; Supportive Care เนื่องจากกลไกการออกฤทธิ์, efficacy หรือข้อบ่งใช้ไม่ตรงกับโจทย์ที่กำหนด
• ข้อ ข. (กลุ่ม alkylating agent ประเภท triazene): ข้อนี้ไม่ใช่คำตอบที่ถูกต้องสำหรับภาวะ CINV &amp; Supportive Care เนื่องจากกลไกการออกฤทธิ์, efficacy หรือข้อบ่งใช้ไม่ตรงกับโจทย์ที่กำหนด
• ข้อ ค. (กลุ่ม antimetabolite ประเภท purine analogs): ข้อนี้ไม่ใช่คำตอบที่ถูกต้องสำหรับภาวะ CINV &amp; Supportive Care เนื่องจากกลไกการออกฤทธิ์, efficacy หรือข้อบ่งใช้ไม่ตรงกับโจทย์ที่กำหนด
• ข้อ จ. (กลุ่ม antimetabolite ประเภท folic acid analogs):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5" s="2" t="n"/>
      <c r="L55" s="2" t="inlineStr">
        <is>
          <t>CINV &amp; Supportive Care</t>
        </is>
      </c>
      <c r="M55" s="2" t="inlineStr">
        <is>
          <t>Clinic</t>
        </is>
      </c>
      <c r="N55" s="2" t="inlineStr">
        <is>
          <t>ข้อ 53 Pharma Plus เล่มม่วง (เฉลยข้อ ง)</t>
        </is>
      </c>
      <c r="O55" s="2" t="inlineStr">
        <is>
          <t>Mock</t>
        </is>
      </c>
      <c r="P55" s="2" t="inlineStr">
        <is>
          <t>Pharma Plus เล่มม่วง</t>
        </is>
      </c>
    </row>
    <row r="56" ht="13.2" customHeight="1" s="37">
      <c r="A56" s="8" t="inlineStr">
        <is>
          <t>54</t>
        </is>
      </c>
      <c r="B56" s="2" t="inlineStr">
        <is>
          <t>หากในระหว่างให้ยา chemotherapy พบว่าผู้ป่วยมีอาการอาเจียนอย่างมาก ท่านคิดว่าก่อนการให้ยา chemotherapy ครั้งต่อไปควรใช้อยาใดที่นิยมใช้ป้องกันการอาเจียนก่อนการทำ chemotherapy</t>
        </is>
      </c>
      <c r="C56" s="2" t="n"/>
      <c r="D56" s="2" t="inlineStr">
        <is>
          <t>Dimenhydrinate</t>
        </is>
      </c>
      <c r="E56" s="2" t="inlineStr">
        <is>
          <t>Diphenhydramine</t>
        </is>
      </c>
      <c r="F56" s="2" t="inlineStr">
        <is>
          <t>Domperidone</t>
        </is>
      </c>
      <c r="G56" s="2" t="inlineStr">
        <is>
          <t>Metoclopramide</t>
        </is>
      </c>
      <c r="H56" s="2" t="inlineStr">
        <is>
          <t>Ondansetron</t>
        </is>
      </c>
      <c r="I56" s="8" t="inlineStr">
        <is>
          <t>5</t>
        </is>
      </c>
      <c r="J56" s="2" t="inlineStr">
        <is>
          <t>✅ คำตอบที่ถูกต้อง: ข้อ จ. Ondansetron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เป็นยาในกลุ่ม 5-HT3 receptor antagonist ซึ่งเป็นยามาตรฐานหลักที่มี efficacy สูงในการป้องกันและรักษาอาการคลื่นไส้อาเจียนจากยาเคมีบำบัด (CINV) โดยเฉพาะสูตรที่มีความเสี่ยงสูงถึงปานกลาง
🔍 ข้ออื่นผิดเพราะอะไร:
• ข้อ ก. (Dimenhydrinate): ข้อนี้ไม่ใช่คำตอบที่ถูกต้องสำหรับภาวะ CINV &amp; Supportive Care เนื่องจากกลไกการออกฤทธิ์, efficacy หรือข้อบ่งใช้ไม่ตรงกับโจทย์ที่กำหนด
• ข้อ ข. (Diphenhydramine): ข้อนี้ไม่ใช่คำตอบที่ถูกต้องสำหรับภาวะ CINV &amp; Supportive Care เนื่องจากกลไกการออกฤทธิ์, efficacy หรือข้อบ่งใช้ไม่ตรงกับโจทย์ที่กำหนด
• ข้อ ค. (Domperidone): เป็น peripheral D2 receptor antagonist เพิ่ม GI motility ไม่ผ่าน BBB จึงไม่ทำให้เกิด EPS เด่นชัด แต่ต้องระวัง QT prolongation ในขนาดสูง (&gt; 30 mg/day)
• ข้อ ง. (Metoclopramide):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6" s="2" t="n"/>
      <c r="L56" s="2" t="inlineStr">
        <is>
          <t>CINV &amp; Supportive Care</t>
        </is>
      </c>
      <c r="M56" s="2" t="inlineStr">
        <is>
          <t>Clinic</t>
        </is>
      </c>
      <c r="N56" s="2" t="inlineStr">
        <is>
          <t>ข้อ 54 Pharma Plus เล่มม่วง (เฉลยข้อ จ)</t>
        </is>
      </c>
      <c r="O56" s="2" t="inlineStr">
        <is>
          <t>Mock</t>
        </is>
      </c>
      <c r="P56" s="2" t="inlineStr">
        <is>
          <t>Pharma Plus เล่มม่วง</t>
        </is>
      </c>
    </row>
    <row r="57" ht="13.2" customHeight="1" s="37">
      <c r="A57" s="8" t="inlineStr">
        <is>
          <t>55</t>
        </is>
      </c>
      <c r="B57" s="2" t="inlineStr">
        <is>
          <t>ผู้ป่วยมีอาการปวดจากมะเร็งระดับ mild to moderate ควรเลือกใช้ยาใดเป็นอันดับแรกในการบรรเทาอาการ</t>
        </is>
      </c>
      <c r="C57" s="2" t="n"/>
      <c r="D57" s="2" t="inlineStr">
        <is>
          <t>Amphetamine</t>
        </is>
      </c>
      <c r="E57" s="2" t="inlineStr">
        <is>
          <t>Celecoxib</t>
        </is>
      </c>
      <c r="F57" s="2" t="inlineStr">
        <is>
          <t>Ketamine</t>
        </is>
      </c>
      <c r="G57" s="2" t="inlineStr">
        <is>
          <t>Morphine</t>
        </is>
      </c>
      <c r="H57" s="2" t="inlineStr">
        <is>
          <t>Pethidine</t>
        </is>
      </c>
      <c r="I57" s="8" t="inlineStr">
        <is>
          <t>2</t>
        </is>
      </c>
      <c r="J57" s="2" t="inlineStr">
        <is>
          <t>✅ คำตอบที่ถูกต้อง: ข้อ ข. Celecoxib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Celecoxib ตามบันไดขั้นความปวดขององค์การอนามัยโลก (WHO Analgesic Ladder) สำหรับอาการปวดระดับเล็กน้อยถึงปานกลาง (mild to moderate) ควรเริ่มด้วย Non-opioid analgesics (เช่น Paracetamol หรือ NSAIDs/COX-2 inhibitors เช่น Celecoxib) ก่อนจะขยับไปใช้ Weak opioids และ Strong opioids ตามลำดับ
🔍 ข้ออื่นผิดเพราะอะไร:
• ข้อ ก. (Amphetamine): ข้อนี้ไม่ใช่คำตอบที่ถูกต้องสำหรับภาวะ CINV &amp; Supportive Care เนื่องจากกลไกการออกฤทธิ์, efficacy หรือข้อบ่งใช้ไม่ตรงกับโจทย์ที่กำหนด
• ข้อ ค. (Ketamine): ข้อนี้ไม่ใช่คำตอบที่ถูกต้องสำหรับภาวะ CINV &amp; Supportive Care เนื่องจากกลไกการออกฤทธิ์, efficacy หรือข้อบ่งใช้ไม่ตรงกับโจทย์ที่กำหนด
• ข้อ ง. (Morphine): เป็น pure opioid agonist สำหรับ severe pain มี active metabolite M6G (analgesic) และ M3G (neurotoxic) ที่ขับออกทางไต จึงต้องลดขนาดยาใน CKD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National Comprehensive Cancer Network (NCCN) Clinical Practice Guidelines in Oncology &amp; MASCC/ESMO Antiemetic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57" s="2" t="n"/>
      <c r="L57" s="2" t="inlineStr">
        <is>
          <t>CINV &amp; Supportive Care</t>
        </is>
      </c>
      <c r="M57" s="2" t="inlineStr">
        <is>
          <t>Clinic</t>
        </is>
      </c>
      <c r="N57" s="2" t="inlineStr">
        <is>
          <t>ข้อ 55 Pharma Plus เล่มม่วง (เฉลยข้อ ข)</t>
        </is>
      </c>
      <c r="O57" s="2" t="inlineStr">
        <is>
          <t>Mock</t>
        </is>
      </c>
      <c r="P57" s="2" t="inlineStr">
        <is>
          <t>Pharma Plus เล่มม่วง</t>
        </is>
      </c>
    </row>
    <row r="58" ht="13.2" customHeight="1" s="37">
      <c r="A58" s="8" t="inlineStr">
        <is>
          <t>56</t>
        </is>
      </c>
      <c r="B58" s="2"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ข้อใดไม่ใช่ปัจจัยเสี่ยงการเกิดมะเร็ง NSCLC</t>
        </is>
      </c>
      <c r="C58" s="2" t="n"/>
      <c r="D58" s="2" t="inlineStr">
        <is>
          <t>ผู้ชาย</t>
        </is>
      </c>
      <c r="E58" s="2" t="inlineStr">
        <is>
          <t>สูบบุหรี่</t>
        </is>
      </c>
      <c r="F58" s="2" t="inlineStr">
        <is>
          <t>ดื่มสุรา</t>
        </is>
      </c>
      <c r="G58" s="2" t="inlineStr">
        <is>
          <t>มีคนในครอบครัวเป็นโรคมะเร็งปอด</t>
        </is>
      </c>
      <c r="H58" s="2" t="inlineStr">
        <is>
          <t>Asbestos</t>
        </is>
      </c>
      <c r="I58" s="8" t="inlineStr">
        <is>
          <t>3</t>
        </is>
      </c>
      <c r="J58" s="2" t="inlineStr">
        <is>
          <t>✅ คำตอบที่ถูกต้อง: ข้อ ค. ดื่มสุรา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ดื่มสุรา ปัจจัยเสี่ยงหลักของมะเร็งปอด (NSCLC) ได้แก่ การสูบบุหรี่, การได้รับควันบุหรี่มือสอง, การสัมผัสแร่ใยหิน (asbestos), และประวัติครอบครัวที่เป็นมะเร็งปอด ส่วนการดื่มสุราไม่ได้เป็นปัจจัยเสี่ยงหลักโดยตรงต่อการเกิดมะเร็งปอดเมื่อเทียบกับมะเร็งทางเดินอาหารและตับ
🔍 ข้ออื่นผิดเพราะอะไร:
• ข้อ ก. (ผู้ชาย): ข้อนี้ไม่ใช่คำตอบที่ถูกต้องสำหรับภาวะ CINV &amp; Supportive Care เนื่องจากกลไกการออกฤทธิ์, efficacy หรือข้อบ่งใช้ไม่ตรงกับโจทย์ที่กำหนด
• ข้อ ข. (สูบบุหรี่): ข้อนี้ไม่ใช่คำตอบที่ถูกต้องสำหรับภาวะ CINV &amp; Supportive Care เนื่องจากกลไกการออกฤทธิ์, efficacy หรือข้อบ่งใช้ไม่ตรงกับโจทย์ที่กำหนด
• ข้อ ง. (มีคนในครอบครัวเป็นโรคมะเร็งปอด): ข้อนี้ไม่ใช่คำตอบที่ถูกต้องสำหรับภาวะ CINV &amp; Supportive Care เนื่องจากกลไกการออกฤทธิ์, efficacy หรือข้อบ่งใช้ไม่ตรงกับโจทย์ที่กำหนด
• ข้อ จ. (Asbestos):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8" s="2" t="n"/>
      <c r="L58" s="2" t="inlineStr">
        <is>
          <t>CINV &amp; Supportive Care</t>
        </is>
      </c>
      <c r="M58" s="2" t="inlineStr">
        <is>
          <t>Clinic</t>
        </is>
      </c>
      <c r="N58" s="2" t="inlineStr">
        <is>
          <t>ข้อ 56 Pharma Plus เล่มม่วง (เฉลยข้อ ค)</t>
        </is>
      </c>
      <c r="O58" s="2" t="inlineStr">
        <is>
          <t>Mock</t>
        </is>
      </c>
      <c r="P58" s="2" t="inlineStr">
        <is>
          <t>Pharma Plus เล่มม่วง</t>
        </is>
      </c>
    </row>
    <row r="59" ht="13.2" customHeight="1" s="37">
      <c r="A59" s="8" t="inlineStr">
        <is>
          <t>57</t>
        </is>
      </c>
      <c r="B59" s="2" t="inlineStr">
        <is>
          <t>ข้อใดคือกลไกของยา cisplatin</t>
        </is>
      </c>
      <c r="C59" s="2" t="n"/>
      <c r="D59" s="2" t="inlineStr">
        <is>
          <t>ยับยั้ง vascular endothelial growth factor</t>
        </is>
      </c>
      <c r="E59" s="2" t="inlineStr">
        <is>
          <t>ยับยั้งเอนไซม์ dihydrofolate reductase</t>
        </is>
      </c>
      <c r="F59" s="2" t="inlineStr">
        <is>
          <t>ยับยั้งเอนไซม์ topoisomerase II</t>
        </is>
      </c>
      <c r="G59" s="2" t="inlineStr">
        <is>
          <t>ทำให้เกิด DNA crosslink</t>
        </is>
      </c>
      <c r="H59" s="2" t="inlineStr">
        <is>
          <t>เพิ่มการเข้าจับที่ HER-2 receptor</t>
        </is>
      </c>
      <c r="I59" s="8" t="inlineStr">
        <is>
          <t>4</t>
        </is>
      </c>
      <c r="J59" s="2" t="inlineStr">
        <is>
          <t>✅ คำตอบที่ถูกต้อง: ข้อ ง. ทำให้เกิด DNA crosslink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ทำให้เกิด DNA crosslink Cisplatin เป็นยาเคมีบำบัดกลุ่ม Platinum-based alkylating-like agent ออกฤทธิ์โดยการสร้าง DNA crosslinks (ทั้ง intra-strand และ inter-strand crosslinks) ทำให้ DNA เสียหายและยับยั้งการจำลองตัวเองของเซลล์มะเร็ง
🔍 ข้ออื่นผิดเพราะอะไร:
• ข้อ ก. (ยับยั้ง vascular endothelial growth factor): ข้อนี้ไม่ใช่คำตอบที่ถูกต้องสำหรับภาวะ CINV &amp; Supportive Care เนื่องจากกลไกการออกฤทธิ์, efficacy หรือข้อบ่งใช้ไม่ตรงกับโจทย์ที่กำหนด
• ข้อ ข. (ยับยั้งเอนไซม์ dihydrofolate reductase): ข้อนี้ไม่ใช่คำตอบที่ถูกต้องสำหรับภาวะ CINV &amp; Supportive Care เนื่องจากกลไกการออกฤทธิ์, efficacy หรือข้อบ่งใช้ไม่ตรงกับโจทย์ที่กำหนด
• ข้อ ค. (ยับยั้งเอนไซม์ topoisomerase II): ข้อนี้ไม่ใช่คำตอบที่ถูกต้องสำหรับภาวะ CINV &amp; Supportive Care เนื่องจากกลไกการออกฤทธิ์, efficacy หรือข้อบ่งใช้ไม่ตรงกับโจทย์ที่กำหนด
• ข้อ จ. (เพิ่มการเข้าจับที่ HER-2 receptor):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9" s="2" t="n"/>
      <c r="L59" s="2" t="inlineStr">
        <is>
          <t>CINV &amp; Supportive Care</t>
        </is>
      </c>
      <c r="M59" s="2" t="inlineStr">
        <is>
          <t>Clinic</t>
        </is>
      </c>
      <c r="N59" s="2" t="inlineStr">
        <is>
          <t>ข้อ 57 Pharma Plus เล่มม่วง (เฉลยข้อ ง)</t>
        </is>
      </c>
      <c r="O59" s="2" t="inlineStr">
        <is>
          <t>Mock</t>
        </is>
      </c>
      <c r="P59" s="2" t="inlineStr">
        <is>
          <t>Pharma Plus เล่มม่วง</t>
        </is>
      </c>
    </row>
    <row r="60" ht="13.2" customHeight="1" s="37">
      <c r="A60" s="8" t="inlineStr">
        <is>
          <t>58</t>
        </is>
      </c>
      <c r="B60" s="2" t="inlineStr">
        <is>
          <t>Vincristine ได้มาจากสมุนไพรอะไร</t>
        </is>
      </c>
      <c r="C60" s="2" t="n"/>
      <c r="D60" s="2" t="inlineStr">
        <is>
          <t>ดองดึงหัวขวาน</t>
        </is>
      </c>
      <c r="E60" s="2" t="inlineStr">
        <is>
          <t>รำเพย</t>
        </is>
      </c>
      <c r="F60" s="2" t="inlineStr">
        <is>
          <t>ระย่อมน้อย</t>
        </is>
      </c>
      <c r="G60" s="2" t="inlineStr">
        <is>
          <t>หญ้าปักกิ่ง</t>
        </is>
      </c>
      <c r="H60" s="2" t="inlineStr">
        <is>
          <t>แพงพวยฝรั่ง</t>
        </is>
      </c>
      <c r="I60" s="8" t="inlineStr">
        <is>
          <t>5</t>
        </is>
      </c>
      <c r="J60" s="2" t="inlineStr">
        <is>
          <t>✅ คำตอบที่ถูกต้อง: ข้อ จ. แพงพวยฝรั่ง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แพงพวยฝรั่ง Vincristine และ Vinblastine เป็นยากลุ่ม Vinca alkaloids ซึ่งสกัดได้จากต้นแพงพวยฝรั่ง (Catharanthus roseus / Madagascar periwinkle) มีกลไกยับยั้งการสร้าง microtubule
🔍 ข้ออื่นผิดเพราะอะไร:
• ข้อ ก. (ดองดึงหัวขวาน): ข้อนี้ไม่ใช่คำตอบที่ถูกต้องสำหรับภาวะ CINV &amp; Supportive Care เนื่องจากกลไกการออกฤทธิ์, efficacy หรือข้อบ่งใช้ไม่ตรงกับโจทย์ที่กำหนด
• ข้อ ข. (รำเพย): ข้อนี้ไม่ใช่คำตอบที่ถูกต้องสำหรับภาวะ CINV &amp; Supportive Care เนื่องจากกลไกการออกฤทธิ์, efficacy หรือข้อบ่งใช้ไม่ตรงกับโจทย์ที่กำหนด
• ข้อ ค. (ระย่อมน้อย): ข้อนี้ไม่ใช่คำตอบที่ถูกต้องสำหรับภาวะ CINV &amp; Supportive Care เนื่องจากกลไกการออกฤทธิ์, efficacy หรือข้อบ่งใช้ไม่ตรงกับโจทย์ที่กำหนด
• ข้อ ง. (หญ้าปักกิ่ง):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n"/>
      <c r="L60" s="2" t="inlineStr">
        <is>
          <t>CINV &amp; Supportive Care</t>
        </is>
      </c>
      <c r="M60" s="2" t="inlineStr">
        <is>
          <t>Clinic</t>
        </is>
      </c>
      <c r="N60" s="2" t="inlineStr">
        <is>
          <t>ข้อ 58 Pharma Plus เล่มม่วง (เฉลยข้อ จ)</t>
        </is>
      </c>
      <c r="O60" s="2" t="inlineStr">
        <is>
          <t>Mock</t>
        </is>
      </c>
      <c r="P60" s="2" t="inlineStr">
        <is>
          <t>Pharma Plus เล่มม่วง</t>
        </is>
      </c>
    </row>
    <row r="61" ht="13.2" customHeight="1" s="37">
      <c r="A61" s="8" t="inlineStr">
        <is>
          <t>59</t>
        </is>
      </c>
      <c r="B61" s="2" t="inlineStr">
        <is>
          <t>ข้อใดถูกต้องเกี่ยวกับการเกิด extravasation ในยาสูตร cisplatin + paclitaxel</t>
        </is>
      </c>
      <c r="C61" s="2" t="n"/>
      <c r="D61" s="2" t="inlineStr">
        <is>
          <t>ประคบร้อนอย่างเดียว สี่ครั้งต่อวัน เป็นเวลาสามวัน</t>
        </is>
      </c>
      <c r="E61" s="2" t="inlineStr">
        <is>
          <t>รัดแขนเหนือบริเวณที่ฉีดยา</t>
        </is>
      </c>
      <c r="F61" s="2" t="inlineStr">
        <is>
          <t>ให้สารละลาย 0.9% NSS เข้าไปในหลอดเลือด</t>
        </is>
      </c>
      <c r="G61" s="2" t="inlineStr">
        <is>
          <t>ถ้าปวดมากให้ใช้ DMSO นาน 7 วัน</t>
        </is>
      </c>
      <c r="H61" s="2" t="inlineStr">
        <is>
          <t>ให้ antidote ที่จำเพาะคือ Hyaluronidase</t>
        </is>
      </c>
      <c r="I61" s="8" t="inlineStr">
        <is>
          <t>5</t>
        </is>
      </c>
      <c r="J61" s="2" t="inlineStr">
        <is>
          <t>✅ คำตอบที่ถูกต้อง: ข้อ จ. ให้ antidote ที่จำเพาะคือ Hyaluronidase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ให้ antidote ที่จำเพาะคือ Hyaluronidase Paclitaxel จัดเป็นยาประเภท irritant/vesicant เล็กน้อย การจัดการเบื้องต้นในกรณีที่เกิด extravasation ควรหยุดยันทันที aspirate ยาออกเท่าที่จะทำได้ และในกรณีของ paclitaxel มักแนะนำการประคบเย็น (ยกเว้นกลุ่ม vinca alkaloids บางตำราที่ให้ประคบร้อน แต่นโยบายการจัดการ extravasation ขึ้นกับแนวทางของสถาบัน)
🔍 ข้ออื่นผิดเพราะอะไร:
• ข้อ ก. (ประคบร้อนอย่างเดียว สี่ครั้งต่อวัน เป็นเวลาสามวัน): ข้อนี้ไม่ใช่คำตอบที่ถูกต้องสำหรับภาวะ CINV &amp; Supportive Care เนื่องจากกลไกการออกฤทธิ์, efficacy หรือข้อบ่งใช้ไม่ตรงกับโจทย์ที่กำหนด
• ข้อ ข. (รัดแขนเหนือบริเวณที่ฉีดยา): ข้อนี้ไม่ใช่คำตอบที่ถูกต้องสำหรับภาวะ CINV &amp; Supportive Care เนื่องจากกลไกการออกฤทธิ์, efficacy หรือข้อบ่งใช้ไม่ตรงกับโจทย์ที่กำหนด
• ข้อ ค. (ให้สารละลาย 0.9% NSS เข้าไปในหลอดเลือด): ข้อนี้ไม่ใช่คำตอบที่ถูกต้องสำหรับภาวะ CINV &amp; Supportive Care เนื่องจากกลไกการออกฤทธิ์, efficacy หรือข้อบ่งใช้ไม่ตรงกับโจทย์ที่กำหนด
• ข้อ ง. (ถ้าปวดมากให้ใช้ DMSO นาน 7 วัน):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1" s="2" t="n"/>
      <c r="L61" s="2" t="inlineStr">
        <is>
          <t>CINV &amp; Supportive Care</t>
        </is>
      </c>
      <c r="M61" s="2" t="inlineStr">
        <is>
          <t>Clinic</t>
        </is>
      </c>
      <c r="N61" s="2" t="inlineStr">
        <is>
          <t>ข้อ 59 Pharma Plus เล่มม่วง (เฉลยข้อ จ)</t>
        </is>
      </c>
      <c r="O61" s="2" t="inlineStr">
        <is>
          <t>Mock</t>
        </is>
      </c>
      <c r="P61" s="2" t="inlineStr">
        <is>
          <t>Pharma Plus เล่มม่วง</t>
        </is>
      </c>
    </row>
    <row r="62" ht="13.2" customHeight="1" s="37">
      <c r="A62" s="8" t="inlineStr">
        <is>
          <t>60</t>
        </is>
      </c>
      <c r="B62" s="2" t="inlineStr">
        <is>
          <t>ผลข้างเคียงที่พบน้อยของยา paclitaxel คือข้อใด</t>
        </is>
      </c>
      <c r="C62" s="2" t="n"/>
      <c r="D62" s="2" t="inlineStr">
        <is>
          <t>Diarrhea</t>
        </is>
      </c>
      <c r="E62" s="2" t="inlineStr">
        <is>
          <t>Alopecia</t>
        </is>
      </c>
      <c r="F62" s="2" t="inlineStr">
        <is>
          <t>Ototoxicity</t>
        </is>
      </c>
      <c r="G62" s="2" t="inlineStr">
        <is>
          <t>Hypersensitivity</t>
        </is>
      </c>
      <c r="H62" s="2" t="inlineStr">
        <is>
          <t>Bone marrow suppression</t>
        </is>
      </c>
      <c r="I62" s="8" t="inlineStr">
        <is>
          <t>3</t>
        </is>
      </c>
      <c r="J62" s="2" t="inlineStr">
        <is>
          <t>✅ คำตอบที่ถูกต้อง: ข้อ ค. Ototoxicity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Ototoxicity Alopecia (ผมร่วง), Hypersensitivity reactions (ปฏิกิริยาภูมิแพ้เฉียบพลัน), และ Bone marrow suppression (ไขกระดูกฝ่อ) เป็นผลข้างเคียงที่พบบ่อย (Common) ของ Paclitaxel ส่วน Ototoxicity (ความเป็นพิษต่อหู) พบได้น้อยมากเมื่อเทียบกับยากลุ่ม platinum (Cisplatin)
🔍 ข้ออื่นผิดเพราะอะไร:
• ข้อ ก. (Diarrhea): ข้อนี้ไม่ใช่คำตอบที่ถูกต้องสำหรับภาวะ CINV &amp; Supportive Care เนื่องจากกลไกการออกฤทธิ์, efficacy หรือข้อบ่งใช้ไม่ตรงกับโจทย์ที่กำหนด
• ข้อ ข. (Alopecia): ข้อนี้ไม่ใช่คำตอบที่ถูกต้องสำหรับภาวะ CINV &amp; Supportive Care เนื่องจากกลไกการออกฤทธิ์, efficacy หรือข้อบ่งใช้ไม่ตรงกับโจทย์ที่กำหนด
• ข้อ ง. (Hypersensitivity): ข้อนี้ไม่ใช่คำตอบที่ถูกต้องสำหรับภาวะ CINV &amp; Supportive Care เนื่องจากกลไกการออกฤทธิ์, efficacy หรือข้อบ่งใช้ไม่ตรงกับโจทย์ที่กำหนด
• ข้อ จ. (Bone marrow suppression):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2" t="n"/>
      <c r="L62" s="2" t="inlineStr">
        <is>
          <t>CINV &amp; Supportive Care</t>
        </is>
      </c>
      <c r="M62" s="2" t="inlineStr">
        <is>
          <t>Clinic</t>
        </is>
      </c>
      <c r="N62" s="2" t="inlineStr">
        <is>
          <t>ข้อ 60 Pharma Plus เล่มม่วง (เฉลยข้อ ค)</t>
        </is>
      </c>
      <c r="O62" s="2" t="inlineStr">
        <is>
          <t>Mock</t>
        </is>
      </c>
      <c r="P62" s="2" t="inlineStr">
        <is>
          <t>Pharma Plus เล่มม่วง</t>
        </is>
      </c>
    </row>
    <row r="63" ht="13.2" customHeight="1" s="37">
      <c r="A63" s="8" t="inlineStr">
        <is>
          <t>61</t>
        </is>
      </c>
      <c r="B63" s="2" t="inlineStr">
        <is>
          <t>Cisplatin ทำให้เกิดอาการคลื่นไส้อาเจียนระดับ highly emetic risk ผู้ป่วยควรได้รับยาเพื่อป้องกันการคลื่นไส้อาเจียน</t>
        </is>
      </c>
      <c r="C63" s="2" t="n"/>
      <c r="D63" s="2" t="inlineStr">
        <is>
          <t>Ondansetron</t>
        </is>
      </c>
      <c r="E63" s="2" t="inlineStr">
        <is>
          <t>Dexamethasone + lorazepam</t>
        </is>
      </c>
      <c r="F63" s="2" t="inlineStr">
        <is>
          <t>Dexamethasone + ondansetron + lorazepam</t>
        </is>
      </c>
      <c r="G63" s="2" t="inlineStr">
        <is>
          <t>Dexamethasone + aprepitant + lorazepam</t>
        </is>
      </c>
      <c r="H63" s="2" t="inlineStr">
        <is>
          <t>Dexamethasone + ondansetron + aprepitant + lorazepam</t>
        </is>
      </c>
      <c r="I63" s="8" t="inlineStr">
        <is>
          <t>5</t>
        </is>
      </c>
      <c r="J63" s="2" t="inlineStr">
        <is>
          <t>✅ คำตอบที่ถูกต้อง: ข้อ จ. Dexamethasone + ondansetron + aprepitant + lorazepam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 ondansetron + aprepitant + lorazepam ตามแนวทาง MASCC/ESMO และ ASCO สำหรับ Highly Emetogenic Chemotherapy (HEC) เช่น Cisplatin แนะนำให้ใช้สูตร 4 ตัวยาป้องกัน ได้แก่ NK1 receptor antagonist + 5-HT3 receptor antagonist + Dexamethasone + Olanzapine (หรือ Lorazepam เป็นยาร่วมเสริม)
🔍 ข้ออื่นผิดเพราะอะไร:
• ข้อ ก. (Ondansetron): เป็น 5-HT3 receptor antagonist เป็น first-line antiemetic สำหรับ chemotherapy-induced nausea and vomiting (CINV) และ post-operative nausea/vomiting แต่ทำให้ท้องผูก
• ข้อ ข. (Dexamethasone + lorazepam): เป็น long-acting potent glucocorticoid ไม่มี mineralocorticoid effect จึงไม่ทำให้น้ำคั่ง เหมาะสำหรับ brain edema, antiemetic, และ COVID-19 with hypoxemia
• ข้อ ค. (Dexamethasone + ondansetron + lorazepam): เป็น long-acting potent glucocorticoid ไม่มี mineralocorticoid effect จึงไม่ทำให้น้ำคั่ง เหมาะสำหรับ brain edema, antiemetic, และ COVID-19 with hypoxemia
• ข้อ ง. (Dexamethasone + aprepitant + lorazepam):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3" s="2" t="n"/>
      <c r="L63" s="2" t="inlineStr">
        <is>
          <t>CINV &amp; Supportive Care</t>
        </is>
      </c>
      <c r="M63" s="2" t="inlineStr">
        <is>
          <t>Clinic</t>
        </is>
      </c>
      <c r="N63" s="2" t="inlineStr">
        <is>
          <t>ข้อ 61 Pharma Plus เล่มม่วง (เฉลยข้อ จ)</t>
        </is>
      </c>
      <c r="O63" s="2" t="inlineStr">
        <is>
          <t>Mock</t>
        </is>
      </c>
      <c r="P63" s="2" t="inlineStr">
        <is>
          <t>Pharma Plus เล่มม่วง</t>
        </is>
      </c>
    </row>
    <row r="64" ht="13.2" customHeight="1" s="37">
      <c r="A64" s="8" t="inlineStr">
        <is>
          <t>62</t>
        </is>
      </c>
      <c r="B64" s="2" t="inlineStr">
        <is>
          <t>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 BSA ของผู้ป่วยรายนี้</t>
        </is>
      </c>
      <c r="C64" s="2" t="n"/>
      <c r="D64" s="8" t="inlineStr">
        <is>
          <t>0.67</t>
        </is>
      </c>
      <c r="E64" s="8" t="inlineStr">
        <is>
          <t>1.3</t>
        </is>
      </c>
      <c r="F64" s="8" t="inlineStr">
        <is>
          <t>1.5</t>
        </is>
      </c>
      <c r="G64" s="2" t="inlineStr">
        <is>
          <t>Dexamethasone 12 mg IV stat</t>
        </is>
      </c>
      <c r="H64" s="8" t="inlineStr">
        <is>
          <t>2.4</t>
        </is>
      </c>
      <c r="I64" s="8" t="inlineStr">
        <is>
          <t>3</t>
        </is>
      </c>
      <c r="J64" s="2" t="inlineStr">
        <is>
          <t>✅ คำตอบที่ถูกต้อง: ข้อ ค. 1.5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1.5 คำนวณ BSA ตามสูตร Mosteller: BSA = sqrt([Height(cm) x Weight(kg)] / 3600) = sqrt([150 x 54] / 3600) = sqrt(8100 / 3600) = sqrt(2.25) = 1.5 m²
🔍 ข้ออื่นผิดเพราะอะไร:
• ข้อ ก. (0.67): ข้อนี้ไม่ใช่คำตอบที่ถูกต้องสำหรับภาวะ CINV &amp; Supportive Care เนื่องจากกลไกการออกฤทธิ์, efficacy หรือข้อบ่งใช้ไม่ตรงกับโจทย์ที่กำหนด
• ข้อ ข. (1.3): ข้อนี้ไม่ใช่คำตอบที่ถูกต้องสำหรับภาวะ CINV &amp; Supportive Care เนื่องจากกลไกการออกฤทธิ์, efficacy หรือข้อบ่งใช้ไม่ตรงกับโจทย์ที่กำหนด
• ข้อ ง. (Dexamethasone 12 mg IV stat): เป็น long-acting potent glucocorticoid ไม่มี mineralocorticoid effect จึงไม่ทำให้น้ำคั่ง เหมาะสำหรับ brain edema, antiemetic, และ COVID-19 with hypoxemia
• ข้อ จ. (2.4):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4" s="2" t="n"/>
      <c r="L64" s="2" t="inlineStr">
        <is>
          <t>CINV &amp; Supportive Care</t>
        </is>
      </c>
      <c r="M64" s="2" t="inlineStr">
        <is>
          <t>Clinic</t>
        </is>
      </c>
      <c r="N64" s="2" t="inlineStr">
        <is>
          <t>ข้อ 62 Pharma Plus เล่มม่วง (เฉลยข้อ ค)</t>
        </is>
      </c>
      <c r="O64" s="2" t="inlineStr">
        <is>
          <t>Mock</t>
        </is>
      </c>
      <c r="P64" s="2" t="inlineStr">
        <is>
          <t>Pharma Plus เล่มม่วง</t>
        </is>
      </c>
    </row>
    <row r="65" ht="13.2" customHeight="1" s="37">
      <c r="A65" s="8" t="inlineStr">
        <is>
          <t>63</t>
        </is>
      </c>
      <c r="B65" s="2" t="inlineStr">
        <is>
          <t>ข้อใดคือขนาดยาของ cyclophosphamide ที่ถูกต้องในผู้ป่วยรายนี้</t>
        </is>
      </c>
      <c r="C65" s="2" t="n"/>
      <c r="D65" s="2" t="inlineStr">
        <is>
          <t>130 mg</t>
        </is>
      </c>
      <c r="E65" s="2" t="inlineStr">
        <is>
          <t>150 mg</t>
        </is>
      </c>
      <c r="F65" s="2" t="inlineStr">
        <is>
          <t>200 mg</t>
        </is>
      </c>
      <c r="G65" s="2" t="inlineStr">
        <is>
          <t>225 mg</t>
        </is>
      </c>
      <c r="H65" s="2" t="inlineStr">
        <is>
          <t>450 mg</t>
        </is>
      </c>
      <c r="I65" s="8" t="inlineStr">
        <is>
          <t>2</t>
        </is>
      </c>
      <c r="J65" s="2" t="inlineStr">
        <is>
          <t>✅ คำตอบที่ถูกต้อง: ข้อ ข. 150 mg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150 mg เนื่องจากโจทย์อ้างอิงถึงข้อมูลผู้ป่วยรายนี้ (ซึ่งมักอยู่ในหน้าก่อนหน้าเกี่ยวกับการคำนวณ BSA หรือขนาดยาตามข้อบ่งใช้) แต่คำตอบมาตรฐานตามข้อสอบมักอิงตามการคำนวณ specific dosing ของสูตรยาเคมีบำบัดนั้นๆ
🔍 ข้ออื่นผิดเพราะอะไร:
• ข้อ ก. (130 mg): ข้อนี้ไม่ใช่คำตอบที่ถูกต้องสำหรับภาวะ CINV &amp; Supportive Care เนื่องจากกลไกการออกฤทธิ์, efficacy หรือข้อบ่งใช้ไม่ตรงกับโจทย์ที่กำหนด
• ข้อ ค. (200 mg): ข้อนี้ไม่ใช่คำตอบที่ถูกต้องสำหรับภาวะ CINV &amp; Supportive Care เนื่องจากกลไกการออกฤทธิ์, efficacy หรือข้อบ่งใช้ไม่ตรงกับโจทย์ที่กำหนด
• ข้อ ง. (225 mg): ข้อนี้ไม่ใช่คำตอบที่ถูกต้องสำหรับภาวะ CINV &amp; Supportive Care เนื่องจากกลไกการออกฤทธิ์, efficacy หรือข้อบ่งใช้ไม่ตรงกับโจทย์ที่กำหนด
• ข้อ จ. (450 mg):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2" t="n"/>
      <c r="L65" s="2" t="inlineStr">
        <is>
          <t>CINV &amp; Supportive Care</t>
        </is>
      </c>
      <c r="M65" s="2" t="inlineStr">
        <is>
          <t>Clinic</t>
        </is>
      </c>
      <c r="N65" s="2" t="inlineStr">
        <is>
          <t>ข้อ 63 Pharma Plus เล่มม่วง (เฉลยข้อ ข)</t>
        </is>
      </c>
      <c r="O65" s="2" t="inlineStr">
        <is>
          <t>Mock</t>
        </is>
      </c>
      <c r="P65" s="2" t="inlineStr">
        <is>
          <t>Pharma Plus เล่มม่วง</t>
        </is>
      </c>
    </row>
    <row r="66" ht="13.2" customHeight="1" s="37">
      <c r="A66" s="8" t="inlineStr">
        <is>
          <t>64</t>
        </is>
      </c>
      <c r="B66" s="2" t="inlineStr">
        <is>
          <t>ข้อใดคือผลข้างเคียงของยา cyclophosphamide ที่สำคัญ</t>
        </is>
      </c>
      <c r="C66" s="2" t="n"/>
      <c r="D66" s="2" t="inlineStr">
        <is>
          <t>Hemorrhagic cystitis</t>
        </is>
      </c>
      <c r="E66" s="2" t="inlineStr">
        <is>
          <t>Hepatotoxic</t>
        </is>
      </c>
      <c r="F66" s="2" t="inlineStr">
        <is>
          <t>Thrombocytopenia</t>
        </is>
      </c>
      <c r="G66" s="2" t="inlineStr">
        <is>
          <t>Cardiac conduction ผิดปกติ</t>
        </is>
      </c>
      <c r="H66" s="2" t="inlineStr">
        <is>
          <t>Alopecia</t>
        </is>
      </c>
      <c r="I66" s="8" t="inlineStr">
        <is>
          <t>1</t>
        </is>
      </c>
      <c r="J66" s="2" t="inlineStr">
        <is>
          <t>✅ คำตอบที่ถูกต้อง: ข้อ ก. Hemorrhagic cystitis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Hemorrhagic cystitis Cyclophosphamide และ Ifosfamide เมตาบอไลต์เป็น acrolein ซึ่งก่อให้เกิดพิษต่อกระเพาะปัสสาวะ ทำให้เกิด hemorrhagic cystitis ป้องกันได้โดยการให้สารน้ำเพียงพอและให้ Mesna
🔍 ข้ออื่นผิดเพราะอะไร:
• ข้อ ข. (Hepatotoxic): ข้อนี้ไม่ใช่คำตอบที่ถูกต้องสำหรับภาวะ CINV &amp; Supportive Care เนื่องจากกลไกการออกฤทธิ์, efficacy หรือข้อบ่งใช้ไม่ตรงกับโจทย์ที่กำหนด
• ข้อ ค. (Thrombocytopenia): ข้อนี้ไม่ใช่คำตอบที่ถูกต้องสำหรับภาวะ CINV &amp; Supportive Care เนื่องจากกลไกการออกฤทธิ์, efficacy หรือข้อบ่งใช้ไม่ตรงกับโจทย์ที่กำหนด
• ข้อ ง. (Cardiac conduction ผิดปกติ): ข้อนี้ไม่ใช่คำตอบที่ถูกต้องสำหรับภาวะ CINV &amp; Supportive Care เนื่องจากกลไกการออกฤทธิ์, efficacy หรือข้อบ่งใช้ไม่ตรงกับโจทย์ที่กำหนด
• ข้อ จ. (Alopecia):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2" t="n"/>
      <c r="L66" s="2" t="inlineStr">
        <is>
          <t>CINV &amp; Supportive Care</t>
        </is>
      </c>
      <c r="M66" s="2" t="inlineStr">
        <is>
          <t>Clinic</t>
        </is>
      </c>
      <c r="N66" s="2" t="inlineStr">
        <is>
          <t>ข้อ 64 Pharma Plus เล่มม่วง (เฉลยข้อ ก)</t>
        </is>
      </c>
      <c r="O66" s="2" t="inlineStr">
        <is>
          <t>Mock</t>
        </is>
      </c>
      <c r="P66" s="2" t="inlineStr">
        <is>
          <t>Pharma Plus เล่มม่วง</t>
        </is>
      </c>
    </row>
    <row r="67" ht="13.2" customHeight="1" s="37">
      <c r="A67" s="8" t="inlineStr">
        <is>
          <t>65</t>
        </is>
      </c>
      <c r="B67" s="2" t="inlineStr">
        <is>
          <t>ยาในข้อใด มีกลไกการออกฤทธิ์เหมือนยา cyclophosphamide</t>
        </is>
      </c>
      <c r="C67" s="2" t="n"/>
      <c r="D67" s="2" t="inlineStr">
        <is>
          <t>Doxorubicin</t>
        </is>
      </c>
      <c r="E67" s="2" t="inlineStr">
        <is>
          <t>5-FU</t>
        </is>
      </c>
      <c r="F67" s="2" t="inlineStr">
        <is>
          <t>Cisplatin</t>
        </is>
      </c>
      <c r="G67" s="2" t="inlineStr">
        <is>
          <t>Etoposide</t>
        </is>
      </c>
      <c r="H67" s="2" t="inlineStr">
        <is>
          <t>Vincristine</t>
        </is>
      </c>
      <c r="I67" s="8" t="inlineStr">
        <is>
          <t>3</t>
        </is>
      </c>
      <c r="J67" s="2" t="inlineStr">
        <is>
          <t>✅ คำตอบที่ถูกต้อง: ข้อ ค. Cisplatin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Cisplatin Cyclophosphamide จัดเป็นยาในกลุ่ม Alkylating agent (Nitrogen mustard) เช่นเดียวกับ Cisplatin ที่ออกฤทธิ์โดยการ alkylate สาย DNA ทำให้เกิด cross-linking ขัดขวางการ replication
🔍 ข้ออื่นผิดเพราะอะไร:
• ข้อ ก. (Doxorubicin): ข้อนี้ไม่ใช่คำตอบที่ถูกต้องสำหรับภาวะ CINV &amp; Supportive Care เนื่องจากกลไกการออกฤทธิ์, efficacy หรือข้อบ่งใช้ไม่ตรงกับโจทย์ที่กำหนด
• ข้อ ข. (5-FU): ข้อนี้ไม่ใช่คำตอบที่ถูกต้องสำหรับภาวะ CINV &amp; Supportive Care เนื่องจากกลไกการออกฤทธิ์, efficacy หรือข้อบ่งใช้ไม่ตรงกับโจทย์ที่กำหนด
• ข้อ ง. (Etoposide): ข้อนี้ไม่ใช่คำตอบที่ถูกต้องสำหรับภาวะ CINV &amp; Supportive Care เนื่องจากกลไกการออกฤทธิ์, efficacy หรือข้อบ่งใช้ไม่ตรงกับโจทย์ที่กำหนด
• ข้อ จ. (Vincristine):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n"/>
      <c r="L67" s="2" t="inlineStr">
        <is>
          <t>CINV &amp; Supportive Care</t>
        </is>
      </c>
      <c r="M67" s="2" t="inlineStr">
        <is>
          <t>Clinic</t>
        </is>
      </c>
      <c r="N67" s="2" t="inlineStr">
        <is>
          <t>ข้อ 65 Pharma Plus เล่มม่วง (เฉลยข้อ ค)</t>
        </is>
      </c>
      <c r="O67" s="2" t="inlineStr">
        <is>
          <t>Mock</t>
        </is>
      </c>
      <c r="P67" s="2" t="inlineStr">
        <is>
          <t>Pharma Plus เล่มม่วง</t>
        </is>
      </c>
    </row>
    <row r="68" ht="13.2" customHeight="1" s="37">
      <c r="A68" s="8" t="inlineStr">
        <is>
          <t>66</t>
        </is>
      </c>
      <c r="B68" s="2" t="inlineStr">
        <is>
          <t>ข้อใดคือผลข้างเคียงของยา methotrexate</t>
        </is>
      </c>
      <c r="C68" s="2" t="n"/>
      <c r="D68" s="2" t="inlineStr">
        <is>
          <t>Hemorrhagic cystitis</t>
        </is>
      </c>
      <c r="E68" s="2" t="inlineStr">
        <is>
          <t>Stomatitis</t>
        </is>
      </c>
      <c r="F68" s="2" t="inlineStr">
        <is>
          <t>Thrombocytopenia</t>
        </is>
      </c>
      <c r="G68" s="2" t="inlineStr">
        <is>
          <t>Cardiac conduction ผิดปกติ</t>
        </is>
      </c>
      <c r="H68" s="2" t="inlineStr">
        <is>
          <t>Alopecia</t>
        </is>
      </c>
      <c r="I68" s="8" t="inlineStr">
        <is>
          <t>2</t>
        </is>
      </c>
      <c r="J68" s="2" t="inlineStr">
        <is>
          <t>✅ คำตอบที่ถูกต้อง: ข้อ ข. Stomatitis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Stomatitis Methotrexate เป็น antifolate ที่มักทำให้เกิดพิษต่อเยื่อบุทางเดินอาหารอย่างรุนแรง เช่น Stomatitis หรือ mucositis ซึ่งเป็น dose-limiting toxicity ที่สำคัญ
🔍 ข้ออื่นผิดเพราะอะไร:
• ข้อ ก. (Hemorrhagic cystitis): ข้อนี้ไม่ใช่คำตอบที่ถูกต้องสำหรับภาวะ CINV &amp; Supportive Care เนื่องจากกลไกการออกฤทธิ์, efficacy หรือข้อบ่งใช้ไม่ตรงกับโจทย์ที่กำหนด
• ข้อ ค. (Thrombocytopenia): ข้อนี้ไม่ใช่คำตอบที่ถูกต้องสำหรับภาวะ CINV &amp; Supportive Care เนื่องจากกลไกการออกฤทธิ์, efficacy หรือข้อบ่งใช้ไม่ตรงกับโจทย์ที่กำหนด
• ข้อ ง. (Cardiac conduction ผิดปกติ): ข้อนี้ไม่ใช่คำตอบที่ถูกต้องสำหรับภาวะ CINV &amp; Supportive Care เนื่องจากกลไกการออกฤทธิ์, efficacy หรือข้อบ่งใช้ไม่ตรงกับโจทย์ที่กำหนด
• ข้อ จ. (Alopecia):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8" s="2" t="n"/>
      <c r="L68" s="2" t="inlineStr">
        <is>
          <t>CINV &amp; Supportive Care</t>
        </is>
      </c>
      <c r="M68" s="2" t="inlineStr">
        <is>
          <t>Clinic</t>
        </is>
      </c>
      <c r="N68" s="2" t="inlineStr">
        <is>
          <t>ข้อ 66 Pharma Plus เล่มม่วง (เฉลยข้อ ข ค จ)</t>
        </is>
      </c>
      <c r="O68" s="2" t="inlineStr">
        <is>
          <t>Mock</t>
        </is>
      </c>
      <c r="P68" s="2" t="inlineStr">
        <is>
          <t>Pharma Plus เล่มม่วง</t>
        </is>
      </c>
    </row>
    <row r="69" ht="13.2" customHeight="1" s="37">
      <c r="A69" s="8" t="inlineStr">
        <is>
          <t>67</t>
        </is>
      </c>
      <c r="B69" s="2" t="inlineStr">
        <is>
          <t>ยาในข้อใดเสริมการออกฤทธิ์ cytotoxic ของยา 5-FU</t>
        </is>
      </c>
      <c r="C69" s="2" t="n"/>
      <c r="D69" s="2" t="inlineStr">
        <is>
          <t>Dexamethasone</t>
        </is>
      </c>
      <c r="E69" s="2" t="inlineStr">
        <is>
          <t>Ondansetron</t>
        </is>
      </c>
      <c r="F69" s="2" t="inlineStr">
        <is>
          <t>Folic acid</t>
        </is>
      </c>
      <c r="G69" s="2" t="inlineStr">
        <is>
          <t>Allopurinol</t>
        </is>
      </c>
      <c r="H69" s="2" t="inlineStr">
        <is>
          <t>Leucovorin</t>
        </is>
      </c>
      <c r="I69" s="8" t="inlineStr">
        <is>
          <t>5</t>
        </is>
      </c>
      <c r="J69" s="2" t="inlineStr">
        <is>
          <t>✅ คำตอบที่ถูกต้อง: ข้อ จ. Leucovorin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Leucovorin (folinic acid) ใช้ร่วมกับ 5-FU เพื่อเพิ่มความคงตัวในการจับกับเอนไซม์ thymidylate synthase ทำให้ฤทธิ์ยับยั้งการสังเคราะห์ DNA มี efficacy สูงขึ้น (Potentiation of 5-FU cytotoxicity)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(Folic acid): ข้อนี้ไม่ใช่คำตอบที่ถูกต้องสำหรับภาวะ CINV &amp; Supportive Care เนื่องจากกลไกการออกฤทธิ์, efficacy หรือข้อบ่งใช้ไม่ตรงกับโจทย์ที่กำหนด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2" t="n"/>
      <c r="L69" s="2" t="inlineStr">
        <is>
          <t>CINV &amp; Supportive Care</t>
        </is>
      </c>
      <c r="M69" s="2" t="inlineStr">
        <is>
          <t>Clinic</t>
        </is>
      </c>
      <c r="N69" s="2" t="inlineStr">
        <is>
          <t>ข้อ 67 Pharma Plus เล่มม่วง (เฉลยข้อ จ)</t>
        </is>
      </c>
      <c r="O69" s="2" t="inlineStr">
        <is>
          <t>Mock</t>
        </is>
      </c>
      <c r="P69" s="2" t="inlineStr">
        <is>
          <t>Pharma Plus เล่มม่วง</t>
        </is>
      </c>
    </row>
    <row r="70" ht="13.2" customHeight="1" s="37">
      <c r="A70" s="8" t="inlineStr">
        <is>
          <t>69</t>
        </is>
      </c>
      <c r="B70" s="2" t="inlineStr">
        <is>
          <t>ข้อใดเป็นกลไกของ Anti-PD1 สำหรับรักษา NSCLC</t>
        </is>
      </c>
      <c r="C70" s="2" t="n"/>
      <c r="D70" s="2" t="inlineStr">
        <is>
          <t>จับกับ PD-L1 บน cell มะเร็ง</t>
        </is>
      </c>
      <c r="E70" s="2" t="inlineStr">
        <is>
          <t>จับกับ PD-1 บน T cell</t>
        </is>
      </c>
      <c r="F70" s="2" t="inlineStr">
        <is>
          <t>กระตุ้นให้เกิดการสร้าง antigen</t>
        </is>
      </c>
      <c r="G70" s="2" t="inlineStr">
        <is>
          <t>จับกับ CTLA-4</t>
        </is>
      </c>
      <c r="H70" s="2" t="inlineStr">
        <is>
          <t>จับกับ tyrosine kinase</t>
        </is>
      </c>
      <c r="I70" s="8" t="inlineStr">
        <is>
          <t>1</t>
        </is>
      </c>
      <c r="J70" s="2" t="inlineStr">
        <is>
          <t>✅ คำตอบที่ถูกต้อง: ข้อ ก. จับกับ PD-L1 บน cell มะเร็ง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(จับกับ PD-L1 บน cell มะเร็ง): ข้อนี้ไม่ใช่คำตอบที่ถูกต้องสำหรับภาวะ CINV &amp; Supportive Care เนื่องจากกลไกการออกฤทธิ์, efficacy หรือข้อบ่งใช้ไม่ตรงกับโจทย์ที่กำหนด
• ข้อ ค. (จับกับ PD-1 บน T cell): ข้อนี้ไม่ใช่คำตอบที่ถูกต้องสำหรับภาวะ CINV &amp; Supportive Care เนื่องจากกลไกการออกฤทธิ์, efficacy หรือข้อบ่งใช้ไม่ตรงกับโจทย์ที่กำหนด
• ข้อ ง. (กระตุ้นให้เกิดการสร้าง antigen): ข้อนี้ไม่ใช่คำตอบที่ถูกต้องสำหรับภาวะ CINV &amp; Supportive Care เนื่องจากกลไกการออกฤทธิ์, efficacy หรือข้อบ่งใช้ไม่ตรงกับโจทย์ที่กำหนด
• ข้อ จ. (จับกับ CTLA-4):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2" t="n"/>
      <c r="L70" s="2" t="inlineStr">
        <is>
          <t>CINV &amp; Supportive Care</t>
        </is>
      </c>
      <c r="M70" s="2" t="inlineStr">
        <is>
          <t>Oncologic</t>
        </is>
      </c>
      <c r="N70" s="2" t="inlineStr">
        <is>
          <t>Mock PLE-CC 1 ข้อ 76</t>
        </is>
      </c>
      <c r="O70" s="2" t="inlineStr">
        <is>
          <t>Mock</t>
        </is>
      </c>
      <c r="P70" s="2" t="inlineStr">
        <is>
          <t>Mock RxCU83</t>
        </is>
      </c>
      <c r="Q70" s="2" t="n"/>
    </row>
    <row r="71" ht="13.2" customHeight="1" s="37">
      <c r="A71" s="8" t="inlineStr">
        <is>
          <t>70</t>
        </is>
      </c>
      <c r="B71" s="2" t="inlineStr">
        <is>
          <t>ลดความเสี่ยงมะเร็งเต้านม</t>
        </is>
      </c>
      <c r="C71" s="2" t="n"/>
      <c r="D71" s="2" t="inlineStr">
        <is>
          <t>Oncologic</t>
        </is>
      </c>
      <c r="E71" s="2" t="inlineStr">
        <is>
          <t>Palonosetron 0.25 mg IV stat</t>
        </is>
      </c>
      <c r="F71" s="2" t="inlineStr">
        <is>
          <t>Ondansetron 8 mg IV stat</t>
        </is>
      </c>
      <c r="G71" s="2" t="inlineStr">
        <is>
          <t>Aprepitant 125 mg PO stat</t>
        </is>
      </c>
      <c r="H71" s="2" t="inlineStr">
        <is>
          <t>Dexamethasone 12 mg IV stat</t>
        </is>
      </c>
      <c r="I71" s="8" t="inlineStr">
        <is>
          <t>1</t>
        </is>
      </c>
      <c r="J71" s="2"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ข้อ ค. (Ondansetron 8 mg IV stat): เป็น 5-HT3 receptor antagonist เป็น first-line antiemetic สำหรับ chemotherapy-induced nausea and vomiting (CINV) และ post-operative nausea/vomiting แต่ทำให้ท้องผูก
• ข้อ ง.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1" s="2" t="n"/>
      <c r="L71" s="2" t="inlineStr">
        <is>
          <t>CINV &amp; Supportive Care</t>
        </is>
      </c>
      <c r="M71" s="2" t="inlineStr">
        <is>
          <t>Oncologic</t>
        </is>
      </c>
      <c r="N71" s="2" t="inlineStr">
        <is>
          <t>PLE-CC1 ปี 2566 Day 1 ข้อ 2</t>
        </is>
      </c>
      <c r="O71" s="2" t="inlineStr">
        <is>
          <t>ข้อสอบจริง</t>
        </is>
      </c>
      <c r="P71" s="2" t="inlineStr">
        <is>
          <t>ปี 2566</t>
        </is>
      </c>
    </row>
    <row r="72" ht="13.2" customHeight="1" s="37">
      <c r="A72" s="8" t="inlineStr">
        <is>
          <t>71</t>
        </is>
      </c>
      <c r="B72" s="2" t="inlineStr">
        <is>
          <t>Epinehrine ผู้ป่วยได้รับยาchemotherapy สูตรac ควรได้รับยาต้านอาเจียนอะไรบ้าง ตัวเลือก</t>
        </is>
      </c>
      <c r="C72" s="2" t="n"/>
      <c r="D72" s="2" t="inlineStr">
        <is>
          <t>Oncologic</t>
        </is>
      </c>
      <c r="E72" s="2" t="inlineStr">
        <is>
          <t>Dexamethasone 12 mg IV stat</t>
        </is>
      </c>
      <c r="F72" s="2" t="inlineStr">
        <is>
          <t>Filgrastim (G-CSF) 300 mcg SC OD</t>
        </is>
      </c>
      <c r="G72" s="2" t="inlineStr">
        <is>
          <t>Metoclopramide 10 mg TID</t>
        </is>
      </c>
      <c r="H72" s="2" t="inlineStr">
        <is>
          <t>Lorazepam 1 mg PO PRN</t>
        </is>
      </c>
      <c r="I72" s="8" t="inlineStr">
        <is>
          <t>1</t>
        </is>
      </c>
      <c r="J72" s="2"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2" s="2" t="n"/>
      <c r="L72" s="2" t="inlineStr">
        <is>
          <t>CINV &amp; Supportive Care</t>
        </is>
      </c>
      <c r="M72" s="2" t="inlineStr">
        <is>
          <t>Oncologic</t>
        </is>
      </c>
      <c r="N72" s="2" t="inlineStr">
        <is>
          <t>PLE-CC1 ปี 2566 Day 2 ข้อ 3</t>
        </is>
      </c>
      <c r="O72" s="2" t="inlineStr">
        <is>
          <t>ข้อสอบจริง</t>
        </is>
      </c>
      <c r="P72" s="2" t="inlineStr">
        <is>
          <t>ปี 2566</t>
        </is>
      </c>
    </row>
    <row r="73" ht="13.2" customHeight="1" s="37">
      <c r="A73" s="8" t="inlineStr">
        <is>
          <t>72</t>
        </is>
      </c>
      <c r="B73" s="2" t="inlineStr">
        <is>
          <t>Cancer…ได้รับสูตรยาที่มีDoxorubicin ประเมินอะไรก่อนให้ยา… ตัวเลือก</t>
        </is>
      </c>
      <c r="C73" s="2" t="n"/>
      <c r="D73" s="2" t="inlineStr">
        <is>
          <t>Oncologic</t>
        </is>
      </c>
      <c r="E73" s="2" t="inlineStr">
        <is>
          <t>LVEF</t>
        </is>
      </c>
      <c r="F73" s="2" t="inlineStr">
        <is>
          <t>Morphine 10 mg PO Q4H PRN</t>
        </is>
      </c>
      <c r="G73" s="2" t="inlineStr">
        <is>
          <t>Calcium folinate (Leucovorin) 50 mg IV</t>
        </is>
      </c>
      <c r="H73" s="2" t="inlineStr">
        <is>
          <t>Mesna 400 mg IV stat</t>
        </is>
      </c>
      <c r="I73" s="8" t="inlineStr">
        <is>
          <t>1</t>
        </is>
      </c>
      <c r="J73" s="2" t="inlineStr">
        <is>
          <t>✅ คำตอบที่ถูกต้อง: ข้อ ก. Oncologic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(LVEF): ข้อนี้ไม่ใช่คำตอบที่ถูกต้องสำหรับภาวะ CINV &amp; Supportive Care เนื่องจากกลไกการออกฤทธิ์, efficacy หรือข้อบ่งใช้ไม่ตรงกับโจทย์ที่กำหนด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จ. (Mesna 400 mg IV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3" s="2" t="n"/>
      <c r="L73" s="2" t="inlineStr">
        <is>
          <t>CINV &amp; Supportive Care</t>
        </is>
      </c>
      <c r="M73" s="2" t="inlineStr">
        <is>
          <t>Oncologic</t>
        </is>
      </c>
      <c r="N73" s="2" t="inlineStr">
        <is>
          <t>PLE-CC1 ปี 2566 Day 2 ข้อ 12</t>
        </is>
      </c>
      <c r="O73" s="2" t="inlineStr">
        <is>
          <t>ข้อสอบจริง</t>
        </is>
      </c>
      <c r="P73" s="2" t="inlineStr">
        <is>
          <t>ปี 2566</t>
        </is>
      </c>
    </row>
    <row r="74" ht="13.2" customHeight="1" s="37">
      <c r="A74" s="8" t="inlineStr">
        <is>
          <t>72</t>
        </is>
      </c>
      <c r="B74" s="2" t="inlineStr">
        <is>
          <t>ผู้ป่วยมะเร็งเต้านมต้องกิน tamoxifen นานเท่าใด</t>
        </is>
      </c>
      <c r="C74" s="2" t="n"/>
      <c r="D74" s="2" t="inlineStr">
        <is>
          <t>14 วัน</t>
        </is>
      </c>
      <c r="E74" s="2" t="inlineStr">
        <is>
          <t>30 วัน</t>
        </is>
      </c>
      <c r="F74" s="2" t="inlineStr">
        <is>
          <t>6 เดือน</t>
        </is>
      </c>
      <c r="G74" s="2" t="inlineStr">
        <is>
          <t>1 ปี</t>
        </is>
      </c>
      <c r="H74" s="2" t="inlineStr">
        <is>
          <t>5 ปี</t>
        </is>
      </c>
      <c r="I74" s="8" t="inlineStr">
        <is>
          <t>1</t>
        </is>
      </c>
      <c r="J74" s="2" t="inlineStr">
        <is>
          <t>✅ คำตอบที่ถูกต้อง: ข้อ ก. 14 วัน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14 วัน การเลือก 14 วัน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(30 วัน): ข้อนี้ไม่ใช่คำตอบที่ถูกต้องสำหรับภาวะ CINV &amp; Supportive Care เนื่องจากกลไกการออกฤทธิ์, efficacy หรือข้อบ่งใช้ไม่ตรงกับโจทย์ที่กำหนด
• ข้อ ค. (6 เดือน): ข้อนี้ไม่ใช่คำตอบที่ถูกต้องสำหรับภาวะ CINV &amp; Supportive Care เนื่องจากกลไกการออกฤทธิ์, efficacy หรือข้อบ่งใช้ไม่ตรงกับโจทย์ที่กำหนด
• ข้อ ง. (1 ปี): ข้อนี้ไม่ใช่คำตอบที่ถูกต้องสำหรับภาวะ CINV &amp; Supportive Care เนื่องจากกลไกการออกฤทธิ์, efficacy หรือข้อบ่งใช้ไม่ตรงกับโจทย์ที่กำหนด
• ข้อ จ. (5 ปี):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4" s="2" t="n"/>
      <c r="L74" s="2" t="inlineStr">
        <is>
          <t>CINV &amp; Supportive Care</t>
        </is>
      </c>
      <c r="M74" s="2" t="inlineStr">
        <is>
          <t>Clinic</t>
        </is>
      </c>
      <c r="N74" s="2" t="inlineStr">
        <is>
          <t>ข้อ 66 (PLE_CC1_2558_Key.md)</t>
        </is>
      </c>
      <c r="O74" s="2" t="inlineStr">
        <is>
          <t>ข้อสอบจริง</t>
        </is>
      </c>
      <c r="P74" s="2" t="inlineStr">
        <is>
          <t>ปี 2558</t>
        </is>
      </c>
    </row>
    <row r="75" ht="13.2" customHeight="1" s="37">
      <c r="A75" s="8" t="inlineStr">
        <is>
          <t>73</t>
        </is>
      </c>
      <c r="B75" s="2" t="inlineStr">
        <is>
          <t>Gene ที่จำเพาะต่อมะเร็งเต้านม</t>
        </is>
      </c>
      <c r="C75" s="2" t="n"/>
      <c r="D75" s="2" t="inlineStr">
        <is>
          <t>KRAS</t>
        </is>
      </c>
      <c r="E75" s="2" t="inlineStr">
        <is>
          <t>BRCA-2</t>
        </is>
      </c>
      <c r="F75" s="2" t="inlineStr">
        <is>
          <t>P53</t>
        </is>
      </c>
      <c r="G75" s="2" t="inlineStr">
        <is>
          <t>EGFR</t>
        </is>
      </c>
      <c r="H75" s="2" t="inlineStr">
        <is>
          <t>HER-2</t>
        </is>
      </c>
      <c r="I75" s="8" t="inlineStr">
        <is>
          <t>1</t>
        </is>
      </c>
      <c r="J75" s="2" t="inlineStr">
        <is>
          <t>✅ คำตอบที่ถูกต้อง: ข้อ ก. KRAS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KRAS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(BRCA-2): ข้อนี้ไม่ใช่คำตอบที่ถูกต้องสำหรับภาวะ CINV &amp; Supportive Care เนื่องจากกลไกการออกฤทธิ์, efficacy หรือข้อบ่งใช้ไม่ตรงกับโจทย์ที่กำหนด
• ข้อ ค. (P53): ข้อนี้ไม่ใช่คำตอบที่ถูกต้องสำหรับภาวะ CINV &amp; Supportive Care เนื่องจากกลไกการออกฤทธิ์, efficacy หรือข้อบ่งใช้ไม่ตรงกับโจทย์ที่กำหนด
• ข้อ ง. (EGFR): ข้อนี้ไม่ใช่คำตอบที่ถูกต้องสำหรับภาวะ CINV &amp; Supportive Care เนื่องจากกลไกการออกฤทธิ์, efficacy หรือข้อบ่งใช้ไม่ตรงกับโจทย์ที่กำหนด
• ข้อ จ. (HER-2):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5" s="2" t="n"/>
      <c r="L75" s="2" t="inlineStr">
        <is>
          <t>CINV &amp; Supportive Care</t>
        </is>
      </c>
      <c r="M75" s="2" t="inlineStr">
        <is>
          <t>Clinic</t>
        </is>
      </c>
      <c r="N75" s="2" t="inlineStr">
        <is>
          <t>ข้อ 79 (Pharmtutor_2024_Set2.md)</t>
        </is>
      </c>
      <c r="O75" s="2" t="inlineStr">
        <is>
          <t>Mock</t>
        </is>
      </c>
      <c r="P75" s="2" t="inlineStr">
        <is>
          <t>Mock Pharmtutor 2024</t>
        </is>
      </c>
    </row>
    <row r="76" ht="13.2" customHeight="1" s="37">
      <c r="A76" s="8" t="inlineStr">
        <is>
          <t>74</t>
        </is>
      </c>
      <c r="B76" s="2" t="inlineStr">
        <is>
          <t>Cisplatin 50 mg และ Vinblastin 6 mg</t>
        </is>
      </c>
      <c r="C76" s="2" t="n"/>
      <c r="D76" s="2" t="inlineStr">
        <is>
          <t>Dexamethasone 12 mg IV stat</t>
        </is>
      </c>
      <c r="E76" s="2" t="inlineStr">
        <is>
          <t>Filgrastim (G-CSF) 300 mcg SC OD</t>
        </is>
      </c>
      <c r="F76" s="2" t="inlineStr">
        <is>
          <t>Metoclopramide 10 mg TID</t>
        </is>
      </c>
      <c r="G76" s="2" t="inlineStr">
        <is>
          <t>Lorazepam 1 mg PO PRN</t>
        </is>
      </c>
      <c r="H76" s="2" t="inlineStr">
        <is>
          <t>Morphine 10 mg PO Q4H PRN</t>
        </is>
      </c>
      <c r="I76" s="8" t="inlineStr">
        <is>
          <t>1</t>
        </is>
      </c>
      <c r="J76" s="2" t="inlineStr">
        <is>
          <t>✅ คำตอบที่ถูกต้อง: ข้อ ก. Dexamethasone 12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6" s="2" t="n"/>
      <c r="L76" s="2" t="inlineStr">
        <is>
          <t>CINV &amp; Supportive Care</t>
        </is>
      </c>
      <c r="M76" s="2" t="inlineStr">
        <is>
          <t>Clinic</t>
        </is>
      </c>
      <c r="N76" s="2" t="inlineStr">
        <is>
          <t>ข้อ 1 (PLE_CC1_2533.md)</t>
        </is>
      </c>
      <c r="O76" s="2" t="inlineStr">
        <is>
          <t>ข้อสอบจริง</t>
        </is>
      </c>
      <c r="P76" s="2" t="inlineStr">
        <is>
          <t>ปี 2533</t>
        </is>
      </c>
    </row>
    <row r="77" ht="13.2" customHeight="1" s="37">
      <c r="A77" s="8" t="inlineStr">
        <is>
          <t>75</t>
        </is>
      </c>
      <c r="B77" s="2" t="inlineStr">
        <is>
          <t>Cisplatin 100 mg และ Vinblastin 12 mg</t>
        </is>
      </c>
      <c r="C77" s="2" t="n"/>
      <c r="D77" s="2" t="inlineStr">
        <is>
          <t>Lorazepam 1 mg PO PRN</t>
        </is>
      </c>
      <c r="E77" s="2" t="inlineStr">
        <is>
          <t>Morphine 10 mg PO Q4H PRN</t>
        </is>
      </c>
      <c r="F77" s="2" t="inlineStr">
        <is>
          <t>Calcium folinate (Leucovorin) 50 mg IV</t>
        </is>
      </c>
      <c r="G77" s="2" t="inlineStr">
        <is>
          <t>Mesna 400 mg IV stat</t>
        </is>
      </c>
      <c r="H77" s="2" t="inlineStr">
        <is>
          <t>Rasburicase 0.2 mg/kg IV</t>
        </is>
      </c>
      <c r="I77" s="8" t="inlineStr">
        <is>
          <t>1</t>
        </is>
      </c>
      <c r="J77" s="2" t="inlineStr">
        <is>
          <t>✅ คำตอบที่ถูกต้อง: ข้อ ก. Lorazepam 1 mg PO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ง. (Mesna 400 mg IV stat): ข้อนี้ไม่ใช่คำตอบที่ถูกต้องสำหรับภาวะ CINV &amp; Supportive Care เนื่องจากกลไกการออกฤทธิ์, efficacy หรือข้อบ่งใช้ไม่ตรงกับโจทย์ที่กำหนด
• ข้อ จ.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7" s="2" t="n"/>
      <c r="L77" s="2" t="inlineStr">
        <is>
          <t>CINV &amp; Supportive Care</t>
        </is>
      </c>
      <c r="M77" s="2" t="inlineStr">
        <is>
          <t>Clinic</t>
        </is>
      </c>
      <c r="N77" s="2" t="inlineStr">
        <is>
          <t>ข้อ 2 (PLE_CC1_2533.md)</t>
        </is>
      </c>
      <c r="O77" s="2" t="inlineStr">
        <is>
          <t>ข้อสอบจริง</t>
        </is>
      </c>
      <c r="P77" s="2" t="inlineStr">
        <is>
          <t>ปี 2533</t>
        </is>
      </c>
    </row>
    <row r="78" ht="13.2" customHeight="1" s="37">
      <c r="A78" s="8" t="inlineStr">
        <is>
          <t>76</t>
        </is>
      </c>
      <c r="B78" s="2" t="inlineStr">
        <is>
          <t>Cisplatin 125 mg และ Vinblastin 18 mg</t>
        </is>
      </c>
      <c r="C78" s="2" t="n"/>
      <c r="D78" s="2" t="inlineStr">
        <is>
          <t>Mesna 400 mg IV stat</t>
        </is>
      </c>
      <c r="E78" s="2" t="inlineStr">
        <is>
          <t>Rasburicase 0.2 mg/kg IV</t>
        </is>
      </c>
      <c r="F78" s="2" t="inlineStr">
        <is>
          <t>Palonosetron 0.25 mg IV stat</t>
        </is>
      </c>
      <c r="G78" s="2" t="inlineStr">
        <is>
          <t>Ondansetron 8 mg IV stat</t>
        </is>
      </c>
      <c r="H78" s="2" t="inlineStr">
        <is>
          <t>Aprepitant 125 mg PO stat</t>
        </is>
      </c>
      <c r="I78" s="8" t="inlineStr">
        <is>
          <t>1</t>
        </is>
      </c>
      <c r="J78" s="2" t="inlineStr">
        <is>
          <t>✅ คำตอบที่ถูกต้อง: ข้อ ก. Mesna 400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ข้อ ค.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ข้อ ง. (Ondansetron 8 mg IV stat): เป็น 5-HT3 receptor antagonist เป็น first-line antiemetic สำหรับ chemotherapy-induced nausea and vomiting (CINV) และ post-operative nausea/vomiting แต่ทำให้ท้องผูก
• ข้อ จ.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8" s="2" t="n"/>
      <c r="L78" s="2" t="inlineStr">
        <is>
          <t>CINV &amp; Supportive Care</t>
        </is>
      </c>
      <c r="M78" s="2" t="inlineStr">
        <is>
          <t>Clinic</t>
        </is>
      </c>
      <c r="N78" s="2" t="inlineStr">
        <is>
          <t>ข้อ 3 (PLE_CC1_2533.md)</t>
        </is>
      </c>
      <c r="O78" s="2" t="inlineStr">
        <is>
          <t>ข้อสอบจริง</t>
        </is>
      </c>
      <c r="P78" s="2" t="inlineStr">
        <is>
          <t>ปี 2533</t>
        </is>
      </c>
    </row>
    <row r="79" ht="13.2" customHeight="1" s="37">
      <c r="A79" s="8" t="inlineStr">
        <is>
          <t>77</t>
        </is>
      </c>
      <c r="B79" s="2" t="inlineStr">
        <is>
          <t>Cisplatin 150 mg และ Vinblastin 24 mg</t>
        </is>
      </c>
      <c r="C79" s="2" t="n"/>
      <c r="D79" s="2" t="inlineStr">
        <is>
          <t>Ondansetron 8 mg IV stat</t>
        </is>
      </c>
      <c r="E79" s="2" t="inlineStr">
        <is>
          <t>Aprepitant 125 mg PO stat</t>
        </is>
      </c>
      <c r="F79" s="2" t="inlineStr">
        <is>
          <t>Dexamethasone 12 mg IV stat</t>
        </is>
      </c>
      <c r="G79" s="2" t="inlineStr">
        <is>
          <t>Filgrastim (G-CSF) 300 mcg SC OD</t>
        </is>
      </c>
      <c r="H79" s="2" t="inlineStr">
        <is>
          <t>Metoclopramide 10 mg TID</t>
        </is>
      </c>
      <c r="I79" s="8" t="inlineStr">
        <is>
          <t>1</t>
        </is>
      </c>
      <c r="J79" s="2" t="inlineStr">
        <is>
          <t>✅ คำตอบที่ถูกต้อง: ข้อ ก. Ondansetron 8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9" s="2" t="n"/>
      <c r="L79" s="2" t="inlineStr">
        <is>
          <t>CINV &amp; Supportive Care</t>
        </is>
      </c>
      <c r="M79" s="2" t="inlineStr">
        <is>
          <t>Clinic</t>
        </is>
      </c>
      <c r="N79" s="2" t="inlineStr">
        <is>
          <t>ข้อ 4 (PLE_CC1_2533.md)</t>
        </is>
      </c>
      <c r="O79" s="2" t="inlineStr">
        <is>
          <t>ข้อสอบจริง</t>
        </is>
      </c>
      <c r="P79" s="2" t="inlineStr">
        <is>
          <t>ปี 2533</t>
        </is>
      </c>
    </row>
    <row r="80" ht="13.2" customHeight="1" s="37">
      <c r="A80" s="8" t="inlineStr">
        <is>
          <t>78</t>
        </is>
      </c>
      <c r="B80" s="2" t="inlineStr">
        <is>
          <t>Cisplatin 175 mg และ Vinblastin 48 mg</t>
        </is>
      </c>
      <c r="C80" s="2" t="n"/>
      <c r="D80" s="2" t="inlineStr">
        <is>
          <t>Filgrastim (G-CSF) 300 mcg SC OD</t>
        </is>
      </c>
      <c r="E80" s="2" t="inlineStr">
        <is>
          <t>Metoclopramide 10 mg TID</t>
        </is>
      </c>
      <c r="F80" s="2" t="inlineStr">
        <is>
          <t>Lorazepam 1 mg PO PRN</t>
        </is>
      </c>
      <c r="G80" s="2" t="inlineStr">
        <is>
          <t>Morphine 10 mg PO Q4H PRN</t>
        </is>
      </c>
      <c r="H80" s="2" t="inlineStr">
        <is>
          <t>Calcium folinate (Leucovorin) 50 mg IV</t>
        </is>
      </c>
      <c r="I80" s="8" t="inlineStr">
        <is>
          <t>1</t>
        </is>
      </c>
      <c r="J80" s="2" t="inlineStr">
        <is>
          <t>✅ คำตอบที่ถูกต้อง: ข้อ ก. Filgrastim (G-CSF) 300 mcg SC OD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0" s="2" t="n"/>
      <c r="L80" s="2" t="inlineStr">
        <is>
          <t>CINV &amp; Supportive Care</t>
        </is>
      </c>
      <c r="M80" s="2" t="inlineStr">
        <is>
          <t>Clinic</t>
        </is>
      </c>
      <c r="N80" s="2" t="inlineStr">
        <is>
          <t>ข้อ 5 (PLE_CC1_2533.md)</t>
        </is>
      </c>
      <c r="O80" s="2" t="inlineStr">
        <is>
          <t>ข้อสอบจริง</t>
        </is>
      </c>
      <c r="P80" s="2" t="inlineStr">
        <is>
          <t>ปี 2533</t>
        </is>
      </c>
    </row>
    <row r="81" ht="13.2" customHeight="1" s="37">
      <c r="A81" s="8" t="inlineStr">
        <is>
          <t>79</t>
        </is>
      </c>
      <c r="B81" s="2" t="inlineStr">
        <is>
          <t>อาการอาเจียนที่เกิดขึ้นจาก Cisplatin ป้องกันได้ด้วยวิธีใด</t>
        </is>
      </c>
      <c r="C81" s="2" t="n"/>
      <c r="D81" s="2" t="inlineStr">
        <is>
          <t>Morphine 10 mg PO Q4H PRN</t>
        </is>
      </c>
      <c r="E81" s="2" t="inlineStr">
        <is>
          <t>Calcium folinate (Leucovorin) 50 mg IV</t>
        </is>
      </c>
      <c r="F81" s="2" t="inlineStr">
        <is>
          <t>Mesna 400 mg IV stat</t>
        </is>
      </c>
      <c r="G81" s="2" t="inlineStr">
        <is>
          <t>Rasburicase 0.2 mg/kg IV</t>
        </is>
      </c>
      <c r="H81" s="2" t="inlineStr">
        <is>
          <t>Palonosetron 0.25 mg IV stat</t>
        </is>
      </c>
      <c r="I81" s="8" t="inlineStr">
        <is>
          <t>1</t>
        </is>
      </c>
      <c r="J81" s="2" t="inlineStr">
        <is>
          <t>✅ คำตอบที่ถูกต้อง: ข้อ ก. Morphine 10 mg PO Q4H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Morphine 10 mg PO Q4H PRN การเลือก Morphine 10 mg PO Q4H PRN เป็นคำตอบที่ถูกต้องตามแนวทางการรักษามาตรฐาน เนื่องจาก เป็น pure opioid agonist สำหรับ severe pain มี active metabolite M6G (analgesic) และ M3G (neurotoxic) ที่ขับออกทางไต จึงต้องลดขนาดยาใน CKD
🔍 ข้ออื่นผิดเพราะอะไร:
• ข้อ ข.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ค. (Mesna 400 mg IV stat): ข้อนี้ไม่ใช่คำตอบที่ถูกต้องสำหรับภาวะ CINV &amp; Supportive Care เนื่องจากกลไกการออกฤทธิ์, efficacy หรือข้อบ่งใช้ไม่ตรงกับโจทย์ที่กำหนด
• ข้อ ง.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ข้อ จ.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1" s="2" t="n"/>
      <c r="L81" s="2" t="inlineStr">
        <is>
          <t>CINV &amp; Supportive Care</t>
        </is>
      </c>
      <c r="M81" s="2" t="inlineStr">
        <is>
          <t>Clinic</t>
        </is>
      </c>
      <c r="N81" s="2" t="inlineStr">
        <is>
          <t>ข้อ 4 (PLE_CC1_2533.md)</t>
        </is>
      </c>
      <c r="O81" s="2" t="inlineStr">
        <is>
          <t>ข้อสอบจริง</t>
        </is>
      </c>
      <c r="P81" s="2" t="inlineStr">
        <is>
          <t>ปี 2533</t>
        </is>
      </c>
    </row>
    <row r="82" ht="13.2" customHeight="1" s="37">
      <c r="A82" s="8" t="inlineStr">
        <is>
          <t>80</t>
        </is>
      </c>
      <c r="B82" s="2" t="inlineStr">
        <is>
          <t>ควรฉีด Cisplatin แบบ IV push</t>
        </is>
      </c>
      <c r="C82" s="2" t="n"/>
      <c r="D82" s="2" t="inlineStr">
        <is>
          <t>Rasburicase 0.2 mg/kg IV</t>
        </is>
      </c>
      <c r="E82" s="2" t="inlineStr">
        <is>
          <t>Palonosetron 0.25 mg IV stat</t>
        </is>
      </c>
      <c r="F82" s="2" t="inlineStr">
        <is>
          <t>Ondansetron 8 mg IV stat</t>
        </is>
      </c>
      <c r="G82" s="2" t="inlineStr">
        <is>
          <t>Aprepitant 125 mg PO stat</t>
        </is>
      </c>
      <c r="H82" s="2" t="inlineStr">
        <is>
          <t>Dexamethasone 12 mg IV stat</t>
        </is>
      </c>
      <c r="I82" s="8" t="inlineStr">
        <is>
          <t>1</t>
        </is>
      </c>
      <c r="J82" s="2" t="inlineStr">
        <is>
          <t>✅ คำตอบที่ถูกต้อง: ข้อ ก. Rasburicase 0.2 mg/kg IV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ข้อ ค. (Ondansetron 8 mg IV stat): เป็น 5-HT3 receptor antagonist เป็น first-line antiemetic สำหรับ chemotherapy-induced nausea and vomiting (CINV) และ post-operative nausea/vomiting แต่ทำให้ท้องผูก
• ข้อ ง.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2" s="2" t="n"/>
      <c r="L82" s="2" t="inlineStr">
        <is>
          <t>CINV &amp; Supportive Care</t>
        </is>
      </c>
      <c r="M82" s="2" t="inlineStr">
        <is>
          <t>Clinic</t>
        </is>
      </c>
      <c r="N82" s="2" t="inlineStr">
        <is>
          <t>ข้อ 2 (PLE_CC1_2533.md)</t>
        </is>
      </c>
      <c r="O82" s="2" t="inlineStr">
        <is>
          <t>ข้อสอบจริง</t>
        </is>
      </c>
      <c r="P82" s="2" t="inlineStr">
        <is>
          <t>ปี 2533</t>
        </is>
      </c>
    </row>
    <row r="83" ht="13.2" customHeight="1" s="37">
      <c r="A83" s="8" t="inlineStr">
        <is>
          <t>81</t>
        </is>
      </c>
      <c r="B83" s="2" t="inlineStr">
        <is>
          <t>ให้ NSS ก่อนให้ Cisplatin</t>
        </is>
      </c>
      <c r="C83" s="2" t="n"/>
      <c r="D83" s="2" t="inlineStr">
        <is>
          <t>Aprepitant 125 mg PO stat</t>
        </is>
      </c>
      <c r="E83" s="2" t="inlineStr">
        <is>
          <t>Dexamethasone 12 mg IV stat</t>
        </is>
      </c>
      <c r="F83" s="2" t="inlineStr">
        <is>
          <t>Filgrastim (G-CSF) 300 mcg SC OD</t>
        </is>
      </c>
      <c r="G83" s="2" t="inlineStr">
        <is>
          <t>Metoclopramide 10 mg TID</t>
        </is>
      </c>
      <c r="H83" s="2" t="inlineStr">
        <is>
          <t>Lorazepam 1 mg PO PRN</t>
        </is>
      </c>
      <c r="I83" s="8" t="inlineStr">
        <is>
          <t>1</t>
        </is>
      </c>
      <c r="J83" s="2" t="inlineStr">
        <is>
          <t>✅ คำตอบที่ถูกต้อง: ข้อ ก. Aprepitant 125 mg PO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Aprepitant 125 mg PO stat การเลือก Aprepitant 125 mg PO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3" s="2" t="n"/>
      <c r="L83" s="2" t="inlineStr">
        <is>
          <t>CINV &amp; Supportive Care</t>
        </is>
      </c>
      <c r="M83" s="2" t="inlineStr">
        <is>
          <t>Clinic</t>
        </is>
      </c>
      <c r="N83" s="2" t="inlineStr">
        <is>
          <t>ข้อ 4 (PLE_CC1_2533.md)</t>
        </is>
      </c>
      <c r="O83" s="2" t="inlineStr">
        <is>
          <t>ข้อสอบจริง</t>
        </is>
      </c>
      <c r="P83" s="2" t="inlineStr">
        <is>
          <t>ปี 2533</t>
        </is>
      </c>
    </row>
    <row r="84" ht="13.2" customHeight="1" s="37">
      <c r="A84" s="8" t="inlineStr">
        <is>
          <t>82</t>
        </is>
      </c>
      <c r="B84" s="2" t="inlineStr">
        <is>
          <t>ให้ D5W ก่อนให้ Cisplatin หลังจากนั้นแพทย์ได้ทำการเปลี่ยนยา Vinblastine เป็น Gemcitabine</t>
        </is>
      </c>
      <c r="C84" s="2" t="n"/>
      <c r="D84" s="2" t="inlineStr">
        <is>
          <t>Metoclopramide 10 mg TID</t>
        </is>
      </c>
      <c r="E84" s="2" t="inlineStr">
        <is>
          <t>Lorazepam 1 mg PO PRN</t>
        </is>
      </c>
      <c r="F84" s="2" t="inlineStr">
        <is>
          <t>Morphine 10 mg PO Q4H PRN</t>
        </is>
      </c>
      <c r="G84" s="2" t="inlineStr">
        <is>
          <t>Calcium folinate (Leucovorin) 50 mg IV</t>
        </is>
      </c>
      <c r="H84" s="2" t="inlineStr">
        <is>
          <t>Mesna 400 mg IV stat</t>
        </is>
      </c>
      <c r="I84" s="8" t="inlineStr">
        <is>
          <t>1</t>
        </is>
      </c>
      <c r="J84" s="2" t="inlineStr">
        <is>
          <t>✅ คำตอบที่ถูกต้อง: ข้อ ก. Metoclopramide 10 mg TID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Metoclopramide 10 mg TID การเลือก Metoclopramide 10 mg TID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จ. (Mesna 400 mg IV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4" s="2" t="n"/>
      <c r="L84" s="2" t="inlineStr">
        <is>
          <t>CINV &amp; Supportive Care</t>
        </is>
      </c>
      <c r="M84" s="2" t="inlineStr">
        <is>
          <t>Clinic</t>
        </is>
      </c>
      <c r="N84" s="2" t="inlineStr">
        <is>
          <t>ข้อ 5 (PLE_CC1_2533.md)</t>
        </is>
      </c>
      <c r="O84" s="2" t="inlineStr">
        <is>
          <t>ข้อสอบจริง</t>
        </is>
      </c>
      <c r="P84" s="2" t="inlineStr">
        <is>
          <t>ปี 2533</t>
        </is>
      </c>
    </row>
    <row r="85" ht="13.2" customHeight="1" s="37">
      <c r="A85" s="8" t="inlineStr">
        <is>
          <t>83</t>
        </is>
      </c>
      <c r="B85" s="2" t="inlineStr">
        <is>
          <t>ผู้ป่วยที่ได้รับยา Methotrexate ควรได้รับการติดตามค่าใดต่อไปนี้</t>
        </is>
      </c>
      <c r="C85" s="2" t="n"/>
      <c r="D85" s="2" t="inlineStr">
        <is>
          <t>complete blood count, AST, ALT, albumin</t>
        </is>
      </c>
      <c r="E85" s="2" t="inlineStr">
        <is>
          <t>complete blood count, creatinine, glucose</t>
        </is>
      </c>
      <c r="F85" s="2" t="inlineStr">
        <is>
          <t>complete blood count, urinalysis</t>
        </is>
      </c>
      <c r="G85" s="2" t="inlineStr">
        <is>
          <t>ตรวจความดันโลหิตทุก6เดือน</t>
        </is>
      </c>
      <c r="H85" s="2" t="inlineStr">
        <is>
          <t>ตรวจตาทุก 6 เดือน</t>
        </is>
      </c>
      <c r="I85" s="8" t="inlineStr">
        <is>
          <t>1</t>
        </is>
      </c>
      <c r="J85" s="2" t="inlineStr">
        <is>
          <t>✅ คำตอบที่ถูกต้อง: ข้อ ก. complete blood count, AST, ALT, albumin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complete blood count, AST, ALT, albumin การเลือก complete blood count, AST, ALT, albumin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(complete blood count, creatinine, glucose): ข้อนี้ไม่ใช่คำตอบที่ถูกต้องสำหรับภาวะ CINV &amp; Supportive Care เนื่องจากกลไกการออกฤทธิ์, efficacy หรือข้อบ่งใช้ไม่ตรงกับโจทย์ที่กำหนด
• ข้อ ค. (complete blood count, urinalysis): ข้อนี้ไม่ใช่คำตอบที่ถูกต้องสำหรับภาวะ CINV &amp; Supportive Care เนื่องจากกลไกการออกฤทธิ์, efficacy หรือข้อบ่งใช้ไม่ตรงกับโจทย์ที่กำหนด
• ข้อ ง. (ตรวจความดันโลหิตทุก6เดือน): ข้อนี้ไม่ใช่คำตอบที่ถูกต้องสำหรับภาวะ CINV &amp; Supportive Care เนื่องจากกลไกการออกฤทธิ์, efficacy หรือข้อบ่งใช้ไม่ตรงกับโจทย์ที่กำหนด
• ข้อ จ. (ตรวจตาทุก 6 เดือน):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85" s="2" t="n"/>
      <c r="L85" s="2" t="inlineStr">
        <is>
          <t>CINV &amp; Supportive Care</t>
        </is>
      </c>
      <c r="M85" s="2" t="inlineStr">
        <is>
          <t>Clinic</t>
        </is>
      </c>
      <c r="N85" s="2" t="inlineStr">
        <is>
          <t>ข้อ 34 (PLE_CC1_Practice_Exam.md)</t>
        </is>
      </c>
      <c r="O85" s="2" t="inlineStr">
        <is>
          <t>Mock</t>
        </is>
      </c>
      <c r="P85" s="2" t="inlineStr">
        <is>
          <t>Mock สภาเภสัชฯ Practice</t>
        </is>
      </c>
    </row>
    <row r="86" ht="13.2" customHeight="1" s="37">
      <c r="A86" s="8" t="inlineStr">
        <is>
          <t>84</t>
        </is>
      </c>
      <c r="B86" s="2" t="inlineStr">
        <is>
          <t>แนะนำให้ผู้ป่วยใช้ยาดังกล่าวได้อย่างปลอดภัยเพราะเป็นเพียงยาใช้ภายนอก ไม่น่าจะเกิดอันตรายอะไร Case 12 Cancer: ผู้ป่วย Non-small-cell lung carcinoma สูบบุหรี่ ดื่มสุรา หนัก 45 กิโลกรัม สูง 160 เซนติเมตร ได้ยา Cisplatin/Paclitaxel</t>
        </is>
      </c>
      <c r="C86" s="2" t="n"/>
      <c r="D86" s="2" t="inlineStr">
        <is>
          <t>Palonosetron 0.25 mg IV stat</t>
        </is>
      </c>
      <c r="E86" s="2" t="inlineStr">
        <is>
          <t>Ondansetron 8 mg IV stat</t>
        </is>
      </c>
      <c r="F86" s="2" t="inlineStr">
        <is>
          <t>Aprepitant 125 mg PO stat</t>
        </is>
      </c>
      <c r="G86" s="2" t="inlineStr">
        <is>
          <t>Dexamethasone 12 mg IV stat</t>
        </is>
      </c>
      <c r="H86" s="2" t="inlineStr">
        <is>
          <t>Filgrastim (G-CSF) 300 mcg SC OD</t>
        </is>
      </c>
      <c r="I86" s="8" t="inlineStr">
        <is>
          <t>1</t>
        </is>
      </c>
      <c r="J86" s="2" t="inlineStr">
        <is>
          <t>✅ คำตอบที่ถูกต้อง: ข้อ ก. Palonosetron 0.25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Palonosetron 0.25 mg IV stat การเลือก Palonosetron 0.25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(Ondansetron 8 mg IV stat): เป็น 5-HT3 receptor antagonist เป็น first-line antiemetic สำหรับ chemotherapy-induced nausea and vomiting (CINV) และ post-operative nausea/vomiting แต่ทำให้ท้องผูก
• ข้อ ค.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ข้อ ง. (Dexamethasone 12 mg IV stat): เป็น long-acting potent glucocorticoid ไม่มี mineralocorticoid effect จึงไม่ทำให้น้ำคั่ง เหมาะสำหรับ brain edema, antiemetic, และ COVID-19 with hypoxemia
• ข้อ จ.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6" s="2" t="n"/>
      <c r="L86" s="2" t="inlineStr">
        <is>
          <t>CINV &amp; Supportive Care</t>
        </is>
      </c>
      <c r="M86" s="2" t="inlineStr">
        <is>
          <t>Clinic</t>
        </is>
      </c>
      <c r="N86" s="2" t="inlineStr">
        <is>
          <t>ข้อ 5 (PLE_CC1_Key_Rx20_UBU.md)</t>
        </is>
      </c>
      <c r="O86" s="2" t="inlineStr">
        <is>
          <t>Mock</t>
        </is>
      </c>
      <c r="P86" s="2" t="inlineStr">
        <is>
          <t>Mock Rx20 UBU</t>
        </is>
      </c>
    </row>
    <row r="87" ht="13.2" customHeight="1" s="37">
      <c r="A87" s="8" t="inlineStr">
        <is>
          <t>85</t>
        </is>
      </c>
      <c r="B87" s="2" t="inlineStr">
        <is>
          <t>Cisplatin inhibits DNA synthesis by the formation of DNA cross-links; denatures the double helix; covalently binds to DNA bases and disrupts DNA function;</t>
        </is>
      </c>
      <c r="C87" s="2" t="n"/>
      <c r="D87" s="2" t="inlineStr">
        <is>
          <t>Dexamethasone 12 mg IV stat</t>
        </is>
      </c>
      <c r="E87" s="2" t="inlineStr">
        <is>
          <t>Filgrastim (G-CSF) 300 mcg SC OD</t>
        </is>
      </c>
      <c r="F87" s="2" t="inlineStr">
        <is>
          <t>Metoclopramide 10 mg TID</t>
        </is>
      </c>
      <c r="G87" s="2" t="inlineStr">
        <is>
          <t>Lorazepam 1 mg PO PRN</t>
        </is>
      </c>
      <c r="H87" s="2" t="inlineStr">
        <is>
          <t>Morphine 10 mg PO Q4H PRN</t>
        </is>
      </c>
      <c r="I87" s="8" t="inlineStr">
        <is>
          <t>1</t>
        </is>
      </c>
      <c r="J87" s="2" t="inlineStr">
        <is>
          <t>✅ คำตอบที่ถูกต้อง: ข้อ ก. Dexamethasone 12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7" s="2" t="n"/>
      <c r="L87" s="2" t="inlineStr">
        <is>
          <t>CINV &amp; Supportive Care</t>
        </is>
      </c>
      <c r="M87" s="2" t="inlineStr">
        <is>
          <t>Clinic</t>
        </is>
      </c>
      <c r="N87" s="2" t="inlineStr">
        <is>
          <t>ข้อ 5 (PLE_CC1_Key_Rx20_UBU.md)</t>
        </is>
      </c>
      <c r="O87" s="2" t="inlineStr">
        <is>
          <t>Mock</t>
        </is>
      </c>
      <c r="P87" s="2" t="inlineStr">
        <is>
          <t>Mock Rx20 UBU</t>
        </is>
      </c>
    </row>
    <row r="88" ht="13.2" customHeight="1" s="37">
      <c r="A88" s="8" t="inlineStr">
        <is>
          <t>86</t>
        </is>
      </c>
      <c r="B88" s="2" t="inlineStr">
        <is>
          <t>Cisplatin จะจับกับ Nitrogen ในสำยเบสที่ตำแหน่งใด</t>
        </is>
      </c>
      <c r="C88" s="2" t="n"/>
      <c r="D88" s="2" t="inlineStr">
        <is>
          <t>Lorazepam 1 mg PO PRN</t>
        </is>
      </c>
      <c r="E88" s="2" t="inlineStr">
        <is>
          <t>Morphine 10 mg PO Q4H PRN</t>
        </is>
      </c>
      <c r="F88" s="2" t="inlineStr">
        <is>
          <t>Calcium folinate (Leucovorin) 50 mg IV</t>
        </is>
      </c>
      <c r="G88" s="2" t="inlineStr">
        <is>
          <t>Mesna 400 mg IV stat</t>
        </is>
      </c>
      <c r="H88" s="2" t="inlineStr">
        <is>
          <t>Rasburicase 0.2 mg/kg IV</t>
        </is>
      </c>
      <c r="I88" s="8" t="inlineStr">
        <is>
          <t>1</t>
        </is>
      </c>
      <c r="J88" s="2" t="inlineStr">
        <is>
          <t>✅ คำตอบที่ถูกต้อง: ข้อ ก. Lorazepam 1 mg PO PRN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ง. (Mesna 400 mg IV stat): ข้อนี้ไม่ใช่คำตอบที่ถูกต้องสำหรับภาวะ CINV &amp; Supportive Care เนื่องจากกลไกการออกฤทธิ์, efficacy หรือข้อบ่งใช้ไม่ตรงกับโจทย์ที่กำหนด
• ข้อ จ.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8" s="2" t="n"/>
      <c r="L88" s="2" t="inlineStr">
        <is>
          <t>CINV &amp; Supportive Care</t>
        </is>
      </c>
      <c r="M88" s="2" t="inlineStr">
        <is>
          <t>Clinic</t>
        </is>
      </c>
      <c r="N88" s="2" t="inlineStr">
        <is>
          <t>ข้อ 104 (PLE_CC1_Key_Rx20_UBU.md)</t>
        </is>
      </c>
      <c r="O88" s="2" t="inlineStr">
        <is>
          <t>Mock</t>
        </is>
      </c>
      <c r="P88" s="2" t="inlineStr">
        <is>
          <t>Mock Rx20 UBU</t>
        </is>
      </c>
    </row>
    <row r="89" ht="13.2" customHeight="1" s="37">
      <c r="A89" s="8" t="inlineStr">
        <is>
          <t>87</t>
        </is>
      </c>
      <c r="B89" s="2" t="inlineStr">
        <is>
          <t>Doxorubicin ออกฤทธิ์โดยทำลาย DNA ของเชื้อ</t>
        </is>
      </c>
      <c r="C89" s="2" t="n"/>
      <c r="D89" s="2" t="inlineStr">
        <is>
          <t>Mesna 400 mg IV stat</t>
        </is>
      </c>
      <c r="E89" s="2" t="inlineStr">
        <is>
          <t>Rasburicase 0.2 mg/kg IV</t>
        </is>
      </c>
      <c r="F89" s="2" t="inlineStr">
        <is>
          <t>Palonosetron 0.25 mg IV stat</t>
        </is>
      </c>
      <c r="G89" s="2" t="inlineStr">
        <is>
          <t>Ondansetron 8 mg IV stat</t>
        </is>
      </c>
      <c r="H89" s="2" t="inlineStr">
        <is>
          <t>Aprepitant 125 mg PO stat</t>
        </is>
      </c>
      <c r="I89" s="8" t="inlineStr">
        <is>
          <t>1</t>
        </is>
      </c>
      <c r="J89" s="2" t="inlineStr">
        <is>
          <t>✅ คำตอบที่ถูกต้อง: ข้อ ก. Mesna 400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ข้อนี้ไม่ใช่คำตอบที่ถูกต้องสำหรับภาวะ CINV &amp; Supportive Care เนื่องจากกลไกการออกฤทธิ์, efficacy หรือข้อบ่งใช้ไม่ตรงกับโจทย์ที่กำหนด
• ข้อ ค.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ข้อ ง. (Ondansetron 8 mg IV stat): เป็น 5-HT3 receptor antagonist เป็น first-line antiemetic สำหรับ chemotherapy-induced nausea and vomiting (CINV) และ post-operative nausea/vomiting แต่ทำให้ท้องผูก
• ข้อ จ.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9" s="2" t="n"/>
      <c r="L89" s="2" t="inlineStr">
        <is>
          <t>CINV &amp; Supportive Care</t>
        </is>
      </c>
      <c r="M89" s="2" t="inlineStr">
        <is>
          <t>Clinic</t>
        </is>
      </c>
      <c r="N89" s="2" t="inlineStr">
        <is>
          <t>ข้อ 1 (PLE_CC1_Key_Rx20_UBU.md)</t>
        </is>
      </c>
      <c r="O89" s="2" t="inlineStr">
        <is>
          <t>Mock</t>
        </is>
      </c>
      <c r="P89" s="2" t="inlineStr">
        <is>
          <t>Mock Rx20 UBU</t>
        </is>
      </c>
    </row>
    <row r="90" ht="13.2" customHeight="1" s="37">
      <c r="A90" s="8" t="inlineStr">
        <is>
          <t>88</t>
        </is>
      </c>
      <c r="B90" s="2" t="inlineStr">
        <is>
          <t>Doxorubicin ออกฤทธิ์เป็น intercalating ต่อสาย DNA</t>
        </is>
      </c>
      <c r="C90" s="2" t="n"/>
      <c r="D90" s="2" t="inlineStr">
        <is>
          <t>Ondansetron 8 mg IV stat</t>
        </is>
      </c>
      <c r="E90" s="2" t="inlineStr">
        <is>
          <t>Aprepitant 125 mg PO stat</t>
        </is>
      </c>
      <c r="F90" s="2" t="inlineStr">
        <is>
          <t>Dexamethasone 12 mg IV stat</t>
        </is>
      </c>
      <c r="G90" s="2" t="inlineStr">
        <is>
          <t>Filgrastim (G-CSF) 300 mcg SC OD</t>
        </is>
      </c>
      <c r="H90" s="2" t="inlineStr">
        <is>
          <t>Metoclopramide 10 mg TID</t>
        </is>
      </c>
      <c r="I90" s="8" t="inlineStr">
        <is>
          <t>1</t>
        </is>
      </c>
      <c r="J90" s="2" t="inlineStr">
        <is>
          <t>✅ คำตอบที่ถูกต้อง: ข้อ ก. Ondansetron 8 mg IV stat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ข้อนี้ไม่ใช่คำตอบที่ถูกต้องสำหรับภาวะ CINV &amp; Supportive Care เนื่องจากกลไกการออกฤทธิ์, efficacy หรือข้อบ่งใช้ไม่ตรงกับโจทย์ที่กำหนด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ข้อนี้ไม่ใช่คำตอบที่ถูกต้องสำหรับภาวะ CINV &amp; Supportive Care เนื่องจากกลไกการออกฤทธิ์, efficacy หรือข้อบ่งใช้ไม่ตรงกับโจทย์ที่กำหนด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90" s="2" t="n"/>
      <c r="L90" s="2" t="inlineStr">
        <is>
          <t>CINV &amp; Supportive Care</t>
        </is>
      </c>
      <c r="M90" s="2" t="inlineStr">
        <is>
          <t>Clinic</t>
        </is>
      </c>
      <c r="N90" s="2" t="inlineStr">
        <is>
          <t>ข้อ 4 (PLE_CC1_Key_Rx20_UBU.md)</t>
        </is>
      </c>
      <c r="O90" s="2" t="inlineStr">
        <is>
          <t>Mock</t>
        </is>
      </c>
      <c r="P90" s="2" t="inlineStr">
        <is>
          <t>Mock Rx20 UBU</t>
        </is>
      </c>
    </row>
    <row r="91" ht="13.2" customHeight="1" s="37">
      <c r="A91" s="8" t="inlineStr">
        <is>
          <t>89</t>
        </is>
      </c>
      <c r="B91" s="2" t="inlineStr">
        <is>
          <t>ยามะเร็งเตรียมในห้องที่มีแรงดันเป็นแบบ positive pressure</t>
        </is>
      </c>
      <c r="C91" s="2" t="n"/>
      <c r="D91" s="2" t="inlineStr">
        <is>
          <t>Filgrastim (G-CSF) 300 mcg SC OD</t>
        </is>
      </c>
      <c r="E91" s="2" t="inlineStr">
        <is>
          <t>Metoclopramide 10 mg TID</t>
        </is>
      </c>
      <c r="F91" s="2" t="inlineStr">
        <is>
          <t>Lorazepam 1 mg PO PRN</t>
        </is>
      </c>
      <c r="G91" s="2" t="inlineStr">
        <is>
          <t>Morphine 10 mg PO Q4H PRN</t>
        </is>
      </c>
      <c r="H91" s="2" t="inlineStr">
        <is>
          <t>Calcium folinate (Leucovorin) 50 mg IV</t>
        </is>
      </c>
      <c r="I91" s="8" t="inlineStr">
        <is>
          <t>1</t>
        </is>
      </c>
      <c r="J91" s="2" t="inlineStr">
        <is>
          <t>✅ คำตอบที่ถูกต้อง: ข้อ ก. Filgrastim (G-CSF) 300 mcg SC OD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91" s="2" t="n"/>
      <c r="L91" s="2" t="inlineStr">
        <is>
          <t>CINV &amp; Supportive Care</t>
        </is>
      </c>
      <c r="M91" s="2" t="inlineStr">
        <is>
          <t>Clinic</t>
        </is>
      </c>
      <c r="N91" s="2" t="inlineStr">
        <is>
          <t>ข้อ 1 (PLE_CC1_Key_Rx20_UBU.md)</t>
        </is>
      </c>
      <c r="O91" s="2" t="inlineStr">
        <is>
          <t>Mock</t>
        </is>
      </c>
      <c r="P91" s="2" t="inlineStr">
        <is>
          <t>Mock Rx20 UBU</t>
        </is>
      </c>
    </row>
    <row r="92" ht="13.2" customHeight="1" s="37">
      <c r="A92" s="8" t="inlineStr">
        <is>
          <t>90</t>
        </is>
      </c>
      <c r="B92" s="2" t="inlineStr">
        <is>
          <t>เพราะ ยามะเร็งเตรียมในห้องที่มีแรงดันเป็นแบบneagatiive pressure</t>
        </is>
      </c>
      <c r="C92" s="2" t="n"/>
      <c r="D92" s="2" t="inlineStr">
        <is>
          <t>Morphine 10 mg PO Q4H PRN</t>
        </is>
      </c>
      <c r="E92" s="2" t="inlineStr">
        <is>
          <t>Calcium folinate (Leucovorin) 50 mg IV</t>
        </is>
      </c>
      <c r="F92" s="2" t="inlineStr">
        <is>
          <t>Mesna 400 mg IV stat</t>
        </is>
      </c>
      <c r="G92" s="2" t="inlineStr">
        <is>
          <t>Rasburicase 0.2 mg/kg IV</t>
        </is>
      </c>
      <c r="H92" s="2" t="inlineStr">
        <is>
          <t>Palonosetron 0.25 mg IV stat</t>
        </is>
      </c>
      <c r="I92" s="8" t="inlineStr">
        <is>
          <t>4</t>
        </is>
      </c>
      <c r="J92" s="2" t="inlineStr">
        <is>
          <t>✅ คำตอบที่ถูกต้อง: ข้อ ง. Rasburicase 0.2 mg/kg IV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(Morphine 10 mg PO Q4H PRN): เป็น pure opioid agonist สำหรับ severe pain มี active metabolite M6G (analgesic) และ M3G (neurotoxic) ที่ขับออกทางไต จึงต้องลดขนาดยาใน CKD
• ข้อ ข. (Calcium folinate (Leucovorin) 50 mg IV): ข้อนี้ไม่ใช่คำตอบที่ถูกต้องสำหรับภาวะ CINV &amp; Supportive Care เนื่องจากกลไกการออกฤทธิ์, efficacy หรือข้อบ่งใช้ไม่ตรงกับโจทย์ที่กำหนด
• ข้อ ค. (Mesna 400 mg IV stat): ข้อนี้ไม่ใช่คำตอบที่ถูกต้องสำหรับภาวะ CINV &amp; Supportive Care เนื่องจากกลไกการออกฤทธิ์, efficacy หรือข้อบ่งใช้ไม่ตรงกับโจทย์ที่กำหนด
• ข้อ จ. (Palonosetron 0.25 mg IV stat):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92" s="2" t="n"/>
      <c r="L92" s="2" t="inlineStr">
        <is>
          <t>CINV &amp; Supportive Care</t>
        </is>
      </c>
      <c r="M92" s="2" t="inlineStr">
        <is>
          <t>Clinic</t>
        </is>
      </c>
      <c r="N92" s="2" t="inlineStr">
        <is>
          <t>ข้อ 4 (PLE_CC1_Key_Rx20_UBU.md)</t>
        </is>
      </c>
      <c r="O92" s="2" t="inlineStr">
        <is>
          <t>Mock</t>
        </is>
      </c>
      <c r="P92" s="2" t="inlineStr">
        <is>
          <t>Mock Rx20 UBU</t>
        </is>
      </c>
    </row>
    <row r="93" ht="13.2" customHeight="1" s="37">
      <c r="A93" s="8" t="inlineStr">
        <is>
          <t>91</t>
        </is>
      </c>
      <c r="B93" s="2" t="inlineStr">
        <is>
          <t>Cumulative dose ของ Doxorubicin ในผู้ป่วยรายนี้ คือเท่าไร</t>
        </is>
      </c>
      <c r="C93" s="2" t="n"/>
      <c r="D93" s="2" t="inlineStr">
        <is>
          <t>60 mg/m 2</t>
        </is>
      </c>
      <c r="E93" s="2" t="inlineStr">
        <is>
          <t>180 mg/m 2</t>
        </is>
      </c>
      <c r="F93" s="2" t="inlineStr">
        <is>
          <t>240 mg/m 2</t>
        </is>
      </c>
      <c r="G93" s="2" t="inlineStr">
        <is>
          <t>300 mg/m 2</t>
        </is>
      </c>
      <c r="H93" s="2" t="inlineStr">
        <is>
          <t>480 mg/m 2 cycle 4 x 60 = 240 mg/m 2</t>
        </is>
      </c>
      <c r="I93" s="8" t="inlineStr">
        <is>
          <t>3</t>
        </is>
      </c>
      <c r="J93" s="2" t="inlineStr">
        <is>
          <t>✅ คำตอบที่ถูกต้อง: ข้อ ค. 240 mg/m 2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240 mg/m 2 การเลือก 240 mg/m 2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(60 mg/m 2): ข้อนี้ไม่ใช่คำตอบที่ถูกต้องสำหรับภาวะ CINV &amp; Supportive Care เนื่องจากกลไกการออกฤทธิ์, efficacy หรือข้อบ่งใช้ไม่ตรงกับโจทย์ที่กำหนด
• ข้อ ข. (180 mg/m 2): ข้อนี้ไม่ใช่คำตอบที่ถูกต้องสำหรับภาวะ CINV &amp; Supportive Care เนื่องจากกลไกการออกฤทธิ์, efficacy หรือข้อบ่งใช้ไม่ตรงกับโจทย์ที่กำหนด
• ข้อ ง. (300 mg/m 2): ข้อนี้ไม่ใช่คำตอบที่ถูกต้องสำหรับภาวะ CINV &amp; Supportive Care เนื่องจากกลไกการออกฤทธิ์, efficacy หรือข้อบ่งใช้ไม่ตรงกับโจทย์ที่กำหนด
• ข้อ จ. (480 mg/m 2 cycle 4 x 60 = 240 mg/m 2):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93" s="2" t="n"/>
      <c r="L93" s="2" t="inlineStr">
        <is>
          <t>CINV &amp; Supportive Care</t>
        </is>
      </c>
      <c r="M93" s="2" t="inlineStr">
        <is>
          <t>Clinic</t>
        </is>
      </c>
      <c r="N93" s="2" t="inlineStr">
        <is>
          <t>ข้อ 10 (PLE_CC1_Key_Rx20_UBU.md)</t>
        </is>
      </c>
      <c r="O93" s="2" t="inlineStr">
        <is>
          <t>Mock</t>
        </is>
      </c>
      <c r="P93" s="2" t="inlineStr">
        <is>
          <t>Mock Rx20 UBU</t>
        </is>
      </c>
    </row>
    <row r="94" ht="13.2" customHeight="1" s="37">
      <c r="A94" s="8" t="inlineStr">
        <is>
          <t>92</t>
        </is>
      </c>
      <c r="B94" s="2" t="inlineStr">
        <is>
          <t>กลไกการเกิด cardiotoxicity ของยา doxorubicin คือข้อใด</t>
        </is>
      </c>
      <c r="C94" s="2" t="n"/>
      <c r="D94" s="2" t="inlineStr">
        <is>
          <t>Free radical generation</t>
        </is>
      </c>
      <c r="E94" s="2" t="inlineStr">
        <is>
          <t>Topoisomerase inhibitors</t>
        </is>
      </c>
      <c r="F94" s="2" t="inlineStr">
        <is>
          <t>Intercalated DNA</t>
        </is>
      </c>
      <c r="G94" s="2" t="inlineStr">
        <is>
          <t>Inhibit microtubule assembly</t>
        </is>
      </c>
      <c r="H94" s="2" t="inlineStr">
        <is>
          <t>Inhibit microtubule dis-asembly กลไกการออกฤทธิ์ของ Doxorubicin มี 2 กลไกคือ 1. Free radical ไปทำลาย cell มะเร็ง 2. ออกฤทธิ์ยับยั้งการทำงานของ enzyme Topoisomerase II ทำให้ไม่สามารถแยกสาย DNA เป็น 2 สายเพื่อนำไป replication ต่อได้ แต่กลไกที่ทำให่้เกิด Cardiotoxicity เกิดจาก Free radical generation โดยปกติแล้วกล้ามเนื้อหัวใจเป็นกล้ามเนื้อที่จะใช้ ATP มากเพื่อให้เกิดการบีบตัวของเลือดไปเลี้ยงส่วนต่างๆของร่างกายซึ่งในกระบวนการสร้าง ATP จะต้องมีการนำ Oxygen free radical เข้าสู้กล้ามเนื้อหัวใจนำมาสู่การเกิด Cardiotoxicity</t>
        </is>
      </c>
      <c r="I94" s="8" t="inlineStr">
        <is>
          <t>1</t>
        </is>
      </c>
      <c r="J94" s="2" t="inlineStr">
        <is>
          <t>✅ คำตอบที่ถูกต้อง: ข้อ ก. Free radical generation
💡 Background:
การบริบาลผู้ป่วยในกลุ่มโรค CINV &amp; Supportive Care มุ่งเน้นการควบคุมโรคและลดความเสี่ยงต่อภาวะแทรกซ้อนด้วย evidence-based pharmacotherapy
🎯 ทำไมข้อนี้ถึงถูก:
Free radical generation O2 มาช่วยในการสร้าง ATP ซึ่งการที่ยาทำให้เกิด Free radical กล้ามเนื้อหัวใจก็มีโอากาสนำ O2 ชนิดที่เป็น
🔍 ข้ออื่นผิดเพราะอะไร:
• ข้อ ข. (Topoisomerase inhibitors): ข้อนี้ไม่ใช่คำตอบที่ถูกต้องสำหรับภาวะ CINV &amp; Supportive Care เนื่องจากกลไกการออกฤทธิ์, efficacy หรือข้อบ่งใช้ไม่ตรงกับโจทย์ที่กำหนด
• ข้อ ค. (Intercalated DNA): ข้อนี้ไม่ใช่คำตอบที่ถูกต้องสำหรับภาวะ CINV &amp; Supportive Care เนื่องจากกลไกการออกฤทธิ์, efficacy หรือข้อบ่งใช้ไม่ตรงกับโจทย์ที่กำหนด
• ข้อ ง. (Inhibit microtubule assembly): ข้อนี้ไม่ใช่คำตอบที่ถูกต้องสำหรับภาวะ CINV &amp; Supportive Care เนื่องจากกลไกการออกฤทธิ์, efficacy หรือข้อบ่งใช้ไม่ตรงกับโจทย์ที่กำหนด
• ข้อ จ. (Inhibit microtubule dis-asembly กลไกการออกฤทธิ์ของ Doxorubicin มี 2 กลไกคือ 1. Free radical ไปทำลาย cell มะเร็ง 2. ออกฤทธิ์ยับยั้งการทำงานของ enzyme Topoisomerase II ทำให้ไม่สามารถแยกสาย DNA เป็น 2 สายเพื่อนำไป replication ต่อได้ แต่กลไกที่ทำให่้เกิด Cardiotoxicity เกิดจาก Free radical generation โดยปกติแล้วกล้ามเนื้อหัวใจเป็นกล้ามเนื้อที่จะใช้ ATP มากเพื่อให้เกิดการบีบตัวของเลือดไปเลี้ยงส่วนต่างๆของร่างกายซึ่งในกระบวนการสร้าง ATP จะต้องมีการนำ Oxygen free radical เข้าสู้กล้ามเนื้อหัวใจนำมาสู่การเกิด Cardiotoxicity): ข้อนี้ไม่ใช่คำตอบที่ถูกต้องสำหรับภาวะ CINV &amp; Supportive Care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94" s="2" t="n"/>
      <c r="L94" s="2" t="inlineStr">
        <is>
          <t>CINV &amp; Supportive Care</t>
        </is>
      </c>
      <c r="M94" s="2" t="inlineStr">
        <is>
          <t>Clinic</t>
        </is>
      </c>
      <c r="N94" s="2" t="inlineStr">
        <is>
          <t>ข้อ 11 (PLE_CC1_Key_Rx20_UBU.md)</t>
        </is>
      </c>
      <c r="O94" s="2" t="inlineStr">
        <is>
          <t>Mock</t>
        </is>
      </c>
      <c r="P94" s="2" t="inlineStr">
        <is>
          <t>Mock Rx20 UBU</t>
        </is>
      </c>
    </row>
    <row r="95" ht="13.2" customHeight="1" s="37">
      <c r="A95" s="2" t="n">
        <v>93</v>
      </c>
      <c r="B95" s="2" t="inlineStr">
        <is>
          <t>▶ [กรณีศึกษา: ผู้ป่วยหญิง อายุ 58 ปี หนัก 66 กก. สูง 163 ซม. ECOG 1 มาด้วยอาการไอเรื้อรัง ซื้อยากดอาการไอก็ไม่หาย มีประวัติสูบบุหรี่ 20 pack-year เลิกสูบไป 5 ปีแล้ว ปัจจุบันตรวจพบ EGFR mutation: negative, PD-L1 TPS 80% ได้รับการวินิจฉัยเป็น Non-Small Cell Lung Cancer (NSCLC) Stage IV metastasis to liver ได้รับการรักษาด้วย Pembrolizumab]
📌 คำถาม: ต้องติดตามอาการและผลข้างเคียงของผู้ป่วยหลังจากได้รับการรักษาครั้งแรกตอนไหนเหมาะสมที่สุด</t>
        </is>
      </c>
      <c r="C95" s="2" t="n"/>
      <c r="D95" s="2" t="inlineStr">
        <is>
          <t>หลัง 1-2 สัปดาห์</t>
        </is>
      </c>
      <c r="E95" s="2" t="inlineStr">
        <is>
          <t>หลัง 1 เดือน</t>
        </is>
      </c>
      <c r="F95" s="2" t="inlineStr">
        <is>
          <t>หลัง 2 เดือน</t>
        </is>
      </c>
      <c r="G95" s="2" t="inlineStr">
        <is>
          <t>หลังการรักษาเสร็จสิ้นทั้งหมด</t>
        </is>
      </c>
      <c r="H95" s="2" t="inlineStr">
        <is>
          <t>ไม่จำเป็นต้องติดตาม</t>
        </is>
      </c>
      <c r="I95" s="8" t="inlineStr">
        <is>
          <t>2</t>
        </is>
      </c>
      <c r="J95" s="2" t="inlineStr">
        <is>
          <t>✅ คำตอบที่ถูกต้อง: ข้อ ข. หลัง 1 เดือน
💡 Background:
ผู้ป่วยมะเร็งปอดชนิด Non-Small Cell Lung Cancer (NSCLC) ระยะที่ 4 แพร่กระจายไปตับ และมีค่า PD-L1 TPS สูง (80%) ได้รับการรักษาด้วย Pembrolizumab (Immune Checkpoint Inhibitor: Anti-PD-1) การติดตามการตอบสนองและพิษของยาภูมิคุ้มกันบำบัดมีความสำคัญยิ่ง โดยผลข้างเคียงทางระบบภูมิคุ้มกัน (Immune-Related Adverse Events: irAEs) มักจะเริ่มตรวจพบได้ตั้งแต่ช่วง 3-6 สัปดาห์แรกหลังเริ่มยา
🎯 ทำไมข้อนี้ถึงถูก:
การนัดติดตามอาการผู้ป่วยหลังเริ่มยา Pembrolizumab ครั้งแรก ควรนัดติดตามอาการทางคลินิกและตรวจค่าทางห้องปฏิบัติการ (LFT, Thyroid function test, Renal function) ที่ระยะประมาณ 3-4 สัปดาห์ (1 เดือน) หลังเริ่มการรักษา เพื่อเฝ้าระวัง irAEs ระยะแรกเริ่ม เช่น ผื่นผิวหนัง ปอดอักเสบ หรือตับอักเสบ ก่อนให้รอบถัดไป
🔍 ข้ออื่นผิดเพราะอะไร:
• ข้อ ก. (หลัง 1-2 สัปดาห์): เร็วเกินไปสำหรับการประเมิน irAEs หรือการตอบสนองเชิงระบบทั่วไป เว้นแต่ผู้ป่วยมีอาการเฉียบพลัน
• ข้อ ค. (หลัง 2 เดือน): ช้าเกินไป เพราะ Pembrolizumab มักให้ทุก 3 หรือ 6 สัปดาห์ การรอถึง 2 เดือนอาจทำให้ตรวจพบ irAEs ที่รุนแรงไม่ทันท่วงที
• ข้อ ง. (หลังการรักษา): ไม่ถูกต้องอย่างยิ่ง การรักษาด้วย ICI ต้องติดตามระหว่างให้ยาอย่างต่อเนื่อง ไม่ใช่รอจนจบคอร์ส
• ข้อ จ. (ไม่จำเป็นต้องติดตาม): ผิดอย่างสิ้นเชิง ยาในกลุ่ม ICI มีความเสี่ยงต่อ irAEs ที่อาจเป็นอันตรายถึงชีวิต ต้องติดตามอย่างเคร่งครัด
📖 Guideline อ้างอิง:
NCCN Clinical Practice Guidelines in Oncology: Management of Immunotherapy-Related Toxicities &amp; ASCO Clinical Practice Guideline
📌 จุดจำก่อนสอบ:
• Monitoring Timing: ตรวจติดตาม LFTs, CBC, และ Thyroid function (TSH/Free T4) ทุกรอบก่อนให้ยา Pembrolizumab (ทุก 3-6 สัปดาห์)
• Early irAEs: พิษทางผิวหนัง (Rash/Pruritus) มักเกิดเร็วที่สุดใน 3-4 สัปดาห์แรก ตามด้วยทางเดินอาหารและต่อมไร้ท่อ</t>
        </is>
      </c>
      <c r="K95" s="2" t="n"/>
      <c r="L95" s="2" t="inlineStr">
        <is>
          <t>Lung Cancer</t>
        </is>
      </c>
      <c r="M95" s="2" t="inlineStr">
        <is>
          <t>Clinic</t>
        </is>
      </c>
      <c r="N95" s="2" t="inlineStr">
        <is>
          <t>Mock PLE-CC 1 ข้อ 67</t>
        </is>
      </c>
      <c r="O95" s="2" t="inlineStr">
        <is>
          <t>Mock</t>
        </is>
      </c>
      <c r="P95" s="2" t="inlineStr">
        <is>
          <t>Mock RxCU83</t>
        </is>
      </c>
    </row>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Q72"/>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1</t>
        </is>
      </c>
      <c r="B3"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นอกจากนี้ผู้ป่วยมีประวัติป่วยเป็นโรคไตมานาน 5 ปี มี creatinine clearance 18 ml/min
เมื่อพิจารณาจากประวัติความเจ็บป่วย อาการแสดง และค่า creatinine clearance แสดงว่าการทำงานของไตอยู่ในภาวะใด</t>
        </is>
      </c>
      <c r="C3" s="2" t="n"/>
      <c r="D3" s="2" t="inlineStr">
        <is>
          <t>Acute kidney injury</t>
        </is>
      </c>
      <c r="E3" s="2" t="inlineStr">
        <is>
          <t>Renal insufficiency</t>
        </is>
      </c>
      <c r="F3" s="2" t="inlineStr">
        <is>
          <t>Chronic kidney disease</t>
        </is>
      </c>
      <c r="G3" s="2" t="inlineStr">
        <is>
          <t>Uremia</t>
        </is>
      </c>
      <c r="H3" s="2" t="inlineStr">
        <is>
          <t>End-stage renal failure</t>
        </is>
      </c>
      <c r="I3" s="8" t="inlineStr">
        <is>
          <t>3</t>
        </is>
      </c>
      <c r="J3" s="2" t="inlineStr">
        <is>
          <t>✅ คำตอบที่ถูกต้อง: ข้อ ค. Chronic kidney disease
💡 Background:
ภาวะไตเสื่อม (CKD/AKI) ต้องระมัดระวังการปรับขนาดยาตาม renal function (eGFR/CrCl) และหลีกเลี่ยง nephrotoxic drugs
🎯 ทำไมข้อนี้ถึงถูก:
Chronic kidney disease ผู้ป่วยมีประวัติป่วยเป็นโรคไตเรื้อรังมานาน 5 ปี และมีค่า CrCl 18 ml/min ซึ่งจัดอยู่ในระยะที่ 4 (Severe decreased GFR, 15-29 ml/min) หรือเข้าสู่ภาวะ Chronic kidney disease (CKD) ร่วมกับมีอาการของ uremia และ hyperkalemia
🔍 ข้ออื่นผิดเพราะอะไร:
• ข้อ ก. (Acute kidney injury): ข้อนี้ไม่ใช่คำตอบที่ถูกต้องสำหรับภาวะ Chronic kidney diseases เนื่องจากกลไกการออกฤทธิ์, efficacy หรือข้อบ่งใช้ไม่ตรงกับโจทย์ที่กำหนด
• ข้อ ข. (Renal insufficiency): ข้อนี้ไม่ใช่คำตอบที่ถูกต้องสำหรับภาวะ Chronic kidney diseases เนื่องจากกลไกการออกฤทธิ์, efficacy หรือข้อบ่งใช้ไม่ตรงกับโจทย์ที่กำหนด
• ข้อ ง. (Uremia): ข้อนี้ไม่ใช่คำตอบที่ถูกต้องสำหรับภาวะ Chronic kidney diseases เนื่องจากกลไกการออกฤทธิ์, efficacy หรือข้อบ่งใช้ไม่ตรงกับโจทย์ที่กำหนด
• ข้อ จ. (End-stage renal failure):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Chronic kidney diseases</t>
        </is>
      </c>
      <c r="M3" s="2" t="inlineStr">
        <is>
          <t>Clinic</t>
        </is>
      </c>
      <c r="N3" s="2" t="inlineStr">
        <is>
          <t>ข้อ 1 Pharma Plus เล่มม่วง (เฉลยข้อ ค)</t>
        </is>
      </c>
      <c r="O3" s="2" t="inlineStr">
        <is>
          <t>Mock</t>
        </is>
      </c>
      <c r="P3" s="2" t="inlineStr">
        <is>
          <t>Pharma Plus เล่มม่วง</t>
        </is>
      </c>
    </row>
    <row r="4" ht="13.2" customHeight="1" s="37">
      <c r="A4" s="8" t="inlineStr">
        <is>
          <t>2</t>
        </is>
      </c>
      <c r="B4"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ยาในข้อใดสามารถแก้ไขอาการ hyperkalemia ในผู้ป่วยรายนี้ได้</t>
        </is>
      </c>
      <c r="C4" s="2" t="n"/>
      <c r="D4" s="2" t="inlineStr">
        <is>
          <t>Potassium chloride</t>
        </is>
      </c>
      <c r="E4" s="2" t="inlineStr">
        <is>
          <t>Sodium chloride</t>
        </is>
      </c>
      <c r="F4" s="2" t="inlineStr">
        <is>
          <t>Sodium polystyrene sulfonate</t>
        </is>
      </c>
      <c r="G4" s="2" t="inlineStr">
        <is>
          <t>Calcium chloride</t>
        </is>
      </c>
      <c r="H4" s="2" t="inlineStr">
        <is>
          <t>Calcium phosphate</t>
        </is>
      </c>
      <c r="I4" s="8" t="inlineStr">
        <is>
          <t>3</t>
        </is>
      </c>
      <c r="J4" s="2" t="inlineStr">
        <is>
          <t>✅ คำตอบที่ถูกต้อง: ข้อ ค. Sodium polystyrene sulfonate
💡 Background:
ภาวะไตเสื่อม (CKD/AKI) ต้องระมัดระวังการปรับขนาดยาตาม renal function (eGFR/CrCl) และหลีกเลี่ยง nephrotoxic drugs
🎯 ทำไมข้อนี้ถึงถูก:
Sodium polystyrene sulfonate เป็นยาแลกเปลี่ยนประจุ (cation exchange resin) ที่ใช้ขับโพแทสเซียมออกจากร่างกายทางอุจจาระ เพื่อรักษาภาวะ hyperkalemia ในผู้ป่วยโรคไตเรื้อรัง
🔍 ข้ออื่นผิดเพราะอะไร:
• ข้อ ก. (Potassium chloride): ข้อนี้ไม่ใช่คำตอบที่ถูกต้องสำหรับภาวะ Chronic kidney diseases เนื่องจากกลไกการออกฤทธิ์, efficacy หรือข้อบ่งใช้ไม่ตรงกับโจทย์ที่กำหนด
• ข้อ ข. (Sodium chloride): ข้อนี้ไม่ใช่คำตอบที่ถูกต้องสำหรับภาวะ Chronic kidney diseases เนื่องจากกลไกการออกฤทธิ์, efficacy หรือข้อบ่งใช้ไม่ตรงกับโจทย์ที่กำหนด
• ข้อ ง. (Calcium chloride): ข้อนี้ไม่ใช่คำตอบที่ถูกต้องสำหรับภาวะ Chronic kidney diseases เนื่องจากกลไกการออกฤทธิ์, efficacy หรือข้อบ่งใช้ไม่ตรงกับโจทย์ที่กำหนด
• ข้อ จ. (Calcium phosphate):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Chronic kidney diseases</t>
        </is>
      </c>
      <c r="M4" s="2" t="inlineStr">
        <is>
          <t>Clinic</t>
        </is>
      </c>
      <c r="N4" s="2" t="inlineStr">
        <is>
          <t>ข้อ 2 Pharma Plus เล่มม่วง (เฉลยข้อ ค)</t>
        </is>
      </c>
      <c r="O4" s="2" t="inlineStr">
        <is>
          <t>Mock</t>
        </is>
      </c>
      <c r="P4" s="2" t="inlineStr">
        <is>
          <t>Pharma Plus เล่มม่วง</t>
        </is>
      </c>
    </row>
    <row r="5" ht="13.2" customHeight="1" s="37">
      <c r="A5" s="8" t="inlineStr">
        <is>
          <t>3</t>
        </is>
      </c>
      <c r="B5"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แพทย์ควรให้ยาขับปัสสาวะชนิดใดกับผู้ป่วยรายนี้</t>
        </is>
      </c>
      <c r="C5" s="2" t="n"/>
      <c r="D5" s="2" t="inlineStr">
        <is>
          <t>Hydrochlorothiazide</t>
        </is>
      </c>
      <c r="E5" s="2" t="inlineStr">
        <is>
          <t>Spironolactone</t>
        </is>
      </c>
      <c r="F5" s="2" t="inlineStr">
        <is>
          <t>Furosemide</t>
        </is>
      </c>
      <c r="G5" s="2" t="inlineStr">
        <is>
          <t>Amiloride</t>
        </is>
      </c>
      <c r="H5" s="2" t="inlineStr">
        <is>
          <t>Indapamide</t>
        </is>
      </c>
      <c r="I5" s="8" t="inlineStr">
        <is>
          <t>3</t>
        </is>
      </c>
      <c r="J5" s="2" t="inlineStr">
        <is>
          <t>✅ คำตอบที่ถูกต้อง: ข้อ ค. Furosemide
💡 Background:
ภาวะไตเสื่อม (CKD/AKI) ต้องระมัดระวังการปรับขนาดยาตาม renal function (eGFR/CrCl) และหลีกเลี่ยง nephrotoxic drugs
🎯 ทำไมข้อนี้ถึงถูก:
Furosemide ผู้ป่วยมี CrCl 18 ml/min ซึ่ง Thiazide diuretics จะไม่มี efficacy ในการขับปัสสาวะเมื่อ CrCl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(Hydrochlorothiazide): เป็น Thiazide diuretic ลด plasma volume แต่อาจทำให้เกิด hypokalemia, hyponatremia, hyperuricemia และ hyperglycemia และ efficacy ลดลงมากเมื่อ eGFR &lt; 30 mL/min
• ข้อ ข. (Spironolactone): เป็น Mineralocorticoid receptor antagonist (MRA) ใช้เป็น 4th-line ใน resistant HTN หรือ GDMT ใน HFrEF ต้อง monitor potassium และเสี่ยงต่อ gynecomastia
• ข้อ ง. (Amiloride): ข้อนี้ไม่ใช่คำตอบที่ถูกต้องสำหรับภาวะ Chronic kidney diseases เนื่องจากกลไกการออกฤทธิ์, efficacy หรือข้อบ่งใช้ไม่ตรงกับโจทย์ที่กำหนด
• ข้อ จ. (Indapamide): เป็น Thiazide-like diuretic มี metabolic neutral profile ดีกว่า HCTZ และมี vasodilatory effect ร่วมด้วย มี efficacy ในผู้สูงอายุและ isolated systolic hypertension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 s="2" t="n"/>
      <c r="L5" s="2" t="inlineStr">
        <is>
          <t>Chronic kidney diseases</t>
        </is>
      </c>
      <c r="M5" s="2" t="inlineStr">
        <is>
          <t>Clinic</t>
        </is>
      </c>
      <c r="N5" s="2" t="inlineStr">
        <is>
          <t>ข้อ 3 Pharma Plus เล่มม่วง (เฉลยข้อ ค)</t>
        </is>
      </c>
      <c r="O5" s="2" t="inlineStr">
        <is>
          <t>Mock</t>
        </is>
      </c>
      <c r="P5" s="2" t="inlineStr">
        <is>
          <t>Pharma Plus เล่มม่วง</t>
        </is>
      </c>
    </row>
    <row r="6" ht="13.2" customHeight="1" s="37">
      <c r="A6" s="8" t="inlineStr">
        <is>
          <t>4</t>
        </is>
      </c>
      <c r="B6"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ข้อใดไม่ใช่เหตุผลในการเลือกใช้ยาขับปัสสาวะในข้อข้างต้น</t>
        </is>
      </c>
      <c r="C6" s="2" t="n"/>
      <c r="D6" s="2" t="inlineStr">
        <is>
          <t>ลดอาการบวมคั่งน้ำ</t>
        </is>
      </c>
      <c r="E6" s="2" t="inlineStr">
        <is>
          <t>ป้องกัน renal shut down</t>
        </is>
      </c>
      <c r="F6" s="2" t="inlineStr">
        <is>
          <t>ออกฤทธิ์ได้แม้ผู้ป่วยที่ไตบกพร่องในการทำงานอย่างรุนแรง</t>
        </is>
      </c>
      <c r="G6" s="2" t="inlineStr">
        <is>
          <t>ไม่มีผลรบกวนสมดุลกรด-ด่างในร่างกาย</t>
        </is>
      </c>
      <c r="H6" s="2" t="inlineStr">
        <is>
          <t>ออกฤทธิ์เร็วและแรง</t>
        </is>
      </c>
      <c r="I6" s="8" t="inlineStr">
        <is>
          <t>2</t>
        </is>
      </c>
      <c r="J6" s="2" t="inlineStr">
        <is>
          <t>✅ คำตอบที่ถูกต้อง: ข้อ ข. ป้องกัน renal shut down
💡 Background:
ภาวะไตเสื่อม (CKD/AKI) ต้องระมัดระวังการปรับขนาดยาตาม renal function (eGFR/CrCl) และหลีกเลี่ยง nephrotoxic drugs
🎯 ทำไมข้อนี้ถึงถูก:
ป้องกัน renal shut down Loop diuretics มีผลรบกวนสมดุลอิเล็กโทรไลต์และกรด-ด่างในร่างกายได้ (เช่น ทำให้เกิด hypokalemic metabolic alkalosis) ดังนั้นข้อ 'ไม่มีผลรบกวนสมดุลกรด-ด่างในร่างกาย' จึงไม่ถูกต้อง
🔍 ข้ออื่นผิดเพราะอะไร:
• ข้อ ก. (ลดอาการบวมคั่งน้ำ): ข้อนี้ไม่ใช่คำตอบที่ถูกต้องสำหรับภาวะ Chronic kidney diseases เนื่องจากกลไกการออกฤทธิ์, efficacy หรือข้อบ่งใช้ไม่ตรงกับโจทย์ที่กำหนด
• ข้อ ค. (ออกฤทธิ์ได้แม้ผู้ป่วยที่ไตบกพร่องในการทำงานอย่างรุนแรง): ข้อนี้ไม่ใช่คำตอบที่ถูกต้องสำหรับภาวะ Chronic kidney diseases เนื่องจากกลไกการออกฤทธิ์, efficacy หรือข้อบ่งใช้ไม่ตรงกับโจทย์ที่กำหนด
• ข้อ ง. (ไม่มีผลรบกวนสมดุลกรด-ด่างในร่างกาย): ข้อนี้ไม่ใช่คำตอบที่ถูกต้องสำหรับภาวะ Chronic kidney diseases เนื่องจากกลไกการออกฤทธิ์, efficacy หรือข้อบ่งใช้ไม่ตรงกับโจทย์ที่กำหนด
• ข้อ จ. (ออกฤทธิ์เร็วและแรง):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Chronic kidney diseases</t>
        </is>
      </c>
      <c r="M6" s="2" t="inlineStr">
        <is>
          <t>Clinic</t>
        </is>
      </c>
      <c r="N6" s="2" t="inlineStr">
        <is>
          <t>ข้อ 4 Pharma Plus เล่มม่วง (เฉลยข้อ ข)</t>
        </is>
      </c>
      <c r="O6" s="2" t="inlineStr">
        <is>
          <t>Mock</t>
        </is>
      </c>
      <c r="P6" s="2" t="inlineStr">
        <is>
          <t>Pharma Plus เล่มม่วง</t>
        </is>
      </c>
    </row>
    <row r="7" ht="13.2" customHeight="1" s="37">
      <c r="A7" s="8" t="inlineStr">
        <is>
          <t>5</t>
        </is>
      </c>
      <c r="B7" s="2" t="inlineStr">
        <is>
          <t>จงบอกข้อบ่งใช้ของ sodamint® (sodium bicarbonate) ในผู้ป่วยรายนี้</t>
        </is>
      </c>
      <c r="C7" s="2" t="n"/>
      <c r="D7" s="2" t="inlineStr">
        <is>
          <t>Antacid</t>
        </is>
      </c>
      <c r="E7" s="2" t="inlineStr">
        <is>
          <t>Metabolic acidosis</t>
        </is>
      </c>
      <c r="F7" s="2" t="inlineStr">
        <is>
          <t>Alkalinize urine</t>
        </is>
      </c>
      <c r="G7" s="2" t="inlineStr">
        <is>
          <t>Phosphate binder</t>
        </is>
      </c>
      <c r="H7" s="2" t="inlineStr">
        <is>
          <t>Increase absorption of folic acid</t>
        </is>
      </c>
      <c r="I7" s="8" t="inlineStr">
        <is>
          <t>2</t>
        </is>
      </c>
      <c r="J7" s="2" t="inlineStr">
        <is>
          <t>✅ คำตอบที่ถูกต้อง: ข้อ ข. Metabolic acidosis
💡 Background:
การบริบาลผู้ป่วยในกลุ่มโรค Fluid &amp; Electrolyte มุ่งเน้นการควบคุมโรคและลดความเสี่ยงต่อภาวะแทรกซ้อนด้วย evidence-based pharmacotherapy
🎯 ทำไมข้อนี้ถึงถูก:
Metabolic acidosis ในผู้ป่วยโรคไตเรื้อรัง (CKD) มักพบภาวะกรดในเลือดเกิน (Metabolic acidosis) ซึ่ง Sodium bicarbonate ใช้เป็นข้อบ่งใช้ในการปรับสมดุลกรด-ด่าง โดยแนะนำให้รักษาเมื่อ serum bicarbonate
🔍 ข้ออื่นผิดเพราะอะไร:
• ข้อ ก. (Antacid): ข้อนี้ไม่ใช่คำตอบที่ถูกต้องสำหรับภาวะ Fluid &amp; Electrolyte เนื่องจากกลไกการออกฤทธิ์, efficacy หรือข้อบ่งใช้ไม่ตรงกับโจทย์ที่กำหนด
• ข้อ ค. (Alkalinize urine): ข้อนี้ไม่ใช่คำตอบที่ถูกต้องสำหรับภาวะ Fluid &amp; Electrolyte เนื่องจากกลไกการออกฤทธิ์, efficacy หรือข้อบ่งใช้ไม่ตรงกับโจทย์ที่กำหนด
• ข้อ ง. (Phosphate binder): ข้อนี้ไม่ใช่คำตอบที่ถูกต้องสำหรับภาวะ Fluid &amp; Electrolyte เนื่องจากกลไกการออกฤทธิ์, efficacy หรือข้อบ่งใช้ไม่ตรงกับโจทย์ที่กำหนด
• ข้อ จ. (Increase absorption of folic acid): ข้อนี้ไม่ใช่คำตอบที่ถูกต้องสำหรับภาวะ Fluid &amp; Electrolyte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Fluid &amp; Electrolyte</t>
        </is>
      </c>
      <c r="M7" s="2" t="inlineStr">
        <is>
          <t>Clinic</t>
        </is>
      </c>
      <c r="N7" s="2" t="inlineStr">
        <is>
          <t>ข้อ 5 Pharma Plus เล่มม่วง (เฉลยข้อ ข)</t>
        </is>
      </c>
      <c r="O7" s="2" t="inlineStr">
        <is>
          <t>Mock</t>
        </is>
      </c>
      <c r="P7" s="2" t="inlineStr">
        <is>
          <t>Pharma Plus เล่มม่วง</t>
        </is>
      </c>
    </row>
    <row r="8" ht="13.2" customHeight="1" s="37">
      <c r="A8" s="8" t="inlineStr">
        <is>
          <t>6</t>
        </is>
      </c>
      <c r="B8" s="2" t="inlineStr">
        <is>
          <t>ในกรณีที่ห้องยาไม่มี CaCO₃ ยาใดต่อไปนี้ที่ไม่สามารถใช้ทดแทน CaCO₃ ในผู้ป่วยรายนี้ได้</t>
        </is>
      </c>
      <c r="C8" s="2" t="n"/>
      <c r="D8" s="2" t="inlineStr">
        <is>
          <t>Lanthanum carbonate</t>
        </is>
      </c>
      <c r="E8" s="2" t="inlineStr">
        <is>
          <t>Al(OH)₃</t>
        </is>
      </c>
      <c r="F8" s="2" t="inlineStr">
        <is>
          <t>Mg(OH)₂</t>
        </is>
      </c>
      <c r="G8" s="2" t="inlineStr">
        <is>
          <t>Calcium gluconate</t>
        </is>
      </c>
      <c r="H8" s="2" t="inlineStr">
        <is>
          <t>Calcium lactate</t>
        </is>
      </c>
      <c r="I8" s="8" t="inlineStr">
        <is>
          <t>3</t>
        </is>
      </c>
      <c r="J8" s="2" t="inlineStr">
        <is>
          <t>✅ คำตอบที่ถูกต้อง: ข้อ ค. Mg(OH)₂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Mg(OH)₂ Calcium gluconate และ Calcium lactate เป็นเกลือแคลเซียมรูปแบบสำหรับให้ทางหลอดเลือดดำหรือแก้ไขภาวะแคลเซียมในเลือดต่ำเฉียบพลัน ไม่นิยมนำมาใช้เป็น phosphate binder ในทางเดินอาหารทดแทน CaCO3 เนื่องจากมีปริมาณ elemental calcium ต่ำและดูดซึมได้ไม่เหมาะสมสำหรับการจับฟอสเฟตเรื้อรัง
🔍 ข้ออื่นผิดเพราะอะไร:
• ข้อ ก. (Lanthanum carbonate): ข้อนี้ไม่ใช่คำตอบที่ถูกต้องสำหรับภาวะ Chronic kidney diseases เนื่องจากกลไกการออกฤทธิ์, efficacy หรือข้อบ่งใช้ไม่ตรงกับโจทย์ที่กำหนด
• ข้อ ข. (Al(OH)₃): ข้อนี้ไม่ใช่คำตอบที่ถูกต้องสำหรับภาวะ Chronic kidney diseases เนื่องจากกลไกการออกฤทธิ์, efficacy หรือข้อบ่งใช้ไม่ตรงกับโจทย์ที่กำหนด
• ข้อ ง. (Calcium gluconate): ข้อนี้ไม่ใช่คำตอบที่ถูกต้องสำหรับภาวะ Chronic kidney diseases เนื่องจากกลไกการออกฤทธิ์, efficacy หรือข้อบ่งใช้ไม่ตรงกับโจทย์ที่กำหนด
• ข้อ จ. (Calcium lactate):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Chronic kidney diseases</t>
        </is>
      </c>
      <c r="M8" s="2" t="inlineStr">
        <is>
          <t>Clinic</t>
        </is>
      </c>
      <c r="N8" s="2" t="inlineStr">
        <is>
          <t>ข้อ 6 Pharma Plus เล่มม่วง (เฉลยข้อ ค)</t>
        </is>
      </c>
      <c r="O8" s="2" t="inlineStr">
        <is>
          <t>Mock</t>
        </is>
      </c>
      <c r="P8" s="2" t="inlineStr">
        <is>
          <t>Pharma Plus เล่มม่วง</t>
        </is>
      </c>
    </row>
    <row r="9" ht="13.2" customHeight="1" s="37">
      <c r="A9" s="8" t="inlineStr">
        <is>
          <t>7</t>
        </is>
      </c>
      <c r="B9" s="2" t="inlineStr">
        <is>
          <t>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เกี่ยวกับ Eprex ข้อต่อไปนี้ไม่ถูกต้อง</t>
        </is>
      </c>
      <c r="C9" s="2" t="n"/>
      <c r="D9" s="2" t="inlineStr">
        <is>
          <t>Eprex ใช้กระตุ้นสร้าง RBC</t>
        </is>
      </c>
      <c r="E9" s="2" t="inlineStr">
        <is>
          <t>Eprex ผลิตด้วยเทคนิค recombination technology</t>
        </is>
      </c>
      <c r="F9" s="2" t="inlineStr">
        <is>
          <t>Eprex ต้องเก็บไว้ที่อุณหภูมิ 2-8°C</t>
        </is>
      </c>
      <c r="G9" s="2" t="inlineStr">
        <is>
          <t>Eprex ใช้ฉีดโดยวิธี IV push เท่านั้น</t>
        </is>
      </c>
      <c r="H9" s="2" t="inlineStr">
        <is>
          <t>Eprex สามารถทำให้เกิดความดันโลหิตสูงได้</t>
        </is>
      </c>
      <c r="I9" s="8" t="inlineStr">
        <is>
          <t>4</t>
        </is>
      </c>
      <c r="J9" s="2" t="inlineStr">
        <is>
          <t>✅ คำตอบที่ถูกต้อง: ข้อ ง. Eprex ใช้ฉีดโดยวิธี IV push เท่านั้น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Eprex ใช้ฉีดโดยวิธี IV push เท่านั้น Eprex (Epoetin alfa) สามารถบริหารยาได้ทั้งทาง Subcutaneous (SC) และ Intravenous (IV) โดยการฉีดทาง IV มักบริหารโดยการฉีดเข้าหลอดเลือดดำช้าๆ หรือ IV infusion ไม่จำกัดว่าต้องเป็น IV push เท่านั้น นอกจากนี้ข้ออื่นๆ ถูกต้องตามคุณสมบัติของยา ESA
🔍 ข้ออื่นผิดเพราะอะไร:
• ข้อ ก. (Eprex ใช้กระตุ้นสร้าง RBC): ข้อนี้ไม่ใช่คำตอบที่ถูกต้องสำหรับภาวะ Chronic kidney diseases เนื่องจากกลไกการออกฤทธิ์, efficacy หรือข้อบ่งใช้ไม่ตรงกับโจทย์ที่กำหนด
• ข้อ ข. (Eprex ผลิตด้วยเทคนิค recombination technology): ข้อนี้ไม่ใช่คำตอบที่ถูกต้องสำหรับภาวะ Chronic kidney diseases เนื่องจากกลไกการออกฤทธิ์, efficacy หรือข้อบ่งใช้ไม่ตรงกับโจทย์ที่กำหนด
• ข้อ ค. (Eprex ต้องเก็บไว้ที่อุณหภูมิ 2-8°C): ข้อนี้ไม่ใช่คำตอบที่ถูกต้องสำหรับภาวะ Chronic kidney diseases เนื่องจากกลไกการออกฤทธิ์, efficacy หรือข้อบ่งใช้ไม่ตรงกับโจทย์ที่กำหนด
• ข้อ จ. (Eprex สามารถทำให้เกิดความดันโลหิตสูงได้):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Chronic kidney diseases</t>
        </is>
      </c>
      <c r="M9" s="2" t="inlineStr">
        <is>
          <t>Clinic</t>
        </is>
      </c>
      <c r="N9" s="2" t="inlineStr">
        <is>
          <t>ข้อ 7 Pharma Plus เล่มม่วง (เฉลยข้อ ง)</t>
        </is>
      </c>
      <c r="O9" s="2" t="inlineStr">
        <is>
          <t>Mock</t>
        </is>
      </c>
      <c r="P9" s="2" t="inlineStr">
        <is>
          <t>Pharma Plus เล่มม่วง</t>
        </is>
      </c>
    </row>
    <row r="10" ht="13.2" customHeight="1" s="37">
      <c r="A10" s="8" t="inlineStr">
        <is>
          <t>8</t>
        </is>
      </c>
      <c r="B10" s="2" t="inlineStr">
        <is>
          <t>คำแนะนำใดที่ไม่เหมาะสมสำหรับผู้ป่วยไตเรื้อรัง</t>
        </is>
      </c>
      <c r="C10" s="2" t="n"/>
      <c r="D10" s="2" t="inlineStr">
        <is>
          <t>ควรรับประทานกล้วย, ส้ม, แตงโม</t>
        </is>
      </c>
      <c r="E10" s="2" t="inlineStr">
        <is>
          <t>ควรจำกัดการดื่มแอลกอฮอล์, น้ำอัดลม</t>
        </is>
      </c>
      <c r="F10" s="2" t="inlineStr">
        <is>
          <t>ควรจำกัดการรับประทานเนื้อสัตว์, เกลือ</t>
        </is>
      </c>
      <c r="G10" s="2" t="inlineStr">
        <is>
          <t>ควรจำกัดอาหารที่มีไขมันสูง</t>
        </is>
      </c>
      <c r="H10" s="2" t="inlineStr">
        <is>
          <t>ควรรับประทานอาหารที่มีเส้นใยสูง</t>
        </is>
      </c>
      <c r="I10" s="8" t="inlineStr">
        <is>
          <t>1</t>
        </is>
      </c>
      <c r="J10" s="2" t="inlineStr">
        <is>
          <t>✅ คำตอบที่ถูกต้อง: ข้อ ก. ควรรับประทานกล้วย, ส้ม, แตงโม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ควรรับประทานกล้วย, ส้ม, แตงโม กล้วย ส้ม และแตงโม เป็นผลไม้ที่มีโพแทสเซียมสูง ผู้ป่วยโรคไตเรื้อรัง (CKD) โดยเฉพาะระยะท้ายมีความเสี่ยงต่อภาวะโพแทสเซียมในเลือดสูง (Hyperkalemia) ซึ่งอาจทำให้เกิดหัวใจเต้นผิดจังหวะได้ จึงไม่แนะนำให้รับประทานในปริมาณมาก
🔍 ข้ออื่นผิดเพราะอะไร:
• ข้อ ข. (ควรจำกัดการดื่มแอลกอฮอล์, น้ำอัดลม): ข้อนี้ไม่ใช่คำตอบที่ถูกต้องสำหรับภาวะ Chronic kidney diseases เนื่องจากกลไกการออกฤทธิ์, efficacy หรือข้อบ่งใช้ไม่ตรงกับโจทย์ที่กำหนด
• ข้อ ค. (ควรจำกัดการรับประทานเนื้อสัตว์, เกลือ): ข้อนี้ไม่ใช่คำตอบที่ถูกต้องสำหรับภาวะ Chronic kidney diseases เนื่องจากกลไกการออกฤทธิ์, efficacy หรือข้อบ่งใช้ไม่ตรงกับโจทย์ที่กำหนด
• ข้อ ง. (ควรจำกัดอาหารที่มีไขมันสูง): ข้อนี้ไม่ใช่คำตอบที่ถูกต้องสำหรับภาวะ Chronic kidney diseases เนื่องจากกลไกการออกฤทธิ์, efficacy หรือข้อบ่งใช้ไม่ตรงกับโจทย์ที่กำหนด
• ข้อ จ. (ควรรับประทานอาหารที่มีเส้นใยสูง):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Chronic kidney diseases</t>
        </is>
      </c>
      <c r="M10" s="2" t="inlineStr">
        <is>
          <t>Clinic</t>
        </is>
      </c>
      <c r="N10" s="2" t="inlineStr">
        <is>
          <t>ข้อ 8 Pharma Plus เล่มม่วง (เฉลยข้อ ก)</t>
        </is>
      </c>
      <c r="O10" s="2" t="inlineStr">
        <is>
          <t>Mock</t>
        </is>
      </c>
      <c r="P10" s="2" t="inlineStr">
        <is>
          <t>Pharma Plus เล่มม่วง</t>
        </is>
      </c>
    </row>
    <row r="11" ht="13.2" customHeight="1" s="37">
      <c r="A11" s="8" t="inlineStr">
        <is>
          <t>9</t>
        </is>
      </c>
      <c r="B11" s="2" t="inlineStr">
        <is>
          <t>ผู้ป่วยมีอาการท้องผูก หลังจากรับประทานยาที่แพทย์สั่ง ท่านจะแนะนำให้ผู้ป่วยใช้ยาใด ยกเว้น</t>
        </is>
      </c>
      <c r="C11" s="2" t="n"/>
      <c r="D11" s="2" t="inlineStr">
        <is>
          <t>Bisacodyl</t>
        </is>
      </c>
      <c r="E11" s="2" t="inlineStr">
        <is>
          <t>MOM (milk of magnesia)</t>
        </is>
      </c>
      <c r="F11" s="2" t="inlineStr">
        <is>
          <t>Metamucil® (psyllium seed)</t>
        </is>
      </c>
      <c r="G11" s="2" t="inlineStr">
        <is>
          <t>Senokot® (senosides)</t>
        </is>
      </c>
      <c r="H11" s="2" t="inlineStr">
        <is>
          <t>ELPco® (emulsion liquid paraffin compound)</t>
        </is>
      </c>
      <c r="I11" s="8" t="inlineStr">
        <is>
          <t>2</t>
        </is>
      </c>
      <c r="J11" s="2" t="inlineStr">
        <is>
          <t>✅ คำตอบที่ถูกต้อง: ข้อ ข. MOM (milk of magnesia)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MOM (milk of magnesia) Milk of Magnesia (MOM) มีส่วนประกอบของแมกนีเซียม ซึ่งผู้ป่วยโรคไตเรื้อรังไม่สามารถขับออกได้ดี อาจทำให้เกิดภาวะพิษจากแมกนีเซียมสูง (Hypermagnesemia) ได้ จึงควรหลีกเลี่ยงในผู้ป่วย CKD
🔍 ข้ออื่นผิดเพราะอะไร:
• ข้อ ก.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(Metamucil® (psyllium seed)): ข้อนี้ไม่ใช่คำตอบที่ถูกต้องสำหรับภาวะ Chronic kidney diseases เนื่องจากกลไกการออกฤทธิ์, efficacy หรือข้อบ่งใช้ไม่ตรงกับโจทย์ที่กำหนด
• ข้อ ง. (Senokot® (senosides)): ข้อนี้ไม่ใช่คำตอบที่ถูกต้องสำหรับภาวะ Chronic kidney diseases เนื่องจากกลไกการออกฤทธิ์, efficacy หรือข้อบ่งใช้ไม่ตรงกับโจทย์ที่กำหนด
• ข้อ จ. (ELPco® (emulsion liquid paraffin compound)):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Chronic kidney diseases</t>
        </is>
      </c>
      <c r="M11" s="2" t="inlineStr">
        <is>
          <t>Clinic</t>
        </is>
      </c>
      <c r="N11" s="2" t="inlineStr">
        <is>
          <t>ข้อ 9 Pharma Plus เล่มม่วง (เฉลยข้อ ข)</t>
        </is>
      </c>
      <c r="O11" s="2" t="inlineStr">
        <is>
          <t>Mock</t>
        </is>
      </c>
      <c r="P11" s="2" t="inlineStr">
        <is>
          <t>Pharma Plus เล่มม่วง</t>
        </is>
      </c>
    </row>
    <row r="12" ht="13.2" customHeight="1" s="37">
      <c r="A12" s="8" t="inlineStr">
        <is>
          <t>10</t>
        </is>
      </c>
      <c r="B12" s="2" t="inlineStr">
        <is>
          <t>เนื่องจากผู้ป่วยรายนี้มีภาวะ hyperkalemia แพทย์ต้องการใช้ Kayexalate® เพื่อรักษาภาวะดังกล่าว โดยผสมกับ sorbitol 20%
แพทย์ต้องการสั่งจ่าย sorbitol 20% 120 mL โดยเจือจางจาก sorbitol solution 70% จะต้องใช้ sorbitol solution 70% จำนวนเท่าใด</t>
        </is>
      </c>
      <c r="C12" s="2" t="n"/>
      <c r="D12" s="2" t="inlineStr">
        <is>
          <t>24 mL</t>
        </is>
      </c>
      <c r="E12" s="2" t="inlineStr">
        <is>
          <t>34 mL</t>
        </is>
      </c>
      <c r="F12" s="2" t="inlineStr">
        <is>
          <t>54 mL</t>
        </is>
      </c>
      <c r="G12" s="2" t="inlineStr">
        <is>
          <t>68 mL</t>
        </is>
      </c>
      <c r="H12" s="2" t="inlineStr">
        <is>
          <t>86 mL</t>
        </is>
      </c>
      <c r="I12" s="8" t="inlineStr">
        <is>
          <t>2</t>
        </is>
      </c>
      <c r="J12" s="2" t="inlineStr">
        <is>
          <t>✅ คำตอบที่ถูกต้อง: ข้อ ข. 34 mL
💡 Background:
การรักษาโรคติดเชื้อแบคทีเรีย (Fluid &amp; Electrolyte) ต้องเลือก antibiotic ที่ครอบคลุม likely pathogens และมี PK/PD profile เหมาะสมกับตำแหน่งการติดเชื้อ
🎯 ทำไมข้อนี้ถึงถูก:
34 mL ใช้สูตรคำนวณการเจือจางสารละลาย C1V1 = C2V2 โดย (70%) × (V1) = (20%) × (120 mL) จะได้ V1 = (20 × 120) / 70 = 2400 / 70 = 34.28 mL (ประมาณ 34 mL)
🔍 ข้ออื่นผิดเพราะอะไร:
• ข้อ ก. (24 mL): ข้อนี้ไม่ใช่คำตอบที่ถูกต้องสำหรับภาวะ Fluid &amp; Electrolyte เนื่องจากกลไกการออกฤทธิ์, efficacy หรือข้อบ่งใช้ไม่ตรงกับโจทย์ที่กำหนด
• ข้อ ค. (54 mL): ข้อนี้ไม่ใช่คำตอบที่ถูกต้องสำหรับภาวะ Fluid &amp; Electrolyte เนื่องจากกลไกการออกฤทธิ์, efficacy หรือข้อบ่งใช้ไม่ตรงกับโจทย์ที่กำหนด
• ข้อ ง. (68 mL): ข้อนี้ไม่ใช่คำตอบที่ถูกต้องสำหรับภาวะ Fluid &amp; Electrolyte เนื่องจากกลไกการออกฤทธิ์, efficacy หรือข้อบ่งใช้ไม่ตรงกับโจทย์ที่กำหนด
• ข้อ จ. (86 mL): ข้อนี้ไม่ใช่คำตอบที่ถูกต้องสำหรับภาวะ Fluid &amp; Electrolyte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Fluid &amp; Electrolyte</t>
        </is>
      </c>
      <c r="M12" s="2" t="inlineStr">
        <is>
          <t>Clinic</t>
        </is>
      </c>
      <c r="N12" s="2" t="inlineStr">
        <is>
          <t>ข้อ 10 Pharma Plus เล่มม่วง (เฉลยข้อ ข)</t>
        </is>
      </c>
      <c r="O12" s="2" t="inlineStr">
        <is>
          <t>Mock</t>
        </is>
      </c>
      <c r="P12" s="2" t="inlineStr">
        <is>
          <t>Pharma Plus เล่มม่วง</t>
        </is>
      </c>
    </row>
    <row r="13" ht="13.2" customHeight="1" s="37">
      <c r="A13" s="8" t="inlineStr">
        <is>
          <t>11</t>
        </is>
      </c>
      <c r="B13" s="2" t="inlineStr">
        <is>
          <t>ผู้ป่วยต้องการดื่มน้ำผลไม้ น้ำผลไม้ชนิดใดต่อไปนี้สามารถแนะนำให้ผู้ป่วยรับประทานได้</t>
        </is>
      </c>
      <c r="C13" s="2" t="n"/>
      <c r="D13" s="2" t="inlineStr">
        <is>
          <t>น้ำลูกยอ</t>
        </is>
      </c>
      <c r="E13" s="2" t="inlineStr">
        <is>
          <t>น้ำส้ม</t>
        </is>
      </c>
      <c r="F13" s="2" t="inlineStr">
        <is>
          <t>น้ำแตงโม</t>
        </is>
      </c>
      <c r="G13" s="2" t="inlineStr">
        <is>
          <t>น้ำกระเจี๊ยบ</t>
        </is>
      </c>
      <c r="H13" s="2" t="inlineStr">
        <is>
          <t>น้ำกล้วยหอมปั่น</t>
        </is>
      </c>
      <c r="I13" s="8" t="inlineStr">
        <is>
          <t>3</t>
        </is>
      </c>
      <c r="J13" s="2" t="inlineStr">
        <is>
          <t>✅ คำตอบที่ถูกต้อง: ข้อ ค. น้ำแตงโม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น้ำแตงโม ผู้ป่วยโรคไต (โดยเฉพาะ CKD) ต้องจำกัดโพแทสเซียม (Potassium) ในอาหาร น้ำส้ม น้ำลูกยอ น้ำกระเจี๊ยบ และกล้วยหอม มีปริมาณโพแทสเซียมสูง น้ำแตงโมมีปริมาณโพแทสเซียมต่ำกว่าและสามารถบริโภคในปริมาณที่เหมาะสมได้
🔍 ข้ออื่นผิดเพราะอะไร:
• ข้อ ก. (น้ำลูกยอ): ข้อนี้ไม่ใช่คำตอบที่ถูกต้องสำหรับภาวะ Chronic kidney diseases เนื่องจากกลไกการออกฤทธิ์, efficacy หรือข้อบ่งใช้ไม่ตรงกับโจทย์ที่กำหนด
• ข้อ ข. (น้ำส้ม): ข้อนี้ไม่ใช่คำตอบที่ถูกต้องสำหรับภาวะ Chronic kidney diseases เนื่องจากกลไกการออกฤทธิ์, efficacy หรือข้อบ่งใช้ไม่ตรงกับโจทย์ที่กำหนด
• ข้อ ง. (น้ำกระเจี๊ยบ): ข้อนี้ไม่ใช่คำตอบที่ถูกต้องสำหรับภาวะ Chronic kidney diseases เนื่องจากกลไกการออกฤทธิ์, efficacy หรือข้อบ่งใช้ไม่ตรงกับโจทย์ที่กำหนด
• ข้อ จ. (น้ำกล้วยหอมปั่น):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n"/>
      <c r="L13" s="2" t="inlineStr">
        <is>
          <t>Chronic kidney diseases</t>
        </is>
      </c>
      <c r="M13" s="2" t="inlineStr">
        <is>
          <t>Clinic</t>
        </is>
      </c>
      <c r="N13" s="2" t="inlineStr">
        <is>
          <t>ข้อ 11 Pharma Plus เล่มม่วง (เฉลยข้อ ค)</t>
        </is>
      </c>
      <c r="O13" s="2" t="inlineStr">
        <is>
          <t>Mock</t>
        </is>
      </c>
      <c r="P13" s="2" t="inlineStr">
        <is>
          <t>Pharma Plus เล่มม่วง</t>
        </is>
      </c>
    </row>
    <row r="14" ht="13.2" customHeight="1" s="37">
      <c r="A14" s="8" t="inlineStr">
        <is>
          <t>12</t>
        </is>
      </c>
      <c r="B14" s="2" t="inlineStr">
        <is>
          <t>ผู้ป่วยมาพบแพทย์ด้วยอาการไอแห้ง ไม่มีน้ำมูก ไม่มีไข้ ท่านคิดว่าน่าจะเกิดจากยาตัวใด</t>
        </is>
      </c>
      <c r="C14" s="2" t="n"/>
      <c r="D14" s="2" t="inlineStr">
        <is>
          <t>Sodamint</t>
        </is>
      </c>
      <c r="E14" s="2" t="inlineStr">
        <is>
          <t>Enalapril</t>
        </is>
      </c>
      <c r="F14" s="2" t="inlineStr">
        <is>
          <t>CaCO3</t>
        </is>
      </c>
      <c r="G14" s="2" t="inlineStr">
        <is>
          <t>Folic acid</t>
        </is>
      </c>
      <c r="H14" s="2" t="inlineStr">
        <is>
          <t>1alpha-VitD3</t>
        </is>
      </c>
      <c r="I14" s="8" t="inlineStr">
        <is>
          <t>2</t>
        </is>
      </c>
      <c r="J14" s="2" t="inlineStr">
        <is>
          <t>✅ คำตอบที่ถูกต้อง: ข้อ ข. Enalapril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Enalapril เป็นยาในกลุ่ม ACE inhibitors (ACEIs) ซึ่งมีผลข้างเคียงที่พบบ่อยคืออาการไอแห้ง (Dry cough) เนื่องจากมีการสะสมของ Bradykinin
🔍 ข้ออื่นผิดเพราะอะไร:
• ข้อ ก. (Sodamint): ข้อนี้ไม่ใช่คำตอบที่ถูกต้องสำหรับภาวะ Chronic kidney diseases เนื่องจากกลไกการออกฤทธิ์, efficacy หรือข้อบ่งใช้ไม่ตรงกับโจทย์ที่กำหนด
• ข้อ ค. (CaCO3): ข้อนี้ไม่ใช่คำตอบที่ถูกต้องสำหรับภาวะ Chronic kidney diseases เนื่องจากกลไกการออกฤทธิ์, efficacy หรือข้อบ่งใช้ไม่ตรงกับโจทย์ที่กำหนด
• ข้อ ง. (Folic acid): ข้อนี้ไม่ใช่คำตอบที่ถูกต้องสำหรับภาวะ Chronic kidney diseases เนื่องจากกลไกการออกฤทธิ์, efficacy หรือข้อบ่งใช้ไม่ตรงกับโจทย์ที่กำหนด
• ข้อ จ. (1alpha-VitD3):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 s="2" t="n"/>
      <c r="L14" s="2" t="inlineStr">
        <is>
          <t>Chronic kidney diseases</t>
        </is>
      </c>
      <c r="M14" s="2" t="inlineStr">
        <is>
          <t>Clinic</t>
        </is>
      </c>
      <c r="N14" s="2" t="inlineStr">
        <is>
          <t>ข้อ 12 Pharma Plus เล่มม่วง (เฉลยข้อ ข)</t>
        </is>
      </c>
      <c r="O14" s="2" t="inlineStr">
        <is>
          <t>Mock</t>
        </is>
      </c>
      <c r="P14" s="2" t="inlineStr">
        <is>
          <t>Pharma Plus เล่มม่วง</t>
        </is>
      </c>
    </row>
    <row r="15" ht="13.2" customHeight="1" s="37">
      <c r="A15" s="8" t="inlineStr">
        <is>
          <t>13</t>
        </is>
      </c>
      <c r="B15" s="2" t="inlineStr">
        <is>
          <t>ผู้ป่วยได้รับบริจาคไตจากญาติ ต่อมาได้รับการปลูกถ่ายไต และจำเป็นต้องใช้ยากดภูมิคุ้มกัน ข้อใดต่อไปนี้ไม่ใช่ยากดภูมิคุ้มกัน (Immunosuppressant)</t>
        </is>
      </c>
      <c r="C15" s="2" t="n"/>
      <c r="D15" s="2" t="inlineStr">
        <is>
          <t>Prednisolone</t>
        </is>
      </c>
      <c r="E15" s="2" t="inlineStr">
        <is>
          <t>Cyclosporine</t>
        </is>
      </c>
      <c r="F15" s="2" t="inlineStr">
        <is>
          <t>Tacrolimus</t>
        </is>
      </c>
      <c r="G15" s="2" t="inlineStr">
        <is>
          <t>Leucovorin</t>
        </is>
      </c>
      <c r="H15" s="2" t="inlineStr">
        <is>
          <t>Mycophenolate mofetil</t>
        </is>
      </c>
      <c r="I15" s="8" t="inlineStr">
        <is>
          <t>4</t>
        </is>
      </c>
      <c r="J15" s="2" t="inlineStr">
        <is>
          <t>✅ คำตอบที่ถูกต้อง: ข้อ ง. Leucovorin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Leucovorin (Folinic acid) ใช้เป็นยาช่วยลดความเป็นพิษของ Methotrexate หรือใช้ร่วมกับ 5-FU ไม่ใช่ยากดภูมิคุ้มกัน ส่วน Prednisolone, Cyclosporine, Tacrolimus และ Mycophenolate mofetil เป็นยากดภูมิคุ้มกันที่ใช้หลังปลูกถ่ายไต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(Cyclosporine): ข้อนี้ไม่ใช่คำตอบที่ถูกต้องสำหรับภาวะ Chronic kidney diseases เนื่องจากกลไกการออกฤทธิ์, efficacy หรือข้อบ่งใช้ไม่ตรงกับโจทย์ที่กำหนด
• ข้อ ค. (Tacrolimus): ข้อนี้ไม่ใช่คำตอบที่ถูกต้องสำหรับภาวะ Chronic kidney diseases เนื่องจากกลไกการออกฤทธิ์, efficacy หรือข้อบ่งใช้ไม่ตรงกับโจทย์ที่กำหนด
• ข้อ จ. (Mycophenolate mofetil):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n"/>
      <c r="L15" s="2" t="inlineStr">
        <is>
          <t>Chronic kidney diseases</t>
        </is>
      </c>
      <c r="M15" s="2" t="inlineStr">
        <is>
          <t>Clinic</t>
        </is>
      </c>
      <c r="N15" s="2" t="inlineStr">
        <is>
          <t>ข้อ 13 Pharma Plus เล่มม่วง (เฉลยข้อ ง)</t>
        </is>
      </c>
      <c r="O15" s="2" t="inlineStr">
        <is>
          <t>Mock</t>
        </is>
      </c>
      <c r="P15" s="2" t="inlineStr">
        <is>
          <t>Pharma Plus เล่มม่วง</t>
        </is>
      </c>
    </row>
    <row r="16" ht="13.2" customHeight="1" s="37">
      <c r="A16" s="8" t="inlineStr">
        <is>
          <t>14</t>
        </is>
      </c>
      <c r="B16"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ผู้ป่วยรายนี้มีค่า creatinine clearance ประมาณเท่าไร</t>
        </is>
      </c>
      <c r="C16" s="2" t="n"/>
      <c r="D16" s="2" t="inlineStr">
        <is>
          <t>10 mL/min</t>
        </is>
      </c>
      <c r="E16" s="2" t="inlineStr">
        <is>
          <t>15 mL/min</t>
        </is>
      </c>
      <c r="F16" s="2" t="inlineStr">
        <is>
          <t>20 mL/min</t>
        </is>
      </c>
      <c r="G16" s="2" t="inlineStr">
        <is>
          <t>25 mL/min</t>
        </is>
      </c>
      <c r="H16" s="2" t="inlineStr">
        <is>
          <t>30 mL/min</t>
        </is>
      </c>
      <c r="I16" s="8" t="inlineStr">
        <is>
          <t>4</t>
        </is>
      </c>
      <c r="J16" s="2" t="inlineStr">
        <is>
          <t>✅ คำตอบที่ถูกต้อง: ข้อ ง. 25 mL/min
💡 Background:
ภาวะไตเสื่อม (CKD/AKI) ต้องระมัดระวังการปรับขนาดยาตาม renal function (eGFR/CrCl) และหลีกเลี่ยง nephrotoxic drugs
🎯 ทำไมข้อนี้ถึงถูก:
25 mL/min คำนวณด้วยสูตร Cockcroft-Gault: CrCl = [(140 - อายุ) x น้ำหนัก (kg)] / (72 x Scr) x 0.85 (ถ้าเป็นหญิง แต่ข้อนี้ชาย 80 ปี, 60 kg, Scr 2) -&gt; CrCl = [(140 - 80) x 60] / (72 x 2) = [60 x 60] / 144 = 3600 / 144 = 25 mL/min
🔍 ข้ออื่นผิดเพราะอะไร:
• ข้อ ก. (10 mL/min): ข้อนี้ไม่ใช่คำตอบที่ถูกต้องสำหรับภาวะ Chronic kidney diseases เนื่องจากกลไกการออกฤทธิ์, efficacy หรือข้อบ่งใช้ไม่ตรงกับโจทย์ที่กำหนด
• ข้อ ข. (15 mL/min): ข้อนี้ไม่ใช่คำตอบที่ถูกต้องสำหรับภาวะ Chronic kidney diseases เนื่องจากกลไกการออกฤทธิ์, efficacy หรือข้อบ่งใช้ไม่ตรงกับโจทย์ที่กำหนด
• ข้อ ค. (20 mL/min): ข้อนี้ไม่ใช่คำตอบที่ถูกต้องสำหรับภาวะ Chronic kidney diseases เนื่องจากกลไกการออกฤทธิ์, efficacy หรือข้อบ่งใช้ไม่ตรงกับโจทย์ที่กำหนด
• ข้อ จ. (30 mL/min):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6" s="2" t="n"/>
      <c r="L16" s="2" t="inlineStr">
        <is>
          <t>Chronic kidney diseases</t>
        </is>
      </c>
      <c r="M16" s="2" t="inlineStr">
        <is>
          <t>Clinic</t>
        </is>
      </c>
      <c r="N16" s="2" t="inlineStr">
        <is>
          <t>ข้อ 14 Pharma Plus เล่มม่วง (เฉลยข้อ ง)</t>
        </is>
      </c>
      <c r="O16" s="2" t="inlineStr">
        <is>
          <t>Mock</t>
        </is>
      </c>
      <c r="P16" s="2" t="inlineStr">
        <is>
          <t>Pharma Plus เล่มม่วง</t>
        </is>
      </c>
    </row>
    <row r="17" ht="13.2" customHeight="1" s="37">
      <c r="A17" s="8" t="inlineStr">
        <is>
          <t>15</t>
        </is>
      </c>
      <c r="B17"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ท่านคิดว่า อะไรคือสาเหตุของ acute renal failure ในผู้ป่วยรายนี้</t>
        </is>
      </c>
      <c r="C17" s="2" t="n"/>
      <c r="D17" s="2" t="inlineStr">
        <is>
          <t>Hypovolemia</t>
        </is>
      </c>
      <c r="E17" s="2" t="inlineStr">
        <is>
          <t>Bleeding</t>
        </is>
      </c>
      <c r="F17" s="2" t="inlineStr">
        <is>
          <t>Rhabdomyolysis</t>
        </is>
      </c>
      <c r="G17" s="2" t="inlineStr">
        <is>
          <t>ได้รับยา nephrotoxic</t>
        </is>
      </c>
      <c r="H17" s="2" t="inlineStr">
        <is>
          <t>นิ่ว</t>
        </is>
      </c>
      <c r="I17" s="8" t="inlineStr">
        <is>
          <t>3</t>
        </is>
      </c>
      <c r="J17" s="2" t="inlineStr">
        <is>
          <t>✅ คำตอบที่ถูกต้อง: ข้อ ค. Rhabdomyolysis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Rhabdomyolysis การใช้ยา Simvastatin ร่วมกับ Ketoconazole (ซึ่งเป็น CYP3A4 inhibitor) ทำให้ระดับ Simvastatin ในเลือดสูงขึ้นมาก เพิ่มความเสี่ยงในการเกิด Rhabdomyolysis ซึ่งนำไปสู่ Acute Renal Failure (และสอดคล้องกับค่า K+ สูงถึง 7 mmol/L จากภาวะเซลล์สลาย)
🔍 ข้ออื่นผิดเพราะอะไร:
• ข้อ ก. (Hypovolemia): ข้อนี้ไม่ใช่คำตอบที่ถูกต้องสำหรับภาวะ Chronic kidney diseases เนื่องจากกลไกการออกฤทธิ์, efficacy หรือข้อบ่งใช้ไม่ตรงกับโจทย์ที่กำหนด
• ข้อ ข. (Bleeding): ข้อนี้ไม่ใช่คำตอบที่ถูกต้องสำหรับภาวะ Chronic kidney diseases เนื่องจากกลไกการออกฤทธิ์, efficacy หรือข้อบ่งใช้ไม่ตรงกับโจทย์ที่กำหนด
• ข้อ ง. (ได้รับยา nephrotoxic): ข้อนี้ไม่ใช่คำตอบที่ถูกต้องสำหรับภาวะ Chronic kidney diseases เนื่องจากกลไกการออกฤทธิ์, efficacy หรือข้อบ่งใช้ไม่ตรงกับโจทย์ที่กำหนด
• ข้อ จ. (นิ่ว):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7" s="2" t="n"/>
      <c r="L17" s="2" t="inlineStr">
        <is>
          <t>Chronic kidney diseases</t>
        </is>
      </c>
      <c r="M17" s="2" t="inlineStr">
        <is>
          <t>Clinic</t>
        </is>
      </c>
      <c r="N17" s="2" t="inlineStr">
        <is>
          <t>ข้อ 15 Pharma Plus เล่มม่วง (เฉลยข้อ ค)</t>
        </is>
      </c>
      <c r="O17" s="2" t="inlineStr">
        <is>
          <t>Mock</t>
        </is>
      </c>
      <c r="P17" s="2" t="inlineStr">
        <is>
          <t>Pharma Plus เล่มม่วง</t>
        </is>
      </c>
    </row>
    <row r="18" ht="13.2" customHeight="1" s="37">
      <c r="A18" s="8" t="inlineStr">
        <is>
          <t>16</t>
        </is>
      </c>
      <c r="B18" s="2" t="inlineStr">
        <is>
          <t>ภาวะ oliguria คือข้อใด</t>
        </is>
      </c>
      <c r="C18" s="2" t="n"/>
      <c r="D18" s="2" t="inlineStr">
        <is>
          <t>ภาวะปัสสาวะมากกว่าปกติ</t>
        </is>
      </c>
      <c r="E18" s="2" t="inlineStr">
        <is>
          <t>ภาวะปัสสาวะน้อยกว่าปกติ</t>
        </is>
      </c>
      <c r="F18" s="2" t="inlineStr">
        <is>
          <t>ภาวะปัสสาวะใกล้เคียงกับปกติ</t>
        </is>
      </c>
      <c r="G18" s="2" t="inlineStr">
        <is>
          <t>ภาวะเม็ดเลือดในปัสสาวะ</t>
        </is>
      </c>
      <c r="H18" s="2" t="inlineStr">
        <is>
          <t>ภาวะโปรตีนในปัสสาวะ</t>
        </is>
      </c>
      <c r="I18" s="8" t="inlineStr">
        <is>
          <t>2</t>
        </is>
      </c>
      <c r="J18" s="2" t="inlineStr">
        <is>
          <t>✅ คำตอบที่ถูกต้อง: ข้อ ข. ภาวะปัสสาวะน้อยกว่าปกติ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ภาวะปัสสาวะน้อยกว่าปกติ Oliguria (ภาวะปัสสาวะน้อย) หมายถึงปริมาณปัสสาวะน้อยกว่า 400-500 mL/day ในผู้ใหญ่ หรือ
🔍 ข้ออื่นผิดเพราะอะไร:
• ข้อ ก. (ภาวะปัสสาวะมากกว่าปกติ): ข้อนี้ไม่ใช่คำตอบที่ถูกต้องสำหรับภาวะ Chronic kidney diseases เนื่องจากกลไกการออกฤทธิ์, efficacy หรือข้อบ่งใช้ไม่ตรงกับโจทย์ที่กำหนด
• ข้อ ค. (ภาวะปัสสาวะใกล้เคียงกับปกติ): ข้อนี้ไม่ใช่คำตอบที่ถูกต้องสำหรับภาวะ Chronic kidney diseases เนื่องจากกลไกการออกฤทธิ์, efficacy หรือข้อบ่งใช้ไม่ตรงกับโจทย์ที่กำหนด
• ข้อ ง. (ภาวะเม็ดเลือดในปัสสาวะ): ข้อนี้ไม่ใช่คำตอบที่ถูกต้องสำหรับภาวะ Chronic kidney diseases เนื่องจากกลไกการออกฤทธิ์, efficacy หรือข้อบ่งใช้ไม่ตรงกับโจทย์ที่กำหนด
• ข้อ จ. (ภาวะโปรตีนในปัสสาวะ):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Chronic kidney diseases</t>
        </is>
      </c>
      <c r="M18" s="2" t="inlineStr">
        <is>
          <t>Clinic</t>
        </is>
      </c>
      <c r="N18" s="2" t="inlineStr">
        <is>
          <t>ข้อ 16 Pharma Plus เล่มม่วง (เฉลยข้อ ข)</t>
        </is>
      </c>
      <c r="O18" s="2" t="inlineStr">
        <is>
          <t>Mock</t>
        </is>
      </c>
      <c r="P18" s="2" t="inlineStr">
        <is>
          <t>Pharma Plus เล่มม่วง</t>
        </is>
      </c>
    </row>
    <row r="19" ht="13.2" customHeight="1" s="37">
      <c r="A19" s="8" t="inlineStr">
        <is>
          <t>17</t>
        </is>
      </c>
      <c r="B19" s="2" t="inlineStr">
        <is>
          <t>อาการข้างต้น อาจเกิดได้จากยาในข้อใด</t>
        </is>
      </c>
      <c r="C19" s="2" t="n"/>
      <c r="D19" s="2" t="inlineStr">
        <is>
          <t>Atenolol</t>
        </is>
      </c>
      <c r="E19" s="2" t="inlineStr">
        <is>
          <t>Simvastatin</t>
        </is>
      </c>
      <c r="F19" s="2" t="inlineStr">
        <is>
          <t>Aspirin</t>
        </is>
      </c>
      <c r="G19" s="2" t="inlineStr">
        <is>
          <t>Hydralazine</t>
        </is>
      </c>
      <c r="H19" s="2" t="inlineStr">
        <is>
          <t>Felodipine</t>
        </is>
      </c>
      <c r="I19" s="8" t="inlineStr">
        <is>
          <t>2</t>
        </is>
      </c>
      <c r="J19" s="2" t="inlineStr">
        <is>
          <t>✅ คำตอบที่ถูกต้อง: ข้อ ข. Simvastatin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Simvastatin คำถามต่อเนื่องจากโจทย์ก่อนหน้า (เกี่ยวข้องกับอาการบวมน้ำหรือความผิดปกติทางไต/อิเล็กโทรไลต์) โดยกลุ่มยา Dihydropyridine calcium channel blockers เช่น Felodipine ทำให้เกิด peripheral edema ได้บ่อยจาก arteriolar vasodilation
 เป็น moderate-intensity statin เมแทบอไลต์ผ่าน CYP3A4 เด่นชัด ห้ามใช้ dose 80 mg และมี drug interactions สูงกับ CYP3A4 inhibitors (clarithromycin, ketoconazole)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ค. (Aspirin): เป็น irreversible COX-1 inhibitor ยับยั้ง Thromboxane A2 เป็นแกนหลักใน antiplatelet secondary prevention ของ CVD (ขนาดยา 75-100 mg/day)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Chronic kidney diseases</t>
        </is>
      </c>
      <c r="M19" s="2" t="inlineStr">
        <is>
          <t>Clinic</t>
        </is>
      </c>
      <c r="N19" s="2" t="inlineStr">
        <is>
          <t>ข้อ 17 Pharma Plus เล่มม่วง (เฉลยข้อ ข)</t>
        </is>
      </c>
      <c r="O19" s="2" t="inlineStr">
        <is>
          <t>Mock</t>
        </is>
      </c>
      <c r="P19" s="2" t="inlineStr">
        <is>
          <t>Pharma Plus เล่มม่วง</t>
        </is>
      </c>
    </row>
    <row r="20" ht="13.2" customHeight="1" s="37">
      <c r="A20" s="8" t="inlineStr">
        <is>
          <t>18</t>
        </is>
      </c>
      <c r="B20" s="2" t="inlineStr">
        <is>
          <t>ในภาวะข้างต้น ผู้ป่วยควรได้รับการรักษาในข้อมากที่สุด ในการปรับสมดุลอิเล็กโทรไลต์</t>
        </is>
      </c>
      <c r="C20" s="2" t="n"/>
      <c r="D20" s="2" t="inlineStr">
        <is>
          <t>Dextrose + insulin</t>
        </is>
      </c>
      <c r="E20" s="2" t="inlineStr">
        <is>
          <t>Erythropoietin</t>
        </is>
      </c>
      <c r="F20" s="2" t="inlineStr">
        <is>
          <t>Sodium bicarbonate</t>
        </is>
      </c>
      <c r="G20" s="2" t="inlineStr">
        <is>
          <t>Calcitriol</t>
        </is>
      </c>
      <c r="H20" s="2" t="inlineStr">
        <is>
          <t>Calcium carbonate</t>
        </is>
      </c>
      <c r="I20" s="8" t="inlineStr">
        <is>
          <t>1</t>
        </is>
      </c>
      <c r="J20" s="2" t="inlineStr">
        <is>
          <t>✅ คำตอบที่ถูกต้อง: ข้อ ก. Dextrose + insulin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Dextrose + insulin หากภาวะข้างต้นคือ Hyperkalemia รุนแรง การรักษาเร่งด่วนเพื่อย้าย potassium เข้าเซลล์คือ Regular insulin ร่วมกับ 50% Dextrose ตามแนวทางปฏิบัติการจัดการภาวะฉุกเฉินทางอายุรกรรม
🔍 ข้ออื่นผิดเพราะอะไร:
• ข้อ ข. (Erythropoietin): ข้อนี้ไม่ใช่คำตอบที่ถูกต้องสำหรับภาวะ Chronic kidney diseases เนื่องจากกลไกการออกฤทธิ์, efficacy หรือข้อบ่งใช้ไม่ตรงกับโจทย์ที่กำหนด
• ข้อ ค. (Sodium bicarbonate): ข้อนี้ไม่ใช่คำตอบที่ถูกต้องสำหรับภาวะ Chronic kidney diseases เนื่องจากกลไกการออกฤทธิ์, efficacy หรือข้อบ่งใช้ไม่ตรงกับโจทย์ที่กำหนด
• ข้อ ง. (Calcitriol): ข้อนี้ไม่ใช่คำตอบที่ถูกต้องสำหรับภาวะ Chronic kidney diseases เนื่องจากกลไกการออกฤทธิ์, efficacy หรือข้อบ่งใช้ไม่ตรงกับโจทย์ที่กำหนด
• ข้อ จ. (Calcium carbonate):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Chronic kidney diseases</t>
        </is>
      </c>
      <c r="M20" s="2" t="inlineStr">
        <is>
          <t>Clinic</t>
        </is>
      </c>
      <c r="N20" s="2" t="inlineStr">
        <is>
          <t>ข้อ 18 Pharma Plus เล่มม่วง (เฉลยข้อ ก)</t>
        </is>
      </c>
      <c r="O20" s="2" t="inlineStr">
        <is>
          <t>Mock</t>
        </is>
      </c>
      <c r="P20" s="2" t="inlineStr">
        <is>
          <t>Pharma Plus เล่มม่วง</t>
        </is>
      </c>
    </row>
    <row r="21" ht="13.2" customHeight="1" s="37">
      <c r="A21" s="8" t="inlineStr">
        <is>
          <t>19</t>
        </is>
      </c>
      <c r="B21" s="2" t="inlineStr">
        <is>
          <t>ข้อใดเป็นผลกระทบเกี่ยวกับสมดุลอิเล็กโทรไลต์จากการใช้ยา oral corticosteroids</t>
        </is>
      </c>
      <c r="C21" s="2" t="n"/>
      <c r="D21" s="2" t="inlineStr">
        <is>
          <t>Hyperkalemia</t>
        </is>
      </c>
      <c r="E21" s="2" t="inlineStr">
        <is>
          <t>Hyponatremia</t>
        </is>
      </c>
      <c r="F21" s="2" t="inlineStr">
        <is>
          <t>Hypocalcemia</t>
        </is>
      </c>
      <c r="G21" s="2" t="inlineStr">
        <is>
          <t>Hypokalemia</t>
        </is>
      </c>
      <c r="H21" s="2" t="inlineStr">
        <is>
          <t>Hyperchloremic</t>
        </is>
      </c>
      <c r="I21" s="8" t="inlineStr">
        <is>
          <t>4</t>
        </is>
      </c>
      <c r="J21" s="2" t="inlineStr">
        <is>
          <t>✅ คำตอบที่ถูกต้อง: ข้อ ง. Hypokalemia
💡 Background:
การบริบาลผู้ป่วยในกลุ่มโรค Fluid &amp; Electrolyte มุ่งเน้นการควบคุมโรคและลดความเสี่ยงต่อภาวะแทรกซ้อนด้วย evidence-based pharmacotherapy
🎯 ทำไมข้อนี้ถึงถูก:
Hypokalemia Corticosteroids มีฤทธิ์ mineralocorticoid เล็กน้อย ส่งเสริมการขับ Potassium และ Hydrogen ions ออกทางไต ส่งผลให้เกิด Hypokalemia และ Metabolic alkalosis รวมถึงการคั่งของ Sodium และน้ำ
🔍 ข้ออื่นผิดเพราะอะไร:
• ข้อ ก. (Hyperkalemia): ข้อนี้ไม่ใช่คำตอบที่ถูกต้องสำหรับภาวะ Fluid &amp; Electrolyte เนื่องจากกลไกการออกฤทธิ์, efficacy หรือข้อบ่งใช้ไม่ตรงกับโจทย์ที่กำหนด
• ข้อ ข. (Hyponatremia): ข้อนี้ไม่ใช่คำตอบที่ถูกต้องสำหรับภาวะ Fluid &amp; Electrolyte เนื่องจากกลไกการออกฤทธิ์, efficacy หรือข้อบ่งใช้ไม่ตรงกับโจทย์ที่กำหนด
• ข้อ ค. (Hypocalcemia): ข้อนี้ไม่ใช่คำตอบที่ถูกต้องสำหรับภาวะ Fluid &amp; Electrolyte เนื่องจากกลไกการออกฤทธิ์, efficacy หรือข้อบ่งใช้ไม่ตรงกับโจทย์ที่กำหนด
• ข้อ จ. (Hyperchloremic): ข้อนี้ไม่ใช่คำตอบที่ถูกต้องสำหรับภาวะ Fluid &amp; Electrolyte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Fluid &amp; Electrolyte</t>
        </is>
      </c>
      <c r="M21" s="2" t="inlineStr">
        <is>
          <t>Clinic</t>
        </is>
      </c>
      <c r="N21" s="2" t="inlineStr">
        <is>
          <t>ข้อ 19 Pharma Plus เล่มม่วง (เฉลยข้อ ง)</t>
        </is>
      </c>
      <c r="O21" s="2" t="inlineStr">
        <is>
          <t>Mock</t>
        </is>
      </c>
      <c r="P21" s="2" t="inlineStr">
        <is>
          <t>Pharma Plus เล่มม่วง</t>
        </is>
      </c>
    </row>
    <row r="22" ht="13.2" customHeight="1" s="37">
      <c r="A22" s="8" t="inlineStr">
        <is>
          <t>20</t>
        </is>
      </c>
      <c r="B22" s="2" t="inlineStr">
        <is>
          <t>สถานการณ์ที่ 6 ผู้ป่วยชายไทย คู่ อายุ 55 ปี น้ำหนัก 80 กก. สูง 170 ซม. มีโรคประจำตัวคือ ความดันโลหิตสูง เบาหวาน เกาต์ มีประวัติสูบบุหรี่วันละ 1 ซอง มีอาชีพเป็นทนาย ไม่ค่อยออกกำลังกาย
ข้อใดเป็นสาเหตุการเกิดโรคไตวายเรื้อรังในผู้ป่วยรายนี้</t>
        </is>
      </c>
      <c r="C22" s="2" t="n"/>
      <c r="D22" s="2" t="inlineStr">
        <is>
          <t>ผู้ป่วยเป็นโรคความดันโลหิตสูงและเบาหวาน</t>
        </is>
      </c>
      <c r="E22" s="2" t="inlineStr">
        <is>
          <t>ผู้ป่วยเป็นโรคเกาต์</t>
        </is>
      </c>
      <c r="F22" s="2" t="inlineStr">
        <is>
          <t>สูบบุหรี่วันละ 1 ซอง</t>
        </is>
      </c>
      <c r="G22" s="2" t="inlineStr">
        <is>
          <t>ไม่ค่อยออกกำลังกาย</t>
        </is>
      </c>
      <c r="H22" s="2" t="inlineStr">
        <is>
          <t>มีอาชีพเป็นทนาย</t>
        </is>
      </c>
      <c r="I22" s="8" t="inlineStr">
        <is>
          <t>1</t>
        </is>
      </c>
      <c r="J22" s="2" t="inlineStr">
        <is>
          <t>✅ คำตอบที่ถูกต้อง: ข้อ ก. ผู้ป่วยเป็นโรคความดันโลหิตสูงและเบาหวาน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ผู้ป่วยเป็นโรคความดันโลหิตสูงและเบาหวาน สาเหตุหลักที่พบบ่อยที่สุดของโรคไตเรื้อรัง (CKD) ได้แก่ โรคเบาหวาน (Diabetic nephropathy) และโรคความดันโลหิตสูง (Hypertensive nephrosclerosis) ซึ่งผู้ป่วยรายนี้มีปัจจัยเสี่ยงหลักทั้งสองโรค
🔍 ข้ออื่นผิดเพราะอะไร:
• ข้อ ข. (ผู้ป่วยเป็นโรคเกาต์): ข้อนี้ไม่ใช่คำตอบที่ถูกต้องสำหรับภาวะ Chronic kidney diseases เนื่องจากกลไกการออกฤทธิ์, efficacy หรือข้อบ่งใช้ไม่ตรงกับโจทย์ที่กำหนด
• ข้อ ค. (สูบบุหรี่วันละ 1 ซอง): ข้อนี้ไม่ใช่คำตอบที่ถูกต้องสำหรับภาวะ Chronic kidney diseases เนื่องจากกลไกการออกฤทธิ์, efficacy หรือข้อบ่งใช้ไม่ตรงกับโจทย์ที่กำหนด
• ข้อ ง. (ไม่ค่อยออกกำลังกาย): ข้อนี้ไม่ใช่คำตอบที่ถูกต้องสำหรับภาวะ Chronic kidney diseases เนื่องจากกลไกการออกฤทธิ์, efficacy หรือข้อบ่งใช้ไม่ตรงกับโจทย์ที่กำหนด
• ข้อ จ. (มีอาชีพเป็นทนาย):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2" s="2" t="n"/>
      <c r="L22" s="2" t="inlineStr">
        <is>
          <t>Chronic kidney diseases</t>
        </is>
      </c>
      <c r="M22" s="2" t="inlineStr">
        <is>
          <t>Clinic</t>
        </is>
      </c>
      <c r="N22" s="2" t="inlineStr">
        <is>
          <t>ข้อ 20 Pharma Plus เล่มม่วง (เฉลยข้อ ก)</t>
        </is>
      </c>
      <c r="O22" s="2" t="inlineStr">
        <is>
          <t>Mock</t>
        </is>
      </c>
      <c r="P22" s="2" t="inlineStr">
        <is>
          <t>Pharma Plus เล่มม่วง</t>
        </is>
      </c>
    </row>
    <row r="23" ht="13.2" customHeight="1" s="37">
      <c r="A23" s="8" t="inlineStr">
        <is>
          <t>21</t>
        </is>
      </c>
      <c r="B23" s="2" t="inlineStr">
        <is>
          <t>ผู้ป่วยมีภาวะ fluid retention ควรได้รับยาใด</t>
        </is>
      </c>
      <c r="C23" s="2" t="n"/>
      <c r="D23" s="2" t="inlineStr">
        <is>
          <t>HCTZ</t>
        </is>
      </c>
      <c r="E23" s="2" t="inlineStr">
        <is>
          <t>Amirolide</t>
        </is>
      </c>
      <c r="F23" s="2" t="inlineStr">
        <is>
          <t>Furosemide</t>
        </is>
      </c>
      <c r="G23" s="2" t="inlineStr">
        <is>
          <t>Acetazolamide</t>
        </is>
      </c>
      <c r="H23" s="2" t="inlineStr">
        <is>
          <t>HCTZ+Amirolide</t>
        </is>
      </c>
      <c r="I23" s="8" t="inlineStr">
        <is>
          <t>3</t>
        </is>
      </c>
      <c r="J23" s="2" t="inlineStr">
        <is>
          <t>✅ คำตอบที่ถูกต้อง: ข้อ ค. Furosemide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ในผู้ป่วยที่มีภาวะการทำงานของไตบกพร่อง (หรือมีภาวะ fluid retention รุนแรง) Loop diuretics เช่น Furosemide เป็นยาขับปัสสาวะที่มี efficacy สูงที่สุดและเหมาะสมกว่า Thiazides เมื่อ eGFR ลดลงต่ำมาก
🔍 ข้ออื่นผิดเพราะอะไร:
• ข้อ ก. (HCTZ): ข้อนี้ไม่ใช่คำตอบที่ถูกต้องสำหรับภาวะ Chronic kidney diseases เนื่องจากกลไกการออกฤทธิ์, efficacy หรือข้อบ่งใช้ไม่ตรงกับโจทย์ที่กำหนด
• ข้อ ข. (Amirolide): ข้อนี้ไม่ใช่คำตอบที่ถูกต้องสำหรับภาวะ Chronic kidney diseases เนื่องจากกลไกการออกฤทธิ์, efficacy หรือข้อบ่งใช้ไม่ตรงกับโจทย์ที่กำหนด
• ข้อ ง. (Acetazolamide): ข้อนี้ไม่ใช่คำตอบที่ถูกต้องสำหรับภาวะ Chronic kidney diseases เนื่องจากกลไกการออกฤทธิ์, efficacy หรือข้อบ่งใช้ไม่ตรงกับโจทย์ที่กำหนด
• ข้อ จ. (HCTZ+Amirolide):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 s="2" t="n"/>
      <c r="L23" s="2" t="inlineStr">
        <is>
          <t>Chronic kidney diseases</t>
        </is>
      </c>
      <c r="M23" s="2" t="inlineStr">
        <is>
          <t>Clinic</t>
        </is>
      </c>
      <c r="N23" s="2" t="inlineStr">
        <is>
          <t>ข้อ 21 Pharma Plus เล่มม่วง (เฉลยข้อ ค)</t>
        </is>
      </c>
      <c r="O23" s="2" t="inlineStr">
        <is>
          <t>Mock</t>
        </is>
      </c>
      <c r="P23" s="2" t="inlineStr">
        <is>
          <t>Pharma Plus เล่มม่วง</t>
        </is>
      </c>
    </row>
    <row r="24" ht="13.2" customHeight="1" s="37">
      <c r="A24" s="8" t="inlineStr">
        <is>
          <t>22</t>
        </is>
      </c>
      <c r="B24" s="2" t="inlineStr">
        <is>
          <t>จากอาการ การตรวจร่างกาย และผลการตรวจทางห้องปฏิบัติการของผู้ป่วยในครั้งนี้ ผู้ป่วยน่าจะเป็นโรคอะไรและเกิดจากสาเหตุใด</t>
        </is>
      </c>
      <c r="C24" s="2" t="n"/>
      <c r="D24" s="2" t="inlineStr">
        <is>
          <t>ไตวายเฉียบพลัน จากยา enalapril</t>
        </is>
      </c>
      <c r="E24" s="2" t="inlineStr">
        <is>
          <t>ไตวายเฉียบพลัน จากยา hydrochlorothiazide</t>
        </is>
      </c>
      <c r="F24" s="2" t="inlineStr">
        <is>
          <t>ไตวายเฉียบพลัน จากภาวะ dehydration</t>
        </is>
      </c>
      <c r="G24" s="2" t="inlineStr">
        <is>
          <t>ไตวายเรื้อรัง จากโรคความดันโลหิตสูง</t>
        </is>
      </c>
      <c r="H24" s="2" t="inlineStr">
        <is>
          <t>ไตวายเรื้อรัง จากการมีนิ่วอุดตันในท่อไต</t>
        </is>
      </c>
      <c r="I24" s="8" t="inlineStr">
        <is>
          <t>4</t>
        </is>
      </c>
      <c r="J24" s="2" t="inlineStr">
        <is>
          <t>✅ คำตอบที่ถูกต้อง: ข้อ ง. ไตวายเรื้อรัง จากโรคความดันโลหิตสูง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ไตวายเรื้อรัง จากโรคความดันโลหิตสูง ยาในกลุ่ม ACE inhibitors (เช่น enalapril) มีกลไกทำให้เกิดการขยายตัวของ efferent arteriole ลด intraglomerular pressure ส่งผลให้ GFR ลดลงชั่วคราว โดยเฉพาะในผู้ป่วยที่มีภาวะ dehydration หรือ renal artery stenosis จึงเสี่ยงเกิดภาวะ Prerenal AKI ได้
🔍 ข้ออื่นผิดเพราะอะไร:
• ข้อ ก. (ไตวายเฉียบพลัน จากยา enalapril): เป็น ACE inhibitor ลด Angiotensin II และ intraglomerular pressure มี renal protective efficacy เด่นชัดใน diabetic kidney disease แต่อาจเกิด dry cough จากการสะสมของ bradykinin
• ข้อ ข. (ไตวายเฉียบพลัน จากยา hydrochlorothiazide): เป็น Thiazide diuretic ลด plasma volume แต่อาจทำให้เกิด hypokalemia, hyponatremia, hyperuricemia และ hyperglycemia และ efficacy ลดลงมากเมื่อ eGFR &lt; 30 mL/min
• ข้อ ค. (ไตวายเฉียบพลัน จากภาวะ dehydration): ข้อนี้ไม่ใช่คำตอบที่ถูกต้องสำหรับภาวะ Chronic kidney diseases เนื่องจากกลไกการออกฤทธิ์, efficacy หรือข้อบ่งใช้ไม่ตรงกับโจทย์ที่กำหนด
• ข้อ จ. (ไตวายเรื้อรัง จากการมีนิ่วอุดตันในท่อไต):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2" t="n"/>
      <c r="L24" s="2" t="inlineStr">
        <is>
          <t>Chronic kidney diseases</t>
        </is>
      </c>
      <c r="M24" s="2" t="inlineStr">
        <is>
          <t>Clinic</t>
        </is>
      </c>
      <c r="N24" s="2" t="inlineStr">
        <is>
          <t>ข้อ 22 Pharma Plus เล่มม่วง (เฉลยข้อ ง)</t>
        </is>
      </c>
      <c r="O24" s="2" t="inlineStr">
        <is>
          <t>Mock</t>
        </is>
      </c>
      <c r="P24" s="2" t="inlineStr">
        <is>
          <t>Pharma Plus เล่มม่วง</t>
        </is>
      </c>
    </row>
    <row r="25" ht="13.2" customHeight="1" s="37">
      <c r="A25" s="8" t="inlineStr">
        <is>
          <t>23</t>
        </is>
      </c>
      <c r="B25" s="2" t="inlineStr">
        <is>
          <t>Hydrochlorothiazide (HCTZ) ออกฤทธิ์ยับยั้งกระบวนการในข้อใด</t>
        </is>
      </c>
      <c r="C25" s="2" t="n"/>
      <c r="D25" s="2" t="inlineStr">
        <is>
          <t>Vasopressin's action</t>
        </is>
      </c>
      <c r="E25" s="2" t="inlineStr">
        <is>
          <t>Reabsorption of Na⁺</t>
        </is>
      </c>
      <c r="F25" s="2" t="inlineStr">
        <is>
          <t>Na⁺/K⁺/2Cl⁻ symporter</t>
        </is>
      </c>
      <c r="G25" s="2" t="inlineStr">
        <is>
          <t>Na⁺/K⁺ exchanger</t>
        </is>
      </c>
      <c r="H25" s="2" t="inlineStr">
        <is>
          <t>Reabsorption by Na⁺/Cl⁻ symporter</t>
        </is>
      </c>
      <c r="I25" s="8" t="inlineStr">
        <is>
          <t>5</t>
        </is>
      </c>
      <c r="J25" s="2" t="inlineStr">
        <is>
          <t>✅ คำตอบที่ถูกต้อง: ข้อ จ. Reabsorption by Na⁺/Cl⁻ symporter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Reabsorption by Na⁺/Cl⁻ symporter Hydrochlorothiazide (HCTZ) เป็นยาขับปัสสาวะกลุ่ม Thiazide ออกฤทธิ์ที่ early distal convoluted tubule (DCT) โดยการยับยั้งการดูดกลับของโซเดียมและคลอไรด์ผ่าน Na⁺/Cl⁻ symporter
🔍 ข้ออื่นผิดเพราะอะไร:
• ข้อ ก. (Vasopressin's action): ข้อนี้ไม่ใช่คำตอบที่ถูกต้องสำหรับภาวะ Chronic kidney diseases เนื่องจากกลไกการออกฤทธิ์, efficacy หรือข้อบ่งใช้ไม่ตรงกับโจทย์ที่กำหนด
• ข้อ ข. (Reabsorption of Na⁺): ข้อนี้ไม่ใช่คำตอบที่ถูกต้องสำหรับภาวะ Chronic kidney diseases เนื่องจากกลไกการออกฤทธิ์, efficacy หรือข้อบ่งใช้ไม่ตรงกับโจทย์ที่กำหนด
• ข้อ ค. (Na⁺/K⁺/2Cl⁻ symporter): ข้อนี้ไม่ใช่คำตอบที่ถูกต้องสำหรับภาวะ Chronic kidney diseases เนื่องจากกลไกการออกฤทธิ์, efficacy หรือข้อบ่งใช้ไม่ตรงกับโจทย์ที่กำหนด
• ข้อ ง. (Na⁺/K⁺ exchanger):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5" s="2" t="n"/>
      <c r="L25" s="2" t="inlineStr">
        <is>
          <t>Chronic kidney diseases</t>
        </is>
      </c>
      <c r="M25" s="2" t="inlineStr">
        <is>
          <t>Clinic</t>
        </is>
      </c>
      <c r="N25" s="2" t="inlineStr">
        <is>
          <t>ข้อ 23 Pharma Plus เล่มม่วง (เฉลยข้อ จ)</t>
        </is>
      </c>
      <c r="O25" s="2" t="inlineStr">
        <is>
          <t>Mock</t>
        </is>
      </c>
      <c r="P25" s="2" t="inlineStr">
        <is>
          <t>Pharma Plus เล่มม่วง</t>
        </is>
      </c>
    </row>
    <row r="26" ht="13.2" customHeight="1" s="37">
      <c r="A26" s="8" t="inlineStr">
        <is>
          <t>24</t>
        </is>
      </c>
      <c r="B26" s="2" t="inlineStr">
        <is>
          <t>ผู้ป่วยมีภาวะ fluid retention การรักษาใดที่ไม่เหมาะสม</t>
        </is>
      </c>
      <c r="C26" s="2" t="n"/>
      <c r="D26" s="2" t="inlineStr">
        <is>
          <t>จำกัดน้ำ</t>
        </is>
      </c>
      <c r="E26" s="2" t="inlineStr">
        <is>
          <t>ให้ยาขับปัสสาวะ</t>
        </is>
      </c>
      <c r="F26" s="2" t="inlineStr">
        <is>
          <t>ควบคุมความดันด้วยยา enalapril ต่อ</t>
        </is>
      </c>
      <c r="G26" s="2" t="inlineStr">
        <is>
          <t>รักษา CHF ด้วยยา digoxin</t>
        </is>
      </c>
      <c r="H26" s="2" t="inlineStr">
        <is>
          <t>ทำ hemodialysis</t>
        </is>
      </c>
      <c r="I26" s="8" t="inlineStr">
        <is>
          <t>5</t>
        </is>
      </c>
      <c r="J26" s="2" t="inlineStr">
        <is>
          <t>✅ คำตอบที่ถูกต้อง: ข้อ จ. ทำ hemodialysis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ทำ hemodialysis ในผู้ป่วยที่มีภาวะไตวายเฉียบพลันร่วมกับภาวะ dehydration หรือ AKI จากยา enalapril การให้ยา enalapril ต่ออาจทำให้การทำงานของไตแย่ลงไปอีก เนื่องจากไปลดการกรองของ glomerulus ในภาวะที่ไตขาดเลือด (renal hypoperfusion) จึงถือเป็นข้อควรระวังหรือสิ่งที่ไม่เหมาะสมหากยังไม่แก้ไขภาวะ hemodynamic ให้ปกติ
🔍 ข้ออื่นผิดเพราะอะไร:
• ข้อ ก. (จำกัดน้ำ): ข้อนี้ไม่ใช่คำตอบที่ถูกต้องสำหรับภาวะ Chronic kidney diseases เนื่องจากกลไกการออกฤทธิ์, efficacy หรือข้อบ่งใช้ไม่ตรงกับโจทย์ที่กำหนด
• ข้อ ข. (ให้ยาขับปัสสาวะ): ข้อนี้ไม่ใช่คำตอบที่ถูกต้องสำหรับภาวะ Chronic kidney diseases เนื่องจากกลไกการออกฤทธิ์, efficacy หรือข้อบ่งใช้ไม่ตรงกับโจทย์ที่กำหนด
• ข้อ ค. (ควบคุมความดันด้วยยา enalapril ต่อ): เป็น ACE inhibitor ลด Angiotensin II และ intraglomerular pressure มี renal protective efficacy เด่นชัดใน diabetic kidney disease แต่อาจเกิด dry cough จากการสะสมของ bradykinin
• ข้อ ง. (รักษา CHF ด้วยยา digoxin): เป็น cardiac glycoside ยับยั้ง Na+/K+ ATPase เพิ่ม inotrope แต่มี narrow therapeutic index (target 0.5-0.9 ng/mL ใน HF) และเสี่ยงต่อ fatal arrhythmia เมื่อมี hypokalemia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2" t="n"/>
      <c r="L26" s="2" t="inlineStr">
        <is>
          <t>Chronic kidney diseases</t>
        </is>
      </c>
      <c r="M26" s="2" t="inlineStr">
        <is>
          <t>Clinic</t>
        </is>
      </c>
      <c r="N26" s="2" t="inlineStr">
        <is>
          <t>ข้อ 24 Pharma Plus เล่มม่วง (เฉลยข้อ จ)</t>
        </is>
      </c>
      <c r="O26" s="2" t="inlineStr">
        <is>
          <t>Mock</t>
        </is>
      </c>
      <c r="P26" s="2" t="inlineStr">
        <is>
          <t>Pharma Plus เล่มม่วง</t>
        </is>
      </c>
    </row>
    <row r="27" ht="13.2" customHeight="1" s="37">
      <c r="A27" s="8" t="inlineStr">
        <is>
          <t>25</t>
        </is>
      </c>
      <c r="B27" s="2" t="inlineStr">
        <is>
          <t>แพทย์พิจารณาจ่ายยาขับปัสสาวะ ยาใดเหมาะสมที่สุดในผู้ป่วยรายนี้</t>
        </is>
      </c>
      <c r="C27" s="2" t="n"/>
      <c r="D27" s="2" t="inlineStr">
        <is>
          <t>HCTZ</t>
        </is>
      </c>
      <c r="E27" s="2" t="inlineStr">
        <is>
          <t>Spironolactone</t>
        </is>
      </c>
      <c r="F27" s="2" t="inlineStr">
        <is>
          <t>Ethacrynic acid</t>
        </is>
      </c>
      <c r="G27" s="2" t="inlineStr">
        <is>
          <t>Furosemide</t>
        </is>
      </c>
      <c r="H27" s="2" t="inlineStr">
        <is>
          <t>Amiloride</t>
        </is>
      </c>
      <c r="I27" s="8" t="inlineStr">
        <is>
          <t>4</t>
        </is>
      </c>
      <c r="J27" s="2" t="inlineStr">
        <is>
          <t>✅ คำตอบที่ถูกต้อง: ข้อ ง. Furosemide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ในผู้ป่วยที่มีปัญหาโรคไตหรือต้องการขับน้ำอย่างรวดเร็ว (เช่น ภาวะ fluid retention รุนแรง หรือมีภาวะไตบกพร่อง) ยาขับปัสสาวะกลุ่ม Loop diuretics เช่น Furosemide เป็นยาที่มี efficacy สูงที่สุดและเหมาะสมที่สุดเมื่อเทียบกับ Thiazides ที่มักไม่ได้ผลเมื่อ CrCl ลดลงมากๆ
🔍 ข้ออื่นผิดเพราะอะไร:
• ข้อ ก. (HCTZ): ข้อนี้ไม่ใช่คำตอบที่ถูกต้องสำหรับภาวะ Chronic kidney diseases เนื่องจากกลไกการออกฤทธิ์, efficacy หรือข้อบ่งใช้ไม่ตรงกับโจทย์ที่กำหนด
• ข้อ ข. (Spironolactone): เป็น Mineralocorticoid receptor antagonist (MRA) ใช้เป็น 4th-line ใน resistant HTN หรือ GDMT ใน HFrEF ต้อง monitor potassium และเสี่ยงต่อ gynecomastia
• ข้อ ค. (Ethacrynic acid): ข้อนี้ไม่ใช่คำตอบที่ถูกต้องสำหรับภาวะ Chronic kidney diseases เนื่องจากกลไกการออกฤทธิ์, efficacy หรือข้อบ่งใช้ไม่ตรงกับโจทย์ที่กำหนด
• ข้อ จ. (Amiloride):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7" s="2" t="n"/>
      <c r="L27" s="2" t="inlineStr">
        <is>
          <t>Chronic kidney diseases</t>
        </is>
      </c>
      <c r="M27" s="2" t="inlineStr">
        <is>
          <t>Clinic</t>
        </is>
      </c>
      <c r="N27" s="2" t="inlineStr">
        <is>
          <t>ข้อ 25 Pharma Plus เล่มม่วง (เฉลยข้อ ง)</t>
        </is>
      </c>
      <c r="O27" s="2" t="inlineStr">
        <is>
          <t>Mock</t>
        </is>
      </c>
      <c r="P27" s="2" t="inlineStr">
        <is>
          <t>Pharma Plus เล่มม่วง</t>
        </is>
      </c>
    </row>
    <row r="28" ht="13.2" customHeight="1" s="37">
      <c r="A28" s="8" t="inlineStr">
        <is>
          <t>26</t>
        </is>
      </c>
      <c r="B28" s="2" t="inlineStr">
        <is>
          <t>อาการข้างเคียงจากการใช้ยาขับปัสสาวะดังกล่าวข้างต้นคือข้อใด</t>
        </is>
      </c>
      <c r="C28" s="2" t="n"/>
      <c r="D28" s="2" t="inlineStr">
        <is>
          <t>Hypocalcemia</t>
        </is>
      </c>
      <c r="E28" s="2" t="inlineStr">
        <is>
          <t>Hyponatremia</t>
        </is>
      </c>
      <c r="F28" s="2" t="inlineStr">
        <is>
          <t>Hypokalemia</t>
        </is>
      </c>
      <c r="G28" s="2" t="inlineStr">
        <is>
          <t>Hypercalcemia</t>
        </is>
      </c>
      <c r="H28" s="2" t="inlineStr">
        <is>
          <t>Acidosis</t>
        </is>
      </c>
      <c r="I28" s="8" t="inlineStr">
        <is>
          <t>1</t>
        </is>
      </c>
      <c r="J28" s="2" t="inlineStr">
        <is>
          <t>✅ คำตอบที่ถูกต้อง: ข้อ ก. Hypocalcemia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Hypocalcemia ยาขับปัสสาวะกลุ่ม Loop diuretics (เช่น Furosemide) ออกฤทธิ์ที่ Thick ascending limb ของ Loop of Henle ยับยั้ง Na⁺/K⁺/2Cl⁻ cotransporter ส่งผลให้สูญเสียน้ำและเกลือแร่สำคัญ รวมถึงโพแทสเซียมในปัสสาวะเพิ่มขึ้น จึงทำให้เกิดภาวะ Hypokalemia ได้บ่อย
🔍 ข้ออื่นผิดเพราะอะไร:
• ข้อ ข. (Hyponatremia): ข้อนี้ไม่ใช่คำตอบที่ถูกต้องสำหรับภาวะ Chronic kidney diseases เนื่องจากกลไกการออกฤทธิ์, efficacy หรือข้อบ่งใช้ไม่ตรงกับโจทย์ที่กำหนด
• ข้อ ค. (Hypokalemia): ข้อนี้ไม่ใช่คำตอบที่ถูกต้องสำหรับภาวะ Chronic kidney diseases เนื่องจากกลไกการออกฤทธิ์, efficacy หรือข้อบ่งใช้ไม่ตรงกับโจทย์ที่กำหนด
• ข้อ ง. (Hypercalcemia): ข้อนี้ไม่ใช่คำตอบที่ถูกต้องสำหรับภาวะ Chronic kidney diseases เนื่องจากกลไกการออกฤทธิ์, efficacy หรือข้อบ่งใช้ไม่ตรงกับโจทย์ที่กำหนด
• ข้อ จ. (Acidosis):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2" t="n"/>
      <c r="L28" s="2" t="inlineStr">
        <is>
          <t>Chronic kidney diseases</t>
        </is>
      </c>
      <c r="M28" s="2" t="inlineStr">
        <is>
          <t>Clinic</t>
        </is>
      </c>
      <c r="N28" s="2" t="inlineStr">
        <is>
          <t>ข้อ 26 Pharma Plus เล่มม่วง (เฉลยข้อ ก ค)</t>
        </is>
      </c>
      <c r="O28" s="2" t="inlineStr">
        <is>
          <t>Mock</t>
        </is>
      </c>
      <c r="P28" s="2" t="inlineStr">
        <is>
          <t>Pharma Plus เล่มม่วง</t>
        </is>
      </c>
    </row>
    <row r="29" ht="13.2" customHeight="1" s="37">
      <c r="A29" s="8" t="inlineStr">
        <is>
          <t>28</t>
        </is>
      </c>
      <c r="B29" s="2" t="inlineStr">
        <is>
          <t>of oxidation is increased by the addition of alkali or by exposure to light. (ใช้ตอบข้อ 57-58)
ควรให้ยาใด</t>
        </is>
      </c>
      <c r="C29" s="2" t="n"/>
      <c r="D29" s="2" t="inlineStr">
        <is>
          <t>Atezolizumab + Bevacizumab</t>
        </is>
      </c>
      <c r="E29" s="2" t="inlineStr">
        <is>
          <t>Amivantamab + Lazertinib</t>
        </is>
      </c>
      <c r="F29" s="2" t="inlineStr">
        <is>
          <t>Carboplatin + Paclitaxel</t>
        </is>
      </c>
      <c r="G29" s="2" t="inlineStr">
        <is>
          <t>Osimertinib + Pemetrexed</t>
        </is>
      </c>
      <c r="H29" s="2" t="inlineStr">
        <is>
          <t>Pembrolizumab 1mth PTA: มีอาการไอเรื้อรัง ซื้อยากดอาการไอ อาการไม่ดีขึ้น 3mth PTA:ไอเรื้อรัง เลยตัดสินใจมา รพ. ได้รับการ บุหรี่ 20 pack year เลิกสูบไป5ปีแล้ว  ปัจจุบันดื่มแอลกอฮอล์สัปดาห์ละ2ครั้ง EGFR mutation : negative , PD-L1 tumor proportion score 80% TPW: high ;dx:non-small cell lung cancer (adenocarcinoma?)  stage: metastasis</t>
        </is>
      </c>
      <c r="I29" s="8" t="inlineStr">
        <is>
          <t>3</t>
        </is>
      </c>
      <c r="J29" s="2" t="inlineStr">
        <is>
          <t>✅ คำตอบที่ถูกต้อง: ข้อ ค. Carboplatin + Paclitaxel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Carboplatin + Paclitaxel การเลือก Carboplatin + Paclitaxel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ข้อนี้ไม่ใช่คำตอบที่ถูกต้องสำหรับภาวะ Chronic kidney diseases เนื่องจากกลไกการออกฤทธิ์, efficacy หรือข้อบ่งใช้ไม่ตรงกับโจทย์ที่กำหนด
• ข้อ ข. (Atezolizumab + Bevacizumab): ข้อนี้ไม่ใช่คำตอบที่ถูกต้องสำหรับภาวะ Chronic kidney diseases เนื่องจากกลไกการออกฤทธิ์, efficacy หรือข้อบ่งใช้ไม่ตรงกับโจทย์ที่กำหนด
• ข้อ ค. (Amivantamab + Lazertinib): ข้อนี้ไม่ใช่คำตอบที่ถูกต้องสำหรับภาวะ Chronic kidney diseases เนื่องจากกลไกการออกฤทธิ์, efficacy หรือข้อบ่งใช้ไม่ตรงกับโจทย์ที่กำหนด
• ข้อ จ. (Osimertinib + Pemetrexed):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2" t="n"/>
      <c r="L29" s="2" t="inlineStr">
        <is>
          <t>Chronic kidney diseases</t>
        </is>
      </c>
      <c r="M29" s="2" t="inlineStr">
        <is>
          <t>CKD/AKI</t>
        </is>
      </c>
      <c r="N29" s="2" t="inlineStr">
        <is>
          <t>Mock PLE-CC 1 ข้อ 66</t>
        </is>
      </c>
      <c r="O29" s="2" t="inlineStr">
        <is>
          <t>Mock</t>
        </is>
      </c>
      <c r="P29" s="2" t="inlineStr">
        <is>
          <t>Mock RxCU83</t>
        </is>
      </c>
      <c r="Q29" s="2" t="n"/>
    </row>
    <row r="30" ht="13.2" customHeight="1" s="37">
      <c r="A30" s="8" t="inlineStr">
        <is>
          <t>29</t>
        </is>
      </c>
      <c r="B30" s="2" t="inlineStr">
        <is>
          <t>ยาที่เลือกข้อก่อนหน้า เกี่ยวกับ biomaker ใด</t>
        </is>
      </c>
      <c r="C30" s="2" t="n"/>
      <c r="D30" s="2" t="inlineStr">
        <is>
          <t>จับกับ MHC class 1 เพิ่ม antigen presentation</t>
        </is>
      </c>
      <c r="E30" s="2" t="inlineStr">
        <is>
          <t>จับ CTLA-4 บน T cell เพิ่มการทำงานของ Treg</t>
        </is>
      </c>
      <c r="F30" s="2" t="inlineStr">
        <is>
          <t>จับ PD-L1 บน tumor cell เพิ่ม clt</t>
        </is>
      </c>
      <c r="G30" s="2" t="inlineStr">
        <is>
          <t>จับ PD-1 บน T cell ลดการจับกันของ PD-1/PD-L1 ส่งผลให้ฟื้นการทำงานของ T cell</t>
        </is>
      </c>
      <c r="H30" s="2" t="inlineStr">
        <is>
          <t>จับ EGFR หยุดสัญญาณกระตุ้นเซลล์</t>
        </is>
      </c>
      <c r="I30" s="8" t="inlineStr">
        <is>
          <t>2</t>
        </is>
      </c>
      <c r="J30" s="2" t="inlineStr">
        <is>
          <t>✅ คำตอบที่ถูกต้อง: ข้อ ข. จับ CTLA-4 บน T cell เพิ่มการทำงานของ Treg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จับ CTLA-4 บน T cell เพิ่มการทำงานของ Treg การเลือก จับ CTLA-4 บน T cell เพิ่มการทำงานของ Treg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ข้อนี้ไม่ใช่คำตอบที่ถูกต้องสำหรับภาวะ Chronic kidney diseases เนื่องจากกลไกการออกฤทธิ์, efficacy หรือข้อบ่งใช้ไม่ตรงกับโจทย์ที่กำหนด
• ข้อ ข. (จับกับ MHC class 1 เพิ่ม antigen presentation): ข้อนี้ไม่ใช่คำตอบที่ถูกต้องสำหรับภาวะ Chronic kidney diseases เนื่องจากกลไกการออกฤทธิ์, efficacy หรือข้อบ่งใช้ไม่ตรงกับโจทย์ที่กำหนด
• ข้อ ง. (จับ PD-L1 บน tumor cell เพิ่ม clt): ข้อนี้ไม่ใช่คำตอบที่ถูกต้องสำหรับภาวะ Chronic kidney diseases เนื่องจากกลไกการออกฤทธิ์, efficacy หรือข้อบ่งใช้ไม่ตรงกับโจทย์ที่กำหนด
• ข้อ จ. (จับ PD-1 บน T cell ลดการจับกันของ PD-1/PD-L1 ส่งผลให้ฟื้นการทำงานของ T cell):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n"/>
      <c r="L30" s="2" t="inlineStr">
        <is>
          <t>Chronic kidney diseases</t>
        </is>
      </c>
      <c r="M30" s="2" t="inlineStr">
        <is>
          <t>CKD/AKI</t>
        </is>
      </c>
      <c r="N30" s="2" t="inlineStr">
        <is>
          <t>Mock PLE-CC 1 ข้อ 69</t>
        </is>
      </c>
      <c r="O30" s="2" t="inlineStr">
        <is>
          <t>Mock</t>
        </is>
      </c>
      <c r="P30" s="2" t="inlineStr">
        <is>
          <t>Mock RxCU83</t>
        </is>
      </c>
      <c r="Q30" s="2" t="n"/>
    </row>
    <row r="31" ht="13.2" customHeight="1" s="37">
      <c r="A31" s="8" t="inlineStr">
        <is>
          <t>30</t>
        </is>
      </c>
      <c r="B31" s="2" t="inlineStr">
        <is>
          <t>ถัา EGFR exon 19 deletion positive ต้องเปลี่ยนการรักษาเป็นอะไร</t>
        </is>
      </c>
      <c r="C31" s="2" t="n"/>
      <c r="D31" s="2" t="inlineStr">
        <is>
          <t>รักษาแบบเดิม</t>
        </is>
      </c>
      <c r="E31" s="2" t="inlineStr">
        <is>
          <t>Pembrolizumab</t>
        </is>
      </c>
      <c r="F31" s="2" t="inlineStr">
        <is>
          <t>Ceftuximab</t>
        </is>
      </c>
      <c r="G31" s="2" t="inlineStr">
        <is>
          <t>Bevacizumab + carboplatin + paciltaxel</t>
        </is>
      </c>
      <c r="H31" s="2" t="inlineStr">
        <is>
          <t>EGFR TKI target therapy</t>
        </is>
      </c>
      <c r="I31" s="8" t="inlineStr">
        <is>
          <t>1</t>
        </is>
      </c>
      <c r="J31" s="2" t="inlineStr">
        <is>
          <t>✅ คำตอบที่ถูกต้อง: ข้อ ก. รักษาแบบเดิม
💡 Background:
ภาวะไตเสื่อม (CKD/AKI) ต้องระมัดระวังการปรับขนาดยาตาม renal function (eGFR/CrCl) และหลีกเลี่ยง nephrotoxic drugs
🎯 ทำไมข้อนี้ถึงถูก:
รักษาแบบเดิม การเลือก รักษาแบบเดิม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ข้อนี้ไม่ใช่คำตอบที่ถูกต้องสำหรับภาวะ Chronic kidney diseases เนื่องจากกลไกการออกฤทธิ์, efficacy หรือข้อบ่งใช้ไม่ตรงกับโจทย์ที่กำหนด
• ข้อ ค. (Pembrolizumab): ข้อนี้ไม่ใช่คำตอบที่ถูกต้องสำหรับภาวะ Chronic kidney diseases เนื่องจากกลไกการออกฤทธิ์, efficacy หรือข้อบ่งใช้ไม่ตรงกับโจทย์ที่กำหนด
• ข้อ ง. (Ceftuximab): ข้อนี้ไม่ใช่คำตอบที่ถูกต้องสำหรับภาวะ Chronic kidney diseases เนื่องจากกลไกการออกฤทธิ์, efficacy หรือข้อบ่งใช้ไม่ตรงกับโจทย์ที่กำหนด
• ข้อ จ. (Bevacizumab + carboplatin + paciltaxel):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n"/>
      <c r="L31" s="2" t="inlineStr">
        <is>
          <t>Chronic kidney diseases</t>
        </is>
      </c>
      <c r="M31" s="2" t="inlineStr">
        <is>
          <t>CKD/AKI</t>
        </is>
      </c>
      <c r="N31" s="2" t="inlineStr">
        <is>
          <t>Mock PLE-CC 1 ข้อ 70</t>
        </is>
      </c>
      <c r="O31" s="2" t="inlineStr">
        <is>
          <t>Mock</t>
        </is>
      </c>
      <c r="P31" s="2" t="inlineStr">
        <is>
          <t>Mock RxCU83</t>
        </is>
      </c>
      <c r="Q31" s="2" t="n"/>
    </row>
    <row r="32" ht="13.2" customHeight="1" s="37">
      <c r="A32" s="8" t="inlineStr">
        <is>
          <t>31</t>
        </is>
      </c>
      <c r="B32" s="2" t="inlineStr">
        <is>
          <t>Immune checkpoint inhibitor (ICI) ใน NSCLC (non-small cell lung cancer) อะไรบ่งบอกว่าการรักษาดีขึ้น</t>
        </is>
      </c>
      <c r="C32" s="2" t="n"/>
      <c r="D32" s="2" t="inlineStr">
        <is>
          <t>CEA (Carcinoembryonic antigen)</t>
        </is>
      </c>
      <c r="E32" s="2" t="inlineStr">
        <is>
          <t>TPS ของ PD-L1 (Tumor Proportion Score of PD-L1)</t>
        </is>
      </c>
      <c r="F32" s="2" t="inlineStr">
        <is>
          <t>TMB ต ่า (Tumor Mutational Burden ต ่า)</t>
        </is>
      </c>
      <c r="G32" s="2" t="inlineStr">
        <is>
          <t>LDH ในเลือด (Lactate dehydrogenase)</t>
        </is>
      </c>
      <c r="H32" s="2" t="inlineStr">
        <is>
          <t>EGFR exon 19 deletion express</t>
        </is>
      </c>
      <c r="I32" s="8" t="inlineStr">
        <is>
          <t>1</t>
        </is>
      </c>
      <c r="J32" s="2" t="inlineStr">
        <is>
          <t>✅ คำตอบที่ถูกต้อง: ข้อ ก. CEA (Carcinoembryonic antigen)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b.TPS ของ PD-L1 (Tumor Proportion Score of PD-L1))
🔍 ข้ออื่นผิดเพราะอะไร:
• ข้อ ข. (CEA (Carcinoembryonic antigen)): ข้อนี้ไม่ใช่คำตอบที่ถูกต้องสำหรับภาวะ Chronic kidney diseases เนื่องจากกลไกการออกฤทธิ์, efficacy หรือข้อบ่งใช้ไม่ตรงกับโจทย์ที่กำหนด
• ข้อ ค. (TPS ของ PD-L1 (Tumor Proportion Score of PD-L1)): ข้อนี้ไม่ใช่คำตอบที่ถูกต้องสำหรับภาวะ Chronic kidney diseases เนื่องจากกลไกการออกฤทธิ์, efficacy หรือข้อบ่งใช้ไม่ตรงกับโจทย์ที่กำหนด
• ข้อ ง. (TMB ต ่า (Tumor Mutational Burden ต ่า)): ข้อนี้ไม่ใช่คำตอบที่ถูกต้องสำหรับภาวะ Chronic kidney diseases เนื่องจากกลไกการออกฤทธิ์, efficacy หรือข้อบ่งใช้ไม่ตรงกับโจทย์ที่กำหนด
• ข้อ จ. (LDH ในเลือด (Lactate dehydrogenase)):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2" t="n"/>
      <c r="L32" s="2" t="inlineStr">
        <is>
          <t>Chronic kidney diseases</t>
        </is>
      </c>
      <c r="M32" s="2" t="inlineStr">
        <is>
          <t>CKD/AKI</t>
        </is>
      </c>
      <c r="N32" s="2" t="inlineStr">
        <is>
          <t>Mock PLE-CC 1 ข้อ 77</t>
        </is>
      </c>
      <c r="O32" s="2" t="inlineStr">
        <is>
          <t>Mock</t>
        </is>
      </c>
      <c r="P32" s="2" t="inlineStr">
        <is>
          <t>Mock RxCU83</t>
        </is>
      </c>
      <c r="Q32" s="2" t="n"/>
    </row>
    <row r="33" ht="13.2" customHeight="1" s="37">
      <c r="A33" s="8" t="inlineStr">
        <is>
          <t>32</t>
        </is>
      </c>
      <c r="B33" s="2" t="inlineStr">
        <is>
          <t>กลไกที่ทำให้เกิด exon 19 deletion บน EGFR ส่งผลต่อกลไกการทำงานของ EGFR tyrosine kinase inhibitor
ยังไง</t>
        </is>
      </c>
      <c r="C33" s="2" t="n"/>
      <c r="D33" s="2" t="inlineStr">
        <is>
          <t>CKD/AKI</t>
        </is>
      </c>
      <c r="E33" s="2" t="inlineStr">
        <is>
          <t>ส่งผลต่อการจับ ligand</t>
        </is>
      </c>
      <c r="F33" s="2" t="inlineStr">
        <is>
          <t>ยับยั้งการแสดงออกของ BCL</t>
        </is>
      </c>
      <c r="G33" s="2" t="inlineStr">
        <is>
          <t>Furosemide 40 mg IV/PO OD</t>
        </is>
      </c>
      <c r="H33" s="2" t="inlineStr">
        <is>
          <t>Erythropoietin (EPO) 4000 units SC weekly</t>
        </is>
      </c>
      <c r="I33" s="8" t="inlineStr">
        <is>
          <t>1</t>
        </is>
      </c>
      <c r="J33"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(ส่งผลต่อการจับ ligand): ข้อนี้ไม่ใช่คำตอบที่ถูกต้องสำหรับภาวะ Chronic kidney diseases เนื่องจากกลไกการออกฤทธิ์, efficacy หรือข้อบ่งใช้ไม่ตรงกับโจทย์ที่กำหนด
• ข้อ ค. (ยับยั้งการแสดงออกของ BCL): ข้อนี้ไม่ใช่คำตอบที่ถูกต้องสำหรับภาวะ Chronic kidney diseases เนื่องจากกลไกการออกฤทธิ์, efficacy หรือข้อบ่งใช้ไม่ตรงกับโจทย์ที่กำหนด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2" t="n"/>
      <c r="L33" s="2" t="inlineStr">
        <is>
          <t>Chronic kidney diseases</t>
        </is>
      </c>
      <c r="M33" s="2" t="inlineStr">
        <is>
          <t>CKD/AKI</t>
        </is>
      </c>
      <c r="N33" s="2" t="inlineStr">
        <is>
          <t>Mock PLE-CC 1 ข้อ 80</t>
        </is>
      </c>
      <c r="O33" s="2" t="inlineStr">
        <is>
          <t>Mock</t>
        </is>
      </c>
      <c r="P33" s="2" t="inlineStr">
        <is>
          <t>Mock RxCU83</t>
        </is>
      </c>
    </row>
    <row r="34" ht="13.2" customHeight="1" s="37">
      <c r="A34" s="8" t="inlineStr">
        <is>
          <t>33</t>
        </is>
      </c>
      <c r="B34" s="2" t="inlineStr">
        <is>
          <t>การกลายพันธุ์ของ T790M ของ EGFR ใน NSCLC ทำให้ผู้ป่วยดื้อต่อยา Gifitinib กับ Erlotinib กลไกคืออะไร</t>
        </is>
      </c>
      <c r="C34" s="2" t="n"/>
      <c r="D34" s="2" t="inlineStr">
        <is>
          <t>เพิ่มการจับ ATP ที่ kinase domain</t>
        </is>
      </c>
      <c r="E34" s="2" t="inlineStr">
        <is>
          <t>เพิ่ม Stearic hindrance ทำให้ไม่จับ ATP ที่ binding pocket</t>
        </is>
      </c>
      <c r="F34" s="2" t="inlineStr">
        <is>
          <t>เพิ่มการแสดงออก EGFR บนเยื่อหุ้ม Cellผิวเซลล์</t>
        </is>
      </c>
      <c r="G34" s="2" t="inlineStr">
        <is>
          <t>Internalization และ degradation ลดลง</t>
        </is>
      </c>
      <c r="H34" s="2" t="inlineStr">
        <is>
          <t>HER2 dimerization</t>
        </is>
      </c>
      <c r="I34" s="8" t="inlineStr">
        <is>
          <t>3</t>
        </is>
      </c>
      <c r="J34" s="2" t="inlineStr">
        <is>
          <t>✅ คำตอบที่ถูกต้อง: ข้อ ค. เพิ่มการแสดงออก EGFR บนเยื่อหุ้ม Cellผิวเซลล์
💡 Background:
ภาวะไตเสื่อม (CKD/AKI) ต้องระมัดระวังการปรับขนาดยาตาม renal function (eGFR/CrCl) และหลีกเลี่ยง nephrotoxic drugs
🎯 ทำไมข้อนี้ถึงถูก:
เพิ่มการแสดงออก EGFR บนเยื่อหุ้ม Cellผิวเซลล์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การเลือก เพิ่มการแสดงออก EGFR บนเยื่อหุ้ม Cell ผิวเซลล์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ข้อนี้ไม่ใช่คำตอบที่ถูกต้องสำหรับภาวะ Chronic kidney diseases เนื่องจากกลไกการออกฤทธิ์, efficacy หรือข้อบ่งใช้ไม่ตรงกับโจทย์ที่กำหนด
• ข้อ ข. (เพิ่มการจับ ATP ที่ kinase domain): ข้อนี้ไม่ใช่คำตอบที่ถูกต้องสำหรับภาวะ Chronic kidney diseases เนื่องจากกลไกการออกฤทธิ์, efficacy หรือข้อบ่งใช้ไม่ตรงกับโจทย์ที่กำหนด
• ข้อ ค. (เพิ่ม Stearic hindrance ทำให้ไม่จับ ATP ที่ binding pocket): ข้อนี้ไม่ใช่คำตอบที่ถูกต้องสำหรับภาวะ Chronic kidney diseases เนื่องจากกลไกการออกฤทธิ์, efficacy หรือข้อบ่งใช้ไม่ตรงกับโจทย์ที่กำหนด
• ข้อ จ. (Internalization และ degradation ลดลง):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Chronic kidney diseases</t>
        </is>
      </c>
      <c r="M34" s="2" t="inlineStr">
        <is>
          <t>CKD/AKI</t>
        </is>
      </c>
      <c r="N34" s="2" t="inlineStr">
        <is>
          <t>Mock PLE-CC 1 ข้อ 81</t>
        </is>
      </c>
      <c r="O34" s="2" t="inlineStr">
        <is>
          <t>Mock</t>
        </is>
      </c>
      <c r="P34" s="2" t="inlineStr">
        <is>
          <t>Mock RxCU83</t>
        </is>
      </c>
      <c r="Q34" s="2" t="n"/>
    </row>
    <row r="35" ht="13.2" customHeight="1" s="37">
      <c r="A35" s="8" t="inlineStr">
        <is>
          <t>34</t>
        </is>
      </c>
      <c r="B35" s="2" t="inlineStr">
        <is>
          <t>จากข้อมูลในสถานการณ์นี้ ข้อใดต่อไปนี้ไม่ใช่ปัจจัยเสี่ยงที่เกี่ยวข้องกับการเกิดโรคไตเรื้อรัง (CKD) ในผู้ป่วย รายนี้</t>
        </is>
      </c>
      <c r="C35" s="2" t="n"/>
      <c r="D35" s="2" t="inlineStr">
        <is>
          <t>แม่</t>
        </is>
      </c>
      <c r="E35" s="2" t="inlineStr">
        <is>
          <t>HbA1c</t>
        </is>
      </c>
      <c r="F35" s="2" t="inlineStr">
        <is>
          <t>FBS</t>
        </is>
      </c>
      <c r="G35" s="2" t="inlineStr">
        <is>
          <t>จำ choice ไม่ได้</t>
        </is>
      </c>
      <c r="H35" s="2" t="inlineStr">
        <is>
          <t>*จำ choice ไม่ได้*</t>
        </is>
      </c>
      <c r="I35" s="8" t="inlineStr">
        <is>
          <t>1</t>
        </is>
      </c>
      <c r="J35" s="2" t="inlineStr">
        <is>
          <t>✅ คำตอบที่ถูกต้อง: ข้อ ก. แม่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(แม่): ข้อนี้ไม่ใช่คำตอบที่ถูกต้องสำหรับภาวะ Chronic kidney diseases เนื่องจากกลไกการออกฤทธิ์, efficacy หรือข้อบ่งใช้ไม่ตรงกับโจทย์ที่กำหนด
• ข้อ ค. (HbA1c): ข้อนี้ไม่ใช่คำตอบที่ถูกต้องสำหรับภาวะ Chronic kidney diseases เนื่องจากกลไกการออกฤทธิ์, efficacy หรือข้อบ่งใช้ไม่ตรงกับโจทย์ที่กำหนด
• ข้อ ง. (FBS): ข้อนี้ไม่ใช่คำตอบที่ถูกต้องสำหรับภาวะ Chronic kidney diseases เนื่องจากกลไกการออกฤทธิ์, efficacy หรือข้อบ่งใช้ไม่ตรงกับโจทย์ที่กำหนด
• ข้อ จ. (จำ choice ไม่ได้):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Chronic kidney diseases</t>
        </is>
      </c>
      <c r="M35" s="2" t="inlineStr">
        <is>
          <t>CKD/AKI</t>
        </is>
      </c>
      <c r="N35" s="2" t="inlineStr">
        <is>
          <t>PLE_CC1_2567_Key ข้อ 48</t>
        </is>
      </c>
      <c r="O35" s="2" t="inlineStr">
        <is>
          <t>ข้อสอบจริง</t>
        </is>
      </c>
      <c r="P35" s="2" t="inlineStr">
        <is>
          <t>ปี 2567</t>
        </is>
      </c>
      <c r="Q35" s="2" t="n"/>
    </row>
    <row r="36" ht="13.2" customHeight="1" s="37">
      <c r="A36" s="8" t="inlineStr">
        <is>
          <t>35</t>
        </is>
      </c>
      <c r="B36" s="2" t="inlineStr">
        <is>
          <t>ข้อใดเป็นเกณฑ์ในการวินิจฉัยว่าผู้ป่วยคนนี้เป็นโรคไตเรื้อรัง</t>
        </is>
      </c>
      <c r="C36" s="2" t="n"/>
      <c r="D36" s="2" t="inlineStr">
        <is>
          <t>serum HCO3 22 mg/dl</t>
        </is>
      </c>
      <c r="E36" s="2" t="inlineStr">
        <is>
          <t>AUACR 282</t>
        </is>
      </c>
      <c r="F36" s="2" t="inlineStr">
        <is>
          <t>คนในครอบครัวเป็นโรคไต</t>
        </is>
      </c>
      <c r="G36" s="2" t="inlineStr">
        <is>
          <t>จำ choice ไม่ได้</t>
        </is>
      </c>
      <c r="H36" s="2" t="inlineStr">
        <is>
          <t>*จำ choice ไม่ได้*</t>
        </is>
      </c>
      <c r="I36" s="8" t="inlineStr">
        <is>
          <t>1</t>
        </is>
      </c>
      <c r="J36" s="2" t="inlineStr">
        <is>
          <t>✅ คำตอบที่ถูกต้อง: ข้อ ก. serum HCO3 22 mg/dl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(serum HCO3 22 mg/dl): ข้อนี้ไม่ใช่คำตอบที่ถูกต้องสำหรับภาวะ Chronic kidney diseases เนื่องจากกลไกการออกฤทธิ์, efficacy หรือข้อบ่งใช้ไม่ตรงกับโจทย์ที่กำหนด
• ข้อ ค. (AUACR 282): ข้อนี้ไม่ใช่คำตอบที่ถูกต้องสำหรับภาวะ Chronic kidney diseases เนื่องจากกลไกการออกฤทธิ์, efficacy หรือข้อบ่งใช้ไม่ตรงกับโจทย์ที่กำหนด
• ข้อ ง. (คนในครอบครัวเป็นโรคไต): ข้อนี้ไม่ใช่คำตอบที่ถูกต้องสำหรับภาวะ Chronic kidney diseases เนื่องจากกลไกการออกฤทธิ์, efficacy หรือข้อบ่งใช้ไม่ตรงกับโจทย์ที่กำหนด
• ข้อ จ. (จำ choice ไม่ได้):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Chronic kidney diseases</t>
        </is>
      </c>
      <c r="M36" s="2" t="inlineStr">
        <is>
          <t>CKD/AKI</t>
        </is>
      </c>
      <c r="N36" s="2" t="inlineStr">
        <is>
          <t>PLE_CC1_2567_Key ข้อ 50</t>
        </is>
      </c>
      <c r="O36" s="2" t="inlineStr">
        <is>
          <t>ข้อสอบจริง</t>
        </is>
      </c>
      <c r="P36" s="2" t="inlineStr">
        <is>
          <t>ปี 2567</t>
        </is>
      </c>
      <c r="Q36" s="2" t="n"/>
    </row>
    <row r="37" ht="13.2" customHeight="1" s="37">
      <c r="A37" s="8" t="inlineStr">
        <is>
          <t>36</t>
        </is>
      </c>
      <c r="B37" s="2" t="inlineStr">
        <is>
          <t>ค;าใดที่ไม;ไดใชติดตามผลการรักษา AKI</t>
        </is>
      </c>
      <c r="C37" s="2" t="n"/>
      <c r="D37" s="2" t="inlineStr">
        <is>
          <t>BP</t>
        </is>
      </c>
      <c r="E37" s="2" t="inlineStr">
        <is>
          <t>Urine specific gravity</t>
        </is>
      </c>
      <c r="F37" s="2" t="inlineStr">
        <is>
          <t>SCr</t>
        </is>
      </c>
      <c r="G37" s="2" t="inlineStr">
        <is>
          <t>Intake/Output</t>
        </is>
      </c>
      <c r="H37" s="2" t="inlineStr">
        <is>
          <t>BUN / ิ / / / PLE-CC1 Preparation 2565 เฉลยโดย MUPY53 Part Laws</t>
        </is>
      </c>
      <c r="I37" s="8" t="inlineStr">
        <is>
          <t>1</t>
        </is>
      </c>
      <c r="J37" s="2" t="inlineStr">
        <is>
          <t>✅ คำตอบที่ถูกต้อง: ข้อ ก. BP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(BP): ข้อนี้ไม่ใช่คำตอบที่ถูกต้องสำหรับภาวะ Acute kidney injury เนื่องจากกลไกการออกฤทธิ์, efficacy หรือข้อบ่งใช้ไม่ตรงกับโจทย์ที่กำหนด
• ข้อ ค. (Urine specific gravity): ข้อนี้ไม่ใช่คำตอบที่ถูกต้องสำหรับภาวะ Acute kidney injury เนื่องจากกลไกการออกฤทธิ์, efficacy หรือข้อบ่งใช้ไม่ตรงกับโจทย์ที่กำหนด
• ข้อ ง. (SCr): ข้อนี้ไม่ใช่คำตอบที่ถูกต้องสำหรับภาวะ Acute kidney injury เนื่องจากกลไกการออกฤทธิ์, efficacy หรือข้อบ่งใช้ไม่ตรงกับโจทย์ที่กำหนด
• ข้อ จ. (Intake/Output): ข้อนี้ไม่ใช่คำตอบที่ถูกต้องสำหรับภาวะ Acute kidney injury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2" t="n"/>
      <c r="L37" s="2" t="inlineStr">
        <is>
          <t>Acute kidney injury</t>
        </is>
      </c>
      <c r="M37" s="2" t="inlineStr">
        <is>
          <t>CKD/AKI</t>
        </is>
      </c>
      <c r="N37" s="2" t="inlineStr">
        <is>
          <t>PLE_CC1_2565_Day1_Key ข้อ 74</t>
        </is>
      </c>
      <c r="O37" s="2" t="inlineStr">
        <is>
          <t>ข้อสอบจริง</t>
        </is>
      </c>
      <c r="P37" s="2" t="inlineStr">
        <is>
          <t>ปี 2565</t>
        </is>
      </c>
      <c r="Q37" s="2" t="n"/>
    </row>
    <row r="38" ht="13.2" customHeight="1" s="37">
      <c r="A38" s="8" t="inlineStr">
        <is>
          <t>37</t>
        </is>
      </c>
      <c r="B38" s="2" t="inlineStr">
        <is>
          <t>Acute kidney injury (AKI)</t>
        </is>
      </c>
      <c r="C38" s="2" t="n"/>
      <c r="D38" s="2" t="inlineStr">
        <is>
          <t>CKD/AKI</t>
        </is>
      </c>
      <c r="E38" s="2" t="inlineStr">
        <is>
          <t>Potassium chloride 500 mg BID</t>
        </is>
      </c>
      <c r="F38" s="2" t="inlineStr">
        <is>
          <t>Calcium carbonate 1000 mg TID with meals</t>
        </is>
      </c>
      <c r="G38" s="2" t="inlineStr">
        <is>
          <t>Calcium acetate 667 mg TID with meals</t>
        </is>
      </c>
      <c r="H38" s="2" t="inlineStr">
        <is>
          <t>Sevelamer carbonate 800 mg TID with meals</t>
        </is>
      </c>
      <c r="I38" s="8" t="inlineStr">
        <is>
          <t>1</t>
        </is>
      </c>
      <c r="J38"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(Potassium chloride 500 mg BID): ข้อนี้ไม่ใช่คำตอบที่ถูกต้องสำหรับภาวะ Acute kidney injury เนื่องจากกลไกการออกฤทธิ์, efficacy หรือข้อบ่งใช้ไม่ตรงกับโจทย์ที่กำหนด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ข้อนี้ไม่ใช่คำตอบที่ถูกต้องสำหรับภาวะ Acute kidney injury เนื่องจากกลไกการออกฤทธิ์, efficacy หรือข้อบ่งใช้ไม่ตรงกับโจทย์ที่กำหนด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Acute kidney injury</t>
        </is>
      </c>
      <c r="M38" s="2" t="inlineStr">
        <is>
          <t>CKD/AKI</t>
        </is>
      </c>
      <c r="N38" s="2" t="inlineStr">
        <is>
          <t>PLE_CC1_2565_Day1_Key ข้อ 18</t>
        </is>
      </c>
      <c r="O38" s="2" t="inlineStr">
        <is>
          <t>ข้อสอบจริง</t>
        </is>
      </c>
      <c r="P38" s="2" t="inlineStr">
        <is>
          <t>ปี 2565</t>
        </is>
      </c>
    </row>
    <row r="39" ht="13.2" customHeight="1" s="37">
      <c r="A39" s="8" t="inlineStr">
        <is>
          <t>38</t>
        </is>
      </c>
      <c r="B39" s="2" t="inlineStr">
        <is>
          <t>ชีวสมมูลของยาที่ขับออกทางไต ไม-จำเปQนต$องดูอะไร lด 5 log k mnด การสลายRวoอยnด</t>
        </is>
      </c>
      <c r="C39" s="2" t="n"/>
      <c r="D39" s="2" t="inlineStr">
        <is>
          <t>tmax</t>
        </is>
      </c>
      <c r="E39" s="2" t="inlineStr">
        <is>
          <t>Cmax</t>
        </is>
      </c>
      <c r="F39" s="2" t="inlineStr">
        <is>
          <t>AUC</t>
        </is>
      </c>
      <c r="G39" s="2" t="inlineStr">
        <is>
          <t>half-life PLE-CC1 Preparation 2565</t>
        </is>
      </c>
      <c r="H39" s="2" t="inlineStr">
        <is>
          <t>urinary excretion / ใ+,วม/บ Accumulative urinary recovery (Ae) เ1อ3วอ4างเ"น urine แทน AUC /บ Cmax</t>
        </is>
      </c>
      <c r="I39" s="8" t="inlineStr">
        <is>
          <t>1</t>
        </is>
      </c>
      <c r="J39" s="2" t="inlineStr">
        <is>
          <t>✅ คำตอบที่ถูกต้อง: ข้อ ก. tmax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(tmax): ข้อนี้ไม่ใช่คำตอบที่ถูกต้องสำหรับภาวะ Chronic kidney diseases เนื่องจากกลไกการออกฤทธิ์, efficacy หรือข้อบ่งใช้ไม่ตรงกับโจทย์ที่กำหนด
• ข้อ ค. (Cmax): ข้อนี้ไม่ใช่คำตอบที่ถูกต้องสำหรับภาวะ Chronic kidney diseases เนื่องจากกลไกการออกฤทธิ์, efficacy หรือข้อบ่งใช้ไม่ตรงกับโจทย์ที่กำหนด
• ข้อ ง. (AUC): ข้อนี้ไม่ใช่คำตอบที่ถูกต้องสำหรับภาวะ Chronic kidney diseases เนื่องจากกลไกการออกฤทธิ์, efficacy หรือข้อบ่งใช้ไม่ตรงกับโจทย์ที่กำหนด
• ข้อ จ. (half-life PLE-CC1 Preparation 2565):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2" t="n"/>
      <c r="L39" s="2" t="inlineStr">
        <is>
          <t>Chronic kidney diseases</t>
        </is>
      </c>
      <c r="M39" s="2" t="inlineStr">
        <is>
          <t>CKD/AKI</t>
        </is>
      </c>
      <c r="N39" s="2" t="inlineStr">
        <is>
          <t>PLE_CC1_2565_Day2_Key ข้อ 75</t>
        </is>
      </c>
      <c r="O39" s="2" t="inlineStr">
        <is>
          <t>ข้อสอบจริง</t>
        </is>
      </c>
      <c r="P39" s="2" t="inlineStr">
        <is>
          <t>ปี 2565</t>
        </is>
      </c>
      <c r="Q39" s="2" t="n"/>
    </row>
    <row r="40" ht="13.2" customHeight="1" s="37">
      <c r="A40" s="8" t="inlineStr">
        <is>
          <t>39</t>
        </is>
      </c>
      <c r="B40" s="2" t="inlineStr">
        <is>
          <t>มีความคิดอยากฆ่าตัวตาย ดังนั้น จาก 5 ตัวเลือกจากโจทย์ คำตอบก็คือ d) ความต้องการทางเพศลดลง (เพิ่มเติม) นอกจากนี้ อาการที่เกิดขึ้นจะต้องเกิดตลอดวันหรือเกือบทั้งวัน ในช่วง 2 สัปดาห์ และมีผลต่อการใช้ชีวิต" จาก: https://chsciowa.org/sites/chsciowa.org/files/resource/files/7_-_depression_dsm-5_checklist.pdf แบบเฉียบพลัน ดังนั้นยาที่ใช้จึงควรเลือกใช้เป็นกลุ่ม abortive drug ซึ่งจะได้แก่กลุ่ม NSAID, paracetamol, Ergotamine, Triptan, Opioid และ ยาเสริมแก้อาเจียน เช่น metoclopramide และ domperidone จาก: http://neurothai.org/images/journal/2016_vol32_no2/2016_vol32_no2.pdf ผื่นคันและผื่นที่ไม่มีอาการคัน ภาวะดีซ่าน ตับอักเสบที่เกิดพร้อมกับอาการสับสน การมองเห็นบกพร่อง ภาวะช็อค ผื่นผิวหนังชนิด purpura ไตวายเฉียบพลัน เฉลยข้อสอบ PLE-CC1 ครั้งที่12/2564 วันที่ 1-2 : MUPY 50</t>
        </is>
      </c>
      <c r="C40" s="2" t="n"/>
      <c r="D40" s="2" t="inlineStr">
        <is>
          <t>CKD/AKI</t>
        </is>
      </c>
      <c r="E40" s="2" t="inlineStr">
        <is>
          <t>Calcium gluconate 10% 10 mL IV over 5 min</t>
        </is>
      </c>
      <c r="F40" s="2" t="inlineStr">
        <is>
          <t>Furosemide 40 mg IV/PO OD</t>
        </is>
      </c>
      <c r="G40" s="2" t="inlineStr">
        <is>
          <t>Erythropoietin (EPO) 4000 units SC weekly</t>
        </is>
      </c>
      <c r="H40" s="2" t="inlineStr">
        <is>
          <t>Calcitriol 0.25 mcg OD</t>
        </is>
      </c>
      <c r="I40" s="8" t="inlineStr">
        <is>
          <t>1</t>
        </is>
      </c>
      <c r="J40"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gluconate 10% 10 mL IV over 5 min): ข้อนี้ไม่ใช่คำตอบที่ถูกต้องสำหรับภาวะ Acute kidney injury เนื่องจากกลไกการออกฤทธิ์, efficacy หรือข้อบ่งใช้ไม่ตรงกับโจทย์ที่กำหนด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ข้อนี้ไม่ใช่คำตอบที่ถูกต้องสำหรับภาวะ Acute kidney injury เนื่องจากกลไกการออกฤทธิ์, efficacy หรือข้อบ่งใช้ไม่ตรงกับโจทย์ที่กำหนด
• ข้อ จ. (Calcitriol 0.25 mcg OD): ข้อนี้ไม่ใช่คำตอบที่ถูกต้องสำหรับภาวะ Acute kidney injury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2" t="n"/>
      <c r="L40" s="2" t="inlineStr">
        <is>
          <t>Acute kidney injury</t>
        </is>
      </c>
      <c r="M40" s="2" t="inlineStr">
        <is>
          <t>CKD/AKI</t>
        </is>
      </c>
      <c r="N40" s="2" t="inlineStr">
        <is>
          <t>PLE_CC1_2564_All_Key ข้อ 9</t>
        </is>
      </c>
      <c r="O40" s="2" t="inlineStr">
        <is>
          <t>ข้อสอบจริง</t>
        </is>
      </c>
      <c r="P40" s="2" t="inlineStr">
        <is>
          <t>ปี 2564</t>
        </is>
      </c>
    </row>
    <row r="41" ht="13.2" customHeight="1" s="37">
      <c r="A41" s="8" t="inlineStr">
        <is>
          <t>40</t>
        </is>
      </c>
      <c r="B41" s="2" t="inlineStr">
        <is>
          <t>ค่า eGFR เท่ากับ 28 คืออยู่ KDIGO stage อะไร อิงตาม KDIGO 2012</t>
        </is>
      </c>
      <c r="C41" s="2" t="n"/>
      <c r="D41" s="2" t="inlineStr">
        <is>
          <t>G1</t>
        </is>
      </c>
      <c r="E41" s="2" t="inlineStr">
        <is>
          <t>G2</t>
        </is>
      </c>
      <c r="F41" s="2" t="inlineStr">
        <is>
          <t>G3a</t>
        </is>
      </c>
      <c r="G41" s="2" t="inlineStr">
        <is>
          <t>G3b</t>
        </is>
      </c>
      <c r="H41" s="2" t="inlineStr">
        <is>
          <t>G4</t>
        </is>
      </c>
      <c r="I41" s="8" t="inlineStr">
        <is>
          <t>1</t>
        </is>
      </c>
      <c r="J41" s="2" t="inlineStr">
        <is>
          <t>✅ คำตอบที่ถูกต้อง: ข้อ ก. G1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(G1): ข้อนี้ไม่ใช่คำตอบที่ถูกต้องสำหรับภาวะ Chronic kidney diseases เนื่องจากกลไกการออกฤทธิ์, efficacy หรือข้อบ่งใช้ไม่ตรงกับโจทย์ที่กำหนด
• ข้อ ค. (G2): ข้อนี้ไม่ใช่คำตอบที่ถูกต้องสำหรับภาวะ Chronic kidney diseases เนื่องจากกลไกการออกฤทธิ์, efficacy หรือข้อบ่งใช้ไม่ตรงกับโจทย์ที่กำหนด
• ข้อ ง. (G3a): ข้อนี้ไม่ใช่คำตอบที่ถูกต้องสำหรับภาวะ Chronic kidney diseases เนื่องจากกลไกการออกฤทธิ์, efficacy หรือข้อบ่งใช้ไม่ตรงกับโจทย์ที่กำหนด
• ข้อ จ. (G3b):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Chronic kidney diseases</t>
        </is>
      </c>
      <c r="M41" s="2" t="inlineStr">
        <is>
          <t>CKD/AKI</t>
        </is>
      </c>
      <c r="N41" s="2" t="inlineStr">
        <is>
          <t>PLE_CC1_2564_All_Key ข้อ 111</t>
        </is>
      </c>
      <c r="O41" s="2" t="inlineStr">
        <is>
          <t>ข้อสอบจริง</t>
        </is>
      </c>
      <c r="P41" s="2" t="inlineStr">
        <is>
          <t>ปี 2564</t>
        </is>
      </c>
      <c r="Q41" s="2" t="n"/>
    </row>
    <row r="42" ht="13.2" customHeight="1" s="37">
      <c r="A42" s="8" t="inlineStr">
        <is>
          <t>41</t>
        </is>
      </c>
      <c r="B42" s="2" t="inlineStr">
        <is>
          <t>ประกาศสำนักงานคณะกรรมการอาหารและยา เรื่องหลักเกณฑ์ในการโฆษณาอาหาร 2564 [ http://www.ratchakitcha.soc.go.th/DATA/PDF/2564/E/073/T_0014.PDF ]</t>
        </is>
      </c>
      <c r="C42" s="2" t="n"/>
      <c r="D42" s="2" t="inlineStr">
        <is>
          <t>CKD/AKI</t>
        </is>
      </c>
      <c r="E42" s="2" t="inlineStr">
        <is>
          <t>Calcium acetate 667 mg TID with meals</t>
        </is>
      </c>
      <c r="F42" s="2" t="inlineStr">
        <is>
          <t>Sevelamer carbonate 800 mg TID with meals</t>
        </is>
      </c>
      <c r="G42" s="2" t="inlineStr">
        <is>
          <t>Sodium bicarbonate 650 mg TID</t>
        </is>
      </c>
      <c r="H42" s="2" t="inlineStr">
        <is>
          <t>Kayexalate (Sodium polystyrene sulfonate) 15 g TID</t>
        </is>
      </c>
      <c r="I42" s="8" t="inlineStr">
        <is>
          <t>1</t>
        </is>
      </c>
      <c r="J42" s="2" t="inlineStr">
        <is>
          <t>✅ คำตอบที่ถูกต้อง: ข้อ ก. CKD/AKI
💡 Background:
การบริบาลผู้ป่วยในกลุ่มโรค Acute kidney injury มุ่งเน้นการควบคุมโรคและลดความเสี่ยงต่อภาวะแทรกซ้อนด้วย evidence-based pharmacotherapy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acetate 667 mg TID with meals): ข้อนี้ไม่ใช่คำตอบที่ถูกต้องสำหรับภาวะ Acute kidney injury เนื่องจากกลไกการออกฤทธิ์, efficacy หรือข้อบ่งใช้ไม่ตรงกับโจทย์ที่กำหนด
• ข้อ ค. (Sevelamer carbonate 800 mg TID with meals): เป็น Non-calcium, non-aluminum phosphate binder เหมาะสำหรับ CKD patients ที่มี hypercalcemia หรือ vascular calcification
• ข้อ ง. (Sodium bicarbonate 650 mg TID): ข้อนี้ไม่ใช่คำตอบที่ถูกต้องสำหรับภาวะ Acute kidney injury เนื่องจากกลไกการออกฤทธิ์, efficacy หรือข้อบ่งใช้ไม่ตรงกับโจทย์ที่กำหนด
• ข้อ จ. (Kayexalate (Sodium polystyrene sulfonate) 15 g TID): ข้อนี้ไม่ใช่คำตอบที่ถูกต้องสำหรับภาวะ Acute kidney injury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2" t="n"/>
      <c r="L42" s="2" t="inlineStr">
        <is>
          <t>Acute kidney injury</t>
        </is>
      </c>
      <c r="M42" s="2" t="inlineStr">
        <is>
          <t>CKD/AKI</t>
        </is>
      </c>
      <c r="N42" s="2" t="inlineStr">
        <is>
          <t>PLE_CC1_2564_All_Key ข้อ 2</t>
        </is>
      </c>
      <c r="O42" s="2" t="inlineStr">
        <is>
          <t>ข้อสอบจริง</t>
        </is>
      </c>
      <c r="P42" s="2" t="inlineStr">
        <is>
          <t>ปี 2564</t>
        </is>
      </c>
    </row>
    <row r="43" ht="13.2" customHeight="1" s="37">
      <c r="A43" s="8" t="inlineStr">
        <is>
          <t>41</t>
        </is>
      </c>
      <c r="B43" s="2" t="inlineStr">
        <is>
          <t>ผู้ป่วยจัดอยู่ CKD stage ใด = I ~ 45 - 59</t>
        </is>
      </c>
      <c r="C43" s="2" t="n"/>
      <c r="D43" s="2" t="inlineStr">
        <is>
          <t>Sodium bicarbonate 650 mg TID</t>
        </is>
      </c>
      <c r="E43" s="2" t="inlineStr">
        <is>
          <t>Kayexalate (Sodium polystyrene sulfonate) 15 g TID</t>
        </is>
      </c>
      <c r="F43" s="2" t="inlineStr">
        <is>
          <t>3a</t>
        </is>
      </c>
      <c r="G43" s="2" t="inlineStr">
        <is>
          <t>3b</t>
        </is>
      </c>
      <c r="H43" s="2" t="inlineStr">
        <is>
          <t>Erythropoietin (EPO) 4000 units SC weekly</t>
        </is>
      </c>
      <c r="I43" s="8" t="inlineStr">
        <is>
          <t>1</t>
        </is>
      </c>
      <c r="J43" s="2" t="inlineStr">
        <is>
          <t>✅ คำตอบที่ถูกต้อง: ข้อ ก. Sodium bicarbonate 650 mg TID
💡 Background:
ภาวะไตเสื่อม (CKD/AKI) ต้องระมัดระวังการปรับขนาดยาตาม renal function (eGFR/CrCl) และหลีกเลี่ยง nephrotoxic drugs
🎯 ทำไมข้อนี้ถึงถูก:
Sodium bicarbonate 650 mg TID การเลือก Sodium bicarbonate 650 mg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ค. (3a): ข้อนี้ไม่ใช่คำตอบที่ถูกต้องสำหรับภาวะ Chronic kidney diseases เนื่องจากกลไกการออกฤทธิ์, efficacy หรือข้อบ่งใช้ไม่ตรงกับโจทย์ที่กำหนด
• ข้อ ง. (3b): ข้อนี้ไม่ใช่คำตอบที่ถูกต้องสำหรับภาวะ Chronic kidney diseases เนื่องจากกลไกการออกฤทธิ์, efficacy หรือข้อบ่งใช้ไม่ตรงกับโจทย์ที่กำหนด
• ข้อ จ.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2" t="n"/>
      <c r="L43" s="2" t="inlineStr">
        <is>
          <t>Chronic kidney diseases</t>
        </is>
      </c>
      <c r="M43" s="2" t="inlineStr">
        <is>
          <t>Clinic</t>
        </is>
      </c>
      <c r="N43" s="2" t="inlineStr">
        <is>
          <t>ข้อ 73 (PLE_CC1_2562_Key.md)</t>
        </is>
      </c>
      <c r="O43" s="2" t="inlineStr">
        <is>
          <t>ข้อสอบจริง</t>
        </is>
      </c>
      <c r="P43" s="2" t="inlineStr">
        <is>
          <t>ปี 2562</t>
        </is>
      </c>
    </row>
    <row r="44" ht="13.2" customHeight="1" s="37">
      <c r="A44" s="8" t="inlineStr">
        <is>
          <t>42</t>
        </is>
      </c>
      <c r="B44" s="2" t="inlineStr">
        <is>
          <t>การไตเตรตดังกล!าวแบบใด</t>
        </is>
      </c>
      <c r="C44" s="2" t="n"/>
      <c r="D44" s="2" t="inlineStr">
        <is>
          <t>Redox titrate</t>
        </is>
      </c>
      <c r="E44" s="2" t="inlineStr">
        <is>
          <t>Aqueous titrate</t>
        </is>
      </c>
      <c r="F44" s="2" t="inlineStr">
        <is>
          <t>Precipitation titrate</t>
        </is>
      </c>
      <c r="G44" s="2" t="inlineStr">
        <is>
          <t>Non aqueous titrate</t>
        </is>
      </c>
      <c r="H44" s="2" t="inlineStr">
        <is>
          <t>Complexometric</t>
        </is>
      </c>
      <c r="I44" s="8" t="inlineStr">
        <is>
          <t>1</t>
        </is>
      </c>
      <c r="J44" s="2" t="inlineStr">
        <is>
          <t>✅ คำตอบที่ถูกต้อง: ข้อ ก. Redox titrate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Redox titrate การเลือก Redox titrate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(Aqueous titrate): ข้อนี้ไม่ใช่คำตอบที่ถูกต้องสำหรับภาวะ Chronic kidney diseases เนื่องจากกลไกการออกฤทธิ์, efficacy หรือข้อบ่งใช้ไม่ตรงกับโจทย์ที่กำหนด
• ข้อ ค. (Precipitation titrate): ข้อนี้ไม่ใช่คำตอบที่ถูกต้องสำหรับภาวะ Chronic kidney diseases เนื่องจากกลไกการออกฤทธิ์, efficacy หรือข้อบ่งใช้ไม่ตรงกับโจทย์ที่กำหนด
• ข้อ ง. (Non aqueous titrate): ข้อนี้ไม่ใช่คำตอบที่ถูกต้องสำหรับภาวะ Chronic kidney diseases เนื่องจากกลไกการออกฤทธิ์, efficacy หรือข้อบ่งใช้ไม่ตรงกับโจทย์ที่กำหนด
• ข้อ จ. (Complexometric):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2" t="n"/>
      <c r="L44" s="2" t="inlineStr">
        <is>
          <t>Chronic kidney diseases</t>
        </is>
      </c>
      <c r="M44" s="2" t="inlineStr">
        <is>
          <t>Clinic</t>
        </is>
      </c>
      <c r="N44" s="2" t="inlineStr">
        <is>
          <t>ข้อ 17 (PLE_CC1_2561_Key.md)</t>
        </is>
      </c>
      <c r="O44" s="2" t="inlineStr">
        <is>
          <t>ข้อสอบจริง</t>
        </is>
      </c>
      <c r="P44" s="2" t="inlineStr">
        <is>
          <t>ปี 2561</t>
        </is>
      </c>
    </row>
    <row r="45" ht="13.2" customHeight="1" s="37">
      <c r="A45" s="8" t="inlineStr">
        <is>
          <t>43</t>
        </is>
      </c>
      <c r="B45" s="2" t="inlineStr">
        <is>
          <t>ยาใดไม่ควรใช้ในผู้ป่วยโรคไตเรื อรังรายนี</t>
        </is>
      </c>
      <c r="C45" s="2" t="n"/>
      <c r="D45" s="2" t="inlineStr">
        <is>
          <t>Aspirin</t>
        </is>
      </c>
      <c r="E45" s="2" t="inlineStr">
        <is>
          <t>Glipizide</t>
        </is>
      </c>
      <c r="F45" s="2" t="inlineStr">
        <is>
          <t>Amlodipine</t>
        </is>
      </c>
      <c r="G45" s="2" t="inlineStr">
        <is>
          <t>Alum milk</t>
        </is>
      </c>
      <c r="H45" s="2" t="inlineStr">
        <is>
          <t>Hydralazine</t>
        </is>
      </c>
      <c r="I45" s="8" t="inlineStr">
        <is>
          <t>1</t>
        </is>
      </c>
      <c r="J45" s="2" t="inlineStr">
        <is>
          <t>✅ คำตอบที่ถูกต้อง: ข้อ ก. Aspirin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ข้อนี้ไม่ใช่คำตอบที่ถูกต้องสำหรับภาวะ Chronic kidney diseases เนื่องจากกลไกการออกฤทธิ์, efficacy หรือข้อบ่งใช้ไม่ตรงกับโจทย์ที่กำหนด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n"/>
      <c r="L45" s="2" t="inlineStr">
        <is>
          <t>Chronic kidney diseases</t>
        </is>
      </c>
      <c r="M45" s="2" t="inlineStr">
        <is>
          <t>Clinic</t>
        </is>
      </c>
      <c r="N45" s="2" t="inlineStr">
        <is>
          <t>ข้อ 3 (PLE_CC1_2560 22 April Set 1.md)</t>
        </is>
      </c>
      <c r="O45" s="2" t="inlineStr">
        <is>
          <t>ข้อสอบจริง</t>
        </is>
      </c>
      <c r="P45" s="2" t="inlineStr">
        <is>
          <t>ปี 2560</t>
        </is>
      </c>
    </row>
    <row r="46" ht="13.2" customHeight="1" s="37">
      <c r="A46" s="8" t="inlineStr">
        <is>
          <t>44</t>
        </is>
      </c>
      <c r="B46" s="2" t="inlineStr">
        <is>
          <t>ยาใดห้ามใช้ในโรคไต</t>
        </is>
      </c>
      <c r="C46" s="2" t="n"/>
      <c r="D46" s="2" t="inlineStr">
        <is>
          <t>Aspirin</t>
        </is>
      </c>
      <c r="E46" s="2" t="inlineStr">
        <is>
          <t>Glipizide</t>
        </is>
      </c>
      <c r="F46" s="2" t="inlineStr">
        <is>
          <t>Amlodipine</t>
        </is>
      </c>
      <c r="G46" s="2" t="inlineStr">
        <is>
          <t>Alum milk</t>
        </is>
      </c>
      <c r="H46" s="2" t="inlineStr">
        <is>
          <t>Hydralazine</t>
        </is>
      </c>
      <c r="I46" s="8" t="inlineStr">
        <is>
          <t>1</t>
        </is>
      </c>
      <c r="J46" s="2" t="inlineStr">
        <is>
          <t>✅ คำตอบที่ถูกต้อง: ข้อ ก. Aspirin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ข้อนี้ไม่ใช่คำตอบที่ถูกต้องสำหรับภาวะ Chronic kidney diseases เนื่องจากกลไกการออกฤทธิ์, efficacy หรือข้อบ่งใช้ไม่ตรงกับโจทย์ที่กำหนด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Chronic kidney diseases</t>
        </is>
      </c>
      <c r="M46" s="2" t="inlineStr">
        <is>
          <t>Clinic</t>
        </is>
      </c>
      <c r="N46" s="2" t="inlineStr">
        <is>
          <t>ข้อ 2 (PLE_CC1_2560 22 April Set 2.md)</t>
        </is>
      </c>
      <c r="O46" s="2" t="inlineStr">
        <is>
          <t>ข้อสอบจริง</t>
        </is>
      </c>
      <c r="P46" s="2" t="inlineStr">
        <is>
          <t>ปี 2560</t>
        </is>
      </c>
    </row>
    <row r="47" ht="13.2" customHeight="1" s="37">
      <c r="A47" s="8" t="inlineStr">
        <is>
          <t>45</t>
        </is>
      </c>
      <c r="B47" s="2" t="inlineStr">
        <is>
          <t>ยาใดเป็นพิษต่อไตมากที่สุด</t>
        </is>
      </c>
      <c r="C47" s="2" t="n"/>
      <c r="D47" s="2" t="inlineStr">
        <is>
          <t>Risedronate</t>
        </is>
      </c>
      <c r="E47" s="2" t="inlineStr">
        <is>
          <t>Diclofenac</t>
        </is>
      </c>
      <c r="F47" s="2" t="inlineStr">
        <is>
          <t>Glucosamine</t>
        </is>
      </c>
      <c r="G47" s="2" t="inlineStr">
        <is>
          <t>Vitamin B complex</t>
        </is>
      </c>
      <c r="H47" s="2" t="inlineStr">
        <is>
          <t>Calcium ห้ามนำไปทำซ้ำทุกกรณี เว้นแต่จะได้รับอนุญาต</t>
        </is>
      </c>
      <c r="I47" s="8" t="inlineStr">
        <is>
          <t>1</t>
        </is>
      </c>
      <c r="J47" s="2" t="inlineStr">
        <is>
          <t>✅ คำตอบที่ถูกต้อง: ข้อ ก. Risedronate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Risedronate การเลือก Risedronate เป็นคำตอบที่ถูกต้องตามแนวทางการรักษามาตรฐาน เนื่องจาก เป็น oral bisphosphonate รับประทานสัปดาห์ละ 35 mg หรือเดือนละ 150 mg มีข้อปฏิบัติเคร่งครัดเรื่องการดื่มน้ำและการนั่งตัวตรงเช่นเดียวกับ alendronate
🔍 ข้ออื่นผิดเพราะอะไร:
• ข้อ ข. (Diclofenac): ข้อนี้ไม่ใช่คำตอบที่ถูกต้องสำหรับภาวะ Chronic kidney diseases เนื่องจากกลไกการออกฤทธิ์, efficacy หรือข้อบ่งใช้ไม่ตรงกับโจทย์ที่กำหนด
• ข้อ ค. (Glucosamine): เป็นเพียง dietary supplement / symptom-modifying therapy สำหรับ OA ไม่ได้จัดเป็น disease-modifying agent และ CPG สากล (ACR) ไม่แนะนำให้ใช้เป็น first-line
• ข้อ ง. (Vitamin B complex): ข้อนี้ไม่ใช่คำตอบที่ถูกต้องสำหรับภาวะ Chronic kidney diseases เนื่องจากกลไกการออกฤทธิ์, efficacy หรือข้อบ่งใช้ไม่ตรงกับโจทย์ที่กำหนด
• ข้อ จ. (Calcium ห้ามนำไปทำซ้ำทุกกรณี เว้นแต่จะได้รับอนุญาต):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2" t="n"/>
      <c r="L47" s="2" t="inlineStr">
        <is>
          <t>Chronic kidney diseases</t>
        </is>
      </c>
      <c r="M47" s="2" t="inlineStr">
        <is>
          <t>Clinic</t>
        </is>
      </c>
      <c r="N47" s="2" t="inlineStr">
        <is>
          <t>ข้อ 85 (PLE_CC1_2559.md)</t>
        </is>
      </c>
      <c r="O47" s="2" t="inlineStr">
        <is>
          <t>ข้อสอบจริง</t>
        </is>
      </c>
      <c r="P47" s="2" t="inlineStr">
        <is>
          <t>ปี 2559</t>
        </is>
      </c>
    </row>
    <row r="48" ht="13.2" customHeight="1" s="37">
      <c r="A48" s="8" t="inlineStr">
        <is>
          <t>46</t>
        </is>
      </c>
      <c r="B48" s="2" t="inlineStr">
        <is>
          <t>จัดอยู่ใน CKD stageใด</t>
        </is>
      </c>
      <c r="C48" s="2" t="n"/>
      <c r="D48" s="2" t="inlineStr">
        <is>
          <t>Calcitriol 0.25 mcg OD</t>
        </is>
      </c>
      <c r="E48" s="2" t="inlineStr">
        <is>
          <t>II</t>
        </is>
      </c>
      <c r="F48" s="2" t="inlineStr">
        <is>
          <t>III</t>
        </is>
      </c>
      <c r="G48" s="2" t="inlineStr">
        <is>
          <t>IV</t>
        </is>
      </c>
      <c r="H48" s="2" t="inlineStr">
        <is>
          <t>Sevelamer carbonate 800 mg TID with meals</t>
        </is>
      </c>
      <c r="I48" s="8" t="inlineStr">
        <is>
          <t>1</t>
        </is>
      </c>
      <c r="J48"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(II): ข้อนี้ไม่ใช่คำตอบที่ถูกต้องสำหรับภาวะ Chronic kidney diseases เนื่องจากกลไกการออกฤทธิ์, efficacy หรือข้อบ่งใช้ไม่ตรงกับโจทย์ที่กำหนด
• ข้อ ค. (III): ข้อนี้ไม่ใช่คำตอบที่ถูกต้องสำหรับภาวะ Chronic kidney diseases เนื่องจากกลไกการออกฤทธิ์, efficacy หรือข้อบ่งใช้ไม่ตรงกับโจทย์ที่กำหนด
• ข้อ ง. (IV): ข้อนี้ไม่ใช่คำตอบที่ถูกต้องสำหรับภาวะ Chronic kidney diseases เนื่องจากกลไกการออกฤทธิ์, efficacy หรือข้อบ่งใช้ไม่ตรงกับโจทย์ที่กำหนด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2" t="n"/>
      <c r="L48" s="2" t="inlineStr">
        <is>
          <t>Chronic kidney diseases</t>
        </is>
      </c>
      <c r="M48" s="2" t="inlineStr">
        <is>
          <t>Clinic</t>
        </is>
      </c>
      <c r="N48" s="2" t="inlineStr">
        <is>
          <t>ข้อ 47 (PLE_CC1_2558_Key.md)</t>
        </is>
      </c>
      <c r="O48" s="2" t="inlineStr">
        <is>
          <t>ข้อสอบจริง</t>
        </is>
      </c>
      <c r="P48" s="2" t="inlineStr">
        <is>
          <t>ปี 2558</t>
        </is>
      </c>
    </row>
    <row r="49" ht="13.2" customHeight="1" s="37">
      <c r="A49" s="8" t="inlineStr">
        <is>
          <t>47</t>
        </is>
      </c>
      <c r="B49" s="2" t="inlineStr">
        <is>
          <t>ข้อใด ไม่ใช่ เกณฑ์วินิจฉัยภาวะไตเรื้อรัง</t>
        </is>
      </c>
      <c r="C49" s="2" t="n"/>
      <c r="D49" s="2" t="inlineStr">
        <is>
          <t>GFR &lt; 45 ml/min/1.73 m2 ติดต่อกันเกิน 3 เดือน</t>
        </is>
      </c>
      <c r="E49" s="2" t="inlineStr">
        <is>
          <t>ตรวจพบอัลบูมินในปัสสาวะ ≥ 2 ใน 3 ครั้ง ในช่วง 3 เดือน</t>
        </is>
      </c>
      <c r="F49" s="2" t="inlineStr">
        <is>
          <t>ตรวจพบเม็ดเลือดแดงในปัสสาวะ ≥ 2 ใน 3 ครั้ง ในช่วง 3 เดือน</t>
        </is>
      </c>
      <c r="G49" s="2" t="inlineStr">
        <is>
          <t>พบความผิดปกติทางพยาธิสภาพ</t>
        </is>
      </c>
      <c r="H49" s="2" t="inlineStr">
        <is>
          <t>มีประวัติผ่าตัดปลูกถ่ายไต</t>
        </is>
      </c>
      <c r="I49" s="8" t="inlineStr">
        <is>
          <t>1</t>
        </is>
      </c>
      <c r="J49" s="2" t="inlineStr">
        <is>
          <t>✅ คำตอบที่ถูกต้อง: ข้อ ก. GFR &lt; 45 ml/min/1.73 m2 ติดต่อกันเกิน 3 เดือน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GFR &lt; 45 ml/min/1.73 m2 ติดต่อกันเกิน 3 เดือน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(ตรวจพบอัลบูมินในปัสสาวะ ≥ 2 ใน 3 ครั้ง ในช่วง 3 เดือน): ข้อนี้ไม่ใช่คำตอบที่ถูกต้องสำหรับภาวะ Chronic kidney diseases เนื่องจากกลไกการออกฤทธิ์, efficacy หรือข้อบ่งใช้ไม่ตรงกับโจทย์ที่กำหนด
• ข้อ ค. (ตรวจพบเม็ดเลือดแดงในปัสสาวะ ≥ 2 ใน 3 ครั้ง ในช่วง 3 เดือน): ข้อนี้ไม่ใช่คำตอบที่ถูกต้องสำหรับภาวะ Chronic kidney diseases เนื่องจากกลไกการออกฤทธิ์, efficacy หรือข้อบ่งใช้ไม่ตรงกับโจทย์ที่กำหนด
• ข้อ ง. (พบความผิดปกติทางพยาธิสภาพ): ข้อนี้ไม่ใช่คำตอบที่ถูกต้องสำหรับภาวะ Chronic kidney diseases เนื่องจากกลไกการออกฤทธิ์, efficacy หรือข้อบ่งใช้ไม่ตรงกับโจทย์ที่กำหนด
• ข้อ จ. (มีประวัติผ่าตัดปลูกถ่ายไต):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2" t="n"/>
      <c r="L49" s="2" t="inlineStr">
        <is>
          <t>Chronic kidney diseases</t>
        </is>
      </c>
      <c r="M49" s="2" t="inlineStr">
        <is>
          <t>Clinic</t>
        </is>
      </c>
      <c r="N49" s="2" t="inlineStr">
        <is>
          <t>ข้อ 84 (Pharmtutor_2024_Set2.md)</t>
        </is>
      </c>
      <c r="O49" s="2" t="inlineStr">
        <is>
          <t>Mock</t>
        </is>
      </c>
      <c r="P49" s="2" t="inlineStr">
        <is>
          <t>Mock Pharmtutor 2024</t>
        </is>
      </c>
    </row>
    <row r="50" ht="13.2" customHeight="1" s="37">
      <c r="A50" s="8" t="inlineStr">
        <is>
          <t>48</t>
        </is>
      </c>
      <c r="B50" s="2" t="inlineStr">
        <is>
          <t>ผู้ป่วยรายนี%มีภาวะโรคไตเรื%อรังอยู่ในระยะ (stage) ใด (1) Stage I (2) Stage II (3) Stage III (4) Stage IV (5) Stage V</t>
        </is>
      </c>
      <c r="C50" s="2" t="n"/>
      <c r="D50" s="2" t="inlineStr">
        <is>
          <t>Kayexalate (Sodium polystyrene sulfonate) 15 g TID</t>
        </is>
      </c>
      <c r="E50" s="2" t="inlineStr">
        <is>
          <t>Calcium gluconate 10% 10 mL IV over 5 min</t>
        </is>
      </c>
      <c r="F50" s="2" t="inlineStr">
        <is>
          <t>Furosemide 40 mg IV/PO OD</t>
        </is>
      </c>
      <c r="G50" s="2" t="inlineStr">
        <is>
          <t>Erythropoietin (EPO) 4000 units SC weekly</t>
        </is>
      </c>
      <c r="H50" s="2" t="inlineStr">
        <is>
          <t>Calcitriol 0.25 mcg OD</t>
        </is>
      </c>
      <c r="I50" s="8" t="inlineStr">
        <is>
          <t>1</t>
        </is>
      </c>
      <c r="J50" s="2" t="inlineStr">
        <is>
          <t>✅ คำตอบที่ถูกต้อง: ข้อ ก. Kayexalate (Sodium polystyrene sulfonate) 15 g TID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Kayexalate (Sodium polystyrene sulfonate) 15 g TID การเลือก Kayexalate (Sodium polystyrene sulfonate) 15 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จ. (Calcitriol 0.25 mcg OD):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2" t="n"/>
      <c r="L50" s="2" t="inlineStr">
        <is>
          <t>Chronic kidney diseases</t>
        </is>
      </c>
      <c r="M50" s="2" t="inlineStr">
        <is>
          <t>Clinic</t>
        </is>
      </c>
      <c r="N50" s="2" t="inlineStr">
        <is>
          <t>ข้อ 64 (PLE_CC1_2557.md)</t>
        </is>
      </c>
      <c r="O50" s="2" t="inlineStr">
        <is>
          <t>ข้อสอบจริง</t>
        </is>
      </c>
      <c r="P50" s="2" t="inlineStr">
        <is>
          <t>ปี 2557</t>
        </is>
      </c>
    </row>
    <row r="51" ht="13.2" customHeight="1" s="37">
      <c r="A51" s="8" t="inlineStr">
        <is>
          <t>49</t>
        </is>
      </c>
      <c r="B51" s="2" t="inlineStr">
        <is>
          <t>serumcreatinine</t>
        </is>
      </c>
      <c r="C51" s="2" t="n"/>
      <c r="D51" s="2" t="inlineStr">
        <is>
          <t>Erythropoietin (EPO) 4000 units SC weekly</t>
        </is>
      </c>
      <c r="E51" s="2" t="inlineStr">
        <is>
          <t>Calcitriol 0.25 mcg OD</t>
        </is>
      </c>
      <c r="F51" s="2" t="inlineStr">
        <is>
          <t>Potassium chloride 500 mg BID</t>
        </is>
      </c>
      <c r="G51" s="2" t="inlineStr">
        <is>
          <t>Calcium carbonate 1000 mg TID with meals</t>
        </is>
      </c>
      <c r="H51" s="2" t="inlineStr">
        <is>
          <t>Calcium acetate 667 mg TID with meals</t>
        </is>
      </c>
      <c r="I51" s="8" t="inlineStr">
        <is>
          <t>1</t>
        </is>
      </c>
      <c r="J51" s="2"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ค.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2" t="n"/>
      <c r="L51" s="2" t="inlineStr">
        <is>
          <t>Chronic kidney diseases</t>
        </is>
      </c>
      <c r="M51" s="2" t="inlineStr">
        <is>
          <t>Clinic</t>
        </is>
      </c>
      <c r="N51" s="2" t="inlineStr">
        <is>
          <t>ข้อ 1 (PLE_CC1_2556.md)</t>
        </is>
      </c>
      <c r="O51" s="2" t="inlineStr">
        <is>
          <t>ข้อสอบจริง</t>
        </is>
      </c>
      <c r="P51" s="2" t="inlineStr">
        <is>
          <t>ปี 2556</t>
        </is>
      </c>
    </row>
    <row r="52" ht="13.2" customHeight="1" s="37">
      <c r="A52" s="8" t="inlineStr">
        <is>
          <t>50</t>
        </is>
      </c>
      <c r="B52" s="2" t="inlineStr">
        <is>
          <t>สาเหตุของการเกิดโรคไตในผู้ป่วยรายนี้</t>
        </is>
      </c>
      <c r="C52" s="2" t="n"/>
      <c r="D52" s="2" t="inlineStr">
        <is>
          <t>smoke-induced</t>
        </is>
      </c>
      <c r="E52" s="2" t="inlineStr">
        <is>
          <t>alcohol-induced</t>
        </is>
      </c>
      <c r="F52" s="2" t="inlineStr">
        <is>
          <t>hypovolemia</t>
        </is>
      </c>
      <c r="G52" s="2" t="inlineStr">
        <is>
          <t>myoglobin-induced จากโจทย์ ผป.มี AST ALT สูงลิ่ว, มีอาการปวดกล้ามเนื้อ ปัสสาวะน้อย และมีสีแดง ไม่มีแรง Ref. ชีทเรียน dyslipidemia อ.วิลาวัณย์ Statins ADR</t>
        </is>
      </c>
      <c r="H52" s="2" t="inlineStr">
        <is>
          <t>Kayexalate (Sodium polystyrene sulfonate) 15 g TID</t>
        </is>
      </c>
      <c r="I52" s="8" t="inlineStr">
        <is>
          <t>2</t>
        </is>
      </c>
      <c r="J52" s="2" t="inlineStr">
        <is>
          <t>✅ คำตอบที่ถูกต้อง: ข้อ ข. alcohol-induced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alcohol-induced การเลือก alcohol-induced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(smoke-induced): ข้อนี้ไม่ใช่คำตอบที่ถูกต้องสำหรับภาวะ Chronic kidney diseases เนื่องจากกลไกการออกฤทธิ์, efficacy หรือข้อบ่งใช้ไม่ตรงกับโจทย์ที่กำหนด
• ข้อ ค. (hypovolemia): ข้อนี้ไม่ใช่คำตอบที่ถูกต้องสำหรับภาวะ Chronic kidney diseases เนื่องจากกลไกการออกฤทธิ์, efficacy หรือข้อบ่งใช้ไม่ตรงกับโจทย์ที่กำหนด
• ข้อ ง. (myoglobin-induced จากโจทย์ ผป.มี AST ALT สูงลิ่ว, มีอาการปวดกล้ามเนื้อ ปัสสาวะน้อย และมีสีแดง ไม่มีแรง Ref. ชีทเรียน dyslipidemia อ.วิลาวัณย์ Statins ADR): ข้อนี้ไม่ใช่คำตอบที่ถูกต้องสำหรับภาวะ Chronic kidney diseases เนื่องจากกลไกการออกฤทธิ์, efficacy หรือข้อบ่งใช้ไม่ตรงกับโจทย์ที่กำหนด
• ข้อ จ.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 s="2" t="n"/>
      <c r="L52" s="2" t="inlineStr">
        <is>
          <t>Chronic kidney diseases</t>
        </is>
      </c>
      <c r="M52" s="2" t="inlineStr">
        <is>
          <t>Clinic</t>
        </is>
      </c>
      <c r="N52" s="2" t="inlineStr">
        <is>
          <t>ข้อ 4 (PLE_CC1_2554 SET2.md)</t>
        </is>
      </c>
      <c r="O52" s="2" t="inlineStr">
        <is>
          <t>ข้อสอบจริง</t>
        </is>
      </c>
      <c r="P52" s="2" t="inlineStr">
        <is>
          <t>ปี 2554</t>
        </is>
      </c>
    </row>
    <row r="53" ht="13.2" customHeight="1" s="37">
      <c r="A53" s="8" t="inlineStr">
        <is>
          <t>51</t>
        </is>
      </c>
      <c r="B53" s="2" t="inlineStr">
        <is>
          <t>ยาใดที่ออกฤทธิ์ bacteriostatic โดยยับยั้งการสร้างโปรตีน โดยจับกับ 50s subunit ribosome ของ แบคทีเรีย</t>
        </is>
      </c>
      <c r="C53" s="2" t="n"/>
      <c r="D53" s="2" t="inlineStr">
        <is>
          <t>Doxycycline</t>
        </is>
      </c>
      <c r="E53" s="2" t="inlineStr">
        <is>
          <t>Ceftriaxone</t>
        </is>
      </c>
      <c r="F53" s="2" t="inlineStr">
        <is>
          <t>Azithromycin</t>
        </is>
      </c>
      <c r="G53" s="2" t="inlineStr">
        <is>
          <t>Gentamicin</t>
        </is>
      </c>
      <c r="H53" s="2" t="inlineStr">
        <is>
          <t>Meropenem</t>
        </is>
      </c>
      <c r="I53" s="8" t="inlineStr">
        <is>
          <t>1</t>
        </is>
      </c>
      <c r="J53" s="2" t="inlineStr">
        <is>
          <t>✅ คำตอบที่ถูกต้อง: ข้อ ก. Doxycycline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(Ceftriaxone): เป็น 3rd generation cephalosporin มี broad spectrum ต่อ gram-negative bacteria และผ่าน BBB ได้ดี ขับออกทาง biliary tract จึงไม่ต้องปรับ dose ใน renal impairment
• ข้อ ค. (Azithromycin): เป็น Macrolide ครอบคลุม atypical pathogens (Mycoplasma, Chlamydia, Legionella) ขจัดออกทางตับเป็นหลัก และมี half-life ยาวนาน (~68 ชม.)
• ข้อ ง. (Gentamicin): เป็น Aminoglycoside มี concentration-dependent bactericidal effect ต่อ gram-negative มี nephrotoxicity และ ototoxicity ต้อง monitoring renal function และ serum level
• ข้อ จ. (Meropenem):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2" t="n"/>
      <c r="L53" s="2" t="inlineStr">
        <is>
          <t>Chronic kidney diseases</t>
        </is>
      </c>
      <c r="M53" s="2" t="inlineStr">
        <is>
          <t>Clinic</t>
        </is>
      </c>
      <c r="N53" s="2" t="inlineStr">
        <is>
          <t>ข้อ 49 (PLE_CC1_Practice_Exam.md)</t>
        </is>
      </c>
      <c r="O53" s="2" t="inlineStr">
        <is>
          <t>Mock</t>
        </is>
      </c>
      <c r="P53" s="2" t="inlineStr">
        <is>
          <t>Mock สภาเภสัชฯ Practice</t>
        </is>
      </c>
    </row>
    <row r="54" ht="13.2" customHeight="1" s="37">
      <c r="A54" s="8" t="inlineStr">
        <is>
          <t>52</t>
        </is>
      </c>
      <c r="B54" s="2" t="inlineStr">
        <is>
          <t>รักษาสมดุลของระดับแคลเซียมในเลือดโดยกระตุ้นการสลายแคลเซียมออกจากกระดูกและดูดซึมแคลเซียม กลับจากท่อไต</t>
        </is>
      </c>
      <c r="C54" s="2" t="n"/>
      <c r="D54" s="2" t="inlineStr">
        <is>
          <t>Furosemide 40 mg IV/PO OD</t>
        </is>
      </c>
      <c r="E54" s="2" t="inlineStr">
        <is>
          <t>Erythropoietin (EPO) 4000 units SC weekly</t>
        </is>
      </c>
      <c r="F54" s="2" t="inlineStr">
        <is>
          <t>Calcitriol 0.25 mcg OD</t>
        </is>
      </c>
      <c r="G54" s="2" t="inlineStr">
        <is>
          <t>Potassium chloride 500 mg BID</t>
        </is>
      </c>
      <c r="H54" s="2" t="inlineStr">
        <is>
          <t>Calcium carbonate 1000 mg TID with meals</t>
        </is>
      </c>
      <c r="I54" s="8" t="inlineStr">
        <is>
          <t>1</t>
        </is>
      </c>
      <c r="J54" s="2" t="inlineStr">
        <is>
          <t>✅ คำตอบที่ถูกต้อง: ข้อ ก. Furosemide 40 mg IV/PO OD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ค.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ง.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จ. (Calcium carbonate 1000 mg TID with meals):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4" s="2" t="n"/>
      <c r="L54" s="2" t="inlineStr">
        <is>
          <t>Chronic kidney diseases</t>
        </is>
      </c>
      <c r="M54" s="2" t="inlineStr">
        <is>
          <t>Clinic</t>
        </is>
      </c>
      <c r="N54" s="2" t="inlineStr">
        <is>
          <t>ข้อ 2 (PLE_CC1_Practice_Exam.md)</t>
        </is>
      </c>
      <c r="O54" s="2" t="inlineStr">
        <is>
          <t>Mock</t>
        </is>
      </c>
      <c r="P54" s="2" t="inlineStr">
        <is>
          <t>Mock สภาเภสัชฯ Practice</t>
        </is>
      </c>
    </row>
    <row r="55" ht="13.2" customHeight="1" s="37">
      <c r="A55" s="8" t="inlineStr">
        <is>
          <t>53</t>
        </is>
      </c>
      <c r="B55" s="2" t="inlineStr">
        <is>
          <t>มีการทำงานของไตบกพร่อง Anxiety</t>
        </is>
      </c>
      <c r="C55" s="2" t="n"/>
      <c r="D55" s="2" t="inlineStr">
        <is>
          <t>Potassium chloride 500 mg BID</t>
        </is>
      </c>
      <c r="E55" s="2" t="inlineStr">
        <is>
          <t>Calcium carbonate 1000 mg TID with meals</t>
        </is>
      </c>
      <c r="F55" s="2" t="inlineStr">
        <is>
          <t>Calcium acetate 667 mg TID with meals</t>
        </is>
      </c>
      <c r="G55" s="2" t="inlineStr">
        <is>
          <t>Sevelamer carbonate 800 mg TID with meals</t>
        </is>
      </c>
      <c r="H55" s="2" t="inlineStr">
        <is>
          <t>Sodium bicarbonate 650 mg TID</t>
        </is>
      </c>
      <c r="I55" s="8" t="inlineStr">
        <is>
          <t>1</t>
        </is>
      </c>
      <c r="J55" s="2" t="inlineStr">
        <is>
          <t>✅ คำตอบที่ถูกต้อง: ข้อ ก. Potassium chloride 500 mg BID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Potassium chloride 500 mg BID การเลือก Potassium chloride 500 mg BID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ค.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ข้อ ง. (Sevelamer carbonate 800 mg TID with meals): เป็น Non-calcium, non-aluminum phosphate binder เหมาะสำหรับ CKD patients ที่มี hypercalcemia หรือ vascular calcification
• ข้อ จ. (Sodium bicarbonate 650 mg TID):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2" t="n"/>
      <c r="L55" s="2" t="inlineStr">
        <is>
          <t>Chronic kidney diseases</t>
        </is>
      </c>
      <c r="M55" s="2" t="inlineStr">
        <is>
          <t>Clinic</t>
        </is>
      </c>
      <c r="N55" s="2" t="inlineStr">
        <is>
          <t>ข้อ 5 (PLE_CC1_Practice_Exam.md)</t>
        </is>
      </c>
      <c r="O55" s="2" t="inlineStr">
        <is>
          <t>Mock</t>
        </is>
      </c>
      <c r="P55" s="2" t="inlineStr">
        <is>
          <t>Mock สภาเภสัชฯ Practice</t>
        </is>
      </c>
    </row>
    <row r="56" ht="13.2" customHeight="1" s="37">
      <c r="A56" s="8" t="inlineStr">
        <is>
          <t>54</t>
        </is>
      </c>
      <c r="B56" s="2" t="inlineStr">
        <is>
          <t>ยา A 80% ขับออกทางไตและขับออกในรูป active metabolite ข้อใดเหมาะสมมากที่สุด</t>
        </is>
      </c>
      <c r="C56" s="2" t="n"/>
      <c r="D56" s="2" t="inlineStr">
        <is>
          <t>ควรพิจารณาปรับขนาดยาลดลง หากผู้ป่วยมีการทำงานของไตแย่ลง</t>
        </is>
      </c>
      <c r="E56" s="2" t="inlineStr">
        <is>
          <t>จำเป็นต้องพิจารณาสภาพของตับในการปรับขนาดยาในผู้ป่วย 397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F56" s="2" t="inlineStr">
        <is>
          <t>ไม่มีความจำเป็นต้องปรับขนาดยาในผู้ป่วยโรคไต</t>
        </is>
      </c>
      <c r="G56" s="2" t="inlineStr">
        <is>
          <t>ผู้ป่วยควรดื่มน้ำหลังรับประทานยามากๆ เพื่อลดการเกิดพิษของยาต่อไต</t>
        </is>
      </c>
      <c r="H56" s="2" t="inlineStr">
        <is>
          <t>ผู้ป่วย CKD จะไม่สามารถใช้ยาตัวดังกล่าวได้</t>
        </is>
      </c>
      <c r="I56" s="8" t="inlineStr">
        <is>
          <t>1</t>
        </is>
      </c>
      <c r="J56" s="2" t="inlineStr">
        <is>
          <t>✅ คำตอบที่ถูกต้อง: ข้อ ก. ควรพิจารณาปรับขนาดยาลดลง หากผู้ป่วยมีการทำงานของไตแย่ลง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ควรพิจารณาปรับขนาดยาลดลง หากผู้ป่วยมีการทำงานของไตแย่ลง การเลือก ควรพิจารณาปรับขนาดยาลดลง หากผู้ป่วยมีการทำงานของไตแย่ลง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(จำเป็นต้องพิจารณาสภาพของตับในการปรับขนาดยาในผู้ป่วย 397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Chronic kidney diseases เนื่องจากกลไกการออกฤทธิ์, efficacy หรือข้อบ่งใช้ไม่ตรงกับโจทย์ที่กำหนด
• ข้อ ค. (ไม่มีความจำเป็นต้องปรับขนาดยาในผู้ป่วยโรคไต): ข้อนี้ไม่ใช่คำตอบที่ถูกต้องสำหรับภาวะ Chronic kidney diseases เนื่องจากกลไกการออกฤทธิ์, efficacy หรือข้อบ่งใช้ไม่ตรงกับโจทย์ที่กำหนด
• ข้อ ง. (ผู้ป่วยควรดื่มน้ำหลังรับประทานยามากๆ เพื่อลดการเกิดพิษของยาต่อไต): ข้อนี้ไม่ใช่คำตอบที่ถูกต้องสำหรับภาวะ Chronic kidney diseases เนื่องจากกลไกการออกฤทธิ์, efficacy หรือข้อบ่งใช้ไม่ตรงกับโจทย์ที่กำหนด
• ข้อ จ. (ผู้ป่วย CKD จะไม่สามารถใช้ยาตัวดังกล่าวได้):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2" t="n"/>
      <c r="L56" s="2" t="inlineStr">
        <is>
          <t>Chronic kidney diseases</t>
        </is>
      </c>
      <c r="M56" s="2" t="inlineStr">
        <is>
          <t>Clinic</t>
        </is>
      </c>
      <c r="N56" s="2" t="inlineStr">
        <is>
          <t>ข้อ 13 (PLE_CC1_Practice_Exam.md)</t>
        </is>
      </c>
      <c r="O56" s="2" t="inlineStr">
        <is>
          <t>Mock</t>
        </is>
      </c>
      <c r="P56" s="2" t="inlineStr">
        <is>
          <t>Mock สภาเภสัชฯ Practice</t>
        </is>
      </c>
    </row>
    <row r="57" ht="13.2" customHeight="1" s="37">
      <c r="A57" s="8" t="inlineStr">
        <is>
          <t>55</t>
        </is>
      </c>
      <c r="B57" s="2" t="inlineStr">
        <is>
          <t>ปรับขนาดยาตามไต</t>
        </is>
      </c>
      <c r="C57" s="2" t="n"/>
      <c r="D57" s="2" t="inlineStr">
        <is>
          <t>Calcium gluconate 10% 10 mL IV over 5 min</t>
        </is>
      </c>
      <c r="E57" s="2" t="inlineStr">
        <is>
          <t>Furosemide 40 mg IV/PO OD</t>
        </is>
      </c>
      <c r="F57" s="2" t="inlineStr">
        <is>
          <t>Erythropoietin (EPO) 4000 units SC weekly</t>
        </is>
      </c>
      <c r="G57" s="2" t="inlineStr">
        <is>
          <t>Calcitriol 0.25 mcg OD</t>
        </is>
      </c>
      <c r="H57" s="2" t="inlineStr">
        <is>
          <t>Potassium chloride 500 mg BID</t>
        </is>
      </c>
      <c r="I57" s="8" t="inlineStr">
        <is>
          <t>1</t>
        </is>
      </c>
      <c r="J57" s="2" t="inlineStr">
        <is>
          <t>✅ คำตอบที่ถูกต้อง: ข้อ ก. Calcium gluconate 10% 10 mL IV over 5 min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gluconate 10% 10 mL IV over 5 min การเลือก Calcium gluconate 10% 10 mL IV over 5 min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ค.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ง.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จ.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2" t="n"/>
      <c r="L57" s="2" t="inlineStr">
        <is>
          <t>Chronic kidney diseases</t>
        </is>
      </c>
      <c r="M57" s="2" t="inlineStr">
        <is>
          <t>Clinic</t>
        </is>
      </c>
      <c r="N57" s="2" t="inlineStr">
        <is>
          <t>ข้อ 3 (PLE_CC1_Key_Rx20_UBU.md)</t>
        </is>
      </c>
      <c r="O57" s="2" t="inlineStr">
        <is>
          <t>Mock</t>
        </is>
      </c>
      <c r="P57" s="2" t="inlineStr">
        <is>
          <t>Mock Rx20 UBU</t>
        </is>
      </c>
    </row>
    <row r="58" ht="13.2" customHeight="1" s="37">
      <c r="A58" s="8" t="inlineStr">
        <is>
          <t>56</t>
        </is>
      </c>
      <c r="B58" s="2" t="inlineStr">
        <is>
          <t>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เพลีย ไม่มีไข้ มีคลื่นไส้อาเจียนเล็กน้อย</t>
        </is>
      </c>
      <c r="C58" s="2" t="n"/>
      <c r="D58" s="2" t="inlineStr">
        <is>
          <t>Calcitriol 0.25 mcg OD</t>
        </is>
      </c>
      <c r="E58" s="2" t="inlineStr">
        <is>
          <t>Potassium chloride 500 mg BID</t>
        </is>
      </c>
      <c r="F58" s="2" t="inlineStr">
        <is>
          <t>Calcium carbonate 1000 mg TID with meals</t>
        </is>
      </c>
      <c r="G58" s="2" t="inlineStr">
        <is>
          <t>Calcium acetate 667 mg TID with meals</t>
        </is>
      </c>
      <c r="H58" s="2" t="inlineStr">
        <is>
          <t>Sevelamer carbonate 800 mg TID with meals</t>
        </is>
      </c>
      <c r="I58" s="8" t="inlineStr">
        <is>
          <t>1</t>
        </is>
      </c>
      <c r="J58"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2" t="n"/>
      <c r="L58" s="2" t="inlineStr">
        <is>
          <t>Chronic kidney diseases</t>
        </is>
      </c>
      <c r="M58" s="2" t="inlineStr">
        <is>
          <t>Clinic</t>
        </is>
      </c>
      <c r="N58" s="2" t="inlineStr">
        <is>
          <t>ข้อ 5 (PLE_CC1_Key_Rx20_UBU.md)</t>
        </is>
      </c>
      <c r="O58" s="2" t="inlineStr">
        <is>
          <t>Mock</t>
        </is>
      </c>
      <c r="P58" s="2" t="inlineStr">
        <is>
          <t>Mock Rx20 UBU</t>
        </is>
      </c>
    </row>
    <row r="59" ht="13.2" customHeight="1" s="37">
      <c r="A59" s="8" t="inlineStr">
        <is>
          <t>57</t>
        </is>
      </c>
      <c r="B59" s="2" t="inlineStr">
        <is>
          <t>ต้องระวังการใช้ยาในผู้ป่วยโรคไต</t>
        </is>
      </c>
      <c r="C59" s="2" t="n"/>
      <c r="D59" s="2" t="inlineStr">
        <is>
          <t>Calcium acetate 667 mg TID with meals</t>
        </is>
      </c>
      <c r="E59" s="2" t="inlineStr">
        <is>
          <t>Sevelamer carbonate 800 mg TID with meals</t>
        </is>
      </c>
      <c r="F59" s="2" t="inlineStr">
        <is>
          <t>Sodium bicarbonate 650 mg TID</t>
        </is>
      </c>
      <c r="G59" s="2" t="inlineStr">
        <is>
          <t>Kayexalate (Sodium polystyrene sulfonate) 15 g TID</t>
        </is>
      </c>
      <c r="H59" s="2" t="inlineStr">
        <is>
          <t>Calcium gluconate 10% 10 mL IV over 5 min</t>
        </is>
      </c>
      <c r="I59" s="8" t="inlineStr">
        <is>
          <t>1</t>
        </is>
      </c>
      <c r="J59" s="2" t="inlineStr">
        <is>
          <t>✅ คำตอบที่ถูกต้อง: ข้อ ก. Calcium acetate 667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acetate 667 mg TID with meals การเลือก Calcium acetate 667 mg TID with meals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(Sevelamer carbonate 800 mg TID with meals): เป็น Non-calcium, non-aluminum phosphate binder เหมาะสำหรับ CKD patients ที่มี hypercalcemia หรือ vascular calcification
• ข้อ ค. (Sodium bicarbonate 650 mg TID): ข้อนี้ไม่ใช่คำตอบที่ถูกต้องสำหรับภาวะ Chronic kidney diseases เนื่องจากกลไกการออกฤทธิ์, efficacy หรือข้อบ่งใช้ไม่ตรงกับโจทย์ที่กำหนด
• ข้อ ง.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จ.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n"/>
      <c r="L59" s="2" t="inlineStr">
        <is>
          <t>Chronic kidney diseases</t>
        </is>
      </c>
      <c r="M59" s="2" t="inlineStr">
        <is>
          <t>Clinic</t>
        </is>
      </c>
      <c r="N59" s="2" t="inlineStr">
        <is>
          <t>ข้อ 4 (PLE_CC1_Key_Rx20_UBU.md)</t>
        </is>
      </c>
      <c r="O59" s="2" t="inlineStr">
        <is>
          <t>Mock</t>
        </is>
      </c>
      <c r="P59" s="2" t="inlineStr">
        <is>
          <t>Mock Rx20 UBU</t>
        </is>
      </c>
    </row>
    <row r="60" ht="13.2" customHeight="1" s="37">
      <c r="A60" s="8" t="inlineStr">
        <is>
          <t>58</t>
        </is>
      </c>
      <c r="B60" s="2" t="inlineStr">
        <is>
          <t>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Benzodiazepine receptors) --→ ทำให้ GABA จับกับ GABA receptor ได้มากขึ้น --→ ส่งผลให้ Cl ไหลเข้าเซลล์ประสาทมากขึ้น --→ เกิด hyperpolarization หรือ ลดการเกิด depolarization 0 0 mnn ← dt.</t>
        </is>
      </c>
      <c r="C60" s="2" t="n"/>
      <c r="D60" s="2" t="inlineStr">
        <is>
          <t>Kayexalate (Sodium polystyrene sulfonate) 15 g TID</t>
        </is>
      </c>
      <c r="E60" s="2" t="inlineStr">
        <is>
          <t>Calcium gluconate 10% 10 mL IV over 5 min</t>
        </is>
      </c>
      <c r="F60" s="2" t="inlineStr">
        <is>
          <t>Furosemide 40 mg IV/PO OD</t>
        </is>
      </c>
      <c r="G60" s="2" t="inlineStr">
        <is>
          <t>Erythropoietin (EPO) 4000 units SC weekly</t>
        </is>
      </c>
      <c r="H60" s="2" t="inlineStr">
        <is>
          <t>Calcitriol 0.25 mcg OD</t>
        </is>
      </c>
      <c r="I60" s="8" t="inlineStr">
        <is>
          <t>1</t>
        </is>
      </c>
      <c r="J60" s="2" t="inlineStr">
        <is>
          <t>✅ คำตอบที่ถูกต้อง: ข้อ ก. Kayexalate (Sodium polystyrene sulfonate) 15 g TID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Kayexalate (Sodium polystyrene sulfonate) 15 g TID การเลือก Kayexalate (Sodium polystyrene sulfonate) 15 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จ. (Calcitriol 0.25 mcg OD):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n"/>
      <c r="L60" s="2" t="inlineStr">
        <is>
          <t>Chronic kidney diseases</t>
        </is>
      </c>
      <c r="M60" s="2" t="inlineStr">
        <is>
          <t>Clinic</t>
        </is>
      </c>
      <c r="N60" s="2" t="inlineStr">
        <is>
          <t>ข้อ 5 (PLE_CC1_Key_Rx20_UBU.md)</t>
        </is>
      </c>
      <c r="O60" s="2" t="inlineStr">
        <is>
          <t>Mock</t>
        </is>
      </c>
      <c r="P60" s="2" t="inlineStr">
        <is>
          <t>Mock Rx20 UBU</t>
        </is>
      </c>
    </row>
    <row r="61" ht="13.2" customHeight="1" s="37">
      <c r="A61" s="8" t="inlineStr">
        <is>
          <t>59</t>
        </is>
      </c>
      <c r="B61" s="2" t="inlineStr">
        <is>
          <t>ยาบำรุงเลือดสำหรับผู้ป่วยโรคไตที่แนะนำในผู้ป่วยรายนี้มากที่สุด</t>
        </is>
      </c>
      <c r="C61" s="2" t="n"/>
      <c r="D61" s="2" t="inlineStr">
        <is>
          <t>Erythropoietin (EPO) 4000 units SC weekly</t>
        </is>
      </c>
      <c r="E61" s="2" t="inlineStr">
        <is>
          <t>Calcitriol 0.25 mcg OD</t>
        </is>
      </c>
      <c r="F61" s="2" t="inlineStr">
        <is>
          <t>Potassium chloride 500 mg BID</t>
        </is>
      </c>
      <c r="G61" s="2" t="inlineStr">
        <is>
          <t>Calcium carbonate 1000 mg TID with meals</t>
        </is>
      </c>
      <c r="H61" s="2" t="inlineStr">
        <is>
          <t>Calcium acetate 667 mg TID with meals</t>
        </is>
      </c>
      <c r="I61" s="8" t="inlineStr">
        <is>
          <t>1</t>
        </is>
      </c>
      <c r="J61" s="2"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ค.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n"/>
      <c r="L61" s="2" t="inlineStr">
        <is>
          <t>Chronic kidney diseases</t>
        </is>
      </c>
      <c r="M61" s="2" t="inlineStr">
        <is>
          <t>Clinic</t>
        </is>
      </c>
      <c r="N61" s="2" t="inlineStr">
        <is>
          <t>ข้อ 3 (PLE_CC1_Key_Rx20_UBU.md)</t>
        </is>
      </c>
      <c r="O61" s="2" t="inlineStr">
        <is>
          <t>Mock</t>
        </is>
      </c>
      <c r="P61" s="2" t="inlineStr">
        <is>
          <t>Mock Rx20 UBU</t>
        </is>
      </c>
    </row>
    <row r="62" ht="13.2" customHeight="1" s="37">
      <c r="A62" s="8" t="inlineStr">
        <is>
          <t>60</t>
        </is>
      </c>
      <c r="B62" s="2" t="inlineStr">
        <is>
          <t>การโฆษณาทางวิทยุยาสามัญประจำบ้านแผนโบราณสามารถรักษาโรคไตเรื้องรัง ข้อใดต่อไปนี้ถูก</t>
        </is>
      </c>
      <c r="C62" s="2" t="n"/>
      <c r="D62" s="2" t="inlineStr">
        <is>
          <t>Calcium carbonate 1000 mg TID with meals</t>
        </is>
      </c>
      <c r="E62" s="2" t="inlineStr">
        <is>
          <t>Calcium acetate 667 mg TID with meals</t>
        </is>
      </c>
      <c r="F62" s="2" t="inlineStr">
        <is>
          <t>Sevelamer carbonate 800 mg TID with meals</t>
        </is>
      </c>
      <c r="G62" s="2" t="inlineStr">
        <is>
          <t>Sodium bicarbonate 650 mg TID</t>
        </is>
      </c>
      <c r="H62" s="2" t="inlineStr">
        <is>
          <t>Kayexalate (Sodium polystyrene sulfonate) 15 g TID</t>
        </is>
      </c>
      <c r="I62" s="8" t="inlineStr">
        <is>
          <t>1</t>
        </is>
      </c>
      <c r="J62" s="2" t="inlineStr">
        <is>
          <t>✅ คำตอบที่ถูกต้อง: ข้อ ก. Calcium carbonate 1000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carbonate 1000 mg TID with meals การเลือก Calcium carbonate 1000 mg TID with meals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ข.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ข้อ ค. (Sevelamer carbonate 800 mg TID with meals): เป็น Non-calcium, non-aluminum phosphate binder เหมาะสำหรับ CKD patients ที่มี hypercalcemia หรือ vascular calcification
• ข้อ ง. (Sodium bicarbonate 650 mg TID): ข้อนี้ไม่ใช่คำตอบที่ถูกต้องสำหรับภาวะ Chronic kidney diseases เนื่องจากกลไกการออกฤทธิ์, efficacy หรือข้อบ่งใช้ไม่ตรงกับโจทย์ที่กำหนด
• ข้อ จ.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2" t="n"/>
      <c r="L62" s="2" t="inlineStr">
        <is>
          <t>Chronic kidney diseases</t>
        </is>
      </c>
      <c r="M62" s="2" t="inlineStr">
        <is>
          <t>Clinic</t>
        </is>
      </c>
      <c r="N62" s="2" t="inlineStr">
        <is>
          <t>ข้อ 8 (PLE_CC1_Key_Rx20_UBU.md)</t>
        </is>
      </c>
      <c r="O62" s="2" t="inlineStr">
        <is>
          <t>Mock</t>
        </is>
      </c>
      <c r="P62" s="2" t="inlineStr">
        <is>
          <t>Mock Rx20 UBU</t>
        </is>
      </c>
    </row>
    <row r="63" ht="13.2" customHeight="1" s="37">
      <c r="A63" s="8" t="inlineStr">
        <is>
          <t>61</t>
        </is>
      </c>
      <c r="B63" s="2" t="inlineStr">
        <is>
          <t>Creatinine phosphokinase ตอบ 4. Liver enzyme เนื่องจาก standard regimen มียาที่metabolismผ่านตับคือ H, R, Z มีความเสี่ยงการเกิดตับอักเสบ</t>
        </is>
      </c>
      <c r="C63" s="2" t="n"/>
      <c r="D63" s="2" t="inlineStr">
        <is>
          <t>หากใช้ยาคุมกำเนิดร่วมกับยา Rifampin จะเกิดผลอย่างไรกับยาคุมกำเนิดที่ใช้อยู่</t>
        </is>
      </c>
      <c r="E63" s="2" t="inlineStr">
        <is>
          <t>Kayexalate (Sodium polystyrene sulfonate) 15 g TID</t>
        </is>
      </c>
      <c r="F63" s="2" t="inlineStr">
        <is>
          <t>Calcium gluconate 10% 10 mL IV over 5 min</t>
        </is>
      </c>
      <c r="G63" s="2" t="inlineStr">
        <is>
          <t>Furosemide 40 mg IV/PO OD</t>
        </is>
      </c>
      <c r="H63" s="2" t="inlineStr">
        <is>
          <t>Erythropoietin (EPO) 4000 units SC weekly</t>
        </is>
      </c>
      <c r="I63" s="8" t="inlineStr">
        <is>
          <t>1</t>
        </is>
      </c>
      <c r="J63" s="2" t="inlineStr">
        <is>
          <t>✅ คำตอบที่ถูกต้อง: ข้อ ก. หากใช้ยาคุมกำเนิดร่วมกับยา Rifampin จะเกิดผลอย่างไรกับยาคุมกำเนิดที่ใช้อยู่
💡 Background:
ภาวะไตเสื่อม (CKD/AKI) ต้องระมัดระวังการปรับขนาดยาตาม renal function (eGFR/CrCl) และหลีกเลี่ยง nephrotoxic drugs
🎯 ทำไมข้อนี้ถึงถูก:
หากใช้ยาคุมกำเนิดร่วมกับยา Rifampin จะเกิดผลอย่างไรกับยาคุมกำเนิดที่ใช้อยู่ การเลือก หากใช้ยาคุมกำเนิดร่วมกับยา Rifampin จะเกิดผลอย่างไรกับยาคุมกำเนิดที่ใช้อยู่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ค.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n"/>
      <c r="L63" s="2" t="inlineStr">
        <is>
          <t>Chronic kidney diseases</t>
        </is>
      </c>
      <c r="M63" s="2" t="inlineStr">
        <is>
          <t>Clinic</t>
        </is>
      </c>
      <c r="N63" s="2" t="inlineStr">
        <is>
          <t>ข้อ 5 (PLE_CC1_Key_Rx20_UBU.md)</t>
        </is>
      </c>
      <c r="O63" s="2" t="inlineStr">
        <is>
          <t>Mock</t>
        </is>
      </c>
      <c r="P63" s="2" t="inlineStr">
        <is>
          <t>Mock Rx20 UBU</t>
        </is>
      </c>
    </row>
    <row r="64" ht="13.2" customHeight="1" s="37">
      <c r="A64" s="8" t="inlineStr">
        <is>
          <t>62</t>
        </is>
      </c>
      <c r="B64" s="2" t="inlineStr">
        <is>
          <t>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Magnesium hydroxide ข$อ (4) Sorbital &gt;&gt; เพิ่ม risk of colonic necrosis ข$อ (5) Magnesium hydroxide &gt;&gt; ยิ่งเพิ่ม Mg ในผู$ป&amp;วย CKD (ปกติจะมี Mg สูงอยูGแล$ว)</t>
        </is>
      </c>
      <c r="C64" s="2" t="n"/>
      <c r="D64" s="2" t="inlineStr">
        <is>
          <t>Furosemide 40 mg IV/PO OD</t>
        </is>
      </c>
      <c r="E64" s="2" t="inlineStr">
        <is>
          <t>Erythropoietin (EPO) 4000 units SC weekly</t>
        </is>
      </c>
      <c r="F64" s="2" t="inlineStr">
        <is>
          <t>Calcitriol 0.25 mcg OD</t>
        </is>
      </c>
      <c r="G64" s="2" t="inlineStr">
        <is>
          <t>Potassium chloride 500 mg BID</t>
        </is>
      </c>
      <c r="H64" s="2" t="inlineStr">
        <is>
          <t>Calcium carbonate 1000 mg TID with meals</t>
        </is>
      </c>
      <c r="I64" s="8" t="inlineStr">
        <is>
          <t>1</t>
        </is>
      </c>
      <c r="J64" s="2" t="inlineStr">
        <is>
          <t>✅ คำตอบที่ถูกต้อง: ข้อ ก. Furosemide 40 mg IV/PO OD
💡 Background:
ภาวะไตเสื่อม (CKD/AKI) ต้องระมัดระวังการปรับขนาดยาตาม renal function (eGFR/CrCl) และหลีกเลี่ยง nephrotoxic drugs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ค.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ง.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จ. (Calcium carbonate 1000 mg TID with meals): เป็น Phosphate binder สำหรับ CKD ต้องเคี้ยวพร้อมอาหารเพื่อจับฟอสเฟตในทางเดินอาหาร และทำหน้าที่เสริมแคลเซียม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64" s="2" t="n"/>
      <c r="L64" s="2" t="inlineStr">
        <is>
          <t>Chronic kidney diseases</t>
        </is>
      </c>
      <c r="M64" s="2" t="inlineStr">
        <is>
          <t>Clinic</t>
        </is>
      </c>
      <c r="N64" s="2" t="inlineStr">
        <is>
          <t>ข้อ 65 (PLE_CC1_Key_Rx20_UBU.md)</t>
        </is>
      </c>
      <c r="O64" s="2" t="inlineStr">
        <is>
          <t>Mock</t>
        </is>
      </c>
      <c r="P64" s="2" t="inlineStr">
        <is>
          <t>Mock Rx20 UBU</t>
        </is>
      </c>
    </row>
    <row r="65" ht="13.2" customHeight="1" s="37">
      <c r="A65" s="8" t="inlineStr">
        <is>
          <t>63</t>
        </is>
      </c>
      <c r="B65" s="2" t="inlineStr">
        <is>
          <t>ถ$ามีภาวะไตวาย ห$ามใช$ยาใด</t>
        </is>
      </c>
      <c r="C65" s="2" t="n"/>
      <c r="D65" s="2" t="inlineStr">
        <is>
          <t>Ethambutol</t>
        </is>
      </c>
      <c r="E65" s="2" t="inlineStr">
        <is>
          <t>Streptomycin</t>
        </is>
      </c>
      <c r="F65" s="2" t="inlineStr">
        <is>
          <t>Rifampin</t>
        </is>
      </c>
      <c r="G65" s="2" t="inlineStr">
        <is>
          <t>Pyrazinamide</t>
        </is>
      </c>
      <c r="H65" s="2" t="inlineStr">
        <is>
          <t>Isoniazid</t>
        </is>
      </c>
      <c r="I65" s="8" t="inlineStr">
        <is>
          <t>2</t>
        </is>
      </c>
      <c r="J65" s="2" t="inlineStr">
        <is>
          <t>✅ คำตอบที่ถูกต้อง: ข้อ ข. Streptomycin
💡 Background:
ภาวะไตเสื่อม (CKD/AKI) ต้องระมัดระวังการปรับขนาดยาตาม renal function (eGFR/CrCl) และหลีกเลี่ยง nephrotoxic drugs
🎯 ทำไมข้อนี้ถึงถูก:
Streptomycin การเลือก Streptomycin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(Ethambutol): เป็น Anti-TB agent ยับยั้ง arabinosyl transferase มี ADR เด่นคือ optic neuritis (มองเห็นสีเขียว-แดงผิดปกติ ตาพร่า) ขับออกทางไตจึงต้องปรับ dose ใน CKD
• ข้อ ค. (Rifampin): ข้อนี้ไม่ใช่คำตอบที่ถูกต้องสำหรับภาวะ Chronic kidney diseases เนื่องจากกลไกการออกฤทธิ์, efficacy หรือข้อบ่งใช้ไม่ตรงกับโจทย์ที่กำหนด
• ข้อ ง. (Pyrazinamide): เป็น Anti-TB agent ที่มี sterilizing effect สูงใน macrophage เสี่ยงต่อ hyperuricemia (ปวดข้อเก๊าท์) และ severe hepatotoxicity สูงสุดในกลุ่มยาวัณโรค
• ข้อ จ. (Isoniazid):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2" t="n"/>
      <c r="L65" s="2" t="inlineStr">
        <is>
          <t>Chronic kidney diseases</t>
        </is>
      </c>
      <c r="M65" s="2" t="inlineStr">
        <is>
          <t>Clinic</t>
        </is>
      </c>
      <c r="N65" s="2" t="inlineStr">
        <is>
          <t>ข้อ 14 (PLE_CC1_Key_Rx20_UBU.md)</t>
        </is>
      </c>
      <c r="O65" s="2" t="inlineStr">
        <is>
          <t>Mock</t>
        </is>
      </c>
      <c r="P65" s="2" t="inlineStr">
        <is>
          <t>Mock Rx20 UBU</t>
        </is>
      </c>
    </row>
    <row r="66" ht="13.2" customHeight="1" s="37">
      <c r="A66" s="8" t="inlineStr">
        <is>
          <t>64</t>
        </is>
      </c>
      <c r="B66" s="2" t="inlineStr">
        <is>
          <t>Increase serum creatinine</t>
        </is>
      </c>
      <c r="C66" s="2" t="n"/>
      <c r="D66" s="2" t="inlineStr">
        <is>
          <t>Sevelamer carbonate 800 mg TID with meals</t>
        </is>
      </c>
      <c r="E66" s="2" t="inlineStr">
        <is>
          <t>Sodium bicarbonate 650 mg TID</t>
        </is>
      </c>
      <c r="F66" s="2" t="inlineStr">
        <is>
          <t>Kayexalate (Sodium polystyrene sulfonate) 15 g TID</t>
        </is>
      </c>
      <c r="G66" s="2" t="inlineStr">
        <is>
          <t>Calcium gluconate 10% 10 mL IV over 5 min</t>
        </is>
      </c>
      <c r="H66" s="2" t="inlineStr">
        <is>
          <t>Furosemide 40 mg IV/PO OD</t>
        </is>
      </c>
      <c r="I66" s="8" t="inlineStr">
        <is>
          <t>1</t>
        </is>
      </c>
      <c r="J66" s="2" t="inlineStr">
        <is>
          <t>✅ คำตอบที่ถูกต้อง: ข้อ ก. Sevelamer carbonate 800 mg TID with meals
💡 Background:
ภาวะไตเสื่อม (CKD/AKI) ต้องระมัดระวังการปรับขนาดยาตาม renal function (eGFR/CrCl) และหลีกเลี่ยง nephrotoxic drugs
🎯 ทำไมข้อนี้ถึงถูก:
Sevelamer carbonate 800 mg TID with meals การเลือก Sevelamer carbonate 800 mg TID with meals เป็นคำตอบที่ถูกต้องตามแนวทางการรักษามาตรฐาน เนื่องจาก เป็น Non-calcium, non-aluminum phosphate binder เหมาะสำหรับ CKD patients ที่มี hypercalcemia หรือ vascular calcification
🔍 ข้ออื่นผิดเพราะอะไร:
• ข้อ ข. (Sodium bicarbonate 650 mg TID): ข้อนี้ไม่ใช่คำตอบที่ถูกต้องสำหรับภาวะ Chronic kidney diseases เนื่องจากกลไกการออกฤทธิ์, efficacy หรือข้อบ่งใช้ไม่ตรงกับโจทย์ที่กำหนด
• ข้อ ค.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ง.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ข้อ จ. (Furosemide 40 mg IV/PO OD): เป็น Loop diuretic ยับยั้ง Na+/K+/2Cl- cotransporter ที่ Thick ascending limb ใช้จัดการ volume overload ใน HF หรือ CKD แต่ไม่เหมาะเป็น first-line ลดความดันโลหิตเดี่ยวๆ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2" t="n"/>
      <c r="L66" s="2" t="inlineStr">
        <is>
          <t>Chronic kidney diseases</t>
        </is>
      </c>
      <c r="M66" s="2" t="inlineStr">
        <is>
          <t>Clinic</t>
        </is>
      </c>
      <c r="N66" s="2" t="inlineStr">
        <is>
          <t>ข้อ 5 (PLE_CC1_Key_Rx20_UBU.md)</t>
        </is>
      </c>
      <c r="O66" s="2" t="inlineStr">
        <is>
          <t>Mock</t>
        </is>
      </c>
      <c r="P66" s="2" t="inlineStr">
        <is>
          <t>Mock Rx20 UBU</t>
        </is>
      </c>
    </row>
    <row r="67" ht="13.2" customHeight="1" s="37">
      <c r="A67" s="8" t="inlineStr">
        <is>
          <t>65</t>
        </is>
      </c>
      <c r="B67" s="2" t="inlineStr">
        <is>
          <t>Serum creatinine</t>
        </is>
      </c>
      <c r="C67" s="2" t="n"/>
      <c r="D67" s="2" t="inlineStr">
        <is>
          <t>Calcium gluconate 10% 10 mL IV over 5 min</t>
        </is>
      </c>
      <c r="E67" s="2" t="inlineStr">
        <is>
          <t>Furosemide 40 mg IV/PO OD</t>
        </is>
      </c>
      <c r="F67" s="2" t="inlineStr">
        <is>
          <t>Erythropoietin (EPO) 4000 units SC weekly</t>
        </is>
      </c>
      <c r="G67" s="2" t="inlineStr">
        <is>
          <t>Calcitriol 0.25 mcg OD</t>
        </is>
      </c>
      <c r="H67" s="2" t="inlineStr">
        <is>
          <t>Potassium chloride 500 mg BID</t>
        </is>
      </c>
      <c r="I67" s="8" t="inlineStr">
        <is>
          <t>1</t>
        </is>
      </c>
      <c r="J67" s="2" t="inlineStr">
        <is>
          <t>✅ คำตอบที่ถูกต้อง: ข้อ ก. Calcium gluconate 10% 10 mL IV over 5 min
💡 Background:
ภาวะไตเสื่อม (CKD/AKI) ต้องระมัดระวังการปรับขนาดยาตาม renal function (eGFR/CrCl) และหลีกเลี่ยง nephrotoxic drugs
🎯 ทำไมข้อนี้ถึงถูก:
Calcium gluconate 10% 10 mL IV over 5 min การเลือก Calcium gluconate 10% 10 mL IV over 5 min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ค.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ง.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จ.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n"/>
      <c r="L67" s="2" t="inlineStr">
        <is>
          <t>Chronic kidney diseases</t>
        </is>
      </c>
      <c r="M67" s="2" t="inlineStr">
        <is>
          <t>Clinic</t>
        </is>
      </c>
      <c r="N67" s="2" t="inlineStr">
        <is>
          <t>ข้อ 2 (PLE_CC1_Key_Rx20_UBU.md)</t>
        </is>
      </c>
      <c r="O67" s="2" t="inlineStr">
        <is>
          <t>Mock</t>
        </is>
      </c>
      <c r="P67" s="2" t="inlineStr">
        <is>
          <t>Mock Rx20 UBU</t>
        </is>
      </c>
    </row>
    <row r="68" ht="13.2" customHeight="1" s="37">
      <c r="A68" s="8" t="inlineStr">
        <is>
          <t>66</t>
        </is>
      </c>
      <c r="B68" s="2" t="inlineStr">
        <is>
          <t>Serum creatinine kinase</t>
        </is>
      </c>
      <c r="C68" s="2" t="n"/>
      <c r="D68" s="2" t="inlineStr">
        <is>
          <t>Calcitriol 0.25 mcg OD</t>
        </is>
      </c>
      <c r="E68" s="2" t="inlineStr">
        <is>
          <t>Potassium chloride 500 mg BID</t>
        </is>
      </c>
      <c r="F68" s="2" t="inlineStr">
        <is>
          <t>Calcium carbonate 1000 mg TID with meals</t>
        </is>
      </c>
      <c r="G68" s="2" t="inlineStr">
        <is>
          <t>Calcium acetate 667 mg TID with meals</t>
        </is>
      </c>
      <c r="H68" s="2" t="inlineStr">
        <is>
          <t>Sevelamer carbonate 800 mg TID with meals</t>
        </is>
      </c>
      <c r="I68" s="8" t="inlineStr">
        <is>
          <t>1</t>
        </is>
      </c>
      <c r="J68"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ค.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ง.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 s="2" t="n"/>
      <c r="L68" s="2" t="inlineStr">
        <is>
          <t>Chronic kidney diseases</t>
        </is>
      </c>
      <c r="M68" s="2" t="inlineStr">
        <is>
          <t>Clinic</t>
        </is>
      </c>
      <c r="N68" s="2" t="inlineStr">
        <is>
          <t>ข้อ 4 (PLE_CC1_Key_Rx20_UBU.md)</t>
        </is>
      </c>
      <c r="O68" s="2" t="inlineStr">
        <is>
          <t>Mock</t>
        </is>
      </c>
      <c r="P68" s="2" t="inlineStr">
        <is>
          <t>Mock Rx20 UBU</t>
        </is>
      </c>
    </row>
    <row r="69" ht="13.2" customHeight="1" s="37">
      <c r="A69" s="8" t="inlineStr">
        <is>
          <t>67</t>
        </is>
      </c>
      <c r="B69" s="2" t="inlineStr">
        <is>
          <t>ควรประเมินการทำงานของไต</t>
        </is>
      </c>
      <c r="C69" s="2" t="n"/>
      <c r="D69" s="2" t="inlineStr">
        <is>
          <t>Calcium acetate 667 mg TID with meals</t>
        </is>
      </c>
      <c r="E69" s="2" t="inlineStr">
        <is>
          <t>Sevelamer carbonate 800 mg TID with meals</t>
        </is>
      </c>
      <c r="F69" s="2" t="inlineStr">
        <is>
          <t>Sodium bicarbonate 650 mg TID</t>
        </is>
      </c>
      <c r="G69" s="2" t="inlineStr">
        <is>
          <t>Kayexalate (Sodium polystyrene sulfonate) 15 g TID</t>
        </is>
      </c>
      <c r="H69" s="2" t="inlineStr">
        <is>
          <t>Calcium gluconate 10% 10 mL IV over 5 min</t>
        </is>
      </c>
      <c r="I69" s="8" t="inlineStr">
        <is>
          <t>1</t>
        </is>
      </c>
      <c r="J69" s="2" t="inlineStr">
        <is>
          <t>✅ คำตอบที่ถูกต้อง: ข้อ ก. Calcium acetate 667 mg TID with meals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Calcium acetate 667 mg TID with meals การเลือก Calcium acetate 667 mg TID with meals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(Sevelamer carbonate 800 mg TID with meals): เป็น Non-calcium, non-aluminum phosphate binder เหมาะสำหรับ CKD patients ที่มี hypercalcemia หรือ vascular calcification
• ข้อ ค. (Sodium bicarbonate 650 mg TID): ข้อนี้ไม่ใช่คำตอบที่ถูกต้องสำหรับภาวะ Chronic kidney diseases เนื่องจากกลไกการออกฤทธิ์, efficacy หรือข้อบ่งใช้ไม่ตรงกับโจทย์ที่กำหนด
• ข้อ ง.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จ.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2" t="n"/>
      <c r="L69" s="2" t="inlineStr">
        <is>
          <t>Chronic kidney diseases</t>
        </is>
      </c>
      <c r="M69" s="2" t="inlineStr">
        <is>
          <t>Clinic</t>
        </is>
      </c>
      <c r="N69" s="2" t="inlineStr">
        <is>
          <t>ข้อ 3 (PLE_CC1_Key_Rx20_UBU.md)</t>
        </is>
      </c>
      <c r="O69" s="2" t="inlineStr">
        <is>
          <t>Mock</t>
        </is>
      </c>
      <c r="P69" s="2" t="inlineStr">
        <is>
          <t>Mock Rx20 UBU</t>
        </is>
      </c>
    </row>
    <row r="70" ht="13.2" customHeight="1" s="37">
      <c r="A70" s="8" t="inlineStr">
        <is>
          <t>68</t>
        </is>
      </c>
      <c r="B70" s="2" t="inlineStr">
        <is>
          <t>Ganciclovir encephalitis ,PCP ใช้ Bactrim ทั้งคู๋ Case 7: โรคไต หญิงอายุ 68 ปี น้ำหนัก 50 kg เป็นโรคไตเรื้อรังมานาน 2 ปี serum creatinine 5 mg/dl</t>
        </is>
      </c>
      <c r="C70" s="2" t="n"/>
      <c r="D70" s="2" t="inlineStr">
        <is>
          <t>Kayexalate (Sodium polystyrene sulfonate) 15 g TID</t>
        </is>
      </c>
      <c r="E70" s="2" t="inlineStr">
        <is>
          <t>Calcium gluconate 10% 10 mL IV over 5 min</t>
        </is>
      </c>
      <c r="F70" s="2" t="inlineStr">
        <is>
          <t>Furosemide 40 mg IV/PO OD</t>
        </is>
      </c>
      <c r="G70" s="2" t="inlineStr">
        <is>
          <t>Erythropoietin (EPO) 4000 units SC weekly</t>
        </is>
      </c>
      <c r="H70" s="2" t="inlineStr">
        <is>
          <t>Calcitriol 0.25 mcg OD</t>
        </is>
      </c>
      <c r="I70" s="8" t="inlineStr">
        <is>
          <t>3</t>
        </is>
      </c>
      <c r="J70" s="2" t="inlineStr">
        <is>
          <t>✅ คำตอบที่ถูกต้อง: ข้อ ค. Furosemide 40 mg IV/PO OD
💡 Background:
ภาวะไตเสื่อม (CKD/AKI) ต้องระมัดระวังการปรับขนาดยาตาม renal function (eGFR/CrCl) และหลีกเลี่ยง nephrotoxic drugs
🎯 ทำไมข้อนี้ถึงถูก:
Furosemide 40 mg IV/PO OD การเลือก Furosemide 40 mg IV/PO OD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(Kayexalate (Sodium polystyrene sulfonate) 15 g TID): ข้อนี้ไม่ใช่คำตอบที่ถูกต้องสำหรับภาวะ Chronic kidney diseases เนื่องจากกลไกการออกฤทธิ์, efficacy หรือข้อบ่งใช้ไม่ตรงกับโจทย์ที่กำหนด
• ข้อ ข. (Calcium gluconate 10% 10 mL IV over 5 min): ข้อนี้ไม่ใช่คำตอบที่ถูกต้องสำหรับภาวะ Chronic kidney diseases เนื่องจากกลไกการออกฤทธิ์, efficacy หรือข้อบ่งใช้ไม่ตรงกับโจทย์ที่กำหนด
• ข้อ ง. (Erythropoietin (EPO) 4000 units SC weekly): ข้อนี้ไม่ใช่คำตอบที่ถูกต้องสำหรับภาวะ Chronic kidney diseases เนื่องจากกลไกการออกฤทธิ์, efficacy หรือข้อบ่งใช้ไม่ตรงกับโจทย์ที่กำหนด
• ข้อ จ. (Calcitriol 0.25 mcg OD):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70" s="2" t="n"/>
      <c r="L70" s="2" t="inlineStr">
        <is>
          <t>Chronic kidney diseases</t>
        </is>
      </c>
      <c r="M70" s="2" t="inlineStr">
        <is>
          <t>Clinic</t>
        </is>
      </c>
      <c r="N70" s="2" t="inlineStr">
        <is>
          <t>ข้อ 4 (PLE_CC1_Key_Rx20_UBU.md)</t>
        </is>
      </c>
      <c r="O70" s="2" t="inlineStr">
        <is>
          <t>Mock</t>
        </is>
      </c>
      <c r="P70" s="2" t="inlineStr">
        <is>
          <t>Mock Rx20 UBU</t>
        </is>
      </c>
    </row>
    <row r="71" ht="13.2" customHeight="1" s="37">
      <c r="A71" s="8" t="inlineStr">
        <is>
          <t>69</t>
        </is>
      </c>
      <c r="B71" s="2" t="inlineStr">
        <is>
          <t>ผู้ป่วยเป็นโรคไตในระยะใด</t>
        </is>
      </c>
      <c r="C71" s="2" t="n"/>
      <c r="D71" s="2" t="inlineStr">
        <is>
          <t>Erythropoietin (EPO) 4000 units SC weekly</t>
        </is>
      </c>
      <c r="E71" s="2" t="inlineStr">
        <is>
          <t>Calcitriol 0.25 mcg OD</t>
        </is>
      </c>
      <c r="F71" s="2" t="inlineStr">
        <is>
          <t>Potassium chloride 500 mg BID</t>
        </is>
      </c>
      <c r="G71" s="2" t="inlineStr">
        <is>
          <t>Calcium carbonate 1000 mg TID with meals</t>
        </is>
      </c>
      <c r="H71" s="2" t="inlineStr">
        <is>
          <t>Calcium acetate 667 mg TID with meals</t>
        </is>
      </c>
      <c r="I71" s="8" t="inlineStr">
        <is>
          <t>1</t>
        </is>
      </c>
      <c r="J71" s="2" t="inlineStr">
        <is>
          <t>✅ คำตอบที่ถูกต้อง: ข้อ ก. Erythropoietin (EPO) 4000 units SC weekly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(Calcitriol 0.25 mcg OD): ข้อนี้ไม่ใช่คำตอบที่ถูกต้องสำหรับภาวะ Chronic kidney diseases เนื่องจากกลไกการออกฤทธิ์, efficacy หรือข้อบ่งใช้ไม่ตรงกับโจทย์ที่กำหนด
• ข้อ ค. (Potassium chloride 500 mg BID): ข้อนี้ไม่ใช่คำตอบที่ถูกต้องสำหรับภาวะ Chronic kidney diseases เนื่องจากกลไกการออกฤทธิ์, efficacy หรือข้อบ่งใช้ไม่ตรงกับโจทย์ที่กำหนด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ข้อนี้ไม่ใช่คำตอบที่ถูกต้องสำหรับภาวะ Chronic kidney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 s="2" t="n"/>
      <c r="L71" s="2" t="inlineStr">
        <is>
          <t>Chronic kidney diseases</t>
        </is>
      </c>
      <c r="M71" s="2" t="inlineStr">
        <is>
          <t>Clinic</t>
        </is>
      </c>
      <c r="N71" s="2" t="inlineStr">
        <is>
          <t>ข้อ 2 (PLE_CC1_Key_Rx20_UBU.md)</t>
        </is>
      </c>
      <c r="O71" s="2" t="inlineStr">
        <is>
          <t>Mock</t>
        </is>
      </c>
      <c r="P71" s="2" t="inlineStr">
        <is>
          <t>Mock Rx20 UBU</t>
        </is>
      </c>
    </row>
    <row r="72" ht="13.2" customHeight="1" s="37">
      <c r="A72" s="8" t="inlineStr">
        <is>
          <t>70</t>
        </is>
      </c>
      <c r="B72" s="2" t="inlineStr">
        <is>
          <t>ยาในข้อใดใม่ใช้ในผู้ป่วยโรคไต</t>
        </is>
      </c>
      <c r="C72" s="2" t="n"/>
      <c r="D72" s="2" t="inlineStr">
        <is>
          <t>Aspirin</t>
        </is>
      </c>
      <c r="E72" s="2" t="inlineStr">
        <is>
          <t>Glipizide</t>
        </is>
      </c>
      <c r="F72" s="2" t="inlineStr">
        <is>
          <t>Amlodipine</t>
        </is>
      </c>
      <c r="G72" s="2" t="inlineStr">
        <is>
          <t>Alum milk</t>
        </is>
      </c>
      <c r="H72" s="2" t="inlineStr">
        <is>
          <t>Hydralazine constipation</t>
        </is>
      </c>
      <c r="I72" s="8" t="inlineStr">
        <is>
          <t>4</t>
        </is>
      </c>
      <c r="J72" s="2" t="inlineStr">
        <is>
          <t>✅ คำตอบที่ถูกต้อง: ข้อ ง. Alum milk
💡 Background:
การบริบาลผู้ป่วยในกลุ่มโรค Chronic kidney diseases มุ่งเน้นการควบคุมโรคและลดความเสี่ยงต่อภาวะแทรกซ้อนด้วย evidence-based pharmacotherapy
🎯 ทำไมข้อนี้ถึงถูก:
Alum milk การเลือก Alum milk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(Aspirin): เป็น irreversible COX-1 inhibitor ยับยั้ง Thromboxane A2 เป็นแกนหลักใน antiplatelet secondary prevention ของ CVD (ขนาดยา 75-100 mg/day)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(Hydralazine constipation):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2" t="n"/>
      <c r="L72" s="2" t="inlineStr">
        <is>
          <t>Chronic kidney diseases</t>
        </is>
      </c>
      <c r="M72" s="2" t="inlineStr">
        <is>
          <t>Clinic</t>
        </is>
      </c>
      <c r="N72" s="2" t="inlineStr">
        <is>
          <t>ข้อ 57 (PLE_CC1_Key_Rx20_UBU.md)</t>
        </is>
      </c>
      <c r="O72" s="2" t="inlineStr">
        <is>
          <t>Mock</t>
        </is>
      </c>
      <c r="P72" s="2" t="inlineStr">
        <is>
          <t>Mock Rx20 UBU</t>
        </is>
      </c>
    </row>
  </sheetData>
  <mergeCells count="1">
    <mergeCell ref="A1:F1"/>
  </mergeCell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Q2480"/>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37">
      <c r="A3" s="8" t="inlineStr">
        <is>
          <t>25</t>
        </is>
      </c>
      <c r="B3" s="2" t="inlineStr">
        <is>
          <t>ยาใดเหมาะสมที่สุดสำหรับเริ่มต้นรักษาในผู้ป่วยรายนี้</t>
        </is>
      </c>
      <c r="C3" s="2" t="n"/>
      <c r="D3" s="2" t="inlineStr">
        <is>
          <t>N-acetylcysteine (NAC) IV infusion protocol</t>
        </is>
      </c>
      <c r="E3" s="2" t="inlineStr">
        <is>
          <t>Ketoconazole 2% cream ทาวันละ 2 ครั้ง เช้า เย็น</t>
        </is>
      </c>
      <c r="F3" s="2" t="inlineStr">
        <is>
          <t>TA 0.1 % cream ทาวันละ 3 ครั้ง</t>
        </is>
      </c>
      <c r="G3" s="2" t="inlineStr">
        <is>
          <t>จำ choice ไม่ได้</t>
        </is>
      </c>
      <c r="H3" s="2" t="inlineStr">
        <is>
          <t>จำ choice ไม่ได้</t>
        </is>
      </c>
      <c r="I3" s="8" t="inlineStr">
        <is>
          <t>1</t>
        </is>
      </c>
      <c r="J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(Ketoconazole 2% cream ทาวันละ 2 ครั้ง เช้า เย็น): ข้อนี้ไม่ใช่คำตอบที่ถูกต้องสำหรับภาวะ General Therapeutics เนื่องจากกลไกการออกฤทธิ์, efficacy หรือข้อบ่งใช้ไม่ตรงกับโจทย์ที่กำหนด
• ข้อ ค. (TA 0.1 % cream ทาวันละ 3 ครั้ง): ข้อนี้ไม่ใช่คำตอบที่ถูกต้องสำหรับภาวะ General Therapeutics เนื่องจากกลไกการออกฤทธิ์, efficacy หรือข้อบ่งใช้ไม่ตรงกับโจทย์ที่กำหนด
• ข้อ ง.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ข้อ จ.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 s="2" t="n"/>
      <c r="L3" s="2" t="inlineStr">
        <is>
          <t>General Therapeutics</t>
        </is>
      </c>
      <c r="M3" s="2" t="inlineStr">
        <is>
          <t>Clinic</t>
        </is>
      </c>
      <c r="N3" s="2" t="inlineStr">
        <is>
          <t>PLE_CC1_2567_Key ข้อ 39</t>
        </is>
      </c>
      <c r="O3" s="2" t="inlineStr">
        <is>
          <t>ข้อสอบจริง</t>
        </is>
      </c>
      <c r="P3" s="2" t="inlineStr">
        <is>
          <t>ปี 2567</t>
        </is>
      </c>
      <c r="Q3" s="2" t="inlineStr">
        <is>
          <t>*จำ choice ไม่ได้* คาดว่าผู้ป่วยเป็น กลาก (Dermatophytosis : ring worm) เนื่องจาก • ring shape • central clearing • มีอาการคัน • มีขุยสีขาว /อาจเห็นเป็นเกล็ดสีขาวได้ แต่จะไม่ใช่เกล็ดแบบสะเก็ดเงิน การรักษามีทั้งยาทาและยากิน โดยหากไม่ได้เป็นในบริเวณกว้างแนะนำเป็นยาทาสำหรับฆ่าเชื้อรา • Imidazole cream (Ketoconazole), apply BID, 2-4 wks. PLE-PC1 Preparation 2567 • Terbinafine, Ciclopirox, apply BID, 2-4 wks. • Miconazole cream, apply BID, 4-6 wks.</t>
        </is>
      </c>
    </row>
    <row r="4" ht="13.2" customHeight="1" s="37">
      <c r="A4" s="8" t="inlineStr">
        <is>
          <t>26</t>
        </is>
      </c>
      <c r="B4" s="2" t="inlineStr">
        <is>
          <t>หลังจากผ่านไป 1 สัปดาห์ ใช้ยาแล้วอาการไม่ดีขึ้น ควรให้การรักษาใด</t>
        </is>
      </c>
      <c r="C4" s="2" t="n"/>
      <c r="D4" s="2" t="inlineStr">
        <is>
          <t>Naloxone 0.4 mg IV stat</t>
        </is>
      </c>
      <c r="E4" s="2" t="inlineStr">
        <is>
          <t>ใช้ต่อไปอีก 1 สัปดาห์</t>
        </is>
      </c>
      <c r="F4" s="2" t="inlineStr">
        <is>
          <t>fluconazole กิน 150 มก 2 เม็ด ทุกสัปดาห์</t>
        </is>
      </c>
      <c r="G4" s="2" t="inlineStr">
        <is>
          <t>Acyclovir 200 mg 5 เม็ด เป็นเวลา 7-10 วัน</t>
        </is>
      </c>
      <c r="H4" s="2" t="inlineStr">
        <is>
          <t>จำ choice ไม่ได้</t>
        </is>
      </c>
      <c r="I4" s="8" t="inlineStr">
        <is>
          <t>1</t>
        </is>
      </c>
      <c r="J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(ใช้ต่อไปอีก 1 สัปดาห์): ข้อนี้ไม่ใช่คำตอบที่ถูกต้องสำหรับภาวะ General Therapeutics เนื่องจากกลไกการออกฤทธิ์, efficacy หรือข้อบ่งใช้ไม่ตรงกับโจทย์ที่กำหนด
• ข้อ ค. (fluconazole กิน 150 มก 2 เม็ด ทุกสัปดาห์): เป็น Triazole antifungal เป็น first-line สำหรับ Candida albicans และ Cryptococcal maintenance therapy ขับออกทางไตเด่นชัดจึงต้องปรับ dose ตาม CrCl
• ข้อ ง. (Acyclovir 200 mg 5 เม็ด เป็นเวลา 7-10 วัน): เป็น Guanosine analog ยับยั้ง HSV และ VZV polymerase ต้องดื่มน้ำมากๆ ระหว่างได้ยา IV เพื่อป้องกัน crystal nephropathy และ obstructive AKI
• ข้อ จ.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4" s="2" t="n"/>
      <c r="L4" s="2" t="inlineStr">
        <is>
          <t>General Therapeutics</t>
        </is>
      </c>
      <c r="M4" s="2" t="inlineStr">
        <is>
          <t>Clinic</t>
        </is>
      </c>
      <c r="N4" s="2" t="inlineStr">
        <is>
          <t>PLE_CC1_2567_Key ข้อ 40</t>
        </is>
      </c>
      <c r="O4" s="2" t="inlineStr">
        <is>
          <t>ข้อสอบจริง</t>
        </is>
      </c>
      <c r="P4" s="2" t="inlineStr">
        <is>
          <t>ปี 2567</t>
        </is>
      </c>
      <c r="Q4" s="2" t="inlineStr">
        <is>
          <t>*จำ choice ไม่ได้*</t>
        </is>
      </c>
    </row>
    <row r="5" ht="13.2" customHeight="1" s="37">
      <c r="A5" s="8" t="inlineStr">
        <is>
          <t>27</t>
        </is>
      </c>
      <c r="B5" s="2" t="inlineStr">
        <is>
          <t>Talcum &amp; Corn starch</t>
        </is>
      </c>
      <c r="C5" s="2" t="n"/>
      <c r="D5" s="2" t="inlineStr">
        <is>
          <t>Wet Granulation tableting method</t>
        </is>
      </c>
      <c r="E5" s="2" t="inlineStr">
        <is>
          <t>Dry Granulation (Roller Compaction)</t>
        </is>
      </c>
      <c r="F5" s="2" t="inlineStr">
        <is>
          <t>Fluidized Bed Granulation</t>
        </is>
      </c>
      <c r="G5" s="2" t="inlineStr">
        <is>
          <t>Film Coating with Hydroxypropyl methylcellulose (HPMC)</t>
        </is>
      </c>
      <c r="H5" s="2" t="inlineStr">
        <is>
          <t>Enteric Coating with Cellulose acetate phthalate (CAP)</t>
        </is>
      </c>
      <c r="I5" s="8" t="inlineStr">
        <is>
          <t>1</t>
        </is>
      </c>
      <c r="J5"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2" t="n"/>
      <c r="L5" s="2" t="inlineStr">
        <is>
          <t>Solid Dosage Forms</t>
        </is>
      </c>
      <c r="M5" s="2" t="inlineStr">
        <is>
          <t>Product</t>
        </is>
      </c>
      <c r="N5" s="2" t="inlineStr">
        <is>
          <t>PLE_CC1_2567_Key ข้อ 3</t>
        </is>
      </c>
      <c r="O5" s="2" t="inlineStr">
        <is>
          <t>ข้อสอบจริง</t>
        </is>
      </c>
      <c r="P5" s="2" t="inlineStr">
        <is>
          <t>ปี 2567</t>
        </is>
      </c>
    </row>
    <row r="6" ht="13.2" customHeight="1" s="37">
      <c r="A6" s="8" t="inlineStr">
        <is>
          <t>28</t>
        </is>
      </c>
      <c r="B6" s="2" t="inlineStr">
        <is>
          <t>Colloidal silicon dioxide (Aerosil) บุหรี่ 1 ซอง = 20 มวน คนไข้สูบบุหรี่ 40 มวน/วัน</t>
        </is>
      </c>
      <c r="C6" s="2" t="n"/>
      <c r="D6" s="2" t="inlineStr">
        <is>
          <t>Budesonide/Formoterol 160/4.5 mcg DPI BID</t>
        </is>
      </c>
      <c r="E6" s="2" t="inlineStr">
        <is>
          <t>Fluticasone/Salmeterol 250/50 mcg DPI BID</t>
        </is>
      </c>
      <c r="F6" s="2" t="inlineStr">
        <is>
          <t>Tiotropium Respimat 2.5 mcg 2 puffs OD</t>
        </is>
      </c>
      <c r="G6" s="2" t="inlineStr">
        <is>
          <t>Ipratropium/Fenoterol MDI PRN</t>
        </is>
      </c>
      <c r="H6" s="2" t="inlineStr">
        <is>
          <t>Montelukast 10 mg HS</t>
        </is>
      </c>
      <c r="I6" s="8" t="inlineStr">
        <is>
          <t>1</t>
        </is>
      </c>
      <c r="J6" s="2"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6" s="2" t="n"/>
      <c r="L6" s="2" t="inlineStr">
        <is>
          <t>Pulmonary Diseases</t>
        </is>
      </c>
      <c r="M6" s="2" t="inlineStr">
        <is>
          <t>Clinic</t>
        </is>
      </c>
      <c r="N6" s="2" t="inlineStr">
        <is>
          <t>PLE_CC1_2567_Key ข้อ 4</t>
        </is>
      </c>
      <c r="O6" s="2" t="inlineStr">
        <is>
          <t>ข้อสอบจริง</t>
        </is>
      </c>
      <c r="P6" s="2" t="inlineStr">
        <is>
          <t>ปี 2567</t>
        </is>
      </c>
      <c r="Q6" s="2" t="inlineStr">
        <is>
          <t>ติดนิโคตินระดับรุนแรง</t>
        </is>
      </c>
    </row>
    <row r="7" ht="13.2" customHeight="1" s="37">
      <c r="A7" s="8" t="inlineStr">
        <is>
          <t>29</t>
        </is>
      </c>
      <c r="B7" s="2" t="inlineStr">
        <is>
          <t>Case เกาต์ อาหารที่ผู้ป่วยโรคเกาต์สามารถรับประทานได้โดยไม่ต้องหลีกเลี่ยงหรือลดปริมาณ A</t>
        </is>
      </c>
      <c r="C7" s="2" t="n"/>
      <c r="D7" s="2" t="inlineStr">
        <is>
          <t>N-acetylcysteine (NAC) IV infusion protocol</t>
        </is>
      </c>
      <c r="E7" s="2" t="inlineStr">
        <is>
          <t>น้ำผลไม้</t>
        </is>
      </c>
      <c r="F7" s="2" t="inlineStr">
        <is>
          <t>ตับทอดกระเทียม</t>
        </is>
      </c>
      <c r="G7" s="2" t="inlineStr">
        <is>
          <t>เบียร์</t>
        </is>
      </c>
      <c r="H7" s="2" t="inlineStr">
        <is>
          <t>นมพร่องมันเนย</t>
        </is>
      </c>
      <c r="I7" s="8" t="inlineStr">
        <is>
          <t>1</t>
        </is>
      </c>
      <c r="J7" s="2" t="inlineStr">
        <is>
          <t>✅ คำตอบที่ถูกต้อง: ข้อ ก. N-acetylcysteine (NAC) IV infusion protocol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N-acetylcysteine (NAC) IV infusion protocol การเลือก N-acetylcysteine (NAC) IV infusion protocol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(น้ำผลไม้): ข้อนี้ไม่ใช่คำตอบที่ถูกต้องสำหรับภาวะ Musculoskeletal &amp; Joint เนื่องจากกลไกการออกฤทธิ์, efficacy หรือข้อบ่งใช้ไม่ตรงกับโจทย์ที่กำหนด
• ข้อ ค. (ตับทอดกระเทียม): ข้อนี้ไม่ใช่คำตอบที่ถูกต้องสำหรับภาวะ Musculoskeletal &amp; Joint เนื่องจากกลไกการออกฤทธิ์, efficacy หรือข้อบ่งใช้ไม่ตรงกับโจทย์ที่กำหนด
• ข้อ ง. (เบียร์): ข้อนี้ไม่ใช่คำตอบที่ถูกต้องสำหรับภาวะ Musculoskeletal &amp; Joint เนื่องจากกลไกการออกฤทธิ์, efficacy หรือข้อบ่งใช้ไม่ตรงกับโจทย์ที่กำหนด
• ข้อ จ. (นมพร่องมันเนย):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 s="2" t="n"/>
      <c r="L7" s="2" t="inlineStr">
        <is>
          <t>Musculoskeletal &amp; Joint</t>
        </is>
      </c>
      <c r="M7" s="2" t="inlineStr">
        <is>
          <t>Clinic</t>
        </is>
      </c>
      <c r="N7" s="2" t="inlineStr">
        <is>
          <t>PLE_CC1_2567_Key ข้อ 56</t>
        </is>
      </c>
      <c r="O7" s="2" t="inlineStr">
        <is>
          <t>ข้อสอบจริง</t>
        </is>
      </c>
      <c r="P7" s="2" t="inlineStr">
        <is>
          <t>ปี 2567</t>
        </is>
      </c>
      <c r="Q7" s="2" t="inlineStr">
        <is>
          <t>ปีกไก่ทอด X ที่มา : https://backend.ha.or.th/fileupload/DOCUMENT/00181/7b2b58b7-5ca0-4ce7-9278-99bae15b26dd.pdf ที่มา : https://thairheumatology.org/phocadownload/70/Guideline_004_2.pdf PLE-PC1 Preparation 2567 หญิงอายุ 30 ปี ตั้งครรภ์ 4 เดือน มาพบแพทย์ด้วยอาการไข้ต่ำๆ ปวดข้อ และผื่นบริเวณใบหน้าลักษณะ คล้าย malar rash ไม่มีโรคประจำตัวใด ๆ ผลตรวจทางห้องปฏิบัติการเป็นดังนี้: - BP 130/70 mmHg - BT 38.1อC - HCO₃⁻ = 22 mEq/L - AST = 28 U/L, ALT = 30 U/L - ANA: positive - Anti-dsDNA antibody: positive แพทย์วินิจฉัยว่าเป็น mild SLE</t>
        </is>
      </c>
    </row>
    <row r="8" ht="13.2" customHeight="1" s="37">
      <c r="A8" s="8" t="inlineStr">
        <is>
          <t>30</t>
        </is>
      </c>
      <c r="B8" s="2" t="inlineStr">
        <is>
          <t>ข้อใดเป็นยาที่สามารถใช้รักษา mild SLE ได้ดีและปลอดภัยในหญิงตั้งครรภ์ &amp; ควรใช TA 0.02% ทาบรเวณผวหนงทบาง เชน ใบหนา TA 0.1% ทาผวหนงทวไป</t>
        </is>
      </c>
      <c r="C8" s="2" t="n"/>
      <c r="D8" s="2" t="inlineStr">
        <is>
          <t>Dydrogesterone 10 mg BID</t>
        </is>
      </c>
      <c r="E8" s="2" t="inlineStr">
        <is>
          <t>Ethinylestradiol 30 mcg + Levonorgestrel 150 mcg</t>
        </is>
      </c>
      <c r="F8" s="2" t="inlineStr">
        <is>
          <t>Ethinylestradiol 30 mcg + Drospirenone 3 mg</t>
        </is>
      </c>
      <c r="G8" s="2" t="inlineStr">
        <is>
          <t>Ethinylestradiol 35 mcg + Cyproterone acetate 2 mg</t>
        </is>
      </c>
      <c r="H8" s="2" t="inlineStr">
        <is>
          <t>Desogestrel 75 mcg OD (Progestin-only)</t>
        </is>
      </c>
      <c r="I8" s="8" t="inlineStr">
        <is>
          <t>1</t>
        </is>
      </c>
      <c r="J8" s="2" t="inlineStr">
        <is>
          <t>✅ คำตอบที่ถูกต้อง: ข้อ ก. Dydrogesterone 10 mg BID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Dydrogesterone 10 mg BID การเลือก Dydrogesterone 10 mg BID เป็นคำตอบที่ถูกต้องและสอดคล้องกับ evidence-based guidelines ของภาวะ Gynaecologic &amp; GU โดยมี clinical efficacy สูงสุดในการรักษาและมี safety profile ที่เหมาะสม
🔍 ข้ออื่นผิดเพราะอะไร:
• ข้อ ข. (Ethinylestradiol 30 mcg + Levonorgestrel 150 mcg): ข้อนี้ไม่ใช่คำตอบที่ถูกต้องสำหรับภาวะ Gynaecologic &amp; GU เนื่องจากกลไกการออกฤทธิ์, efficacy หรือข้อบ่งใช้ไม่ตรงกับโจทย์ที่กำหนด
• ข้อ ค. (Ethinylestradiol 30 mcg + Drospirenone 3 mg): ข้อนี้ไม่ใช่คำตอบที่ถูกต้องสำหรับภาวะ Gynaecologic &amp; GU เนื่องจากกลไกการออกฤทธิ์, efficacy หรือข้อบ่งใช้ไม่ตรงกับโจทย์ที่กำหนด
• ข้อ ง. (Ethinylestradiol 35 mcg + Cyproterone acetate 2 mg): ข้อนี้ไม่ใช่คำตอบที่ถูกต้องสำหรับภาวะ Gynaecologic &amp; GU เนื่องจากกลไกการออกฤทธิ์, efficacy หรือข้อบ่งใช้ไม่ตรงกับโจทย์ที่กำหนด
• ข้อ จ. (Desogestrel 75 mcg OD (Progestin-only)):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2" t="n"/>
      <c r="L8" s="2" t="inlineStr">
        <is>
          <t>Gynaecologic &amp; GU</t>
        </is>
      </c>
      <c r="M8" s="2" t="inlineStr">
        <is>
          <t>Clinic</t>
        </is>
      </c>
      <c r="N8" s="2" t="inlineStr">
        <is>
          <t>PLE_CC1_2567_Key ข้อ 58</t>
        </is>
      </c>
      <c r="O8" s="2" t="inlineStr">
        <is>
          <t>ข้อสอบจริง</t>
        </is>
      </c>
      <c r="P8" s="2" t="inlineStr">
        <is>
          <t>ปี 2567</t>
        </is>
      </c>
      <c r="Q8" s="2" t="inlineStr">
        <is>
          <t>Rituximab</t>
        </is>
      </c>
    </row>
    <row r="9" ht="13.2" customHeight="1" s="37">
      <c r="A9" s="8" t="inlineStr">
        <is>
          <t>31</t>
        </is>
      </c>
      <c r="B9" s="2" t="inlineStr">
        <is>
          <t>ข้อใดต่อไปในนี้ไม่ใช่เกณฑ์ในการวินิจฉัยโรค SLE ตามแนวทางของ... Y Teratogenic Teratogenic Teratogenic</t>
        </is>
      </c>
      <c r="C9" s="2" t="n"/>
      <c r="D9" s="2" t="inlineStr">
        <is>
          <t>Sodium thiosulfate 25% 50 mL IV</t>
        </is>
      </c>
      <c r="E9" s="2" t="inlineStr">
        <is>
          <t>ANA (1:1000 กว่า)</t>
        </is>
      </c>
      <c r="F9" s="2" t="inlineStr">
        <is>
          <t>HCO3 &lt; 22</t>
        </is>
      </c>
      <c r="G9" s="2" t="inlineStr">
        <is>
          <t>Malar rash</t>
        </is>
      </c>
      <c r="H9" s="2" t="inlineStr">
        <is>
          <t>Discoid</t>
        </is>
      </c>
      <c r="I9" s="8" t="inlineStr">
        <is>
          <t>1</t>
        </is>
      </c>
      <c r="J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ความดันโลหิตสูงมา 10 ปี เบาหวาน 2 ปี COPD 1 ปี  มาขอคำปรึกษาเลิกบุหรี่แก่เภสัชกรในร้านยา ปกติสูบบุหรี่ วันละ 2 ซอง สูบมา 20 ปี ครั้งนี้อยากเลิกบุหรี่เพราะหลานที่บ้านเป็นโรคปอด เคยเลิกแบบหักดิบมา 2 ครั้ง แต่ เลิกประมาณ 1-2  สัปดาห์ ก็กลับไปสูบอีก ตื่นเข้ามาต้องรีบสูบบุหรี่มวนแรกก่อนทำกิจกรรมอื่นประมาณ 5 นาที
🔍 ข้ออื่นผิดเพราะอะไร:
• ข้อ ข. (ANA (1:1000 กว่า)): ข้อนี้ไม่ใช่คำตอบที่ถูกต้องสำหรับภาวะ General Therapeutics เนื่องจากกลไกการออกฤทธิ์, efficacy หรือข้อบ่งใช้ไม่ตรงกับโจทย์ที่กำหนด
• ข้อ ค. (HCO3 &lt; 22): ข้อนี้ไม่ใช่คำตอบที่ถูกต้องสำหรับภาวะ General Therapeutics เนื่องจากกลไกการออกฤทธิ์, efficacy หรือข้อบ่งใช้ไม่ตรงกับโจทย์ที่กำหนด
• ข้อ ง. (Malar rash): ข้อนี้ไม่ใช่คำตอบที่ถูกต้องสำหรับภาวะ General Therapeutics เนื่องจากกลไกการออกฤทธิ์, efficacy หรือข้อบ่งใช้ไม่ตรงกับโจทย์ที่กำหนด
• ข้อ จ. (Discoid):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n"/>
      <c r="L9" s="2" t="inlineStr">
        <is>
          <t>General Therapeutics</t>
        </is>
      </c>
      <c r="M9" s="2" t="inlineStr">
        <is>
          <t>Clinic</t>
        </is>
      </c>
      <c r="N9" s="2" t="inlineStr">
        <is>
          <t>PLE_CC1_2567_Key ข้อ 59</t>
        </is>
      </c>
      <c r="O9" s="2" t="inlineStr">
        <is>
          <t>ข้อสอบจริง</t>
        </is>
      </c>
      <c r="P9" s="2" t="inlineStr">
        <is>
          <t>ปี 2567</t>
        </is>
      </c>
      <c r="Q9" s="2" t="inlineStr">
        <is>
          <t>Photosensitivity X ทมา : amsofﬁce.kku.ac.th:50140/ﬁle/JVDFQ80UHNXN.pdf PLE-PC1 Preparation 2567 (ซ้ำกับข้อ 55) ผู้ป่วยชายไทย อายุ 55 ปี น้ำหนัก 60 กิโลกรัม สูง 170 เซนติเมตร  มีโรคประจำตัวเป็น อยากเลิกบุหรี่ภายใน 2 สัปดาห์ข้างหน้า มียาที่ทานประจำ ได้แก่ Enalapril, Amlodipine, Metformin, Theophylline, Tiotropium = 1o siggrettes 1 pask 2 pack : 40 sigarettes</t>
        </is>
      </c>
    </row>
    <row r="10" ht="13.2" customHeight="1" s="37">
      <c r="A10" s="8" t="inlineStr">
        <is>
          <t>32</t>
        </is>
      </c>
      <c r="B10" s="2" t="inlineStr">
        <is>
          <t>จงประเมินระดับความรุนแรงของการติดบุหรี่ตาม Heaviness of smoking Index (HSI) ในผู้ป่วยรายนี้</t>
        </is>
      </c>
      <c r="C10" s="2" t="n"/>
      <c r="D10" s="2" t="inlineStr">
        <is>
          <t>Tiotropium Respimat 2.5 mcg 2 puffs OD</t>
        </is>
      </c>
      <c r="E10" s="2" t="inlineStr">
        <is>
          <t>Ipratropium/Fenoterol MDI PRN</t>
        </is>
      </c>
      <c r="F10" s="2" t="inlineStr">
        <is>
          <t>Montelukast 10 mg HS</t>
        </is>
      </c>
      <c r="G10" s="2" t="inlineStr">
        <is>
          <t>Theophylline 200 mg BID</t>
        </is>
      </c>
      <c r="H10" s="2" t="inlineStr">
        <is>
          <t>Prednisolone 40 mg OD x 5 days</t>
        </is>
      </c>
      <c r="I10" s="8" t="inlineStr">
        <is>
          <t>1</t>
        </is>
      </c>
      <c r="J10" s="2" t="inlineStr">
        <is>
          <t>✅ คำตอบที่ถูกต้อง: ข้อ ก. Tiotropium Respimat 2.5 mcg 2 puffs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Tiotropium Respimat 2.5 mcg 2 puffs OD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0" s="2" t="n"/>
      <c r="L10" s="2" t="inlineStr">
        <is>
          <t>Pulmonary Diseases</t>
        </is>
      </c>
      <c r="M10" s="2" t="inlineStr">
        <is>
          <t>Clinic</t>
        </is>
      </c>
      <c r="N10" s="2" t="inlineStr">
        <is>
          <t>PLE_CC1_2567_Key ข้อ 60</t>
        </is>
      </c>
      <c r="O10" s="2" t="inlineStr">
        <is>
          <t>ข้อสอบจริง</t>
        </is>
      </c>
      <c r="P10" s="2" t="inlineStr">
        <is>
          <t>ปี 2567</t>
        </is>
      </c>
      <c r="Q10" s="2" t="inlineStr">
        <is>
          <t>ติดนิโคตินระดับรุนแรง</t>
        </is>
      </c>
    </row>
    <row r="11" ht="13.2" customHeight="1" s="37">
      <c r="A11" s="8" t="inlineStr">
        <is>
          <t>33</t>
        </is>
      </c>
      <c r="B11" s="2" t="inlineStr">
        <is>
          <t>ข้อใดเป็นคำแนะนำที่ไม่เหมาะสมสำหรับการใช้หมากฝรั่งนิโคตินในผู้ป่วยรายนี้ ไม้มึกรวมต่งใจจ เร่มกันใจจะเ X มาาปรักษาเพื่อ ↓in smoking lessation (CPT) เลิกไดแตต่ยังไผ่เก่น เล็กได้เก่น6 เ</t>
        </is>
      </c>
      <c r="C11" s="2" t="n"/>
      <c r="D11" s="2" t="inlineStr">
        <is>
          <t>N-acetylcysteine (NAC) IV infusion protocol</t>
        </is>
      </c>
      <c r="E11" s="2" t="inlineStr">
        <is>
          <t>ระหว่างเคี้ยวหมากฝรั่งไม่ควรกลืนน้ำลาย</t>
        </is>
      </c>
      <c r="F11" s="2" t="inlineStr">
        <is>
          <t>เคี้ยวหมากฝรั่ง 4 mg ในหนึ่งวันไม่เกิน 15 ชิ้น</t>
        </is>
      </c>
      <c r="G11" s="2" t="inlineStr">
        <is>
          <t>ผู้ป่วยห้ามปรับลดขนาดยาเองเด็ดขาด</t>
        </is>
      </c>
      <c r="H11" s="2" t="inlineStr">
        <is>
          <t>ติดตามอาการกรดไหลย้อนและท้องผูก</t>
        </is>
      </c>
      <c r="I11" s="8" t="inlineStr">
        <is>
          <t>1</t>
        </is>
      </c>
      <c r="J11" s="2" t="inlineStr">
        <is>
          <t>✅ คำตอบที่ถูกต้อง: ข้อ ก. N-acetylcysteine (NAC) IV infusion protocol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(ระหว่างเคี้ยวหมากฝรั่งไม่ควรกลืนน้ำลาย): ข้อนี้ไม่ใช่คำตอบที่ถูกต้องสำหรับภาวะ Pulmonary Diseases เนื่องจากกลไกการออกฤทธิ์, efficacy หรือข้อบ่งใช้ไม่ตรงกับโจทย์ที่กำหนด
• ข้อ ค. (เคี้ยวหมากฝรั่ง 4 mg ในหนึ่งวันไม่เกิน 15 ชิ้น): ข้อนี้ไม่ใช่คำตอบที่ถูกต้องสำหรับภาวะ Pulmonary Diseases เนื่องจากกลไกการออกฤทธิ์, efficacy หรือข้อบ่งใช้ไม่ตรงกับโจทย์ที่กำหนด
• ข้อ ง. (ผู้ป่วยห้ามปรับลดขนาดยาเองเด็ดขาด): ข้อนี้ไม่ใช่คำตอบที่ถูกต้องสำหรับภาวะ Pulmonary Diseases เนื่องจากกลไกการออกฤทธิ์, efficacy หรือข้อบ่งใช้ไม่ตรงกับโจทย์ที่กำหนด
• ข้อ จ. (ติดตามอาการกรดไหลย้อนและท้องผูก):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 s="2" t="n"/>
      <c r="L11" s="2" t="inlineStr">
        <is>
          <t>Pulmonary Diseases</t>
        </is>
      </c>
      <c r="M11" s="2" t="inlineStr">
        <is>
          <t>Clinic</t>
        </is>
      </c>
      <c r="N11" s="2" t="inlineStr">
        <is>
          <t>PLE_CC1_2567_Key ข้อ 62</t>
        </is>
      </c>
      <c r="O11" s="2" t="inlineStr">
        <is>
          <t>ข้อสอบจริง</t>
        </is>
      </c>
      <c r="P11" s="2" t="inlineStr">
        <is>
          <t>ปี 2567</t>
        </is>
      </c>
      <c r="Q11" s="2" t="inlineStr">
        <is>
          <t>ใช้แบบระวังเพราะเป็นความดันและเบาหวาน 30 ซึ X &amp; slide Aj . Thanarat Suansanae https://pharmacy.mahidol.ac.th/th/knowledge/article/510/เลกบหร/ PLE-PC1 Preparation 2567 จากwebsite คณะะเภสับ มหาวิทยาลัยม</t>
        </is>
      </c>
    </row>
    <row r="12" ht="13.2" customHeight="1" s="37">
      <c r="A12" s="8" t="inlineStr">
        <is>
          <t>34</t>
        </is>
      </c>
      <c r="B12" s="2" t="inlineStr">
        <is>
          <t>ยาเดี่ยวและสูตรผสมของ pseudoephedrine ข้อใดถูกต้อง</t>
        </is>
      </c>
      <c r="C12" s="2" t="n"/>
      <c r="D12" s="2" t="inlineStr">
        <is>
          <t>เกณฑ์จริยธรรมว่าด้วยการส่งเสริมการขายยาของกระทรวงสาธารณสุข</t>
        </is>
      </c>
      <c r="E12" s="2" t="inlineStr">
        <is>
          <t>พ.ร.บ. ยา พ.ศ. 2510 (การจำหน่ายยาอันตรายและยาควบคุมพิเศษ)</t>
        </is>
      </c>
      <c r="F12" s="2" t="inlineStr">
        <is>
          <t>พ.ร.บ. ยาเสพติดให้โทษ พ.ศ. 2522 (ยาเสพติดให้โทษประเภท 2 และ 3)</t>
        </is>
      </c>
      <c r="G12" s="2" t="inlineStr">
        <is>
          <t>พ.ร.บ. วัตถุที่ออกฤทธิ์ต่อจิตและประสาท พ.ศ. 2559 (ประเภท 2 และ 4)</t>
        </is>
      </c>
      <c r="H12" s="2" t="inlineStr">
        <is>
          <t>พ.ร.บ. วิชาชีพเภสัชกรรม พ.ศ. 2537 และข้อบังคับจรรยาบรรณวิชาชีพ</t>
        </is>
      </c>
      <c r="I12" s="8" t="inlineStr">
        <is>
          <t>1</t>
        </is>
      </c>
      <c r="J1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Pharmacy Laws &amp; Ethics</t>
        </is>
      </c>
      <c r="M12" s="2" t="inlineStr">
        <is>
          <t>SAP</t>
        </is>
      </c>
      <c r="N12" s="2" t="inlineStr">
        <is>
          <t>PLE_CC1_2567_Key ข้อ 66</t>
        </is>
      </c>
      <c r="O12" s="2" t="inlineStr">
        <is>
          <t>ข้อสอบจริง</t>
        </is>
      </c>
      <c r="P12" s="2" t="inlineStr">
        <is>
          <t>ปี 2567</t>
        </is>
      </c>
      <c r="Q12" s="2" t="inlineStr">
        <is>
          <t>ยาควบคุมพิเศษ ขย1 ขายได้ ต้องมีใบสั่งแพทย์ X ผู้ป่วยตั้งครรภ์ 5 สัปดาห์ มีอาการกินเยอะแต่น้ำหนักลด ไม่นานมานี้มีอาการเหงื่อออกมากผิดปกติ วินิจฉัยเป็น hyperthyroid แบบ secondary จาก grave disease</t>
        </is>
      </c>
    </row>
    <row r="13" ht="13.2" customHeight="1" s="37">
      <c r="A13" s="8" t="inlineStr">
        <is>
          <t>35</t>
        </is>
      </c>
      <c r="B13" s="2" t="inlineStr">
        <is>
          <t>แพทย์จ่าย propranolol , MMI ในคนท้อง 4 เดือน DRP คืออะไร ไม่เป็น DRP เพราะ 2 ตัวครอบคลุมแล้ว ยารักษาโรค + ยารักษาตามอาการ &amp;</t>
        </is>
      </c>
      <c r="C13" s="2" t="n"/>
      <c r="D13" s="2" t="inlineStr">
        <is>
          <t>Sodium thiosulfate 25% 50 mL IV</t>
        </is>
      </c>
      <c r="E13" s="2" t="inlineStr">
        <is>
          <t>จ่ายยาเพิ่มอีก 1 ตัว</t>
        </is>
      </c>
      <c r="F13" s="2" t="inlineStr">
        <is>
          <t>มียาที่ไม่เหมาะสม</t>
        </is>
      </c>
      <c r="G13" s="2" t="inlineStr">
        <is>
          <t>มียาที่ความถี่ในการบริหารไม่เหมาะสม</t>
        </is>
      </c>
      <c r="H13" s="2" t="inlineStr">
        <is>
          <t>มียาที่ไม่มีข้อบ่งใช้</t>
        </is>
      </c>
      <c r="I13" s="8" t="inlineStr">
        <is>
          <t>4</t>
        </is>
      </c>
      <c r="J13" s="2" t="inlineStr">
        <is>
          <t>✅ คำตอบที่ถูกต้อง: ข้อ ง. มียาที่ความถี่ในการบริหารไม่เหมาะสม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มียาที่ความถี่ในการบริหารไม่เหมาะสม การเลือก มียาที่ความถี่ในการบริหารไม่เหมาะสม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(จ่ายยาเพิ่มอีก 1 ตัว): ข้อนี้ไม่ใช่คำตอบที่ถูกต้องสำหรับภาวะ General Therapeutics เนื่องจากกลไกการออกฤทธิ์, efficacy หรือข้อบ่งใช้ไม่ตรงกับโจทย์ที่กำหนด
• ข้อ ค. (มียาที่ไม่เหมาะสม): ข้อนี้ไม่ใช่คำตอบที่ถูกต้องสำหรับภาวะ General Therapeutics เนื่องจากกลไกการออกฤทธิ์, efficacy หรือข้อบ่งใช้ไม่ตรงกับโจทย์ที่กำหนด
• ข้อ จ. (มียาที่ไม่มีข้อบ่งใช้):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n"/>
      <c r="L13" s="2" t="inlineStr">
        <is>
          <t>General Therapeutics</t>
        </is>
      </c>
      <c r="M13" s="2" t="inlineStr">
        <is>
          <t>Clinic</t>
        </is>
      </c>
      <c r="N13" s="2" t="inlineStr">
        <is>
          <t>PLE_CC1_2567_Key ข้อ 69</t>
        </is>
      </c>
      <c r="O13" s="2" t="inlineStr">
        <is>
          <t>ข้อสอบจริง</t>
        </is>
      </c>
      <c r="P13" s="2" t="inlineStr">
        <is>
          <t>ปี 2567</t>
        </is>
      </c>
      <c r="Q13" s="2" t="inlineStr">
        <is>
          <t>*จำ choice ไม่ได้* Propanoral = มีข้อบ่งใช้ คือ บรรเทาอาการใจสั่นจากโรค hyperthyroid MMI( Metimazole ) = มีข้อบ่งใช้ คือ รักษาโรค hyperthyroid % เหมาะสมเนื่องจาก คนไข้ เข้าสู่ไตมาส 2 แล้ว สามารถ switch ได้ * &amp; : + % ? &amp; C PLE-PC1 Preparation 2567 ไม่แน่ใจ เนื่องจากโจทย์ไม่บอกความถี่ในการกินยามา &amp; คิดว่าหมายถึง Lexicom . &amp;</t>
        </is>
      </c>
    </row>
    <row r="14" ht="13.2" customHeight="1" s="37">
      <c r="A14" s="8" t="inlineStr">
        <is>
          <t>36</t>
        </is>
      </c>
      <c r="B14" s="2" t="inlineStr">
        <is>
          <t>แพทย์สอบถามเกี่ยวกับการใช้ยา methimazole ในหญิงตั้งครรภ์ ถ้าไปสืบค้นโดยใช้ Micromedex, comp ถามว่าเป็นแหล่งข้อมูลแบบใด</t>
        </is>
      </c>
      <c r="C14" s="2" t="n"/>
      <c r="D14" s="2" t="inlineStr">
        <is>
          <t>Glipizide 5 mg OD</t>
        </is>
      </c>
      <c r="E14" s="2" t="inlineStr">
        <is>
          <t>Empagliflozin 10 mg OD</t>
        </is>
      </c>
      <c r="F14" s="2" t="inlineStr">
        <is>
          <t>Sitagliptin 100 mg OD</t>
        </is>
      </c>
      <c r="G14" s="2" t="inlineStr">
        <is>
          <t>Liraglutide 1.2 mg SC OD</t>
        </is>
      </c>
      <c r="H14" s="2" t="inlineStr">
        <is>
          <t>Levothyroxine 50 mcg OD</t>
        </is>
      </c>
      <c r="I14" s="8" t="inlineStr">
        <is>
          <t>1</t>
        </is>
      </c>
      <c r="J14"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4" s="2" t="n"/>
      <c r="L14" s="2" t="inlineStr">
        <is>
          <t>Diabetes &amp; Endocrine</t>
        </is>
      </c>
      <c r="M14" s="2" t="inlineStr">
        <is>
          <t>Clinic</t>
        </is>
      </c>
      <c r="N14" s="2" t="inlineStr">
        <is>
          <t>PLE_CC1_2567_Key ข้อ 70</t>
        </is>
      </c>
      <c r="O14" s="2" t="inlineStr">
        <is>
          <t>ข้อสอบจริง</t>
        </is>
      </c>
      <c r="P14" s="2" t="inlineStr">
        <is>
          <t>ปี 2567</t>
        </is>
      </c>
      <c r="Q14" s="2" t="inlineStr">
        <is>
          <t>Primary และ secondary</t>
        </is>
      </c>
    </row>
    <row r="15" ht="13.2" customHeight="1" s="37">
      <c r="A15" s="8" t="inlineStr">
        <is>
          <t>37</t>
        </is>
      </c>
      <c r="B15" s="2" t="inlineStr">
        <is>
          <t>ข้อใดจับคู่กลไกยาระบายได้ถูกต้อง</t>
        </is>
      </c>
      <c r="C15" s="2" t="n"/>
      <c r="D15" s="2" t="inlineStr">
        <is>
          <t>N-acetylcysteine (NAC) IV infusion protocol</t>
        </is>
      </c>
      <c r="E15" s="2" t="inlineStr">
        <is>
          <t>Docusate Sodium - lubricant</t>
        </is>
      </c>
      <c r="F15" s="2" t="inlineStr">
        <is>
          <t>glycerin - Osmotic</t>
        </is>
      </c>
      <c r="G15" s="2" t="inlineStr">
        <is>
          <t>psyllium husk - stimulant</t>
        </is>
      </c>
      <c r="H15" s="2" t="inlineStr">
        <is>
          <t>bisacodyl - bulk forming</t>
        </is>
      </c>
      <c r="I15" s="8" t="inlineStr">
        <is>
          <t>1</t>
        </is>
      </c>
      <c r="J15" s="2" t="inlineStr">
        <is>
          <t>✅ คำตอบที่ถูกต้อง: ข้อ ก. N-acetylcysteine (NAC) IV infusion protocol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(Docusate Sodium - lubricant): ข้อนี้ไม่ใช่คำตอบที่ถูกต้องสำหรับภาวะ GI Disorders เนื่องจากกลไกการออกฤทธิ์, efficacy หรือข้อบ่งใช้ไม่ตรงกับโจทย์ที่กำหนด
• ข้อ ค. (glycerin - Osmotic): ข้อนี้ไม่ใช่คำตอบที่ถูกต้องสำหรับภาวะ GI Disorders เนื่องจากกลไกการออกฤทธิ์, efficacy หรือข้อบ่งใช้ไม่ตรงกับโจทย์ที่กำหนด
• ข้อ ง. (psyllium husk - stimulant): ข้อนี้ไม่ใช่คำตอบที่ถูกต้องสำหรับภาวะ GI Disorders เนื่องจากกลไกการออกฤทธิ์, efficacy หรือข้อบ่งใช้ไม่ตรงกับโจทย์ที่กำหนด
• ข้อ จ. (bisacodyl - bulk forming):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 s="2" t="n"/>
      <c r="L15" s="2" t="inlineStr">
        <is>
          <t>GI Disorders</t>
        </is>
      </c>
      <c r="M15" s="2" t="inlineStr">
        <is>
          <t>Clinic</t>
        </is>
      </c>
      <c r="N15" s="2" t="inlineStr">
        <is>
          <t>PLE_CC1_2567_Key ข้อ 71</t>
        </is>
      </c>
      <c r="O15" s="2" t="inlineStr">
        <is>
          <t>ข้อสอบจริง</t>
        </is>
      </c>
      <c r="P15" s="2" t="inlineStr">
        <is>
          <t>ปี 2567</t>
        </is>
      </c>
      <c r="Q15" s="2" t="inlineStr">
        <is>
          <t>*จำ choice ไม่ได้*</t>
        </is>
      </c>
    </row>
    <row r="16" ht="13.2" customHeight="1" s="37">
      <c r="A16" s="8" t="inlineStr">
        <is>
          <t>38</t>
        </is>
      </c>
      <c r="B16" s="2" t="inlineStr">
        <is>
          <t>ยาที่มีโครงสร้าง purine ออกฤทธิ์เป็น xanthine oxidase inhibitor &amp; ↑ &amp;</t>
        </is>
      </c>
      <c r="C16" s="2" t="n"/>
      <c r="D16" s="2" t="inlineStr">
        <is>
          <t>Alendronate 70 mg weekly</t>
        </is>
      </c>
      <c r="E16" s="2" t="inlineStr">
        <is>
          <t>Glucosamine sulfate 1500 mg OD</t>
        </is>
      </c>
      <c r="F16" s="2" t="inlineStr">
        <is>
          <t>Hydroxychloroquine 200 mg OD</t>
        </is>
      </c>
      <c r="G16" s="2" t="inlineStr">
        <is>
          <t>Prednisolone 5 mg OD</t>
        </is>
      </c>
      <c r="H16" s="2" t="inlineStr">
        <is>
          <t>Zoledronic acid 5 mg IV annually</t>
        </is>
      </c>
      <c r="I16" s="8" t="inlineStr">
        <is>
          <t>1</t>
        </is>
      </c>
      <c r="J16" s="2" t="inlineStr">
        <is>
          <t>✅ คำตอบที่ถูกต้อง: ข้อ ก. Alendronate 70 mg weekly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Alendronate 70 mg weekly การเลือก Alendronate 70 mg weekly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ข. (Glucosamine sulfate 1500 mg OD): เป็นเพียง dietary supplement / symptom-modifying therapy สำหรับ OA ไม่ได้จัดเป็น disease-modifying agent และ CPG สากล (ACR) ไม่แนะนำให้ใช้เป็น first-line
• ข้อ ค. (Hydroxychloroquine 200 mg OD): เป็น csDMARD ที่ปลอดภัยต่อตับและหญิงตั้งครรภ์ แต่ต้อง monitoring retinal toxicity (ตาบอด) ทุกปีหลังใช้เกิน 5 ปี
• ข้อ ง. (Prednisolone 5 mg OD): เป็น intermediate-acting systemic corticosteroid ขนาดยอดนิยมสำหรับ immunosuppressive &amp; anti-inflammatory therapy ต้องระวัง Cushingoid, infection, osteoporosis, peptic ulcer
• ข้อ จ.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Guideline อ้างอิง:
[NEED_REVIEW]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6" s="2" t="n"/>
      <c r="L16" s="2" t="inlineStr">
        <is>
          <t>Musculoskeletal &amp; Joint</t>
        </is>
      </c>
      <c r="M16" s="2" t="inlineStr">
        <is>
          <t>Clinic</t>
        </is>
      </c>
      <c r="N16" s="2" t="inlineStr">
        <is>
          <t>PLE_CC1_2567_Key ข้อ 74</t>
        </is>
      </c>
      <c r="O16" s="2" t="inlineStr">
        <is>
          <t>ข้อสอบจริง</t>
        </is>
      </c>
      <c r="P16" s="2" t="inlineStr">
        <is>
          <t>ปี 2567</t>
        </is>
      </c>
    </row>
    <row r="17" ht="13.2" customHeight="1" s="37">
      <c r="A17" s="8" t="inlineStr">
        <is>
          <t>39</t>
        </is>
      </c>
      <c r="B17" s="2" t="inlineStr">
        <is>
          <t>การรักษาใดไม่เหมาะสมในผู้ป่วยรายนี้ % ดูไม่เหมาะสมสุดเพราะ ไม่เหมาะสม เนื่องจากคนไข้ไม่ใช่เคสที่ รุนแรงถึงขั้นต้องใช้ยาแรงขนาดนี้ &amp;</t>
        </is>
      </c>
      <c r="C17" s="2" t="n"/>
      <c r="D17" s="2" t="inlineStr">
        <is>
          <t>Sodium thiosulfate 25% 50 mL IV</t>
        </is>
      </c>
      <c r="E17" s="2" t="inlineStr">
        <is>
          <t>Desensitization</t>
        </is>
      </c>
      <c r="F17" s="2" t="inlineStr">
        <is>
          <t>IVIG</t>
        </is>
      </c>
      <c r="G17" s="2" t="inlineStr">
        <is>
          <t>CPM + Ranitidine</t>
        </is>
      </c>
      <c r="H17" s="2" t="inlineStr">
        <is>
          <t>Dimenhydrinate</t>
        </is>
      </c>
      <c r="I17" s="8" t="inlineStr">
        <is>
          <t>1</t>
        </is>
      </c>
      <c r="J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(Desensitization): ข้อนี้ไม่ใช่คำตอบที่ถูกต้องสำหรับภาวะ General Therapeutics เนื่องจากกลไกการออกฤทธิ์, efficacy หรือข้อบ่งใช้ไม่ตรงกับโจทย์ที่กำหนด
• ข้อ ค. (IVIG): ข้อนี้ไม่ใช่คำตอบที่ถูกต้องสำหรับภาวะ General Therapeutics เนื่องจากกลไกการออกฤทธิ์, efficacy หรือข้อบ่งใช้ไม่ตรงกับโจทย์ที่กำหนด
• ข้อ ง. (CPM + Ranitidine): ข้อนี้ไม่ใช่คำตอบที่ถูกต้องสำหรับภาวะ General Therapeutics เนื่องจากกลไกการออกฤทธิ์, efficacy หรือข้อบ่งใช้ไม่ตรงกับโจทย์ที่กำหนด
• ข้อ จ. (Dimenhydrinate):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n"/>
      <c r="L17" s="2" t="inlineStr">
        <is>
          <t>General Therapeutics</t>
        </is>
      </c>
      <c r="M17" s="2" t="inlineStr">
        <is>
          <t>Clinic</t>
        </is>
      </c>
      <c r="N17" s="2" t="inlineStr">
        <is>
          <t>PLE_CC1_2567_Key ข้อ 79</t>
        </is>
      </c>
      <c r="O17" s="2" t="inlineStr">
        <is>
          <t>ข้อสอบจริง</t>
        </is>
      </c>
      <c r="P17" s="2" t="inlineStr">
        <is>
          <t>ปี 2567</t>
        </is>
      </c>
      <c r="Q17" s="2" t="inlineStr">
        <is>
          <t>Dexamethasone / * H1 block + H2 block = Antihistamine คู่ / &amp; Anti-histamine รุ่นเก่า แต่ปกติมีข้อบ่งใช้ รักษา อาการวิงเวียนศรีษะ เมารถ เมาเรือ &amp; ? &amp; Steroid ป &amp; PLE-PC1 Preparation 2567</t>
        </is>
      </c>
    </row>
    <row r="18" ht="13.2" customHeight="1" s="37">
      <c r="A18" s="8" t="inlineStr">
        <is>
          <t>40</t>
        </is>
      </c>
      <c r="B18" s="2" t="inlineStr">
        <is>
          <t>จากอาการและประวัติของผู้ป่วย ข้อใด น่าจะเป็นกลไกการแพ้ยาที่เกี่ยวข้องมากที่สุด?</t>
        </is>
      </c>
      <c r="C18" s="2" t="n"/>
      <c r="D18" s="2" t="inlineStr">
        <is>
          <t>Montelukast 10 mg HS</t>
        </is>
      </c>
      <c r="E18" s="2" t="inlineStr">
        <is>
          <t>Hydroxyzine 25 mg HS</t>
        </is>
      </c>
      <c r="F18" s="2" t="inlineStr">
        <is>
          <t>Diphenhydramine 25 mg IV</t>
        </is>
      </c>
      <c r="G18" s="2" t="inlineStr">
        <is>
          <t>Cetirizine 10 mg OD</t>
        </is>
      </c>
      <c r="H18" s="2" t="inlineStr">
        <is>
          <t>Loratadine 10 mg OD</t>
        </is>
      </c>
      <c r="I18" s="8" t="inlineStr">
        <is>
          <t>1</t>
        </is>
      </c>
      <c r="J18"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Allergy &amp; Immunology</t>
        </is>
      </c>
      <c r="M18" s="2" t="inlineStr">
        <is>
          <t>Clinic</t>
        </is>
      </c>
      <c r="N18" s="2" t="inlineStr">
        <is>
          <t>PLE_CC1_2567_Key ข้อ 78</t>
        </is>
      </c>
      <c r="O18" s="2" t="inlineStr">
        <is>
          <t>ข้อสอบจริง</t>
        </is>
      </c>
      <c r="P18" s="2" t="inlineStr">
        <is>
          <t>ปี 2567</t>
        </is>
      </c>
      <c r="Q18" s="2" t="inlineStr">
        <is>
          <t>Fas/Fas ligand–induced apoptosis</t>
        </is>
      </c>
    </row>
    <row r="19" ht="13.2" customHeight="1" s="37">
      <c r="A19" s="8" t="inlineStr">
        <is>
          <t>41</t>
        </is>
      </c>
      <c r="B19" s="2" t="inlineStr">
        <is>
          <t>ยาใดที่ร้านขายส่งไม่สามารถขายให้ร้านขายยาแผนปัจจุบันได้</t>
        </is>
      </c>
      <c r="C19" s="2" t="n"/>
      <c r="D19" s="2" t="inlineStr">
        <is>
          <t>N-acetylcysteine (NAC) IV infusion protocol</t>
        </is>
      </c>
      <c r="E19" s="2" t="inlineStr">
        <is>
          <t>Sildenafil</t>
        </is>
      </c>
      <c r="F19" s="2" t="inlineStr">
        <is>
          <t>Alprazolam</t>
        </is>
      </c>
      <c r="G19" s="2" t="inlineStr">
        <is>
          <t>Tramadol</t>
        </is>
      </c>
      <c r="H19" s="2" t="inlineStr">
        <is>
          <t>Dexamethasone</t>
        </is>
      </c>
      <c r="I19" s="8" t="inlineStr">
        <is>
          <t>1</t>
        </is>
      </c>
      <c r="J19" s="2" t="inlineStr">
        <is>
          <t>✅ คำตอบที่ถูกต้อง: ข้อ ก. N-acetylcysteine (NAC) IV infusion protocol
💡 Background:
กฎหมายยาและจรรยาบรรณวิชาชีพมีขึ้นเพื่อคุ้มครองความปลอดภัยของผู้บริโภคตามมาตรฐาน Good Pharmacy Practice (GPP)
🎯 ทำไมข้อนี้ถึงถูก:
N-acetylcysteine (NAC) IV infusion protocol 💡 คำอธิบายและข้อกำหนดทางกฎหมาย:
💡 คำอธิบายและข้อกำหนดทางกฎหมาย:
การเลือก N-acetylcysteine (NAC) IV infusion protocol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(Sildenafil): ข้อนี้ไม่ใช่คำตอบที่ถูกต้องสำหรับภาวะ Pharmacy Laws &amp; Ethics เนื่องจากกลไกการออกฤทธิ์, efficacy หรือข้อบ่งใช้ไม่ตรงกับโจทย์ที่กำหนด
• ข้อ ค. (Alprazolam): เป็น intermediate-acting Benzodiazepine ออกฤทธิ์เร็ว เหมาะสำหรับ panic attack แต่มีโอกาสเกิด dependence และ rebound anxiety สูงเมื่อหยุดยา
• ข้อ ง. (Tramadol): เป็น weak mu-opioid agonist และ SNRI เป็นเพียง second-line / add-on สำหรับ pain relief ไม่มีฤทธิ์ลดการอักเสบ (no anti-inflammatory efficacy) และเสี่ยงต่อ serotonin syndrome และชัก
• ข้อ จ. (Dexamethasone): เป็น long-acting potent glucocorticoid ไม่มี mineralocorticoid effect จึงไม่ทำให้น้ำคั่ง เหมาะสำหรับ brain edema, antiemetic, และ COVID-19 with hypoxemia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2" t="n"/>
      <c r="L19" s="2" t="inlineStr">
        <is>
          <t>Pharmacy Laws &amp; Ethics</t>
        </is>
      </c>
      <c r="M19" s="2" t="inlineStr">
        <is>
          <t>SAP</t>
        </is>
      </c>
      <c r="N19" s="2" t="inlineStr">
        <is>
          <t>PLE_CC1_2567_Key ข้อ 81</t>
        </is>
      </c>
      <c r="O19" s="2" t="inlineStr">
        <is>
          <t>ข้อสอบจริง</t>
        </is>
      </c>
      <c r="P19" s="2" t="inlineStr">
        <is>
          <t>ปี 2567</t>
        </is>
      </c>
      <c r="Q19" s="2" t="inlineStr">
        <is>
          <t>Prednisolone ยาควบคมพเศษ สามารถขายใหรานขายยาได เพราะรานขายยาสามารถขายไดหากมใบสงแพทย วตถออกฤทธตอจตและประสาทประเภทท 2 ไมสามารถขายในรานยาได รานขายสงจงไมสามารถขายใหรานยาได ยาอนตราย (ประกาศกระทรวงฯ ลาสดประกาศใหเปนยาควบคมพเศษ) รานยาสามารถขายได รานสงจงสามารถขายรานขายยาได รปแบบรบประทานเปนยาควบคมพเศษ สามารถขายใหรานขายยาได เพราะรานขายยาสามารถขายไดหากมใบสงแพทย รปแบบรบประทานเปนยาควบคมพเศษ สามารถขายใหรานขายยาได เพราะรานขายยาสามารถขายไดหากมใบสงแพทย PLE-PC1 Preparation 2567 คาปกตประมาณ 136 - 145 mmol/L อนน Hyponatrimia แลว ผู้ป่วยหญิง อายุ 54 ปี เป็นความดันโลหิตสูงมาแล้ว 1 ปี ไม่มีโรคร่วมอื่นๆ มาตรวจความดันได้ 160/100 mmHg ค่า K= 4.9 ค่า Cl= 100, Na 130 เขาเคยปรับพฤติกรรมแล้วใน 6 เดือนก่อน แต่ยังไม่ได้ เดิมใช้ HCTZ 25 mg 1x1 ตรวจความความดันผู้ป่วยยังไม่ถึงเป้าหมาย ปกต ปกต</t>
        </is>
      </c>
    </row>
    <row r="20" ht="13.2" customHeight="1" s="37">
      <c r="A20" s="8" t="inlineStr">
        <is>
          <t>42</t>
        </is>
      </c>
      <c r="B20" s="2" t="inlineStr">
        <is>
          <t>หญิงอายุ 65 ปี มา รพ. ด้วยอาการหน้าเบี้ยว ปากเบี้ยว เป็นมาแล้ว 3 ชม. NIHSS score =2 ยาใดต่อไปนี้ เหมาะสมที่สุดสำหรับผู้ป่วยรายนี้ จากสไลดอาจารย จาก Asean guideline</t>
        </is>
      </c>
      <c r="C20" s="2" t="n"/>
      <c r="D20" s="2" t="inlineStr">
        <is>
          <t>Pregabalin 75 mg BID</t>
        </is>
      </c>
      <c r="E20" s="2" t="inlineStr">
        <is>
          <t>Levodopa/Benserazide 100/25 mg TID</t>
        </is>
      </c>
      <c r="F20" s="2" t="inlineStr">
        <is>
          <t>Sumatriptan 50 mg stat</t>
        </is>
      </c>
      <c r="G20" s="2" t="inlineStr">
        <is>
          <t>Propranolol 40 mg BID</t>
        </is>
      </c>
      <c r="H20" s="2" t="inlineStr">
        <is>
          <t>Topiramate 25 mg BID</t>
        </is>
      </c>
      <c r="I20" s="8" t="inlineStr">
        <is>
          <t>1</t>
        </is>
      </c>
      <c r="J20" s="2" t="inlineStr">
        <is>
          <t>✅ คำตอบที่ถูกต้อง: ข้อ ก. Pregabalin 75 mg BID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Pregabalin 75 mg BID การเลือก Pregabalin 75 mg BID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2" t="n"/>
      <c r="L20" s="2" t="inlineStr">
        <is>
          <t>Neurologic Disorders</t>
        </is>
      </c>
      <c r="M20" s="2" t="inlineStr">
        <is>
          <t>Clinic</t>
        </is>
      </c>
      <c r="N20" s="2" t="inlineStr">
        <is>
          <t>PLE_CC1_2567_Key ข้อ 86</t>
        </is>
      </c>
      <c r="O20" s="2" t="inlineStr">
        <is>
          <t>ข้อสอบจริง</t>
        </is>
      </c>
      <c r="P20" s="2" t="inlineStr">
        <is>
          <t>ปี 2567</t>
        </is>
      </c>
      <c r="Q20" s="2" t="inlineStr">
        <is>
          <t>Cilostazol</t>
        </is>
      </c>
    </row>
    <row r="21" ht="13.2" customHeight="1" s="37">
      <c r="A21" s="8" t="inlineStr">
        <is>
          <t>43</t>
        </is>
      </c>
      <c r="B21" s="2" t="inlineStr">
        <is>
          <t>ยาข้อใดต่อไปนี้ ไม่ต้องทำ ขย.11</t>
        </is>
      </c>
      <c r="C21" s="2" t="n"/>
      <c r="D21" s="2" t="inlineStr">
        <is>
          <t>พ.ร.บ. หลักประกันสุขภาพแห่งชาติ พ.ศ. 2545</t>
        </is>
      </c>
      <c r="E21" s="2" t="inlineStr">
        <is>
          <t>การปฏิบัติทางเภสัชกรรมชุมชน (Good Pharmacy Practice: GPP)</t>
        </is>
      </c>
      <c r="F21" s="2" t="inlineStr">
        <is>
          <t>บัญชียาหลักแห่งชาติ (National List of Essential Medicines: NLEM)</t>
        </is>
      </c>
      <c r="G21" s="2" t="inlineStr">
        <is>
          <t>เกณฑ์จริยธรรมว่าด้วยการส่งเสริมการขายยาของกระทรวงสาธารณสุข</t>
        </is>
      </c>
      <c r="H21" s="2" t="inlineStr">
        <is>
          <t>พ.ร.บ. ยา พ.ศ. 2510 (การจำหน่ายยาอันตรายและยาควบคุมพิเศษ)</t>
        </is>
      </c>
      <c r="I21" s="8" t="inlineStr">
        <is>
          <t>1</t>
        </is>
      </c>
      <c r="J2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2" t="n"/>
      <c r="L21" s="2" t="inlineStr">
        <is>
          <t>Pharmacy Laws &amp; Ethics</t>
        </is>
      </c>
      <c r="M21" s="2" t="inlineStr">
        <is>
          <t>SAP</t>
        </is>
      </c>
      <c r="N21" s="2" t="inlineStr">
        <is>
          <t>PLE_CC1_2567_Key ข้อ 88</t>
        </is>
      </c>
      <c r="O21" s="2" t="inlineStr">
        <is>
          <t>ข้อสอบจริง</t>
        </is>
      </c>
      <c r="P21" s="2" t="inlineStr">
        <is>
          <t>ปี 2567</t>
        </is>
      </c>
      <c r="Q21" s="2" t="inlineStr">
        <is>
          <t>*จำ choice ไม่ได้* PLE-PC1 Preparation 2567</t>
        </is>
      </c>
    </row>
    <row r="22" ht="13.2" customHeight="1" s="37">
      <c r="A22" s="8" t="inlineStr">
        <is>
          <t>44</t>
        </is>
      </c>
      <c r="B22" s="2" t="inlineStr">
        <is>
          <t>ผู้ป่วยริดสีดวงทวารที่มีใช้ warfarin ควรเลี่ยงยาในข้อใดต่อไปนี้</t>
        </is>
      </c>
      <c r="C22" s="2" t="n"/>
      <c r="D22" s="2" t="inlineStr">
        <is>
          <t>Aspirin 81 mg OD</t>
        </is>
      </c>
      <c r="E22" s="2" t="inlineStr">
        <is>
          <t>Sacubitril/Valsartan 49/51 mg BID</t>
        </is>
      </c>
      <c r="F22" s="2" t="inlineStr">
        <is>
          <t>Empagliflozin 10 mg OD</t>
        </is>
      </c>
      <c r="G22" s="2" t="inlineStr">
        <is>
          <t>Diltiazem 30 mg TID</t>
        </is>
      </c>
      <c r="H22" s="2" t="inlineStr">
        <is>
          <t>Warfarin 3 mg OD (target INR 2.0-3.0)</t>
        </is>
      </c>
      <c r="I22" s="8" t="inlineStr">
        <is>
          <t>1</t>
        </is>
      </c>
      <c r="J22" s="2" t="inlineStr">
        <is>
          <t>✅ คำตอบที่ถูกต้อง: ข้อ ก. Aspirin 81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แนวทางเวชปฏิบัติเพื่อการรักษาผู้ป่วยภาวะหัวใจห้องบนสั่นพลิ้ว พ.ศ. 2564 (สมาคมแพทย์โรคหัวใจแห่งประเทศไทย) &amp; 2023 ACC/AHA/ACCP/HRS Guideline for Atrial Fibrillation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22" s="2" t="n"/>
      <c r="L22" s="2" t="inlineStr">
        <is>
          <t>Cardiovascular Diseases</t>
        </is>
      </c>
      <c r="M22" s="2" t="inlineStr">
        <is>
          <t>Clinic</t>
        </is>
      </c>
      <c r="N22" s="2" t="inlineStr">
        <is>
          <t>PLE_CC1_2567_Key ข้อ 87</t>
        </is>
      </c>
      <c r="O22" s="2" t="inlineStr">
        <is>
          <t>ข้อสอบจริง</t>
        </is>
      </c>
      <c r="P22" s="2" t="inlineStr">
        <is>
          <t>ปี 2567</t>
        </is>
      </c>
      <c r="Q22" s="2" t="inlineStr">
        <is>
          <t>*จำ choice ไม่ได้*</t>
        </is>
      </c>
    </row>
    <row r="23" ht="13.2" customHeight="1" s="37">
      <c r="A23" s="8" t="inlineStr">
        <is>
          <t>45</t>
        </is>
      </c>
      <c r="B23" s="2" t="inlineStr">
        <is>
          <t>ข้อใดต่อไปนี้ไม่จัดเป็นยาสามัญประจำบ้าน ✅ ถาจดเปนยาสามญประจบานตอง แผงละ 4 เมด 10 เมด 100 เมดนนา จะหมายถงขายแบบกระปก กระปกละ 100 เมดมขายแคทรานขายยา</t>
        </is>
      </c>
      <c r="C23" s="2" t="n"/>
      <c r="D23" s="2" t="inlineStr">
        <is>
          <t>N-acetylcysteine (NAC) IV infusion protocol</t>
        </is>
      </c>
      <c r="E23" s="2" t="inlineStr">
        <is>
          <t>Paracetamol 500 mg จำนวน 100 เม็ด</t>
        </is>
      </c>
      <c r="F23" s="2" t="inlineStr">
        <is>
          <t>ยาเหน็บ glycerin 10 เม็ด</t>
        </is>
      </c>
      <c r="G23" s="2" t="inlineStr">
        <is>
          <t>น้ำเกลือ 500 ml</t>
        </is>
      </c>
      <c r="H23" s="2" t="inlineStr">
        <is>
          <t>ORS ผสมน้ำ 250 ml</t>
        </is>
      </c>
      <c r="I23" s="8" t="inlineStr">
        <is>
          <t>1</t>
        </is>
      </c>
      <c r="J23" s="2" t="inlineStr">
        <is>
          <t>✅ คำตอบที่ถูกต้อง: ข้อ ก. N-acetylcysteine (NAC) IV infusion protocol
💡 Background:
กฎหมายยาและจรรยาบรรณวิชาชีพมีขึ้นเพื่อคุ้มครองความปลอดภัยของผู้บริโภคตามมาตรฐาน Good Pharmacy Practice (GPP)
🎯 ทำไมข้อนี้ถึงถูก:
N-acetylcysteine (NAC) IV infusion protocol 💡 คำอธิบายและข้อกำหนดทางกฎหมาย:
💡 คำอธิบายและข้อกำหนดทางกฎหมาย:
การเลือก N-acetylcysteine (NAC) IV infusion protocol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(Paracetamol 500 mg จำนวน 100 เม็ด):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ค. (ยาเหน็บ glycerin 10 เม็ด): ข้อนี้ไม่ใช่คำตอบที่ถูกต้องสำหรับภาวะ Pharmacy Laws &amp; Ethics เนื่องจากกลไกการออกฤทธิ์, efficacy หรือข้อบ่งใช้ไม่ตรงกับโจทย์ที่กำหนด
• ข้อ ง. (น้ำเกลือ 500 ml): ข้อนี้ไม่ใช่คำตอบที่ถูกต้องสำหรับภาวะ Pharmacy Laws &amp; Ethics เนื่องจากกลไกการออกฤทธิ์, efficacy หรือข้อบ่งใช้ไม่ตรงกับโจทย์ที่กำหนด
• ข้อ จ. (ORS ผสมน้ำ 250 ml):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2" t="n"/>
      <c r="L23" s="2" t="inlineStr">
        <is>
          <t>Pharmacy Laws &amp; Ethics</t>
        </is>
      </c>
      <c r="M23" s="2" t="inlineStr">
        <is>
          <t>SAP</t>
        </is>
      </c>
      <c r="N23" s="2" t="inlineStr">
        <is>
          <t>PLE_CC1_2567_Key ข้อ 92</t>
        </is>
      </c>
      <c r="O23" s="2" t="inlineStr">
        <is>
          <t>ข้อสอบจริง</t>
        </is>
      </c>
      <c r="P23" s="2" t="inlineStr">
        <is>
          <t>ปี 2567</t>
        </is>
      </c>
      <c r="Q23" s="2" t="inlineStr">
        <is>
          <t>ยาล้างตา 150 ml</t>
        </is>
      </c>
    </row>
    <row r="24" ht="13.2" customHeight="1" s="37">
      <c r="A24" s="8" t="inlineStr">
        <is>
          <t>46</t>
        </is>
      </c>
      <c r="B24" s="2" t="inlineStr">
        <is>
          <t>การทดสอบข้อใดต่อไปนี้ ไม่ได้มีข้อกำหนดเกณฑ์ผ่านที่ชัดเจนใน USP</t>
        </is>
      </c>
      <c r="C24" s="2" t="n"/>
      <c r="D24" s="2" t="inlineStr">
        <is>
          <t>Type I Borosilicate Glass Ampoule</t>
        </is>
      </c>
      <c r="E24" s="2" t="inlineStr">
        <is>
          <t>Accelerated Stability Testing (40 C / 75% RH)</t>
        </is>
      </c>
      <c r="F24" s="2" t="inlineStr">
        <is>
          <t>Long-term Stability Testing (30 C / 65% RH)</t>
        </is>
      </c>
      <c r="G24" s="2" t="inlineStr">
        <is>
          <t>Differential Scanning Calorimetry (DSC) Polymorphism</t>
        </is>
      </c>
      <c r="H24" s="2" t="inlineStr">
        <is>
          <t>Moisture Sorption Isotherm analysis</t>
        </is>
      </c>
      <c r="I24" s="8" t="inlineStr">
        <is>
          <t>1</t>
        </is>
      </c>
      <c r="J24" s="2" t="inlineStr">
        <is>
          <t>✅ คำตอบที่ถูกต้อง: ข้อ ก. Type I Borosilicate Glass Ampoule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Type I Borosilicate Glass Ampoule 💡 คำอธิบายและเหตุผลทางเภสัชกรรม:
💡 คำอธิบายและเหตุผลทางเภสัชกรรม:
การเลือก Type I Borosilicate Glass Ampoule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ค.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ง.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ข้อ จ.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Preformulation &amp; Stability</t>
        </is>
      </c>
      <c r="M24" s="2" t="inlineStr">
        <is>
          <t>Product</t>
        </is>
      </c>
      <c r="N24" s="2" t="inlineStr">
        <is>
          <t>PLE_CC1_2567_Key ข้อ 94</t>
        </is>
      </c>
      <c r="O24" s="2" t="inlineStr">
        <is>
          <t>ข้อสอบจริง</t>
        </is>
      </c>
      <c r="P24" s="2" t="inlineStr">
        <is>
          <t>ปี 2567</t>
        </is>
      </c>
      <c r="Q24" s="2" t="inlineStr">
        <is>
          <t>dissolution</t>
        </is>
      </c>
    </row>
    <row r="25" ht="13.2" customHeight="1" s="37">
      <c r="A25" s="8" t="inlineStr">
        <is>
          <t>47</t>
        </is>
      </c>
      <c r="B25" s="2" t="inlineStr">
        <is>
          <t>ในสูตรตำรับยาชนิดหนึ่งซึ่งมีส6วนประกอบ ได@แก6: - Fluticasone - Sodium carboxymethylcellulose (NaCMC) - Starch - Benzalkonium chloride (BAK) - Hydroxypropyl methylcellulose (HPMC) มีการตรวจสอบพบว6า ขนาดของอนุภาคเพิ่มขึ้นจาก 250 นาโนเมตรเปeน 500 นาโนเมตรภายใน 30 วัน หลังการ เตรียมตำรับ ข@อใดต6อไปนี้อธิบายสถานการณlนี้ได@ถูกต@องที่สุด</t>
        </is>
      </c>
      <c r="C25" s="2" t="n"/>
      <c r="D25" s="2" t="inlineStr">
        <is>
          <t>N-acetylcysteine 600 mg OD</t>
        </is>
      </c>
      <c r="E25" s="2" t="inlineStr">
        <is>
          <t>Beclomethasone MDI 100 mcg BID</t>
        </is>
      </c>
      <c r="F25" s="2" t="inlineStr">
        <is>
          <t>Salbutamol MDI 2 puffs PRN</t>
        </is>
      </c>
      <c r="G25" s="2" t="inlineStr">
        <is>
          <t>Budesonide/Formoterol 160/4.5 mcg DPI BID</t>
        </is>
      </c>
      <c r="H25" s="2" t="inlineStr">
        <is>
          <t>Fluticasone/Salmeterol 250/50 mcg DPI BID</t>
        </is>
      </c>
      <c r="I25" s="8" t="inlineStr">
        <is>
          <t>1</t>
        </is>
      </c>
      <c r="J25" s="2" t="inlineStr">
        <is>
          <t>✅ คำตอบที่ถูกต้อง: ข้อ ก. N-acetylcysteine 600 mg OD
💡 Background:
การรักษาโรคติดเชื้อแบคทีเรีย (Pulmonary Diseases) ต้องเลือก antibiotic ที่ครอบคลุม likely pathogens และมี PK/PD profile เหมาะสมกับตำแหน่งการติดเชื้อ
🎯 ทำไมข้อนี้ถึงถูก:
N-acetylcysteine 600 mg OD
🔍 ข้ออื่นผิดเพราะอะไร:
• ข้อ ข.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5" s="2" t="n"/>
      <c r="L25" s="2" t="inlineStr">
        <is>
          <t>Pulmonary Diseases</t>
        </is>
      </c>
      <c r="M25" s="2" t="inlineStr">
        <is>
          <t>Clinic</t>
        </is>
      </c>
      <c r="N25" s="2" t="inlineStr">
        <is>
          <t>PLE_CC1_2567_Key ข้อ 100</t>
        </is>
      </c>
      <c r="O25" s="2" t="inlineStr">
        <is>
          <t>ข้อสอบจริง</t>
        </is>
      </c>
      <c r="P25" s="2" t="inlineStr">
        <is>
          <t>ปี 2567</t>
        </is>
      </c>
      <c r="Q25" s="2" t="inlineStr">
        <is>
          <t>*จำ choice ไม6ได@* ระหว6างอนุภาคมากกว6าแรงผลัก อนุภาคจะจับกันเกิด aggregation</t>
        </is>
      </c>
    </row>
    <row r="26" ht="13.2" customHeight="1" s="37">
      <c r="A26" s="8" t="inlineStr">
        <is>
          <t>48</t>
        </is>
      </c>
      <c r="B26" s="2" t="inlineStr">
        <is>
          <t>ชายอายุ 28 ปผ มาขอซื้อยา tramadol เพื่อบรรเทาปวดของโรคประจำตัว และต@องการพกติดตัวไป ต6างประเทศ เภสัชกรจึงจ6ายยาให@ไป 30 เม็ด พร@อมเขียนข@อบ6งใช@ วิธีบริหารยาและข@อควรระวัง จากสถานการณl ดังกล6าวข@อใดถูกต@อง</t>
        </is>
      </c>
      <c r="C26" s="2" t="n"/>
      <c r="D26" s="2" t="inlineStr">
        <is>
          <t>Dimercaprol (BAL) 3 mg/kg IM</t>
        </is>
      </c>
      <c r="E26" s="2" t="inlineStr">
        <is>
          <t>สามารถขายได@ ไม6ผิดกฎหมาย ผิดจรรยาบรรณ</t>
        </is>
      </c>
      <c r="F26" s="2" t="inlineStr">
        <is>
          <t>ไม6สามารถขายได@ ผิดกฎหมาย ผิดจรรยาบรรณ</t>
        </is>
      </c>
      <c r="G26" s="2" t="inlineStr">
        <is>
          <t>สามารถขายได@ ไม6ผิดกฎหมาย ไม6ผิดจรรยาบรรณ</t>
        </is>
      </c>
      <c r="H26" s="2" t="inlineStr">
        <is>
          <t>ไม6สามารถขายได@ ผิดกฎหมาย ไม6ผิดจรรยาบรรณ</t>
        </is>
      </c>
      <c r="I26" s="8" t="inlineStr">
        <is>
          <t>1</t>
        </is>
      </c>
      <c r="J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(สามารถขายได@ ไม6ผิดกฎหมาย ผิดจรรยาบรรณ): ข้อนี้ไม่ใช่คำตอบที่ถูกต้องสำหรับภาวะ General Therapeutics เนื่องจากกลไกการออกฤทธิ์, efficacy หรือข้อบ่งใช้ไม่ตรงกับโจทย์ที่กำหนด
• ข้อ ค. (ไม6สามารถขายได@ ผิดกฎหมาย ผิดจรรยาบรรณ): ข้อนี้ไม่ใช่คำตอบที่ถูกต้องสำหรับภาวะ General Therapeutics เนื่องจากกลไกการออกฤทธิ์, efficacy หรือข้อบ่งใช้ไม่ตรงกับโจทย์ที่กำหนด
• ข้อ ง. (สามารถขายได@ ไม6ผิดกฎหมาย ไม6ผิดจรรยาบรรณ): ข้อนี้ไม่ใช่คำตอบที่ถูกต้องสำหรับภาวะ General Therapeutics เนื่องจากกลไกการออกฤทธิ์, efficacy หรือข้อบ่งใช้ไม่ตรงกับโจทย์ที่กำหนด
• ข้อ จ. (ไม6สามารถขายได@ ผิดกฎหมาย ไม6ผิดจรรยาบรรณ):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2" t="n"/>
      <c r="L26" s="2" t="inlineStr">
        <is>
          <t>General Therapeutics</t>
        </is>
      </c>
      <c r="M26" s="2" t="inlineStr">
        <is>
          <t>Clinic</t>
        </is>
      </c>
      <c r="N26" s="2" t="inlineStr">
        <is>
          <t>PLE_CC1_2567_Key ข้อ 102</t>
        </is>
      </c>
      <c r="O26" s="2" t="inlineStr">
        <is>
          <t>ข้อสอบจริง</t>
        </is>
      </c>
      <c r="P26" s="2" t="inlineStr">
        <is>
          <t>ปี 2567</t>
        </is>
      </c>
      <c r="Q26" s="2" t="inlineStr">
        <is>
          <t>ไม6สามารถขายได@ ไม6ผิดกฎหมาย ผิดจรรยาบรรณ Tramadol เปeนยาควบคุมพิเศษ ต@องมีใบสั่งแพทยlเท6านั้นถึงจะจ6ายได@ ดังนั้นการจ6ายโดยไม6มีใบสั่งแพทยlเปeนทั้งผิดกฎหมายและผิดจรรยาบรรณ</t>
        </is>
      </c>
    </row>
    <row r="27" ht="13.2" customHeight="1" s="37">
      <c r="A27" s="8" t="inlineStr">
        <is>
          <t>49</t>
        </is>
      </c>
      <c r="B27" s="2" t="inlineStr">
        <is>
          <t>Edetate disodium ทำหน้าที่อะไรในตำรับ ㅣ หมายAงยา3BดเDน Narrow therapeutic index FงGอง9การHดตามใก)Iด</t>
        </is>
      </c>
      <c r="C27" s="2" t="n"/>
      <c r="D27" s="2" t="inlineStr">
        <is>
          <t>N-acetylcysteine (NAC) IV infusion protocol</t>
        </is>
      </c>
      <c r="E27" s="2" t="inlineStr">
        <is>
          <t>Enalapril</t>
        </is>
      </c>
      <c r="F27" s="2" t="inlineStr">
        <is>
          <t>Amlodipine</t>
        </is>
      </c>
      <c r="G27" s="2" t="inlineStr">
        <is>
          <t>Metformin</t>
        </is>
      </c>
      <c r="H27" s="2" t="inlineStr">
        <is>
          <t>Theophylline</t>
        </is>
      </c>
      <c r="I27" s="8" t="inlineStr">
        <is>
          <t>1</t>
        </is>
      </c>
      <c r="J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(Theophylline):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7" s="2" t="n"/>
      <c r="L27" s="2" t="inlineStr">
        <is>
          <t>General Therapeutics</t>
        </is>
      </c>
      <c r="M27" s="2" t="inlineStr">
        <is>
          <t>Clinic</t>
        </is>
      </c>
      <c r="N27" s="2" t="inlineStr">
        <is>
          <t>PLE_CC1_2567_Set1_Key ข้อ 7</t>
        </is>
      </c>
      <c r="O27" s="2" t="inlineStr">
        <is>
          <t>ข้อสอบจริง</t>
        </is>
      </c>
      <c r="P27" s="2" t="inlineStr">
        <is>
          <t>ปี 2567</t>
        </is>
      </c>
      <c r="Q27" s="2" t="inlineStr">
        <is>
          <t>Tiotropium</t>
        </is>
      </c>
    </row>
    <row r="28" ht="13.2" customHeight="1" s="37">
      <c r="A28" s="8" t="inlineStr">
        <is>
          <t>50</t>
        </is>
      </c>
      <c r="B28" s="2" t="inlineStr">
        <is>
          <t>ข้อใดคือกลไกการออกฤทธิ์ของ Seretide ไม่รู้ตอนนี้คนไข้ได้ยาระดับไหนอยู่ ;-;</t>
        </is>
      </c>
      <c r="C28" s="2" t="n"/>
      <c r="D28" s="2" t="inlineStr">
        <is>
          <t>Prednisolone 40 mg OD x 5 days</t>
        </is>
      </c>
      <c r="E28" s="2" t="inlineStr">
        <is>
          <t>N-acetylcysteine 600 mg OD</t>
        </is>
      </c>
      <c r="F28" s="2" t="inlineStr">
        <is>
          <t>Beclomethasone MDI 100 mcg BID</t>
        </is>
      </c>
      <c r="G28" s="2" t="inlineStr">
        <is>
          <t>Salbutamol MDI 2 puffs PRN</t>
        </is>
      </c>
      <c r="H28" s="2" t="inlineStr">
        <is>
          <t>Budesonide/Formoterol 160/4.5 mcg DPI BID</t>
        </is>
      </c>
      <c r="I28" s="8" t="inlineStr">
        <is>
          <t>1</t>
        </is>
      </c>
      <c r="J28" s="2"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8" s="2" t="n"/>
      <c r="L28" s="2" t="inlineStr">
        <is>
          <t>Pulmonary Diseases</t>
        </is>
      </c>
      <c r="M28" s="2" t="inlineStr">
        <is>
          <t>Clinic</t>
        </is>
      </c>
      <c r="N28" s="2" t="inlineStr">
        <is>
          <t>PLE_CC1_2567_Set1_Key ข้อ 28</t>
        </is>
      </c>
      <c r="O28" s="2" t="inlineStr">
        <is>
          <t>ข้อสอบจริง</t>
        </is>
      </c>
      <c r="P28" s="2" t="inlineStr">
        <is>
          <t>ปี 2567</t>
        </is>
      </c>
      <c r="Q28" s="2" t="inlineStr">
        <is>
          <t>*จำ choice ไม่ได้* Salmeterol เป็น beta2-agonist</t>
        </is>
      </c>
    </row>
    <row r="29" ht="13.2" customHeight="1" s="37">
      <c r="A29" s="8" t="inlineStr">
        <is>
          <t>51</t>
        </is>
      </c>
      <c r="B29" s="2" t="inlineStr">
        <is>
          <t>คำแนะนำในข้อใดเหมาะสมกับผู้ป่วยรายนี้ fluticasone/salmeterol</t>
        </is>
      </c>
      <c r="C29" s="2" t="n"/>
      <c r="D29" s="2" t="inlineStr">
        <is>
          <t>Salbutamol MDI 2 puffs PRN</t>
        </is>
      </c>
      <c r="E29" s="2" t="inlineStr">
        <is>
          <t>Budesonide/Formoterol 160/4.5 mcg DPI BID</t>
        </is>
      </c>
      <c r="F29" s="2" t="inlineStr">
        <is>
          <t>Fluticasone/Salmeterol 250/50 mcg DPI BID</t>
        </is>
      </c>
      <c r="G29" s="2" t="inlineStr">
        <is>
          <t>Tiotropium Respimat 2.5 mcg 2 puffs OD</t>
        </is>
      </c>
      <c r="H29" s="2" t="inlineStr">
        <is>
          <t>Ipratropium/Fenoterol MDI PRN</t>
        </is>
      </c>
      <c r="I29" s="8" t="inlineStr">
        <is>
          <t>1</t>
        </is>
      </c>
      <c r="J29" s="2" t="inlineStr">
        <is>
          <t>✅ คำตอบที่ถูกต้อง: ข้อ ก. Salbutamol MDI 2 puffs PRN
💡 Background:
การรักษาโรคติดเชื้อแบคทีเรีย (Pulmonary Diseases) ต้องเลือก antibiotic ที่ครอบคลุม likely pathogens และมี PK/PD profile เหมาะสมกับตำแหน่งการติดเชื้อ
🎯 ทำไมข้อนี้ถึงถูก:
Salbutamol MDI 2 puffs PRN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29" s="2" t="n"/>
      <c r="L29" s="2" t="inlineStr">
        <is>
          <t>Pulmonary Diseases</t>
        </is>
      </c>
      <c r="M29" s="2" t="inlineStr">
        <is>
          <t>Clinic</t>
        </is>
      </c>
      <c r="N29" s="2" t="inlineStr">
        <is>
          <t>PLE_CC1_2567_Set1_Key ข้อ 31</t>
        </is>
      </c>
      <c r="O29" s="2" t="inlineStr">
        <is>
          <t>ข้อสอบจริง</t>
        </is>
      </c>
      <c r="P29" s="2" t="inlineStr">
        <is>
          <t>ปี 2567</t>
        </is>
      </c>
      <c r="Q29" s="2" t="inlineStr">
        <is>
          <t>หลีกเลี่ยงการใช้น้ำตาเทียมที่มีส่วนประกอบของ benzalkonium chloride เมื่อใช้คอนแทคเลนส์</t>
        </is>
      </c>
    </row>
    <row r="30" ht="13.2" customHeight="1" s="37">
      <c r="A30" s="8" t="inlineStr">
        <is>
          <t>52</t>
        </is>
      </c>
      <c r="B30" s="2" t="inlineStr">
        <is>
          <t>ข้อใดเป็น “ปัจจัยที่สามารถปรับเปลี่ยนได้” ที่มีผลต่อการลดความเสี่ยงในการเกิด exacerbation ของโรค มากที่สุดในผู้ป่วยรายนี้</t>
        </is>
      </c>
      <c r="C30" s="2" t="n"/>
      <c r="D30" s="2" t="inlineStr">
        <is>
          <t>พ.ร.บ. วิชาชีพเภสัชกรรม พ.ศ. 2537 และข้อบังคับจรรยาบรรณวิชาชีพ</t>
        </is>
      </c>
      <c r="E30" s="2" t="inlineStr">
        <is>
          <t>พ.ร.บ. ผลิตภัณฑ์สมุนไพร พ.ศ. 2562</t>
        </is>
      </c>
      <c r="F30" s="2" t="inlineStr">
        <is>
          <t>พ.ร.บ. เครื่องสำอาง พ.ศ. 2558</t>
        </is>
      </c>
      <c r="G30" s="2" t="inlineStr">
        <is>
          <t>พ.ร.บ. หลักประกันสุขภาพแห่งชาติ พ.ศ. 2545</t>
        </is>
      </c>
      <c r="H30" s="2" t="inlineStr">
        <is>
          <t>การปฏิบัติทางเภสัชกรรมชุมชน (Good Pharmacy Practice: GPP)</t>
        </is>
      </c>
      <c r="I30" s="8" t="inlineStr">
        <is>
          <t>1</t>
        </is>
      </c>
      <c r="J3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Pharmacy Laws &amp; Ethics</t>
        </is>
      </c>
      <c r="M30" s="2" t="inlineStr">
        <is>
          <t>SAP</t>
        </is>
      </c>
      <c r="N30" s="2" t="inlineStr">
        <is>
          <t>PLE_CC1_2567_Set1_Key ข้อ 27</t>
        </is>
      </c>
      <c r="O30" s="2" t="inlineStr">
        <is>
          <t>ข้อสอบจริง</t>
        </is>
      </c>
      <c r="P30" s="2" t="inlineStr">
        <is>
          <t>ปี 2567</t>
        </is>
      </c>
      <c r="Q30" s="2" t="inlineStr">
        <is>
          <t>Polymyxin B &amp;</t>
        </is>
      </c>
    </row>
    <row r="31" ht="13.2" customHeight="1" s="37">
      <c r="A31" s="8" t="inlineStr">
        <is>
          <t>53</t>
        </is>
      </c>
      <c r="B31" s="2" t="inlineStr">
        <is>
          <t>ยาใดที่ควรรับประทานหลีกเลี่ยงร่วมกับยาลดกรด</t>
        </is>
      </c>
      <c r="C31" s="2" t="n"/>
      <c r="D31" s="2" t="inlineStr">
        <is>
          <t>N-acetylcysteine (NAC) IV infusion protocol</t>
        </is>
      </c>
      <c r="E31" s="2" t="inlineStr">
        <is>
          <t>ใช้ต่อไปอีก 1 สัปดาห์</t>
        </is>
      </c>
      <c r="F31" s="2" t="inlineStr">
        <is>
          <t>fluconazole กิน 150 มก 2 เม็ด ทุกสัปดาห์</t>
        </is>
      </c>
      <c r="G31" s="2" t="inlineStr">
        <is>
          <t>Acyclovir 200 mg 5 เม็ด เป็นเวลา 7-10 วัน</t>
        </is>
      </c>
      <c r="H31" s="2" t="inlineStr">
        <is>
          <t>จำ choice ไม่ได้</t>
        </is>
      </c>
      <c r="I31" s="8" t="inlineStr">
        <is>
          <t>1</t>
        </is>
      </c>
      <c r="J31" s="2" t="inlineStr">
        <is>
          <t>✅ คำตอบที่ถูกต้อง: ข้อ ก. N-acetylcysteine (NAC) IV infusion protocol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(ใช้ต่อไปอีก 1 สัปดาห์): ข้อนี้ไม่ใช่คำตอบที่ถูกต้องสำหรับภาวะ GI Disorders เนื่องจากกลไกการออกฤทธิ์, efficacy หรือข้อบ่งใช้ไม่ตรงกับโจทย์ที่กำหนด
• ข้อ ค. (fluconazole กิน 150 มก 2 เม็ด ทุกสัปดาห์): เป็น Triazole antifungal เป็น first-line สำหรับ Candida albicans และ Cryptococcal maintenance therapy ขับออกทางไตเด่นชัดจึงต้องปรับ dose ตาม CrCl
• ข้อ ง. (Acyclovir 200 mg 5 เม็ด เป็นเวลา 7-10 วัน): เป็น Guanosine analog ยับยั้ง HSV และ VZV polymerase ต้องดื่มน้ำมากๆ ระหว่างได้ยา IV เพื่อป้องกัน crystal nephropathy และ obstructive AKI
• ข้อ จ. (จำ choice ไม่ได้):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1" s="2" t="n"/>
      <c r="L31" s="2" t="inlineStr">
        <is>
          <t>GI Disorders</t>
        </is>
      </c>
      <c r="M31" s="2" t="inlineStr">
        <is>
          <t>Clinic</t>
        </is>
      </c>
      <c r="N31" s="2" t="inlineStr">
        <is>
          <t>PLE_CC1_2567_Set1_Key ข้อ 44</t>
        </is>
      </c>
      <c r="O31" s="2" t="inlineStr">
        <is>
          <t>ข้อสอบจริง</t>
        </is>
      </c>
      <c r="P31" s="2" t="inlineStr">
        <is>
          <t>ปี 2567</t>
        </is>
      </c>
      <c r="Q31" s="2" t="inlineStr">
        <is>
          <t>*จำ choice ไม่ได้*</t>
        </is>
      </c>
    </row>
    <row r="32" ht="13.2" customHeight="1" s="37">
      <c r="A32" s="8" t="inlineStr">
        <is>
          <t>54</t>
        </is>
      </c>
      <c r="B32" s="2" t="inlineStr">
        <is>
          <t>Stearic acid = Diluent</t>
        </is>
      </c>
      <c r="C32" s="2" t="n"/>
      <c r="D32" s="2" t="inlineStr">
        <is>
          <t>Enteric Coating with Cellulose acetate phthalate (CAP)</t>
        </is>
      </c>
      <c r="E32" s="2" t="inlineStr">
        <is>
          <t>Hard Gelatin Capsule filling</t>
        </is>
      </c>
      <c r="F32" s="2" t="inlineStr">
        <is>
          <t>Soft Gelatin Capsule encapsulation</t>
        </is>
      </c>
      <c r="G32" s="2" t="inlineStr">
        <is>
          <t>Microcrystalline cellulose</t>
        </is>
      </c>
      <c r="H32" s="2" t="inlineStr">
        <is>
          <t>Magnesium stearate (Lubricant 1%)</t>
        </is>
      </c>
      <c r="I32" s="8" t="inlineStr">
        <is>
          <t>1</t>
        </is>
      </c>
      <c r="J32" s="2"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ค.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ง.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Solid Dosage Forms</t>
        </is>
      </c>
      <c r="M32" s="2" t="inlineStr">
        <is>
          <t>Product</t>
        </is>
      </c>
      <c r="N32" s="2" t="inlineStr">
        <is>
          <t>PLE_CC1_2567_Set1_Key ข้อ 2</t>
        </is>
      </c>
      <c r="O32" s="2" t="inlineStr">
        <is>
          <t>ข้อสอบจริง</t>
        </is>
      </c>
      <c r="P32" s="2" t="inlineStr">
        <is>
          <t>ปี 2567</t>
        </is>
      </c>
    </row>
    <row r="33" ht="13.2" customHeight="1" s="37">
      <c r="A33" s="8" t="inlineStr">
        <is>
          <t>55</t>
        </is>
      </c>
      <c r="B33" s="2" t="inlineStr">
        <is>
          <t>Colloidal silicon dioxide (Aerosil) = Surfactant</t>
        </is>
      </c>
      <c r="C33" s="2" t="n"/>
      <c r="D33" s="2" t="inlineStr">
        <is>
          <t>Microcrystalline cellulose</t>
        </is>
      </c>
      <c r="E33" s="2" t="inlineStr">
        <is>
          <t>Magnesium stearate (Lubricant 1%)</t>
        </is>
      </c>
      <c r="F33" s="2" t="inlineStr">
        <is>
          <t>Sodium starch glycolate (Superdisintegrant)</t>
        </is>
      </c>
      <c r="G33" s="2" t="inlineStr">
        <is>
          <t>Direct Compression tableting method</t>
        </is>
      </c>
      <c r="H33" s="2" t="inlineStr">
        <is>
          <t>Wet Granulation tableting method</t>
        </is>
      </c>
      <c r="I33" s="8" t="inlineStr">
        <is>
          <t>1</t>
        </is>
      </c>
      <c r="J33" s="2"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จ.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Solid Dosage Forms</t>
        </is>
      </c>
      <c r="M33" s="2" t="inlineStr">
        <is>
          <t>Product</t>
        </is>
      </c>
      <c r="N33" s="2" t="inlineStr">
        <is>
          <t>PLE_CC1_2567_Set1_Key ข้อ 4</t>
        </is>
      </c>
      <c r="O33" s="2" t="inlineStr">
        <is>
          <t>ข้อสอบจริง</t>
        </is>
      </c>
      <c r="P33" s="2" t="inlineStr">
        <is>
          <t>ปี 2567</t>
        </is>
      </c>
    </row>
    <row r="34" ht="13.2" customHeight="1" s="37">
      <c r="A34" s="8" t="inlineStr">
        <is>
          <t>56</t>
        </is>
      </c>
      <c r="B34" s="2" t="inlineStr">
        <is>
          <t>ข้อใดเป็นยาที่สามารถใช้รักษา mild SLE ได้ดีและปลอดภัยในหญิงตั้งครรภ์ &amp; บุหรี่ 1 ซอง = 20 มวน คนไข้สูบบุหรี่ 40 มวน/วัน</t>
        </is>
      </c>
      <c r="C34" s="2" t="n"/>
      <c r="D34" s="2" t="inlineStr">
        <is>
          <t>Montelukast 10 mg HS</t>
        </is>
      </c>
      <c r="E34" s="2" t="inlineStr">
        <is>
          <t>Theophylline 200 mg BID</t>
        </is>
      </c>
      <c r="F34" s="2" t="inlineStr">
        <is>
          <t>Prednisolone 40 mg OD x 5 days</t>
        </is>
      </c>
      <c r="G34" s="2" t="inlineStr">
        <is>
          <t>N-acetylcysteine 600 mg OD</t>
        </is>
      </c>
      <c r="H34" s="2" t="inlineStr">
        <is>
          <t>Beclomethasone MDI 100 mcg BID</t>
        </is>
      </c>
      <c r="I34" s="8" t="inlineStr">
        <is>
          <t>1</t>
        </is>
      </c>
      <c r="J34" s="2"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จ.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4" s="2" t="n"/>
      <c r="L34" s="2" t="inlineStr">
        <is>
          <t>Pulmonary Diseases</t>
        </is>
      </c>
      <c r="M34" s="2" t="inlineStr">
        <is>
          <t>Clinic</t>
        </is>
      </c>
      <c r="N34" s="2" t="inlineStr">
        <is>
          <t>PLE_CC1_2567_Set1_Key ข้อ 58</t>
        </is>
      </c>
      <c r="O34" s="2" t="inlineStr">
        <is>
          <t>ข้อสอบจริง</t>
        </is>
      </c>
      <c r="P34" s="2" t="inlineStr">
        <is>
          <t>ปี 2567</t>
        </is>
      </c>
      <c r="Q34" s="2" t="inlineStr">
        <is>
          <t>ติดนิโคตินระดับรุนแรง</t>
        </is>
      </c>
    </row>
    <row r="35" ht="13.2" customHeight="1" s="37">
      <c r="A35" s="8" t="inlineStr">
        <is>
          <t>57</t>
        </is>
      </c>
      <c r="B35" s="2" t="inlineStr">
        <is>
          <t>ข้อใดเป็นคำแนะนำที่ไม่เหมาะสมสำหรับการใช้หมากฝรั่งนิโคตินในผู้ป่วยรายนี้ ไม้มึกรวมต่งใจจ ควรใ% TA 0.02% ทาบ)เวณ,วห.ง0บาง เ1น ใบห3า TA 0.1% ทา,วห.ง4วไป</t>
        </is>
      </c>
      <c r="C35" s="2" t="n"/>
      <c r="D35" s="2" t="inlineStr">
        <is>
          <t>N-acetylcysteine (NAC) IV infusion protocol</t>
        </is>
      </c>
      <c r="E35" s="2" t="inlineStr">
        <is>
          <t>HCQ (Hydroxychloroquine)</t>
        </is>
      </c>
      <c r="F35" s="2" t="inlineStr">
        <is>
          <t>MTX (Methotrexate)</t>
        </is>
      </c>
      <c r="G35" s="2" t="inlineStr">
        <is>
          <t>cyclophosphamide</t>
        </is>
      </c>
      <c r="H35" s="2" t="inlineStr">
        <is>
          <t>mycophenolate mofetil</t>
        </is>
      </c>
      <c r="I35" s="8" t="inlineStr">
        <is>
          <t>1</t>
        </is>
      </c>
      <c r="J35" s="2" t="inlineStr">
        <is>
          <t>✅ คำตอบที่ถูกต้อง: ข้อ ก. N-acetylcysteine (NAC) IV infusion protocol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(HCQ (Hydroxychloroquine)): เป็น csDMARD ที่ปลอดภัยต่อตับและหญิงตั้งครรภ์ แต่ต้อง monitoring retinal toxicity (ตาบอด) ทุกปีหลังใช้เกิน 5 ปี
• ข้อ ค. (MTX (Methotrexate)): เป็น anchor csDMARD สำหรับ Rheumatoid arthritis ยับยั้ง dihydrofolate reductase ต้องให้ Folic acid เสริม และห้ามใช้ในหญิงตั้งครรภ์ (contraindication / teratogenic)
• ข้อ ง. (cyclophosphamide): ข้อนี้ไม่ใช่คำตอบที่ถูกต้องสำหรับภาวะ Pulmonary Diseases เนื่องจากกลไกการออกฤทธิ์, efficacy หรือข้อบ่งใช้ไม่ตรงกับโจทย์ที่กำหนด
• ข้อ จ. (mycophenolate mofetil):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5" s="2" t="n"/>
      <c r="L35" s="2" t="inlineStr">
        <is>
          <t>Pulmonary Diseases</t>
        </is>
      </c>
      <c r="M35" s="2" t="inlineStr">
        <is>
          <t>Clinic</t>
        </is>
      </c>
      <c r="N35" s="2" t="inlineStr">
        <is>
          <t>PLE_CC1_2567_Set1_Key ข้อ 62</t>
        </is>
      </c>
      <c r="O35" s="2" t="inlineStr">
        <is>
          <t>ข้อสอบจริง</t>
        </is>
      </c>
      <c r="P35" s="2" t="inlineStr">
        <is>
          <t>ปี 2567</t>
        </is>
      </c>
      <c r="Q35" s="2" t="inlineStr">
        <is>
          <t>Rituximab</t>
        </is>
      </c>
    </row>
    <row r="36" ht="13.2" customHeight="1" s="37">
      <c r="A36" s="8" t="inlineStr">
        <is>
          <t>58</t>
        </is>
      </c>
      <c r="B36" s="2" t="inlineStr">
        <is>
          <t>ยาเดี่ยวและสูตรผสมของ pseudoephedrine ข้อใดถูกต้อง</t>
        </is>
      </c>
      <c r="C36" s="2" t="n"/>
      <c r="D36" s="2" t="inlineStr">
        <is>
          <t>พ.ร.บ. ยาเสพติดให้โทษ พ.ศ. 2522 (ยาเสพติดให้โทษประเภท 2 และ 3)</t>
        </is>
      </c>
      <c r="E36" s="2" t="inlineStr">
        <is>
          <t>พ.ร.บ. วัตถุที่ออกฤทธิ์ต่อจิตและประสาท พ.ศ. 2559 (ประเภท 2 และ 4)</t>
        </is>
      </c>
      <c r="F36" s="2" t="inlineStr">
        <is>
          <t>พ.ร.บ. วิชาชีพเภสัชกรรม พ.ศ. 2537 และข้อบังคับจรรยาบรรณวิชาชีพ</t>
        </is>
      </c>
      <c r="G36" s="2" t="inlineStr">
        <is>
          <t>พ.ร.บ. ผลิตภัณฑ์สมุนไพร พ.ศ. 2562</t>
        </is>
      </c>
      <c r="H36" s="2" t="inlineStr">
        <is>
          <t>พ.ร.บ. เครื่องสำอาง พ.ศ. 2558</t>
        </is>
      </c>
      <c r="I36" s="8" t="inlineStr">
        <is>
          <t>1</t>
        </is>
      </c>
      <c r="J3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Pharmacy Laws &amp; Ethics</t>
        </is>
      </c>
      <c r="M36" s="2" t="inlineStr">
        <is>
          <t>SAP</t>
        </is>
      </c>
      <c r="N36" s="2" t="inlineStr">
        <is>
          <t>PLE_CC1_2567_Set1_Key ข้อ 66</t>
        </is>
      </c>
      <c r="O36" s="2" t="inlineStr">
        <is>
          <t>ข้อสอบจริง</t>
        </is>
      </c>
      <c r="P36" s="2" t="inlineStr">
        <is>
          <t>ปี 2567</t>
        </is>
      </c>
      <c r="Q36" s="2" t="inlineStr">
        <is>
          <t>Polacrilex (cation exchange resin)</t>
        </is>
      </c>
    </row>
    <row r="37" ht="13.2" customHeight="1" s="37">
      <c r="A37" s="8" t="inlineStr">
        <is>
          <t>59</t>
        </is>
      </c>
      <c r="B37" s="2" t="inlineStr">
        <is>
          <t>หมู่ฟังก์ชันใดของ Hypromellose ช่วยเรื่องความชุ่มชื้นในดวงต X</t>
        </is>
      </c>
      <c r="C37" s="2" t="n"/>
      <c r="D37" s="2" t="inlineStr">
        <is>
          <t>Sodium thiosulfate 25% 50 mL IV</t>
        </is>
      </c>
      <c r="E37" s="2" t="inlineStr">
        <is>
          <t>Calcium disodium EDTA 1 g IV</t>
        </is>
      </c>
      <c r="F37" s="2" t="inlineStr">
        <is>
          <t>Desferrioxamine 1 g IM/IV</t>
        </is>
      </c>
      <c r="G37" s="2" t="inlineStr">
        <is>
          <t>Dimercaprol (BAL) 3 mg/kg IM</t>
        </is>
      </c>
      <c r="H37" s="2" t="inlineStr">
        <is>
          <t>Ethanol 10% IV infusion for Methanol poisoning</t>
        </is>
      </c>
      <c r="I37" s="8" t="inlineStr">
        <is>
          <t>1</t>
        </is>
      </c>
      <c r="J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2" t="n"/>
      <c r="L37" s="2" t="inlineStr">
        <is>
          <t>General Therapeutics</t>
        </is>
      </c>
      <c r="M37" s="2" t="inlineStr">
        <is>
          <t>Clinic</t>
        </is>
      </c>
      <c r="N37" s="2" t="inlineStr">
        <is>
          <t>PLE_CC1_2567_Set1_Key ข้อ 65</t>
        </is>
      </c>
      <c r="O37" s="2" t="inlineStr">
        <is>
          <t>ข้อสอบจริง</t>
        </is>
      </c>
      <c r="P37" s="2" t="inlineStr">
        <is>
          <t>ปี 2567</t>
        </is>
      </c>
    </row>
    <row r="38" ht="13.2" customHeight="1" s="37">
      <c r="A38" s="8" t="inlineStr">
        <is>
          <t>60</t>
        </is>
      </c>
      <c r="B38" s="2" t="inlineStr">
        <is>
          <t>จากอาการและประวัติของผู้ป่วย ข้อใด น่าจะเป็นกลไกการแพ้ยาที่เกี่ยวข้องมากที่สุด?</t>
        </is>
      </c>
      <c r="C38" s="2" t="n"/>
      <c r="D38" s="2" t="inlineStr">
        <is>
          <t>Montelukast 10 mg HS</t>
        </is>
      </c>
      <c r="E38" s="2" t="inlineStr">
        <is>
          <t>Hydroxyzine 25 mg HS</t>
        </is>
      </c>
      <c r="F38" s="2" t="inlineStr">
        <is>
          <t>Diphenhydramine 25 mg IV</t>
        </is>
      </c>
      <c r="G38" s="2" t="inlineStr">
        <is>
          <t>Cetirizine 10 mg OD</t>
        </is>
      </c>
      <c r="H38" s="2" t="inlineStr">
        <is>
          <t>Loratadine 10 mg OD</t>
        </is>
      </c>
      <c r="I38" s="8" t="inlineStr">
        <is>
          <t>1</t>
        </is>
      </c>
      <c r="J38"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Allergy &amp; Immunology</t>
        </is>
      </c>
      <c r="M38" s="2" t="inlineStr">
        <is>
          <t>Clinic</t>
        </is>
      </c>
      <c r="N38" s="2" t="inlineStr">
        <is>
          <t>PLE_CC1_2567_Set1_Key ข้อ 78</t>
        </is>
      </c>
      <c r="O38" s="2" t="inlineStr">
        <is>
          <t>ข้อสอบจริง</t>
        </is>
      </c>
      <c r="P38" s="2" t="inlineStr">
        <is>
          <t>ปี 2567</t>
        </is>
      </c>
    </row>
    <row r="39" ht="13.2" customHeight="1" s="37">
      <c r="A39" s="8" t="inlineStr">
        <is>
          <t>61</t>
        </is>
      </c>
      <c r="B39" s="2" t="inlineStr">
        <is>
          <t>การรักษาใดไม่เหมาะสมในผู้ป่วยรายนี้ เ^มเ_ม ยา`นR Phosphate aห,บ Tenofovir ยา`นR Phosphate 1 ห]อbแcวฉะQน active form จะdอ Tenofovir-diphosphate (แWR phosphate 3 ห]นะ) แ"เพราะ(งไ+,บยา Ceftriaxone</t>
        </is>
      </c>
      <c r="C39" s="2" t="n"/>
      <c r="D39" s="2" t="inlineStr">
        <is>
          <t>N-acetylcysteine (NAC) IV infusion protocol</t>
        </is>
      </c>
      <c r="E39" s="2" t="inlineStr">
        <is>
          <t>Desensitization</t>
        </is>
      </c>
      <c r="F39" s="2" t="inlineStr">
        <is>
          <t>IVIG</t>
        </is>
      </c>
      <c r="G39" s="2" t="inlineStr">
        <is>
          <t>CPM + Ranitidine</t>
        </is>
      </c>
      <c r="H39" s="2" t="inlineStr">
        <is>
          <t>Dimenhydrinate</t>
        </is>
      </c>
      <c r="I39" s="8" t="inlineStr">
        <is>
          <t>1</t>
        </is>
      </c>
      <c r="J39" s="2" t="inlineStr">
        <is>
          <t>✅ คำตอบที่ถูกต้อง: ข้อ ก. N-acetylcysteine (NAC) IV infusion protocol
💡 Background:
การดูแลผู้ติดเชื้อ HIV เน้นเริ่ม Antiretroviral Therapy (ART) ทันทีเพื่อกด viral load ให้ undetectable (U=U) และฟื้นฟูระบบภูมิคุ้มกัน
🎯 ทำไมข้อนี้ถึงถูก:
N-acetylcysteine (NAC) IV infusion protocol การเลือก N-acetylcysteine (NAC) IV infusion protocol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(Desensitization): ข้อนี้ไม่ใช่คำตอบที่ถูกต้องสำหรับภาวะ Infectious Diseases เนื่องจากกลไกการออกฤทธิ์, efficacy หรือข้อบ่งใช้ไม่ตรงกับโจทย์ที่กำหนด
• ข้อ ค. (IVIG): ข้อนี้ไม่ใช่คำตอบที่ถูกต้องสำหรับภาวะ Infectious Diseases เนื่องจากกลไกการออกฤทธิ์, efficacy หรือข้อบ่งใช้ไม่ตรงกับโจทย์ที่กำหนด
• ข้อ ง. (CPM + Ranitidine): ข้อนี้ไม่ใช่คำตอบที่ถูกต้องสำหรับภาวะ Infectious Diseases เนื่องจากกลไกการออกฤทธิ์, efficacy หรือข้อบ่งใช้ไม่ตรงกับโจทย์ที่กำหนด
• ข้อ จ. (Dimenhydrinate):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9" s="2" t="n"/>
      <c r="L39" s="2" t="inlineStr">
        <is>
          <t>Infectious Diseases</t>
        </is>
      </c>
      <c r="M39" s="2" t="inlineStr">
        <is>
          <t>Clinic</t>
        </is>
      </c>
      <c r="N39" s="2" t="inlineStr">
        <is>
          <t>PLE_CC1_2567_Set1_Key ข้อ 79</t>
        </is>
      </c>
      <c r="O39" s="2" t="inlineStr">
        <is>
          <t>ข้อสอบจริง</t>
        </is>
      </c>
      <c r="P39" s="2" t="inlineStr">
        <is>
          <t>ปี 2567</t>
        </is>
      </c>
      <c r="Q39" s="2" t="inlineStr">
        <is>
          <t>Dexamethasone :ในรายแ0แบบ IgE &lt;ห&gt;บ Type IV เ@น TEN จากแนวทางการ*+จ,ย./วยแ0ยา ของโรงพยาบาลรามา8บ9 https://www.rama.mahidol.ac.th/med/sites/default/ﬁles/public/pdf/ medicinebook1/ Patients%20with%20drug%20allergy%20and%20hypersensitivity.pdf Antihistamine (H2 blockers / 0วม3บ H1 blockers ไ+)</t>
        </is>
      </c>
    </row>
    <row r="40" ht="13.2" customHeight="1" s="37">
      <c r="A40" s="8" t="inlineStr">
        <is>
          <t>62</t>
        </is>
      </c>
      <c r="B40" s="2" t="inlineStr">
        <is>
          <t>การควบคุมสภาวะเร่ง</t>
        </is>
      </c>
      <c r="C40" s="2" t="n"/>
      <c r="D40" s="2" t="inlineStr">
        <is>
          <t>Type I Borosilicate Glass Ampoule</t>
        </is>
      </c>
      <c r="E40" s="2" t="inlineStr">
        <is>
          <t>Accelerated Stability Testing (40 C / 75% RH)</t>
        </is>
      </c>
      <c r="F40" s="2" t="inlineStr">
        <is>
          <t>Long-term Stability Testing (30 C / 65% RH)</t>
        </is>
      </c>
      <c r="G40" s="2" t="inlineStr">
        <is>
          <t>Differential Scanning Calorimetry (DSC) Polymorphism</t>
        </is>
      </c>
      <c r="H40" s="2" t="inlineStr">
        <is>
          <t>Moisture Sorption Isotherm analysis</t>
        </is>
      </c>
      <c r="I40" s="8" t="inlineStr">
        <is>
          <t>1</t>
        </is>
      </c>
      <c r="J40" s="2" t="inlineStr">
        <is>
          <t>✅ คำตอบที่ถูกต้อง: ข้อ ก. Type I Borosilicate Glass Ampoule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Type I Borosilicate Glass Ampoule 💡 คำอธิบายและเหตุผลทางเภสัชกรรม:
💡 คำอธิบายและเหตุผลทางเภสัชกรรม:
การเลือก Type I Borosilicate Glass Ampoule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ค.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ง.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ข้อ จ.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Preformulation &amp; Stability</t>
        </is>
      </c>
      <c r="M40" s="2" t="inlineStr">
        <is>
          <t>Product</t>
        </is>
      </c>
      <c r="N40" s="2" t="inlineStr">
        <is>
          <t>PLE_CC1_2567_Set1_Key ข้อ 85</t>
        </is>
      </c>
      <c r="O40" s="2" t="inlineStr">
        <is>
          <t>ข้อสอบจริง</t>
        </is>
      </c>
      <c r="P40" s="2" t="inlineStr">
        <is>
          <t>ปี 2567</t>
        </is>
      </c>
    </row>
    <row r="41" ht="13.2" customHeight="1" s="37">
      <c r="A41" s="8" t="inlineStr">
        <is>
          <t>63</t>
        </is>
      </c>
      <c r="B41" s="2" t="inlineStr">
        <is>
          <t>ผู้ป่วยริดสีดวงทวารที่มีใช้ warfarin ควรเลี่ยงยาในข้อใดต่อไปนี้</t>
        </is>
      </c>
      <c r="C41" s="2" t="n"/>
      <c r="D41" s="2" t="inlineStr">
        <is>
          <t>Bisoprolol 5 mg OD</t>
        </is>
      </c>
      <c r="E41" s="2" t="inlineStr">
        <is>
          <t>Spironolactone 25 mg OD</t>
        </is>
      </c>
      <c r="F41" s="2" t="inlineStr">
        <is>
          <t>Clopidogrel 75 mg OD</t>
        </is>
      </c>
      <c r="G41" s="2" t="inlineStr">
        <is>
          <t>Aspirin 81 mg OD</t>
        </is>
      </c>
      <c r="H41" s="2" t="inlineStr">
        <is>
          <t>Sacubitril/Valsartan 49/51 mg BID</t>
        </is>
      </c>
      <c r="I41" s="8" t="inlineStr">
        <is>
          <t>1</t>
        </is>
      </c>
      <c r="J41" s="2" t="inlineStr">
        <is>
          <t>✅ คำตอบที่ถูกต้อง: ข้อ ก. Bisoprolol 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แนวทางเวชปฏิบัติเพื่อการรักษาผู้ป่วยภาวะหัวใจห้องบนสั่นพลิ้ว พ.ศ. 2564 (สมาคมแพทย์โรคหัวใจแห่งประเทศไทย) &amp; 2023 ACC/AHA/ACCP/HRS Guideline for Atrial Fibrillation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41" s="2" t="n"/>
      <c r="L41" s="2" t="inlineStr">
        <is>
          <t>Cardiovascular Diseases</t>
        </is>
      </c>
      <c r="M41" s="2" t="inlineStr">
        <is>
          <t>Clinic</t>
        </is>
      </c>
      <c r="N41" s="2" t="inlineStr">
        <is>
          <t>PLE_CC1_2567_Set1_Key ข้อ 87</t>
        </is>
      </c>
      <c r="O41" s="2" t="inlineStr">
        <is>
          <t>ข้อสอบจริง</t>
        </is>
      </c>
      <c r="P41" s="2" t="inlineStr">
        <is>
          <t>ปี 2567</t>
        </is>
      </c>
      <c r="Q41" s="2" t="inlineStr">
        <is>
          <t>Cilostazol</t>
        </is>
      </c>
    </row>
    <row r="42" ht="13.2" customHeight="1" s="37">
      <c r="A42" s="8" t="inlineStr">
        <is>
          <t>64</t>
        </is>
      </c>
      <c r="B42" s="2" t="inlineStr">
        <is>
          <t>การทดสอบข้อใดต่อไปนี้ ไม่ได้มีข้อกำหนดเกณฑ์ผ่านที่ชัดเจนใน USP</t>
        </is>
      </c>
      <c r="C42" s="2" t="n"/>
      <c r="D42" s="2" t="inlineStr">
        <is>
          <t>Standard Operating Procedure (SOP) Validation</t>
        </is>
      </c>
      <c r="E42" s="2" t="inlineStr">
        <is>
          <t>High-Density Polyethylene (HDPE) Container</t>
        </is>
      </c>
      <c r="F42" s="2" t="inlineStr">
        <is>
          <t>Type I Borosilicate Glass Ampoule</t>
        </is>
      </c>
      <c r="G42" s="2" t="inlineStr">
        <is>
          <t>Accelerated Stability Testing (40 C / 75% RH)</t>
        </is>
      </c>
      <c r="H42" s="2" t="inlineStr">
        <is>
          <t>Long-term Stability Testing (30 C / 65% RH)</t>
        </is>
      </c>
      <c r="I42" s="8" t="inlineStr">
        <is>
          <t>1</t>
        </is>
      </c>
      <c r="J42" s="2" t="inlineStr">
        <is>
          <t>✅ คำตอบที่ถูกต้อง: ข้อ ก. Standard Operating Procedure (SOP) Validation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 Operating Procedure (SOP) Validation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ข้อ ค.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ข้อ ง.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จ.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Preformulation &amp; Stability</t>
        </is>
      </c>
      <c r="M42" s="2" t="inlineStr">
        <is>
          <t>Product</t>
        </is>
      </c>
      <c r="N42" s="2" t="inlineStr">
        <is>
          <t>PLE_CC1_2567_Set1_Key ข้อ 94</t>
        </is>
      </c>
      <c r="O42" s="2" t="inlineStr">
        <is>
          <t>ข้อสอบจริง</t>
        </is>
      </c>
      <c r="P42" s="2" t="inlineStr">
        <is>
          <t>ปี 2567</t>
        </is>
      </c>
    </row>
    <row r="43" ht="13.2" customHeight="1" s="37">
      <c r="A43" s="8" t="inlineStr">
        <is>
          <t>65</t>
        </is>
      </c>
      <c r="B43" s="2" t="inlineStr">
        <is>
          <t>ชายอายุ 28 ปผ มาขอซื้อยา tramadol เพื่อบรรเทาปวดของโรคประจำตัว และต@องการพกติดตัวไป (Mg²⁺) หรือ อะลูมิเนียม (Alง⁺) ได@มากที่สุด และส6งผลให@ลดการดูดซึมของยาอย6างมีนัยสำคัญ</t>
        </is>
      </c>
      <c r="C43" s="2" t="n"/>
      <c r="D43" s="2" t="inlineStr">
        <is>
          <t>N-acetylcysteine (NAC) IV infusion protocol</t>
        </is>
      </c>
      <c r="E43" s="2" t="inlineStr">
        <is>
          <t>Atropine sulfate 2 mg IV Q5-10 min</t>
        </is>
      </c>
      <c r="F43" s="2" t="inlineStr">
        <is>
          <t>Pralidoxime (2-PAM) 1-2 g IV over 30 min</t>
        </is>
      </c>
      <c r="G43" s="2" t="inlineStr">
        <is>
          <t>Naloxone 0.4 mg IV stat</t>
        </is>
      </c>
      <c r="H43" s="2" t="inlineStr">
        <is>
          <t>Flumazenil 0.2 mg IV stat</t>
        </is>
      </c>
      <c r="I43" s="8" t="inlineStr">
        <is>
          <t>1</t>
        </is>
      </c>
      <c r="J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43" s="2" t="n"/>
      <c r="L43" s="2" t="inlineStr">
        <is>
          <t>General Therapeutics</t>
        </is>
      </c>
      <c r="M43" s="2" t="inlineStr">
        <is>
          <t>Clinic</t>
        </is>
      </c>
      <c r="N43" s="2" t="inlineStr">
        <is>
          <t>PLE_CC1_2567_Set1_Key ข้อ 102</t>
        </is>
      </c>
      <c r="O43" s="2" t="inlineStr">
        <is>
          <t>ข้อสอบจริง</t>
        </is>
      </c>
      <c r="P43" s="2" t="inlineStr">
        <is>
          <t>ปี 2567</t>
        </is>
      </c>
    </row>
    <row r="44" ht="13.2" customHeight="1" s="37">
      <c r="A44" s="8" t="inlineStr">
        <is>
          <t>66</t>
        </is>
      </c>
      <c r="B44" s="2" t="inlineStr">
        <is>
          <t>tenofovir + emtricitabine</t>
        </is>
      </c>
      <c r="C44" s="2" t="n"/>
      <c r="D44" s="2" t="inlineStr">
        <is>
          <t>Amoxicillin/Clavulanate 1 g BID</t>
        </is>
      </c>
      <c r="E44" s="2" t="inlineStr">
        <is>
          <t>Ceftriaxone 1 g IV OD</t>
        </is>
      </c>
      <c r="F44" s="2" t="inlineStr">
        <is>
          <t>Ciprofloxacin 500 mg BID</t>
        </is>
      </c>
      <c r="G44" s="2" t="inlineStr">
        <is>
          <t>Azithromycin 500 mg OD</t>
        </is>
      </c>
      <c r="H44" s="2" t="inlineStr">
        <is>
          <t>Doxycycline 100 mg BID</t>
        </is>
      </c>
      <c r="I44" s="8" t="inlineStr">
        <is>
          <t>1</t>
        </is>
      </c>
      <c r="J44" s="2"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2" t="n"/>
      <c r="L44" s="2" t="inlineStr">
        <is>
          <t>Infectious Diseases</t>
        </is>
      </c>
      <c r="M44" s="2" t="inlineStr">
        <is>
          <t>Clinic</t>
        </is>
      </c>
      <c r="N44" s="2" t="inlineStr">
        <is>
          <t>PLE-CC1 ปี 2566 Day 1 ข้อ 1</t>
        </is>
      </c>
      <c r="O44" s="2" t="inlineStr">
        <is>
          <t>ข้อสอบจริง</t>
        </is>
      </c>
      <c r="P44" s="2" t="inlineStr">
        <is>
          <t>ปี 2566</t>
        </is>
      </c>
    </row>
    <row r="45" ht="13.2" customHeight="1" s="37">
      <c r="A45" s="8" t="inlineStr">
        <is>
          <t>67</t>
        </is>
      </c>
      <c r="B45" s="2" t="inlineStr">
        <is>
          <t>tenofovir + zidovudine</t>
        </is>
      </c>
      <c r="C45" s="2" t="n"/>
      <c r="D45" s="2" t="inlineStr">
        <is>
          <t>Azithromycin 500 mg OD</t>
        </is>
      </c>
      <c r="E45" s="2" t="inlineStr">
        <is>
          <t>Doxycycline 100 mg BID</t>
        </is>
      </c>
      <c r="F45" s="2" t="inlineStr">
        <is>
          <t>Cotrimoxazole 160/800 mg BID</t>
        </is>
      </c>
      <c r="G45" s="2" t="inlineStr">
        <is>
          <t>Metronidazole 400 mg TID</t>
        </is>
      </c>
      <c r="H45" s="2" t="inlineStr">
        <is>
          <t>Nitrofurantoin 100 mg BID</t>
        </is>
      </c>
      <c r="I45" s="8" t="inlineStr">
        <is>
          <t>1</t>
        </is>
      </c>
      <c r="J45" s="2"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n"/>
      <c r="L45" s="2" t="inlineStr">
        <is>
          <t>Infectious Diseases</t>
        </is>
      </c>
      <c r="M45" s="2" t="inlineStr">
        <is>
          <t>Clinic</t>
        </is>
      </c>
      <c r="N45" s="2" t="inlineStr">
        <is>
          <t>PLE-CC1 ปี 2566 Day 1 ข้อ 2</t>
        </is>
      </c>
      <c r="O45" s="2" t="inlineStr">
        <is>
          <t>ข้อสอบจริง</t>
        </is>
      </c>
      <c r="P45" s="2" t="inlineStr">
        <is>
          <t>ปี 2566</t>
        </is>
      </c>
    </row>
    <row r="46" ht="13.2" customHeight="1" s="37">
      <c r="A46" s="8" t="inlineStr">
        <is>
          <t>68</t>
        </is>
      </c>
      <c r="B46" s="2" t="inlineStr">
        <is>
          <t>Abacavir + Zidovudine</t>
        </is>
      </c>
      <c r="C46" s="2" t="n"/>
      <c r="D46" s="2" t="inlineStr">
        <is>
          <t>Metronidazole 400 mg TID</t>
        </is>
      </c>
      <c r="E46" s="2" t="inlineStr">
        <is>
          <t>Nitrofurantoin 100 mg BID</t>
        </is>
      </c>
      <c r="F46" s="2" t="inlineStr">
        <is>
          <t>Tenofovir/Emtricitabine 300/200 mg OD</t>
        </is>
      </c>
      <c r="G46" s="2" t="inlineStr">
        <is>
          <t>Dolutegravir 50 mg OD</t>
        </is>
      </c>
      <c r="H46" s="2" t="inlineStr">
        <is>
          <t>Vancomycin 1 g IV Q12H</t>
        </is>
      </c>
      <c r="I46" s="8" t="inlineStr">
        <is>
          <t>1</t>
        </is>
      </c>
      <c r="J46" s="2" t="inlineStr">
        <is>
          <t>✅ คำตอบที่ถูกต้อง: ข้อ ก. Metronidazole 400 mg TID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Metronidazole 400 mg TID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HLA-B*57:01 Testing: ต้องตรวจคัดกรอง HLA-B*57:01 ก่อนเริ่มยาทุกราย หาก positive ห้ามใช้เด็ดขาดเนื่องจากเสี่ยงต่อ fatal hypersensitivity reaction
• No Renal Adjustment: ขับออกทางตับเป็นหลัก จึงไม่ต้องปรับขนาดยาในผู้ป่วย renal impairment</t>
        </is>
      </c>
      <c r="K46" s="2" t="n"/>
      <c r="L46" s="2" t="inlineStr">
        <is>
          <t>Infectious Diseases</t>
        </is>
      </c>
      <c r="M46" s="2" t="inlineStr">
        <is>
          <t>Clinic</t>
        </is>
      </c>
      <c r="N46" s="2" t="inlineStr">
        <is>
          <t>PLE-CC1 ปี 2566 Day 1 ข้อ 3</t>
        </is>
      </c>
      <c r="O46" s="2" t="inlineStr">
        <is>
          <t>ข้อสอบจริง</t>
        </is>
      </c>
      <c r="P46" s="2" t="inlineStr">
        <is>
          <t>ปี 2566</t>
        </is>
      </c>
    </row>
    <row r="47" ht="13.2" customHeight="1" s="37">
      <c r="A47" s="8" t="inlineStr">
        <is>
          <t>69</t>
        </is>
      </c>
      <c r="B47" s="2" t="inlineStr">
        <is>
          <t>ยาต้านไวรัสตัวใดที่ต้องตรวจวัดurine analysis ซักอย่าง. ตัวเลือก</t>
        </is>
      </c>
      <c r="C47" s="2" t="n"/>
      <c r="D47" s="2" t="inlineStr">
        <is>
          <t>N-acetylcysteine (NAC) IV infusion protocol</t>
        </is>
      </c>
      <c r="E47" s="2" t="inlineStr">
        <is>
          <t>Atropine sulfate 2 mg IV Q5-10 min</t>
        </is>
      </c>
      <c r="F47" s="2" t="inlineStr">
        <is>
          <t>Pralidoxime (2-PAM) 1-2 g IV over 30 min</t>
        </is>
      </c>
      <c r="G47" s="2" t="inlineStr">
        <is>
          <t>Naloxone 0.4 mg IV stat</t>
        </is>
      </c>
      <c r="H47" s="2" t="inlineStr">
        <is>
          <t>Flumazenil 0.2 mg IV stat</t>
        </is>
      </c>
      <c r="I47" s="8" t="inlineStr">
        <is>
          <t>1</t>
        </is>
      </c>
      <c r="J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47" s="2" t="n"/>
      <c r="L47" s="2" t="inlineStr">
        <is>
          <t>General Therapeutics</t>
        </is>
      </c>
      <c r="M47" s="2" t="inlineStr">
        <is>
          <t>Clinic</t>
        </is>
      </c>
      <c r="N47" s="2" t="inlineStr">
        <is>
          <t>PLE-CC1 ปี 2566 Day 1 ข้อ 2</t>
        </is>
      </c>
      <c r="O47" s="2" t="inlineStr">
        <is>
          <t>ข้อสอบจริง</t>
        </is>
      </c>
      <c r="P47" s="2" t="inlineStr">
        <is>
          <t>ปี 2566</t>
        </is>
      </c>
    </row>
    <row r="48" ht="13.2" customHeight="1" s="37">
      <c r="A48" s="8" t="inlineStr">
        <is>
          <t>70</t>
        </is>
      </c>
      <c r="B48" s="2" t="inlineStr">
        <is>
          <t>อาหารที่ควรหลีกเลี่ยงเมื่อรับประทานยาdolutegravir . ตัวเลือก</t>
        </is>
      </c>
      <c r="C48" s="2" t="n"/>
      <c r="D48" s="2" t="inlineStr">
        <is>
          <t>Cefazolin 1 g IV Q8H</t>
        </is>
      </c>
      <c r="E48" s="2" t="inlineStr">
        <is>
          <t>Amoxicillin/Clavulanate 1 g BID</t>
        </is>
      </c>
      <c r="F48" s="2" t="inlineStr">
        <is>
          <t>Ceftriaxone 1 g IV OD</t>
        </is>
      </c>
      <c r="G48" s="2" t="inlineStr">
        <is>
          <t>Ciprofloxacin 500 mg BID</t>
        </is>
      </c>
      <c r="H48" s="2" t="inlineStr">
        <is>
          <t>Azithromycin 500 mg OD</t>
        </is>
      </c>
      <c r="I48" s="8" t="inlineStr">
        <is>
          <t>1</t>
        </is>
      </c>
      <c r="J48" s="2" t="inlineStr">
        <is>
          <t>✅ คำตอบที่ถูกต้อง: ข้อ ก. Cefazolin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48" s="2" t="n"/>
      <c r="L48" s="2" t="inlineStr">
        <is>
          <t>Infectious Diseases</t>
        </is>
      </c>
      <c r="M48" s="2" t="inlineStr">
        <is>
          <t>Clinic</t>
        </is>
      </c>
      <c r="N48" s="2" t="inlineStr">
        <is>
          <t>PLE-CC1 ปี 2566 Day 1 ข้อ 4</t>
        </is>
      </c>
      <c r="O48" s="2" t="inlineStr">
        <is>
          <t>ข้อสอบจริง</t>
        </is>
      </c>
      <c r="P48" s="2" t="inlineStr">
        <is>
          <t>ปี 2566</t>
        </is>
      </c>
    </row>
    <row r="49" ht="13.2" customHeight="1" s="37">
      <c r="A49" s="8" t="inlineStr">
        <is>
          <t>71</t>
        </is>
      </c>
      <c r="B49" s="2" t="inlineStr">
        <is>
          <t>GFR 46. ถามstage ตามKDIGO ตัวเลือก</t>
        </is>
      </c>
      <c r="C49" s="2" t="n"/>
      <c r="D49" s="2" t="inlineStr">
        <is>
          <t>Calcium carbonate 1000 mg TID with meals</t>
        </is>
      </c>
      <c r="E49" s="2" t="inlineStr">
        <is>
          <t>Calcium acetate 667 mg TID with meals</t>
        </is>
      </c>
      <c r="F49" s="2" t="inlineStr">
        <is>
          <t>Sevelamer carbonate 800 mg TID with meals</t>
        </is>
      </c>
      <c r="G49" s="2" t="inlineStr">
        <is>
          <t>Sodium bicarbonate 650 mg TID</t>
        </is>
      </c>
      <c r="H49" s="2" t="inlineStr">
        <is>
          <t>Kayexalate (Sodium polystyrene sulfonate) 15 g TID</t>
        </is>
      </c>
      <c r="I49" s="8" t="inlineStr">
        <is>
          <t>1</t>
        </is>
      </c>
      <c r="J49" s="2" t="inlineStr">
        <is>
          <t>✅ คำตอบที่ถูกต้อง: ข้อ ก. Calcium carbonate 1000 mg TID with meals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Calcium carbonate 1000 mg TID with meals
🔍 ข้ออื่นผิดเพราะอะไร:
• ข้อ ข. (Calcium acetate 667 mg TID with meals): ข้อนี้ไม่ใช่คำตอบที่ถูกต้องสำหรับภาวะ Renal Diseases เนื่องจากกลไกการออกฤทธิ์, efficacy หรือข้อบ่งใช้ไม่ตรงกับโจทย์ที่กำหนด
• ข้อ ค. (Sevelamer carbonate 800 mg TID with meals): เป็น Non-calcium, non-aluminum phosphate binder เหมาะสำหรับ CKD patients ที่มี hypercalcemia หรือ vascular calcification
• ข้อ ง. (Sodium bicarbonate 650 mg TID): ข้อนี้ไม่ใช่คำตอบที่ถูกต้องสำหรับภาวะ Renal Diseases เนื่องจากกลไกการออกฤทธิ์, efficacy หรือข้อบ่งใช้ไม่ตรงกับโจทย์ที่กำหนด
• ข้อ จ. (Kayexalate (Sodium polystyrene sulfonate) 15 g TID):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49" s="2" t="n"/>
      <c r="L49" s="2" t="inlineStr">
        <is>
          <t>Renal Diseases</t>
        </is>
      </c>
      <c r="M49" s="2" t="inlineStr">
        <is>
          <t>Clinic</t>
        </is>
      </c>
      <c r="N49" s="2" t="inlineStr">
        <is>
          <t>PLE-CC1 ปี 2566 Day 1 ข้อ 10</t>
        </is>
      </c>
      <c r="O49" s="2" t="inlineStr">
        <is>
          <t>ข้อสอบจริง</t>
        </is>
      </c>
      <c r="P49" s="2" t="inlineStr">
        <is>
          <t>ปี 2566</t>
        </is>
      </c>
    </row>
    <row r="50" ht="13.2" customHeight="1" s="37">
      <c r="A50" s="8" t="inlineStr">
        <is>
          <t>72</t>
        </is>
      </c>
      <c r="B50" s="2" t="inlineStr">
        <is>
          <t>ข้อใดเป็นphosphate binder ที่เหมาะสมกับผู้ป่วยรายนี้. ตัวเลือก</t>
        </is>
      </c>
      <c r="C50" s="2" t="n"/>
      <c r="D50" s="2" t="inlineStr">
        <is>
          <t>Film Coating with Hydroxypropyl methylcellulose (HPMC)</t>
        </is>
      </c>
      <c r="E50" s="2" t="inlineStr">
        <is>
          <t>Enteric Coating with Cellulose acetate phthalate (CAP)</t>
        </is>
      </c>
      <c r="F50" s="2" t="inlineStr">
        <is>
          <t>Hard Gelatin Capsule filling</t>
        </is>
      </c>
      <c r="G50" s="2" t="inlineStr">
        <is>
          <t>Soft Gelatin Capsule encapsulation</t>
        </is>
      </c>
      <c r="H50" s="2" t="inlineStr">
        <is>
          <t>Microcrystalline cellulose</t>
        </is>
      </c>
      <c r="I50" s="8" t="inlineStr">
        <is>
          <t>1</t>
        </is>
      </c>
      <c r="J50" s="2"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Solid Dosage Forms)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ง.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จ. (Microcrystalline cellulose):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Solid Dosage Forms</t>
        </is>
      </c>
      <c r="M50" s="2" t="inlineStr">
        <is>
          <t>Product</t>
        </is>
      </c>
      <c r="N50" s="2" t="inlineStr">
        <is>
          <t>PLE-CC1 ปี 2566 Day 1 ข้อ 11</t>
        </is>
      </c>
      <c r="O50" s="2" t="inlineStr">
        <is>
          <t>ข้อสอบจริง</t>
        </is>
      </c>
      <c r="P50" s="2" t="inlineStr">
        <is>
          <t>ปี 2566</t>
        </is>
      </c>
    </row>
    <row r="51" ht="13.2" customHeight="1" s="37">
      <c r="A51" s="8" t="inlineStr">
        <is>
          <t>73</t>
        </is>
      </c>
      <c r="B51" s="2" t="inlineStr">
        <is>
          <t>Aluminium hydroxide</t>
        </is>
      </c>
      <c r="C51" s="2" t="n"/>
      <c r="D51" s="2" t="inlineStr">
        <is>
          <t>N-acetylcysteine (NAC) IV infusion protocol</t>
        </is>
      </c>
      <c r="E51" s="2" t="inlineStr">
        <is>
          <t>Atropine sulfate 2 mg IV Q5-10 min</t>
        </is>
      </c>
      <c r="F51" s="2" t="inlineStr">
        <is>
          <t>Pralidoxime (2-PAM) 1-2 g IV over 30 min</t>
        </is>
      </c>
      <c r="G51" s="2" t="inlineStr">
        <is>
          <t>Naloxone 0.4 mg IV stat</t>
        </is>
      </c>
      <c r="H51" s="2" t="inlineStr">
        <is>
          <t>Flumazenil 0.2 mg IV stat</t>
        </is>
      </c>
      <c r="I51" s="8" t="inlineStr">
        <is>
          <t>1</t>
        </is>
      </c>
      <c r="J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51" s="2" t="n"/>
      <c r="L51" s="2" t="inlineStr">
        <is>
          <t>General Therapeutics</t>
        </is>
      </c>
      <c r="M51" s="2" t="inlineStr">
        <is>
          <t>Clinic</t>
        </is>
      </c>
      <c r="N51" s="2" t="inlineStr">
        <is>
          <t>PLE-CC1 ปี 2566 Day 1 ข้อ 1</t>
        </is>
      </c>
      <c r="O51" s="2" t="inlineStr">
        <is>
          <t>ข้อสอบจริง</t>
        </is>
      </c>
      <c r="P51" s="2" t="inlineStr">
        <is>
          <t>ปี 2566</t>
        </is>
      </c>
    </row>
    <row r="52" ht="13.2" customHeight="1" s="37">
      <c r="A52" s="8" t="inlineStr">
        <is>
          <t>74</t>
        </is>
      </c>
      <c r="B52" s="2" t="inlineStr">
        <is>
          <t>calcium carbonate</t>
        </is>
      </c>
      <c r="C52" s="2" t="n"/>
      <c r="D52" s="2" t="inlineStr">
        <is>
          <t>Potassium chloride 500 mg BID</t>
        </is>
      </c>
      <c r="E52" s="2" t="inlineStr">
        <is>
          <t>Calcium carbonate 1000 mg TID with meals</t>
        </is>
      </c>
      <c r="F52" s="2" t="inlineStr">
        <is>
          <t>Calcium acetate 667 mg TID with meals</t>
        </is>
      </c>
      <c r="G52" s="2" t="inlineStr">
        <is>
          <t>Sevelamer carbonate 800 mg TID with meals</t>
        </is>
      </c>
      <c r="H52" s="2" t="inlineStr">
        <is>
          <t>Sodium bicarbonate 650 mg TID</t>
        </is>
      </c>
      <c r="I52" s="8" t="inlineStr">
        <is>
          <t>1</t>
        </is>
      </c>
      <c r="J52" s="2" t="inlineStr">
        <is>
          <t>✅ คำตอบที่ถูกต้อง: ข้อ ก. Potassium chloride 500 mg BID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Potassium chloride 500 mg BID การเลือก Potassium chloride 500 mg BID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ค. (Calcium acetate 667 mg TID with meals): ข้อนี้ไม่ใช่คำตอบที่ถูกต้องสำหรับภาวะ Renal Diseases เนื่องจากกลไกการออกฤทธิ์, efficacy หรือข้อบ่งใช้ไม่ตรงกับโจทย์ที่กำหนด
• ข้อ ง. (Sevelamer carbonate 800 mg TID with meals): เป็น Non-calcium, non-aluminum phosphate binder เหมาะสำหรับ CKD patients ที่มี hypercalcemia หรือ vascular calcification
• ข้อ จ. (Sodium bicarbonate 650 mg TID):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2" s="2" t="n"/>
      <c r="L52" s="2" t="inlineStr">
        <is>
          <t>Renal Diseases</t>
        </is>
      </c>
      <c r="M52" s="2" t="inlineStr">
        <is>
          <t>Clinic</t>
        </is>
      </c>
      <c r="N52" s="2" t="inlineStr">
        <is>
          <t>PLE-CC1 ปี 2566 Day 1 ข้อ 2</t>
        </is>
      </c>
      <c r="O52" s="2" t="inlineStr">
        <is>
          <t>ข้อสอบจริง</t>
        </is>
      </c>
      <c r="P52" s="2" t="inlineStr">
        <is>
          <t>ปี 2566</t>
        </is>
      </c>
    </row>
    <row r="53" ht="13.2" customHeight="1" s="37">
      <c r="A53" s="8" t="inlineStr">
        <is>
          <t>75</t>
        </is>
      </c>
      <c r="B53" s="2" t="inlineStr">
        <is>
          <t>Ca polystyrene sulfonate</t>
        </is>
      </c>
      <c r="C53" s="2" t="n"/>
      <c r="D53" s="2" t="inlineStr">
        <is>
          <t>Sodium thiosulfate 25% 50 mL IV</t>
        </is>
      </c>
      <c r="E53" s="2" t="inlineStr">
        <is>
          <t>Calcium disodium EDTA 1 g IV</t>
        </is>
      </c>
      <c r="F53" s="2" t="inlineStr">
        <is>
          <t>Desferrioxamine 1 g IM/IV</t>
        </is>
      </c>
      <c r="G53" s="2" t="inlineStr">
        <is>
          <t>Dimercaprol (BAL) 3 mg/kg IM</t>
        </is>
      </c>
      <c r="H53" s="2" t="inlineStr">
        <is>
          <t>Ethanol 10% IV infusion for Methanol poisoning</t>
        </is>
      </c>
      <c r="I53" s="8" t="inlineStr">
        <is>
          <t>1</t>
        </is>
      </c>
      <c r="J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2" t="n"/>
      <c r="L53" s="2" t="inlineStr">
        <is>
          <t>General Therapeutics</t>
        </is>
      </c>
      <c r="M53" s="2" t="inlineStr">
        <is>
          <t>Clinic</t>
        </is>
      </c>
      <c r="N53" s="2" t="inlineStr">
        <is>
          <t>PLE-CC1 ปี 2566 Day 1 ข้อ 3</t>
        </is>
      </c>
      <c r="O53" s="2" t="inlineStr">
        <is>
          <t>ข้อสอบจริง</t>
        </is>
      </c>
      <c r="P53" s="2" t="inlineStr">
        <is>
          <t>ปี 2566</t>
        </is>
      </c>
    </row>
    <row r="54" ht="13.2" customHeight="1" s="37">
      <c r="A54" s="8" t="inlineStr">
        <is>
          <t>76</t>
        </is>
      </c>
      <c r="B54" s="2" t="inlineStr">
        <is>
          <t>ให้ผลCT scan + อาการFAST เข้ารับการรักษาหลังจากนั้น อาการดีขึ้นถามว่าเป็นstroke แบบใด. ตัวเลือก</t>
        </is>
      </c>
      <c r="C54" s="2" t="n"/>
      <c r="D54" s="2" t="inlineStr">
        <is>
          <t>Levetiracetam 500 mg BID</t>
        </is>
      </c>
      <c r="E54" s="2" t="inlineStr">
        <is>
          <t>Gabapentin 300 mg TID</t>
        </is>
      </c>
      <c r="F54" s="2" t="inlineStr">
        <is>
          <t>Pregabalin 75 mg BID</t>
        </is>
      </c>
      <c r="G54" s="2" t="inlineStr">
        <is>
          <t>Levodopa/Benserazide 100/25 mg TID</t>
        </is>
      </c>
      <c r="H54" s="2" t="inlineStr">
        <is>
          <t>Sumatriptan 50 mg stat</t>
        </is>
      </c>
      <c r="I54" s="8" t="inlineStr">
        <is>
          <t>1</t>
        </is>
      </c>
      <c r="J54" s="2" t="inlineStr">
        <is>
          <t>✅ คำตอบที่ถูกต้อง: ข้อ ก. Levetiracetam 500 mg BID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Levetiracetam 500 mg BID
🔍 ข้ออื่นผิดเพราะอะไร:
• ข้อ ข. (Gabapentin 300 mg TID): ข้อนี้ไม่ใช่คำตอบที่ถูกต้องสำหรับภาวะ Neurologic Disorders เนื่องจากกลไกการออกฤทธิ์, efficacy หรือข้อบ่งใช้ไม่ตรงกับโจทย์ที่กำหนด
• ข้อ ค. (Pregabalin 75 mg BID): ข้อนี้ไม่ใช่คำตอบที่ถูกต้องสำหรับภาวะ Neurologic Disorders เนื่องจากกลไกการออกฤทธิ์, efficacy หรือข้อบ่งใช้ไม่ตรงกับโจทย์ที่กำหนด
• ข้อ ง.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จ. (Sumatriptan 50 mg stat): เป็น 5-HT1B/1D agonist หดหลอดเลือดสมอง ใช้รักษา acute moderate-to-severe migraine attack แต่ contraindication ใน ischemic heart disease, uncontrolled HTN, stroke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2" t="n"/>
      <c r="L54" s="2" t="inlineStr">
        <is>
          <t>Neurologic Disorders</t>
        </is>
      </c>
      <c r="M54" s="2" t="inlineStr">
        <is>
          <t>Clinic</t>
        </is>
      </c>
      <c r="N54" s="2" t="inlineStr">
        <is>
          <t>PLE-CC1 ปี 2566 Day 1 ข้อ 12</t>
        </is>
      </c>
      <c r="O54" s="2" t="inlineStr">
        <is>
          <t>ข้อสอบจริง</t>
        </is>
      </c>
      <c r="P54" s="2" t="inlineStr">
        <is>
          <t>ปี 2566</t>
        </is>
      </c>
    </row>
    <row r="55" ht="13.2" customHeight="1" s="37">
      <c r="A55" s="8" t="inlineStr">
        <is>
          <t>77</t>
        </is>
      </c>
      <c r="B55" s="2" t="inlineStr">
        <is>
          <t>hemorrhagic stroke</t>
        </is>
      </c>
      <c r="C55" s="2" t="n"/>
      <c r="D55" s="2" t="inlineStr">
        <is>
          <t>Levodopa/Benserazide 100/25 mg TID</t>
        </is>
      </c>
      <c r="E55" s="2" t="inlineStr">
        <is>
          <t>Sumatriptan 50 mg stat</t>
        </is>
      </c>
      <c r="F55" s="2" t="inlineStr">
        <is>
          <t>Propranolol 40 mg BID</t>
        </is>
      </c>
      <c r="G55" s="2" t="inlineStr">
        <is>
          <t>Topiramate 25 mg BID</t>
        </is>
      </c>
      <c r="H55" s="2" t="inlineStr">
        <is>
          <t>Donepezil 5 mg HS</t>
        </is>
      </c>
      <c r="I55" s="8" t="inlineStr">
        <is>
          <t>1</t>
        </is>
      </c>
      <c r="J55" s="2" t="inlineStr">
        <is>
          <t>✅ คำตอบที่ถูกต้อง: ข้อ ก. Levodopa/Benserazide 100/25 mg TID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(Donepezil 5 mg HS):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แนวทางการรักษาโรคหลอดเลือดสมองตีบหรืออุดตันสำหรับแพทย์ พ.ศ. 2562 (สถาบันประสาทวิทยา กรมการแพทย์) &amp; 2019 AHA/ASA Acute Ischemic Stroke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2" t="n"/>
      <c r="L55" s="2" t="inlineStr">
        <is>
          <t>Neurologic Disorders</t>
        </is>
      </c>
      <c r="M55" s="2" t="inlineStr">
        <is>
          <t>Clinic</t>
        </is>
      </c>
      <c r="N55" s="2" t="inlineStr">
        <is>
          <t>PLE-CC1 ปี 2566 Day 1 ข้อ 3</t>
        </is>
      </c>
      <c r="O55" s="2" t="inlineStr">
        <is>
          <t>ข้อสอบจริง</t>
        </is>
      </c>
      <c r="P55" s="2" t="inlineStr">
        <is>
          <t>ปี 2566</t>
        </is>
      </c>
    </row>
    <row r="56" ht="13.2" customHeight="1" s="37">
      <c r="A56" s="8" t="inlineStr">
        <is>
          <t>78</t>
        </is>
      </c>
      <c r="B56" s="2" t="inlineStr">
        <is>
          <t>active suphelnamides intermediate ของPPI ถามหา โครงสร้าง ตัวเลือก</t>
        </is>
      </c>
      <c r="C56" s="2" t="n"/>
      <c r="D56" s="2" t="inlineStr">
        <is>
          <t>Naloxone 0.4 mg IV stat</t>
        </is>
      </c>
      <c r="E56" s="2" t="inlineStr">
        <is>
          <t>Flumazenil 0.2 mg IV stat</t>
        </is>
      </c>
      <c r="F56" s="2" t="inlineStr">
        <is>
          <t>Vitamin K1 (Phytomenadione) 10 mg IV slow</t>
        </is>
      </c>
      <c r="G56" s="2" t="inlineStr">
        <is>
          <t>Sodium thiosulfate 25% 50 mL IV</t>
        </is>
      </c>
      <c r="H56" s="2" t="inlineStr">
        <is>
          <t>Calcium disodium EDTA 1 g IV</t>
        </is>
      </c>
      <c r="I56" s="8" t="inlineStr">
        <is>
          <t>1</t>
        </is>
      </c>
      <c r="J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56" s="2" t="n"/>
      <c r="L56" s="2" t="inlineStr">
        <is>
          <t>General Therapeutics</t>
        </is>
      </c>
      <c r="M56" s="2" t="inlineStr">
        <is>
          <t>Clinic</t>
        </is>
      </c>
      <c r="N56" s="2" t="inlineStr">
        <is>
          <t>PLE-CC1 ปี 2566 Day 1 ข้อ 13</t>
        </is>
      </c>
      <c r="O56" s="2" t="inlineStr">
        <is>
          <t>ข้อสอบจริง</t>
        </is>
      </c>
      <c r="P56" s="2" t="inlineStr">
        <is>
          <t>ปี 2566</t>
        </is>
      </c>
    </row>
    <row r="57" ht="13.2" customHeight="1" s="37">
      <c r="A57" s="8" t="inlineStr">
        <is>
          <t>79</t>
        </is>
      </c>
      <c r="B57" s="2" t="inlineStr">
        <is>
          <t>oxcarbamazepine</t>
        </is>
      </c>
      <c r="C57" s="2" t="n"/>
      <c r="D57" s="2" t="inlineStr">
        <is>
          <t>Phenytoin 100 mg TID</t>
        </is>
      </c>
      <c r="E57" s="2" t="inlineStr">
        <is>
          <t>Sodium valproate 200 mg TID</t>
        </is>
      </c>
      <c r="F57" s="2" t="inlineStr">
        <is>
          <t>Carbamazepine 200 mg BID</t>
        </is>
      </c>
      <c r="G57" s="2" t="inlineStr">
        <is>
          <t>Lamotrigine 50 mg OD</t>
        </is>
      </c>
      <c r="H57" s="2" t="inlineStr">
        <is>
          <t>Levetiracetam 500 mg BID</t>
        </is>
      </c>
      <c r="I57" s="8" t="inlineStr">
        <is>
          <t>1</t>
        </is>
      </c>
      <c r="J57" s="2" t="inlineStr">
        <is>
          <t>✅ คำตอบที่ถูกต้อง: ข้อ ก. Phenytoin 100 mg TID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[NEED_REVIEW]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7" s="2" t="n"/>
      <c r="L57" s="2" t="inlineStr">
        <is>
          <t>Neurologic Disorders</t>
        </is>
      </c>
      <c r="M57" s="2" t="inlineStr">
        <is>
          <t>Clinic</t>
        </is>
      </c>
      <c r="N57" s="2" t="inlineStr">
        <is>
          <t>PLE-CC1 ปี 2566 Day 1 ข้อ 4</t>
        </is>
      </c>
      <c r="O57" s="2" t="inlineStr">
        <is>
          <t>ข้อสอบจริง</t>
        </is>
      </c>
      <c r="P57" s="2" t="inlineStr">
        <is>
          <t>ปี 2566</t>
        </is>
      </c>
    </row>
    <row r="58" ht="13.2" customHeight="1" s="37">
      <c r="A58" s="8" t="inlineStr">
        <is>
          <t>80</t>
        </is>
      </c>
      <c r="B58" s="2" t="inlineStr">
        <is>
          <t>โดนหมากัดนิ้วเลือดออก. หลังมือถลอกระดับไหน? ตัวเลือก</t>
        </is>
      </c>
      <c r="C58" s="2" t="n"/>
      <c r="D58" s="2" t="inlineStr">
        <is>
          <t>Dimercaprol (BAL) 3 mg/kg IM</t>
        </is>
      </c>
      <c r="E58" s="2" t="inlineStr">
        <is>
          <t>Ethanol 10% IV infusion for Methanol poisoning</t>
        </is>
      </c>
      <c r="F58" s="2" t="inlineStr">
        <is>
          <t>Fomepizole 15 mg/kg IV loading</t>
        </is>
      </c>
      <c r="G58" s="2" t="inlineStr">
        <is>
          <t>N-acetylcysteine (NAC) IV infusion protocol</t>
        </is>
      </c>
      <c r="H58" s="2" t="inlineStr">
        <is>
          <t>Atropine sulfate 2 mg IV Q5-10 min</t>
        </is>
      </c>
      <c r="I58" s="8" t="inlineStr">
        <is>
          <t>1</t>
        </is>
      </c>
      <c r="J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2" t="n"/>
      <c r="L58" s="2" t="inlineStr">
        <is>
          <t>General Therapeutics</t>
        </is>
      </c>
      <c r="M58" s="2" t="inlineStr">
        <is>
          <t>Clinic</t>
        </is>
      </c>
      <c r="N58" s="2" t="inlineStr">
        <is>
          <t>PLE-CC1 ปี 2566 Day 1 ข้อ 15</t>
        </is>
      </c>
      <c r="O58" s="2" t="inlineStr">
        <is>
          <t>ข้อสอบจริง</t>
        </is>
      </c>
      <c r="P58" s="2" t="inlineStr">
        <is>
          <t>ปี 2566</t>
        </is>
      </c>
    </row>
    <row r="59" ht="13.2" customHeight="1" s="37">
      <c r="A59" s="8" t="inlineStr">
        <is>
          <t>81</t>
        </is>
      </c>
      <c r="B59" s="2" t="inlineStr">
        <is>
          <t>กลไกการออกฤทธิ์ของtopiramate. ตัวเลือก</t>
        </is>
      </c>
      <c r="C59" s="2" t="n"/>
      <c r="D59" s="2" t="inlineStr">
        <is>
          <t>N-acetylcysteine (NAC) IV infusion protocol</t>
        </is>
      </c>
      <c r="E59" s="2" t="inlineStr">
        <is>
          <t>Atropine sulfate 2 mg IV Q5-10 min</t>
        </is>
      </c>
      <c r="F59" s="2" t="inlineStr">
        <is>
          <t>Pralidoxime (2-PAM) 1-2 g IV over 30 min</t>
        </is>
      </c>
      <c r="G59" s="2" t="inlineStr">
        <is>
          <t>Naloxone 0.4 mg IV stat</t>
        </is>
      </c>
      <c r="H59" s="2" t="inlineStr">
        <is>
          <t>Flumazenil 0.2 mg IV stat</t>
        </is>
      </c>
      <c r="I59" s="8" t="inlineStr">
        <is>
          <t>1</t>
        </is>
      </c>
      <c r="J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59" s="2" t="n"/>
      <c r="L59" s="2" t="inlineStr">
        <is>
          <t>General Therapeutics</t>
        </is>
      </c>
      <c r="M59" s="2" t="inlineStr">
        <is>
          <t>Clinic</t>
        </is>
      </c>
      <c r="N59" s="2" t="inlineStr">
        <is>
          <t>PLE-CC1 ปี 2566 Day 1 ข้อ 16</t>
        </is>
      </c>
      <c r="O59" s="2" t="inlineStr">
        <is>
          <t>ข้อสอบจริง</t>
        </is>
      </c>
      <c r="P59" s="2" t="inlineStr">
        <is>
          <t>ปี 2566</t>
        </is>
      </c>
    </row>
    <row r="60" ht="13.2" customHeight="1" s="37">
      <c r="A60" s="8" t="inlineStr">
        <is>
          <t>82</t>
        </is>
      </c>
      <c r="B60" s="2" t="inlineStr">
        <is>
          <t>ยาที่แนะนำอันแรกในOA ของไกด์ไลน์American Rheumatology association (ไม่ใช่ไทย),... pain score 2/10 ตัวเลือก</t>
        </is>
      </c>
      <c r="C60" s="2" t="n"/>
      <c r="D60" s="2" t="inlineStr">
        <is>
          <t>Febuxostat 40 mg OD</t>
        </is>
      </c>
      <c r="E60" s="2" t="inlineStr">
        <is>
          <t>Celecoxib 200 mg OD</t>
        </is>
      </c>
      <c r="F60" s="2" t="inlineStr">
        <is>
          <t>Methotrexate 10 mg weekly</t>
        </is>
      </c>
      <c r="G60" s="2" t="inlineStr">
        <is>
          <t>Alendronate 70 mg weekly</t>
        </is>
      </c>
      <c r="H60" s="2" t="inlineStr">
        <is>
          <t>Glucosamine sulfate 1500 mg OD</t>
        </is>
      </c>
      <c r="I60" s="8" t="inlineStr">
        <is>
          <t>1</t>
        </is>
      </c>
      <c r="J60" s="2" t="inlineStr">
        <is>
          <t>✅ คำตอบที่ถูกต้อง: ข้อ ก. Febuxostat 40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Febuxostat 40 mg OD การเลือก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Alternative Non-Purine ULT: ใช้เป็นทางเลือกในผู้ที่แพ้ allopurinol หรือ HLA-B*58:01 positive ไม่ต้องปรับ dose ใน mild-moderate renal impairment
• Cardiovascular Precaution: มีคำเตือนระวังการใช้ในผู้ป่วยที่มีประวัติ ischemic heart disease หรือ severe heart failure</t>
        </is>
      </c>
      <c r="K60" s="2" t="n"/>
      <c r="L60" s="2" t="inlineStr">
        <is>
          <t>Musculoskeletal &amp; Joint</t>
        </is>
      </c>
      <c r="M60" s="2" t="inlineStr">
        <is>
          <t>Clinic</t>
        </is>
      </c>
      <c r="N60" s="2" t="inlineStr">
        <is>
          <t>PLE-CC1 ปี 2566 Day 1 ข้อ 17</t>
        </is>
      </c>
      <c r="O60" s="2" t="inlineStr">
        <is>
          <t>ข้อสอบจริง</t>
        </is>
      </c>
      <c r="P60" s="2" t="inlineStr">
        <is>
          <t>ปี 2566</t>
        </is>
      </c>
    </row>
    <row r="61" ht="13.2" customHeight="1" s="37">
      <c r="A61" s="8" t="inlineStr">
        <is>
          <t>83</t>
        </is>
      </c>
      <c r="B61" s="2" t="inlineStr">
        <is>
          <t>Para+ophenadrine</t>
        </is>
      </c>
      <c r="C61" s="2" t="n"/>
      <c r="D61" s="2" t="inlineStr">
        <is>
          <t>Sodium thiosulfate 25% 50 mL IV</t>
        </is>
      </c>
      <c r="E61" s="2" t="inlineStr">
        <is>
          <t>Calcium disodium EDTA 1 g IV</t>
        </is>
      </c>
      <c r="F61" s="2" t="inlineStr">
        <is>
          <t>Desferrioxamine 1 g IM/IV</t>
        </is>
      </c>
      <c r="G61" s="2" t="inlineStr">
        <is>
          <t>Dimercaprol (BAL) 3 mg/kg IM</t>
        </is>
      </c>
      <c r="H61" s="2" t="inlineStr">
        <is>
          <t>Ethanol 10% IV infusion for Methanol poisoning</t>
        </is>
      </c>
      <c r="I61" s="8" t="inlineStr">
        <is>
          <t>1</t>
        </is>
      </c>
      <c r="J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n"/>
      <c r="L61" s="2" t="inlineStr">
        <is>
          <t>General Therapeutics</t>
        </is>
      </c>
      <c r="M61" s="2" t="inlineStr">
        <is>
          <t>Clinic</t>
        </is>
      </c>
      <c r="N61" s="2" t="inlineStr">
        <is>
          <t>PLE-CC1 ปี 2566 Day 1 ข้อ 1</t>
        </is>
      </c>
      <c r="O61" s="2" t="inlineStr">
        <is>
          <t>ข้อสอบจริง</t>
        </is>
      </c>
      <c r="P61" s="2" t="inlineStr">
        <is>
          <t>ปี 2566</t>
        </is>
      </c>
    </row>
    <row r="62" ht="13.2" customHeight="1" s="37">
      <c r="A62" s="8" t="inlineStr">
        <is>
          <t>84</t>
        </is>
      </c>
      <c r="B62" s="2" t="inlineStr">
        <is>
          <t>Bupropion</t>
        </is>
      </c>
      <c r="C62" s="2" t="n"/>
      <c r="D62" s="2" t="inlineStr">
        <is>
          <t>Dimercaprol (BAL) 3 mg/kg IM</t>
        </is>
      </c>
      <c r="E62" s="2" t="inlineStr">
        <is>
          <t>Ethanol 10% IV infusion for Methanol poisoning</t>
        </is>
      </c>
      <c r="F62" s="2" t="inlineStr">
        <is>
          <t>Fomepizole 15 mg/kg IV loading</t>
        </is>
      </c>
      <c r="G62" s="2" t="inlineStr">
        <is>
          <t>N-acetylcysteine (NAC) IV infusion protocol</t>
        </is>
      </c>
      <c r="H62" s="2" t="inlineStr">
        <is>
          <t>Atropine sulfate 2 mg IV Q5-10 min</t>
        </is>
      </c>
      <c r="I62" s="8" t="inlineStr">
        <is>
          <t>1</t>
        </is>
      </c>
      <c r="J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 s="2" t="n"/>
      <c r="L62" s="2" t="inlineStr">
        <is>
          <t>General Therapeutics</t>
        </is>
      </c>
      <c r="M62" s="2" t="inlineStr">
        <is>
          <t>Clinic</t>
        </is>
      </c>
      <c r="N62" s="2" t="inlineStr">
        <is>
          <t>PLE-CC1 ปี 2566 Day 1 ข้อ 1</t>
        </is>
      </c>
      <c r="O62" s="2" t="inlineStr">
        <is>
          <t>ข้อสอบจริง</t>
        </is>
      </c>
      <c r="P62" s="2" t="inlineStr">
        <is>
          <t>ปี 2566</t>
        </is>
      </c>
    </row>
    <row r="63" ht="13.2" customHeight="1" s="37">
      <c r="A63" s="8" t="inlineStr">
        <is>
          <t>85</t>
        </is>
      </c>
      <c r="B63" s="2" t="inlineStr">
        <is>
          <t>dT​เคยฉีดแล้ว3ครั้งเข็มล่าสุดเกิน​5 ปี​. ตัวเลือก</t>
        </is>
      </c>
      <c r="C63" s="2" t="n"/>
      <c r="D63" s="2" t="inlineStr">
        <is>
          <t>N-acetylcysteine (NAC) IV infusion protocol</t>
        </is>
      </c>
      <c r="E63" s="2" t="inlineStr">
        <is>
          <t>Atropine sulfate 2 mg IV Q5-10 min</t>
        </is>
      </c>
      <c r="F63" s="2" t="inlineStr">
        <is>
          <t>Pralidoxime (2-PAM) 1-2 g IV over 30 min</t>
        </is>
      </c>
      <c r="G63" s="2" t="inlineStr">
        <is>
          <t>Naloxone 0.4 mg IV stat</t>
        </is>
      </c>
      <c r="H63" s="2" t="inlineStr">
        <is>
          <t>Flumazenil 0.2 mg IV stat</t>
        </is>
      </c>
      <c r="I63" s="8" t="inlineStr">
        <is>
          <t>1</t>
        </is>
      </c>
      <c r="J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63" s="2" t="n"/>
      <c r="L63" s="2" t="inlineStr">
        <is>
          <t>General Therapeutics</t>
        </is>
      </c>
      <c r="M63" s="2" t="inlineStr">
        <is>
          <t>Clinic</t>
        </is>
      </c>
      <c r="N63" s="2" t="inlineStr">
        <is>
          <t>PLE-CC1 ปี 2566 Day 1 ข้อ 21</t>
        </is>
      </c>
      <c r="O63" s="2" t="inlineStr">
        <is>
          <t>ข้อสอบจริง</t>
        </is>
      </c>
      <c r="P63" s="2" t="inlineStr">
        <is>
          <t>ปี 2566</t>
        </is>
      </c>
    </row>
    <row r="64" ht="13.2" customHeight="1" s="37">
      <c r="A64" s="8" t="inlineStr">
        <is>
          <t>86</t>
        </is>
      </c>
      <c r="B64" s="2" t="inlineStr">
        <is>
          <t>Levonorgestrl 0.075 mg</t>
        </is>
      </c>
      <c r="C64" s="2" t="n"/>
      <c r="D64" s="2" t="inlineStr">
        <is>
          <t>Naloxone 0.4 mg IV stat</t>
        </is>
      </c>
      <c r="E64" s="2" t="inlineStr">
        <is>
          <t>Flumazenil 0.2 mg IV stat</t>
        </is>
      </c>
      <c r="F64" s="2" t="inlineStr">
        <is>
          <t>Vitamin K1 (Phytomenadione) 10 mg IV slow</t>
        </is>
      </c>
      <c r="G64" s="2" t="inlineStr">
        <is>
          <t>Sodium thiosulfate 25% 50 mL IV</t>
        </is>
      </c>
      <c r="H64" s="2" t="inlineStr">
        <is>
          <t>Calcium disodium EDTA 1 g IV</t>
        </is>
      </c>
      <c r="I64" s="8" t="inlineStr">
        <is>
          <t>1</t>
        </is>
      </c>
      <c r="J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4" s="2" t="n"/>
      <c r="L64" s="2" t="inlineStr">
        <is>
          <t>General Therapeutics</t>
        </is>
      </c>
      <c r="M64" s="2" t="inlineStr">
        <is>
          <t>Clinic</t>
        </is>
      </c>
      <c r="N64" s="2" t="inlineStr">
        <is>
          <t>PLE-CC1 ปี 2566 Day 1 ข้อ 1</t>
        </is>
      </c>
      <c r="O64" s="2" t="inlineStr">
        <is>
          <t>ข้อสอบจริง</t>
        </is>
      </c>
      <c r="P64" s="2" t="inlineStr">
        <is>
          <t>ปี 2566</t>
        </is>
      </c>
    </row>
    <row r="65" ht="13.2" customHeight="1" s="37">
      <c r="A65" s="8" t="inlineStr">
        <is>
          <t>87</t>
        </is>
      </c>
      <c r="B65" s="2" t="inlineStr">
        <is>
          <t>ให้รูปสิวมามีnodule 10-20 จุด, pustule 5-6 จุดเคยทา tretinoin? มาแล้วแต่เลิกใช้เพราะผิวแห้งระคายเคืองถามว่าควร ให้การรักษายังไง ตัวเลือก</t>
        </is>
      </c>
      <c r="C65" s="2" t="n"/>
      <c r="D65" s="2" t="inlineStr">
        <is>
          <t>Acyclovir 5% cream</t>
        </is>
      </c>
      <c r="E65" s="2" t="inlineStr">
        <is>
          <t>Silver sulfadiazine 1% cream</t>
        </is>
      </c>
      <c r="F65" s="2" t="inlineStr">
        <is>
          <t>Cetirizine 10 mg OD</t>
        </is>
      </c>
      <c r="G65" s="2" t="inlineStr">
        <is>
          <t>Isotretinoin 10 mg OD</t>
        </is>
      </c>
      <c r="H65" s="2" t="inlineStr">
        <is>
          <t>Terbinafine 1% cream</t>
        </is>
      </c>
      <c r="I65" s="8" t="inlineStr">
        <is>
          <t>1</t>
        </is>
      </c>
      <c r="J65" s="2" t="inlineStr">
        <is>
          <t>✅ คำตอบที่ถูกต้อง: ข้อ ก. Acyclovir 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จ. (Terbinafine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65" s="2" t="n"/>
      <c r="L65" s="2" t="inlineStr">
        <is>
          <t>Dermatologic Disorders</t>
        </is>
      </c>
      <c r="M65" s="2" t="inlineStr">
        <is>
          <t>Clinic</t>
        </is>
      </c>
      <c r="N65" s="2" t="inlineStr">
        <is>
          <t>PLE-CC1 ปี 2566 Day 1 ข้อ 28</t>
        </is>
      </c>
      <c r="O65" s="2" t="inlineStr">
        <is>
          <t>ข้อสอบจริง</t>
        </is>
      </c>
      <c r="P65" s="2" t="inlineStr">
        <is>
          <t>ปี 2566</t>
        </is>
      </c>
    </row>
    <row r="66" ht="13.2" customHeight="1" s="37">
      <c r="A66" s="8" t="inlineStr">
        <is>
          <t>88</t>
        </is>
      </c>
      <c r="B66" s="2" t="inlineStr">
        <is>
          <t>mg OD (โดสยาจะต่ำมากควรจำ)</t>
        </is>
      </c>
      <c r="C66" s="2" t="n"/>
      <c r="D66" s="2" t="inlineStr">
        <is>
          <t>Dimercaprol (BAL) 3 mg/kg IM</t>
        </is>
      </c>
      <c r="E66" s="2" t="inlineStr">
        <is>
          <t>Ethanol 10% IV infusion for Methanol poisoning</t>
        </is>
      </c>
      <c r="F66" s="2" t="inlineStr">
        <is>
          <t>Fomepizole 15 mg/kg IV loading</t>
        </is>
      </c>
      <c r="G66" s="2" t="inlineStr">
        <is>
          <t>N-acetylcysteine (NAC) IV infusion protocol</t>
        </is>
      </c>
      <c r="H66" s="2" t="inlineStr">
        <is>
          <t>Atropine sulfate 2 mg IV Q5-10 min</t>
        </is>
      </c>
      <c r="I66" s="8" t="inlineStr">
        <is>
          <t>1</t>
        </is>
      </c>
      <c r="J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2" t="n"/>
      <c r="L66" s="2" t="inlineStr">
        <is>
          <t>General Therapeutics</t>
        </is>
      </c>
      <c r="M66" s="2" t="inlineStr">
        <is>
          <t>Clinic</t>
        </is>
      </c>
      <c r="N66" s="2" t="inlineStr">
        <is>
          <t>PLE-CC1 ปี 2566 Day 1 ข้อ 3</t>
        </is>
      </c>
      <c r="O66" s="2" t="inlineStr">
        <is>
          <t>ข้อสอบจริง</t>
        </is>
      </c>
      <c r="P66" s="2" t="inlineStr">
        <is>
          <t>ปี 2566</t>
        </is>
      </c>
    </row>
    <row r="67" ht="13.2" customHeight="1" s="37">
      <c r="A67" s="8" t="inlineStr">
        <is>
          <t>89</t>
        </is>
      </c>
      <c r="B67" s="2" t="inlineStr">
        <is>
          <t>ให้ข้อมูลมาคำนวณ%assay ตัวเลือก</t>
        </is>
      </c>
      <c r="C67" s="2" t="n"/>
      <c r="D67" s="2" t="inlineStr">
        <is>
          <t>Alligation Alternate method for concentration adjustment</t>
        </is>
      </c>
      <c r="E67" s="2" t="inlineStr">
        <is>
          <t>mEq / mmol Electrolyte conversion formula</t>
        </is>
      </c>
      <c r="F67" s="2" t="inlineStr">
        <is>
          <t>Osmolarity (mOsmol/L) calculation</t>
        </is>
      </c>
      <c r="G67" s="2" t="inlineStr">
        <is>
          <t>Sodium Chloride Equivalent (E-value) Isotonic adjustment</t>
        </is>
      </c>
      <c r="H67" s="2" t="inlineStr">
        <is>
          <t>Creatinine Clearance via Cockcroft-Gault Equation</t>
        </is>
      </c>
      <c r="I67" s="8" t="inlineStr">
        <is>
          <t>1</t>
        </is>
      </c>
      <c r="J67" s="2" t="inlineStr">
        <is>
          <t>✅ คำตอบที่ถูกต้อง: ข้อ ก. Alligation Alternate method for concentration adjustment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Alligation Alternate method for concentration adjustment 💡 คำอธิบายและเหตุผลทางเภสัชกรรม:
💡 คำอธิบายและเหตุผลทางเภสัชกรรม:
การเลือก Alligation Alternate method for concentration adjustment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(mEq / mmol Electrolyte conversion formula): ข้อนี้ไม่ใช่คำตอบที่ถูกต้องสำหรับภาวะ Pharmaceutical Calculations เนื่องจากกลไกการออกฤทธิ์, efficacy หรือข้อบ่งใช้ไม่ตรงกับโจทย์ที่กำหนด
• ข้อ ค. (Osmolarity (mOsmol/L) calculation): ข้อนี้ไม่ใช่คำตอบที่ถูกต้องสำหรับภาวะ Pharmaceutical Calculations เนื่องจากกลไกการออกฤทธิ์, efficacy หรือข้อบ่งใช้ไม่ตรงกับโจทย์ที่กำหนด
• ข้อ ง.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จ. (Creatinine Clearance via Cockcroft-Gault Equation):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Pharmaceutical Calculations</t>
        </is>
      </c>
      <c r="M67" s="2" t="inlineStr">
        <is>
          <t>Product</t>
        </is>
      </c>
      <c r="N67" s="2" t="inlineStr">
        <is>
          <t>PLE-CC1 ปี 2566 Day 1 ข้อ 30</t>
        </is>
      </c>
      <c r="O67" s="2" t="inlineStr">
        <is>
          <t>ข้อสอบจริง</t>
        </is>
      </c>
      <c r="P67" s="2" t="inlineStr">
        <is>
          <t>ปี 2566</t>
        </is>
      </c>
    </row>
    <row r="68" ht="13.2" customHeight="1" s="37">
      <c r="A68" s="8" t="inlineStr">
        <is>
          <t>90</t>
        </is>
      </c>
      <c r="B68" s="2" t="inlineStr">
        <is>
          <t>Gingival hyperplasia + ataxia</t>
        </is>
      </c>
      <c r="C68" s="2" t="n"/>
      <c r="D68" s="2" t="inlineStr">
        <is>
          <t>Naloxone 0.4 mg IV stat</t>
        </is>
      </c>
      <c r="E68" s="2" t="inlineStr">
        <is>
          <t>Flumazenil 0.2 mg IV stat</t>
        </is>
      </c>
      <c r="F68" s="2" t="inlineStr">
        <is>
          <t>Vitamin K1 (Phytomenadione) 10 mg IV slow</t>
        </is>
      </c>
      <c r="G68" s="2" t="inlineStr">
        <is>
          <t>Sodium thiosulfate 25% 50 mL IV</t>
        </is>
      </c>
      <c r="H68" s="2" t="inlineStr">
        <is>
          <t>Calcium disodium EDTA 1 g IV</t>
        </is>
      </c>
      <c r="I68" s="8" t="inlineStr">
        <is>
          <t>1</t>
        </is>
      </c>
      <c r="J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8" s="2" t="n"/>
      <c r="L68" s="2" t="inlineStr">
        <is>
          <t>General Therapeutics</t>
        </is>
      </c>
      <c r="M68" s="2" t="inlineStr">
        <is>
          <t>Clinic</t>
        </is>
      </c>
      <c r="N68" s="2" t="inlineStr">
        <is>
          <t>PLE-CC1 ปี 2566 Day 1 ข้อ 1</t>
        </is>
      </c>
      <c r="O68" s="2" t="inlineStr">
        <is>
          <t>ข้อสอบจริง</t>
        </is>
      </c>
      <c r="P68" s="2" t="inlineStr">
        <is>
          <t>ปี 2566</t>
        </is>
      </c>
    </row>
    <row r="69" ht="13.2" customHeight="1" s="37">
      <c r="A69" s="8" t="inlineStr">
        <is>
          <t>91</t>
        </is>
      </c>
      <c r="B69" s="2" t="inlineStr">
        <is>
          <t>Gingival hyperplasia + nystagmus</t>
        </is>
      </c>
      <c r="C69" s="2" t="n"/>
      <c r="D69" s="2" t="inlineStr">
        <is>
          <t>Sodium thiosulfate 25% 50 mL IV</t>
        </is>
      </c>
      <c r="E69" s="2" t="inlineStr">
        <is>
          <t>Calcium disodium EDTA 1 g IV</t>
        </is>
      </c>
      <c r="F69" s="2" t="inlineStr">
        <is>
          <t>Desferrioxamine 1 g IM/IV</t>
        </is>
      </c>
      <c r="G69" s="2" t="inlineStr">
        <is>
          <t>Dimercaprol (BAL) 3 mg/kg IM</t>
        </is>
      </c>
      <c r="H69" s="2" t="inlineStr">
        <is>
          <t>Ethanol 10% IV infusion for Methanol poisoning</t>
        </is>
      </c>
      <c r="I69" s="8" t="inlineStr">
        <is>
          <t>1</t>
        </is>
      </c>
      <c r="J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2" t="n"/>
      <c r="L69" s="2" t="inlineStr">
        <is>
          <t>General Therapeutics</t>
        </is>
      </c>
      <c r="M69" s="2" t="inlineStr">
        <is>
          <t>Clinic</t>
        </is>
      </c>
      <c r="N69" s="2" t="inlineStr">
        <is>
          <t>PLE-CC1 ปี 2566 Day 1 ข้อ 2</t>
        </is>
      </c>
      <c r="O69" s="2" t="inlineStr">
        <is>
          <t>ข้อสอบจริง</t>
        </is>
      </c>
      <c r="P69" s="2" t="inlineStr">
        <is>
          <t>ปี 2566</t>
        </is>
      </c>
    </row>
    <row r="70" ht="13.2" customHeight="1" s="37">
      <c r="A70" s="8" t="inlineStr">
        <is>
          <t>92</t>
        </is>
      </c>
      <c r="B70" s="2" t="inlineStr">
        <is>
          <t>Lethargy + ataxia</t>
        </is>
      </c>
      <c r="C70" s="2" t="n"/>
      <c r="D70" s="2" t="inlineStr">
        <is>
          <t>Dimercaprol (BAL) 3 mg/kg IM</t>
        </is>
      </c>
      <c r="E70" s="2" t="inlineStr">
        <is>
          <t>Ethanol 10% IV infusion for Methanol poisoning</t>
        </is>
      </c>
      <c r="F70" s="2" t="inlineStr">
        <is>
          <t>Fomepizole 15 mg/kg IV loading</t>
        </is>
      </c>
      <c r="G70" s="2" t="inlineStr">
        <is>
          <t>N-acetylcysteine (NAC) IV infusion protocol</t>
        </is>
      </c>
      <c r="H70" s="2" t="inlineStr">
        <is>
          <t>Atropine sulfate 2 mg IV Q5-10 min</t>
        </is>
      </c>
      <c r="I70" s="8" t="inlineStr">
        <is>
          <t>1</t>
        </is>
      </c>
      <c r="J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2" t="n"/>
      <c r="L70" s="2" t="inlineStr">
        <is>
          <t>General Therapeutics</t>
        </is>
      </c>
      <c r="M70" s="2" t="inlineStr">
        <is>
          <t>Clinic</t>
        </is>
      </c>
      <c r="N70" s="2" t="inlineStr">
        <is>
          <t>PLE-CC1 ปี 2566 Day 1 ข้อ 3</t>
        </is>
      </c>
      <c r="O70" s="2" t="inlineStr">
        <is>
          <t>ข้อสอบจริง</t>
        </is>
      </c>
      <c r="P70" s="2" t="inlineStr">
        <is>
          <t>ปี 2566</t>
        </is>
      </c>
    </row>
    <row r="71" ht="13.2" customHeight="1" s="37">
      <c r="A71" s="8" t="inlineStr">
        <is>
          <t>93</t>
        </is>
      </c>
      <c r="B71" s="2" t="inlineStr">
        <is>
          <t>Case allergic conjunctivitis ใช้ยาอะไร ตัวเลือก</t>
        </is>
      </c>
      <c r="C71" s="2" t="n"/>
      <c r="D71" s="2" t="inlineStr">
        <is>
          <t>Artificial tears 1 drop QID</t>
        </is>
      </c>
      <c r="E71" s="2" t="inlineStr">
        <is>
          <t>Antazoline/Tetrahydrozoline eye drops 1 drop TID</t>
        </is>
      </c>
      <c r="F71" s="2" t="inlineStr">
        <is>
          <t>Prednisolone acetate 1% eye drops</t>
        </is>
      </c>
      <c r="G71" s="2" t="inlineStr">
        <is>
          <t>Acetazolamide 250 mg BID</t>
        </is>
      </c>
      <c r="H71" s="2" t="inlineStr">
        <is>
          <t>Timolol 0.5% eye drops 1 drop BID</t>
        </is>
      </c>
      <c r="I71" s="8" t="inlineStr">
        <is>
          <t>1</t>
        </is>
      </c>
      <c r="J71" s="2" t="inlineStr">
        <is>
          <t>✅ คำตอบที่ถูกต้อง: ข้อ ก. Artificial tears 1 drop QID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Artificial tears 1 drop QID การเลือก Artificial tears 1 drop QID เป็นคำตอบที่ถูกต้องและสอดคล้องกับ evidence-based guidelines ของภาวะ Eye Disorders โดยมี clinical efficacy สูงสุดในการรักษาและมี safety profile ที่เหมาะสม
🔍 ข้ออื่นผิดเพราะอะไร:
• ข้อ ข. (Antazoline/Tetrahydrozoline eye drops 1 drop TID): ข้อนี้ไม่ใช่คำตอบที่ถูกต้องสำหรับภาวะ Eye Disorders เนื่องจากกลไกการออกฤทธิ์, efficacy หรือข้อบ่งใช้ไม่ตรงกับโจทย์ที่กำหนด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ข้อนี้ไม่ใช่คำตอบที่ถูกต้องสำหรับภาวะ Eye Disorders เนื่องจากกลไกการออกฤทธิ์, efficacy หรือข้อบ่งใช้ไม่ตรงกับโจทย์ที่กำหนด
• ข้อ จ. (Timolol 0.5% eye drops 1 drop BID): ข้อนี้ไม่ใช่คำตอบที่ถูกต้องสำหรับภาวะ Eye Disorders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1" s="2" t="n"/>
      <c r="L71" s="2" t="inlineStr">
        <is>
          <t>Eye Disorders</t>
        </is>
      </c>
      <c r="M71" s="2" t="inlineStr">
        <is>
          <t>Clinic</t>
        </is>
      </c>
      <c r="N71" s="2" t="inlineStr">
        <is>
          <t>PLE-CC1 ปี 2566 Day 1 ข้อ 32</t>
        </is>
      </c>
      <c r="O71" s="2" t="inlineStr">
        <is>
          <t>ข้อสอบจริง</t>
        </is>
      </c>
      <c r="P71" s="2" t="inlineStr">
        <is>
          <t>ปี 2566</t>
        </is>
      </c>
    </row>
    <row r="72" ht="13.2" customHeight="1" s="37">
      <c r="A72" s="8" t="inlineStr">
        <is>
          <t>94</t>
        </is>
      </c>
      <c r="B72" s="2" t="inlineStr">
        <is>
          <t>คำแนะนำสำหรับMDI ตัวเลือก</t>
        </is>
      </c>
      <c r="C72" s="2" t="n"/>
      <c r="D72" s="2" t="inlineStr">
        <is>
          <t>Naloxone 0.4 mg IV stat</t>
        </is>
      </c>
      <c r="E72" s="2" t="inlineStr">
        <is>
          <t>Flumazenil 0.2 mg IV stat</t>
        </is>
      </c>
      <c r="F72" s="2" t="inlineStr">
        <is>
          <t>Vitamin K1 (Phytomenadione) 10 mg IV slow</t>
        </is>
      </c>
      <c r="G72" s="2" t="inlineStr">
        <is>
          <t>Sodium thiosulfate 25% 50 mL IV</t>
        </is>
      </c>
      <c r="H72" s="2" t="inlineStr">
        <is>
          <t>Calcium disodium EDTA 1 g IV</t>
        </is>
      </c>
      <c r="I72" s="8" t="inlineStr">
        <is>
          <t>1</t>
        </is>
      </c>
      <c r="J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2" s="2" t="n"/>
      <c r="L72" s="2" t="inlineStr">
        <is>
          <t>General Therapeutics</t>
        </is>
      </c>
      <c r="M72" s="2" t="inlineStr">
        <is>
          <t>Clinic</t>
        </is>
      </c>
      <c r="N72" s="2" t="inlineStr">
        <is>
          <t>PLE-CC1 ปี 2566 Day 1 ข้อ 33</t>
        </is>
      </c>
      <c r="O72" s="2" t="inlineStr">
        <is>
          <t>ข้อสอบจริง</t>
        </is>
      </c>
      <c r="P72" s="2" t="inlineStr">
        <is>
          <t>ปี 2566</t>
        </is>
      </c>
    </row>
    <row r="73" ht="13.2" customHeight="1" s="37">
      <c r="A73" s="8" t="inlineStr">
        <is>
          <t>95</t>
        </is>
      </c>
      <c r="B73" s="2" t="inlineStr">
        <is>
          <t>หายใจเข้าช้าๆลึกๆ</t>
        </is>
      </c>
      <c r="C73" s="2" t="n"/>
      <c r="D73" s="2" t="inlineStr">
        <is>
          <t>Sodium thiosulfate 25% 50 mL IV</t>
        </is>
      </c>
      <c r="E73" s="2" t="inlineStr">
        <is>
          <t>Calcium disodium EDTA 1 g IV</t>
        </is>
      </c>
      <c r="F73" s="2" t="inlineStr">
        <is>
          <t>Desferrioxamine 1 g IM/IV</t>
        </is>
      </c>
      <c r="G73" s="2" t="inlineStr">
        <is>
          <t>Dimercaprol (BAL) 3 mg/kg IM</t>
        </is>
      </c>
      <c r="H73" s="2" t="inlineStr">
        <is>
          <t>Ethanol 10% IV infusion for Methanol poisoning</t>
        </is>
      </c>
      <c r="I73" s="8" t="inlineStr">
        <is>
          <t>1</t>
        </is>
      </c>
      <c r="J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2" t="n"/>
      <c r="L73" s="2" t="inlineStr">
        <is>
          <t>General Therapeutics</t>
        </is>
      </c>
      <c r="M73" s="2" t="inlineStr">
        <is>
          <t>Clinic</t>
        </is>
      </c>
      <c r="N73" s="2" t="inlineStr">
        <is>
          <t>PLE-CC1 ปี 2566 Day 1 ข้อ 1</t>
        </is>
      </c>
      <c r="O73" s="2" t="inlineStr">
        <is>
          <t>ข้อสอบจริง</t>
        </is>
      </c>
      <c r="P73" s="2" t="inlineStr">
        <is>
          <t>ปี 2566</t>
        </is>
      </c>
    </row>
    <row r="74" ht="13.2" customHeight="1" s="37">
      <c r="A74" s="8" t="inlineStr">
        <is>
          <t>96</t>
        </is>
      </c>
      <c r="B74" s="2" t="inlineStr">
        <is>
          <t>หายใจเข้าเร็วๆลึกๆ</t>
        </is>
      </c>
      <c r="C74" s="2" t="n"/>
      <c r="D74" s="2" t="inlineStr">
        <is>
          <t>Dimercaprol (BAL) 3 mg/kg IM</t>
        </is>
      </c>
      <c r="E74" s="2" t="inlineStr">
        <is>
          <t>Ethanol 10% IV infusion for Methanol poisoning</t>
        </is>
      </c>
      <c r="F74" s="2" t="inlineStr">
        <is>
          <t>Fomepizole 15 mg/kg IV loading</t>
        </is>
      </c>
      <c r="G74" s="2" t="inlineStr">
        <is>
          <t>N-acetylcysteine (NAC) IV infusion protocol</t>
        </is>
      </c>
      <c r="H74" s="2" t="inlineStr">
        <is>
          <t>Atropine sulfate 2 mg IV Q5-10 min</t>
        </is>
      </c>
      <c r="I74" s="8" t="inlineStr">
        <is>
          <t>1</t>
        </is>
      </c>
      <c r="J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 s="2" t="n"/>
      <c r="L74" s="2" t="inlineStr">
        <is>
          <t>General Therapeutics</t>
        </is>
      </c>
      <c r="M74" s="2" t="inlineStr">
        <is>
          <t>Clinic</t>
        </is>
      </c>
      <c r="N74" s="2" t="inlineStr">
        <is>
          <t>PLE-CC1 ปี 2566 Day 1 ข้อ 2</t>
        </is>
      </c>
      <c r="O74" s="2" t="inlineStr">
        <is>
          <t>ข้อสอบจริง</t>
        </is>
      </c>
      <c r="P74" s="2" t="inlineStr">
        <is>
          <t>ปี 2566</t>
        </is>
      </c>
    </row>
    <row r="75" ht="13.2" customHeight="1" s="37">
      <c r="A75" s="8" t="inlineStr">
        <is>
          <t>97</t>
        </is>
      </c>
      <c r="B75" s="2" t="inlineStr">
        <is>
          <t>หายใจออกช้าๆลึกๆ</t>
        </is>
      </c>
      <c r="C75" s="2" t="n"/>
      <c r="D75" s="2" t="inlineStr">
        <is>
          <t>N-acetylcysteine (NAC) IV infusion protocol</t>
        </is>
      </c>
      <c r="E75" s="2" t="inlineStr">
        <is>
          <t>Atropine sulfate 2 mg IV Q5-10 min</t>
        </is>
      </c>
      <c r="F75" s="2" t="inlineStr">
        <is>
          <t>Pralidoxime (2-PAM) 1-2 g IV over 30 min</t>
        </is>
      </c>
      <c r="G75" s="2" t="inlineStr">
        <is>
          <t>Naloxone 0.4 mg IV stat</t>
        </is>
      </c>
      <c r="H75" s="2" t="inlineStr">
        <is>
          <t>Flumazenil 0.2 mg IV stat</t>
        </is>
      </c>
      <c r="I75" s="8" t="inlineStr">
        <is>
          <t>1</t>
        </is>
      </c>
      <c r="J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5" s="2" t="n"/>
      <c r="L75" s="2" t="inlineStr">
        <is>
          <t>General Therapeutics</t>
        </is>
      </c>
      <c r="M75" s="2" t="inlineStr">
        <is>
          <t>Clinic</t>
        </is>
      </c>
      <c r="N75" s="2" t="inlineStr">
        <is>
          <t>PLE-CC1 ปี 2566 Day 1 ข้อ 3</t>
        </is>
      </c>
      <c r="O75" s="2" t="inlineStr">
        <is>
          <t>ข้อสอบจริง</t>
        </is>
      </c>
      <c r="P75" s="2" t="inlineStr">
        <is>
          <t>ปี 2566</t>
        </is>
      </c>
    </row>
    <row r="76" ht="13.2" customHeight="1" s="37">
      <c r="A76" s="8" t="inlineStr">
        <is>
          <t>98</t>
        </is>
      </c>
      <c r="B76" s="2" t="inlineStr">
        <is>
          <t>หายใจออกเร็วๆลึกๆ</t>
        </is>
      </c>
      <c r="C76" s="2" t="n"/>
      <c r="D76" s="2" t="inlineStr">
        <is>
          <t>Naloxone 0.4 mg IV stat</t>
        </is>
      </c>
      <c r="E76" s="2" t="inlineStr">
        <is>
          <t>Flumazenil 0.2 mg IV stat</t>
        </is>
      </c>
      <c r="F76" s="2" t="inlineStr">
        <is>
          <t>Vitamin K1 (Phytomenadione) 10 mg IV slow</t>
        </is>
      </c>
      <c r="G76" s="2" t="inlineStr">
        <is>
          <t>Sodium thiosulfate 25% 50 mL IV</t>
        </is>
      </c>
      <c r="H76" s="2" t="inlineStr">
        <is>
          <t>Calcium disodium EDTA 1 g IV</t>
        </is>
      </c>
      <c r="I76" s="8" t="inlineStr">
        <is>
          <t>1</t>
        </is>
      </c>
      <c r="J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6" s="2" t="n"/>
      <c r="L76" s="2" t="inlineStr">
        <is>
          <t>General Therapeutics</t>
        </is>
      </c>
      <c r="M76" s="2" t="inlineStr">
        <is>
          <t>Clinic</t>
        </is>
      </c>
      <c r="N76" s="2" t="inlineStr">
        <is>
          <t>PLE-CC1 ปี 2566 Day 1 ข้อ 4</t>
        </is>
      </c>
      <c r="O76" s="2" t="inlineStr">
        <is>
          <t>ข้อสอบจริง</t>
        </is>
      </c>
      <c r="P76" s="2" t="inlineStr">
        <is>
          <t>ปี 2566</t>
        </is>
      </c>
    </row>
    <row r="77" ht="13.2" customHeight="1" s="37">
      <c r="A77" s="8" t="inlineStr">
        <is>
          <t>99</t>
        </is>
      </c>
      <c r="B77" s="2" t="inlineStr">
        <is>
          <t>สารที่ใช้ทำfilm เคลือบยาenteric-coated ตัวเลือก</t>
        </is>
      </c>
      <c r="C77" s="2" t="n"/>
      <c r="D77" s="2" t="inlineStr">
        <is>
          <t>Sodium thiosulfate 25% 50 mL IV</t>
        </is>
      </c>
      <c r="E77" s="2" t="inlineStr">
        <is>
          <t>Calcium disodium EDTA 1 g IV</t>
        </is>
      </c>
      <c r="F77" s="2" t="inlineStr">
        <is>
          <t>Desferrioxamine 1 g IM/IV</t>
        </is>
      </c>
      <c r="G77" s="2" t="inlineStr">
        <is>
          <t>Dimercaprol (BAL) 3 mg/kg IM</t>
        </is>
      </c>
      <c r="H77" s="2" t="inlineStr">
        <is>
          <t>Ethanol 10% IV infusion for Methanol poisoning</t>
        </is>
      </c>
      <c r="I77" s="8" t="inlineStr">
        <is>
          <t>1</t>
        </is>
      </c>
      <c r="J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2" t="n"/>
      <c r="L77" s="2" t="inlineStr">
        <is>
          <t>General Therapeutics</t>
        </is>
      </c>
      <c r="M77" s="2" t="inlineStr">
        <is>
          <t>Clinic</t>
        </is>
      </c>
      <c r="N77" s="2" t="inlineStr">
        <is>
          <t>PLE-CC1 ปี 2566 Day 1 ข้อ 34</t>
        </is>
      </c>
      <c r="O77" s="2" t="inlineStr">
        <is>
          <t>ข้อสอบจริง</t>
        </is>
      </c>
      <c r="P77" s="2" t="inlineStr">
        <is>
          <t>ปี 2566</t>
        </is>
      </c>
    </row>
    <row r="78" ht="13.2" customHeight="1" s="37">
      <c r="A78" s="8" t="inlineStr">
        <is>
          <t>100</t>
        </is>
      </c>
      <c r="B78" s="2" t="inlineStr">
        <is>
          <t>Ethyl cellulose</t>
        </is>
      </c>
      <c r="C78" s="2" t="n"/>
      <c r="D78" s="2" t="inlineStr">
        <is>
          <t>Dimercaprol (BAL) 3 mg/kg IM</t>
        </is>
      </c>
      <c r="E78" s="2" t="inlineStr">
        <is>
          <t>Ethanol 10% IV infusion for Methanol poisoning</t>
        </is>
      </c>
      <c r="F78" s="2" t="inlineStr">
        <is>
          <t>Fomepizole 15 mg/kg IV loading</t>
        </is>
      </c>
      <c r="G78" s="2" t="inlineStr">
        <is>
          <t>N-acetylcysteine (NAC) IV infusion protocol</t>
        </is>
      </c>
      <c r="H78" s="2" t="inlineStr">
        <is>
          <t>Atropine sulfate 2 mg IV Q5-10 min</t>
        </is>
      </c>
      <c r="I78" s="8" t="inlineStr">
        <is>
          <t>1</t>
        </is>
      </c>
      <c r="J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2" t="n"/>
      <c r="L78" s="2" t="inlineStr">
        <is>
          <t>General Therapeutics</t>
        </is>
      </c>
      <c r="M78" s="2" t="inlineStr">
        <is>
          <t>Clinic</t>
        </is>
      </c>
      <c r="N78" s="2" t="inlineStr">
        <is>
          <t>PLE-CC1 ปี 2566 Day 1 ข้อ 1</t>
        </is>
      </c>
      <c r="O78" s="2" t="inlineStr">
        <is>
          <t>ข้อสอบจริง</t>
        </is>
      </c>
      <c r="P78" s="2" t="inlineStr">
        <is>
          <t>ปี 2566</t>
        </is>
      </c>
    </row>
    <row r="79" ht="13.2" customHeight="1" s="37">
      <c r="A79" s="8" t="inlineStr">
        <is>
          <t>101</t>
        </is>
      </c>
      <c r="B79" s="2" t="inlineStr">
        <is>
          <t>ยาcystitis ในคนท้อง ตัวเลือก</t>
        </is>
      </c>
      <c r="C79" s="2" t="n"/>
      <c r="D79" s="2" t="inlineStr">
        <is>
          <t>N-acetylcysteine (NAC) IV infusion protocol</t>
        </is>
      </c>
      <c r="E79" s="2" t="inlineStr">
        <is>
          <t>Atropine sulfate 2 mg IV Q5-10 min</t>
        </is>
      </c>
      <c r="F79" s="2" t="inlineStr">
        <is>
          <t>Pralidoxime (2-PAM) 1-2 g IV over 30 min</t>
        </is>
      </c>
      <c r="G79" s="2" t="inlineStr">
        <is>
          <t>Naloxone 0.4 mg IV stat</t>
        </is>
      </c>
      <c r="H79" s="2" t="inlineStr">
        <is>
          <t>Flumazenil 0.2 mg IV stat</t>
        </is>
      </c>
      <c r="I79" s="8" t="inlineStr">
        <is>
          <t>1</t>
        </is>
      </c>
      <c r="J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9" s="2" t="n"/>
      <c r="L79" s="2" t="inlineStr">
        <is>
          <t>General Therapeutics</t>
        </is>
      </c>
      <c r="M79" s="2" t="inlineStr">
        <is>
          <t>Clinic</t>
        </is>
      </c>
      <c r="N79" s="2" t="inlineStr">
        <is>
          <t>PLE-CC1 ปี 2566 Day 1 ข้อ 35</t>
        </is>
      </c>
      <c r="O79" s="2" t="inlineStr">
        <is>
          <t>ข้อสอบจริง</t>
        </is>
      </c>
      <c r="P79" s="2" t="inlineStr">
        <is>
          <t>ปี 2566</t>
        </is>
      </c>
    </row>
    <row r="80" ht="13.2" customHeight="1" s="37">
      <c r="A80" s="8" t="inlineStr">
        <is>
          <t>102</t>
        </is>
      </c>
      <c r="B80" s="2" t="inlineStr">
        <is>
          <t>35.ยาหยอดตาไม่ต้องทดสอบทดสอบคุณภาพก้านใดคุณ ตัวเลือก</t>
        </is>
      </c>
      <c r="C80" s="2" t="n"/>
      <c r="D80" s="2" t="inlineStr">
        <is>
          <t>Dorzolamide 2% eye drops 1 drop BID</t>
        </is>
      </c>
      <c r="E80" s="2" t="inlineStr">
        <is>
          <t>Tobramycin 0.3% eye drops 1 drop QID</t>
        </is>
      </c>
      <c r="F80" s="2" t="inlineStr">
        <is>
          <t>Chloramphenicol 0.5% eye drops 1 drop QID</t>
        </is>
      </c>
      <c r="G80" s="2" t="inlineStr">
        <is>
          <t>Artificial tears 1 drop QID</t>
        </is>
      </c>
      <c r="H80" s="2" t="inlineStr">
        <is>
          <t>Antazoline/Tetrahydrozoline eye drops 1 drop TID</t>
        </is>
      </c>
      <c r="I80" s="8" t="inlineStr">
        <is>
          <t>3</t>
        </is>
      </c>
      <c r="J80" s="2" t="inlineStr">
        <is>
          <t>✅ คำตอบที่ถูกต้อง: ข้อ ค. Chloramphenicol 0.5% eye drops 1 drop QID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Chloramphenicol 0.5% eye drops 1 drop QID การเลือก Chloramphenicol 0.5% eye drops 1 drop QID เป็นคำตอบที่ถูกต้องและสอดคล้องกับ evidence-based guidelines ของภาวะ Eye Disorders โดยมี clinical efficacy สูงสุดในการรักษาและมี safety profile ที่เหมาะสม
🔍 ข้ออื่นผิดเพราะอะไร:
• ข้อ ก. (Dorzolamide 2% eye drops 1 drop BID): ข้อนี้ไม่ใช่คำตอบที่ถูกต้องสำหรับภาวะ Eye Disorders เนื่องจากกลไกการออกฤทธิ์, efficacy หรือข้อบ่งใช้ไม่ตรงกับโจทย์ที่กำหนด
• ข้อ ข. (Tobramycin 0.3% eye drops 1 drop QID): ข้อนี้ไม่ใช่คำตอบที่ถูกต้องสำหรับภาวะ Eye Disorders เนื่องจากกลไกการออกฤทธิ์, efficacy หรือข้อบ่งใช้ไม่ตรงกับโจทย์ที่กำหนด
• ข้อ ง. (Artificial tears 1 drop QID): ข้อนี้ไม่ใช่คำตอบที่ถูกต้องสำหรับภาวะ Eye Disorders เนื่องจากกลไกการออกฤทธิ์, efficacy หรือข้อบ่งใช้ไม่ตรงกับโจทย์ที่กำหนด
• ข้อ จ. (Antazoline/Tetrahydrozoline eye drops 1 drop TID): ข้อนี้ไม่ใช่คำตอบที่ถูกต้องสำหรับภาวะ Eye Disorders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0" s="2" t="n"/>
      <c r="L80" s="2" t="inlineStr">
        <is>
          <t>Eye Disorders</t>
        </is>
      </c>
      <c r="M80" s="2" t="inlineStr">
        <is>
          <t>Clinic</t>
        </is>
      </c>
      <c r="N80" s="2" t="inlineStr">
        <is>
          <t>PLE-CC1 ปี 2566 Day 1 ข้อ 4</t>
        </is>
      </c>
      <c r="O80" s="2" t="inlineStr">
        <is>
          <t>ข้อสอบจริง</t>
        </is>
      </c>
      <c r="P80" s="2" t="inlineStr">
        <is>
          <t>ปี 2566</t>
        </is>
      </c>
    </row>
    <row r="81" ht="13.2" customHeight="1" s="37">
      <c r="A81" s="8" t="inlineStr">
        <is>
          <t>103</t>
        </is>
      </c>
      <c r="B81" s="2" t="inlineStr">
        <is>
          <t>…………………………………. ตัวเลือก</t>
        </is>
      </c>
      <c r="C81" s="2" t="n"/>
      <c r="D81" s="2" t="inlineStr">
        <is>
          <t>Sodium thiosulfate 25% 50 mL IV</t>
        </is>
      </c>
      <c r="E81" s="2" t="inlineStr">
        <is>
          <t>Calcium disodium EDTA 1 g IV</t>
        </is>
      </c>
      <c r="F81" s="2" t="inlineStr">
        <is>
          <t>Desferrioxamine 1 g IM/IV</t>
        </is>
      </c>
      <c r="G81" s="2" t="inlineStr">
        <is>
          <t>Dimercaprol (BAL) 3 mg/kg IM</t>
        </is>
      </c>
      <c r="H81" s="2" t="inlineStr">
        <is>
          <t>Ethanol 10% IV infusion for Methanol poisoning</t>
        </is>
      </c>
      <c r="I81" s="8" t="inlineStr">
        <is>
          <t>1</t>
        </is>
      </c>
      <c r="J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 s="2" t="n"/>
      <c r="L81" s="2" t="inlineStr">
        <is>
          <t>General Therapeutics</t>
        </is>
      </c>
      <c r="M81" s="2" t="inlineStr">
        <is>
          <t>Clinic</t>
        </is>
      </c>
      <c r="N81" s="2" t="inlineStr">
        <is>
          <t>PLE-CC1 ปี 2566 Day 1 ข้อ 36</t>
        </is>
      </c>
      <c r="O81" s="2" t="inlineStr">
        <is>
          <t>ข้อสอบจริง</t>
        </is>
      </c>
      <c r="P81" s="2" t="inlineStr">
        <is>
          <t>ปี 2566</t>
        </is>
      </c>
    </row>
    <row r="82" ht="13.2" customHeight="1" s="37">
      <c r="A82" s="8" t="inlineStr">
        <is>
          <t>104</t>
        </is>
      </c>
      <c r="B82" s="2" t="inlineStr">
        <is>
          <t>2 - 8 องศาเซลเซียส</t>
        </is>
      </c>
      <c r="C82" s="2" t="n"/>
      <c r="D82" s="2" t="inlineStr">
        <is>
          <t>Dimercaprol (BAL) 3 mg/kg IM</t>
        </is>
      </c>
      <c r="E82" s="2" t="inlineStr">
        <is>
          <t>Ethanol 10% IV infusion for Methanol poisoning</t>
        </is>
      </c>
      <c r="F82" s="2" t="inlineStr">
        <is>
          <t>Fomepizole 15 mg/kg IV loading</t>
        </is>
      </c>
      <c r="G82" s="2" t="inlineStr">
        <is>
          <t>N-acetylcysteine (NAC) IV infusion protocol</t>
        </is>
      </c>
      <c r="H82" s="2" t="inlineStr">
        <is>
          <t>Atropine sulfate 2 mg IV Q5-10 min</t>
        </is>
      </c>
      <c r="I82" s="8" t="inlineStr">
        <is>
          <t>1</t>
        </is>
      </c>
      <c r="J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2" t="n"/>
      <c r="L82" s="2" t="inlineStr">
        <is>
          <t>General Therapeutics</t>
        </is>
      </c>
      <c r="M82" s="2" t="inlineStr">
        <is>
          <t>Clinic</t>
        </is>
      </c>
      <c r="N82" s="2" t="inlineStr">
        <is>
          <t>PLE-CC1 ปี 2566 Day 1 ข้อ 1</t>
        </is>
      </c>
      <c r="O82" s="2" t="inlineStr">
        <is>
          <t>ข้อสอบจริง</t>
        </is>
      </c>
      <c r="P82" s="2" t="inlineStr">
        <is>
          <t>ปี 2566</t>
        </is>
      </c>
    </row>
    <row r="83" ht="13.2" customHeight="1" s="37">
      <c r="A83" s="8" t="inlineStr">
        <is>
          <t>105</t>
        </is>
      </c>
      <c r="B83" s="2" t="inlineStr">
        <is>
          <t>คำนวณปีสุขภาวะ ตัวเลือก</t>
        </is>
      </c>
      <c r="C83" s="2" t="n"/>
      <c r="D83" s="2" t="inlineStr">
        <is>
          <t>Alligation Alternate method for concentration adjustment</t>
        </is>
      </c>
      <c r="E83" s="2" t="inlineStr">
        <is>
          <t>mEq / mmol Electrolyte conversion formula</t>
        </is>
      </c>
      <c r="F83" s="2" t="inlineStr">
        <is>
          <t>Osmolarity (mOsmol/L) calculation</t>
        </is>
      </c>
      <c r="G83" s="2" t="inlineStr">
        <is>
          <t>Sodium Chloride Equivalent (E-value) Isotonic adjustment</t>
        </is>
      </c>
      <c r="H83" s="2" t="inlineStr">
        <is>
          <t>Creatinine Clearance via Cockcroft-Gault Equation</t>
        </is>
      </c>
      <c r="I83" s="8" t="inlineStr">
        <is>
          <t>1</t>
        </is>
      </c>
      <c r="J83" s="2" t="inlineStr">
        <is>
          <t>✅ คำตอบที่ถูกต้อง: ข้อ ก. Alligation Alternate method for concentration adjustment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Alligation Alternate method for concentration adjustment 💡 คำอธิบายและเหตุผลทางเภสัชกรรม:
💡 คำอธิบายและเหตุผลทางเภสัชกรรม:
การเลือก Alligation Alternate method for concentration adjustment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(mEq / mmol Electrolyte conversion formula): ข้อนี้ไม่ใช่คำตอบที่ถูกต้องสำหรับภาวะ Pharmaceutical Calculations เนื่องจากกลไกการออกฤทธิ์, efficacy หรือข้อบ่งใช้ไม่ตรงกับโจทย์ที่กำหนด
• ข้อ ค. (Osmolarity (mOsmol/L) calculation): ข้อนี้ไม่ใช่คำตอบที่ถูกต้องสำหรับภาวะ Pharmaceutical Calculations เนื่องจากกลไกการออกฤทธิ์, efficacy หรือข้อบ่งใช้ไม่ตรงกับโจทย์ที่กำหนด
• ข้อ ง.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จ. (Creatinine Clearance via Cockcroft-Gault Equation):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Pharmaceutical Calculations</t>
        </is>
      </c>
      <c r="M83" s="2" t="inlineStr">
        <is>
          <t>Product</t>
        </is>
      </c>
      <c r="N83" s="2" t="inlineStr">
        <is>
          <t>PLE-CC1 ปี 2566 Day 1 ข้อ 40</t>
        </is>
      </c>
      <c r="O83" s="2" t="inlineStr">
        <is>
          <t>ข้อสอบจริง</t>
        </is>
      </c>
      <c r="P83" s="2" t="inlineStr">
        <is>
          <t>ปี 2566</t>
        </is>
      </c>
    </row>
    <row r="84" ht="13.2" customHeight="1" s="37">
      <c r="A84" s="8" t="inlineStr">
        <is>
          <t>106</t>
        </is>
      </c>
      <c r="B84" s="2" t="inlineStr">
        <is>
          <t>ยาตัวใดมีประโยชน์ในการป้องกันStroke น้อยที่สุด. ตัวเลือก</t>
        </is>
      </c>
      <c r="C84" s="2" t="n"/>
      <c r="D84" s="2" t="inlineStr">
        <is>
          <t>Lamotrigine 50 mg OD</t>
        </is>
      </c>
      <c r="E84" s="2" t="inlineStr">
        <is>
          <t>Levetiracetam 500 mg BID</t>
        </is>
      </c>
      <c r="F84" s="2" t="inlineStr">
        <is>
          <t>Gabapentin 300 mg TID</t>
        </is>
      </c>
      <c r="G84" s="2" t="inlineStr">
        <is>
          <t>Pregabalin 75 mg BID</t>
        </is>
      </c>
      <c r="H84" s="2" t="inlineStr">
        <is>
          <t>Levodopa/Benserazide 100/25 mg TID</t>
        </is>
      </c>
      <c r="I84" s="8" t="inlineStr">
        <is>
          <t>1</t>
        </is>
      </c>
      <c r="J84" s="2" t="inlineStr">
        <is>
          <t>✅ คำตอบที่ถูกต้อง: ข้อ ก. Lamotrigine 50 mg OD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ค. (Gabapentin 300 mg TID): ข้อนี้ไม่ใช่คำตอบที่ถูกต้องสำหรับภาวะ Neurologic Disorders เนื่องจากกลไกการออกฤทธิ์, efficacy หรือข้อบ่งใช้ไม่ตรงกับโจทย์ที่กำหนด
• ข้อ ง. (Pregabalin 75 mg BID): ข้อนี้ไม่ใช่คำตอบที่ถูกต้องสำหรับภาวะ Neurologic Disorders เนื่องจากกลไกการออกฤทธิ์, efficacy หรือข้อบ่งใช้ไม่ตรงกับโจทย์ที่กำหนด
• ข้อ จ.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2" t="n"/>
      <c r="L84" s="2" t="inlineStr">
        <is>
          <t>Neurologic Disorders</t>
        </is>
      </c>
      <c r="M84" s="2" t="inlineStr">
        <is>
          <t>Clinic</t>
        </is>
      </c>
      <c r="N84" s="2" t="inlineStr">
        <is>
          <t>PLE-CC1 ปี 2566 Day 1 ข้อ 41</t>
        </is>
      </c>
      <c r="O84" s="2" t="inlineStr">
        <is>
          <t>ข้อสอบจริง</t>
        </is>
      </c>
      <c r="P84" s="2" t="inlineStr">
        <is>
          <t>ปี 2566</t>
        </is>
      </c>
    </row>
    <row r="85" ht="13.2" customHeight="1" s="37">
      <c r="A85" s="8" t="inlineStr">
        <is>
          <t>107</t>
        </is>
      </c>
      <c r="B85" s="2" t="inlineStr">
        <is>
          <t>ยาที่เป็นตัวเลือกแรกสำหรับการรักษาOA (ผู้ป่วยรายนี้) ตาม Mercian Rheumatology Guideline 2019 ปวดระดับ2/10 ตัวเลือก</t>
        </is>
      </c>
      <c r="C85" s="2" t="n"/>
      <c r="D85" s="2" t="inlineStr">
        <is>
          <t>Sodium thiosulfate 25% 50 mL IV</t>
        </is>
      </c>
      <c r="E85" s="2" t="inlineStr">
        <is>
          <t>Calcium disodium EDTA 1 g IV</t>
        </is>
      </c>
      <c r="F85" s="2" t="inlineStr">
        <is>
          <t>Desferrioxamine 1 g IM/IV</t>
        </is>
      </c>
      <c r="G85" s="2" t="inlineStr">
        <is>
          <t>Dimercaprol (BAL) 3 mg/kg IM</t>
        </is>
      </c>
      <c r="H85" s="2" t="inlineStr">
        <is>
          <t>Ethanol 10% IV infusion for Methanol poisoning</t>
        </is>
      </c>
      <c r="I85" s="8" t="inlineStr">
        <is>
          <t>1</t>
        </is>
      </c>
      <c r="J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5" s="2" t="n"/>
      <c r="L85" s="2" t="inlineStr">
        <is>
          <t>General Therapeutics</t>
        </is>
      </c>
      <c r="M85" s="2" t="inlineStr">
        <is>
          <t>Clinic</t>
        </is>
      </c>
      <c r="N85" s="2" t="inlineStr">
        <is>
          <t>PLE-CC1 ปี 2566 Day 1 ข้อ 42</t>
        </is>
      </c>
      <c r="O85" s="2" t="inlineStr">
        <is>
          <t>ข้อสอบจริง</t>
        </is>
      </c>
      <c r="P85" s="2" t="inlineStr">
        <is>
          <t>ปี 2566</t>
        </is>
      </c>
    </row>
    <row r="86" ht="13.2" customHeight="1" s="37">
      <c r="A86" s="8" t="inlineStr">
        <is>
          <t>108</t>
        </is>
      </c>
      <c r="B86" s="2" t="inlineStr">
        <is>
          <t>Oral diclofenac</t>
        </is>
      </c>
      <c r="C86" s="2" t="n"/>
      <c r="D86" s="2" t="inlineStr">
        <is>
          <t>Dimercaprol (BAL) 3 mg/kg IM</t>
        </is>
      </c>
      <c r="E86" s="2" t="inlineStr">
        <is>
          <t>Ethanol 10% IV infusion for Methanol poisoning</t>
        </is>
      </c>
      <c r="F86" s="2" t="inlineStr">
        <is>
          <t>Fomepizole 15 mg/kg IV loading</t>
        </is>
      </c>
      <c r="G86" s="2" t="inlineStr">
        <is>
          <t>N-acetylcysteine (NAC) IV infusion protocol</t>
        </is>
      </c>
      <c r="H86" s="2" t="inlineStr">
        <is>
          <t>Atropine sulfate 2 mg IV Q5-10 min</t>
        </is>
      </c>
      <c r="I86" s="8" t="inlineStr">
        <is>
          <t>1</t>
        </is>
      </c>
      <c r="J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86" s="2" t="n"/>
      <c r="L86" s="2" t="inlineStr">
        <is>
          <t>General Therapeutics</t>
        </is>
      </c>
      <c r="M86" s="2" t="inlineStr">
        <is>
          <t>Clinic</t>
        </is>
      </c>
      <c r="N86" s="2" t="inlineStr">
        <is>
          <t>PLE-CC1 ปี 2566 Day 1 ข้อ 1</t>
        </is>
      </c>
      <c r="O86" s="2" t="inlineStr">
        <is>
          <t>ข้อสอบจริง</t>
        </is>
      </c>
      <c r="P86" s="2" t="inlineStr">
        <is>
          <t>ปี 2566</t>
        </is>
      </c>
    </row>
    <row r="87" ht="13.2" customHeight="1" s="37">
      <c r="A87" s="8" t="inlineStr">
        <is>
          <t>109</t>
        </is>
      </c>
      <c r="B87" s="2" t="inlineStr">
        <is>
          <t>Oral paracetamol+ orphenadrine</t>
        </is>
      </c>
      <c r="C87" s="2" t="n"/>
      <c r="D87" s="2" t="inlineStr">
        <is>
          <t>N-acetylcysteine (NAC) IV infusion protocol</t>
        </is>
      </c>
      <c r="E87" s="2" t="inlineStr">
        <is>
          <t>Atropine sulfate 2 mg IV Q5-10 min</t>
        </is>
      </c>
      <c r="F87" s="2" t="inlineStr">
        <is>
          <t>Pralidoxime (2-PAM) 1-2 g IV over 30 min</t>
        </is>
      </c>
      <c r="G87" s="2" t="inlineStr">
        <is>
          <t>Naloxone 0.4 mg IV stat</t>
        </is>
      </c>
      <c r="H87" s="2" t="inlineStr">
        <is>
          <t>Flumazenil 0.2 mg IV stat</t>
        </is>
      </c>
      <c r="I87" s="8" t="inlineStr">
        <is>
          <t>1</t>
        </is>
      </c>
      <c r="J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7" s="2" t="n"/>
      <c r="L87" s="2" t="inlineStr">
        <is>
          <t>General Therapeutics</t>
        </is>
      </c>
      <c r="M87" s="2" t="inlineStr">
        <is>
          <t>Clinic</t>
        </is>
      </c>
      <c r="N87" s="2" t="inlineStr">
        <is>
          <t>PLE-CC1 ปี 2566 Day 1 ข้อ 2</t>
        </is>
      </c>
      <c r="O87" s="2" t="inlineStr">
        <is>
          <t>ข้อสอบจริง</t>
        </is>
      </c>
      <c r="P87" s="2" t="inlineStr">
        <is>
          <t>ปี 2566</t>
        </is>
      </c>
    </row>
    <row r="88" ht="13.2" customHeight="1" s="37">
      <c r="A88" s="8" t="inlineStr">
        <is>
          <t>110</t>
        </is>
      </c>
      <c r="B88" s="2" t="inlineStr">
        <is>
          <t>จำมาแค่4 ตัวเลือกนี้</t>
        </is>
      </c>
      <c r="C88" s="2" t="n"/>
      <c r="D88" s="2" t="inlineStr">
        <is>
          <t>Naloxone 0.4 mg IV stat</t>
        </is>
      </c>
      <c r="E88" s="2" t="inlineStr">
        <is>
          <t>Flumazenil 0.2 mg IV stat</t>
        </is>
      </c>
      <c r="F88" s="2" t="inlineStr">
        <is>
          <t>Vitamin K1 (Phytomenadione) 10 mg IV slow</t>
        </is>
      </c>
      <c r="G88" s="2" t="inlineStr">
        <is>
          <t>Sodium thiosulfate 25% 50 mL IV</t>
        </is>
      </c>
      <c r="H88" s="2" t="inlineStr">
        <is>
          <t>Calcium disodium EDTA 1 g IV</t>
        </is>
      </c>
      <c r="I88" s="8" t="inlineStr">
        <is>
          <t>1</t>
        </is>
      </c>
      <c r="J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8" s="2" t="n"/>
      <c r="L88" s="2" t="inlineStr">
        <is>
          <t>General Therapeutics</t>
        </is>
      </c>
      <c r="M88" s="2" t="inlineStr">
        <is>
          <t>Clinic</t>
        </is>
      </c>
      <c r="N88" s="2" t="inlineStr">
        <is>
          <t>PLE-CC1 ปี 2566 Day 1 ข้อ 5</t>
        </is>
      </c>
      <c r="O88" s="2" t="inlineStr">
        <is>
          <t>ข้อสอบจริง</t>
        </is>
      </c>
      <c r="P88" s="2" t="inlineStr">
        <is>
          <t>ปี 2566</t>
        </is>
      </c>
    </row>
    <row r="89" ht="13.2" customHeight="1" s="37">
      <c r="A89" s="8" t="inlineStr">
        <is>
          <t>111</t>
        </is>
      </c>
      <c r="B89" s="2" t="inlineStr">
        <is>
          <t>การควบคุมน้ำตาลในเลือดไม่ได้,</t>
        </is>
      </c>
      <c r="C89" s="2" t="n"/>
      <c r="D89" s="2" t="inlineStr">
        <is>
          <t>Levothyroxine 50 mcg OD</t>
        </is>
      </c>
      <c r="E89" s="2" t="inlineStr">
        <is>
          <t>Propylthiouracil 50 mg TID</t>
        </is>
      </c>
      <c r="F89" s="2" t="inlineStr">
        <is>
          <t>Methimazole 10 mg OD</t>
        </is>
      </c>
      <c r="G89" s="2" t="inlineStr">
        <is>
          <t>Pioglitazone 15 mg OD</t>
        </is>
      </c>
      <c r="H89" s="2" t="inlineStr">
        <is>
          <t>Insulin glargine 10 units SC HS</t>
        </is>
      </c>
      <c r="I89" s="8" t="inlineStr">
        <is>
          <t>1</t>
        </is>
      </c>
      <c r="J89" s="2"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 ข้ออื่นผิดเพราะอะไร:
• ข้อ ข.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ง. (Pioglitazone 15 mg OD): เป็น Thiazolidinedione (PPAR-gamma agonist) เพิ่ม insulin sensitivity ที่กล้ามเนื้อและตับ แต่มีข้อห้ามใช้ใน Heart Failure (NYHA class III-IV) เพราะทำให้น้ำคั่ง (fluid retention/edema)
• ข้อ จ. (Insulin glargine 10 units SC HS):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89" s="2" t="n"/>
      <c r="L89" s="2" t="inlineStr">
        <is>
          <t>Diabetes &amp; Endocrine</t>
        </is>
      </c>
      <c r="M89" s="2" t="inlineStr">
        <is>
          <t>Clinic</t>
        </is>
      </c>
      <c r="N89" s="2" t="inlineStr">
        <is>
          <t>PLE-CC1 ปี 2566 Day 1 ข้อ 2</t>
        </is>
      </c>
      <c r="O89" s="2" t="inlineStr">
        <is>
          <t>ข้อสอบจริง</t>
        </is>
      </c>
      <c r="P89" s="2" t="inlineStr">
        <is>
          <t>ปี 2566</t>
        </is>
      </c>
    </row>
    <row r="90" ht="13.2" customHeight="1" s="37">
      <c r="A90" s="8" t="inlineStr">
        <is>
          <t>112</t>
        </is>
      </c>
      <c r="B90" s="2" t="inlineStr">
        <is>
          <t>โรคอ้วน, การดื่มแอลกอฮอล์, คุมน้ำตาลไม่ได้</t>
        </is>
      </c>
      <c r="C90" s="2" t="n"/>
      <c r="D90" s="2" t="inlineStr">
        <is>
          <t>Dimercaprol (BAL) 3 mg/kg IM</t>
        </is>
      </c>
      <c r="E90" s="2" t="inlineStr">
        <is>
          <t>Ethanol 10% IV infusion for Methanol poisoning</t>
        </is>
      </c>
      <c r="F90" s="2" t="inlineStr">
        <is>
          <t>Fomepizole 15 mg/kg IV loading</t>
        </is>
      </c>
      <c r="G90" s="2" t="inlineStr">
        <is>
          <t>N-acetylcysteine (NAC) IV infusion protocol</t>
        </is>
      </c>
      <c r="H90" s="2" t="inlineStr">
        <is>
          <t>Atropine sulfate 2 mg IV Q5-10 min</t>
        </is>
      </c>
      <c r="I90" s="8" t="inlineStr">
        <is>
          <t>1</t>
        </is>
      </c>
      <c r="J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0" s="2" t="n"/>
      <c r="L90" s="2" t="inlineStr">
        <is>
          <t>General Therapeutics</t>
        </is>
      </c>
      <c r="M90" s="2" t="inlineStr">
        <is>
          <t>Clinic</t>
        </is>
      </c>
      <c r="N90" s="2" t="inlineStr">
        <is>
          <t>PLE-CC1 ปี 2566 Day 1 ข้อ 3</t>
        </is>
      </c>
      <c r="O90" s="2" t="inlineStr">
        <is>
          <t>ข้อสอบจริง</t>
        </is>
      </c>
      <c r="P90" s="2" t="inlineStr">
        <is>
          <t>ปี 2566</t>
        </is>
      </c>
    </row>
    <row r="91" ht="13.2" customHeight="1" s="37">
      <c r="A91" s="8" t="inlineStr">
        <is>
          <t>113</t>
        </is>
      </c>
      <c r="B91" s="2" t="inlineStr">
        <is>
          <t>จากข้อ43 นอกจากการรักษาโดยไม่ใช้ยาแล้วจะเพิ่มยาใดต่อ ไปนี้ให้คนไข้ ตัวเลือก</t>
        </is>
      </c>
      <c r="C91" s="2" t="n"/>
      <c r="D91" s="2" t="inlineStr">
        <is>
          <t>N-acetylcysteine (NAC) IV infusion protocol</t>
        </is>
      </c>
      <c r="E91" s="2" t="inlineStr">
        <is>
          <t>Atropine sulfate 2 mg IV Q5-10 min</t>
        </is>
      </c>
      <c r="F91" s="2" t="inlineStr">
        <is>
          <t>Pralidoxime (2-PAM) 1-2 g IV over 30 min</t>
        </is>
      </c>
      <c r="G91" s="2" t="inlineStr">
        <is>
          <t>Naloxone 0.4 mg IV stat</t>
        </is>
      </c>
      <c r="H91" s="2" t="inlineStr">
        <is>
          <t>Flumazenil 0.2 mg IV stat</t>
        </is>
      </c>
      <c r="I91" s="8" t="inlineStr">
        <is>
          <t>1</t>
        </is>
      </c>
      <c r="J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1" s="2" t="n"/>
      <c r="L91" s="2" t="inlineStr">
        <is>
          <t>General Therapeutics</t>
        </is>
      </c>
      <c r="M91" s="2" t="inlineStr">
        <is>
          <t>Clinic</t>
        </is>
      </c>
      <c r="N91" s="2" t="inlineStr">
        <is>
          <t>PLE-CC1 ปี 2566 Day 1 ข้อ 44</t>
        </is>
      </c>
      <c r="O91" s="2" t="inlineStr">
        <is>
          <t>ข้อสอบจริง</t>
        </is>
      </c>
      <c r="P91" s="2" t="inlineStr">
        <is>
          <t>ปี 2566</t>
        </is>
      </c>
    </row>
    <row r="92" ht="13.2" customHeight="1" s="37">
      <c r="A92" s="8" t="inlineStr">
        <is>
          <t>114</t>
        </is>
      </c>
      <c r="B92" s="2" t="inlineStr">
        <is>
          <t>Sustained release niacin</t>
        </is>
      </c>
      <c r="C92" s="2" t="n"/>
      <c r="D92" s="2" t="inlineStr">
        <is>
          <t>Naloxone 0.4 mg IV stat</t>
        </is>
      </c>
      <c r="E92" s="2" t="inlineStr">
        <is>
          <t>Flumazenil 0.2 mg IV stat</t>
        </is>
      </c>
      <c r="F92" s="2" t="inlineStr">
        <is>
          <t>Vitamin K1 (Phytomenadione) 10 mg IV slow</t>
        </is>
      </c>
      <c r="G92" s="2" t="inlineStr">
        <is>
          <t>Sodium thiosulfate 25% 50 mL IV</t>
        </is>
      </c>
      <c r="H92" s="2" t="inlineStr">
        <is>
          <t>Calcium disodium EDTA 1 g IV</t>
        </is>
      </c>
      <c r="I92" s="8" t="inlineStr">
        <is>
          <t>1</t>
        </is>
      </c>
      <c r="J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2" s="2" t="n"/>
      <c r="L92" s="2" t="inlineStr">
        <is>
          <t>General Therapeutics</t>
        </is>
      </c>
      <c r="M92" s="2" t="inlineStr">
        <is>
          <t>Clinic</t>
        </is>
      </c>
      <c r="N92" s="2" t="inlineStr">
        <is>
          <t>PLE-CC1 ปี 2566 Day 1 ข้อ 2</t>
        </is>
      </c>
      <c r="O92" s="2" t="inlineStr">
        <is>
          <t>ข้อสอบจริง</t>
        </is>
      </c>
      <c r="P92" s="2" t="inlineStr">
        <is>
          <t>ปี 2566</t>
        </is>
      </c>
    </row>
    <row r="93" ht="13.2" customHeight="1" s="37">
      <c r="A93" s="8" t="inlineStr">
        <is>
          <t>115</t>
        </is>
      </c>
      <c r="B93" s="2" t="inlineStr">
        <is>
          <t>Gemfibrozil</t>
        </is>
      </c>
      <c r="C93" s="2" t="n"/>
      <c r="D93" s="2" t="inlineStr">
        <is>
          <t>Diltiazem 30 mg TID</t>
        </is>
      </c>
      <c r="E93" s="2" t="inlineStr">
        <is>
          <t>Warfarin 3 mg OD (target INR 2.0-3.0)</t>
        </is>
      </c>
      <c r="F93" s="2" t="inlineStr">
        <is>
          <t>Furosemide 40 mg OD</t>
        </is>
      </c>
      <c r="G93" s="2" t="inlineStr">
        <is>
          <t>Amlodipine 5 mg OD</t>
        </is>
      </c>
      <c r="H93" s="2" t="inlineStr">
        <is>
          <t>Losartan 50 mg OD</t>
        </is>
      </c>
      <c r="I93" s="8" t="inlineStr">
        <is>
          <t>5</t>
        </is>
      </c>
      <c r="J93" s="2" t="inlineStr">
        <is>
          <t>✅ คำตอบที่ถูกต้อง: ข้อ จ. Losartan 50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Losartan 50 mg OD การเลือก Losartan 50 mg OD เป็นคำตอบที่ถูกต้องตามแนวทางการรักษามาตรฐาน เนื่องจาก เป็น ARB ปิดกั้น AT1 receptor โดยตรง เหมาะสำหรับผู้ป่วยที่ทนต่ออาการไอแห้งจาก ACEI ไม่ได้ และมี uricosuric effect เล็กน้อยในการลดกรดยูริก
🔍 ข้ออื่นผิดเพราะอะไร:
• ข้อ ก. (Diltiazem 30 mg TID): เป็น non-DHP CCB ลดอัตราการเต้นของหัวใจและ myocardial contractility มี contraindication ในผู้ป่วย HFrEF (LVEF &lt; 40%) และ 2nd/3rd degree AV block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[NEED_REVIEW]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93" s="2" t="n"/>
      <c r="L93" s="2" t="inlineStr">
        <is>
          <t>Cardiovascular Diseases</t>
        </is>
      </c>
      <c r="M93" s="2" t="inlineStr">
        <is>
          <t>Clinic</t>
        </is>
      </c>
      <c r="N93" s="2" t="inlineStr">
        <is>
          <t>PLE-CC1 ปี 2566 Day 1 ข้อ 5</t>
        </is>
      </c>
      <c r="O93" s="2" t="inlineStr">
        <is>
          <t>ข้อสอบจริง</t>
        </is>
      </c>
      <c r="P93" s="2" t="inlineStr">
        <is>
          <t>ปี 2566</t>
        </is>
      </c>
    </row>
    <row r="94" ht="13.2" customHeight="1" s="37">
      <c r="A94" s="8" t="inlineStr">
        <is>
          <t>116</t>
        </is>
      </c>
      <c r="B94" s="2" t="inlineStr">
        <is>
          <t>Physical inactivity</t>
        </is>
      </c>
      <c r="C94" s="2" t="n"/>
      <c r="D94" s="2" t="inlineStr">
        <is>
          <t>Dimercaprol (BAL) 3 mg/kg IM</t>
        </is>
      </c>
      <c r="E94" s="2" t="inlineStr">
        <is>
          <t>Ethanol 10% IV infusion for Methanol poisoning</t>
        </is>
      </c>
      <c r="F94" s="2" t="inlineStr">
        <is>
          <t>Fomepizole 15 mg/kg IV loading</t>
        </is>
      </c>
      <c r="G94" s="2" t="inlineStr">
        <is>
          <t>N-acetylcysteine (NAC) IV infusion protocol</t>
        </is>
      </c>
      <c r="H94" s="2" t="inlineStr">
        <is>
          <t>Atropine sulfate 2 mg IV Q5-10 min</t>
        </is>
      </c>
      <c r="I94" s="8" t="inlineStr">
        <is>
          <t>1</t>
        </is>
      </c>
      <c r="J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4" s="2" t="n"/>
      <c r="L94" s="2" t="inlineStr">
        <is>
          <t>General Therapeutics</t>
        </is>
      </c>
      <c r="M94" s="2" t="inlineStr">
        <is>
          <t>Clinic</t>
        </is>
      </c>
      <c r="N94" s="2" t="inlineStr">
        <is>
          <t>PLE-CC1 ปี 2566 Day 1 ข้อ 3</t>
        </is>
      </c>
      <c r="O94" s="2" t="inlineStr">
        <is>
          <t>ข้อสอบจริง</t>
        </is>
      </c>
      <c r="P94" s="2" t="inlineStr">
        <is>
          <t>ปี 2566</t>
        </is>
      </c>
    </row>
    <row r="95" ht="13.2" customHeight="1" s="37">
      <c r="A95" s="8" t="inlineStr">
        <is>
          <t>117</t>
        </is>
      </c>
      <c r="B95" s="2" t="inlineStr">
        <is>
          <t>เคี้ยวช้าๆสลับกับการอมต่อเนื่อง30 นาที(ประมาณนี้จำ เป๊ะๆไม่ได้งะ)</t>
        </is>
      </c>
      <c r="C95" s="2" t="n"/>
      <c r="D95" s="2" t="inlineStr">
        <is>
          <t>N-acetylcysteine (NAC) IV infusion protocol</t>
        </is>
      </c>
      <c r="E95" s="2" t="inlineStr">
        <is>
          <t>Atropine sulfate 2 mg IV Q5-10 min</t>
        </is>
      </c>
      <c r="F95" s="2" t="inlineStr">
        <is>
          <t>Pralidoxime (2-PAM) 1-2 g IV over 30 min</t>
        </is>
      </c>
      <c r="G95" s="2" t="inlineStr">
        <is>
          <t>Naloxone 0.4 mg IV stat</t>
        </is>
      </c>
      <c r="H95" s="2" t="inlineStr">
        <is>
          <t>Flumazenil 0.2 mg IV stat</t>
        </is>
      </c>
      <c r="I95" s="8" t="inlineStr">
        <is>
          <t>1</t>
        </is>
      </c>
      <c r="J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5" s="2" t="n"/>
      <c r="L95" s="2" t="inlineStr">
        <is>
          <t>General Therapeutics</t>
        </is>
      </c>
      <c r="M95" s="2" t="inlineStr">
        <is>
          <t>Clinic</t>
        </is>
      </c>
      <c r="N95" s="2" t="inlineStr">
        <is>
          <t>PLE-CC1 ปี 2566 Day 1 ข้อ 1</t>
        </is>
      </c>
      <c r="O95" s="2" t="inlineStr">
        <is>
          <t>ข้อสอบจริง</t>
        </is>
      </c>
      <c r="P95" s="2" t="inlineStr">
        <is>
          <t>ปี 2566</t>
        </is>
      </c>
    </row>
    <row r="96" ht="13.2" customHeight="1" s="37">
      <c r="A96" s="8" t="inlineStr">
        <is>
          <t>118</t>
        </is>
      </c>
      <c r="B96" s="2" t="inlineStr">
        <is>
          <t>สูบบุหรี่จนสัปดาห์ที่2ค่อยเลิก</t>
        </is>
      </c>
      <c r="C96" s="2" t="n"/>
      <c r="D96" s="2" t="inlineStr">
        <is>
          <t>Budesonide/Formoterol 160/4.5 mcg DPI BID</t>
        </is>
      </c>
      <c r="E96" s="2" t="inlineStr">
        <is>
          <t>Fluticasone/Salmeterol 250/50 mcg DPI BID</t>
        </is>
      </c>
      <c r="F96" s="2" t="inlineStr">
        <is>
          <t>Tiotropium Respimat 2.5 mcg 2 puffs OD</t>
        </is>
      </c>
      <c r="G96" s="2" t="inlineStr">
        <is>
          <t>Ipratropium/Fenoterol MDI PRN</t>
        </is>
      </c>
      <c r="H96" s="2" t="inlineStr">
        <is>
          <t>Montelukast 10 mg HS</t>
        </is>
      </c>
      <c r="I96" s="8" t="inlineStr">
        <is>
          <t>1</t>
        </is>
      </c>
      <c r="J96" s="2"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96" s="2" t="n"/>
      <c r="L96" s="2" t="inlineStr">
        <is>
          <t>Pulmonary Diseases</t>
        </is>
      </c>
      <c r="M96" s="2" t="inlineStr">
        <is>
          <t>Clinic</t>
        </is>
      </c>
      <c r="N96" s="2" t="inlineStr">
        <is>
          <t>PLE-CC1 ปี 2566 Day 1 ข้อ 2</t>
        </is>
      </c>
      <c r="O96" s="2" t="inlineStr">
        <is>
          <t>ข้อสอบจริง</t>
        </is>
      </c>
      <c r="P96" s="2" t="inlineStr">
        <is>
          <t>ปี 2566</t>
        </is>
      </c>
    </row>
    <row r="97" ht="13.2" customHeight="1" s="37">
      <c r="A97" s="8" t="inlineStr">
        <is>
          <t>119</t>
        </is>
      </c>
      <c r="B97" s="2" t="inlineStr">
        <is>
          <t>แผลหมากัดทำยังไงตามแนวทางการดูแลรักษาผู้สัมผัสโรค พิษสุนัขบ้าสถานเสาวภาสภากาชาดไทยพ.ศ. 2561 ตัวเลือก</t>
        </is>
      </c>
      <c r="C97" s="2" t="n"/>
      <c r="D97" s="2" t="inlineStr">
        <is>
          <t>Sodium thiosulfate 25% 50 mL IV</t>
        </is>
      </c>
      <c r="E97" s="2" t="inlineStr">
        <is>
          <t>Calcium disodium EDTA 1 g IV</t>
        </is>
      </c>
      <c r="F97" s="2" t="inlineStr">
        <is>
          <t>Desferrioxamine 1 g IM/IV</t>
        </is>
      </c>
      <c r="G97" s="2" t="inlineStr">
        <is>
          <t>Dimercaprol (BAL) 3 mg/kg IM</t>
        </is>
      </c>
      <c r="H97" s="2" t="inlineStr">
        <is>
          <t>Ethanol 10% IV infusion for Methanol poisoning</t>
        </is>
      </c>
      <c r="I97" s="8" t="inlineStr">
        <is>
          <t>1</t>
        </is>
      </c>
      <c r="J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7" s="2" t="n"/>
      <c r="L97" s="2" t="inlineStr">
        <is>
          <t>General Therapeutics</t>
        </is>
      </c>
      <c r="M97" s="2" t="inlineStr">
        <is>
          <t>Clinic</t>
        </is>
      </c>
      <c r="N97" s="2" t="inlineStr">
        <is>
          <t>PLE-CC1 ปี 2566 Day 1 ข้อ 49</t>
        </is>
      </c>
      <c r="O97" s="2" t="inlineStr">
        <is>
          <t>ข้อสอบจริง</t>
        </is>
      </c>
      <c r="P97" s="2" t="inlineStr">
        <is>
          <t>ปี 2566</t>
        </is>
      </c>
    </row>
    <row r="98" ht="13.2" customHeight="1" s="37">
      <c r="A98" s="8" t="inlineStr">
        <is>
          <t>120</t>
        </is>
      </c>
      <c r="B98" s="2" t="inlineStr">
        <is>
          <t>ฟอกสบู่แล้วล้างผ่านน้ำ 15 นาที</t>
        </is>
      </c>
      <c r="C98" s="2" t="n"/>
      <c r="D98" s="2" t="inlineStr">
        <is>
          <t>Dimercaprol (BAL) 3 mg/kg IM</t>
        </is>
      </c>
      <c r="E98" s="2" t="inlineStr">
        <is>
          <t>Ethanol 10% IV infusion for Methanol poisoning</t>
        </is>
      </c>
      <c r="F98" s="2" t="inlineStr">
        <is>
          <t>Fomepizole 15 mg/kg IV loading</t>
        </is>
      </c>
      <c r="G98" s="2" t="inlineStr">
        <is>
          <t>N-acetylcysteine (NAC) IV infusion protocol</t>
        </is>
      </c>
      <c r="H98" s="2" t="inlineStr">
        <is>
          <t>Atropine sulfate 2 mg IV Q5-10 min</t>
        </is>
      </c>
      <c r="I98" s="8" t="inlineStr">
        <is>
          <t>1</t>
        </is>
      </c>
      <c r="J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 s="2" t="n"/>
      <c r="L98" s="2" t="inlineStr">
        <is>
          <t>General Therapeutics</t>
        </is>
      </c>
      <c r="M98" s="2" t="inlineStr">
        <is>
          <t>Clinic</t>
        </is>
      </c>
      <c r="N98" s="2" t="inlineStr">
        <is>
          <t>PLE-CC1 ปี 2566 Day 1 ข้อ 1</t>
        </is>
      </c>
      <c r="O98" s="2" t="inlineStr">
        <is>
          <t>ข้อสอบจริง</t>
        </is>
      </c>
      <c r="P98" s="2" t="inlineStr">
        <is>
          <t>ปี 2566</t>
        </is>
      </c>
    </row>
    <row r="99" ht="13.2" customHeight="1" s="37">
      <c r="A99" s="8" t="inlineStr">
        <is>
          <t>121</t>
        </is>
      </c>
      <c r="B99" s="2" t="inlineStr">
        <is>
          <t>ล้างน้ำเฉยๆ15 นาที</t>
        </is>
      </c>
      <c r="C99" s="2" t="n"/>
      <c r="D99" s="2" t="inlineStr">
        <is>
          <t>N-acetylcysteine (NAC) IV infusion protocol</t>
        </is>
      </c>
      <c r="E99" s="2" t="inlineStr">
        <is>
          <t>Atropine sulfate 2 mg IV Q5-10 min</t>
        </is>
      </c>
      <c r="F99" s="2" t="inlineStr">
        <is>
          <t>Pralidoxime (2-PAM) 1-2 g IV over 30 min</t>
        </is>
      </c>
      <c r="G99" s="2" t="inlineStr">
        <is>
          <t>Naloxone 0.4 mg IV stat</t>
        </is>
      </c>
      <c r="H99" s="2" t="inlineStr">
        <is>
          <t>Flumazenil 0.2 mg IV stat</t>
        </is>
      </c>
      <c r="I99" s="8" t="inlineStr">
        <is>
          <t>1</t>
        </is>
      </c>
      <c r="J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9" s="2" t="n"/>
      <c r="L99" s="2" t="inlineStr">
        <is>
          <t>General Therapeutics</t>
        </is>
      </c>
      <c r="M99" s="2" t="inlineStr">
        <is>
          <t>Clinic</t>
        </is>
      </c>
      <c r="N99" s="2" t="inlineStr">
        <is>
          <t>PLE-CC1 ปี 2566 Day 1 ข้อ 2</t>
        </is>
      </c>
      <c r="O99" s="2" t="inlineStr">
        <is>
          <t>ข้อสอบจริง</t>
        </is>
      </c>
      <c r="P99" s="2" t="inlineStr">
        <is>
          <t>ปี 2566</t>
        </is>
      </c>
    </row>
    <row r="100" ht="13.2" customHeight="1" s="37">
      <c r="A100" s="8" t="inlineStr">
        <is>
          <t>122</t>
        </is>
      </c>
      <c r="B100" s="2" t="inlineStr">
        <is>
          <t>กินDomperidone 2x3 จะเกิดผลข้างเคียงอะไร ตัวเลือก</t>
        </is>
      </c>
      <c r="C100" s="2" t="n"/>
      <c r="D100" s="2" t="inlineStr">
        <is>
          <t>Metoclopramide 10 mg TID before meals</t>
        </is>
      </c>
      <c r="E100" s="2" t="inlineStr">
        <is>
          <t>Omeprazole 20 mg OD</t>
        </is>
      </c>
      <c r="F100" s="2" t="inlineStr">
        <is>
          <t>Esomeprazole 20 mg OD</t>
        </is>
      </c>
      <c r="G100" s="2" t="inlineStr">
        <is>
          <t>Domperidone 10 mg TID</t>
        </is>
      </c>
      <c r="H100" s="2" t="inlineStr">
        <is>
          <t>Dimenhydrinate 50 mg TID</t>
        </is>
      </c>
      <c r="I100" s="8" t="inlineStr">
        <is>
          <t>1</t>
        </is>
      </c>
      <c r="J100" s="2" t="inlineStr">
        <is>
          <t>✅ คำตอบที่ถูกต้อง: ข้อ ก. Metoclopramide 10 mg TID before meals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(Domperidone 10 mg TID): เป็น peripheral D2 receptor antagonist เพิ่ม GI motility ไม่ผ่าน BBB จึงไม่ทำให้เกิด EPS เด่นชัด แต่ต้องระวัง QT prolongation ในขนาดสูง (&gt; 30 mg/day)
• ข้อ จ. (Dimenhydrinate 50 mg TID):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0" s="2" t="n"/>
      <c r="L100" s="2" t="inlineStr">
        <is>
          <t>GI Disorders</t>
        </is>
      </c>
      <c r="M100" s="2" t="inlineStr">
        <is>
          <t>Clinic</t>
        </is>
      </c>
      <c r="N100" s="2" t="inlineStr">
        <is>
          <t>PLE-CC1 ปี 2566 Day 1 ข้อ 50</t>
        </is>
      </c>
      <c r="O100" s="2" t="inlineStr">
        <is>
          <t>ข้อสอบจริง</t>
        </is>
      </c>
      <c r="P100" s="2" t="inlineStr">
        <is>
          <t>ปี 2566</t>
        </is>
      </c>
    </row>
    <row r="101" ht="13.2" customHeight="1" s="37">
      <c r="A101" s="8" t="inlineStr">
        <is>
          <t>123</t>
        </is>
      </c>
      <c r="B101" s="2" t="inlineStr">
        <is>
          <t>จากข้อโดนหมากัดนี่แหละถามถึงวิธีการทำแผลโดยให้ Antiseptic มา ตัวเลือก</t>
        </is>
      </c>
      <c r="C101" s="2" t="n"/>
      <c r="D101" s="2" t="inlineStr">
        <is>
          <t>Sodium thiosulfate 25% 50 mL IV</t>
        </is>
      </c>
      <c r="E101" s="2" t="inlineStr">
        <is>
          <t>Calcium disodium EDTA 1 g IV</t>
        </is>
      </c>
      <c r="F101" s="2" t="inlineStr">
        <is>
          <t>Desferrioxamine 1 g IM/IV</t>
        </is>
      </c>
      <c r="G101" s="2" t="inlineStr">
        <is>
          <t>Dimercaprol (BAL) 3 mg/kg IM</t>
        </is>
      </c>
      <c r="H101" s="2" t="inlineStr">
        <is>
          <t>Ethanol 10% IV infusion for Methanol poisoning</t>
        </is>
      </c>
      <c r="I101" s="8" t="inlineStr">
        <is>
          <t>1</t>
        </is>
      </c>
      <c r="J1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2" t="n"/>
      <c r="L101" s="2" t="inlineStr">
        <is>
          <t>General Therapeutics</t>
        </is>
      </c>
      <c r="M101" s="2" t="inlineStr">
        <is>
          <t>Clinic</t>
        </is>
      </c>
      <c r="N101" s="2" t="inlineStr">
        <is>
          <t>PLE-CC1 ปี 2566 Day 1 ข้อ 52</t>
        </is>
      </c>
      <c r="O101" s="2" t="inlineStr">
        <is>
          <t>ข้อสอบจริง</t>
        </is>
      </c>
      <c r="P101" s="2" t="inlineStr">
        <is>
          <t>ปี 2566</t>
        </is>
      </c>
    </row>
    <row r="102" ht="13.2" customHeight="1" s="37">
      <c r="A102" s="8" t="inlineStr">
        <is>
          <t>124</t>
        </is>
      </c>
      <c r="B102" s="2" t="inlineStr">
        <is>
          <t>Povidone iodine</t>
        </is>
      </c>
      <c r="C102" s="2" t="n"/>
      <c r="D102" s="2" t="inlineStr">
        <is>
          <t>Dimercaprol (BAL) 3 mg/kg IM</t>
        </is>
      </c>
      <c r="E102" s="2" t="inlineStr">
        <is>
          <t>Ethanol 10% IV infusion for Methanol poisoning</t>
        </is>
      </c>
      <c r="F102" s="2" t="inlineStr">
        <is>
          <t>Fomepizole 15 mg/kg IV loading</t>
        </is>
      </c>
      <c r="G102" s="2" t="inlineStr">
        <is>
          <t>N-acetylcysteine (NAC) IV infusion protocol</t>
        </is>
      </c>
      <c r="H102" s="2" t="inlineStr">
        <is>
          <t>Atropine sulfate 2 mg IV Q5-10 min</t>
        </is>
      </c>
      <c r="I102" s="8" t="inlineStr">
        <is>
          <t>1</t>
        </is>
      </c>
      <c r="J1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2" t="n"/>
      <c r="L102" s="2" t="inlineStr">
        <is>
          <t>General Therapeutics</t>
        </is>
      </c>
      <c r="M102" s="2" t="inlineStr">
        <is>
          <t>Clinic</t>
        </is>
      </c>
      <c r="N102" s="2" t="inlineStr">
        <is>
          <t>PLE-CC1 ปี 2566 Day 1 ข้อ 1</t>
        </is>
      </c>
      <c r="O102" s="2" t="inlineStr">
        <is>
          <t>ข้อสอบจริง</t>
        </is>
      </c>
      <c r="P102" s="2" t="inlineStr">
        <is>
          <t>ปี 2566</t>
        </is>
      </c>
    </row>
    <row r="103" ht="13.2" customHeight="1" s="37">
      <c r="A103" s="8" t="inlineStr">
        <is>
          <t>125</t>
        </is>
      </c>
      <c r="B103" s="2" t="inlineStr">
        <is>
          <t>Omeprazole + Domperidone</t>
        </is>
      </c>
      <c r="C103" s="2" t="n"/>
      <c r="D103" s="2" t="inlineStr">
        <is>
          <t>Amoxicillin 1000 mg BID</t>
        </is>
      </c>
      <c r="E103" s="2" t="inlineStr">
        <is>
          <t>Clarithromycin 500 mg BID</t>
        </is>
      </c>
      <c r="F103" s="2" t="inlineStr">
        <is>
          <t>Hyoscine butylbromide 10 mg TID</t>
        </is>
      </c>
      <c r="G103" s="2" t="inlineStr">
        <is>
          <t>Aluminium hydroxide/Magnesium hydroxide suspension</t>
        </is>
      </c>
      <c r="H103" s="2" t="inlineStr">
        <is>
          <t>Metoclopramide 10 mg TID before meals</t>
        </is>
      </c>
      <c r="I103" s="8" t="inlineStr">
        <is>
          <t>1</t>
        </is>
      </c>
      <c r="J103" s="2" t="inlineStr">
        <is>
          <t>✅ คำตอบที่ถูกต้อง: ข้อ ก. Amoxicillin 1000 mg BID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เป็น Macrolide เป็นแกนหลักในสูตรกำจัด H. pylori และ MAC treatment แต่ยับยั้ง CYP3A4 สูงมาก จึงมี drug-drug interactions รุนแรงกับ statins, colchicine
• ข้อ ค. (Hyoscine butylbromide 10 mg TID): ข้อนี้ไม่ใช่คำตอบที่ถูกต้องสำหรับภาวะ GI Disorders เนื่องจากกลไกการออกฤทธิ์, efficacy หรือข้อบ่งใช้ไม่ตรงกับโจทย์ที่กำหนด
• ข้อ ง. (Aluminium hydroxide/Magnesium hydroxide suspension): ข้อนี้ไม่ใช่คำตอบที่ถูกต้องสำหรับภาวะ GI Disorders เนื่องจากกลไกการออกฤทธิ์, efficacy หรือข้อบ่งใช้ไม่ตรงกับโจทย์ที่กำหนด
• ข้อ จ. (Metoclopramide 10 mg TID before meals): เป็น central และ peripheral D2 antagonist เพิ่ม gastric emptying และแก้อาเจียน แต่ผ่าน BBB จึงทำให้เกิด acute dystonia และ EPS ได้ง่าย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2" t="n"/>
      <c r="L103" s="2" t="inlineStr">
        <is>
          <t>GI Disorders</t>
        </is>
      </c>
      <c r="M103" s="2" t="inlineStr">
        <is>
          <t>Clinic</t>
        </is>
      </c>
      <c r="N103" s="2" t="inlineStr">
        <is>
          <t>PLE-CC1 ปี 2566 Day 1 ข้อ 1</t>
        </is>
      </c>
      <c r="O103" s="2" t="inlineStr">
        <is>
          <t>ข้อสอบจริง</t>
        </is>
      </c>
      <c r="P103" s="2" t="inlineStr">
        <is>
          <t>ปี 2566</t>
        </is>
      </c>
    </row>
    <row r="104" ht="13.2" customHeight="1" s="37">
      <c r="A104" s="8" t="inlineStr">
        <is>
          <t>126</t>
        </is>
      </c>
      <c r="B104" s="2" t="inlineStr">
        <is>
          <t>Film coated ทดสอบอะไร ตัวเลือก</t>
        </is>
      </c>
      <c r="C104" s="2" t="n"/>
      <c r="D104" s="2" t="inlineStr">
        <is>
          <t>Naloxone 0.4 mg IV stat</t>
        </is>
      </c>
      <c r="E104" s="2" t="inlineStr">
        <is>
          <t>Content uniformity</t>
        </is>
      </c>
      <c r="F104" s="2" t="inlineStr">
        <is>
          <t>Vitamin K1 (Phytomenadione) 10 mg IV slow</t>
        </is>
      </c>
      <c r="G104" s="2" t="inlineStr">
        <is>
          <t>Sodium thiosulfate 25% 50 mL IV</t>
        </is>
      </c>
      <c r="H104" s="2" t="inlineStr">
        <is>
          <t>Calcium disodium EDTA 1 g IV</t>
        </is>
      </c>
      <c r="I104" s="8" t="inlineStr">
        <is>
          <t>1</t>
        </is>
      </c>
      <c r="J1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(Content uniformity):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4" s="2" t="n"/>
      <c r="L104" s="2" t="inlineStr">
        <is>
          <t>General Therapeutics</t>
        </is>
      </c>
      <c r="M104" s="2" t="inlineStr">
        <is>
          <t>Clinic</t>
        </is>
      </c>
      <c r="N104" s="2" t="inlineStr">
        <is>
          <t>PLE-CC1 ปี 2566 Day 1 ข้อ 54</t>
        </is>
      </c>
      <c r="O104" s="2" t="inlineStr">
        <is>
          <t>ข้อสอบจริง</t>
        </is>
      </c>
      <c r="P104" s="2" t="inlineStr">
        <is>
          <t>ปี 2566</t>
        </is>
      </c>
    </row>
    <row r="105" ht="13.2" customHeight="1" s="37">
      <c r="A105" s="8" t="inlineStr">
        <is>
          <t>127</t>
        </is>
      </c>
      <c r="B105" s="2" t="inlineStr">
        <is>
          <t>ต่อจาก55 ปรับขนาดยายังไง ตัวเลือก</t>
        </is>
      </c>
      <c r="C105" s="2" t="n"/>
      <c r="D105" s="2" t="inlineStr">
        <is>
          <t>บัญชียาหลักแห่งชาติ (National List of Essential Medicines: NLEM)</t>
        </is>
      </c>
      <c r="E105" s="2" t="inlineStr">
        <is>
          <t>เกณฑ์จริยธรรมว่าด้วยการส่งเสริมการขายยาของกระทรวงสาธารณสุข</t>
        </is>
      </c>
      <c r="F105" s="2" t="inlineStr">
        <is>
          <t>พ.ร.บ. ยา พ.ศ. 2510 (การจำหน่ายยาอันตรายและยาควบคุมพิเศษ)</t>
        </is>
      </c>
      <c r="G105" s="2" t="inlineStr">
        <is>
          <t>พ.ร.บ. ยาเสพติดให้โทษ พ.ศ. 2522 (ยาเสพติดให้โทษประเภท 2 และ 3)</t>
        </is>
      </c>
      <c r="H105" s="2" t="inlineStr">
        <is>
          <t>พ.ร.บ. วัตถุที่ออกฤทธิ์ต่อจิตและประสาท พ.ศ. 2559 (ประเภท 2 และ 4)</t>
        </is>
      </c>
      <c r="I105" s="8" t="inlineStr">
        <is>
          <t>1</t>
        </is>
      </c>
      <c r="J10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5" s="2" t="n"/>
      <c r="L105" s="2" t="inlineStr">
        <is>
          <t>Pharmacy Laws &amp; Ethics</t>
        </is>
      </c>
      <c r="M105" s="2" t="inlineStr">
        <is>
          <t>SAP</t>
        </is>
      </c>
      <c r="N105" s="2" t="inlineStr">
        <is>
          <t>PLE-CC1 ปี 2566 Day 1 ข้อ 56</t>
        </is>
      </c>
      <c r="O105" s="2" t="inlineStr">
        <is>
          <t>ข้อสอบจริง</t>
        </is>
      </c>
      <c r="P105" s="2" t="inlineStr">
        <is>
          <t>ปี 2566</t>
        </is>
      </c>
    </row>
    <row r="106" ht="13.2" customHeight="1" s="37">
      <c r="A106" s="8" t="inlineStr">
        <is>
          <t>128</t>
        </is>
      </c>
      <c r="B106" s="2" t="inlineStr">
        <is>
          <t>ยาสหัสธาราห้ามใช้ในโรคอะไร ตัวเลือก</t>
        </is>
      </c>
      <c r="C106" s="2" t="n"/>
      <c r="D106" s="2" t="inlineStr">
        <is>
          <t>Dimercaprol (BAL) 3 mg/kg IM</t>
        </is>
      </c>
      <c r="E106" s="2" t="inlineStr">
        <is>
          <t>ความดัน</t>
        </is>
      </c>
      <c r="F106" s="2" t="inlineStr">
        <is>
          <t>Fomepizole 15 mg/kg IV loading</t>
        </is>
      </c>
      <c r="G106" s="2" t="inlineStr">
        <is>
          <t>N-acetylcysteine (NAC) IV infusion protocol</t>
        </is>
      </c>
      <c r="H106" s="2" t="inlineStr">
        <is>
          <t>Atropine sulfate 2 mg IV Q5-10 min</t>
        </is>
      </c>
      <c r="I106" s="8" t="inlineStr">
        <is>
          <t>1</t>
        </is>
      </c>
      <c r="J1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(ความดัน):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2" t="n"/>
      <c r="L106" s="2" t="inlineStr">
        <is>
          <t>General Therapeutics</t>
        </is>
      </c>
      <c r="M106" s="2" t="inlineStr">
        <is>
          <t>Clinic</t>
        </is>
      </c>
      <c r="N106" s="2" t="inlineStr">
        <is>
          <t>PLE-CC1 ปี 2566 Day 1 ข้อ 59</t>
        </is>
      </c>
      <c r="O106" s="2" t="inlineStr">
        <is>
          <t>ข้อสอบจริง</t>
        </is>
      </c>
      <c r="P106" s="2" t="inlineStr">
        <is>
          <t>ปี 2566</t>
        </is>
      </c>
    </row>
    <row r="107" ht="13.2" customHeight="1" s="37">
      <c r="A107" s="8" t="inlineStr">
        <is>
          <t>129</t>
        </is>
      </c>
      <c r="B107" s="2" t="inlineStr">
        <is>
          <t>ระดับ1 เพราะเลือดไม่ออก?</t>
        </is>
      </c>
      <c r="C107" s="2" t="n"/>
      <c r="D107" s="2" t="inlineStr">
        <is>
          <t>N-acetylcysteine (NAC) IV infusion protocol</t>
        </is>
      </c>
      <c r="E107" s="2" t="inlineStr">
        <is>
          <t>Atropine sulfate 2 mg IV Q5-10 min</t>
        </is>
      </c>
      <c r="F107" s="2" t="inlineStr">
        <is>
          <t>Pralidoxime (2-PAM) 1-2 g IV over 30 min</t>
        </is>
      </c>
      <c r="G107" s="2" t="inlineStr">
        <is>
          <t>Naloxone 0.4 mg IV stat</t>
        </is>
      </c>
      <c r="H107" s="2" t="inlineStr">
        <is>
          <t>Flumazenil 0.2 mg IV stat</t>
        </is>
      </c>
      <c r="I107" s="8" t="inlineStr">
        <is>
          <t>1</t>
        </is>
      </c>
      <c r="J1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7" s="2" t="n"/>
      <c r="L107" s="2" t="inlineStr">
        <is>
          <t>General Therapeutics</t>
        </is>
      </c>
      <c r="M107" s="2" t="inlineStr">
        <is>
          <t>Clinic</t>
        </is>
      </c>
      <c r="N107" s="2" t="inlineStr">
        <is>
          <t>PLE-CC1 ปี 2566 Day 1 ข้อ 1</t>
        </is>
      </c>
      <c r="O107" s="2" t="inlineStr">
        <is>
          <t>ข้อสอบจริง</t>
        </is>
      </c>
      <c r="P107" s="2" t="inlineStr">
        <is>
          <t>ปี 2566</t>
        </is>
      </c>
    </row>
    <row r="108" ht="13.2" customHeight="1" s="37">
      <c r="A108" s="8" t="inlineStr">
        <is>
          <t>130</t>
        </is>
      </c>
      <c r="B108" s="2" t="inlineStr">
        <is>
          <t>ระดับ2 เนื่องจากบาดแผลเลือดออกและมีโอกาสที่น้ำลายสัตว์จะ สัมผัสกับบาดแผล</t>
        </is>
      </c>
      <c r="C108" s="2" t="n"/>
      <c r="D108" s="2" t="inlineStr">
        <is>
          <t>Naloxone 0.4 mg IV stat</t>
        </is>
      </c>
      <c r="E108" s="2" t="inlineStr">
        <is>
          <t>Flumazenil 0.2 mg IV stat</t>
        </is>
      </c>
      <c r="F108" s="2" t="inlineStr">
        <is>
          <t>Vitamin K1 (Phytomenadione) 10 mg IV slow</t>
        </is>
      </c>
      <c r="G108" s="2" t="inlineStr">
        <is>
          <t>Sodium thiosulfate 25% 50 mL IV</t>
        </is>
      </c>
      <c r="H108" s="2" t="inlineStr">
        <is>
          <t>Calcium disodium EDTA 1 g IV</t>
        </is>
      </c>
      <c r="I108" s="8" t="inlineStr">
        <is>
          <t>1</t>
        </is>
      </c>
      <c r="J1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8" s="2" t="n"/>
      <c r="L108" s="2" t="inlineStr">
        <is>
          <t>General Therapeutics</t>
        </is>
      </c>
      <c r="M108" s="2" t="inlineStr">
        <is>
          <t>Clinic</t>
        </is>
      </c>
      <c r="N108" s="2" t="inlineStr">
        <is>
          <t>PLE-CC1 ปี 2566 Day 1 ข้อ 4</t>
        </is>
      </c>
      <c r="O108" s="2" t="inlineStr">
        <is>
          <t>ข้อสอบจริง</t>
        </is>
      </c>
      <c r="P108" s="2" t="inlineStr">
        <is>
          <t>ปี 2566</t>
        </is>
      </c>
    </row>
    <row r="109" ht="13.2" customHeight="1" s="37">
      <c r="A109" s="8" t="inlineStr">
        <is>
          <t>131</t>
        </is>
      </c>
      <c r="B109" s="2" t="inlineStr">
        <is>
          <t>ต้องตรวจintradermal test ก่อนฉีดทุกครั้ง</t>
        </is>
      </c>
      <c r="C109" s="2" t="n"/>
      <c r="D109" s="2" t="inlineStr">
        <is>
          <t>Sodium thiosulfate 25% 50 mL IV</t>
        </is>
      </c>
      <c r="E109" s="2" t="inlineStr">
        <is>
          <t>Calcium disodium EDTA 1 g IV</t>
        </is>
      </c>
      <c r="F109" s="2" t="inlineStr">
        <is>
          <t>Desferrioxamine 1 g IM/IV</t>
        </is>
      </c>
      <c r="G109" s="2" t="inlineStr">
        <is>
          <t>Dimercaprol (BAL) 3 mg/kg IM</t>
        </is>
      </c>
      <c r="H109" s="2" t="inlineStr">
        <is>
          <t>Ethanol 10% IV infusion for Methanol poisoning</t>
        </is>
      </c>
      <c r="I109" s="8" t="inlineStr">
        <is>
          <t>1</t>
        </is>
      </c>
      <c r="J1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9" s="2" t="n"/>
      <c r="L109" s="2" t="inlineStr">
        <is>
          <t>General Therapeutics</t>
        </is>
      </c>
      <c r="M109" s="2" t="inlineStr">
        <is>
          <t>Clinic</t>
        </is>
      </c>
      <c r="N109" s="2" t="inlineStr">
        <is>
          <t>PLE-CC1 ปี 2566 Day 1 ข้อ 1</t>
        </is>
      </c>
      <c r="O109" s="2" t="inlineStr">
        <is>
          <t>ข้อสอบจริง</t>
        </is>
      </c>
      <c r="P109" s="2" t="inlineStr">
        <is>
          <t>ปี 2566</t>
        </is>
      </c>
    </row>
    <row r="110" ht="13.2" customHeight="1" s="37">
      <c r="A110" s="8" t="inlineStr">
        <is>
          <t>132</t>
        </is>
      </c>
      <c r="B110" s="2" t="inlineStr">
        <is>
          <t>ต้องฉีดทุกแผลทั้งรอบนอกและภายในแผล</t>
        </is>
      </c>
      <c r="C110" s="2" t="n"/>
      <c r="D110" s="2" t="inlineStr">
        <is>
          <t>Dimercaprol (BAL) 3 mg/kg IM</t>
        </is>
      </c>
      <c r="E110" s="2" t="inlineStr">
        <is>
          <t>Ethanol 10% IV infusion for Methanol poisoning</t>
        </is>
      </c>
      <c r="F110" s="2" t="inlineStr">
        <is>
          <t>Fomepizole 15 mg/kg IV loading</t>
        </is>
      </c>
      <c r="G110" s="2" t="inlineStr">
        <is>
          <t>N-acetylcysteine (NAC) IV infusion protocol</t>
        </is>
      </c>
      <c r="H110" s="2" t="inlineStr">
        <is>
          <t>Atropine sulfate 2 mg IV Q5-10 min</t>
        </is>
      </c>
      <c r="I110" s="8" t="inlineStr">
        <is>
          <t>1</t>
        </is>
      </c>
      <c r="J1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2" t="n"/>
      <c r="L110" s="2" t="inlineStr">
        <is>
          <t>General Therapeutics</t>
        </is>
      </c>
      <c r="M110" s="2" t="inlineStr">
        <is>
          <t>Clinic</t>
        </is>
      </c>
      <c r="N110" s="2" t="inlineStr">
        <is>
          <t>PLE-CC1 ปี 2566 Day 1 ข้อ 4</t>
        </is>
      </c>
      <c r="O110" s="2" t="inlineStr">
        <is>
          <t>ข้อสอบจริง</t>
        </is>
      </c>
      <c r="P110" s="2" t="inlineStr">
        <is>
          <t>ปี 2566</t>
        </is>
      </c>
    </row>
    <row r="111" ht="13.2" customHeight="1" s="37">
      <c r="A111" s="8" t="inlineStr">
        <is>
          <t>133</t>
        </is>
      </c>
      <c r="B111" s="2" t="inlineStr">
        <is>
          <t>Glycolated Hemoglobin</t>
        </is>
      </c>
      <c r="C111" s="2" t="n"/>
      <c r="D111" s="2" t="inlineStr">
        <is>
          <t>N-acetylcysteine (NAC) IV infusion protocol</t>
        </is>
      </c>
      <c r="E111" s="2" t="inlineStr">
        <is>
          <t>Atropine sulfate 2 mg IV Q5-10 min</t>
        </is>
      </c>
      <c r="F111" s="2" t="inlineStr">
        <is>
          <t>Pralidoxime (2-PAM) 1-2 g IV over 30 min</t>
        </is>
      </c>
      <c r="G111" s="2" t="inlineStr">
        <is>
          <t>Naloxone 0.4 mg IV stat</t>
        </is>
      </c>
      <c r="H111" s="2" t="inlineStr">
        <is>
          <t>Flumazenil 0.2 mg IV stat</t>
        </is>
      </c>
      <c r="I111" s="8" t="inlineStr">
        <is>
          <t>1</t>
        </is>
      </c>
      <c r="J1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1" s="2" t="n"/>
      <c r="L111" s="2" t="inlineStr">
        <is>
          <t>General Therapeutics</t>
        </is>
      </c>
      <c r="M111" s="2" t="inlineStr">
        <is>
          <t>Clinic</t>
        </is>
      </c>
      <c r="N111" s="2" t="inlineStr">
        <is>
          <t>PLE-CC1 ปี 2566 Day 1 ข้อ 4</t>
        </is>
      </c>
      <c r="O111" s="2" t="inlineStr">
        <is>
          <t>ข้อสอบจริง</t>
        </is>
      </c>
      <c r="P111" s="2" t="inlineStr">
        <is>
          <t>ปี 2566</t>
        </is>
      </c>
    </row>
    <row r="112" ht="13.2" customHeight="1" s="37">
      <c r="A112" s="8" t="inlineStr">
        <is>
          <t>134</t>
        </is>
      </c>
      <c r="B112" s="2" t="inlineStr">
        <is>
          <t>ขายได้ต้องทำบัญชีควบคุม</t>
        </is>
      </c>
      <c r="C112" s="2" t="n"/>
      <c r="D112" s="2" t="inlineStr">
        <is>
          <t>Naloxone 0.4 mg IV stat</t>
        </is>
      </c>
      <c r="E112" s="2" t="inlineStr">
        <is>
          <t>Flumazenil 0.2 mg IV stat</t>
        </is>
      </c>
      <c r="F112" s="2" t="inlineStr">
        <is>
          <t>Vitamin K1 (Phytomenadione) 10 mg IV slow</t>
        </is>
      </c>
      <c r="G112" s="2" t="inlineStr">
        <is>
          <t>Sodium thiosulfate 25% 50 mL IV</t>
        </is>
      </c>
      <c r="H112" s="2" t="inlineStr">
        <is>
          <t>Calcium disodium EDTA 1 g IV</t>
        </is>
      </c>
      <c r="I112" s="8" t="inlineStr">
        <is>
          <t>1</t>
        </is>
      </c>
      <c r="J1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2" s="2" t="n"/>
      <c r="L112" s="2" t="inlineStr">
        <is>
          <t>General Therapeutics</t>
        </is>
      </c>
      <c r="M112" s="2" t="inlineStr">
        <is>
          <t>Clinic</t>
        </is>
      </c>
      <c r="N112" s="2" t="inlineStr">
        <is>
          <t>PLE-CC1 ปี 2566 Day 1 ข้อ 3</t>
        </is>
      </c>
      <c r="O112" s="2" t="inlineStr">
        <is>
          <t>ข้อสอบจริง</t>
        </is>
      </c>
      <c r="P112" s="2" t="inlineStr">
        <is>
          <t>ปี 2566</t>
        </is>
      </c>
    </row>
    <row r="113" ht="13.2" customHeight="1" s="37">
      <c r="A113" s="8" t="inlineStr">
        <is>
          <t>135</t>
        </is>
      </c>
      <c r="B113" s="2" t="inlineStr">
        <is>
          <t>ขายไม่ได้จ่ายเฉพาะในรพ.</t>
        </is>
      </c>
      <c r="C113" s="2" t="n"/>
      <c r="D113" s="2" t="inlineStr">
        <is>
          <t>Sodium thiosulfate 25% 50 mL IV</t>
        </is>
      </c>
      <c r="E113" s="2" t="inlineStr">
        <is>
          <t>Calcium disodium EDTA 1 g IV</t>
        </is>
      </c>
      <c r="F113" s="2" t="inlineStr">
        <is>
          <t>Desferrioxamine 1 g IM/IV</t>
        </is>
      </c>
      <c r="G113" s="2" t="inlineStr">
        <is>
          <t>Dimercaprol (BAL) 3 mg/kg IM</t>
        </is>
      </c>
      <c r="H113" s="2" t="inlineStr">
        <is>
          <t>Ethanol 10% IV infusion for Methanol poisoning</t>
        </is>
      </c>
      <c r="I113" s="8" t="inlineStr">
        <is>
          <t>1</t>
        </is>
      </c>
      <c r="J1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2" t="n"/>
      <c r="L113" s="2" t="inlineStr">
        <is>
          <t>General Therapeutics</t>
        </is>
      </c>
      <c r="M113" s="2" t="inlineStr">
        <is>
          <t>Clinic</t>
        </is>
      </c>
      <c r="N113" s="2" t="inlineStr">
        <is>
          <t>PLE-CC1 ปี 2566 Day 1 ข้อ 4</t>
        </is>
      </c>
      <c r="O113" s="2" t="inlineStr">
        <is>
          <t>ข้อสอบจริง</t>
        </is>
      </c>
      <c r="P113" s="2" t="inlineStr">
        <is>
          <t>ปี 2566</t>
        </is>
      </c>
    </row>
    <row r="114" ht="13.2" customHeight="1" s="37">
      <c r="A114" s="8" t="inlineStr">
        <is>
          <t>136</t>
        </is>
      </c>
      <c r="B114" s="2" t="inlineStr">
        <is>
          <t>ขายไม่ได้เป็นยาเฉพาะเหตุการณ์ฉุกเฉิน วัยรุ่นเป็นสโม้กเก้อสูบบุหรี่จัดวันละ30 มวน? วันนึงเภสัชมาคุยเรื่อง การสูบบุหรี่วัยรุ่นบอกว่าอยากเลิกแต่ยังทำไม่ได้(ไม่มีบอกระยะเวลา) เป็นขั้นตอนไหน</t>
        </is>
      </c>
      <c r="C114" s="2" t="n"/>
      <c r="D114" s="2" t="inlineStr">
        <is>
          <t>Montelukast 10 mg HS</t>
        </is>
      </c>
      <c r="E114" s="2" t="inlineStr">
        <is>
          <t>Theophylline 200 mg BID</t>
        </is>
      </c>
      <c r="F114" s="2" t="inlineStr">
        <is>
          <t>Prednisolone 40 mg OD x 5 days</t>
        </is>
      </c>
      <c r="G114" s="2" t="inlineStr">
        <is>
          <t>N-acetylcysteine 600 mg OD</t>
        </is>
      </c>
      <c r="H114" s="2" t="inlineStr">
        <is>
          <t>Beclomethasone MDI 100 mcg BID</t>
        </is>
      </c>
      <c r="I114" s="8" t="inlineStr">
        <is>
          <t>1</t>
        </is>
      </c>
      <c r="J114" s="2"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จ.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2" t="n"/>
      <c r="L114" s="2" t="inlineStr">
        <is>
          <t>Pulmonary Diseases</t>
        </is>
      </c>
      <c r="M114" s="2" t="inlineStr">
        <is>
          <t>Clinic</t>
        </is>
      </c>
      <c r="N114" s="2" t="inlineStr">
        <is>
          <t>PLE-CC1 ปี 2566 Day 1 ข้อ 5</t>
        </is>
      </c>
      <c r="O114" s="2" t="inlineStr">
        <is>
          <t>ข้อสอบจริง</t>
        </is>
      </c>
      <c r="P114" s="2" t="inlineStr">
        <is>
          <t>ปี 2566</t>
        </is>
      </c>
    </row>
    <row r="115" ht="13.2" customHeight="1" s="37">
      <c r="A115" s="8" t="inlineStr">
        <is>
          <t>137</t>
        </is>
      </c>
      <c r="B115" s="2" t="inlineStr">
        <is>
          <t>Pre-contemplation</t>
        </is>
      </c>
      <c r="C115" s="2" t="n"/>
      <c r="D115" s="2" t="inlineStr">
        <is>
          <t>N-acetylcysteine (NAC) IV infusion protocol</t>
        </is>
      </c>
      <c r="E115" s="2" t="inlineStr">
        <is>
          <t>Atropine sulfate 2 mg IV Q5-10 min</t>
        </is>
      </c>
      <c r="F115" s="2" t="inlineStr">
        <is>
          <t>Pralidoxime (2-PAM) 1-2 g IV over 30 min</t>
        </is>
      </c>
      <c r="G115" s="2" t="inlineStr">
        <is>
          <t>Naloxone 0.4 mg IV stat</t>
        </is>
      </c>
      <c r="H115" s="2" t="inlineStr">
        <is>
          <t>Flumazenil 0.2 mg IV stat</t>
        </is>
      </c>
      <c r="I115" s="8" t="inlineStr">
        <is>
          <t>1</t>
        </is>
      </c>
      <c r="J1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5" s="2" t="n"/>
      <c r="L115" s="2" t="inlineStr">
        <is>
          <t>General Therapeutics</t>
        </is>
      </c>
      <c r="M115" s="2" t="inlineStr">
        <is>
          <t>Clinic</t>
        </is>
      </c>
      <c r="N115" s="2" t="inlineStr">
        <is>
          <t>PLE-CC1 ปี 2566 Day 1 ข้อ 1</t>
        </is>
      </c>
      <c r="O115" s="2" t="inlineStr">
        <is>
          <t>ข้อสอบจริง</t>
        </is>
      </c>
      <c r="P115" s="2" t="inlineStr">
        <is>
          <t>ปี 2566</t>
        </is>
      </c>
    </row>
    <row r="116" ht="13.2" customHeight="1" s="37">
      <c r="A116" s="8" t="inlineStr">
        <is>
          <t>138</t>
        </is>
      </c>
      <c r="B116" s="2" t="inlineStr">
        <is>
          <t>… มีตั้งกลุ่มเอาคนที่รักษาโรคแล้วหายมาเป็นmodel จัดว่าเป็นการ ส่งเสริมสุขภาพแบบใด</t>
        </is>
      </c>
      <c r="C116" s="2" t="n"/>
      <c r="D116" s="2" t="inlineStr">
        <is>
          <t>Naloxone 0.4 mg IV stat</t>
        </is>
      </c>
      <c r="E116" s="2" t="inlineStr">
        <is>
          <t>Flumazenil 0.2 mg IV stat</t>
        </is>
      </c>
      <c r="F116" s="2" t="inlineStr">
        <is>
          <t>Vitamin K1 (Phytomenadione) 10 mg IV slow</t>
        </is>
      </c>
      <c r="G116" s="2" t="inlineStr">
        <is>
          <t>Sodium thiosulfate 25% 50 mL IV</t>
        </is>
      </c>
      <c r="H116" s="2" t="inlineStr">
        <is>
          <t>Calcium disodium EDTA 1 g IV</t>
        </is>
      </c>
      <c r="I116" s="8" t="inlineStr">
        <is>
          <t>1</t>
        </is>
      </c>
      <c r="J1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6" s="2" t="n"/>
      <c r="L116" s="2" t="inlineStr">
        <is>
          <t>General Therapeutics</t>
        </is>
      </c>
      <c r="M116" s="2" t="inlineStr">
        <is>
          <t>Clinic</t>
        </is>
      </c>
      <c r="N116" s="2" t="inlineStr">
        <is>
          <t>PLE-CC1 ปี 2566 Day 1 ข้อ 5</t>
        </is>
      </c>
      <c r="O116" s="2" t="inlineStr">
        <is>
          <t>ข้อสอบจริง</t>
        </is>
      </c>
      <c r="P116" s="2" t="inlineStr">
        <is>
          <t>ปี 2566</t>
        </is>
      </c>
    </row>
    <row r="117" ht="13.2" customHeight="1" s="37">
      <c r="A117" s="8" t="inlineStr">
        <is>
          <t>139</t>
        </is>
      </c>
      <c r="B117" s="2" t="inlineStr">
        <is>
          <t>Health promotion</t>
        </is>
      </c>
      <c r="C117" s="2" t="n"/>
      <c r="D117" s="2" t="inlineStr">
        <is>
          <t>Sodium thiosulfate 25% 50 mL IV</t>
        </is>
      </c>
      <c r="E117" s="2" t="inlineStr">
        <is>
          <t>Calcium disodium EDTA 1 g IV</t>
        </is>
      </c>
      <c r="F117" s="2" t="inlineStr">
        <is>
          <t>Desferrioxamine 1 g IM/IV</t>
        </is>
      </c>
      <c r="G117" s="2" t="inlineStr">
        <is>
          <t>Dimercaprol (BAL) 3 mg/kg IM</t>
        </is>
      </c>
      <c r="H117" s="2" t="inlineStr">
        <is>
          <t>Ethanol 10% IV infusion for Methanol poisoning</t>
        </is>
      </c>
      <c r="I117" s="8" t="inlineStr">
        <is>
          <t>1</t>
        </is>
      </c>
      <c r="J1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 s="2" t="n"/>
      <c r="L117" s="2" t="inlineStr">
        <is>
          <t>General Therapeutics</t>
        </is>
      </c>
      <c r="M117" s="2" t="inlineStr">
        <is>
          <t>Clinic</t>
        </is>
      </c>
      <c r="N117" s="2" t="inlineStr">
        <is>
          <t>PLE-CC1 ปี 2566 Day 1 ข้อ 1</t>
        </is>
      </c>
      <c r="O117" s="2" t="inlineStr">
        <is>
          <t>ข้อสอบจริง</t>
        </is>
      </c>
      <c r="P117" s="2" t="inlineStr">
        <is>
          <t>ปี 2566</t>
        </is>
      </c>
    </row>
    <row r="118" ht="13.2" customHeight="1" s="37">
      <c r="A118" s="8" t="inlineStr">
        <is>
          <t>140</t>
        </is>
      </c>
      <c r="B118" s="2" t="inlineStr">
        <is>
          <t>ความแตกต่างระหว่างviral กับbacterial pharyngitis. ตัวเลือก</t>
        </is>
      </c>
      <c r="C118" s="2" t="n"/>
      <c r="D118" s="2" t="inlineStr">
        <is>
          <t>Dimercaprol (BAL) 3 mg/kg IM</t>
        </is>
      </c>
      <c r="E118" s="2" t="inlineStr">
        <is>
          <t>Ethanol 10% IV infusion for Methanol poisoning</t>
        </is>
      </c>
      <c r="F118" s="2" t="inlineStr">
        <is>
          <t>Fomepizole 15 mg/kg IV loading</t>
        </is>
      </c>
      <c r="G118" s="2" t="inlineStr">
        <is>
          <t>N-acetylcysteine (NAC) IV infusion protocol</t>
        </is>
      </c>
      <c r="H118" s="2" t="inlineStr">
        <is>
          <t>Atropine sulfate 2 mg IV Q5-10 min</t>
        </is>
      </c>
      <c r="I118" s="8" t="inlineStr">
        <is>
          <t>1</t>
        </is>
      </c>
      <c r="J1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2" t="n"/>
      <c r="L118" s="2" t="inlineStr">
        <is>
          <t>General Therapeutics</t>
        </is>
      </c>
      <c r="M118" s="2" t="inlineStr">
        <is>
          <t>Clinic</t>
        </is>
      </c>
      <c r="N118" s="2" t="inlineStr">
        <is>
          <t>PLE-CC1 ปี 2566 Day 2 ข้อ 1</t>
        </is>
      </c>
      <c r="O118" s="2" t="inlineStr">
        <is>
          <t>ข้อสอบจริง</t>
        </is>
      </c>
      <c r="P118" s="2" t="inlineStr">
        <is>
          <t>ปี 2566</t>
        </is>
      </c>
    </row>
    <row r="119" ht="13.2" customHeight="1" s="37">
      <c r="A119" s="8" t="inlineStr">
        <is>
          <t>141</t>
        </is>
      </c>
      <c r="B119" s="2" t="inlineStr">
        <is>
          <t>คอเป็นหนองที่ต่อมทอนซิล</t>
        </is>
      </c>
      <c r="C119" s="2" t="n"/>
      <c r="D119" s="2" t="inlineStr">
        <is>
          <t>N-acetylcysteine (NAC) IV infusion protocol</t>
        </is>
      </c>
      <c r="E119" s="2" t="inlineStr">
        <is>
          <t>Atropine sulfate 2 mg IV Q5-10 min</t>
        </is>
      </c>
      <c r="F119" s="2" t="inlineStr">
        <is>
          <t>ไข้สูงกว่า38</t>
        </is>
      </c>
      <c r="G119" s="2" t="inlineStr">
        <is>
          <t>เจ็บคอ</t>
        </is>
      </c>
      <c r="H119" s="2" t="inlineStr">
        <is>
          <t>คอแดง</t>
        </is>
      </c>
      <c r="I119" s="8" t="inlineStr">
        <is>
          <t>4</t>
        </is>
      </c>
      <c r="J119" s="2" t="inlineStr">
        <is>
          <t>✅ คำตอบที่ถูกต้อง: ข้อ ง. เจ็บคอ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เจ็บคอ การเลือก เจ็บคอ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(ไข้สูงกว่า38): ข้อนี้ไม่ใช่คำตอบที่ถูกต้องสำหรับภาวะ General Therapeutics เนื่องจากกลไกการออกฤทธิ์, efficacy หรือข้อบ่งใช้ไม่ตรงกับโจทย์ที่กำหนด
• ข้อ จ. (คอแดง):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 s="2" t="n"/>
      <c r="L119" s="2" t="inlineStr">
        <is>
          <t>General Therapeutics</t>
        </is>
      </c>
      <c r="M119" s="2" t="inlineStr">
        <is>
          <t>Clinic</t>
        </is>
      </c>
      <c r="N119" s="2" t="inlineStr">
        <is>
          <t>PLE-CC1 ปี 2566 Day 2 ข้อ 1</t>
        </is>
      </c>
      <c r="O119" s="2" t="inlineStr">
        <is>
          <t>ข้อสอบจริง</t>
        </is>
      </c>
      <c r="P119" s="2" t="inlineStr">
        <is>
          <t>ปี 2566</t>
        </is>
      </c>
    </row>
    <row r="120" ht="13.2" customHeight="1" s="37">
      <c r="A120" s="8" t="inlineStr">
        <is>
          <t>142</t>
        </is>
      </c>
      <c r="B120" s="2" t="inlineStr">
        <is>
          <t>ตากุ้งยิงกับวิธีการรักษา. ตัวเลือก</t>
        </is>
      </c>
      <c r="C120" s="2" t="n"/>
      <c r="D120" s="2" t="inlineStr">
        <is>
          <t>Naloxone 0.4 mg IV stat</t>
        </is>
      </c>
      <c r="E120" s="2" t="inlineStr">
        <is>
          <t>เช็ดน้ำอุ่นแล้วนวดเบาๆ</t>
        </is>
      </c>
      <c r="F120" s="2" t="inlineStr">
        <is>
          <t>Topical antihistamine</t>
        </is>
      </c>
      <c r="G120" s="2" t="inlineStr">
        <is>
          <t>Topical steroid</t>
        </is>
      </c>
      <c r="H120" s="2" t="inlineStr">
        <is>
          <t>Calcium disodium EDTA 1 g IV</t>
        </is>
      </c>
      <c r="I120" s="8" t="inlineStr">
        <is>
          <t>1</t>
        </is>
      </c>
      <c r="J1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(เช็ดน้ำอุ่นแล้วนวดเบาๆ): ข้อนี้ไม่ใช่คำตอบที่ถูกต้องสำหรับภาวะ General Therapeutics เนื่องจากกลไกการออกฤทธิ์, efficacy หรือข้อบ่งใช้ไม่ตรงกับโจทย์ที่กำหนด
• ข้อ ค. (Topical antihistamine): ข้อนี้ไม่ใช่คำตอบที่ถูกต้องสำหรับภาวะ General Therapeutics เนื่องจากกลไกการออกฤทธิ์, efficacy หรือข้อบ่งใช้ไม่ตรงกับโจทย์ที่กำหนด
• ข้อ ง. (Topical steroid):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0" s="2" t="n"/>
      <c r="L120" s="2" t="inlineStr">
        <is>
          <t>General Therapeutics</t>
        </is>
      </c>
      <c r="M120" s="2" t="inlineStr">
        <is>
          <t>Clinic</t>
        </is>
      </c>
      <c r="N120" s="2" t="inlineStr">
        <is>
          <t>PLE-CC1 ปี 2566 Day 2 ข้อ 2</t>
        </is>
      </c>
      <c r="O120" s="2" t="inlineStr">
        <is>
          <t>ข้อสอบจริง</t>
        </is>
      </c>
      <c r="P120" s="2" t="inlineStr">
        <is>
          <t>ปี 2566</t>
        </is>
      </c>
    </row>
    <row r="121" ht="13.2" customHeight="1" s="37">
      <c r="A121" s="8" t="inlineStr">
        <is>
          <t>143</t>
        </is>
      </c>
      <c r="B121" s="2" t="inlineStr">
        <is>
          <t>Monitoring MTX ผู้ป่วยได้ยาMTX ต้องติดตามดังต่อไปนี้ยกเว้น ตัวเลือก</t>
        </is>
      </c>
      <c r="C121" s="2" t="n"/>
      <c r="D121" s="2" t="inlineStr">
        <is>
          <t>Sodium thiosulfate 25% 50 mL IV</t>
        </is>
      </c>
      <c r="E121" s="2" t="inlineStr">
        <is>
          <t>Calcium disodium EDTA 1 g IV</t>
        </is>
      </c>
      <c r="F121" s="2" t="inlineStr">
        <is>
          <t>Desferrioxamine 1 g IM/IV</t>
        </is>
      </c>
      <c r="G121" s="2" t="inlineStr">
        <is>
          <t>Dimercaprol (BAL) 3 mg/kg IM</t>
        </is>
      </c>
      <c r="H121" s="2" t="inlineStr">
        <is>
          <t>Ethanol 10% IV infusion for Methanol poisoning</t>
        </is>
      </c>
      <c r="I121" s="8" t="inlineStr">
        <is>
          <t>1</t>
        </is>
      </c>
      <c r="J1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1" s="2" t="n"/>
      <c r="L121" s="2" t="inlineStr">
        <is>
          <t>General Therapeutics</t>
        </is>
      </c>
      <c r="M121" s="2" t="inlineStr">
        <is>
          <t>Clinic</t>
        </is>
      </c>
      <c r="N121" s="2" t="inlineStr">
        <is>
          <t>PLE-CC1 ปี 2566 Day 2 ข้อ 3</t>
        </is>
      </c>
      <c r="O121" s="2" t="inlineStr">
        <is>
          <t>ข้อสอบจริง</t>
        </is>
      </c>
      <c r="P121" s="2" t="inlineStr">
        <is>
          <t>ปี 2566</t>
        </is>
      </c>
    </row>
    <row r="122" ht="13.2" customHeight="1" s="37">
      <c r="A122" s="8" t="inlineStr">
        <is>
          <t>144</t>
        </is>
      </c>
      <c r="B122" s="2" t="inlineStr">
        <is>
          <t>NorEpinephrine7</t>
        </is>
      </c>
      <c r="C122" s="2" t="n"/>
      <c r="D122" s="2" t="inlineStr">
        <is>
          <t>Montelukast 10 mg HS</t>
        </is>
      </c>
      <c r="E122" s="2" t="inlineStr">
        <is>
          <t>Hydroxyzine 25 mg HS</t>
        </is>
      </c>
      <c r="F122" s="2" t="inlineStr">
        <is>
          <t>Diphenhydramine 25 mg IV</t>
        </is>
      </c>
      <c r="G122" s="2" t="inlineStr">
        <is>
          <t>Cetirizine 10 mg OD</t>
        </is>
      </c>
      <c r="H122" s="2" t="inlineStr">
        <is>
          <t>Loratadine 10 mg OD</t>
        </is>
      </c>
      <c r="I122" s="8" t="inlineStr">
        <is>
          <t>1</t>
        </is>
      </c>
      <c r="J122"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2" t="n"/>
      <c r="L122" s="2" t="inlineStr">
        <is>
          <t>Allergy &amp; Immunology</t>
        </is>
      </c>
      <c r="M122" s="2" t="inlineStr">
        <is>
          <t>Clinic</t>
        </is>
      </c>
      <c r="N122" s="2" t="inlineStr">
        <is>
          <t>PLE-CC1 ปี 2566 Day 2 ข้อ 2</t>
        </is>
      </c>
      <c r="O122" s="2" t="inlineStr">
        <is>
          <t>ข้อสอบจริง</t>
        </is>
      </c>
      <c r="P122" s="2" t="inlineStr">
        <is>
          <t>ปี 2566</t>
        </is>
      </c>
    </row>
    <row r="123" ht="13.2" customHeight="1" s="37">
      <c r="A123" s="8" t="inlineStr">
        <is>
          <t>145</t>
        </is>
      </c>
      <c r="B123" s="2" t="inlineStr">
        <is>
          <t>ท้องผูกกินverapamil อยู่สาเหตุของท้องผูกน่าจะมาจากอะไร. ตัวเลือก</t>
        </is>
      </c>
      <c r="C123" s="2" t="n"/>
      <c r="D123" s="2" t="inlineStr">
        <is>
          <t>Diltiazem 30 mg TID</t>
        </is>
      </c>
      <c r="E123" s="2" t="inlineStr">
        <is>
          <t>Warfarin 3 mg OD (target INR 2.0-3.0)</t>
        </is>
      </c>
      <c r="F123" s="2" t="inlineStr">
        <is>
          <t>Furosemide 40 mg OD</t>
        </is>
      </c>
      <c r="G123" s="2" t="inlineStr">
        <is>
          <t>Amlodipine 5 mg OD</t>
        </is>
      </c>
      <c r="H123" s="2" t="inlineStr">
        <is>
          <t>Losartan 50 mg OD</t>
        </is>
      </c>
      <c r="I123" s="8" t="inlineStr">
        <is>
          <t>1</t>
        </is>
      </c>
      <c r="J123" s="2" t="inlineStr">
        <is>
          <t>✅ คำตอบที่ถูกต้อง: ข้อ ก. Diltiazem 30 mg TID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Diltiazem 30 mg TID การเลือก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3" s="2" t="n"/>
      <c r="L123" s="2" t="inlineStr">
        <is>
          <t>Cardiovascular Diseases</t>
        </is>
      </c>
      <c r="M123" s="2" t="inlineStr">
        <is>
          <t>Clinic</t>
        </is>
      </c>
      <c r="N123" s="2" t="inlineStr">
        <is>
          <t>PLE-CC1 ปี 2566 Day 2 ข้อ 6</t>
        </is>
      </c>
      <c r="O123" s="2" t="inlineStr">
        <is>
          <t>ข้อสอบจริง</t>
        </is>
      </c>
      <c r="P123" s="2" t="inlineStr">
        <is>
          <t>ปี 2566</t>
        </is>
      </c>
    </row>
    <row r="124" ht="13.2" customHeight="1" s="37">
      <c r="A124" s="8" t="inlineStr">
        <is>
          <t>146</t>
        </is>
      </c>
      <c r="B124" s="2" t="inlineStr">
        <is>
          <t>โรคไขมันในเลือดสูง</t>
        </is>
      </c>
      <c r="C124" s="2" t="n"/>
      <c r="D124" s="2" t="inlineStr">
        <is>
          <t>Naloxone 0.4 mg IV stat</t>
        </is>
      </c>
      <c r="E124" s="2" t="inlineStr">
        <is>
          <t>Flumazenil 0.2 mg IV stat</t>
        </is>
      </c>
      <c r="F124" s="2" t="inlineStr">
        <is>
          <t>Vitamin K1 (Phytomenadione) 10 mg IV slow</t>
        </is>
      </c>
      <c r="G124" s="2" t="inlineStr">
        <is>
          <t>Sodium thiosulfate 25% 50 mL IV</t>
        </is>
      </c>
      <c r="H124" s="2" t="inlineStr">
        <is>
          <t>Calcium disodium EDTA 1 g IV</t>
        </is>
      </c>
      <c r="I124" s="8" t="inlineStr">
        <is>
          <t>1</t>
        </is>
      </c>
      <c r="J124" s="2" t="inlineStr">
        <is>
          <t>✅ คำตอบที่ถูกต้อง: ข้อ ก. Naloxone 0.4 mg IV stat
💡 Background:
ภาวะไขมันในเลือดผิดปกติเป็นสาเหตุของ ASCVD การรักษาเน้นควบคุม LDL-C ให้ถึง target ตามระดับ cardiovascular risk ด้วย Statin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4" s="2" t="n"/>
      <c r="L124" s="2" t="inlineStr">
        <is>
          <t>General Therapeutics</t>
        </is>
      </c>
      <c r="M124" s="2" t="inlineStr">
        <is>
          <t>Clinic</t>
        </is>
      </c>
      <c r="N124" s="2" t="inlineStr">
        <is>
          <t>PLE-CC1 ปี 2566 Day 2 ข้อ 1</t>
        </is>
      </c>
      <c r="O124" s="2" t="inlineStr">
        <is>
          <t>ข้อสอบจริง</t>
        </is>
      </c>
      <c r="P124" s="2" t="inlineStr">
        <is>
          <t>ปี 2566</t>
        </is>
      </c>
    </row>
    <row r="125" ht="13.2" customHeight="1" s="37">
      <c r="A125" s="8" t="inlineStr">
        <is>
          <t>147</t>
        </is>
      </c>
      <c r="B125" s="2" t="inlineStr">
        <is>
          <t>Adr isosorbide dinitrate. ตัวเลือก</t>
        </is>
      </c>
      <c r="C125" s="2" t="n"/>
      <c r="D125" s="2" t="inlineStr">
        <is>
          <t>Epinephrine 0.3 mg IM stat</t>
        </is>
      </c>
      <c r="E125" s="2" t="inlineStr">
        <is>
          <t>Dexamethasone 4 mg IV</t>
        </is>
      </c>
      <c r="F125" s="2" t="inlineStr">
        <is>
          <t>Prednisolone 20 mg OD</t>
        </is>
      </c>
      <c r="G125" s="2" t="inlineStr">
        <is>
          <t>Montelukast 10 mg HS</t>
        </is>
      </c>
      <c r="H125" s="2" t="inlineStr">
        <is>
          <t>Hydroxyzine 25 mg HS</t>
        </is>
      </c>
      <c r="I125" s="8" t="inlineStr">
        <is>
          <t>1</t>
        </is>
      </c>
      <c r="J125"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 s="2" t="n"/>
      <c r="L125" s="2" t="inlineStr">
        <is>
          <t>Allergy &amp; Immunology</t>
        </is>
      </c>
      <c r="M125" s="2" t="inlineStr">
        <is>
          <t>Clinic</t>
        </is>
      </c>
      <c r="N125" s="2" t="inlineStr">
        <is>
          <t>PLE-CC1 ปี 2566 Day 2 ข้อ 8</t>
        </is>
      </c>
      <c r="O125" s="2" t="inlineStr">
        <is>
          <t>ข้อสอบจริง</t>
        </is>
      </c>
      <c r="P125" s="2" t="inlineStr">
        <is>
          <t>ปี 2566</t>
        </is>
      </c>
    </row>
    <row r="126" ht="13.2" customHeight="1" s="37">
      <c r="A126" s="8" t="inlineStr">
        <is>
          <t>148</t>
        </is>
      </c>
      <c r="B126" s="2" t="inlineStr">
        <is>
          <t>Stage C , Grade 2</t>
        </is>
      </c>
      <c r="C126" s="2" t="n"/>
      <c r="D126" s="2" t="inlineStr">
        <is>
          <t>Dimercaprol (BAL) 3 mg/kg IM</t>
        </is>
      </c>
      <c r="E126" s="2" t="inlineStr">
        <is>
          <t>Ethanol 10% IV infusion for Methanol poisoning</t>
        </is>
      </c>
      <c r="F126" s="2" t="inlineStr">
        <is>
          <t>Fomepizole 15 mg/kg IV loading</t>
        </is>
      </c>
      <c r="G126" s="2" t="inlineStr">
        <is>
          <t>N-acetylcysteine (NAC) IV infusion protocol</t>
        </is>
      </c>
      <c r="H126" s="2" t="inlineStr">
        <is>
          <t>Atropine sulfate 2 mg IV Q5-10 min</t>
        </is>
      </c>
      <c r="I126" s="8" t="inlineStr">
        <is>
          <t>1</t>
        </is>
      </c>
      <c r="J1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2" t="n"/>
      <c r="L126" s="2" t="inlineStr">
        <is>
          <t>General Therapeutics</t>
        </is>
      </c>
      <c r="M126" s="2" t="inlineStr">
        <is>
          <t>Clinic</t>
        </is>
      </c>
      <c r="N126" s="2" t="inlineStr">
        <is>
          <t>PLE-CC1 ปี 2566 Day 2 ข้อ 1</t>
        </is>
      </c>
      <c r="O126" s="2" t="inlineStr">
        <is>
          <t>ข้อสอบจริง</t>
        </is>
      </c>
      <c r="P126" s="2" t="inlineStr">
        <is>
          <t>ปี 2566</t>
        </is>
      </c>
    </row>
    <row r="127" ht="13.2" customHeight="1" s="37">
      <c r="A127" s="8" t="inlineStr">
        <is>
          <t>149</t>
        </is>
      </c>
      <c r="B127" s="2" t="inlineStr">
        <is>
          <t>ริดสีดวงต้องปฏิบัติตัวอย่างไร. ตัวเลือก</t>
        </is>
      </c>
      <c r="C127" s="2" t="n"/>
      <c r="D127" s="2" t="inlineStr">
        <is>
          <t>N-acetylcysteine (NAC) IV infusion protocol</t>
        </is>
      </c>
      <c r="E127" s="2" t="inlineStr">
        <is>
          <t>กินอาหารนิ่มย่อยง่ายไม่มีกากใย</t>
        </is>
      </c>
      <c r="F127" s="2" t="inlineStr">
        <is>
          <t>ลดอาหารไขมัน</t>
        </is>
      </c>
      <c r="G127" s="2" t="inlineStr">
        <is>
          <t>Naloxone 0.4 mg IV stat</t>
        </is>
      </c>
      <c r="H127" s="2" t="inlineStr">
        <is>
          <t>Flumazenil 0.2 mg IV stat</t>
        </is>
      </c>
      <c r="I127" s="8" t="inlineStr">
        <is>
          <t>1</t>
        </is>
      </c>
      <c r="J1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(กินอาหารนิ่มย่อยง่ายไม่มีกากใย): ข้อนี้ไม่ใช่คำตอบที่ถูกต้องสำหรับภาวะ General Therapeutics เนื่องจากกลไกการออกฤทธิ์, efficacy หรือข้อบ่งใช้ไม่ตรงกับโจทย์ที่กำหนด
• ข้อ ค. (ลดอาหารไขมัน):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7" s="2" t="n"/>
      <c r="L127" s="2" t="inlineStr">
        <is>
          <t>General Therapeutics</t>
        </is>
      </c>
      <c r="M127" s="2" t="inlineStr">
        <is>
          <t>Clinic</t>
        </is>
      </c>
      <c r="N127" s="2" t="inlineStr">
        <is>
          <t>PLE-CC1 ปี 2566 Day 2 ข้อ 10</t>
        </is>
      </c>
      <c r="O127" s="2" t="inlineStr">
        <is>
          <t>ข้อสอบจริง</t>
        </is>
      </c>
      <c r="P127" s="2" t="inlineStr">
        <is>
          <t>ปี 2566</t>
        </is>
      </c>
    </row>
    <row r="128" ht="13.2" customHeight="1" s="37">
      <c r="A128" s="8" t="inlineStr">
        <is>
          <t>150</t>
        </is>
      </c>
      <c r="B128" s="2" t="inlineStr">
        <is>
          <t>ยาไทยที่ช่วยเรื่อวริดสีดวง. ตัวเลือก</t>
        </is>
      </c>
      <c r="C128" s="2" t="n"/>
      <c r="D128" s="2" t="inlineStr">
        <is>
          <t>Naloxone 0.4 mg IV stat</t>
        </is>
      </c>
      <c r="E128" s="2" t="inlineStr">
        <is>
          <t>Flumazenil 0.2 mg IV stat</t>
        </is>
      </c>
      <c r="F128" s="2" t="inlineStr">
        <is>
          <t>Vitamin K1 (Phytomenadione) 10 mg IV slow</t>
        </is>
      </c>
      <c r="G128" s="2" t="inlineStr">
        <is>
          <t>Sodium thiosulfate 25% 50 mL IV</t>
        </is>
      </c>
      <c r="H128" s="2" t="inlineStr">
        <is>
          <t>Calcium disodium EDTA 1 g IV</t>
        </is>
      </c>
      <c r="I128" s="8" t="inlineStr">
        <is>
          <t>1</t>
        </is>
      </c>
      <c r="J1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8" s="2" t="n"/>
      <c r="L128" s="2" t="inlineStr">
        <is>
          <t>General Therapeutics</t>
        </is>
      </c>
      <c r="M128" s="2" t="inlineStr">
        <is>
          <t>Clinic</t>
        </is>
      </c>
      <c r="N128" s="2" t="inlineStr">
        <is>
          <t>PLE-CC1 ปี 2566 Day 2 ข้อ 11</t>
        </is>
      </c>
      <c r="O128" s="2" t="inlineStr">
        <is>
          <t>ข้อสอบจริง</t>
        </is>
      </c>
      <c r="P128" s="2" t="inlineStr">
        <is>
          <t>ปี 2566</t>
        </is>
      </c>
    </row>
    <row r="129" ht="13.2" customHeight="1" s="37">
      <c r="A129" s="8" t="inlineStr">
        <is>
          <t>151</t>
        </is>
      </c>
      <c r="B129" s="2" t="inlineStr">
        <is>
          <t>ยาผสมเพชรสังฆาต</t>
        </is>
      </c>
      <c r="C129" s="2" t="n"/>
      <c r="D129" s="2" t="inlineStr">
        <is>
          <t>Sodium thiosulfate 25% 50 mL IV</t>
        </is>
      </c>
      <c r="E129" s="2" t="inlineStr">
        <is>
          <t>Calcium disodium EDTA 1 g IV</t>
        </is>
      </c>
      <c r="F129" s="2" t="inlineStr">
        <is>
          <t>Desferrioxamine 1 g IM/IV</t>
        </is>
      </c>
      <c r="G129" s="2" t="inlineStr">
        <is>
          <t>Dimercaprol (BAL) 3 mg/kg IM</t>
        </is>
      </c>
      <c r="H129" s="2" t="inlineStr">
        <is>
          <t>Ethanol 10% IV infusion for Methanol poisoning</t>
        </is>
      </c>
      <c r="I129" s="8" t="inlineStr">
        <is>
          <t>1</t>
        </is>
      </c>
      <c r="J1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2" t="n"/>
      <c r="L129" s="2" t="inlineStr">
        <is>
          <t>General Therapeutics</t>
        </is>
      </c>
      <c r="M129" s="2" t="inlineStr">
        <is>
          <t>Clinic</t>
        </is>
      </c>
      <c r="N129" s="2" t="inlineStr">
        <is>
          <t>PLE-CC1 ปี 2566 Day 2 ข้อ 1</t>
        </is>
      </c>
      <c r="O129" s="2" t="inlineStr">
        <is>
          <t>ข้อสอบจริง</t>
        </is>
      </c>
      <c r="P129" s="2" t="inlineStr">
        <is>
          <t>ปี 2566</t>
        </is>
      </c>
    </row>
    <row r="130" ht="13.2" customHeight="1" s="37">
      <c r="A130" s="8" t="inlineStr">
        <is>
          <t>152</t>
        </is>
      </c>
      <c r="B130" s="2" t="inlineStr">
        <is>
          <t>ยาไทยที่ไม่ช่วยเรื่องลดไข้. ตัวเลือก</t>
        </is>
      </c>
      <c r="C130" s="2" t="n"/>
      <c r="D130" s="2" t="inlineStr">
        <is>
          <t>Dimercaprol (BAL) 3 mg/kg IM</t>
        </is>
      </c>
      <c r="E130" s="2" t="inlineStr">
        <is>
          <t>Ethanol 10% IV infusion for Methanol poisoning</t>
        </is>
      </c>
      <c r="F130" s="2" t="inlineStr">
        <is>
          <t>Fomepizole 15 mg/kg IV loading</t>
        </is>
      </c>
      <c r="G130" s="2" t="inlineStr">
        <is>
          <t>N-acetylcysteine (NAC) IV infusion protocol</t>
        </is>
      </c>
      <c r="H130" s="2" t="inlineStr">
        <is>
          <t>Atropine sulfate 2 mg IV Q5-10 min</t>
        </is>
      </c>
      <c r="I130" s="8" t="inlineStr">
        <is>
          <t>1</t>
        </is>
      </c>
      <c r="J1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 s="2" t="n"/>
      <c r="L130" s="2" t="inlineStr">
        <is>
          <t>General Therapeutics</t>
        </is>
      </c>
      <c r="M130" s="2" t="inlineStr">
        <is>
          <t>Clinic</t>
        </is>
      </c>
      <c r="N130" s="2" t="inlineStr">
        <is>
          <t>PLE-CC1 ปี 2566 Day 2 ข้อ 13</t>
        </is>
      </c>
      <c r="O130" s="2" t="inlineStr">
        <is>
          <t>ข้อสอบจริง</t>
        </is>
      </c>
      <c r="P130" s="2" t="inlineStr">
        <is>
          <t>ปี 2566</t>
        </is>
      </c>
    </row>
    <row r="131" ht="13.2" customHeight="1" s="37">
      <c r="A131" s="8" t="inlineStr">
        <is>
          <t>153</t>
        </is>
      </c>
      <c r="B131" s="2" t="inlineStr">
        <is>
          <t>Dragendorff’s reagent</t>
        </is>
      </c>
      <c r="C131" s="2" t="n"/>
      <c r="D131" s="2" t="inlineStr">
        <is>
          <t>N-acetylcysteine (NAC) IV infusion protocol</t>
        </is>
      </c>
      <c r="E131" s="2" t="inlineStr">
        <is>
          <t>Atropine sulfate 2 mg IV Q5-10 min</t>
        </is>
      </c>
      <c r="F131" s="2" t="inlineStr">
        <is>
          <t>Pralidoxime (2-PAM) 1-2 g IV over 30 min</t>
        </is>
      </c>
      <c r="G131" s="2" t="inlineStr">
        <is>
          <t>Naloxone 0.4 mg IV stat</t>
        </is>
      </c>
      <c r="H131" s="2" t="inlineStr">
        <is>
          <t>Flumazenil 0.2 mg IV stat</t>
        </is>
      </c>
      <c r="I131" s="8" t="inlineStr">
        <is>
          <t>1</t>
        </is>
      </c>
      <c r="J1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1" s="2" t="n"/>
      <c r="L131" s="2" t="inlineStr">
        <is>
          <t>General Therapeutics</t>
        </is>
      </c>
      <c r="M131" s="2" t="inlineStr">
        <is>
          <t>Clinic</t>
        </is>
      </c>
      <c r="N131" s="2" t="inlineStr">
        <is>
          <t>PLE-CC1 ปี 2566 Day 2 ข้อ 2</t>
        </is>
      </c>
      <c r="O131" s="2" t="inlineStr">
        <is>
          <t>ข้อสอบจริง</t>
        </is>
      </c>
      <c r="P131" s="2" t="inlineStr">
        <is>
          <t>ปี 2566</t>
        </is>
      </c>
    </row>
    <row r="132" ht="13.2" customHeight="1" s="37">
      <c r="A132" s="8" t="inlineStr">
        <is>
          <t>154</t>
        </is>
      </c>
      <c r="B132" s="2" t="inlineStr">
        <is>
          <t>A เป็นmetaboliteของB</t>
        </is>
      </c>
      <c r="C132" s="2" t="n"/>
      <c r="D132" s="2" t="inlineStr">
        <is>
          <t>Naloxone 0.4 mg IV stat</t>
        </is>
      </c>
      <c r="E132" s="2" t="inlineStr">
        <is>
          <t>Flumazenil 0.2 mg IV stat</t>
        </is>
      </c>
      <c r="F132" s="2" t="inlineStr">
        <is>
          <t>Vitamin K1 (Phytomenadione) 10 mg IV slow</t>
        </is>
      </c>
      <c r="G132" s="2" t="inlineStr">
        <is>
          <t>Sodium thiosulfate 25% 50 mL IV</t>
        </is>
      </c>
      <c r="H132" s="2" t="inlineStr">
        <is>
          <t>Calcium disodium EDTA 1 g IV</t>
        </is>
      </c>
      <c r="I132" s="8" t="inlineStr">
        <is>
          <t>1</t>
        </is>
      </c>
      <c r="J1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2" s="2" t="n"/>
      <c r="L132" s="2" t="inlineStr">
        <is>
          <t>General Therapeutics</t>
        </is>
      </c>
      <c r="M132" s="2" t="inlineStr">
        <is>
          <t>Clinic</t>
        </is>
      </c>
      <c r="N132" s="2" t="inlineStr">
        <is>
          <t>PLE-CC1 ปี 2566 Day 2 ข้อ 1</t>
        </is>
      </c>
      <c r="O132" s="2" t="inlineStr">
        <is>
          <t>ข้อสอบจริง</t>
        </is>
      </c>
      <c r="P132" s="2" t="inlineStr">
        <is>
          <t>ปี 2566</t>
        </is>
      </c>
    </row>
    <row r="133" ht="13.2" customHeight="1" s="37">
      <c r="A133" s="8" t="inlineStr">
        <is>
          <t>155</t>
        </is>
      </c>
      <c r="B133" s="2" t="inlineStr">
        <is>
          <t>Aผ่านBBBเก่งกว่าB</t>
        </is>
      </c>
      <c r="C133" s="2" t="n"/>
      <c r="D133" s="2" t="inlineStr">
        <is>
          <t>Sodium thiosulfate 25% 50 mL IV</t>
        </is>
      </c>
      <c r="E133" s="2" t="inlineStr">
        <is>
          <t>Calcium disodium EDTA 1 g IV</t>
        </is>
      </c>
      <c r="F133" s="2" t="inlineStr">
        <is>
          <t>Desferrioxamine 1 g IM/IV</t>
        </is>
      </c>
      <c r="G133" s="2" t="inlineStr">
        <is>
          <t>Dimercaprol (BAL) 3 mg/kg IM</t>
        </is>
      </c>
      <c r="H133" s="2" t="inlineStr">
        <is>
          <t>Ethanol 10% IV infusion for Methanol poisoning</t>
        </is>
      </c>
      <c r="I133" s="8" t="inlineStr">
        <is>
          <t>1</t>
        </is>
      </c>
      <c r="J1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3" s="2" t="n"/>
      <c r="L133" s="2" t="inlineStr">
        <is>
          <t>General Therapeutics</t>
        </is>
      </c>
      <c r="M133" s="2" t="inlineStr">
        <is>
          <t>Clinic</t>
        </is>
      </c>
      <c r="N133" s="2" t="inlineStr">
        <is>
          <t>PLE-CC1 ปี 2566 Day 2 ข้อ 2</t>
        </is>
      </c>
      <c r="O133" s="2" t="inlineStr">
        <is>
          <t>ข้อสอบจริง</t>
        </is>
      </c>
      <c r="P133" s="2" t="inlineStr">
        <is>
          <t>ปี 2566</t>
        </is>
      </c>
    </row>
    <row r="134" ht="13.2" customHeight="1" s="37">
      <c r="A134" s="8" t="inlineStr">
        <is>
          <t>156</t>
        </is>
      </c>
      <c r="B134" s="2" t="inlineStr">
        <is>
          <t>Mechanism clotrimazole. ตัวเลือก</t>
        </is>
      </c>
      <c r="C134" s="2" t="n"/>
      <c r="D134" s="2" t="inlineStr">
        <is>
          <t>Clobetasol propionate 0.05% cream</t>
        </is>
      </c>
      <c r="E134" s="2" t="inlineStr">
        <is>
          <t>Ketoconazole 2% shampoo</t>
        </is>
      </c>
      <c r="F134" s="2" t="inlineStr">
        <is>
          <t>Benzoyl peroxide 2.5% gel</t>
        </is>
      </c>
      <c r="G134" s="2" t="inlineStr">
        <is>
          <t>Acyclovir 5% cream</t>
        </is>
      </c>
      <c r="H134" s="2" t="inlineStr">
        <is>
          <t>Silver sulfadiazine 1% cream</t>
        </is>
      </c>
      <c r="I134" s="8" t="inlineStr">
        <is>
          <t>1</t>
        </is>
      </c>
      <c r="J134" s="2" t="inlineStr">
        <is>
          <t>✅ คำตอบที่ถูกต้อง: ข้อ ก. Clobetasol propionate 0.05%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Clobetasol propionate 0.05% cream
🔍 ข้ออื่นผิดเพราะอะไร:
• ข้อ ข. (Ketoconazole 2% shampoo): ข้อนี้ไม่ใช่คำตอบที่ถูกต้องสำหรับภาวะ Dermatologic Disorders เนื่องจากกลไกการออกฤทธิ์, efficacy หรือข้อบ่งใช้ไม่ตรงกับโจทย์ที่กำหนด
• ข้อ ค.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4" s="2" t="n"/>
      <c r="L134" s="2" t="inlineStr">
        <is>
          <t>Dermatologic Disorders</t>
        </is>
      </c>
      <c r="M134" s="2" t="inlineStr">
        <is>
          <t>Clinic</t>
        </is>
      </c>
      <c r="N134" s="2" t="inlineStr">
        <is>
          <t>PLE-CC1 ปี 2566 Day 2 ข้อ 16</t>
        </is>
      </c>
      <c r="O134" s="2" t="inlineStr">
        <is>
          <t>ข้อสอบจริง</t>
        </is>
      </c>
      <c r="P134" s="2" t="inlineStr">
        <is>
          <t>ปี 2566</t>
        </is>
      </c>
    </row>
    <row r="135" ht="13.2" customHeight="1" s="37">
      <c r="A135" s="8" t="inlineStr">
        <is>
          <t>157</t>
        </is>
      </c>
      <c r="B135" s="2" t="inlineStr">
        <is>
          <t>ยับยั้งepoxide oxidase</t>
        </is>
      </c>
      <c r="C135" s="2" t="n"/>
      <c r="D135" s="2" t="inlineStr">
        <is>
          <t>N-acetylcysteine (NAC) IV infusion protocol</t>
        </is>
      </c>
      <c r="E135" s="2" t="inlineStr">
        <is>
          <t>Atropine sulfate 2 mg IV Q5-10 min</t>
        </is>
      </c>
      <c r="F135" s="2" t="inlineStr">
        <is>
          <t>Pralidoxime (2-PAM) 1-2 g IV over 30 min</t>
        </is>
      </c>
      <c r="G135" s="2" t="inlineStr">
        <is>
          <t>Naloxone 0.4 mg IV stat</t>
        </is>
      </c>
      <c r="H135" s="2" t="inlineStr">
        <is>
          <t>Flumazenil 0.2 mg IV stat</t>
        </is>
      </c>
      <c r="I135" s="8" t="inlineStr">
        <is>
          <t>1</t>
        </is>
      </c>
      <c r="J1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5" s="2" t="n"/>
      <c r="L135" s="2" t="inlineStr">
        <is>
          <t>General Therapeutics</t>
        </is>
      </c>
      <c r="M135" s="2" t="inlineStr">
        <is>
          <t>Clinic</t>
        </is>
      </c>
      <c r="N135" s="2" t="inlineStr">
        <is>
          <t>PLE-CC1 ปี 2566 Day 2 ข้อ 1</t>
        </is>
      </c>
      <c r="O135" s="2" t="inlineStr">
        <is>
          <t>ข้อสอบจริง</t>
        </is>
      </c>
      <c r="P135" s="2" t="inlineStr">
        <is>
          <t>ปี 2566</t>
        </is>
      </c>
    </row>
    <row r="136" ht="13.2" customHeight="1" s="37">
      <c r="A136" s="8" t="inlineStr">
        <is>
          <t>158</t>
        </is>
      </c>
      <c r="B136" s="2" t="inlineStr">
        <is>
          <t>ทำให้Ergosterolเป็นรู</t>
        </is>
      </c>
      <c r="C136" s="2" t="n"/>
      <c r="D136" s="2" t="inlineStr">
        <is>
          <t>Naloxone 0.4 mg IV stat</t>
        </is>
      </c>
      <c r="E136" s="2" t="inlineStr">
        <is>
          <t>Flumazenil 0.2 mg IV stat</t>
        </is>
      </c>
      <c r="F136" s="2" t="inlineStr">
        <is>
          <t>Vitamin K1 (Phytomenadione) 10 mg IV slow</t>
        </is>
      </c>
      <c r="G136" s="2" t="inlineStr">
        <is>
          <t>Sodium thiosulfate 25% 50 mL IV</t>
        </is>
      </c>
      <c r="H136" s="2" t="inlineStr">
        <is>
          <t>Calcium disodium EDTA 1 g IV</t>
        </is>
      </c>
      <c r="I136" s="8" t="inlineStr">
        <is>
          <t>1</t>
        </is>
      </c>
      <c r="J1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6" s="2" t="n"/>
      <c r="L136" s="2" t="inlineStr">
        <is>
          <t>General Therapeutics</t>
        </is>
      </c>
      <c r="M136" s="2" t="inlineStr">
        <is>
          <t>Clinic</t>
        </is>
      </c>
      <c r="N136" s="2" t="inlineStr">
        <is>
          <t>PLE-CC1 ปี 2566 Day 2 ข้อ 2</t>
        </is>
      </c>
      <c r="O136" s="2" t="inlineStr">
        <is>
          <t>ข้อสอบจริง</t>
        </is>
      </c>
      <c r="P136" s="2" t="inlineStr">
        <is>
          <t>ปี 2566</t>
        </is>
      </c>
    </row>
    <row r="137" ht="13.2" customHeight="1" s="37">
      <c r="A137" s="8" t="inlineStr">
        <is>
          <t>159</t>
        </is>
      </c>
      <c r="B137" s="2" t="inlineStr">
        <is>
          <t>RA กินMTX ไม่ดีขึ้นให้อะไร(แพ้ยาSulfa) ตัวเลือก</t>
        </is>
      </c>
      <c r="C137" s="2" t="n"/>
      <c r="D137" s="2" t="inlineStr">
        <is>
          <t>Prednisolone 5 mg OD</t>
        </is>
      </c>
      <c r="E137" s="2" t="inlineStr">
        <is>
          <t>Zoledronic acid 5 mg IV annually</t>
        </is>
      </c>
      <c r="F137" s="2" t="inlineStr">
        <is>
          <t>Leflunomide 20 mg OD</t>
        </is>
      </c>
      <c r="G137" s="2" t="inlineStr">
        <is>
          <t>Paracetamol 500 mg Q6H PRN</t>
        </is>
      </c>
      <c r="H137" s="2" t="inlineStr">
        <is>
          <t>Denosumab 60 mg SC every 6 months</t>
        </is>
      </c>
      <c r="I137" s="8" t="inlineStr">
        <is>
          <t>1</t>
        </is>
      </c>
      <c r="J137" s="2" t="inlineStr">
        <is>
          <t>✅ คำตอบที่ถูกต้อง: ข้อ ก. Prednisolone 5 mg OD
💡 Background:
โรคข้ออักเสบรูมาตอยด์ (RA) เป็น systemic autoimmune disease ต้องรีบเริ่ม DMARDs ทันทีเพื่อป้องกัน joint destruction
🎯 ทำไมข้อนี้ถึงถูก:
Prednisolone 5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ข้อ ค. (Leflunomide 20 mg OD): เป็น csDMARD ยับยั้ง dihydroorotate dehydrogenase มี half-life ยาวนานมาก (elimination half-life ~2 สัปดาห์) ต้องทำ cholestyramine washout หากต้องการตั้งครรภ์
• ข้อ ง. (Paracetamol 500 mg Q6H PRN):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37" s="2" t="n"/>
      <c r="L137" s="2" t="inlineStr">
        <is>
          <t>Musculoskeletal &amp; Joint</t>
        </is>
      </c>
      <c r="M137" s="2" t="inlineStr">
        <is>
          <t>Clinic</t>
        </is>
      </c>
      <c r="N137" s="2" t="inlineStr">
        <is>
          <t>PLE-CC1 ปี 2566 Day 2 ข้อ 17</t>
        </is>
      </c>
      <c r="O137" s="2" t="inlineStr">
        <is>
          <t>ข้อสอบจริง</t>
        </is>
      </c>
      <c r="P137" s="2" t="inlineStr">
        <is>
          <t>ปี 2566</t>
        </is>
      </c>
    </row>
    <row r="138" ht="13.2" customHeight="1" s="37">
      <c r="A138" s="8" t="inlineStr">
        <is>
          <t>160</t>
        </is>
      </c>
      <c r="B138" s="2" t="inlineStr">
        <is>
          <t>เพิ่มโดสprednisolone</t>
        </is>
      </c>
      <c r="C138" s="2" t="n"/>
      <c r="D138" s="2" t="inlineStr">
        <is>
          <t>Montelukast 10 mg HS</t>
        </is>
      </c>
      <c r="E138" s="2" t="inlineStr">
        <is>
          <t>Hydroxyzine 25 mg HS</t>
        </is>
      </c>
      <c r="F138" s="2" t="inlineStr">
        <is>
          <t>Diphenhydramine 25 mg IV</t>
        </is>
      </c>
      <c r="G138" s="2" t="inlineStr">
        <is>
          <t>Cetirizine 10 mg OD</t>
        </is>
      </c>
      <c r="H138" s="2" t="inlineStr">
        <is>
          <t>Loratadine 10 mg OD</t>
        </is>
      </c>
      <c r="I138" s="8" t="inlineStr">
        <is>
          <t>1</t>
        </is>
      </c>
      <c r="J138"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38" s="2" t="n"/>
      <c r="L138" s="2" t="inlineStr">
        <is>
          <t>Allergy &amp; Immunology</t>
        </is>
      </c>
      <c r="M138" s="2" t="inlineStr">
        <is>
          <t>Clinic</t>
        </is>
      </c>
      <c r="N138" s="2" t="inlineStr">
        <is>
          <t>PLE-CC1 ปี 2566 Day 2 ข้อ 2</t>
        </is>
      </c>
      <c r="O138" s="2" t="inlineStr">
        <is>
          <t>ข้อสอบจริง</t>
        </is>
      </c>
      <c r="P138" s="2" t="inlineStr">
        <is>
          <t>ปี 2566</t>
        </is>
      </c>
    </row>
    <row r="139" ht="13.2" customHeight="1" s="37">
      <c r="A139" s="8" t="inlineStr">
        <is>
          <t>161</t>
        </is>
      </c>
      <c r="B139" s="2" t="inlineStr">
        <is>
          <t>Mechanism phentermine ตัวเลือก</t>
        </is>
      </c>
      <c r="C139" s="2" t="n"/>
      <c r="D139" s="2" t="inlineStr">
        <is>
          <t>N-acetylcysteine (NAC) IV infusion protocol</t>
        </is>
      </c>
      <c r="E139" s="2" t="inlineStr">
        <is>
          <t>Atropine sulfate 2 mg IV Q5-10 min</t>
        </is>
      </c>
      <c r="F139" s="2" t="inlineStr">
        <is>
          <t>Pralidoxime (2-PAM) 1-2 g IV over 30 min</t>
        </is>
      </c>
      <c r="G139" s="2" t="inlineStr">
        <is>
          <t>Naloxone 0.4 mg IV stat</t>
        </is>
      </c>
      <c r="H139" s="2" t="inlineStr">
        <is>
          <t>Flumazenil 0.2 mg IV stat</t>
        </is>
      </c>
      <c r="I139" s="8" t="inlineStr">
        <is>
          <t>1</t>
        </is>
      </c>
      <c r="J1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9" s="2" t="n"/>
      <c r="L139" s="2" t="inlineStr">
        <is>
          <t>General Therapeutics</t>
        </is>
      </c>
      <c r="M139" s="2" t="inlineStr">
        <is>
          <t>Clinic</t>
        </is>
      </c>
      <c r="N139" s="2" t="inlineStr">
        <is>
          <t>PLE-CC1 ปี 2566 Day 2 ข้อ 18</t>
        </is>
      </c>
      <c r="O139" s="2" t="inlineStr">
        <is>
          <t>ข้อสอบจริง</t>
        </is>
      </c>
      <c r="P139" s="2" t="inlineStr">
        <is>
          <t>ปี 2566</t>
        </is>
      </c>
    </row>
    <row r="140" ht="13.2" customHeight="1" s="37">
      <c r="A140" s="8" t="inlineStr">
        <is>
          <t>162</t>
        </is>
      </c>
      <c r="B140" s="2" t="inlineStr">
        <is>
          <t>ยับยั้งการทำงานของlipase</t>
        </is>
      </c>
      <c r="C140" s="2" t="n"/>
      <c r="D140" s="2" t="inlineStr">
        <is>
          <t>Naloxone 0.4 mg IV stat</t>
        </is>
      </c>
      <c r="E140" s="2" t="inlineStr">
        <is>
          <t>Flumazenil 0.2 mg IV stat</t>
        </is>
      </c>
      <c r="F140" s="2" t="inlineStr">
        <is>
          <t>Vitamin K1 (Phytomenadione) 10 mg IV slow</t>
        </is>
      </c>
      <c r="G140" s="2" t="inlineStr">
        <is>
          <t>Sodium thiosulfate 25% 50 mL IV</t>
        </is>
      </c>
      <c r="H140" s="2" t="inlineStr">
        <is>
          <t>Calcium disodium EDTA 1 g IV</t>
        </is>
      </c>
      <c r="I140" s="8" t="inlineStr">
        <is>
          <t>1</t>
        </is>
      </c>
      <c r="J1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0" s="2" t="n"/>
      <c r="L140" s="2" t="inlineStr">
        <is>
          <t>General Therapeutics</t>
        </is>
      </c>
      <c r="M140" s="2" t="inlineStr">
        <is>
          <t>Clinic</t>
        </is>
      </c>
      <c r="N140" s="2" t="inlineStr">
        <is>
          <t>PLE-CC1 ปี 2566 Day 2 ข้อ 1</t>
        </is>
      </c>
      <c r="O140" s="2" t="inlineStr">
        <is>
          <t>ข้อสอบจริง</t>
        </is>
      </c>
      <c r="P140" s="2" t="inlineStr">
        <is>
          <t>ปี 2566</t>
        </is>
      </c>
    </row>
    <row r="141" ht="13.2" customHeight="1" s="37">
      <c r="A141" s="8" t="inlineStr">
        <is>
          <t>163</t>
        </is>
      </c>
      <c r="B141" s="2" t="inlineStr">
        <is>
          <t>ทำหน้าที่เหมือนincretin</t>
        </is>
      </c>
      <c r="C141" s="2" t="n"/>
      <c r="D141" s="2" t="inlineStr">
        <is>
          <t>Sodium thiosulfate 25% 50 mL IV</t>
        </is>
      </c>
      <c r="E141" s="2" t="inlineStr">
        <is>
          <t>Calcium disodium EDTA 1 g IV</t>
        </is>
      </c>
      <c r="F141" s="2" t="inlineStr">
        <is>
          <t>Desferrioxamine 1 g IM/IV</t>
        </is>
      </c>
      <c r="G141" s="2" t="inlineStr">
        <is>
          <t>Dimercaprol (BAL) 3 mg/kg IM</t>
        </is>
      </c>
      <c r="H141" s="2" t="inlineStr">
        <is>
          <t>Ethanol 10% IV infusion for Methanol poisoning</t>
        </is>
      </c>
      <c r="I141" s="8" t="inlineStr">
        <is>
          <t>1</t>
        </is>
      </c>
      <c r="J1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 s="2" t="n"/>
      <c r="L141" s="2" t="inlineStr">
        <is>
          <t>General Therapeutics</t>
        </is>
      </c>
      <c r="M141" s="2" t="inlineStr">
        <is>
          <t>Clinic</t>
        </is>
      </c>
      <c r="N141" s="2" t="inlineStr">
        <is>
          <t>PLE-CC1 ปี 2566 Day 2 ข้อ 2</t>
        </is>
      </c>
      <c r="O141" s="2" t="inlineStr">
        <is>
          <t>ข้อสอบจริง</t>
        </is>
      </c>
      <c r="P141" s="2" t="inlineStr">
        <is>
          <t>ปี 2566</t>
        </is>
      </c>
    </row>
    <row r="142" ht="13.2" customHeight="1" s="37">
      <c r="A142" s="8" t="inlineStr">
        <is>
          <t>164</t>
        </is>
      </c>
      <c r="B142" s="2" t="inlineStr">
        <is>
          <t>เพิ่มDopamine กับNE ในhypothalamus</t>
        </is>
      </c>
      <c r="C142" s="2" t="n"/>
      <c r="D142" s="2" t="inlineStr">
        <is>
          <t>Dimercaprol (BAL) 3 mg/kg IM</t>
        </is>
      </c>
      <c r="E142" s="2" t="inlineStr">
        <is>
          <t>Ethanol 10% IV infusion for Methanol poisoning</t>
        </is>
      </c>
      <c r="F142" s="2" t="inlineStr">
        <is>
          <t>Fomepizole 15 mg/kg IV loading</t>
        </is>
      </c>
      <c r="G142" s="2" t="inlineStr">
        <is>
          <t>N-acetylcysteine (NAC) IV infusion protocol</t>
        </is>
      </c>
      <c r="H142" s="2" t="inlineStr">
        <is>
          <t>Atropine sulfate 2 mg IV Q5-10 min</t>
        </is>
      </c>
      <c r="I142" s="8" t="inlineStr">
        <is>
          <t>1</t>
        </is>
      </c>
      <c r="J1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 s="2" t="n"/>
      <c r="L142" s="2" t="inlineStr">
        <is>
          <t>General Therapeutics</t>
        </is>
      </c>
      <c r="M142" s="2" t="inlineStr">
        <is>
          <t>Clinic</t>
        </is>
      </c>
      <c r="N142" s="2" t="inlineStr">
        <is>
          <t>PLE-CC1 ปี 2566 Day 2 ข้อ 3</t>
        </is>
      </c>
      <c r="O142" s="2" t="inlineStr">
        <is>
          <t>ข้อสอบจริง</t>
        </is>
      </c>
      <c r="P142" s="2" t="inlineStr">
        <is>
          <t>ปี 2566</t>
        </is>
      </c>
    </row>
    <row r="143" ht="13.2" customHeight="1" s="37">
      <c r="A143" s="8" t="inlineStr">
        <is>
          <t>165</t>
        </is>
      </c>
      <c r="B143" s="2" t="inlineStr">
        <is>
          <t>ปวดหัวตุ๊บๆข้างเดียวประมาณ3 ชมเป็นอะไร ตัวเลือก</t>
        </is>
      </c>
      <c r="C143" s="2" t="n"/>
      <c r="D143" s="2" t="inlineStr">
        <is>
          <t>N-acetylcysteine (NAC) IV infusion protocol</t>
        </is>
      </c>
      <c r="E143" s="2" t="inlineStr">
        <is>
          <t>Atropine sulfate 2 mg IV Q5-10 min</t>
        </is>
      </c>
      <c r="F143" s="2" t="inlineStr">
        <is>
          <t>Pralidoxime (2-PAM) 1-2 g IV over 30 min</t>
        </is>
      </c>
      <c r="G143" s="2" t="inlineStr">
        <is>
          <t>Naloxone 0.4 mg IV stat</t>
        </is>
      </c>
      <c r="H143" s="2" t="inlineStr">
        <is>
          <t>Flumazenil 0.2 mg IV stat</t>
        </is>
      </c>
      <c r="I143" s="8" t="inlineStr">
        <is>
          <t>1</t>
        </is>
      </c>
      <c r="J1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3" s="2" t="n"/>
      <c r="L143" s="2" t="inlineStr">
        <is>
          <t>General Therapeutics</t>
        </is>
      </c>
      <c r="M143" s="2" t="inlineStr">
        <is>
          <t>Clinic</t>
        </is>
      </c>
      <c r="N143" s="2" t="inlineStr">
        <is>
          <t>PLE-CC1 ปี 2566 Day 2 ข้อ 20</t>
        </is>
      </c>
      <c r="O143" s="2" t="inlineStr">
        <is>
          <t>ข้อสอบจริง</t>
        </is>
      </c>
      <c r="P143" s="2" t="inlineStr">
        <is>
          <t>ปี 2566</t>
        </is>
      </c>
    </row>
    <row r="144" ht="13.2" customHeight="1" s="37">
      <c r="A144" s="8" t="inlineStr">
        <is>
          <t>166</t>
        </is>
      </c>
      <c r="B144" s="2" t="inlineStr">
        <is>
          <t>ปวดหัวติดต่อกัน3-4 ชม.ต่อวัน</t>
        </is>
      </c>
      <c r="C144" s="2" t="n"/>
      <c r="D144" s="2" t="inlineStr">
        <is>
          <t>Naloxone 0.4 mg IV stat</t>
        </is>
      </c>
      <c r="E144" s="2" t="inlineStr">
        <is>
          <t>Flumazenil 0.2 mg IV stat</t>
        </is>
      </c>
      <c r="F144" s="2" t="inlineStr">
        <is>
          <t>Vitamin K1 (Phytomenadione) 10 mg IV slow</t>
        </is>
      </c>
      <c r="G144" s="2" t="inlineStr">
        <is>
          <t>Sodium thiosulfate 25% 50 mL IV</t>
        </is>
      </c>
      <c r="H144" s="2" t="inlineStr">
        <is>
          <t>Calcium disodium EDTA 1 g IV</t>
        </is>
      </c>
      <c r="I144" s="8" t="inlineStr">
        <is>
          <t>1</t>
        </is>
      </c>
      <c r="J1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4" s="2" t="n"/>
      <c r="L144" s="2" t="inlineStr">
        <is>
          <t>General Therapeutics</t>
        </is>
      </c>
      <c r="M144" s="2" t="inlineStr">
        <is>
          <t>Clinic</t>
        </is>
      </c>
      <c r="N144" s="2" t="inlineStr">
        <is>
          <t>PLE-CC1 ปี 2566 Day 2 ข้อ 1</t>
        </is>
      </c>
      <c r="O144" s="2" t="inlineStr">
        <is>
          <t>ข้อสอบจริง</t>
        </is>
      </c>
      <c r="P144" s="2" t="inlineStr">
        <is>
          <t>ปี 2566</t>
        </is>
      </c>
    </row>
    <row r="145" ht="13.2" customHeight="1" s="37">
      <c r="A145" s="8" t="inlineStr">
        <is>
          <t>167</t>
        </is>
      </c>
      <c r="B145" s="2" t="inlineStr">
        <is>
          <t>ปวดมากกว่า3 ครั้ง/week</t>
        </is>
      </c>
      <c r="C145" s="2" t="n"/>
      <c r="D145" s="2" t="inlineStr">
        <is>
          <t>Sodium thiosulfate 25% 50 mL IV</t>
        </is>
      </c>
      <c r="E145" s="2" t="inlineStr">
        <is>
          <t>Calcium disodium EDTA 1 g IV</t>
        </is>
      </c>
      <c r="F145" s="2" t="inlineStr">
        <is>
          <t>Desferrioxamine 1 g IM/IV</t>
        </is>
      </c>
      <c r="G145" s="2" t="inlineStr">
        <is>
          <t>Dimercaprol (BAL) 3 mg/kg IM</t>
        </is>
      </c>
      <c r="H145" s="2" t="inlineStr">
        <is>
          <t>Ethanol 10% IV infusion for Methanol poisoning</t>
        </is>
      </c>
      <c r="I145" s="8" t="inlineStr">
        <is>
          <t>1</t>
        </is>
      </c>
      <c r="J1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2" t="n"/>
      <c r="L145" s="2" t="inlineStr">
        <is>
          <t>General Therapeutics</t>
        </is>
      </c>
      <c r="M145" s="2" t="inlineStr">
        <is>
          <t>Clinic</t>
        </is>
      </c>
      <c r="N145" s="2" t="inlineStr">
        <is>
          <t>PLE-CC1 ปี 2566 Day 2 ข้อ 2</t>
        </is>
      </c>
      <c r="O145" s="2" t="inlineStr">
        <is>
          <t>ข้อสอบจริง</t>
        </is>
      </c>
      <c r="P145" s="2" t="inlineStr">
        <is>
          <t>ปี 2566</t>
        </is>
      </c>
    </row>
    <row r="146" ht="13.2" customHeight="1" s="37">
      <c r="A146" s="8" t="inlineStr">
        <is>
          <t>168</t>
        </is>
      </c>
      <c r="B146" s="2" t="inlineStr">
        <is>
          <t>Mechanism cyclophosphamide. ตัวเลือก</t>
        </is>
      </c>
      <c r="C146" s="2" t="n"/>
      <c r="D146" s="2" t="inlineStr">
        <is>
          <t>Morphine 10 mg PO Q4H PRN</t>
        </is>
      </c>
      <c r="E146" s="2" t="inlineStr">
        <is>
          <t>Calcium folinate (Leucovorin) 50 mg IV</t>
        </is>
      </c>
      <c r="F146" s="2" t="inlineStr">
        <is>
          <t>Mesna 400 mg IV stat</t>
        </is>
      </c>
      <c r="G146" s="2" t="inlineStr">
        <is>
          <t>Rasburicase 0.2 mg/kg IV</t>
        </is>
      </c>
      <c r="H146" s="2" t="inlineStr">
        <is>
          <t>Palonosetron 0.25 mg IV stat</t>
        </is>
      </c>
      <c r="I146" s="8" t="inlineStr">
        <is>
          <t>1</t>
        </is>
      </c>
      <c r="J146" s="2" t="inlineStr">
        <is>
          <t>✅ คำตอบที่ถูกต้อง: ข้อ ก. Morphine 10 mg PO Q4H PRN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Morphine 10 mg PO Q4H PRN
🔍 ข้ออื่นผิดเพราะอะไร:
• ข้อ ข. (Calcium folinate (Leucovorin) 50 mg IV): ข้อนี้ไม่ใช่คำตอบที่ถูกต้องสำหรับภาวะ Oncology &amp; Chemotherapy เนื่องจากกลไกการออกฤทธิ์, efficacy หรือข้อบ่งใช้ไม่ตรงกับโจทย์ที่กำหนด
• ข้อ ค. (Mesna 400 mg IV stat): ข้อนี้ไม่ใช่คำตอบที่ถูกต้องสำหรับภาวะ Oncology &amp; Chemotherapy เนื่องจากกลไกการออกฤทธิ์, efficacy หรือข้อบ่งใช้ไม่ตรงกับโจทย์ที่กำหนด
• ข้อ ง. (Rasburicase 0.2 mg/kg IV): ข้อนี้ไม่ใช่คำตอบที่ถูกต้องสำหรับภาวะ Oncology &amp; Chemotherapy เนื่องจากกลไกการออกฤทธิ์, efficacy หรือข้อบ่งใช้ไม่ตรงกับโจทย์ที่กำหนด
• ข้อ จ. (Palonosetron 0.25 mg IV stat): ข้อนี้ไม่ใช่คำตอบที่ถูกต้องสำหรับภาวะ Oncology &amp; Chemotherapy เนื่องจากกลไกการออกฤทธิ์, efficacy หรือข้อบ่งใช้ไม่ตรงกับโจทย์ที่กำหนด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46" s="2" t="n"/>
      <c r="L146" s="2" t="inlineStr">
        <is>
          <t>Oncology &amp; Chemotherapy</t>
        </is>
      </c>
      <c r="M146" s="2" t="inlineStr">
        <is>
          <t>Clinic</t>
        </is>
      </c>
      <c r="N146" s="2" t="inlineStr">
        <is>
          <t>PLE-CC1 ปี 2566 Day 2 ข้อ 22</t>
        </is>
      </c>
      <c r="O146" s="2" t="inlineStr">
        <is>
          <t>ข้อสอบจริง</t>
        </is>
      </c>
      <c r="P146" s="2" t="inlineStr">
        <is>
          <t>ปี 2566</t>
        </is>
      </c>
    </row>
    <row r="147" ht="13.2" customHeight="1" s="37">
      <c r="A147" s="8" t="inlineStr">
        <is>
          <t>169</t>
        </is>
      </c>
      <c r="B147" s="2" t="inlineStr">
        <is>
          <t>DNA Alkylating agent</t>
        </is>
      </c>
      <c r="C147" s="2" t="n"/>
      <c r="D147" s="2" t="inlineStr">
        <is>
          <t>N-acetylcysteine (NAC) IV infusion protocol</t>
        </is>
      </c>
      <c r="E147" s="2" t="inlineStr">
        <is>
          <t>Atropine sulfate 2 mg IV Q5-10 min</t>
        </is>
      </c>
      <c r="F147" s="2" t="inlineStr">
        <is>
          <t>Pralidoxime (2-PAM) 1-2 g IV over 30 min</t>
        </is>
      </c>
      <c r="G147" s="2" t="inlineStr">
        <is>
          <t>Naloxone 0.4 mg IV stat</t>
        </is>
      </c>
      <c r="H147" s="2" t="inlineStr">
        <is>
          <t>Flumazenil 0.2 mg IV stat</t>
        </is>
      </c>
      <c r="I147" s="8" t="inlineStr">
        <is>
          <t>1</t>
        </is>
      </c>
      <c r="J1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7" s="2" t="n"/>
      <c r="L147" s="2" t="inlineStr">
        <is>
          <t>General Therapeutics</t>
        </is>
      </c>
      <c r="M147" s="2" t="inlineStr">
        <is>
          <t>Clinic</t>
        </is>
      </c>
      <c r="N147" s="2" t="inlineStr">
        <is>
          <t>PLE-CC1 ปี 2566 Day 2 ข้อ 1</t>
        </is>
      </c>
      <c r="O147" s="2" t="inlineStr">
        <is>
          <t>ข้อสอบจริง</t>
        </is>
      </c>
      <c r="P147" s="2" t="inlineStr">
        <is>
          <t>ปี 2566</t>
        </is>
      </c>
    </row>
    <row r="148" ht="13.2" customHeight="1" s="37">
      <c r="A148" s="8" t="inlineStr">
        <is>
          <t>170</t>
        </is>
      </c>
      <c r="B148" s="2" t="inlineStr">
        <is>
          <t>NSAIDs ที่half life สั้น ตัวเลือก</t>
        </is>
      </c>
      <c r="C148" s="2" t="n"/>
      <c r="D148" s="2" t="inlineStr">
        <is>
          <t>Paracetamol 500 mg Q6H PRN</t>
        </is>
      </c>
      <c r="E148" s="2" t="inlineStr">
        <is>
          <t>Denosumab 60 mg SC every 6 months</t>
        </is>
      </c>
      <c r="F148" s="2" t="inlineStr">
        <is>
          <t>Sulfasalazine 500 mg BID</t>
        </is>
      </c>
      <c r="G148" s="2" t="inlineStr">
        <is>
          <t>Colchicine 0.6 mg OD</t>
        </is>
      </c>
      <c r="H148" s="2" t="inlineStr">
        <is>
          <t>Naproxen 250 mg BID</t>
        </is>
      </c>
      <c r="I148" s="8" t="inlineStr">
        <is>
          <t>1</t>
        </is>
      </c>
      <c r="J148" s="2" t="inlineStr">
        <is>
          <t>✅ คำตอบที่ถูกต้อง: ข้อ ก. Paracetamol 500 mg Q6H PRN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Paracetamol 500 mg Q6H PRN การเลือก Paracetamol 500 mg Q6H PRN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ข้อ ค. (Sulfasalazine 500 mg BID): เป็น csDMARD สำหรับ RA และ peripheral spondyloarthritis ปลอดภัยในหญิงตั้งครรภ์ แต่ contraindication ในผู้ที่แพ้ sulfa หรือ G6PD deficiency
• ข้อ ง. (Colchicine 0.6 mg OD): ยับยั้ง microtubule polymerization และ neutrophil chemotaxis เป็น first-line ใน acute gout flare และ flare prophylaxis แต่มี ADR เด่นทาง GI (ท้องเสีย คลื่นไส้)
• ข้อ จ. (Naproxen 250 mg BID): เป็น non-selective NSAID ที่มี cardiovascular safety profile ดีที่สุด และมี efficacy สูงในการระงับ acute inflammation
📖 Guideline อ้างอิง:
[NEED_REVIEW]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8" s="2" t="n"/>
      <c r="L148" s="2" t="inlineStr">
        <is>
          <t>Musculoskeletal &amp; Joint</t>
        </is>
      </c>
      <c r="M148" s="2" t="inlineStr">
        <is>
          <t>Clinic</t>
        </is>
      </c>
      <c r="N148" s="2" t="inlineStr">
        <is>
          <t>PLE-CC1 ปี 2566 Day 2 ข้อ 23</t>
        </is>
      </c>
      <c r="O148" s="2" t="inlineStr">
        <is>
          <t>ข้อสอบจริง</t>
        </is>
      </c>
      <c r="P148" s="2" t="inlineStr">
        <is>
          <t>ปี 2566</t>
        </is>
      </c>
    </row>
    <row r="149" ht="13.2" customHeight="1" s="37">
      <c r="A149" s="8" t="inlineStr">
        <is>
          <t>171</t>
        </is>
      </c>
      <c r="B149" s="2" t="inlineStr">
        <is>
          <t>Tramadol สูตรเดี่ยวและสูตรผสม</t>
        </is>
      </c>
      <c r="C149" s="2" t="n"/>
      <c r="D149" s="2" t="inlineStr">
        <is>
          <t>Sodium thiosulfate 25% 50 mL IV</t>
        </is>
      </c>
      <c r="E149" s="2" t="inlineStr">
        <is>
          <t>Calcium disodium EDTA 1 g IV</t>
        </is>
      </c>
      <c r="F149" s="2" t="inlineStr">
        <is>
          <t>Desferrioxamine 1 g IM/IV</t>
        </is>
      </c>
      <c r="G149" s="2" t="inlineStr">
        <is>
          <t>Dimercaprol (BAL) 3 mg/kg IM</t>
        </is>
      </c>
      <c r="H149" s="2" t="inlineStr">
        <is>
          <t>Ethanol 10% IV infusion for Methanol poisoning</t>
        </is>
      </c>
      <c r="I149" s="8" t="inlineStr">
        <is>
          <t>1</t>
        </is>
      </c>
      <c r="J1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 s="2" t="n"/>
      <c r="L149" s="2" t="inlineStr">
        <is>
          <t>General Therapeutics</t>
        </is>
      </c>
      <c r="M149" s="2" t="inlineStr">
        <is>
          <t>Clinic</t>
        </is>
      </c>
      <c r="N149" s="2" t="inlineStr">
        <is>
          <t>PLE-CC1 ปี 2566 Day 2 ข้อ 1</t>
        </is>
      </c>
      <c r="O149" s="2" t="inlineStr">
        <is>
          <t>ข้อสอบจริง</t>
        </is>
      </c>
      <c r="P149" s="2" t="inlineStr">
        <is>
          <t>ปี 2566</t>
        </is>
      </c>
    </row>
    <row r="150" ht="13.2" customHeight="1" s="37">
      <c r="A150" s="8" t="inlineStr">
        <is>
          <t>172</t>
        </is>
      </c>
      <c r="B150" s="2" t="inlineStr">
        <is>
          <t>Hydroxyzine สูตรเดียวและผสมแบบน้ำ</t>
        </is>
      </c>
      <c r="C150" s="2" t="n"/>
      <c r="D150" s="2" t="inlineStr">
        <is>
          <t>Dimercaprol (BAL) 3 mg/kg IM</t>
        </is>
      </c>
      <c r="E150" s="2" t="inlineStr">
        <is>
          <t>Ethanol 10% IV infusion for Methanol poisoning</t>
        </is>
      </c>
      <c r="F150" s="2" t="inlineStr">
        <is>
          <t>Fomepizole 15 mg/kg IV loading</t>
        </is>
      </c>
      <c r="G150" s="2" t="inlineStr">
        <is>
          <t>N-acetylcysteine (NAC) IV infusion protocol</t>
        </is>
      </c>
      <c r="H150" s="2" t="inlineStr">
        <is>
          <t>Atropine sulfate 2 mg IV Q5-10 min</t>
        </is>
      </c>
      <c r="I150" s="8" t="inlineStr">
        <is>
          <t>1</t>
        </is>
      </c>
      <c r="J1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 s="2" t="n"/>
      <c r="L150" s="2" t="inlineStr">
        <is>
          <t>General Therapeutics</t>
        </is>
      </c>
      <c r="M150" s="2" t="inlineStr">
        <is>
          <t>Clinic</t>
        </is>
      </c>
      <c r="N150" s="2" t="inlineStr">
        <is>
          <t>PLE-CC1 ปี 2566 Day 2 ข้อ 2</t>
        </is>
      </c>
      <c r="O150" s="2" t="inlineStr">
        <is>
          <t>ข้อสอบจริง</t>
        </is>
      </c>
      <c r="P150" s="2" t="inlineStr">
        <is>
          <t>ปี 2566</t>
        </is>
      </c>
    </row>
    <row r="151" ht="13.2" customHeight="1" s="37">
      <c r="A151" s="8" t="inlineStr">
        <is>
          <t>173</t>
        </is>
      </c>
      <c r="B151" s="2" t="inlineStr">
        <is>
          <t>Chloepheniramine สูตรเดี่ยวและผสมแบบน้ำ</t>
        </is>
      </c>
      <c r="C151" s="2" t="n"/>
      <c r="D151" s="2" t="inlineStr">
        <is>
          <t>N-acetylcysteine (NAC) IV infusion protocol</t>
        </is>
      </c>
      <c r="E151" s="2" t="inlineStr">
        <is>
          <t>Atropine sulfate 2 mg IV Q5-10 min</t>
        </is>
      </c>
      <c r="F151" s="2" t="inlineStr">
        <is>
          <t>Pralidoxime (2-PAM) 1-2 g IV over 30 min</t>
        </is>
      </c>
      <c r="G151" s="2" t="inlineStr">
        <is>
          <t>Naloxone 0.4 mg IV stat</t>
        </is>
      </c>
      <c r="H151" s="2" t="inlineStr">
        <is>
          <t>Flumazenil 0.2 mg IV stat</t>
        </is>
      </c>
      <c r="I151" s="8" t="inlineStr">
        <is>
          <t>1</t>
        </is>
      </c>
      <c r="J1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1" s="2" t="n"/>
      <c r="L151" s="2" t="inlineStr">
        <is>
          <t>General Therapeutics</t>
        </is>
      </c>
      <c r="M151" s="2" t="inlineStr">
        <is>
          <t>Clinic</t>
        </is>
      </c>
      <c r="N151" s="2" t="inlineStr">
        <is>
          <t>PLE-CC1 ปี 2566 Day 2 ข้อ 3</t>
        </is>
      </c>
      <c r="O151" s="2" t="inlineStr">
        <is>
          <t>ข้อสอบจริง</t>
        </is>
      </c>
      <c r="P151" s="2" t="inlineStr">
        <is>
          <t>ปี 2566</t>
        </is>
      </c>
    </row>
    <row r="152" ht="13.2" customHeight="1" s="37">
      <c r="A152" s="8" t="inlineStr">
        <is>
          <t>174</t>
        </is>
      </c>
      <c r="B152" s="2" t="inlineStr">
        <is>
          <t>Cetirizine สูตรเดี่ยวและผสมแบบน้ำ</t>
        </is>
      </c>
      <c r="C152" s="2" t="n"/>
      <c r="D152" s="2" t="inlineStr">
        <is>
          <t>Chlorpheniramine 4 mg TID</t>
        </is>
      </c>
      <c r="E152" s="2" t="inlineStr">
        <is>
          <t>Fluticasone furoate nasal spray</t>
        </is>
      </c>
      <c r="F152" s="2" t="inlineStr">
        <is>
          <t>Budesonide nasal spray</t>
        </is>
      </c>
      <c r="G152" s="2" t="inlineStr">
        <is>
          <t>Epinephrine 0.3 mg IM stat</t>
        </is>
      </c>
      <c r="H152" s="2" t="inlineStr">
        <is>
          <t>Dexamethasone 4 mg IV</t>
        </is>
      </c>
      <c r="I152" s="8" t="inlineStr">
        <is>
          <t>1</t>
        </is>
      </c>
      <c r="J152" s="2" t="inlineStr">
        <is>
          <t>✅ คำตอบที่ถูกต้อง: ข้อ ก. Chlorpheniramine 4 mg TID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Allergy &amp; Immunology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 s="2" t="n"/>
      <c r="L152" s="2" t="inlineStr">
        <is>
          <t>Allergy &amp; Immunology</t>
        </is>
      </c>
      <c r="M152" s="2" t="inlineStr">
        <is>
          <t>Clinic</t>
        </is>
      </c>
      <c r="N152" s="2" t="inlineStr">
        <is>
          <t>PLE-CC1 ปี 2566 Day 2 ข้อ 4</t>
        </is>
      </c>
      <c r="O152" s="2" t="inlineStr">
        <is>
          <t>ข้อสอบจริง</t>
        </is>
      </c>
      <c r="P152" s="2" t="inlineStr">
        <is>
          <t>ปี 2566</t>
        </is>
      </c>
    </row>
    <row r="153" ht="13.2" customHeight="1" s="37">
      <c r="A153" s="8" t="inlineStr">
        <is>
          <t>175</t>
        </is>
      </c>
      <c r="B153" s="2" t="inlineStr">
        <is>
          <t>โฆษณาแบบมีผู้ชี้นำความคิด</t>
        </is>
      </c>
      <c r="C153" s="2" t="n"/>
      <c r="D153" s="2" t="inlineStr">
        <is>
          <t>Sodium thiosulfate 25% 50 mL IV</t>
        </is>
      </c>
      <c r="E153" s="2" t="inlineStr">
        <is>
          <t>Calcium disodium EDTA 1 g IV</t>
        </is>
      </c>
      <c r="F153" s="2" t="inlineStr">
        <is>
          <t>โฆษณาว่าเป็นยาขับระดูหรือเป็นยาคุมกำเนิด</t>
        </is>
      </c>
      <c r="G153" s="2" t="inlineStr">
        <is>
          <t>Dimercaprol (BAL) 3 mg/kg IM</t>
        </is>
      </c>
      <c r="H153" s="2" t="inlineStr">
        <is>
          <t>Ethanol 10% IV infusion for Methanol poisoning</t>
        </is>
      </c>
      <c r="I153" s="8" t="inlineStr">
        <is>
          <t>1</t>
        </is>
      </c>
      <c r="J1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(โฆษณาว่าเป็นยาขับระดูหรือเป็นยาคุมกำเนิด):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2" t="n"/>
      <c r="L153" s="2" t="inlineStr">
        <is>
          <t>General Therapeutics</t>
        </is>
      </c>
      <c r="M153" s="2" t="inlineStr">
        <is>
          <t>Clinic</t>
        </is>
      </c>
      <c r="N153" s="2" t="inlineStr">
        <is>
          <t>PLE-CC1 ปี 2566 Day 2 ข้อ 1</t>
        </is>
      </c>
      <c r="O153" s="2" t="inlineStr">
        <is>
          <t>ข้อสอบจริง</t>
        </is>
      </c>
      <c r="P153" s="2" t="inlineStr">
        <is>
          <t>ปี 2566</t>
        </is>
      </c>
    </row>
    <row r="154" ht="13.2" customHeight="1" s="37">
      <c r="A154" s="8" t="inlineStr">
        <is>
          <t>176</t>
        </is>
      </c>
      <c r="B154" s="2" t="inlineStr">
        <is>
          <t>Case anxiety ขึ้นรถสาธารณะแล้วpanic attack ตัวเลือก</t>
        </is>
      </c>
      <c r="C154" s="2" t="n"/>
      <c r="D154" s="2" t="inlineStr">
        <is>
          <t>Dimercaprol (BAL) 3 mg/kg IM</t>
        </is>
      </c>
      <c r="E154" s="2" t="inlineStr">
        <is>
          <t>Ethanol 10% IV infusion for Methanol poisoning</t>
        </is>
      </c>
      <c r="F154" s="2" t="inlineStr">
        <is>
          <t>Fomepizole 15 mg/kg IV loading</t>
        </is>
      </c>
      <c r="G154" s="2" t="inlineStr">
        <is>
          <t>N-acetylcysteine (NAC) IV infusion protocol</t>
        </is>
      </c>
      <c r="H154" s="2" t="inlineStr">
        <is>
          <t>Atropine sulfate 2 mg IV Q5-10 min</t>
        </is>
      </c>
      <c r="I154" s="8" t="inlineStr">
        <is>
          <t>1</t>
        </is>
      </c>
      <c r="J1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4" s="2" t="n"/>
      <c r="L154" s="2" t="inlineStr">
        <is>
          <t>General Therapeutics</t>
        </is>
      </c>
      <c r="M154" s="2" t="inlineStr">
        <is>
          <t>Clinic</t>
        </is>
      </c>
      <c r="N154" s="2" t="inlineStr">
        <is>
          <t>PLE-CC1 ปี 2566 Day 2 ข้อ 27</t>
        </is>
      </c>
      <c r="O154" s="2" t="inlineStr">
        <is>
          <t>ข้อสอบจริง</t>
        </is>
      </c>
      <c r="P154" s="2" t="inlineStr">
        <is>
          <t>ปี 2566</t>
        </is>
      </c>
    </row>
    <row r="155" ht="13.2" customHeight="1" s="37">
      <c r="A155" s="8" t="inlineStr">
        <is>
          <t>177</t>
        </is>
      </c>
      <c r="B155" s="2" t="inlineStr">
        <is>
          <t>Pneumococcal 13</t>
        </is>
      </c>
      <c r="C155" s="2" t="n"/>
      <c r="D155" s="2" t="inlineStr">
        <is>
          <t>N-acetylcysteine (NAC) IV infusion protocol</t>
        </is>
      </c>
      <c r="E155" s="2" t="inlineStr">
        <is>
          <t>Atropine sulfate 2 mg IV Q5-10 min</t>
        </is>
      </c>
      <c r="F155" s="2" t="inlineStr">
        <is>
          <t>Pralidoxime (2-PAM) 1-2 g IV over 30 min</t>
        </is>
      </c>
      <c r="G155" s="2" t="inlineStr">
        <is>
          <t>Naloxone 0.4 mg IV stat</t>
        </is>
      </c>
      <c r="H155" s="2" t="inlineStr">
        <is>
          <t>Flumazenil 0.2 mg IV stat</t>
        </is>
      </c>
      <c r="I155" s="8" t="inlineStr">
        <is>
          <t>1</t>
        </is>
      </c>
      <c r="J1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5" s="2" t="n"/>
      <c r="L155" s="2" t="inlineStr">
        <is>
          <t>General Therapeutics</t>
        </is>
      </c>
      <c r="M155" s="2" t="inlineStr">
        <is>
          <t>Clinic</t>
        </is>
      </c>
      <c r="N155" s="2" t="inlineStr">
        <is>
          <t>PLE-CC1 ปี 2566 Day 2 ข้อ 2</t>
        </is>
      </c>
      <c r="O155" s="2" t="inlineStr">
        <is>
          <t>ข้อสอบจริง</t>
        </is>
      </c>
      <c r="P155" s="2" t="inlineStr">
        <is>
          <t>ปี 2566</t>
        </is>
      </c>
    </row>
    <row r="156" ht="13.2" customHeight="1" s="37">
      <c r="A156" s="8" t="inlineStr">
        <is>
          <t>178</t>
        </is>
      </c>
      <c r="B156" s="2" t="inlineStr">
        <is>
          <t>ตกขาวมีฟองสีเหลืองเขียวหลังมีเพศสัมพันธ์…วันเป็นอะไร ตัวเลือก</t>
        </is>
      </c>
      <c r="C156" s="2" t="n"/>
      <c r="D156" s="2" t="inlineStr">
        <is>
          <t>Naloxone 0.4 mg IV stat</t>
        </is>
      </c>
      <c r="E156" s="2" t="inlineStr">
        <is>
          <t>Flumazenil 0.2 mg IV stat</t>
        </is>
      </c>
      <c r="F156" s="2" t="inlineStr">
        <is>
          <t>Vitamin K1 (Phytomenadione) 10 mg IV slow</t>
        </is>
      </c>
      <c r="G156" s="2" t="inlineStr">
        <is>
          <t>Sodium thiosulfate 25% 50 mL IV</t>
        </is>
      </c>
      <c r="H156" s="2" t="inlineStr">
        <is>
          <t>Calcium disodium EDTA 1 g IV</t>
        </is>
      </c>
      <c r="I156" s="8" t="inlineStr">
        <is>
          <t>1</t>
        </is>
      </c>
      <c r="J1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6" s="2" t="n"/>
      <c r="L156" s="2" t="inlineStr">
        <is>
          <t>General Therapeutics</t>
        </is>
      </c>
      <c r="M156" s="2" t="inlineStr">
        <is>
          <t>Clinic</t>
        </is>
      </c>
      <c r="N156" s="2" t="inlineStr">
        <is>
          <t>PLE-CC1 ปี 2566 Day 2 ข้อ 29</t>
        </is>
      </c>
      <c r="O156" s="2" t="inlineStr">
        <is>
          <t>ข้อสอบจริง</t>
        </is>
      </c>
      <c r="P156" s="2" t="inlineStr">
        <is>
          <t>ปี 2566</t>
        </is>
      </c>
    </row>
    <row r="157" ht="13.2" customHeight="1" s="37">
      <c r="A157" s="8" t="inlineStr">
        <is>
          <t>179</t>
        </is>
      </c>
      <c r="B157" s="2" t="inlineStr">
        <is>
          <t>Benzodiazepine ที่ระยะเวลาการออกฤทธิ์ตำ่สุด(เลือกจากตัวเลือก) ตัวเลือก</t>
        </is>
      </c>
      <c r="C157" s="2" t="n"/>
      <c r="D157" s="2" t="inlineStr">
        <is>
          <t>Sodium thiosulfate 25% 50 mL IV</t>
        </is>
      </c>
      <c r="E157" s="2" t="inlineStr">
        <is>
          <t>Calcium disodium EDTA 1 g IV</t>
        </is>
      </c>
      <c r="F157" s="2" t="inlineStr">
        <is>
          <t>Desferrioxamine 1 g IM/IV</t>
        </is>
      </c>
      <c r="G157" s="2" t="inlineStr">
        <is>
          <t>Dimercaprol (BAL) 3 mg/kg IM</t>
        </is>
      </c>
      <c r="H157" s="2" t="inlineStr">
        <is>
          <t>Ethanol 10% IV infusion for Methanol poisoning</t>
        </is>
      </c>
      <c r="I157" s="8" t="inlineStr">
        <is>
          <t>1</t>
        </is>
      </c>
      <c r="J1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2" t="n"/>
      <c r="L157" s="2" t="inlineStr">
        <is>
          <t>General Therapeutics</t>
        </is>
      </c>
      <c r="M157" s="2" t="inlineStr">
        <is>
          <t>Clinic</t>
        </is>
      </c>
      <c r="N157" s="2" t="inlineStr">
        <is>
          <t>PLE-CC1 ปี 2566 Day 2 ข้อ 30</t>
        </is>
      </c>
      <c r="O157" s="2" t="inlineStr">
        <is>
          <t>ข้อสอบจริง</t>
        </is>
      </c>
      <c r="P157" s="2" t="inlineStr">
        <is>
          <t>ปี 2566</t>
        </is>
      </c>
    </row>
    <row r="158" ht="13.2" customHeight="1" s="37">
      <c r="A158" s="8" t="inlineStr">
        <is>
          <t>180</t>
        </is>
      </c>
      <c r="B158" s="2" t="inlineStr">
        <is>
          <t>ผู้ป่วยanxiety ยาที่ต้องใช้รักษาในระยะยาวช ตัวเลือก</t>
        </is>
      </c>
      <c r="C158" s="2" t="n"/>
      <c r="D158" s="2" t="inlineStr">
        <is>
          <t>Dimercaprol (BAL) 3 mg/kg IM</t>
        </is>
      </c>
      <c r="E158" s="2" t="inlineStr">
        <is>
          <t>Ethanol 10% IV infusion for Methanol poisoning</t>
        </is>
      </c>
      <c r="F158" s="2" t="inlineStr">
        <is>
          <t>Fomepizole 15 mg/kg IV loading</t>
        </is>
      </c>
      <c r="G158" s="2" t="inlineStr">
        <is>
          <t>N-acetylcysteine (NAC) IV infusion protocol</t>
        </is>
      </c>
      <c r="H158" s="2" t="inlineStr">
        <is>
          <t>Atropine sulfate 2 mg IV Q5-10 min</t>
        </is>
      </c>
      <c r="I158" s="8" t="inlineStr">
        <is>
          <t>1</t>
        </is>
      </c>
      <c r="J1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2" t="n"/>
      <c r="L158" s="2" t="inlineStr">
        <is>
          <t>General Therapeutics</t>
        </is>
      </c>
      <c r="M158" s="2" t="inlineStr">
        <is>
          <t>Clinic</t>
        </is>
      </c>
      <c r="N158" s="2" t="inlineStr">
        <is>
          <t>PLE-CC1 ปี 2566 Day 2 ข้อ 31</t>
        </is>
      </c>
      <c r="O158" s="2" t="inlineStr">
        <is>
          <t>ข้อสอบจริง</t>
        </is>
      </c>
      <c r="P158" s="2" t="inlineStr">
        <is>
          <t>ปี 2566</t>
        </is>
      </c>
    </row>
    <row r="159" ht="13.2" customHeight="1" s="37">
      <c r="A159" s="8" t="inlineStr">
        <is>
          <t>181</t>
        </is>
      </c>
      <c r="B159" s="2" t="inlineStr">
        <is>
          <t>Seb derm ออกลักษณะอาการที่เด่นในผู้ป่วยรายนี้ ตัวเลือก</t>
        </is>
      </c>
      <c r="C159" s="2" t="n"/>
      <c r="D159" s="2" t="inlineStr">
        <is>
          <t>N-acetylcysteine (NAC) IV infusion protocol</t>
        </is>
      </c>
      <c r="E159" s="2" t="inlineStr">
        <is>
          <t>Atropine sulfate 2 mg IV Q5-10 min</t>
        </is>
      </c>
      <c r="F159" s="2" t="inlineStr">
        <is>
          <t>Pralidoxime (2-PAM) 1-2 g IV over 30 min</t>
        </is>
      </c>
      <c r="G159" s="2" t="inlineStr">
        <is>
          <t>Naloxone 0.4 mg IV stat</t>
        </is>
      </c>
      <c r="H159" s="2" t="inlineStr">
        <is>
          <t>Flumazenil 0.2 mg IV stat</t>
        </is>
      </c>
      <c r="I159" s="8" t="inlineStr">
        <is>
          <t>1</t>
        </is>
      </c>
      <c r="J1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9" s="2" t="n"/>
      <c r="L159" s="2" t="inlineStr">
        <is>
          <t>General Therapeutics</t>
        </is>
      </c>
      <c r="M159" s="2" t="inlineStr">
        <is>
          <t>Clinic</t>
        </is>
      </c>
      <c r="N159" s="2" t="inlineStr">
        <is>
          <t>PLE-CC1 ปี 2566 Day 2 ข้อ 33</t>
        </is>
      </c>
      <c r="O159" s="2" t="inlineStr">
        <is>
          <t>ข้อสอบจริง</t>
        </is>
      </c>
      <c r="P159" s="2" t="inlineStr">
        <is>
          <t>ปี 2566</t>
        </is>
      </c>
    </row>
    <row r="160" ht="13.2" customHeight="1" s="37">
      <c r="A160" s="8" t="inlineStr">
        <is>
          <t>182</t>
        </is>
      </c>
      <c r="B160" s="2" t="inlineStr">
        <is>
          <t>water for injection</t>
        </is>
      </c>
      <c r="C160" s="2" t="n"/>
      <c r="D160" s="2" t="inlineStr">
        <is>
          <t>Naloxone 0.4 mg IV stat</t>
        </is>
      </c>
      <c r="E160" s="2" t="inlineStr">
        <is>
          <t>Flumazenil 0.2 mg IV stat</t>
        </is>
      </c>
      <c r="F160" s="2" t="inlineStr">
        <is>
          <t>Vitamin K1 (Phytomenadione) 10 mg IV slow</t>
        </is>
      </c>
      <c r="G160" s="2" t="inlineStr">
        <is>
          <t>Sodium thiosulfate 25% 50 mL IV</t>
        </is>
      </c>
      <c r="H160" s="2" t="inlineStr">
        <is>
          <t>Calcium disodium EDTA 1 g IV</t>
        </is>
      </c>
      <c r="I160" s="8" t="inlineStr">
        <is>
          <t>1</t>
        </is>
      </c>
      <c r="J1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0" s="2" t="n"/>
      <c r="L160" s="2" t="inlineStr">
        <is>
          <t>General Therapeutics</t>
        </is>
      </c>
      <c r="M160" s="2" t="inlineStr">
        <is>
          <t>Clinic</t>
        </is>
      </c>
      <c r="N160" s="2" t="inlineStr">
        <is>
          <t>PLE-CC1 ปี 2566 Day 2 ข้อ 3</t>
        </is>
      </c>
      <c r="O160" s="2" t="inlineStr">
        <is>
          <t>ข้อสอบจริง</t>
        </is>
      </c>
      <c r="P160" s="2" t="inlineStr">
        <is>
          <t>ปี 2566</t>
        </is>
      </c>
    </row>
    <row r="161" ht="13.2" customHeight="1" s="37">
      <c r="A161" s="8" t="inlineStr">
        <is>
          <t>183</t>
        </is>
      </c>
      <c r="B161" s="2" t="inlineStr">
        <is>
          <t>Staphyloccos aurues</t>
        </is>
      </c>
      <c r="C161" s="2" t="n"/>
      <c r="D161" s="2" t="inlineStr">
        <is>
          <t>Sodium thiosulfate 25% 50 mL IV</t>
        </is>
      </c>
      <c r="E161" s="2" t="inlineStr">
        <is>
          <t>Calcium disodium EDTA 1 g IV</t>
        </is>
      </c>
      <c r="F161" s="2" t="inlineStr">
        <is>
          <t>Desferrioxamine 1 g IM/IV</t>
        </is>
      </c>
      <c r="G161" s="2" t="inlineStr">
        <is>
          <t>Dimercaprol (BAL) 3 mg/kg IM</t>
        </is>
      </c>
      <c r="H161" s="2" t="inlineStr">
        <is>
          <t>Ethanol 10% IV infusion for Methanol poisoning</t>
        </is>
      </c>
      <c r="I161" s="8" t="inlineStr">
        <is>
          <t>1</t>
        </is>
      </c>
      <c r="J1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 s="2" t="n"/>
      <c r="L161" s="2" t="inlineStr">
        <is>
          <t>General Therapeutics</t>
        </is>
      </c>
      <c r="M161" s="2" t="inlineStr">
        <is>
          <t>Clinic</t>
        </is>
      </c>
      <c r="N161" s="2" t="inlineStr">
        <is>
          <t>PLE-CC1 ปี 2566 Day 2 ข้อ 1</t>
        </is>
      </c>
      <c r="O161" s="2" t="inlineStr">
        <is>
          <t>ข้อสอบจริง</t>
        </is>
      </c>
      <c r="P161" s="2" t="inlineStr">
        <is>
          <t>ปี 2566</t>
        </is>
      </c>
    </row>
    <row r="162" ht="13.2" customHeight="1" s="37">
      <c r="A162" s="8" t="inlineStr">
        <is>
          <t>184</t>
        </is>
      </c>
      <c r="B162" s="2" t="inlineStr">
        <is>
          <t>การศึกษาrare adr ควรใช้การศึกษารูปแบบใด. ตัวเลือก</t>
        </is>
      </c>
      <c r="C162" s="2" t="n"/>
      <c r="D162" s="2" t="inlineStr">
        <is>
          <t>Montelukast 10 mg HS</t>
        </is>
      </c>
      <c r="E162" s="2" t="inlineStr">
        <is>
          <t>Hydroxyzine 25 mg HS</t>
        </is>
      </c>
      <c r="F162" s="2" t="inlineStr">
        <is>
          <t>Diphenhydramine 25 mg IV</t>
        </is>
      </c>
      <c r="G162" s="2" t="inlineStr">
        <is>
          <t>Cetirizine 10 mg OD</t>
        </is>
      </c>
      <c r="H162" s="2" t="inlineStr">
        <is>
          <t>Loratadine 10 mg OD</t>
        </is>
      </c>
      <c r="I162" s="8" t="inlineStr">
        <is>
          <t>1</t>
        </is>
      </c>
      <c r="J162"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 s="2" t="n"/>
      <c r="L162" s="2" t="inlineStr">
        <is>
          <t>Allergy &amp; Immunology</t>
        </is>
      </c>
      <c r="M162" s="2" t="inlineStr">
        <is>
          <t>Clinic</t>
        </is>
      </c>
      <c r="N162" s="2" t="inlineStr">
        <is>
          <t>PLE-CC1 ปี 2566 Day 2 ข้อ 40</t>
        </is>
      </c>
      <c r="O162" s="2" t="inlineStr">
        <is>
          <t>ข้อสอบจริง</t>
        </is>
      </c>
      <c r="P162" s="2" t="inlineStr">
        <is>
          <t>ปี 2566</t>
        </is>
      </c>
    </row>
    <row r="163" ht="13.2" customHeight="1" s="37">
      <c r="A163" s="8" t="inlineStr">
        <is>
          <t>185</t>
        </is>
      </c>
      <c r="B163" s="2" t="inlineStr">
        <is>
          <t>Niclosamide 4เม็ดเม็ดละ500 mg</t>
        </is>
      </c>
      <c r="C163" s="2" t="n"/>
      <c r="D163" s="2" t="inlineStr">
        <is>
          <t>N-acetylcysteine (NAC) IV infusion protocol</t>
        </is>
      </c>
      <c r="E163" s="2" t="inlineStr">
        <is>
          <t>Atropine sulfate 2 mg IV Q5-10 min</t>
        </is>
      </c>
      <c r="F163" s="2" t="inlineStr">
        <is>
          <t>Pralidoxime (2-PAM) 1-2 g IV over 30 min</t>
        </is>
      </c>
      <c r="G163" s="2" t="inlineStr">
        <is>
          <t>Naloxone 0.4 mg IV stat</t>
        </is>
      </c>
      <c r="H163" s="2" t="inlineStr">
        <is>
          <t>Flumazenil 0.2 mg IV stat</t>
        </is>
      </c>
      <c r="I163" s="8" t="inlineStr">
        <is>
          <t>1</t>
        </is>
      </c>
      <c r="J1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3" s="2" t="n"/>
      <c r="L163" s="2" t="inlineStr">
        <is>
          <t>General Therapeutics</t>
        </is>
      </c>
      <c r="M163" s="2" t="inlineStr">
        <is>
          <t>Clinic</t>
        </is>
      </c>
      <c r="N163" s="2" t="inlineStr">
        <is>
          <t>PLE-CC1 ปี 2566 Day 2 ข้อ 1</t>
        </is>
      </c>
      <c r="O163" s="2" t="inlineStr">
        <is>
          <t>ข้อสอบจริง</t>
        </is>
      </c>
      <c r="P163" s="2" t="inlineStr">
        <is>
          <t>ปี 2566</t>
        </is>
      </c>
    </row>
    <row r="164" ht="13.2" customHeight="1" s="37">
      <c r="A164" s="8" t="inlineStr">
        <is>
          <t>186</t>
        </is>
      </c>
      <c r="B164" s="2" t="inlineStr">
        <is>
          <t>Paracetamol 325 mg 10 เม็ด</t>
        </is>
      </c>
      <c r="C164" s="2" t="n"/>
      <c r="D164" s="2" t="inlineStr">
        <is>
          <t>Naloxone 0.4 mg IV stat</t>
        </is>
      </c>
      <c r="E164" s="2" t="inlineStr">
        <is>
          <t>Flumazenil 0.2 mg IV stat</t>
        </is>
      </c>
      <c r="F164" s="2" t="inlineStr">
        <is>
          <t>Vitamin K1 (Phytomenadione) 10 mg IV slow</t>
        </is>
      </c>
      <c r="G164" s="2" t="inlineStr">
        <is>
          <t>Sodium thiosulfate 25% 50 mL IV</t>
        </is>
      </c>
      <c r="H164" s="2" t="inlineStr">
        <is>
          <t>Calcium disodium EDTA 1 g IV</t>
        </is>
      </c>
      <c r="I164" s="8" t="inlineStr">
        <is>
          <t>1</t>
        </is>
      </c>
      <c r="J1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4" s="2" t="n"/>
      <c r="L164" s="2" t="inlineStr">
        <is>
          <t>General Therapeutics</t>
        </is>
      </c>
      <c r="M164" s="2" t="inlineStr">
        <is>
          <t>Clinic</t>
        </is>
      </c>
      <c r="N164" s="2" t="inlineStr">
        <is>
          <t>PLE-CC1 ปี 2566 Day 2 ข้อ 3</t>
        </is>
      </c>
      <c r="O164" s="2" t="inlineStr">
        <is>
          <t>ข้อสอบจริง</t>
        </is>
      </c>
      <c r="P164" s="2" t="inlineStr">
        <is>
          <t>ปี 2566</t>
        </is>
      </c>
    </row>
    <row r="165" ht="13.2" customHeight="1" s="37">
      <c r="A165" s="8" t="inlineStr">
        <is>
          <t>187</t>
        </is>
      </c>
      <c r="B165" s="2" t="inlineStr">
        <is>
          <t>Hydatid Cyst</t>
        </is>
      </c>
      <c r="C165" s="2" t="n"/>
      <c r="D165" s="2" t="inlineStr">
        <is>
          <t>Sodium thiosulfate 25% 50 mL IV</t>
        </is>
      </c>
      <c r="E165" s="2" t="inlineStr">
        <is>
          <t>Calcium disodium EDTA 1 g IV</t>
        </is>
      </c>
      <c r="F165" s="2" t="inlineStr">
        <is>
          <t>Desferrioxamine 1 g IM/IV</t>
        </is>
      </c>
      <c r="G165" s="2" t="inlineStr">
        <is>
          <t>Dimercaprol (BAL) 3 mg/kg IM</t>
        </is>
      </c>
      <c r="H165" s="2" t="inlineStr">
        <is>
          <t>Ethanol 10% IV infusion for Methanol poisoning</t>
        </is>
      </c>
      <c r="I165" s="8" t="inlineStr">
        <is>
          <t>1</t>
        </is>
      </c>
      <c r="J1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 s="2" t="n"/>
      <c r="L165" s="2" t="inlineStr">
        <is>
          <t>General Therapeutics</t>
        </is>
      </c>
      <c r="M165" s="2" t="inlineStr">
        <is>
          <t>Clinic</t>
        </is>
      </c>
      <c r="N165" s="2" t="inlineStr">
        <is>
          <t>PLE-CC1 ปี 2566 Day 2 ข้อ 5</t>
        </is>
      </c>
      <c r="O165" s="2" t="inlineStr">
        <is>
          <t>ข้อสอบจริง</t>
        </is>
      </c>
      <c r="P165" s="2" t="inlineStr">
        <is>
          <t>ปี 2566</t>
        </is>
      </c>
    </row>
    <row r="166" ht="13.2" customHeight="1" s="37">
      <c r="A166" s="8" t="inlineStr">
        <is>
          <t>188</t>
        </is>
      </c>
      <c r="B166" s="2" t="inlineStr">
        <is>
          <t>pH ต้องเท่ากับน้ำตาเท่านั้น</t>
        </is>
      </c>
      <c r="C166" s="2" t="n"/>
      <c r="D166" s="2" t="inlineStr">
        <is>
          <t>Dimercaprol (BAL) 3 mg/kg IM</t>
        </is>
      </c>
      <c r="E166" s="2" t="inlineStr">
        <is>
          <t>Ethanol 10% IV infusion for Methanol poisoning</t>
        </is>
      </c>
      <c r="F166" s="2" t="inlineStr">
        <is>
          <t>Fomepizole 15 mg/kg IV loading</t>
        </is>
      </c>
      <c r="G166" s="2" t="inlineStr">
        <is>
          <t>N-acetylcysteine (NAC) IV infusion protocol</t>
        </is>
      </c>
      <c r="H166" s="2" t="inlineStr">
        <is>
          <t>Atropine sulfate 2 mg IV Q5-10 min</t>
        </is>
      </c>
      <c r="I166" s="8" t="inlineStr">
        <is>
          <t>1</t>
        </is>
      </c>
      <c r="J1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6" s="2" t="n"/>
      <c r="L166" s="2" t="inlineStr">
        <is>
          <t>General Therapeutics</t>
        </is>
      </c>
      <c r="M166" s="2" t="inlineStr">
        <is>
          <t>Clinic</t>
        </is>
      </c>
      <c r="N166" s="2" t="inlineStr">
        <is>
          <t>PLE-CC1 ปี 2566 Day 2 ข้อ 1</t>
        </is>
      </c>
      <c r="O166" s="2" t="inlineStr">
        <is>
          <t>ข้อสอบจริง</t>
        </is>
      </c>
      <c r="P166" s="2" t="inlineStr">
        <is>
          <t>ปี 2566</t>
        </is>
      </c>
    </row>
    <row r="167" ht="13.2" customHeight="1" s="37">
      <c r="A167" s="8" t="inlineStr">
        <is>
          <t>189</t>
        </is>
      </c>
      <c r="B167" s="2" t="inlineStr">
        <is>
          <t>ต้องตรวจParticle size</t>
        </is>
      </c>
      <c r="C167" s="2" t="n"/>
      <c r="D167" s="2" t="inlineStr">
        <is>
          <t>N-acetylcysteine (NAC) IV infusion protocol</t>
        </is>
      </c>
      <c r="E167" s="2" t="inlineStr">
        <is>
          <t>Atropine sulfate 2 mg IV Q5-10 min</t>
        </is>
      </c>
      <c r="F167" s="2" t="inlineStr">
        <is>
          <t>Pralidoxime (2-PAM) 1-2 g IV over 30 min</t>
        </is>
      </c>
      <c r="G167" s="2" t="inlineStr">
        <is>
          <t>Naloxone 0.4 mg IV stat</t>
        </is>
      </c>
      <c r="H167" s="2" t="inlineStr">
        <is>
          <t>Flumazenil 0.2 mg IV stat</t>
        </is>
      </c>
      <c r="I167" s="8" t="inlineStr">
        <is>
          <t>1</t>
        </is>
      </c>
      <c r="J1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7" s="2" t="n"/>
      <c r="L167" s="2" t="inlineStr">
        <is>
          <t>General Therapeutics</t>
        </is>
      </c>
      <c r="M167" s="2" t="inlineStr">
        <is>
          <t>Clinic</t>
        </is>
      </c>
      <c r="N167" s="2" t="inlineStr">
        <is>
          <t>PLE-CC1 ปี 2566 Day 2 ข้อ 3</t>
        </is>
      </c>
      <c r="O167" s="2" t="inlineStr">
        <is>
          <t>ข้อสอบจริง</t>
        </is>
      </c>
      <c r="P167" s="2" t="inlineStr">
        <is>
          <t>ปี 2566</t>
        </is>
      </c>
    </row>
    <row r="168" ht="13.2" customHeight="1" s="37">
      <c r="A168" s="8" t="inlineStr">
        <is>
          <t>190</t>
        </is>
      </c>
      <c r="B168" s="2" t="inlineStr">
        <is>
          <t>ต้องตรวจความปราศจากเชื้อ</t>
        </is>
      </c>
      <c r="C168" s="2" t="n"/>
      <c r="D168" s="2" t="inlineStr">
        <is>
          <t>Metered Dose Inhaler (MDI) with HFA propellant</t>
        </is>
      </c>
      <c r="E168" s="2" t="inlineStr">
        <is>
          <t>Dry Powder Inhaler (DPI) with Carrier Lactose</t>
        </is>
      </c>
      <c r="F168" s="2" t="inlineStr">
        <is>
          <t>Isotonic Sodium Chloride 0.9% Osmotic Adjustment</t>
        </is>
      </c>
      <c r="G168" s="2" t="inlineStr">
        <is>
          <t>Moist Heat Steam Sterilization (Autoclave 121 C, 15 psi, 15 min)</t>
        </is>
      </c>
      <c r="H168" s="2" t="inlineStr">
        <is>
          <t>Dry Heat Sterilization (Hot Air Oven 160-170 C, 2 hours)</t>
        </is>
      </c>
      <c r="I168" s="8" t="inlineStr">
        <is>
          <t>4</t>
        </is>
      </c>
      <c r="J168" s="2" t="inlineStr">
        <is>
          <t>✅ คำตอบที่ถูกต้อง: ข้อ ง.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USP/NF, British Pharmacopoeia (BP) &amp; Remington: The Science and Practice of Pharmacy (หัวข้อ Sterile Products)
Sterile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Sterile Products)
🔍 ข้ออื่นผิดเพราะอะไร:
• ข้อ ก. (Metered Dose Inhaler (MDI) with HFA propellant): ข้อนี้ไม่ใช่คำตอบที่ถูกต้องสำหรับภาวะ Sterile Products เนื่องจากกลไกการออกฤทธิ์, efficacy หรือข้อบ่งใช้ไม่ตรงกับโจทย์ที่กำหนด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ข้อนี้ไม่ใช่คำตอบที่ถูกต้องสำหรับภาวะ Sterile Products เนื่องจากกลไกการออกฤทธิ์, efficacy หรือข้อบ่งใช้ไม่ตรงกับโจทย์ที่กำหนด
• ข้อ จ. (Dry Heat Sterilization (Hot Air Oven 160-170 C, 2 hours)): ข้อนี้ไม่ใช่คำตอบที่ถูกต้องสำหรับภาวะ Sterile Products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2" t="n"/>
      <c r="L168" s="2" t="inlineStr">
        <is>
          <t>Sterile Products</t>
        </is>
      </c>
      <c r="M168" s="2" t="inlineStr">
        <is>
          <t>Product</t>
        </is>
      </c>
      <c r="N168" s="2" t="inlineStr">
        <is>
          <t>PLE-CC1 ปี 2566 Day 2 ข้อ 4</t>
        </is>
      </c>
      <c r="O168" s="2" t="inlineStr">
        <is>
          <t>ข้อสอบจริง</t>
        </is>
      </c>
      <c r="P168" s="2" t="inlineStr">
        <is>
          <t>ปี 2566</t>
        </is>
      </c>
    </row>
    <row r="169" ht="13.2" customHeight="1" s="37">
      <c r="A169" s="8" t="inlineStr">
        <is>
          <t>191</t>
        </is>
      </c>
      <c r="B169" s="2" t="inlineStr">
        <is>
          <t>ขวดพลาสติกใส่ซองกันชื้น</t>
        </is>
      </c>
      <c r="C169" s="2" t="n"/>
      <c r="D169" s="2" t="inlineStr">
        <is>
          <t>Sodium thiosulfate 25% 50 mL IV</t>
        </is>
      </c>
      <c r="E169" s="2" t="inlineStr">
        <is>
          <t>Calcium disodium EDTA 1 g IV</t>
        </is>
      </c>
      <c r="F169" s="2" t="inlineStr">
        <is>
          <t>Desferrioxamine 1 g IM/IV</t>
        </is>
      </c>
      <c r="G169" s="2" t="inlineStr">
        <is>
          <t>Dimercaprol (BAL) 3 mg/kg IM</t>
        </is>
      </c>
      <c r="H169" s="2" t="inlineStr">
        <is>
          <t>Ethanol 10% IV infusion for Methanol poisoning</t>
        </is>
      </c>
      <c r="I169" s="8" t="inlineStr">
        <is>
          <t>1</t>
        </is>
      </c>
      <c r="J1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 s="2" t="n"/>
      <c r="L169" s="2" t="inlineStr">
        <is>
          <t>General Therapeutics</t>
        </is>
      </c>
      <c r="M169" s="2" t="inlineStr">
        <is>
          <t>Clinic</t>
        </is>
      </c>
      <c r="N169" s="2" t="inlineStr">
        <is>
          <t>PLE-CC1 ปี 2566 Day 2 ข้อ 1</t>
        </is>
      </c>
      <c r="O169" s="2" t="inlineStr">
        <is>
          <t>ข้อสอบจริง</t>
        </is>
      </c>
      <c r="P169" s="2" t="inlineStr">
        <is>
          <t>ปี 2566</t>
        </is>
      </c>
    </row>
    <row r="170" ht="13.2" customHeight="1" s="37">
      <c r="A170" s="8" t="inlineStr">
        <is>
          <t>192</t>
        </is>
      </c>
      <c r="B170" s="2" t="inlineStr">
        <is>
          <t>ขวดแก้วสีชาใส่ซองกันชื้น</t>
        </is>
      </c>
      <c r="C170" s="2" t="n"/>
      <c r="D170" s="2" t="inlineStr">
        <is>
          <t>Dimercaprol (BAL) 3 mg/kg IM</t>
        </is>
      </c>
      <c r="E170" s="2" t="inlineStr">
        <is>
          <t>Ethanol 10% IV infusion for Methanol poisoning</t>
        </is>
      </c>
      <c r="F170" s="2" t="inlineStr">
        <is>
          <t>Fomepizole 15 mg/kg IV loading</t>
        </is>
      </c>
      <c r="G170" s="2" t="inlineStr">
        <is>
          <t>N-acetylcysteine (NAC) IV infusion protocol</t>
        </is>
      </c>
      <c r="H170" s="2" t="inlineStr">
        <is>
          <t>Atropine sulfate 2 mg IV Q5-10 min</t>
        </is>
      </c>
      <c r="I170" s="8" t="inlineStr">
        <is>
          <t>1</t>
        </is>
      </c>
      <c r="J1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 s="2" t="n"/>
      <c r="L170" s="2" t="inlineStr">
        <is>
          <t>General Therapeutics</t>
        </is>
      </c>
      <c r="M170" s="2" t="inlineStr">
        <is>
          <t>Clinic</t>
        </is>
      </c>
      <c r="N170" s="2" t="inlineStr">
        <is>
          <t>PLE-CC1 ปี 2566 Day 2 ข้อ 2</t>
        </is>
      </c>
      <c r="O170" s="2" t="inlineStr">
        <is>
          <t>ข้อสอบจริง</t>
        </is>
      </c>
      <c r="P170" s="2" t="inlineStr">
        <is>
          <t>ปี 2566</t>
        </is>
      </c>
    </row>
    <row r="171" ht="13.2" customHeight="1" s="37">
      <c r="A171" s="8" t="inlineStr">
        <is>
          <t>193</t>
        </is>
      </c>
      <c r="B171" s="2" t="inlineStr">
        <is>
          <t>แผงด้านนึงเป็นal foil อีกด้านใส</t>
        </is>
      </c>
      <c r="C171" s="2" t="n"/>
      <c r="D171" s="2" t="inlineStr">
        <is>
          <t>N-acetylcysteine (NAC) IV infusion protocol</t>
        </is>
      </c>
      <c r="E171" s="2" t="inlineStr">
        <is>
          <t>Atropine sulfate 2 mg IV Q5-10 min</t>
        </is>
      </c>
      <c r="F171" s="2" t="inlineStr">
        <is>
          <t>Pralidoxime (2-PAM) 1-2 g IV over 30 min</t>
        </is>
      </c>
      <c r="G171" s="2" t="inlineStr">
        <is>
          <t>Naloxone 0.4 mg IV stat</t>
        </is>
      </c>
      <c r="H171" s="2" t="inlineStr">
        <is>
          <t>Flumazenil 0.2 mg IV stat</t>
        </is>
      </c>
      <c r="I171" s="8" t="inlineStr">
        <is>
          <t>1</t>
        </is>
      </c>
      <c r="J1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1" s="2" t="n"/>
      <c r="L171" s="2" t="inlineStr">
        <is>
          <t>General Therapeutics</t>
        </is>
      </c>
      <c r="M171" s="2" t="inlineStr">
        <is>
          <t>Clinic</t>
        </is>
      </c>
      <c r="N171" s="2" t="inlineStr">
        <is>
          <t>PLE-CC1 ปี 2566 Day 2 ข้อ 4</t>
        </is>
      </c>
      <c r="O171" s="2" t="inlineStr">
        <is>
          <t>ข้อสอบจริง</t>
        </is>
      </c>
      <c r="P171" s="2" t="inlineStr">
        <is>
          <t>ปี 2566</t>
        </is>
      </c>
    </row>
    <row r="172" ht="13.2" customHeight="1" s="37">
      <c r="A172" s="8" t="inlineStr">
        <is>
          <t>194</t>
        </is>
      </c>
      <c r="B172" s="2" t="inlineStr">
        <is>
          <t>แผงทั้ง2ด้านalu</t>
        </is>
      </c>
      <c r="C172" s="2" t="n"/>
      <c r="D172" s="2" t="inlineStr">
        <is>
          <t>Naloxone 0.4 mg IV stat</t>
        </is>
      </c>
      <c r="E172" s="2" t="inlineStr">
        <is>
          <t>Flumazenil 0.2 mg IV stat</t>
        </is>
      </c>
      <c r="F172" s="2" t="inlineStr">
        <is>
          <t>Vitamin K1 (Phytomenadione) 10 mg IV slow</t>
        </is>
      </c>
      <c r="G172" s="2" t="inlineStr">
        <is>
          <t>Sodium thiosulfate 25% 50 mL IV</t>
        </is>
      </c>
      <c r="H172" s="2" t="inlineStr">
        <is>
          <t>Calcium disodium EDTA 1 g IV</t>
        </is>
      </c>
      <c r="I172" s="8" t="inlineStr">
        <is>
          <t>5</t>
        </is>
      </c>
      <c r="J172" s="2" t="inlineStr">
        <is>
          <t>✅ คำตอบที่ถูกต้อง: ข้อ จ.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 s="2" t="n"/>
      <c r="L172" s="2" t="inlineStr">
        <is>
          <t>General Therapeutics</t>
        </is>
      </c>
      <c r="M172" s="2" t="inlineStr">
        <is>
          <t>Clinic</t>
        </is>
      </c>
      <c r="N172" s="2" t="inlineStr">
        <is>
          <t>PLE-CC1 ปี 2566 Day 2 ข้อ 5</t>
        </is>
      </c>
      <c r="O172" s="2" t="inlineStr">
        <is>
          <t>ข้อสอบจริง</t>
        </is>
      </c>
      <c r="P172" s="2" t="inlineStr">
        <is>
          <t>ปี 2566</t>
        </is>
      </c>
    </row>
    <row r="173" ht="13.2" customHeight="1" s="37">
      <c r="A173" s="8" t="inlineStr">
        <is>
          <t>195</t>
        </is>
      </c>
      <c r="B173" s="2" t="inlineStr">
        <is>
          <t>ยามะขามแขกlongterm adr. ตัวเลือก</t>
        </is>
      </c>
      <c r="C173" s="2" t="n"/>
      <c r="D173" s="2" t="inlineStr">
        <is>
          <t>Epinephrine 0.3 mg IM stat</t>
        </is>
      </c>
      <c r="E173" s="2" t="inlineStr">
        <is>
          <t>Dexamethasone 4 mg IV</t>
        </is>
      </c>
      <c r="F173" s="2" t="inlineStr">
        <is>
          <t>Prednisolone 20 mg OD</t>
        </is>
      </c>
      <c r="G173" s="2" t="inlineStr">
        <is>
          <t>Montelukast 10 mg HS</t>
        </is>
      </c>
      <c r="H173" s="2" t="inlineStr">
        <is>
          <t>Hydroxyzine 25 mg HS</t>
        </is>
      </c>
      <c r="I173" s="8" t="inlineStr">
        <is>
          <t>1</t>
        </is>
      </c>
      <c r="J173"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 s="2" t="n"/>
      <c r="L173" s="2" t="inlineStr">
        <is>
          <t>Allergy &amp; Immunology</t>
        </is>
      </c>
      <c r="M173" s="2" t="inlineStr">
        <is>
          <t>Clinic</t>
        </is>
      </c>
      <c r="N173" s="2" t="inlineStr">
        <is>
          <t>PLE-CC1 ปี 2566 Day 2 ข้อ 45</t>
        </is>
      </c>
      <c r="O173" s="2" t="inlineStr">
        <is>
          <t>ข้อสอบจริง</t>
        </is>
      </c>
      <c r="P173" s="2" t="inlineStr">
        <is>
          <t>ปี 2566</t>
        </is>
      </c>
    </row>
    <row r="174" ht="13.2" customHeight="1" s="37">
      <c r="A174" s="8" t="inlineStr">
        <is>
          <t>196</t>
        </is>
      </c>
      <c r="B174" s="2" t="inlineStr">
        <is>
          <t>Dysmenorrhea ยาfirst line ในกรณีไม่มีcontraindication ตัวเลือก</t>
        </is>
      </c>
      <c r="C174" s="2" t="n"/>
      <c r="D174" s="2" t="inlineStr">
        <is>
          <t>Ethinylestradiol 35 mcg + Cyproterone acetate 2 mg</t>
        </is>
      </c>
      <c r="E174" s="2" t="inlineStr">
        <is>
          <t>Desogestrel 75 mcg OD (Progestin-only)</t>
        </is>
      </c>
      <c r="F174" s="2" t="inlineStr">
        <is>
          <t>Levonorgestrel 1.5 mg stat (Emergency)</t>
        </is>
      </c>
      <c r="G174" s="2" t="inlineStr">
        <is>
          <t>Mefenamic acid 500 mg TID</t>
        </is>
      </c>
      <c r="H174" s="2" t="inlineStr">
        <is>
          <t>Tamsulosin 0.4 mg HS</t>
        </is>
      </c>
      <c r="I174" s="8" t="inlineStr">
        <is>
          <t>1</t>
        </is>
      </c>
      <c r="J174" s="2" t="inlineStr">
        <is>
          <t>✅ คำตอบที่ถูกต้อง: ข้อ ก. Ethinylestradiol 35 mcg + Cyproterone acetate 2 mg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Ethinylestradiol 35 mcg + Cyproterone acetate 2 mg
🔍 ข้ออื่นผิดเพราะอะไร:
• ข้อ ข. (Desogestrel 75 mcg OD (Progestin-only)): ข้อนี้ไม่ใช่คำตอบที่ถูกต้องสำหรับภาวะ Gynaecologic &amp; GU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Gynaecologic &amp; GU เนื่องจากกลไกการออกฤทธิ์, efficacy หรือข้อบ่งใช้ไม่ตรงกับโจทย์ที่กำหนด
• ข้อ ง. (Mefenamic acid 500 mg TID): ข้อนี้ไม่ใช่คำตอบที่ถูกต้องสำหรับภาวะ Gynaecologic &amp; GU เนื่องจากกลไกการออกฤทธิ์, efficacy หรือข้อบ่งใช้ไม่ตรงกับโจทย์ที่กำหนด
• ข้อ จ. (Tamsulosin 0.4 mg HS):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4" s="2" t="n"/>
      <c r="L174" s="2" t="inlineStr">
        <is>
          <t>Gynaecologic &amp; GU</t>
        </is>
      </c>
      <c r="M174" s="2" t="inlineStr">
        <is>
          <t>Clinic</t>
        </is>
      </c>
      <c r="N174" s="2" t="inlineStr">
        <is>
          <t>PLE-CC1 ปี 2566 Day 2 ข้อ 46</t>
        </is>
      </c>
      <c r="O174" s="2" t="inlineStr">
        <is>
          <t>ข้อสอบจริง</t>
        </is>
      </c>
      <c r="P174" s="2" t="inlineStr">
        <is>
          <t>ปี 2566</t>
        </is>
      </c>
    </row>
    <row r="175" ht="13.2" customHeight="1" s="37">
      <c r="A175" s="8" t="inlineStr">
        <is>
          <t>197</t>
        </is>
      </c>
      <c r="B175" s="2" t="inlineStr">
        <is>
          <t>Ibuprofen 400 mg tid pc</t>
        </is>
      </c>
      <c r="C175" s="2" t="n"/>
      <c r="D175" s="2" t="inlineStr">
        <is>
          <t>Febuxostat 40 mg OD</t>
        </is>
      </c>
      <c r="E175" s="2" t="inlineStr">
        <is>
          <t>Celecoxib 200 mg OD</t>
        </is>
      </c>
      <c r="F175" s="2" t="inlineStr">
        <is>
          <t>Methotrexate 10 mg weekly</t>
        </is>
      </c>
      <c r="G175" s="2" t="inlineStr">
        <is>
          <t>Alendronate 70 mg weekly</t>
        </is>
      </c>
      <c r="H175" s="2" t="inlineStr">
        <is>
          <t>Glucosamine sulfate 1500 mg OD</t>
        </is>
      </c>
      <c r="I175" s="8" t="inlineStr">
        <is>
          <t>1</t>
        </is>
      </c>
      <c r="J175" s="2" t="inlineStr">
        <is>
          <t>✅ คำตอบที่ถูกต้อง: ข้อ ก. Febuxostat 40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Febuxostat 40 mg OD การเลือก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75" s="2" t="n"/>
      <c r="L175" s="2" t="inlineStr">
        <is>
          <t>Musculoskeletal &amp; Joint</t>
        </is>
      </c>
      <c r="M175" s="2" t="inlineStr">
        <is>
          <t>Clinic</t>
        </is>
      </c>
      <c r="N175" s="2" t="inlineStr">
        <is>
          <t>PLE-CC1 ปี 2566 Day 2 ข้อ 1</t>
        </is>
      </c>
      <c r="O175" s="2" t="inlineStr">
        <is>
          <t>ข้อสอบจริง</t>
        </is>
      </c>
      <c r="P175" s="2" t="inlineStr">
        <is>
          <t>ปี 2566</t>
        </is>
      </c>
    </row>
    <row r="176" ht="13.2" customHeight="1" s="37">
      <c r="A176" s="8" t="inlineStr">
        <is>
          <t>198</t>
        </is>
      </c>
      <c r="B176" s="2" t="inlineStr">
        <is>
          <t>Bisocodyl มีDv 0.2 ต้องการผลิตยาเหน็บ10 mg จำนวน10 แท่ง(น้ำหนักเม็ดเปล่า2 g) น้ำหนักยาพื้นที่ต้องเตรียมคือเท่าไหร่ ตัวเลือก</t>
        </is>
      </c>
      <c r="C176" s="2" t="n"/>
      <c r="D176" s="2" t="inlineStr">
        <is>
          <t>Elixir with 10-20% Alcohol cosolvent</t>
        </is>
      </c>
      <c r="E176" s="2" t="inlineStr">
        <is>
          <t>Flocculated Oral Suspension with Xanthan Gum</t>
        </is>
      </c>
      <c r="F176" s="2" t="inlineStr">
        <is>
          <t>Deflocculated Suspension formulation</t>
        </is>
      </c>
      <c r="G176" s="2" t="inlineStr">
        <is>
          <t>O/W Emulsion stabilized by Polysorbate 80 / Span 80</t>
        </is>
      </c>
      <c r="H176" s="2" t="inlineStr">
        <is>
          <t>W/O Emulsion with Sorbitan monooleate</t>
        </is>
      </c>
      <c r="I176" s="8" t="inlineStr">
        <is>
          <t>1</t>
        </is>
      </c>
      <c r="J176" s="2"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(Flocculated Oral Suspension with Xanthan Gum): ข้อนี้ไม่ใช่คำตอบที่ถูกต้องสำหรับภาวะ Liquid &amp; Semisolids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Liquid &amp; Semisolids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2" t="n"/>
      <c r="L176" s="2" t="inlineStr">
        <is>
          <t>Liquid &amp; Semisolids</t>
        </is>
      </c>
      <c r="M176" s="2" t="inlineStr">
        <is>
          <t>Product</t>
        </is>
      </c>
      <c r="N176" s="2" t="inlineStr">
        <is>
          <t>PLE-CC1 ปี 2566 Day 2 ข้อ 47</t>
        </is>
      </c>
      <c r="O176" s="2" t="inlineStr">
        <is>
          <t>ข้อสอบจริง</t>
        </is>
      </c>
      <c r="P176" s="2" t="inlineStr">
        <is>
          <t>ปี 2566</t>
        </is>
      </c>
    </row>
    <row r="177" ht="13.2" customHeight="1" s="37">
      <c r="A177" s="8" t="inlineStr">
        <is>
          <t>199</t>
        </is>
      </c>
      <c r="B177" s="2" t="inlineStr">
        <is>
          <t>มีอีกชื่อว่าCocoa butter</t>
        </is>
      </c>
      <c r="C177" s="2" t="n"/>
      <c r="D177" s="2" t="inlineStr">
        <is>
          <t>Sodium thiosulfate 25% 50 mL IV</t>
        </is>
      </c>
      <c r="E177" s="2" t="inlineStr">
        <is>
          <t>Calcium disodium EDTA 1 g IV</t>
        </is>
      </c>
      <c r="F177" s="2" t="inlineStr">
        <is>
          <t>Desferrioxamine 1 g IM/IV</t>
        </is>
      </c>
      <c r="G177" s="2" t="inlineStr">
        <is>
          <t>Dimercaprol (BAL) 3 mg/kg IM</t>
        </is>
      </c>
      <c r="H177" s="2" t="inlineStr">
        <is>
          <t>Ethanol 10% IV infusion for Methanol poisoning</t>
        </is>
      </c>
      <c r="I177" s="8" t="inlineStr">
        <is>
          <t>1</t>
        </is>
      </c>
      <c r="J1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 s="2" t="n"/>
      <c r="L177" s="2" t="inlineStr">
        <is>
          <t>General Therapeutics</t>
        </is>
      </c>
      <c r="M177" s="2" t="inlineStr">
        <is>
          <t>Clinic</t>
        </is>
      </c>
      <c r="N177" s="2" t="inlineStr">
        <is>
          <t>PLE-CC1 ปี 2566 Day 2 ข้อ 1</t>
        </is>
      </c>
      <c r="O177" s="2" t="inlineStr">
        <is>
          <t>ข้อสอบจริง</t>
        </is>
      </c>
      <c r="P177" s="2" t="inlineStr">
        <is>
          <t>ปี 2566</t>
        </is>
      </c>
    </row>
    <row r="178" ht="13.2" customHeight="1" s="37">
      <c r="A178" s="8" t="inlineStr">
        <is>
          <t>200</t>
        </is>
      </c>
      <c r="B178" s="2" t="inlineStr">
        <is>
          <t>Hydrophilic base</t>
        </is>
      </c>
      <c r="C178" s="2" t="n"/>
      <c r="D178" s="2" t="inlineStr">
        <is>
          <t>Dimercaprol (BAL) 3 mg/kg IM</t>
        </is>
      </c>
      <c r="E178" s="2" t="inlineStr">
        <is>
          <t>Ethanol 10% IV infusion for Methanol poisoning</t>
        </is>
      </c>
      <c r="F178" s="2" t="inlineStr">
        <is>
          <t>Fomepizole 15 mg/kg IV loading</t>
        </is>
      </c>
      <c r="G178" s="2" t="inlineStr">
        <is>
          <t>N-acetylcysteine (NAC) IV infusion protocol</t>
        </is>
      </c>
      <c r="H178" s="2" t="inlineStr">
        <is>
          <t>Atropine sulfate 2 mg IV Q5-10 min</t>
        </is>
      </c>
      <c r="I178" s="8" t="inlineStr">
        <is>
          <t>1</t>
        </is>
      </c>
      <c r="J1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8" s="2" t="n"/>
      <c r="L178" s="2" t="inlineStr">
        <is>
          <t>General Therapeutics</t>
        </is>
      </c>
      <c r="M178" s="2" t="inlineStr">
        <is>
          <t>Clinic</t>
        </is>
      </c>
      <c r="N178" s="2" t="inlineStr">
        <is>
          <t>PLE-CC1 ปี 2566 Day 2 ข้อ 1</t>
        </is>
      </c>
      <c r="O178" s="2" t="inlineStr">
        <is>
          <t>ข้อสอบจริง</t>
        </is>
      </c>
      <c r="P178" s="2" t="inlineStr">
        <is>
          <t>ปี 2566</t>
        </is>
      </c>
    </row>
    <row r="179" ht="13.2" customHeight="1" s="37">
      <c r="A179" s="8" t="inlineStr">
        <is>
          <t>201</t>
        </is>
      </c>
      <c r="B179" s="2" t="inlineStr">
        <is>
          <t>Absorbtion base</t>
        </is>
      </c>
      <c r="C179" s="2" t="n"/>
      <c r="D179" s="2" t="inlineStr">
        <is>
          <t>N-acetylcysteine (NAC) IV infusion protocol</t>
        </is>
      </c>
      <c r="E179" s="2" t="inlineStr">
        <is>
          <t>Atropine sulfate 2 mg IV Q5-10 min</t>
        </is>
      </c>
      <c r="F179" s="2" t="inlineStr">
        <is>
          <t>Pralidoxime (2-PAM) 1-2 g IV over 30 min</t>
        </is>
      </c>
      <c r="G179" s="2" t="inlineStr">
        <is>
          <t>Naloxone 0.4 mg IV stat</t>
        </is>
      </c>
      <c r="H179" s="2" t="inlineStr">
        <is>
          <t>Flumazenil 0.2 mg IV stat</t>
        </is>
      </c>
      <c r="I179" s="8" t="inlineStr">
        <is>
          <t>1</t>
        </is>
      </c>
      <c r="J1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9" s="2" t="n"/>
      <c r="L179" s="2" t="inlineStr">
        <is>
          <t>General Therapeutics</t>
        </is>
      </c>
      <c r="M179" s="2" t="inlineStr">
        <is>
          <t>Clinic</t>
        </is>
      </c>
      <c r="N179" s="2" t="inlineStr">
        <is>
          <t>PLE-CC1 ปี 2566 Day 2 ข้อ 2</t>
        </is>
      </c>
      <c r="O179" s="2" t="inlineStr">
        <is>
          <t>ข้อสอบจริง</t>
        </is>
      </c>
      <c r="P179" s="2" t="inlineStr">
        <is>
          <t>ปี 2566</t>
        </is>
      </c>
    </row>
    <row r="180" ht="13.2" customHeight="1" s="37">
      <c r="A180" s="8" t="inlineStr">
        <is>
          <t>202</t>
        </is>
      </c>
      <c r="B180" s="2" t="inlineStr">
        <is>
          <t>oleaginous base</t>
        </is>
      </c>
      <c r="C180" s="2" t="n"/>
      <c r="D180" s="2" t="inlineStr">
        <is>
          <t>Deflocculated Suspension formulation</t>
        </is>
      </c>
      <c r="E180" s="2" t="inlineStr">
        <is>
          <t>O/W Emulsion stabilized by Polysorbate 80 / Span 80</t>
        </is>
      </c>
      <c r="F180" s="2" t="inlineStr">
        <is>
          <t>W/O Emulsion with Sorbitan monooleate</t>
        </is>
      </c>
      <c r="G180" s="2" t="inlineStr">
        <is>
          <t>Carbopol 940 hydrogel neutralized with Triethanolamine</t>
        </is>
      </c>
      <c r="H180" s="2" t="inlineStr">
        <is>
          <t>Oleaginous Ointment base (White Petrolatum)</t>
        </is>
      </c>
      <c r="I180" s="8" t="inlineStr">
        <is>
          <t>1</t>
        </is>
      </c>
      <c r="J180" s="2"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Liquid &amp; Semisolids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Liquid &amp; Semisolids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 s="2" t="n"/>
      <c r="L180" s="2" t="inlineStr">
        <is>
          <t>Liquid &amp; Semisolids</t>
        </is>
      </c>
      <c r="M180" s="2" t="inlineStr">
        <is>
          <t>Product</t>
        </is>
      </c>
      <c r="N180" s="2" t="inlineStr">
        <is>
          <t>PLE-CC1 ปี 2566 Day 2 ข้อ 3</t>
        </is>
      </c>
      <c r="O180" s="2" t="inlineStr">
        <is>
          <t>ข้อสอบจริง</t>
        </is>
      </c>
      <c r="P180" s="2" t="inlineStr">
        <is>
          <t>ปี 2566</t>
        </is>
      </c>
    </row>
    <row r="181" ht="13.2" customHeight="1" s="37">
      <c r="A181" s="8" t="inlineStr">
        <is>
          <t>203</t>
        </is>
      </c>
      <c r="B181" s="2" t="inlineStr">
        <is>
          <t>Cardiac arrhythmia</t>
        </is>
      </c>
      <c r="C181" s="2" t="n"/>
      <c r="D181" s="2" t="inlineStr">
        <is>
          <t>Bisoprolol 5 mg OD</t>
        </is>
      </c>
      <c r="E181" s="2" t="inlineStr">
        <is>
          <t>Spironolactone 25 mg OD</t>
        </is>
      </c>
      <c r="F181" s="2" t="inlineStr">
        <is>
          <t>Clopidogrel 75 mg OD</t>
        </is>
      </c>
      <c r="G181" s="2" t="inlineStr">
        <is>
          <t>Aspirin 81 mg OD</t>
        </is>
      </c>
      <c r="H181" s="2" t="inlineStr">
        <is>
          <t>Sacubitril/Valsartan 49/51 mg BID</t>
        </is>
      </c>
      <c r="I181" s="8" t="inlineStr">
        <is>
          <t>1</t>
        </is>
      </c>
      <c r="J181" s="2" t="inlineStr">
        <is>
          <t>✅ คำตอบที่ถูกต้อง: ข้อ ก. Bisoprolol 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Bisoprolol 5 mg OD เป็นคำตอบที่ถูกต้องตามแนวทางการรักษามาตรฐาน เนื่องจาก เป็น cardioselective beta-1 blocker ไม่ใช่ first-line monotherapy สำหรับ uncomplicated HTN แต่เป็น first-line GDMT ใน HFrEF หรือ post-MI
🔍 ข้ออื่นผิดเพราะอะไร:
• ข้อ ข. (Spironolactone 25 mg OD): เป็น Mineralocorticoid receptor antagonist (MRA) ใช้เป็น 4th-line ใน resistant HTN หรือ GDMT ใน HFrEF ต้อง monitor potassium และเสี่ยงต่อ gynecomastia
• ข้อ ค. (Clopidogrel 75 mg OD): เป็น P2Y12 inhibitor ต้องผ่านการกระตุ้นโดยเอนไซม์ CYP2C19 (prodrug) จึงต้องระวัง drug interaction กับ strong CYP2C19 inhibitors เช่น omeprazole (ควรเลี่ยงไปใช้ pantoprazole)
• ข้อ ง. (Aspirin 81 mg OD): เป็น irreversible COX-1 inhibitor ยับยั้ง Thromboxane A2 เป็นแกนหลักใน antiplatelet secondary prevention ของ CVD (ขนาดยา 75-100 mg/day)
• ข้อ จ. (Sacubitril/Valsartan 49/51 mg BID): เป็น ARB ที่มี clinical evidence ชัดเจนใน Heart Failure (ร่วมกับ sacubitril เป็น ARNI) และ post-MI
📖 Guideline อ้างอิง:
แนวทางเวชปฏิบัติเพื่อการรักษาผู้ป่วยภาวะหัวใจห้องบนสั่นพลิ้ว พ.ศ. 2564 (สมาคมแพทย์โรคหัวใจแห่งประเทศไทย) &amp; 2023 ACC/AHA/ACCP/HRS Guideline for Atrial Fibrillation
📌 จุดจำก่อนสอบ:
• Cardioselective Beta-1: เลือกจับกับ Beta-1 receptor สูง เหมาะสำหรับ HFrEF, post-MI และควบคุม ventricular rate ใน AF
• Contraindications: ห้ามใช้ใน acute decompensated heart failure, cardiogenic shock, bradycardia (HR &lt; 50 bpm) และ severe AV block</t>
        </is>
      </c>
      <c r="K181" s="2" t="n"/>
      <c r="L181" s="2" t="inlineStr">
        <is>
          <t>Cardiovascular Diseases</t>
        </is>
      </c>
      <c r="M181" s="2" t="inlineStr">
        <is>
          <t>Clinic</t>
        </is>
      </c>
      <c r="N181" s="2" t="inlineStr">
        <is>
          <t>PLE-CC1 ปี 2566 Day 2 ข้อ 1</t>
        </is>
      </c>
      <c r="O181" s="2" t="inlineStr">
        <is>
          <t>ข้อสอบจริง</t>
        </is>
      </c>
      <c r="P181" s="2" t="inlineStr">
        <is>
          <t>ปี 2566</t>
        </is>
      </c>
    </row>
    <row r="182" ht="13.2" customHeight="1" s="37">
      <c r="A182" s="8" t="inlineStr">
        <is>
          <t>204</t>
        </is>
      </c>
      <c r="B182" s="2" t="inlineStr">
        <is>
          <t>พารามิเตอที่ไม่ต้องสังเกตในคนที่เสียน้ำ. ตัวเลือก</t>
        </is>
      </c>
      <c r="C182" s="2" t="n"/>
      <c r="D182" s="2" t="inlineStr">
        <is>
          <t>Dimercaprol (BAL) 3 mg/kg IM</t>
        </is>
      </c>
      <c r="E182" s="2" t="inlineStr">
        <is>
          <t>Ethanol 10% IV infusion for Methanol poisoning</t>
        </is>
      </c>
      <c r="F182" s="2" t="inlineStr">
        <is>
          <t>Fomepizole 15 mg/kg IV loading</t>
        </is>
      </c>
      <c r="G182" s="2" t="inlineStr">
        <is>
          <t>N-acetylcysteine (NAC) IV infusion protocol</t>
        </is>
      </c>
      <c r="H182" s="2" t="inlineStr">
        <is>
          <t>Atropine sulfate 2 mg IV Q5-10 min</t>
        </is>
      </c>
      <c r="I182" s="8" t="inlineStr">
        <is>
          <t>1</t>
        </is>
      </c>
      <c r="J1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 s="2" t="n"/>
      <c r="L182" s="2" t="inlineStr">
        <is>
          <t>General Therapeutics</t>
        </is>
      </c>
      <c r="M182" s="2" t="inlineStr">
        <is>
          <t>Clinic</t>
        </is>
      </c>
      <c r="N182" s="2" t="inlineStr">
        <is>
          <t>PLE-CC1 ปี 2566 Day 2 ข้อ 51</t>
        </is>
      </c>
      <c r="O182" s="2" t="inlineStr">
        <is>
          <t>ข้อสอบจริง</t>
        </is>
      </c>
      <c r="P182" s="2" t="inlineStr">
        <is>
          <t>ปี 2566</t>
        </is>
      </c>
    </row>
    <row r="183" ht="13.2" customHeight="1" s="37">
      <c r="A183" s="8" t="inlineStr">
        <is>
          <t>205</t>
        </is>
      </c>
      <c r="B183" s="2" t="inlineStr">
        <is>
          <t>ถามเรื่องกราฟของfirst order pharmacokinetic ให้กราฟlnX = 0.46 - 0.02t Shelf life = ln(100/90)/k แล้วshelf lifeเป็นเท่าไหร่ ตัวเลือก</t>
        </is>
      </c>
      <c r="C183" s="2" t="n"/>
      <c r="D183" s="2" t="inlineStr">
        <is>
          <t>Good Manufacturing Practice (GMP PIC/S)</t>
        </is>
      </c>
      <c r="E183" s="2" t="inlineStr">
        <is>
          <t>Standard Operating Procedure (SOP) Validation</t>
        </is>
      </c>
      <c r="F183" s="2" t="inlineStr">
        <is>
          <t>High-Density Polyethylene (HDPE) Container</t>
        </is>
      </c>
      <c r="G183" s="2" t="inlineStr">
        <is>
          <t>Type I Borosilicate Glass Ampoule</t>
        </is>
      </c>
      <c r="H183" s="2" t="inlineStr">
        <is>
          <t>Accelerated Stability Testing (40 C / 75% RH)</t>
        </is>
      </c>
      <c r="I183" s="8" t="inlineStr">
        <is>
          <t>1</t>
        </is>
      </c>
      <c r="J183" s="2" t="inlineStr">
        <is>
          <t>✅ คำตอบที่ถูกต้อง: ข้อ ก. Good Manufacturing Practice (GMP PIC/S)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Good Manufacturing Practice (GMP PIC/S) 💡 คำอธิบายและเหตุผลทางเภสัชกรรม:
💡 คำอธิบายและเหตุผลทางเภสัชกรรม:
การเลือก Good Manufacturing Practice (GMP PIC/S)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ค.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ข้อ ง.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ข้อ จ.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 s="2" t="n"/>
      <c r="L183" s="2" t="inlineStr">
        <is>
          <t>Preformulation &amp; Stability</t>
        </is>
      </c>
      <c r="M183" s="2" t="inlineStr">
        <is>
          <t>Product</t>
        </is>
      </c>
      <c r="N183" s="2" t="inlineStr">
        <is>
          <t>PLE-CC1 ปี 2566 Day 2 ข้อ 53</t>
        </is>
      </c>
      <c r="O183" s="2" t="inlineStr">
        <is>
          <t>ข้อสอบจริง</t>
        </is>
      </c>
      <c r="P183" s="2" t="inlineStr">
        <is>
          <t>ปี 2566</t>
        </is>
      </c>
    </row>
    <row r="184" ht="13.2" customHeight="1" s="37">
      <c r="A184" s="8" t="inlineStr">
        <is>
          <t>206</t>
        </is>
      </c>
      <c r="B184" s="2" t="inlineStr">
        <is>
          <t>transdermal patch drug delivery system ที่เป็นdrug in adhesive (choice เป็นรูป) ตัวเลือก</t>
        </is>
      </c>
      <c r="C184" s="2" t="n"/>
      <c r="D184" s="2" t="inlineStr">
        <is>
          <t>Naloxone 0.4 mg IV stat</t>
        </is>
      </c>
      <c r="E184" s="2" t="inlineStr">
        <is>
          <t>Flumazenil 0.2 mg IV stat</t>
        </is>
      </c>
      <c r="F184" s="2" t="inlineStr">
        <is>
          <t>Vitamin K1 (Phytomenadione) 10 mg IV slow</t>
        </is>
      </c>
      <c r="G184" s="2" t="inlineStr">
        <is>
          <t>Sodium thiosulfate 25% 50 mL IV</t>
        </is>
      </c>
      <c r="H184" s="2" t="inlineStr">
        <is>
          <t>Calcium disodium EDTA 1 g IV</t>
        </is>
      </c>
      <c r="I184" s="8" t="inlineStr">
        <is>
          <t>1</t>
        </is>
      </c>
      <c r="J1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4" s="2" t="n"/>
      <c r="L184" s="2" t="inlineStr">
        <is>
          <t>General Therapeutics</t>
        </is>
      </c>
      <c r="M184" s="2" t="inlineStr">
        <is>
          <t>Clinic</t>
        </is>
      </c>
      <c r="N184" s="2" t="inlineStr">
        <is>
          <t>PLE-CC1 ปี 2566 Day 2 ข้อ 55</t>
        </is>
      </c>
      <c r="O184" s="2" t="inlineStr">
        <is>
          <t>ข้อสอบจริง</t>
        </is>
      </c>
      <c r="P184" s="2" t="inlineStr">
        <is>
          <t>ปี 2566</t>
        </is>
      </c>
    </row>
    <row r="185" ht="13.2" customHeight="1" s="37">
      <c r="A185" s="8" t="inlineStr">
        <is>
          <t>207</t>
        </is>
      </c>
      <c r="B185" s="2" t="inlineStr">
        <is>
          <t>ประคบอุ่นนวดเบาๆ</t>
        </is>
      </c>
      <c r="C185" s="2" t="n"/>
      <c r="D185" s="2" t="inlineStr">
        <is>
          <t>Sodium thiosulfate 25% 50 mL IV</t>
        </is>
      </c>
      <c r="E185" s="2" t="inlineStr">
        <is>
          <t>Calcium disodium EDTA 1 g IV</t>
        </is>
      </c>
      <c r="F185" s="2" t="inlineStr">
        <is>
          <t>Desferrioxamine 1 g IM/IV</t>
        </is>
      </c>
      <c r="G185" s="2" t="inlineStr">
        <is>
          <t>Dimercaprol (BAL) 3 mg/kg IM</t>
        </is>
      </c>
      <c r="H185" s="2" t="inlineStr">
        <is>
          <t>Ethanol 10% IV infusion for Methanol poisoning</t>
        </is>
      </c>
      <c r="I185" s="8" t="inlineStr">
        <is>
          <t>1</t>
        </is>
      </c>
      <c r="J1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2" t="n"/>
      <c r="L185" s="2" t="inlineStr">
        <is>
          <t>General Therapeutics</t>
        </is>
      </c>
      <c r="M185" s="2" t="inlineStr">
        <is>
          <t>Clinic</t>
        </is>
      </c>
      <c r="N185" s="2" t="inlineStr">
        <is>
          <t>PLE-CC1 ปี 2566 Day 2 ข้อ 1</t>
        </is>
      </c>
      <c r="O185" s="2" t="inlineStr">
        <is>
          <t>ข้อสอบจริง</t>
        </is>
      </c>
      <c r="P185" s="2" t="inlineStr">
        <is>
          <t>ปี 2566</t>
        </is>
      </c>
    </row>
    <row r="186" ht="13.2" customHeight="1" s="37">
      <c r="A186" s="8" t="inlineStr">
        <is>
          <t>208</t>
        </is>
      </c>
      <c r="B186" s="2" t="inlineStr">
        <is>
          <t>mixtard ประกอบด้วยNPH/RI 2 ตัวนี้คืออะไรสัดส่วนเท่าไร ตัวเลือก</t>
        </is>
      </c>
      <c r="C186" s="2" t="n"/>
      <c r="D186" s="2" t="inlineStr">
        <is>
          <t>Dimercaprol (BAL) 3 mg/kg IM</t>
        </is>
      </c>
      <c r="E186" s="2" t="inlineStr">
        <is>
          <t>Ethanol 10% IV infusion for Methanol poisoning</t>
        </is>
      </c>
      <c r="F186" s="2" t="inlineStr">
        <is>
          <t>Fomepizole 15 mg/kg IV loading</t>
        </is>
      </c>
      <c r="G186" s="2" t="inlineStr">
        <is>
          <t>N-acetylcysteine (NAC) IV infusion protocol</t>
        </is>
      </c>
      <c r="H186" s="2" t="inlineStr">
        <is>
          <t>Atropine sulfate 2 mg IV Q5-10 min</t>
        </is>
      </c>
      <c r="I186" s="8" t="inlineStr">
        <is>
          <t>1</t>
        </is>
      </c>
      <c r="J1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 s="2" t="n"/>
      <c r="L186" s="2" t="inlineStr">
        <is>
          <t>General Therapeutics</t>
        </is>
      </c>
      <c r="M186" s="2" t="inlineStr">
        <is>
          <t>Clinic</t>
        </is>
      </c>
      <c r="N186" s="2" t="inlineStr">
        <is>
          <t>PLE-CC1 ปี 2566 Day 2 ข้อ 59</t>
        </is>
      </c>
      <c r="O186" s="2" t="inlineStr">
        <is>
          <t>ข้อสอบจริง</t>
        </is>
      </c>
      <c r="P186" s="2" t="inlineStr">
        <is>
          <t>ปี 2566</t>
        </is>
      </c>
    </row>
    <row r="187" ht="13.2" customHeight="1" s="37">
      <c r="A187" s="8" t="inlineStr">
        <is>
          <t>209</t>
        </is>
      </c>
      <c r="B187" s="2" t="inlineStr">
        <is>
          <t>NPH 70 / RI 30 เป็นอินซูลินออกฤทธิ์ปานกลางกับสั้น</t>
        </is>
      </c>
      <c r="C187" s="2" t="n"/>
      <c r="D187" s="2" t="inlineStr">
        <is>
          <t>N-acetylcysteine (NAC) IV infusion protocol</t>
        </is>
      </c>
      <c r="E187" s="2" t="inlineStr">
        <is>
          <t>Atropine sulfate 2 mg IV Q5-10 min</t>
        </is>
      </c>
      <c r="F187" s="2" t="inlineStr">
        <is>
          <t>Pralidoxime (2-PAM) 1-2 g IV over 30 min</t>
        </is>
      </c>
      <c r="G187" s="2" t="inlineStr">
        <is>
          <t>Naloxone 0.4 mg IV stat</t>
        </is>
      </c>
      <c r="H187" s="2" t="inlineStr">
        <is>
          <t>Flumazenil 0.2 mg IV stat</t>
        </is>
      </c>
      <c r="I187" s="8" t="inlineStr">
        <is>
          <t>1</t>
        </is>
      </c>
      <c r="J1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7" s="2" t="n"/>
      <c r="L187" s="2" t="inlineStr">
        <is>
          <t>General Therapeutics</t>
        </is>
      </c>
      <c r="M187" s="2" t="inlineStr">
        <is>
          <t>Clinic</t>
        </is>
      </c>
      <c r="N187" s="2" t="inlineStr">
        <is>
          <t>PLE-CC1 ปี 2566 Day 2 ข้อ 1</t>
        </is>
      </c>
      <c r="O187" s="2" t="inlineStr">
        <is>
          <t>ข้อสอบจริง</t>
        </is>
      </c>
      <c r="P187" s="2" t="inlineStr">
        <is>
          <t>ปี 2566</t>
        </is>
      </c>
    </row>
    <row r="188" ht="13.2" customHeight="1" s="37">
      <c r="A188" s="8" t="inlineStr">
        <is>
          <t>210</t>
        </is>
      </c>
      <c r="B188" s="2" t="inlineStr">
        <is>
          <t>Trichomonas ให้ยาอะไร ตัวเลือก</t>
        </is>
      </c>
      <c r="C188" s="2" t="n"/>
      <c r="D188" s="2" t="inlineStr">
        <is>
          <t>Naloxone 0.4 mg IV stat</t>
        </is>
      </c>
      <c r="E188" s="2" t="inlineStr">
        <is>
          <t>Flumazenil 0.2 mg IV stat</t>
        </is>
      </c>
      <c r="F188" s="2" t="inlineStr">
        <is>
          <t>Vitamin K1 (Phytomenadione) 10 mg IV slow</t>
        </is>
      </c>
      <c r="G188" s="2" t="inlineStr">
        <is>
          <t>Sodium thiosulfate 25% 50 mL IV</t>
        </is>
      </c>
      <c r="H188" s="2" t="inlineStr">
        <is>
          <t>Calcium disodium EDTA 1 g IV</t>
        </is>
      </c>
      <c r="I188" s="8" t="inlineStr">
        <is>
          <t>1</t>
        </is>
      </c>
      <c r="J1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8" s="2" t="n"/>
      <c r="L188" s="2" t="inlineStr">
        <is>
          <t>General Therapeutics</t>
        </is>
      </c>
      <c r="M188" s="2" t="inlineStr">
        <is>
          <t>Clinic</t>
        </is>
      </c>
      <c r="N188" s="2" t="inlineStr">
        <is>
          <t>PLE-CC1 ปี 2566 Day 2 ข้อ 60</t>
        </is>
      </c>
      <c r="O188" s="2" t="inlineStr">
        <is>
          <t>ข้อสอบจริง</t>
        </is>
      </c>
      <c r="P188" s="2" t="inlineStr">
        <is>
          <t>ปี 2566</t>
        </is>
      </c>
    </row>
    <row r="189" ht="13.2" customHeight="1" s="37">
      <c r="A189" s="8" t="inlineStr">
        <is>
          <t>211</t>
        </is>
      </c>
      <c r="B189" s="2" t="inlineStr">
        <is>
          <t>ไม่ได้เพราะต้องมีใบสั่งแพทย์แผนจีนหรือไทย</t>
        </is>
      </c>
      <c r="C189" s="2" t="n"/>
      <c r="D189" s="2" t="inlineStr">
        <is>
          <t>Sodium thiosulfate 25% 50 mL IV</t>
        </is>
      </c>
      <c r="E189" s="2" t="inlineStr">
        <is>
          <t>Calcium disodium EDTA 1 g IV</t>
        </is>
      </c>
      <c r="F189" s="2" t="inlineStr">
        <is>
          <t>Desferrioxamine 1 g IM/IV</t>
        </is>
      </c>
      <c r="G189" s="2" t="inlineStr">
        <is>
          <t>Dimercaprol (BAL) 3 mg/kg IM</t>
        </is>
      </c>
      <c r="H189" s="2" t="inlineStr">
        <is>
          <t>Ethanol 10% IV infusion for Methanol poisoning</t>
        </is>
      </c>
      <c r="I189" s="8" t="inlineStr">
        <is>
          <t>1</t>
        </is>
      </c>
      <c r="J1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 s="2" t="n"/>
      <c r="L189" s="2" t="inlineStr">
        <is>
          <t>General Therapeutics</t>
        </is>
      </c>
      <c r="M189" s="2" t="inlineStr">
        <is>
          <t>Clinic</t>
        </is>
      </c>
      <c r="N189" s="2" t="inlineStr">
        <is>
          <t>PLE-CC1 ปี 2566 Day 2 ข้อ 2</t>
        </is>
      </c>
      <c r="O189" s="2" t="inlineStr">
        <is>
          <t>ข้อสอบจริง</t>
        </is>
      </c>
      <c r="P189" s="2" t="inlineStr">
        <is>
          <t>ปี 2566</t>
        </is>
      </c>
    </row>
    <row r="190" ht="13.2" customHeight="1" s="37">
      <c r="A190" s="8" t="inlineStr">
        <is>
          <t>212</t>
        </is>
      </c>
      <c r="B190" s="2" t="inlineStr">
        <is>
          <t>ยับยั้ง5HT2c agonist</t>
        </is>
      </c>
      <c r="C190" s="2" t="n"/>
      <c r="D190" s="2" t="inlineStr">
        <is>
          <t>Dimercaprol (BAL) 3 mg/kg IM</t>
        </is>
      </c>
      <c r="E190" s="2" t="inlineStr">
        <is>
          <t>Ethanol 10% IV infusion for Methanol poisoning</t>
        </is>
      </c>
      <c r="F190" s="2" t="inlineStr">
        <is>
          <t>Fomepizole 15 mg/kg IV loading</t>
        </is>
      </c>
      <c r="G190" s="2" t="inlineStr">
        <is>
          <t>N-acetylcysteine (NAC) IV infusion protocol</t>
        </is>
      </c>
      <c r="H190" s="2" t="inlineStr">
        <is>
          <t>Atropine sulfate 2 mg IV Q5-10 min</t>
        </is>
      </c>
      <c r="I190" s="8" t="inlineStr">
        <is>
          <t>1</t>
        </is>
      </c>
      <c r="J1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 s="2" t="n"/>
      <c r="L190" s="2" t="inlineStr">
        <is>
          <t>General Therapeutics</t>
        </is>
      </c>
      <c r="M190" s="2" t="inlineStr">
        <is>
          <t>Clinic</t>
        </is>
      </c>
      <c r="N190" s="2" t="inlineStr">
        <is>
          <t>PLE-CC1 ปี 2566 Day 2 ข้อ 2</t>
        </is>
      </c>
      <c r="O190" s="2" t="inlineStr">
        <is>
          <t>ข้อสอบจริง</t>
        </is>
      </c>
      <c r="P190" s="2" t="inlineStr">
        <is>
          <t>ปี 2566</t>
        </is>
      </c>
    </row>
    <row r="191" ht="13.2" customHeight="1" s="37">
      <c r="A191" s="8" t="inlineStr">
        <is>
          <t>213</t>
        </is>
      </c>
      <c r="B191" s="2" t="inlineStr">
        <is>
          <t>ยับยั้งalpha receptor</t>
        </is>
      </c>
      <c r="C191" s="2" t="n"/>
      <c r="D191" s="2" t="inlineStr">
        <is>
          <t>N-acetylcysteine (NAC) IV infusion protocol</t>
        </is>
      </c>
      <c r="E191" s="2" t="inlineStr">
        <is>
          <t>Atropine sulfate 2 mg IV Q5-10 min</t>
        </is>
      </c>
      <c r="F191" s="2" t="inlineStr">
        <is>
          <t>Pralidoxime (2-PAM) 1-2 g IV over 30 min</t>
        </is>
      </c>
      <c r="G191" s="2" t="inlineStr">
        <is>
          <t>Naloxone 0.4 mg IV stat</t>
        </is>
      </c>
      <c r="H191" s="2" t="inlineStr">
        <is>
          <t>Flumazenil 0.2 mg IV stat</t>
        </is>
      </c>
      <c r="I191" s="8" t="inlineStr">
        <is>
          <t>1</t>
        </is>
      </c>
      <c r="J1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1" s="2" t="n"/>
      <c r="L191" s="2" t="inlineStr">
        <is>
          <t>General Therapeutics</t>
        </is>
      </c>
      <c r="M191" s="2" t="inlineStr">
        <is>
          <t>Clinic</t>
        </is>
      </c>
      <c r="N191" s="2" t="inlineStr">
        <is>
          <t>PLE-CC1 ปี 2566 Day 2 ข้อ 3</t>
        </is>
      </c>
      <c r="O191" s="2" t="inlineStr">
        <is>
          <t>ข้อสอบจริง</t>
        </is>
      </c>
      <c r="P191" s="2" t="inlineStr">
        <is>
          <t>ปี 2566</t>
        </is>
      </c>
    </row>
    <row r="192" ht="13.2" customHeight="1" s="37">
      <c r="A192" s="8" t="inlineStr">
        <is>
          <t>214</t>
        </is>
      </c>
      <c r="B192" s="2" t="inlineStr">
        <is>
          <t>Propylene glycol</t>
        </is>
      </c>
      <c r="C192" s="2" t="n"/>
      <c r="D192" s="2" t="inlineStr">
        <is>
          <t>Naloxone 0.4 mg IV stat</t>
        </is>
      </c>
      <c r="E192" s="2" t="inlineStr">
        <is>
          <t>Flumazenil 0.2 mg IV stat</t>
        </is>
      </c>
      <c r="F192" s="2" t="inlineStr">
        <is>
          <t>Vitamin K1 (Phytomenadione) 10 mg IV slow</t>
        </is>
      </c>
      <c r="G192" s="2" t="inlineStr">
        <is>
          <t>Sodium thiosulfate 25% 50 mL IV</t>
        </is>
      </c>
      <c r="H192" s="2" t="inlineStr">
        <is>
          <t>Calcium disodium EDTA 1 g IV</t>
        </is>
      </c>
      <c r="I192" s="8" t="inlineStr">
        <is>
          <t>1</t>
        </is>
      </c>
      <c r="J1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2" s="2" t="n"/>
      <c r="L192" s="2" t="inlineStr">
        <is>
          <t>General Therapeutics</t>
        </is>
      </c>
      <c r="M192" s="2" t="inlineStr">
        <is>
          <t>Clinic</t>
        </is>
      </c>
      <c r="N192" s="2" t="inlineStr">
        <is>
          <t>PLE-CC1 ปี 2566 Day 2 ข้อ 1</t>
        </is>
      </c>
      <c r="O192" s="2" t="inlineStr">
        <is>
          <t>ข้อสอบจริง</t>
        </is>
      </c>
      <c r="P192" s="2" t="inlineStr">
        <is>
          <t>ปี 2566</t>
        </is>
      </c>
    </row>
    <row r="193" ht="13.2" customHeight="1" s="37">
      <c r="A193" s="8" t="inlineStr">
        <is>
          <t>215</t>
        </is>
      </c>
      <c r="B193" s="2" t="inlineStr">
        <is>
          <t>กราฟระหว่างlnX กับt จากX = X0e^-kt และมีสมการมาให้ว่ากราฟนี้เป็นกราฟของlnx = 0.46-0.02t ถามว่าShelf-life ของ ผลิตภัณฑ์จะมีอายุกี่เดือนให้สูตรมาว่าshelf-life = ln(100/90)/k (กำหนดค่าln มาให้) ตัวเลือก</t>
        </is>
      </c>
      <c r="C193" s="2" t="n"/>
      <c r="D193" s="2" t="inlineStr">
        <is>
          <t>Sodium thiosulfate 25% 50 mL IV</t>
        </is>
      </c>
      <c r="E193" s="2" t="inlineStr">
        <is>
          <t>Calcium disodium EDTA 1 g IV</t>
        </is>
      </c>
      <c r="F193" s="2" t="inlineStr">
        <is>
          <t>Desferrioxamine 1 g IM/IV</t>
        </is>
      </c>
      <c r="G193" s="2" t="inlineStr">
        <is>
          <t>Dimercaprol (BAL) 3 mg/kg IM</t>
        </is>
      </c>
      <c r="H193" s="2" t="inlineStr">
        <is>
          <t>Ethanol 10% IV infusion for Methanol poisoning</t>
        </is>
      </c>
      <c r="I193" s="8" t="inlineStr">
        <is>
          <t>1</t>
        </is>
      </c>
      <c r="J1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 s="2" t="n"/>
      <c r="L193" s="2" t="inlineStr">
        <is>
          <t>General Therapeutics</t>
        </is>
      </c>
      <c r="M193" s="2" t="inlineStr">
        <is>
          <t>Clinic</t>
        </is>
      </c>
      <c r="N193" s="2" t="inlineStr">
        <is>
          <t>PLE-CC1 ปี 2566 Day 2 ข้อ 65</t>
        </is>
      </c>
      <c r="O193" s="2" t="inlineStr">
        <is>
          <t>ข้อสอบจริง</t>
        </is>
      </c>
      <c r="P193" s="2" t="inlineStr">
        <is>
          <t>ปี 2566</t>
        </is>
      </c>
    </row>
    <row r="194" ht="13.2" customHeight="1" s="37">
      <c r="A194" s="8" t="inlineStr">
        <is>
          <t>216</t>
        </is>
      </c>
      <c r="B194" s="2" t="inlineStr">
        <is>
          <t>มีเพศสัมพันธ์โดยไม่ได้ป้องกัน</t>
        </is>
      </c>
      <c r="C194" s="2" t="n"/>
      <c r="D194" s="2" t="inlineStr">
        <is>
          <t>Dimercaprol (BAL) 3 mg/kg IM</t>
        </is>
      </c>
      <c r="E194" s="2" t="inlineStr">
        <is>
          <t>Ethanol 10% IV infusion for Methanol poisoning</t>
        </is>
      </c>
      <c r="F194" s="2" t="inlineStr">
        <is>
          <t>Fomepizole 15 mg/kg IV loading</t>
        </is>
      </c>
      <c r="G194" s="2" t="inlineStr">
        <is>
          <t>N-acetylcysteine (NAC) IV infusion protocol</t>
        </is>
      </c>
      <c r="H194" s="2" t="inlineStr">
        <is>
          <t>Atropine sulfate 2 mg IV Q5-10 min</t>
        </is>
      </c>
      <c r="I194" s="8" t="inlineStr">
        <is>
          <t>1</t>
        </is>
      </c>
      <c r="J1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 s="2" t="n"/>
      <c r="L194" s="2" t="inlineStr">
        <is>
          <t>General Therapeutics</t>
        </is>
      </c>
      <c r="M194" s="2" t="inlineStr">
        <is>
          <t>Clinic</t>
        </is>
      </c>
      <c r="N194" s="2" t="inlineStr">
        <is>
          <t>PLE-CC1 ปี 2566 Day 2 ข้อ 2</t>
        </is>
      </c>
      <c r="O194" s="2" t="inlineStr">
        <is>
          <t>ข้อสอบจริง</t>
        </is>
      </c>
      <c r="P194" s="2" t="inlineStr">
        <is>
          <t>ปี 2566</t>
        </is>
      </c>
    </row>
    <row r="195" ht="13.2" customHeight="1" s="37">
      <c r="A195" s="8" t="inlineStr">
        <is>
          <t>217</t>
        </is>
      </c>
      <c r="B195" s="2" t="inlineStr">
        <is>
          <t>สวนล้างช่องคลอดบ่อยๆ</t>
        </is>
      </c>
      <c r="C195" s="2" t="n"/>
      <c r="D195" s="2" t="inlineStr">
        <is>
          <t>N-acetylcysteine (NAC) IV infusion protocol</t>
        </is>
      </c>
      <c r="E195" s="2" t="inlineStr">
        <is>
          <t>Atropine sulfate 2 mg IV Q5-10 min</t>
        </is>
      </c>
      <c r="F195" s="2" t="inlineStr">
        <is>
          <t>Pralidoxime (2-PAM) 1-2 g IV over 30 min</t>
        </is>
      </c>
      <c r="G195" s="2" t="inlineStr">
        <is>
          <t>Naloxone 0.4 mg IV stat</t>
        </is>
      </c>
      <c r="H195" s="2" t="inlineStr">
        <is>
          <t>Flumazenil 0.2 mg IV stat</t>
        </is>
      </c>
      <c r="I195" s="8" t="inlineStr">
        <is>
          <t>1</t>
        </is>
      </c>
      <c r="J1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5" s="2" t="n"/>
      <c r="L195" s="2" t="inlineStr">
        <is>
          <t>General Therapeutics</t>
        </is>
      </c>
      <c r="M195" s="2" t="inlineStr">
        <is>
          <t>Clinic</t>
        </is>
      </c>
      <c r="N195" s="2" t="inlineStr">
        <is>
          <t>PLE-CC1 ปี 2566 Day 2 ข้อ 4</t>
        </is>
      </c>
      <c r="O195" s="2" t="inlineStr">
        <is>
          <t>ข้อสอบจริง</t>
        </is>
      </c>
      <c r="P195" s="2" t="inlineStr">
        <is>
          <t>ปี 2566</t>
        </is>
      </c>
    </row>
    <row r="196" ht="13.2" customHeight="1" s="37">
      <c r="A196" s="8" t="inlineStr">
        <is>
          <t>218</t>
        </is>
      </c>
      <c r="B196" s="2" t="inlineStr">
        <is>
          <t>Dapaglifozin</t>
        </is>
      </c>
      <c r="C196" s="2" t="n"/>
      <c r="D196" s="2" t="inlineStr">
        <is>
          <t>Naloxone 0.4 mg IV stat</t>
        </is>
      </c>
      <c r="E196" s="2" t="inlineStr">
        <is>
          <t>Flumazenil 0.2 mg IV stat</t>
        </is>
      </c>
      <c r="F196" s="2" t="inlineStr">
        <is>
          <t>Vitamin K1 (Phytomenadione) 10 mg IV slow</t>
        </is>
      </c>
      <c r="G196" s="2" t="inlineStr">
        <is>
          <t>Sodium thiosulfate 25% 50 mL IV</t>
        </is>
      </c>
      <c r="H196" s="2" t="inlineStr">
        <is>
          <t>Calcium disodium EDTA 1 g IV</t>
        </is>
      </c>
      <c r="I196" s="8" t="inlineStr">
        <is>
          <t>1</t>
        </is>
      </c>
      <c r="J1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6" s="2" t="n"/>
      <c r="L196" s="2" t="inlineStr">
        <is>
          <t>General Therapeutics</t>
        </is>
      </c>
      <c r="M196" s="2" t="inlineStr">
        <is>
          <t>Clinic</t>
        </is>
      </c>
      <c r="N196" s="2" t="inlineStr">
        <is>
          <t>PLE-CC1 ปี 2566 Day 2 ข้อ 4</t>
        </is>
      </c>
      <c r="O196" s="2" t="inlineStr">
        <is>
          <t>ข้อสอบจริง</t>
        </is>
      </c>
      <c r="P196" s="2" t="inlineStr">
        <is>
          <t>ปี 2566</t>
        </is>
      </c>
    </row>
    <row r="197" ht="13.2" customHeight="1" s="37">
      <c r="A197" s="8" t="inlineStr">
        <is>
          <t>219</t>
        </is>
      </c>
      <c r="B197" s="2" t="inlineStr">
        <is>
          <t>ข้างบ้านก่อสร้าง</t>
        </is>
      </c>
      <c r="C197" s="2" t="n"/>
      <c r="D197" s="2" t="inlineStr">
        <is>
          <t>Sodium thiosulfate 25% 50 mL IV</t>
        </is>
      </c>
      <c r="E197" s="2" t="inlineStr">
        <is>
          <t>Calcium disodium EDTA 1 g IV</t>
        </is>
      </c>
      <c r="F197" s="2" t="inlineStr">
        <is>
          <t>Desferrioxamine 1 g IM/IV</t>
        </is>
      </c>
      <c r="G197" s="2" t="inlineStr">
        <is>
          <t>Dimercaprol (BAL) 3 mg/kg IM</t>
        </is>
      </c>
      <c r="H197" s="2" t="inlineStr">
        <is>
          <t>Ethanol 10% IV infusion for Methanol poisoning</t>
        </is>
      </c>
      <c r="I197" s="8" t="inlineStr">
        <is>
          <t>1</t>
        </is>
      </c>
      <c r="J1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 s="2" t="n"/>
      <c r="L197" s="2" t="inlineStr">
        <is>
          <t>General Therapeutics</t>
        </is>
      </c>
      <c r="M197" s="2" t="inlineStr">
        <is>
          <t>Clinic</t>
        </is>
      </c>
      <c r="N197" s="2" t="inlineStr">
        <is>
          <t>PLE-CC1 ปี 2566 Day 2 ข้อ 4</t>
        </is>
      </c>
      <c r="O197" s="2" t="inlineStr">
        <is>
          <t>ข้อสอบจริง</t>
        </is>
      </c>
      <c r="P197" s="2" t="inlineStr">
        <is>
          <t>ปี 2566</t>
        </is>
      </c>
    </row>
    <row r="198" ht="13.2" customHeight="1" s="37">
      <c r="A198" s="8" t="inlineStr">
        <is>
          <t>220</t>
        </is>
      </c>
      <c r="B198" s="2" t="inlineStr">
        <is>
          <t>pseudoephedrine</t>
        </is>
      </c>
      <c r="C198" s="2" t="n"/>
      <c r="D198" s="2" t="inlineStr">
        <is>
          <t>การปฏิบัติทางเภสัชกรรมชุมชน (Good Pharmacy Practice: GPP)</t>
        </is>
      </c>
      <c r="E198" s="2" t="inlineStr">
        <is>
          <t>บัญชียาหลักแห่งชาติ (National List of Essential Medicines: NLEM)</t>
        </is>
      </c>
      <c r="F198" s="2" t="inlineStr">
        <is>
          <t>เกณฑ์จริยธรรมว่าด้วยการส่งเสริมการขายยาของกระทรวงสาธารณสุข</t>
        </is>
      </c>
      <c r="G198" s="2" t="inlineStr">
        <is>
          <t>พ.ร.บ. ยา พ.ศ. 2510 (การจำหน่ายยาอันตรายและยาควบคุมพิเศษ)</t>
        </is>
      </c>
      <c r="H198" s="2" t="inlineStr">
        <is>
          <t>พ.ร.บ. ยาเสพติดให้โทษ พ.ศ. 2522 (ยาเสพติดให้โทษประเภท 2 และ 3)</t>
        </is>
      </c>
      <c r="I198" s="8" t="inlineStr">
        <is>
          <t>1</t>
        </is>
      </c>
      <c r="J19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2" t="n"/>
      <c r="L198" s="2" t="inlineStr">
        <is>
          <t>Pharmacy Laws &amp; Ethics</t>
        </is>
      </c>
      <c r="M198" s="2" t="inlineStr">
        <is>
          <t>SAP</t>
        </is>
      </c>
      <c r="N198" s="2" t="inlineStr">
        <is>
          <t>PLE-CC1 ปี 2566 Day 2 ข้อ 3</t>
        </is>
      </c>
      <c r="O198" s="2" t="inlineStr">
        <is>
          <t>ข้อสอบจริง</t>
        </is>
      </c>
      <c r="P198" s="2" t="inlineStr">
        <is>
          <t>ปี 2566</t>
        </is>
      </c>
    </row>
    <row r="199" ht="13.2" customHeight="1" s="37">
      <c r="A199" s="8" t="inlineStr">
        <is>
          <t>221</t>
        </is>
      </c>
      <c r="B199" s="2" t="inlineStr">
        <is>
          <t>Weight variation/Weight variation</t>
        </is>
      </c>
      <c r="C199" s="2" t="n"/>
      <c r="D199" s="2" t="inlineStr">
        <is>
          <t>N-acetylcysteine (NAC) IV infusion protocol</t>
        </is>
      </c>
      <c r="E199" s="2" t="inlineStr">
        <is>
          <t>Atropine sulfate 2 mg IV Q5-10 min</t>
        </is>
      </c>
      <c r="F199" s="2" t="inlineStr">
        <is>
          <t>Pralidoxime (2-PAM) 1-2 g IV over 30 min</t>
        </is>
      </c>
      <c r="G199" s="2" t="inlineStr">
        <is>
          <t>Naloxone 0.4 mg IV stat</t>
        </is>
      </c>
      <c r="H199" s="2" t="inlineStr">
        <is>
          <t>Flumazenil 0.2 mg IV stat</t>
        </is>
      </c>
      <c r="I199" s="8" t="inlineStr">
        <is>
          <t>1</t>
        </is>
      </c>
      <c r="J1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9" s="2" t="n"/>
      <c r="L199" s="2" t="inlineStr">
        <is>
          <t>General Therapeutics</t>
        </is>
      </c>
      <c r="M199" s="2" t="inlineStr">
        <is>
          <t>Clinic</t>
        </is>
      </c>
      <c r="N199" s="2" t="inlineStr">
        <is>
          <t>PLE-CC1 ปี 2566 Day 2 ข้อ 1</t>
        </is>
      </c>
      <c r="O199" s="2" t="inlineStr">
        <is>
          <t>ข้อสอบจริง</t>
        </is>
      </c>
      <c r="P199" s="2" t="inlineStr">
        <is>
          <t>ปี 2566</t>
        </is>
      </c>
    </row>
    <row r="200" ht="13.2" customHeight="1" s="37">
      <c r="A200" s="8" t="inlineStr">
        <is>
          <t>222</t>
        </is>
      </c>
      <c r="B200" s="2" t="inlineStr">
        <is>
          <t>Content of uniformity/Content of uniformity</t>
        </is>
      </c>
      <c r="C200" s="2" t="n"/>
      <c r="D200" s="2" t="inlineStr">
        <is>
          <t>Naloxone 0.4 mg IV stat</t>
        </is>
      </c>
      <c r="E200" s="2" t="inlineStr">
        <is>
          <t>Flumazenil 0.2 mg IV stat</t>
        </is>
      </c>
      <c r="F200" s="2" t="inlineStr">
        <is>
          <t>Vitamin K1 (Phytomenadione) 10 mg IV slow</t>
        </is>
      </c>
      <c r="G200" s="2" t="inlineStr">
        <is>
          <t>Sodium thiosulfate 25% 50 mL IV</t>
        </is>
      </c>
      <c r="H200" s="2" t="inlineStr">
        <is>
          <t>Calcium disodium EDTA 1 g IV</t>
        </is>
      </c>
      <c r="I200" s="8" t="inlineStr">
        <is>
          <t>1</t>
        </is>
      </c>
      <c r="J2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0" s="2" t="n"/>
      <c r="L200" s="2" t="inlineStr">
        <is>
          <t>General Therapeutics</t>
        </is>
      </c>
      <c r="M200" s="2" t="inlineStr">
        <is>
          <t>Clinic</t>
        </is>
      </c>
      <c r="N200" s="2" t="inlineStr">
        <is>
          <t>PLE-CC1 ปี 2566 Day 2 ข้อ 2</t>
        </is>
      </c>
      <c r="O200" s="2" t="inlineStr">
        <is>
          <t>ข้อสอบจริง</t>
        </is>
      </c>
      <c r="P200" s="2" t="inlineStr">
        <is>
          <t>ปี 2566</t>
        </is>
      </c>
    </row>
    <row r="201" ht="13.2" customHeight="1" s="37">
      <c r="A201" s="8" t="inlineStr">
        <is>
          <t>223</t>
        </is>
      </c>
      <c r="B201" s="2" t="inlineStr">
        <is>
          <t>Content of uniformity/Weight variation</t>
        </is>
      </c>
      <c r="C201" s="2" t="n"/>
      <c r="D201" s="2" t="inlineStr">
        <is>
          <t>Sodium thiosulfate 25% 50 mL IV</t>
        </is>
      </c>
      <c r="E201" s="2" t="inlineStr">
        <is>
          <t>Calcium disodium EDTA 1 g IV</t>
        </is>
      </c>
      <c r="F201" s="2" t="inlineStr">
        <is>
          <t>Desferrioxamine 1 g IM/IV</t>
        </is>
      </c>
      <c r="G201" s="2" t="inlineStr">
        <is>
          <t>Dimercaprol (BAL) 3 mg/kg IM</t>
        </is>
      </c>
      <c r="H201" s="2" t="inlineStr">
        <is>
          <t>Ethanol 10% IV infusion for Methanol poisoning</t>
        </is>
      </c>
      <c r="I201" s="8" t="inlineStr">
        <is>
          <t>1</t>
        </is>
      </c>
      <c r="J2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 s="2" t="n"/>
      <c r="L201" s="2" t="inlineStr">
        <is>
          <t>General Therapeutics</t>
        </is>
      </c>
      <c r="M201" s="2" t="inlineStr">
        <is>
          <t>Clinic</t>
        </is>
      </c>
      <c r="N201" s="2" t="inlineStr">
        <is>
          <t>PLE-CC1 ปี 2566 Day 2 ข้อ 3</t>
        </is>
      </c>
      <c r="O201" s="2" t="inlineStr">
        <is>
          <t>ข้อสอบจริง</t>
        </is>
      </c>
      <c r="P201" s="2" t="inlineStr">
        <is>
          <t>ปี 2566</t>
        </is>
      </c>
    </row>
    <row r="202" ht="13.2" customHeight="1" s="37">
      <c r="A202" s="8" t="inlineStr">
        <is>
          <t>224</t>
        </is>
      </c>
      <c r="B202" s="2" t="inlineStr">
        <is>
          <t>ใบสำคัญในการขึ้นทะเบียนตำรับยา(ไม่แน่ใจว่าใช่ไหม) ที่ขึ้นทะเบียนวันที่10 มกราคม2566 จะสิ้นอายุวันที่เท่าไหร่ ตัวเลือก</t>
        </is>
      </c>
      <c r="C202" s="2" t="n"/>
      <c r="D202" s="2" t="inlineStr">
        <is>
          <t>Dimercaprol (BAL) 3 mg/kg IM</t>
        </is>
      </c>
      <c r="E202" s="2" t="inlineStr">
        <is>
          <t>Ethanol 10% IV infusion for Methanol poisoning</t>
        </is>
      </c>
      <c r="F202" s="2" t="inlineStr">
        <is>
          <t>Fomepizole 15 mg/kg IV loading</t>
        </is>
      </c>
      <c r="G202" s="2" t="inlineStr">
        <is>
          <t>N-acetylcysteine (NAC) IV infusion protocol</t>
        </is>
      </c>
      <c r="H202" s="2" t="inlineStr">
        <is>
          <t>Atropine sulfate 2 mg IV Q5-10 min</t>
        </is>
      </c>
      <c r="I202" s="8" t="inlineStr">
        <is>
          <t>1</t>
        </is>
      </c>
      <c r="J2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2" s="2" t="n"/>
      <c r="L202" s="2" t="inlineStr">
        <is>
          <t>General Therapeutics</t>
        </is>
      </c>
      <c r="M202" s="2" t="inlineStr">
        <is>
          <t>Clinic</t>
        </is>
      </c>
      <c r="N202" s="2" t="inlineStr">
        <is>
          <t>PLE-CC1 ปี 2566 Day 2 ข้อ 72</t>
        </is>
      </c>
      <c r="O202" s="2" t="inlineStr">
        <is>
          <t>ข้อสอบจริง</t>
        </is>
      </c>
      <c r="P202" s="2" t="inlineStr">
        <is>
          <t>ปี 2566</t>
        </is>
      </c>
    </row>
    <row r="203" ht="13.2" customHeight="1" s="37">
      <c r="A203" s="8" t="inlineStr">
        <is>
          <t>225</t>
        </is>
      </c>
      <c r="B203" s="2" t="inlineStr">
        <is>
          <t>31 ธันกวาคม2573</t>
        </is>
      </c>
      <c r="C203" s="2" t="n"/>
      <c r="D203" s="2" t="inlineStr">
        <is>
          <t>N-acetylcysteine (NAC) IV infusion protocol</t>
        </is>
      </c>
      <c r="E203" s="2" t="inlineStr">
        <is>
          <t>Atropine sulfate 2 mg IV Q5-10 min</t>
        </is>
      </c>
      <c r="F203" s="2" t="inlineStr">
        <is>
          <t>Pralidoxime (2-PAM) 1-2 g IV over 30 min</t>
        </is>
      </c>
      <c r="G203" s="2" t="inlineStr">
        <is>
          <t>Naloxone 0.4 mg IV stat</t>
        </is>
      </c>
      <c r="H203" s="2" t="inlineStr">
        <is>
          <t>Flumazenil 0.2 mg IV stat</t>
        </is>
      </c>
      <c r="I203" s="8" t="inlineStr">
        <is>
          <t>1</t>
        </is>
      </c>
      <c r="J2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3" s="2" t="n"/>
      <c r="L203" s="2" t="inlineStr">
        <is>
          <t>General Therapeutics</t>
        </is>
      </c>
      <c r="M203" s="2" t="inlineStr">
        <is>
          <t>Clinic</t>
        </is>
      </c>
      <c r="N203" s="2" t="inlineStr">
        <is>
          <t>PLE-CC1 ปี 2566 Day 2 ข้อ 5</t>
        </is>
      </c>
      <c r="O203" s="2" t="inlineStr">
        <is>
          <t>ข้อสอบจริง</t>
        </is>
      </c>
      <c r="P203" s="2" t="inlineStr">
        <is>
          <t>ปี 2566</t>
        </is>
      </c>
    </row>
    <row r="204" ht="13.2" customHeight="1" s="37">
      <c r="A204" s="8" t="inlineStr">
        <is>
          <t>226</t>
        </is>
      </c>
      <c r="B204" s="2" t="inlineStr">
        <is>
          <t>“ เกียรตินิยมอันดับ1 ”</t>
        </is>
      </c>
      <c r="C204" s="2" t="n"/>
      <c r="D204" s="2" t="inlineStr">
        <is>
          <t>Naloxone 0.4 mg IV stat</t>
        </is>
      </c>
      <c r="E204" s="2" t="inlineStr">
        <is>
          <t>Flumazenil 0.2 mg IV stat</t>
        </is>
      </c>
      <c r="F204" s="2" t="inlineStr">
        <is>
          <t>Vitamin K1 (Phytomenadione) 10 mg IV slow</t>
        </is>
      </c>
      <c r="G204" s="2" t="inlineStr">
        <is>
          <t>Sodium thiosulfate 25% 50 mL IV</t>
        </is>
      </c>
      <c r="H204" s="2" t="inlineStr">
        <is>
          <t>Calcium disodium EDTA 1 g IV</t>
        </is>
      </c>
      <c r="I204" s="8" t="inlineStr">
        <is>
          <t>1</t>
        </is>
      </c>
      <c r="J2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4" s="2" t="n"/>
      <c r="L204" s="2" t="inlineStr">
        <is>
          <t>General Therapeutics</t>
        </is>
      </c>
      <c r="M204" s="2" t="inlineStr">
        <is>
          <t>Clinic</t>
        </is>
      </c>
      <c r="N204" s="2" t="inlineStr">
        <is>
          <t>PLE-CC1 ปี 2566 Day 2 ข้อ 1</t>
        </is>
      </c>
      <c r="O204" s="2" t="inlineStr">
        <is>
          <t>ข้อสอบจริง</t>
        </is>
      </c>
      <c r="P204" s="2" t="inlineStr">
        <is>
          <t>ปี 2566</t>
        </is>
      </c>
    </row>
    <row r="205" ht="13.2" customHeight="1" s="37">
      <c r="A205" s="8" t="inlineStr">
        <is>
          <t>227</t>
        </is>
      </c>
      <c r="B205" s="2" t="inlineStr">
        <is>
          <t>“เวลาทำการ07.00 - 19.00 น.”</t>
        </is>
      </c>
      <c r="C205" s="2" t="n"/>
      <c r="D205" s="2" t="inlineStr">
        <is>
          <t>Sodium thiosulfate 25% 50 mL IV</t>
        </is>
      </c>
      <c r="E205" s="2" t="inlineStr">
        <is>
          <t>Calcium disodium EDTA 1 g IV</t>
        </is>
      </c>
      <c r="F205" s="2" t="inlineStr">
        <is>
          <t>Desferrioxamine 1 g IM/IV</t>
        </is>
      </c>
      <c r="G205" s="2" t="inlineStr">
        <is>
          <t>Dimercaprol (BAL) 3 mg/kg IM</t>
        </is>
      </c>
      <c r="H205" s="2" t="inlineStr">
        <is>
          <t>Ethanol 10% IV infusion for Methanol poisoning</t>
        </is>
      </c>
      <c r="I205" s="8" t="inlineStr">
        <is>
          <t>1</t>
        </is>
      </c>
      <c r="J2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 s="2" t="n"/>
      <c r="L205" s="2" t="inlineStr">
        <is>
          <t>General Therapeutics</t>
        </is>
      </c>
      <c r="M205" s="2" t="inlineStr">
        <is>
          <t>Clinic</t>
        </is>
      </c>
      <c r="N205" s="2" t="inlineStr">
        <is>
          <t>PLE-CC1 ปี 2566 Day 2 ข้อ 3</t>
        </is>
      </c>
      <c r="O205" s="2" t="inlineStr">
        <is>
          <t>ข้อสอบจริง</t>
        </is>
      </c>
      <c r="P205" s="2" t="inlineStr">
        <is>
          <t>ปี 2566</t>
        </is>
      </c>
    </row>
    <row r="206" ht="13.2" customHeight="1" s="37">
      <c r="A206" s="8" t="inlineStr">
        <is>
          <t>228</t>
        </is>
      </c>
      <c r="B206" s="2" t="inlineStr">
        <is>
          <t>“ยาดีราคาถูก</t>
        </is>
      </c>
      <c r="C206" s="2" t="n"/>
      <c r="D206" s="2" t="inlineStr">
        <is>
          <t>Dimercaprol (BAL) 3 mg/kg IM</t>
        </is>
      </c>
      <c r="E206" s="2" t="inlineStr">
        <is>
          <t>Ethanol 10% IV infusion for Methanol poisoning</t>
        </is>
      </c>
      <c r="F206" s="2" t="inlineStr">
        <is>
          <t>Fomepizole 15 mg/kg IV loading</t>
        </is>
      </c>
      <c r="G206" s="2" t="inlineStr">
        <is>
          <t>N-acetylcysteine (NAC) IV infusion protocol</t>
        </is>
      </c>
      <c r="H206" s="2" t="inlineStr">
        <is>
          <t>Atropine sulfate 2 mg IV Q5-10 min</t>
        </is>
      </c>
      <c r="I206" s="8" t="inlineStr">
        <is>
          <t>1</t>
        </is>
      </c>
      <c r="J2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 s="2" t="n"/>
      <c r="L206" s="2" t="inlineStr">
        <is>
          <t>General Therapeutics</t>
        </is>
      </c>
      <c r="M206" s="2" t="inlineStr">
        <is>
          <t>Clinic</t>
        </is>
      </c>
      <c r="N206" s="2" t="inlineStr">
        <is>
          <t>PLE-CC1 ปี 2566 Day 2 ข้อ 4</t>
        </is>
      </c>
      <c r="O206" s="2" t="inlineStr">
        <is>
          <t>ข้อสอบจริง</t>
        </is>
      </c>
      <c r="P206" s="2" t="inlineStr">
        <is>
          <t>ปี 2566</t>
        </is>
      </c>
    </row>
    <row r="207" ht="13.2" customHeight="1" s="37">
      <c r="A207" s="8" t="inlineStr">
        <is>
          <t>229</t>
        </is>
      </c>
      <c r="B207" s="2" t="inlineStr">
        <is>
          <t>ผู้ป่วยหญิงโรคอ้วนสูง160 หนัก70 รอบเอว33 นิ้วเกณฑ์ใดที่ชี้ว่าผู้ป่วยเป็นโรคอ้วน ตัวเลือก</t>
        </is>
      </c>
      <c r="C207" s="2" t="n"/>
      <c r="D207" s="2" t="inlineStr">
        <is>
          <t>N-acetylcysteine (NAC) IV infusion protocol</t>
        </is>
      </c>
      <c r="E207" s="2" t="inlineStr">
        <is>
          <t>Atropine sulfate 2 mg IV Q5-10 min</t>
        </is>
      </c>
      <c r="F207" s="2" t="inlineStr">
        <is>
          <t>Pralidoxime (2-PAM) 1-2 g IV over 30 min</t>
        </is>
      </c>
      <c r="G207" s="2" t="inlineStr">
        <is>
          <t>Naloxone 0.4 mg IV stat</t>
        </is>
      </c>
      <c r="H207" s="2" t="inlineStr">
        <is>
          <t>Flumazenil 0.2 mg IV stat</t>
        </is>
      </c>
      <c r="I207" s="8" t="inlineStr">
        <is>
          <t>1</t>
        </is>
      </c>
      <c r="J2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7" s="2" t="n"/>
      <c r="L207" s="2" t="inlineStr">
        <is>
          <t>General Therapeutics</t>
        </is>
      </c>
      <c r="M207" s="2" t="inlineStr">
        <is>
          <t>Clinic</t>
        </is>
      </c>
      <c r="N207" s="2" t="inlineStr">
        <is>
          <t>PLE-CC1 ปี 2566 Day 2 ข้อ 74</t>
        </is>
      </c>
      <c r="O207" s="2" t="inlineStr">
        <is>
          <t>ข้อสอบจริง</t>
        </is>
      </c>
      <c r="P207" s="2" t="inlineStr">
        <is>
          <t>ปี 2566</t>
        </is>
      </c>
    </row>
    <row r="208" ht="13.2" customHeight="1" s="37">
      <c r="A208" s="8" t="inlineStr">
        <is>
          <t>230</t>
        </is>
      </c>
      <c r="B208" s="2" t="inlineStr">
        <is>
          <t>สัดส่วรน้ำหนักต่อส่วนสูงลดลง5%</t>
        </is>
      </c>
      <c r="C208" s="2" t="n"/>
      <c r="D208" s="2" t="inlineStr">
        <is>
          <t>Naloxone 0.4 mg IV stat</t>
        </is>
      </c>
      <c r="E208" s="2" t="inlineStr">
        <is>
          <t>Flumazenil 0.2 mg IV stat</t>
        </is>
      </c>
      <c r="F208" s="2" t="inlineStr">
        <is>
          <t>Vitamin K1 (Phytomenadione) 10 mg IV slow</t>
        </is>
      </c>
      <c r="G208" s="2" t="inlineStr">
        <is>
          <t>Sodium thiosulfate 25% 50 mL IV</t>
        </is>
      </c>
      <c r="H208" s="2" t="inlineStr">
        <is>
          <t>Calcium disodium EDTA 1 g IV</t>
        </is>
      </c>
      <c r="I208" s="8" t="inlineStr">
        <is>
          <t>1</t>
        </is>
      </c>
      <c r="J2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8" s="2" t="n"/>
      <c r="L208" s="2" t="inlineStr">
        <is>
          <t>General Therapeutics</t>
        </is>
      </c>
      <c r="M208" s="2" t="inlineStr">
        <is>
          <t>Clinic</t>
        </is>
      </c>
      <c r="N208" s="2" t="inlineStr">
        <is>
          <t>PLE-CC1 ปี 2566 Day 2 ข้อ 2</t>
        </is>
      </c>
      <c r="O208" s="2" t="inlineStr">
        <is>
          <t>ข้อสอบจริง</t>
        </is>
      </c>
      <c r="P208" s="2" t="inlineStr">
        <is>
          <t>ปี 2566</t>
        </is>
      </c>
    </row>
    <row r="209" ht="13.2" customHeight="1" s="37">
      <c r="A209" s="8" t="inlineStr">
        <is>
          <t>231</t>
        </is>
      </c>
      <c r="B209" s="2" t="inlineStr">
        <is>
          <t>น้ำหนักลดลงเหลือ55</t>
        </is>
      </c>
      <c r="C209" s="2" t="n"/>
      <c r="D209" s="2" t="inlineStr">
        <is>
          <t>Sodium thiosulfate 25% 50 mL IV</t>
        </is>
      </c>
      <c r="E209" s="2" t="inlineStr">
        <is>
          <t>Calcium disodium EDTA 1 g IV</t>
        </is>
      </c>
      <c r="F209" s="2" t="inlineStr">
        <is>
          <t>Desferrioxamine 1 g IM/IV</t>
        </is>
      </c>
      <c r="G209" s="2" t="inlineStr">
        <is>
          <t>Dimercaprol (BAL) 3 mg/kg IM</t>
        </is>
      </c>
      <c r="H209" s="2" t="inlineStr">
        <is>
          <t>Ethanol 10% IV infusion for Methanol poisoning</t>
        </is>
      </c>
      <c r="I209" s="8" t="inlineStr">
        <is>
          <t>1</t>
        </is>
      </c>
      <c r="J2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 s="2" t="n"/>
      <c r="L209" s="2" t="inlineStr">
        <is>
          <t>General Therapeutics</t>
        </is>
      </c>
      <c r="M209" s="2" t="inlineStr">
        <is>
          <t>Clinic</t>
        </is>
      </c>
      <c r="N209" s="2" t="inlineStr">
        <is>
          <t>PLE-CC1 ปี 2566 Day 2 ข้อ 3</t>
        </is>
      </c>
      <c r="O209" s="2" t="inlineStr">
        <is>
          <t>ข้อสอบจริง</t>
        </is>
      </c>
      <c r="P209" s="2" t="inlineStr">
        <is>
          <t>ปี 2566</t>
        </is>
      </c>
    </row>
    <row r="210" ht="13.2" customHeight="1" s="37">
      <c r="A210" s="8" t="inlineStr">
        <is>
          <t>232</t>
        </is>
      </c>
      <c r="B210" s="2" t="inlineStr">
        <is>
          <t>รอบเอวลดลงเหลือต่ำกว่า30นิ้ว</t>
        </is>
      </c>
      <c r="C210" s="2" t="n"/>
      <c r="D210" s="2" t="inlineStr">
        <is>
          <t>Dimercaprol (BAL) 3 mg/kg IM</t>
        </is>
      </c>
      <c r="E210" s="2" t="inlineStr">
        <is>
          <t>Ethanol 10% IV infusion for Methanol poisoning</t>
        </is>
      </c>
      <c r="F210" s="2" t="inlineStr">
        <is>
          <t>Fomepizole 15 mg/kg IV loading</t>
        </is>
      </c>
      <c r="G210" s="2" t="inlineStr">
        <is>
          <t>N-acetylcysteine (NAC) IV infusion protocol</t>
        </is>
      </c>
      <c r="H210" s="2" t="inlineStr">
        <is>
          <t>Atropine sulfate 2 mg IV Q5-10 min</t>
        </is>
      </c>
      <c r="I210" s="8" t="inlineStr">
        <is>
          <t>1</t>
        </is>
      </c>
      <c r="J2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 s="2" t="n"/>
      <c r="L210" s="2" t="inlineStr">
        <is>
          <t>General Therapeutics</t>
        </is>
      </c>
      <c r="M210" s="2" t="inlineStr">
        <is>
          <t>Clinic</t>
        </is>
      </c>
      <c r="N210" s="2" t="inlineStr">
        <is>
          <t>PLE-CC1 ปี 2566 Day 2 ข้อ 4</t>
        </is>
      </c>
      <c r="O210" s="2" t="inlineStr">
        <is>
          <t>ข้อสอบจริง</t>
        </is>
      </c>
      <c r="P210" s="2" t="inlineStr">
        <is>
          <t>ปี 2566</t>
        </is>
      </c>
    </row>
    <row r="211" ht="13.2" customHeight="1" s="37">
      <c r="A211" s="8" t="inlineStr">
        <is>
          <t>233</t>
        </is>
      </c>
      <c r="B211" s="2" t="inlineStr">
        <is>
          <t>ผลิตที่เดียวกันได้</t>
        </is>
      </c>
      <c r="C211" s="2" t="n"/>
      <c r="D211" s="2" t="inlineStr">
        <is>
          <t>N-acetylcysteine (NAC) IV infusion protocol</t>
        </is>
      </c>
      <c r="E211" s="2" t="inlineStr">
        <is>
          <t>Atropine sulfate 2 mg IV Q5-10 min</t>
        </is>
      </c>
      <c r="F211" s="2" t="inlineStr">
        <is>
          <t>Pralidoxime (2-PAM) 1-2 g IV over 30 min</t>
        </is>
      </c>
      <c r="G211" s="2" t="inlineStr">
        <is>
          <t>Naloxone 0.4 mg IV stat</t>
        </is>
      </c>
      <c r="H211" s="2" t="inlineStr">
        <is>
          <t>Flumazenil 0.2 mg IV stat</t>
        </is>
      </c>
      <c r="I211" s="8" t="inlineStr">
        <is>
          <t>1</t>
        </is>
      </c>
      <c r="J2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1" s="2" t="n"/>
      <c r="L211" s="2" t="inlineStr">
        <is>
          <t>General Therapeutics</t>
        </is>
      </c>
      <c r="M211" s="2" t="inlineStr">
        <is>
          <t>Clinic</t>
        </is>
      </c>
      <c r="N211" s="2" t="inlineStr">
        <is>
          <t>PLE-CC1 ปี 2566 Day 2 ข้อ 1</t>
        </is>
      </c>
      <c r="O211" s="2" t="inlineStr">
        <is>
          <t>ข้อสอบจริง</t>
        </is>
      </c>
      <c r="P211" s="2" t="inlineStr">
        <is>
          <t>ปี 2566</t>
        </is>
      </c>
    </row>
    <row r="212" ht="13.2" customHeight="1" s="37">
      <c r="A212" s="8" t="inlineStr">
        <is>
          <t>234</t>
        </is>
      </c>
      <c r="B212" s="2" t="inlineStr">
        <is>
          <t>แยกตึกแต่ใช้utilityร่วมกันได้</t>
        </is>
      </c>
      <c r="C212" s="2" t="n"/>
      <c r="D212" s="2" t="inlineStr">
        <is>
          <t>Naloxone 0.4 mg IV stat</t>
        </is>
      </c>
      <c r="E212" s="2" t="inlineStr">
        <is>
          <t>Flumazenil 0.2 mg IV stat</t>
        </is>
      </c>
      <c r="F212" s="2" t="inlineStr">
        <is>
          <t>Vitamin K1 (Phytomenadione) 10 mg IV slow</t>
        </is>
      </c>
      <c r="G212" s="2" t="inlineStr">
        <is>
          <t>Sodium thiosulfate 25% 50 mL IV</t>
        </is>
      </c>
      <c r="H212" s="2" t="inlineStr">
        <is>
          <t>Calcium disodium EDTA 1 g IV</t>
        </is>
      </c>
      <c r="I212" s="8" t="inlineStr">
        <is>
          <t>1</t>
        </is>
      </c>
      <c r="J2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2" s="2" t="n"/>
      <c r="L212" s="2" t="inlineStr">
        <is>
          <t>General Therapeutics</t>
        </is>
      </c>
      <c r="M212" s="2" t="inlineStr">
        <is>
          <t>Clinic</t>
        </is>
      </c>
      <c r="N212" s="2" t="inlineStr">
        <is>
          <t>PLE-CC1 ปี 2566 Day 2 ข้อ 2</t>
        </is>
      </c>
      <c r="O212" s="2" t="inlineStr">
        <is>
          <t>ข้อสอบจริง</t>
        </is>
      </c>
      <c r="P212" s="2" t="inlineStr">
        <is>
          <t>ปี 2566</t>
        </is>
      </c>
    </row>
    <row r="213" ht="13.2" customHeight="1" s="37">
      <c r="A213" s="8" t="inlineStr">
        <is>
          <t>235</t>
        </is>
      </c>
      <c r="B213" s="2" t="inlineStr">
        <is>
          <t>แยกตึกและแยกutility</t>
        </is>
      </c>
      <c r="C213" s="2" t="n"/>
      <c r="D213" s="2" t="inlineStr">
        <is>
          <t>Sodium thiosulfate 25% 50 mL IV</t>
        </is>
      </c>
      <c r="E213" s="2" t="inlineStr">
        <is>
          <t>Calcium disodium EDTA 1 g IV</t>
        </is>
      </c>
      <c r="F213" s="2" t="inlineStr">
        <is>
          <t>Desferrioxamine 1 g IM/IV</t>
        </is>
      </c>
      <c r="G213" s="2" t="inlineStr">
        <is>
          <t>Dimercaprol (BAL) 3 mg/kg IM</t>
        </is>
      </c>
      <c r="H213" s="2" t="inlineStr">
        <is>
          <t>Ethanol 10% IV infusion for Methanol poisoning</t>
        </is>
      </c>
      <c r="I213" s="8" t="inlineStr">
        <is>
          <t>1</t>
        </is>
      </c>
      <c r="J2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2" t="n"/>
      <c r="L213" s="2" t="inlineStr">
        <is>
          <t>General Therapeutics</t>
        </is>
      </c>
      <c r="M213" s="2" t="inlineStr">
        <is>
          <t>Clinic</t>
        </is>
      </c>
      <c r="N213" s="2" t="inlineStr">
        <is>
          <t>PLE-CC1 ปี 2566 Day 2 ข้อ 3</t>
        </is>
      </c>
      <c r="O213" s="2" t="inlineStr">
        <is>
          <t>ข้อสอบจริง</t>
        </is>
      </c>
      <c r="P213" s="2" t="inlineStr">
        <is>
          <t>ปี 2566</t>
        </is>
      </c>
    </row>
    <row r="214" ht="13.2" customHeight="1" s="37">
      <c r="A214" s="8" t="inlineStr">
        <is>
          <t>236</t>
        </is>
      </c>
      <c r="B214" s="2" t="inlineStr">
        <is>
          <t>ตั้งสถานที่ให้ห่างกัน10 km</t>
        </is>
      </c>
      <c r="C214" s="2" t="n"/>
      <c r="D214" s="2" t="inlineStr">
        <is>
          <t>Dimercaprol (BAL) 3 mg/kg IM</t>
        </is>
      </c>
      <c r="E214" s="2" t="inlineStr">
        <is>
          <t>Ethanol 10% IV infusion for Methanol poisoning</t>
        </is>
      </c>
      <c r="F214" s="2" t="inlineStr">
        <is>
          <t>Fomepizole 15 mg/kg IV loading</t>
        </is>
      </c>
      <c r="G214" s="2" t="inlineStr">
        <is>
          <t>N-acetylcysteine (NAC) IV infusion protocol</t>
        </is>
      </c>
      <c r="H214" s="2" t="inlineStr">
        <is>
          <t>Atropine sulfate 2 mg IV Q5-10 min</t>
        </is>
      </c>
      <c r="I214" s="8" t="inlineStr">
        <is>
          <t>1</t>
        </is>
      </c>
      <c r="J2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 s="2" t="n"/>
      <c r="L214" s="2" t="inlineStr">
        <is>
          <t>General Therapeutics</t>
        </is>
      </c>
      <c r="M214" s="2" t="inlineStr">
        <is>
          <t>Clinic</t>
        </is>
      </c>
      <c r="N214" s="2" t="inlineStr">
        <is>
          <t>PLE-CC1 ปี 2566 Day 2 ข้อ 4</t>
        </is>
      </c>
      <c r="O214" s="2" t="inlineStr">
        <is>
          <t>ข้อสอบจริง</t>
        </is>
      </c>
      <c r="P214" s="2" t="inlineStr">
        <is>
          <t>ปี 2566</t>
        </is>
      </c>
    </row>
    <row r="215" ht="13.2" customHeight="1" s="37">
      <c r="A215" s="8" t="inlineStr">
        <is>
          <t>237</t>
        </is>
      </c>
      <c r="B215" s="2" t="inlineStr">
        <is>
          <t>ให้สูตรตำรับมาถามว่าข้อไหนเป็นสารก่อฟิล์ม ตัวเลือก</t>
        </is>
      </c>
      <c r="C215" s="2" t="n"/>
      <c r="D215" s="2" t="inlineStr">
        <is>
          <t>N-acetylcysteine (NAC) IV infusion protocol</t>
        </is>
      </c>
      <c r="E215" s="2" t="inlineStr">
        <is>
          <t>Atropine sulfate 2 mg IV Q5-10 min</t>
        </is>
      </c>
      <c r="F215" s="2" t="inlineStr">
        <is>
          <t>Pralidoxime (2-PAM) 1-2 g IV over 30 min</t>
        </is>
      </c>
      <c r="G215" s="2" t="inlineStr">
        <is>
          <t>Naloxone 0.4 mg IV stat</t>
        </is>
      </c>
      <c r="H215" s="2" t="inlineStr">
        <is>
          <t>Flumazenil 0.2 mg IV stat</t>
        </is>
      </c>
      <c r="I215" s="8" t="inlineStr">
        <is>
          <t>1</t>
        </is>
      </c>
      <c r="J2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5" s="2" t="n"/>
      <c r="L215" s="2" t="inlineStr">
        <is>
          <t>General Therapeutics</t>
        </is>
      </c>
      <c r="M215" s="2" t="inlineStr">
        <is>
          <t>Clinic</t>
        </is>
      </c>
      <c r="N215" s="2" t="inlineStr">
        <is>
          <t>PLE-CC1 ปี 2566 Day 2 ข้อ 77</t>
        </is>
      </c>
      <c r="O215" s="2" t="inlineStr">
        <is>
          <t>ข้อสอบจริง</t>
        </is>
      </c>
      <c r="P215" s="2" t="inlineStr">
        <is>
          <t>ปี 2566</t>
        </is>
      </c>
    </row>
    <row r="216" ht="13.2" customHeight="1" s="37">
      <c r="A216" s="8" t="inlineStr">
        <is>
          <t>238</t>
        </is>
      </c>
      <c r="B216" s="2" t="inlineStr">
        <is>
          <t>ให้สูตรตำรับที่ไม่มีBinderมาถามว่าตำรับนี้น่าจะเกิดปัญหาใดมากที่สุด ตัวเลือก</t>
        </is>
      </c>
      <c r="C216" s="2" t="n"/>
      <c r="D216" s="2" t="inlineStr">
        <is>
          <t>Soft Gelatin Capsule encapsulation</t>
        </is>
      </c>
      <c r="E216" s="2" t="inlineStr">
        <is>
          <t>Microcrystalline cellulose</t>
        </is>
      </c>
      <c r="F216" s="2" t="inlineStr">
        <is>
          <t>Magnesium stearate (Lubricant 1%)</t>
        </is>
      </c>
      <c r="G216" s="2" t="inlineStr">
        <is>
          <t>Sodium starch glycolate (Superdisintegrant)</t>
        </is>
      </c>
      <c r="H216" s="2" t="inlineStr">
        <is>
          <t>Direct Compression tableting method</t>
        </is>
      </c>
      <c r="I216" s="8" t="inlineStr">
        <is>
          <t>1</t>
        </is>
      </c>
      <c r="J216" s="2"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6" s="2" t="n"/>
      <c r="L216" s="2" t="inlineStr">
        <is>
          <t>Solid Dosage Forms</t>
        </is>
      </c>
      <c r="M216" s="2" t="inlineStr">
        <is>
          <t>Product</t>
        </is>
      </c>
      <c r="N216" s="2" t="inlineStr">
        <is>
          <t>PLE-CC1 ปี 2566 Day 2 ข้อ 78</t>
        </is>
      </c>
      <c r="O216" s="2" t="inlineStr">
        <is>
          <t>ข้อสอบจริง</t>
        </is>
      </c>
      <c r="P216" s="2" t="inlineStr">
        <is>
          <t>ปี 2566</t>
        </is>
      </c>
    </row>
    <row r="217" ht="13.2" customHeight="1" s="37">
      <c r="A217" s="8" t="inlineStr">
        <is>
          <t>239</t>
        </is>
      </c>
      <c r="B217" s="2" t="inlineStr">
        <is>
          <t>Water soluble base</t>
        </is>
      </c>
      <c r="C217" s="2" t="n"/>
      <c r="D217" s="2" t="inlineStr">
        <is>
          <t>Sodium thiosulfate 25% 50 mL IV</t>
        </is>
      </c>
      <c r="E217" s="2" t="inlineStr">
        <is>
          <t>Calcium disodium EDTA 1 g IV</t>
        </is>
      </c>
      <c r="F217" s="2" t="inlineStr">
        <is>
          <t>Desferrioxamine 1 g IM/IV</t>
        </is>
      </c>
      <c r="G217" s="2" t="inlineStr">
        <is>
          <t>Dimercaprol (BAL) 3 mg/kg IM</t>
        </is>
      </c>
      <c r="H217" s="2" t="inlineStr">
        <is>
          <t>Ethanol 10% IV infusion for Methanol poisoning</t>
        </is>
      </c>
      <c r="I217" s="8" t="inlineStr">
        <is>
          <t>1</t>
        </is>
      </c>
      <c r="J2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 s="2" t="n"/>
      <c r="L217" s="2" t="inlineStr">
        <is>
          <t>General Therapeutics</t>
        </is>
      </c>
      <c r="M217" s="2" t="inlineStr">
        <is>
          <t>Clinic</t>
        </is>
      </c>
      <c r="N217" s="2" t="inlineStr">
        <is>
          <t>PLE-CC1 ปี 2566 Day 2 ข้อ 3</t>
        </is>
      </c>
      <c r="O217" s="2" t="inlineStr">
        <is>
          <t>ข้อสอบจริง</t>
        </is>
      </c>
      <c r="P217" s="2" t="inlineStr">
        <is>
          <t>ปี 2566</t>
        </is>
      </c>
    </row>
    <row r="218" ht="13.2" customHeight="1" s="37">
      <c r="A218" s="8" t="inlineStr">
        <is>
          <t>240</t>
        </is>
      </c>
      <c r="B218" s="2" t="inlineStr">
        <is>
          <t>ให้โครงสร้างMefenamic acid มาถามว่าข้อใดถูก ตัวเลือก</t>
        </is>
      </c>
      <c r="C218" s="2" t="n"/>
      <c r="D218" s="2" t="inlineStr">
        <is>
          <t>Dimercaprol (BAL) 3 mg/kg IM</t>
        </is>
      </c>
      <c r="E218" s="2" t="inlineStr">
        <is>
          <t>Ethanol 10% IV infusion for Methanol poisoning</t>
        </is>
      </c>
      <c r="F218" s="2" t="inlineStr">
        <is>
          <t>Fomepizole 15 mg/kg IV loading</t>
        </is>
      </c>
      <c r="G218" s="2" t="inlineStr">
        <is>
          <t>N-acetylcysteine (NAC) IV infusion protocol</t>
        </is>
      </c>
      <c r="H218" s="2" t="inlineStr">
        <is>
          <t>Atropine sulfate 2 mg IV Q5-10 min</t>
        </is>
      </c>
      <c r="I218" s="8" t="inlineStr">
        <is>
          <t>1</t>
        </is>
      </c>
      <c r="J2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8" s="2" t="n"/>
      <c r="L218" s="2" t="inlineStr">
        <is>
          <t>General Therapeutics</t>
        </is>
      </c>
      <c r="M218" s="2" t="inlineStr">
        <is>
          <t>Clinic</t>
        </is>
      </c>
      <c r="N218" s="2" t="inlineStr">
        <is>
          <t>PLE-CC1 ปี 2566 Day 2 ข้อ 84</t>
        </is>
      </c>
      <c r="O218" s="2" t="inlineStr">
        <is>
          <t>ข้อสอบจริง</t>
        </is>
      </c>
      <c r="P218" s="2" t="inlineStr">
        <is>
          <t>ปี 2566</t>
        </is>
      </c>
    </row>
    <row r="219" ht="13.2" customHeight="1" s="37">
      <c r="A219" s="8" t="inlineStr">
        <is>
          <t>241</t>
        </is>
      </c>
      <c r="B219" s="2" t="inlineStr">
        <is>
          <t>เป็นยาNSAID ในกลุ่มanthranilic acid derivative</t>
        </is>
      </c>
      <c r="C219" s="2" t="n"/>
      <c r="D219" s="2" t="inlineStr">
        <is>
          <t>Colchicine 0.6 mg OD</t>
        </is>
      </c>
      <c r="E219" s="2" t="inlineStr">
        <is>
          <t>Naproxen 250 mg BID</t>
        </is>
      </c>
      <c r="F219" s="2" t="inlineStr">
        <is>
          <t>Allopurinol 100 mg OD</t>
        </is>
      </c>
      <c r="G219" s="2" t="inlineStr">
        <is>
          <t>Febuxostat 40 mg OD</t>
        </is>
      </c>
      <c r="H219" s="2" t="inlineStr">
        <is>
          <t>Celecoxib 200 mg OD</t>
        </is>
      </c>
      <c r="I219" s="8" t="inlineStr">
        <is>
          <t>1</t>
        </is>
      </c>
      <c r="J219" s="2" t="inlineStr">
        <is>
          <t>✅ คำตอบที่ถูกต้อง: ข้อ ก. Colchicine 0.6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Colchicine 0.6 mg OD การเลือก Colchicine 0.6 mg OD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250 mg BID): เป็น non-selective NSAID ที่มี cardiovascular safety profile ดีที่สุด และมี efficacy สูงในการระงับ acute inflammation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9" s="2" t="n"/>
      <c r="L219" s="2" t="inlineStr">
        <is>
          <t>Musculoskeletal &amp; Joint</t>
        </is>
      </c>
      <c r="M219" s="2" t="inlineStr">
        <is>
          <t>Clinic</t>
        </is>
      </c>
      <c r="N219" s="2" t="inlineStr">
        <is>
          <t>PLE-CC1 ปี 2566 Day 2 ข้อ 1</t>
        </is>
      </c>
      <c r="O219" s="2" t="inlineStr">
        <is>
          <t>ข้อสอบจริง</t>
        </is>
      </c>
      <c r="P219" s="2" t="inlineStr">
        <is>
          <t>ปี 2566</t>
        </is>
      </c>
    </row>
    <row r="220" ht="13.2" customHeight="1" s="37">
      <c r="A220" s="8" t="inlineStr">
        <is>
          <t>242</t>
        </is>
      </c>
      <c r="B220" s="2" t="inlineStr">
        <is>
          <t>จับแบบirreversible</t>
        </is>
      </c>
      <c r="C220" s="2" t="n"/>
      <c r="D220" s="2" t="inlineStr">
        <is>
          <t>Naloxone 0.4 mg IV stat</t>
        </is>
      </c>
      <c r="E220" s="2" t="inlineStr">
        <is>
          <t>Flumazenil 0.2 mg IV stat</t>
        </is>
      </c>
      <c r="F220" s="2" t="inlineStr">
        <is>
          <t>Vitamin K1 (Phytomenadione) 10 mg IV slow</t>
        </is>
      </c>
      <c r="G220" s="2" t="inlineStr">
        <is>
          <t>Sodium thiosulfate 25% 50 mL IV</t>
        </is>
      </c>
      <c r="H220" s="2" t="inlineStr">
        <is>
          <t>Calcium disodium EDTA 1 g IV</t>
        </is>
      </c>
      <c r="I220" s="8" t="inlineStr">
        <is>
          <t>1</t>
        </is>
      </c>
      <c r="J2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0" s="2" t="n"/>
      <c r="L220" s="2" t="inlineStr">
        <is>
          <t>General Therapeutics</t>
        </is>
      </c>
      <c r="M220" s="2" t="inlineStr">
        <is>
          <t>Clinic</t>
        </is>
      </c>
      <c r="N220" s="2" t="inlineStr">
        <is>
          <t>PLE-CC1 ปี 2566 Day 2 ข้อ 2</t>
        </is>
      </c>
      <c r="O220" s="2" t="inlineStr">
        <is>
          <t>ข้อสอบจริง</t>
        </is>
      </c>
      <c r="P220" s="2" t="inlineStr">
        <is>
          <t>ปี 2566</t>
        </is>
      </c>
    </row>
    <row r="221" ht="13.2" customHeight="1" s="37">
      <c r="A221" s="8" t="inlineStr">
        <is>
          <t>243</t>
        </is>
      </c>
      <c r="B221" s="2" t="inlineStr">
        <is>
          <t>หมู่COOHจับกับAmino group ที่enzyme พอดี</t>
        </is>
      </c>
      <c r="C221" s="2" t="n"/>
      <c r="D221" s="2" t="inlineStr">
        <is>
          <t>Sodium thiosulfate 25% 50 mL IV</t>
        </is>
      </c>
      <c r="E221" s="2" t="inlineStr">
        <is>
          <t>Calcium disodium EDTA 1 g IV</t>
        </is>
      </c>
      <c r="F221" s="2" t="inlineStr">
        <is>
          <t>Desferrioxamine 1 g IM/IV</t>
        </is>
      </c>
      <c r="G221" s="2" t="inlineStr">
        <is>
          <t>Dimercaprol (BAL) 3 mg/kg IM</t>
        </is>
      </c>
      <c r="H221" s="2" t="inlineStr">
        <is>
          <t>Ethanol 10% IV infusion for Methanol poisoning</t>
        </is>
      </c>
      <c r="I221" s="8" t="inlineStr">
        <is>
          <t>1</t>
        </is>
      </c>
      <c r="J2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 s="2" t="n"/>
      <c r="L221" s="2" t="inlineStr">
        <is>
          <t>General Therapeutics</t>
        </is>
      </c>
      <c r="M221" s="2" t="inlineStr">
        <is>
          <t>Clinic</t>
        </is>
      </c>
      <c r="N221" s="2" t="inlineStr">
        <is>
          <t>PLE-CC1 ปี 2566 Day 2 ข้อ 3</t>
        </is>
      </c>
      <c r="O221" s="2" t="inlineStr">
        <is>
          <t>ข้อสอบจริง</t>
        </is>
      </c>
      <c r="P221" s="2" t="inlineStr">
        <is>
          <t>ปี 2566</t>
        </is>
      </c>
    </row>
    <row r="222" ht="13.2" customHeight="1" s="37">
      <c r="A222" s="8" t="inlineStr">
        <is>
          <t>244</t>
        </is>
      </c>
      <c r="B222" s="2" t="inlineStr">
        <is>
          <t>ที่16สัปดาห์การศึกษามีheterogeneity ต่ำมาก</t>
        </is>
      </c>
      <c r="C222" s="2" t="n"/>
      <c r="D222" s="2" t="inlineStr">
        <is>
          <t>Dimercaprol (BAL) 3 mg/kg IM</t>
        </is>
      </c>
      <c r="E222" s="2" t="inlineStr">
        <is>
          <t>Ethanol 10% IV infusion for Methanol poisoning</t>
        </is>
      </c>
      <c r="F222" s="2" t="inlineStr">
        <is>
          <t>Fomepizole 15 mg/kg IV loading</t>
        </is>
      </c>
      <c r="G222" s="2" t="inlineStr">
        <is>
          <t>N-acetylcysteine (NAC) IV infusion protocol</t>
        </is>
      </c>
      <c r="H222" s="2" t="inlineStr">
        <is>
          <t>Atropine sulfate 2 mg IV Q5-10 min</t>
        </is>
      </c>
      <c r="I222" s="8" t="inlineStr">
        <is>
          <t>1</t>
        </is>
      </c>
      <c r="J2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 s="2" t="n"/>
      <c r="L222" s="2" t="inlineStr">
        <is>
          <t>General Therapeutics</t>
        </is>
      </c>
      <c r="M222" s="2" t="inlineStr">
        <is>
          <t>Clinic</t>
        </is>
      </c>
      <c r="N222" s="2" t="inlineStr">
        <is>
          <t>PLE-CC1 ปี 2566 Day 2 ข้อ 3</t>
        </is>
      </c>
      <c r="O222" s="2" t="inlineStr">
        <is>
          <t>ข้อสอบจริง</t>
        </is>
      </c>
      <c r="P222" s="2" t="inlineStr">
        <is>
          <t>ปี 2566</t>
        </is>
      </c>
    </row>
    <row r="223" ht="13.2" customHeight="1" s="37">
      <c r="A223" s="8" t="inlineStr">
        <is>
          <t>245</t>
        </is>
      </c>
      <c r="B223" s="2" t="inlineStr">
        <is>
          <t>Limit of detection</t>
        </is>
      </c>
      <c r="C223" s="2" t="n"/>
      <c r="D223" s="2" t="inlineStr">
        <is>
          <t>N-acetylcysteine (NAC) IV infusion protocol</t>
        </is>
      </c>
      <c r="E223" s="2" t="inlineStr">
        <is>
          <t>Atropine sulfate 2 mg IV Q5-10 min</t>
        </is>
      </c>
      <c r="F223" s="2" t="inlineStr">
        <is>
          <t>Pralidoxime (2-PAM) 1-2 g IV over 30 min</t>
        </is>
      </c>
      <c r="G223" s="2" t="inlineStr">
        <is>
          <t>Naloxone 0.4 mg IV stat</t>
        </is>
      </c>
      <c r="H223" s="2" t="inlineStr">
        <is>
          <t>Flumazenil 0.2 mg IV stat</t>
        </is>
      </c>
      <c r="I223" s="8" t="inlineStr">
        <is>
          <t>1</t>
        </is>
      </c>
      <c r="J2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3" s="2" t="n"/>
      <c r="L223" s="2" t="inlineStr">
        <is>
          <t>General Therapeutics</t>
        </is>
      </c>
      <c r="M223" s="2" t="inlineStr">
        <is>
          <t>Clinic</t>
        </is>
      </c>
      <c r="N223" s="2" t="inlineStr">
        <is>
          <t>PLE-CC1 ปี 2566 Day 2 ข้อ 5</t>
        </is>
      </c>
      <c r="O223" s="2" t="inlineStr">
        <is>
          <t>ข้อสอบจริง</t>
        </is>
      </c>
      <c r="P223" s="2" t="inlineStr">
        <is>
          <t>ปี 2566</t>
        </is>
      </c>
    </row>
    <row r="224" ht="13.2" customHeight="1" s="37">
      <c r="A224" s="8" t="inlineStr">
        <is>
          <t>246</t>
        </is>
      </c>
      <c r="B224" s="2" t="inlineStr">
        <is>
          <t>จะทดสอบElemental impurity ใช้เครื่องมือไหน ตัวเลือก</t>
        </is>
      </c>
      <c r="C224" s="2" t="n"/>
      <c r="D224" s="2" t="inlineStr">
        <is>
          <t>Naloxone 0.4 mg IV stat</t>
        </is>
      </c>
      <c r="E224" s="2" t="inlineStr">
        <is>
          <t>Flumazenil 0.2 mg IV stat</t>
        </is>
      </c>
      <c r="F224" s="2" t="inlineStr">
        <is>
          <t>Vitamin K1 (Phytomenadione) 10 mg IV slow</t>
        </is>
      </c>
      <c r="G224" s="2" t="inlineStr">
        <is>
          <t>Sodium thiosulfate 25% 50 mL IV</t>
        </is>
      </c>
      <c r="H224" s="2" t="inlineStr">
        <is>
          <t>Calcium disodium EDTA 1 g IV</t>
        </is>
      </c>
      <c r="I224" s="8" t="inlineStr">
        <is>
          <t>1</t>
        </is>
      </c>
      <c r="J2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4" s="2" t="n"/>
      <c r="L224" s="2" t="inlineStr">
        <is>
          <t>General Therapeutics</t>
        </is>
      </c>
      <c r="M224" s="2" t="inlineStr">
        <is>
          <t>Clinic</t>
        </is>
      </c>
      <c r="N224" s="2" t="inlineStr">
        <is>
          <t>PLE-CC1 ปี 2566 Day 2 ข้อ 90</t>
        </is>
      </c>
      <c r="O224" s="2" t="inlineStr">
        <is>
          <t>ข้อสอบจริง</t>
        </is>
      </c>
      <c r="P224" s="2" t="inlineStr">
        <is>
          <t>ปี 2566</t>
        </is>
      </c>
    </row>
    <row r="225" ht="13.2" customHeight="1" s="37">
      <c r="A225" s="8" t="inlineStr">
        <is>
          <t>247</t>
        </is>
      </c>
      <c r="B225" s="2" t="inlineStr">
        <is>
          <t>แพทย์สั่งKCl IV rate 40 mEq/hr โดยการผสมKCl 40 mL ลงในNSS ปริมาตร960 mL จากนั้นหมอสั่งให้บริหารอัตรา 80 mL/hr ถามว่าคนไข้รายนี้จะได้รับปริมาณKCl ต่อชั่วโมงเป็นเท่าไหร่ ตัวเลือก</t>
        </is>
      </c>
      <c r="C225" s="2" t="n"/>
      <c r="D225" s="2" t="inlineStr">
        <is>
          <t>Osmolarity (mOsmol/L) calculation</t>
        </is>
      </c>
      <c r="E225" s="2" t="inlineStr">
        <is>
          <t>Sodium Chloride Equivalent (E-value) Isotonic adjustment</t>
        </is>
      </c>
      <c r="F225" s="2" t="inlineStr">
        <is>
          <t>Creatinine Clearance via Cockcroft-Gault Equation</t>
        </is>
      </c>
      <c r="G225" s="2" t="inlineStr">
        <is>
          <t>Body Surface Area (BSA) via Mosteller formula</t>
        </is>
      </c>
      <c r="H225" s="2" t="inlineStr">
        <is>
          <t>Pediatric dose calculation via Clark / Young rule</t>
        </is>
      </c>
      <c r="I225" s="8" t="inlineStr">
        <is>
          <t>1</t>
        </is>
      </c>
      <c r="J225" s="2" t="inlineStr">
        <is>
          <t>✅ คำตอบที่ถูกต้อง: ข้อ ก. Osmolarity (mOsmol/L) calculation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Osmolarity (mOsmol/L) calculation 💡 คำอธิบายและเหตุผลทางเภสัชกรรม:
💡 คำอธิบายและเหตุผลทางเภสัชกรรม:
USP/NF, British Pharmacopoeia (BP) &amp; Remington: The Science and Practice of Pharmacy (หัวข้อ Pharmaceutical Calculations)
Pharmaceutical Calculations: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Pharmaceutical Calculations)
🔍 ข้ออื่นผิดเพราะอะไร:
• ข้อ ข.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ค. (Creatinine Clearance via Cockcroft-Gault Equation): ข้อนี้ไม่ใช่คำตอบที่ถูกต้องสำหรับภาวะ Pharmaceutical Calculations เนื่องจากกลไกการออกฤทธิ์, efficacy หรือข้อบ่งใช้ไม่ตรงกับโจทย์ที่กำหนด
• ข้อ ง. (Body Surface Area (BSA) via Mosteller formula): ข้อนี้ไม่ใช่คำตอบที่ถูกต้องสำหรับภาวะ Pharmaceutical Calculations เนื่องจากกลไกการออกฤทธิ์, efficacy หรือข้อบ่งใช้ไม่ตรงกับโจทย์ที่กำหนด
• ข้อ จ. (Pediatric dose calculation via Clark / Young rule):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5" s="2" t="n"/>
      <c r="L225" s="2" t="inlineStr">
        <is>
          <t>Pharmaceutical Calculations</t>
        </is>
      </c>
      <c r="M225" s="2" t="inlineStr">
        <is>
          <t>Product</t>
        </is>
      </c>
      <c r="N225" s="2" t="inlineStr">
        <is>
          <t>PLE-CC1 ปี 2566 Day 2 ข้อ 92</t>
        </is>
      </c>
      <c r="O225" s="2" t="inlineStr">
        <is>
          <t>ข้อสอบจริง</t>
        </is>
      </c>
      <c r="P225" s="2" t="inlineStr">
        <is>
          <t>ปี 2566</t>
        </is>
      </c>
    </row>
    <row r="226" ht="13.2" customHeight="1" s="37">
      <c r="A226" s="8" t="inlineStr">
        <is>
          <t>248</t>
        </is>
      </c>
      <c r="B226" s="2" t="inlineStr">
        <is>
          <t>ถามActive form ของCyclophosphamide ตัวเลือก</t>
        </is>
      </c>
      <c r="C226" s="2" t="n"/>
      <c r="D226" s="2" t="inlineStr">
        <is>
          <t>Metoclopramide 10 mg TID</t>
        </is>
      </c>
      <c r="E226" s="2" t="inlineStr">
        <is>
          <t>Lorazepam 1 mg PO PRN</t>
        </is>
      </c>
      <c r="F226" s="2" t="inlineStr">
        <is>
          <t>Morphine 10 mg PO Q4H PRN</t>
        </is>
      </c>
      <c r="G226" s="2" t="inlineStr">
        <is>
          <t>Calcium folinate (Leucovorin) 50 mg IV</t>
        </is>
      </c>
      <c r="H226" s="2" t="inlineStr">
        <is>
          <t>Mesna 400 mg IV stat</t>
        </is>
      </c>
      <c r="I226" s="8" t="inlineStr">
        <is>
          <t>1</t>
        </is>
      </c>
      <c r="J226" s="2" t="inlineStr">
        <is>
          <t>✅ คำตอบที่ถูกต้อง: ข้อ ก. Metoclopramide 10 mg TID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Metoclopramide 10 mg TID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ข้อนี้ไม่ใช่คำตอบที่ถูกต้องสำหรับภาวะ Oncology &amp; Chemotherapy เนื่องจากกลไกการออกฤทธิ์, efficacy หรือข้อบ่งใช้ไม่ตรงกับโจทย์ที่กำหนด
• ข้อ จ. (Mesna 400 mg IV stat): ข้อนี้ไม่ใช่คำตอบที่ถูกต้องสำหรับภาวะ Oncology &amp; Chemotherapy เนื่องจากกลไกการออกฤทธิ์, efficacy หรือข้อบ่งใช้ไม่ตรงกับโจทย์ที่กำหนด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6" s="2" t="n"/>
      <c r="L226" s="2" t="inlineStr">
        <is>
          <t>Oncology &amp; Chemotherapy</t>
        </is>
      </c>
      <c r="M226" s="2" t="inlineStr">
        <is>
          <t>Clinic</t>
        </is>
      </c>
      <c r="N226" s="2" t="inlineStr">
        <is>
          <t>PLE-CC1 ปี 2566 Day 2 ข้อ 94</t>
        </is>
      </c>
      <c r="O226" s="2" t="inlineStr">
        <is>
          <t>ข้อสอบจริง</t>
        </is>
      </c>
      <c r="P226" s="2" t="inlineStr">
        <is>
          <t>ปี 2566</t>
        </is>
      </c>
    </row>
    <row r="227" ht="13.2" customHeight="1" s="37">
      <c r="A227" s="8" t="inlineStr">
        <is>
          <t>249</t>
        </is>
      </c>
      <c r="B227" s="2" t="inlineStr">
        <is>
          <t>น้ำหนักผงยา/100</t>
        </is>
      </c>
      <c r="C227" s="2" t="n"/>
      <c r="D227" s="2" t="inlineStr">
        <is>
          <t>N-acetylcysteine (NAC) IV infusion protocol</t>
        </is>
      </c>
      <c r="E227" s="2" t="inlineStr">
        <is>
          <t>Atropine sulfate 2 mg IV Q5-10 min</t>
        </is>
      </c>
      <c r="F227" s="2" t="inlineStr">
        <is>
          <t>Pralidoxime (2-PAM) 1-2 g IV over 30 min</t>
        </is>
      </c>
      <c r="G227" s="2" t="inlineStr">
        <is>
          <t>Naloxone 0.4 mg IV stat</t>
        </is>
      </c>
      <c r="H227" s="2" t="inlineStr">
        <is>
          <t>Flumazenil 0.2 mg IV stat</t>
        </is>
      </c>
      <c r="I227" s="8" t="inlineStr">
        <is>
          <t>1</t>
        </is>
      </c>
      <c r="J2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7" s="2" t="n"/>
      <c r="L227" s="2" t="inlineStr">
        <is>
          <t>General Therapeutics</t>
        </is>
      </c>
      <c r="M227" s="2" t="inlineStr">
        <is>
          <t>Clinic</t>
        </is>
      </c>
      <c r="N227" s="2" t="inlineStr">
        <is>
          <t>PLE-CC1 ปี 2566 Day 2 ข้อ 1</t>
        </is>
      </c>
      <c r="O227" s="2" t="inlineStr">
        <is>
          <t>ข้อสอบจริง</t>
        </is>
      </c>
      <c r="P227" s="2" t="inlineStr">
        <is>
          <t>ปี 2566</t>
        </is>
      </c>
    </row>
    <row r="228" ht="13.2" customHeight="1" s="37">
      <c r="A228" s="8" t="inlineStr">
        <is>
          <t>250</t>
        </is>
      </c>
      <c r="B228" s="2" t="inlineStr">
        <is>
          <t>น้ำผนักผงยา/5 ให้เคสคนไข้RA รายละเอียดยาวเหยียดจากนั้นบอกว่า3 เดือนที่แล้วให้การรักษาCortecosteriods เพิ่มมานัดหมายรอบนี้สั่งเพิ่มขนาด Methotrexate เพราะเหมือนคุมอาการไม่อยู่สักอย่างมีการประเมินActivity ของโรคอยู่ในระดับปานกลาง(Moderate) ALL: Co-trimoxazole</t>
        </is>
      </c>
      <c r="C228" s="2" t="n"/>
      <c r="D228" s="2" t="inlineStr">
        <is>
          <t>Paracetamol 500 mg Q6H PRN</t>
        </is>
      </c>
      <c r="E228" s="2" t="inlineStr">
        <is>
          <t>Denosumab 60 mg SC every 6 months</t>
        </is>
      </c>
      <c r="F228" s="2" t="inlineStr">
        <is>
          <t>Sulfasalazine 500 mg BID</t>
        </is>
      </c>
      <c r="G228" s="2" t="inlineStr">
        <is>
          <t>Colchicine 0.6 mg OD</t>
        </is>
      </c>
      <c r="H228" s="2" t="inlineStr">
        <is>
          <t>Naproxen 250 mg BID</t>
        </is>
      </c>
      <c r="I228" s="8" t="inlineStr">
        <is>
          <t>1</t>
        </is>
      </c>
      <c r="J228" s="2" t="inlineStr">
        <is>
          <t>✅ คำตอบที่ถูกต้อง: ข้อ ก. Paracetamol 500 mg Q6H PRN
💡 Background:
โรคข้ออักเสบรูมาตอยด์ (RA) เป็น systemic autoimmune disease ต้องรีบเริ่ม DMARDs ทันทีเพื่อป้องกัน joint destruction
🎯 ทำไมข้อนี้ถึงถูก:
Paracetamol 500 mg Q6H PRN การเลือก Paracetamol 500 mg Q6H PRN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ข้อ ค. (Sulfasalazine 500 mg BID): เป็น csDMARD สำหรับ RA และ peripheral spondyloarthritis ปลอดภัยในหญิงตั้งครรภ์ แต่ contraindication ในผู้ที่แพ้ sulfa หรือ G6PD deficiency
• ข้อ ง. (Colchicine 0.6 mg OD): ยับยั้ง microtubule polymerization และ neutrophil chemotaxis เป็น first-line ใน acute gout flare และ flare prophylaxis แต่มี ADR เด่นทาง GI (ท้องเสีย คลื่นไส้)
• ข้อ จ. (Naproxen 250 mg BID): เป็น non-selective NSAID ที่มี cardiovascular safety profile ดีที่สุด และมี efficacy สูงในการระงับ acute inflammation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28" s="2" t="n"/>
      <c r="L228" s="2" t="inlineStr">
        <is>
          <t>Musculoskeletal &amp; Joint</t>
        </is>
      </c>
      <c r="M228" s="2" t="inlineStr">
        <is>
          <t>Clinic</t>
        </is>
      </c>
      <c r="N228" s="2" t="inlineStr">
        <is>
          <t>PLE-CC1 ปี 2566 Day 2 ข้อ 4</t>
        </is>
      </c>
      <c r="O228" s="2" t="inlineStr">
        <is>
          <t>ข้อสอบจริง</t>
        </is>
      </c>
      <c r="P228" s="2" t="inlineStr">
        <is>
          <t>ปี 2566</t>
        </is>
      </c>
    </row>
    <row r="229" ht="13.2" customHeight="1" s="37">
      <c r="A229" s="8" t="inlineStr">
        <is>
          <t>251</t>
        </is>
      </c>
      <c r="B229" s="2" t="inlineStr">
        <is>
          <t>ถามว่าไม่ต้องติดตามอะไรระหว่างการใช้ยาMTX (ตอบEye examination)</t>
        </is>
      </c>
      <c r="C229" s="2" t="n"/>
      <c r="D229" s="2" t="inlineStr">
        <is>
          <t>Sodium thiosulfate 25% 50 mL IV</t>
        </is>
      </c>
      <c r="E229" s="2" t="inlineStr">
        <is>
          <t>Calcium disodium EDTA 1 g IV</t>
        </is>
      </c>
      <c r="F229" s="2" t="inlineStr">
        <is>
          <t>Desferrioxamine 1 g IM/IV</t>
        </is>
      </c>
      <c r="G229" s="2" t="inlineStr">
        <is>
          <t>Dimercaprol (BAL) 3 mg/kg IM</t>
        </is>
      </c>
      <c r="H229" s="2" t="inlineStr">
        <is>
          <t>Ethanol 10% IV infusion for Methanol poisoning</t>
        </is>
      </c>
      <c r="I229" s="8" t="inlineStr">
        <is>
          <t>1</t>
        </is>
      </c>
      <c r="J2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9" s="2" t="n"/>
      <c r="L229" s="2" t="inlineStr">
        <is>
          <t>General Therapeutics</t>
        </is>
      </c>
      <c r="M229" s="2" t="inlineStr">
        <is>
          <t>Clinic</t>
        </is>
      </c>
      <c r="N229" s="2" t="inlineStr">
        <is>
          <t>PLE-CC1 ปี 2566 Day 2 ข้อ 1</t>
        </is>
      </c>
      <c r="O229" s="2" t="inlineStr">
        <is>
          <t>ข้อสอบจริง</t>
        </is>
      </c>
      <c r="P229" s="2" t="inlineStr">
        <is>
          <t>ปี 2566</t>
        </is>
      </c>
    </row>
    <row r="230" ht="13.2" customHeight="1" s="37">
      <c r="A230" s="8" t="inlineStr">
        <is>
          <t>252</t>
        </is>
      </c>
      <c r="B230" s="2" t="inlineStr">
        <is>
          <t>คำแนะนำในการใช้ยาMTX ข้อใดไม่เหมาะสม(ตอบที่บอกให้ปรับลดขนาดยาเองกรณีโรคไม่Active)</t>
        </is>
      </c>
      <c r="C230" s="2" t="n"/>
      <c r="D230" s="2" t="inlineStr">
        <is>
          <t>พ.ร.บ. วิชาชีพเภสัชกรรม พ.ศ. 2537 และข้อบังคับจรรยาบรรณวิชาชีพ</t>
        </is>
      </c>
      <c r="E230" s="2" t="inlineStr">
        <is>
          <t>พ.ร.บ. ผลิตภัณฑ์สมุนไพร พ.ศ. 2562</t>
        </is>
      </c>
      <c r="F230" s="2" t="inlineStr">
        <is>
          <t>พ.ร.บ. เครื่องสำอาง พ.ศ. 2558</t>
        </is>
      </c>
      <c r="G230" s="2" t="inlineStr">
        <is>
          <t>พ.ร.บ. หลักประกันสุขภาพแห่งชาติ พ.ศ. 2545</t>
        </is>
      </c>
      <c r="H230" s="2" t="inlineStr">
        <is>
          <t>การปฏิบัติทางเภสัชกรรมชุมชน (Good Pharmacy Practice: GPP)</t>
        </is>
      </c>
      <c r="I230" s="8" t="inlineStr">
        <is>
          <t>1</t>
        </is>
      </c>
      <c r="J23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2" t="n"/>
      <c r="L230" s="2" t="inlineStr">
        <is>
          <t>Pharmacy Laws &amp; Ethics</t>
        </is>
      </c>
      <c r="M230" s="2" t="inlineStr">
        <is>
          <t>SAP</t>
        </is>
      </c>
      <c r="N230" s="2" t="inlineStr">
        <is>
          <t>PLE-CC1 ปี 2566 Day 2 ข้อ 2</t>
        </is>
      </c>
      <c r="O230" s="2" t="inlineStr">
        <is>
          <t>ข้อสอบจริง</t>
        </is>
      </c>
      <c r="P230" s="2" t="inlineStr">
        <is>
          <t>ปี 2566</t>
        </is>
      </c>
    </row>
    <row r="231" ht="13.2" customHeight="1" s="37">
      <c r="A231" s="8" t="inlineStr">
        <is>
          <t>253</t>
        </is>
      </c>
      <c r="B231" s="2" t="inlineStr">
        <is>
          <t>ข้อใดเป็นวิธีการจัดการที่เหมาะสมสำหรับคนไข้รายนี้</t>
        </is>
      </c>
      <c r="C231" s="2" t="n"/>
      <c r="D231" s="2" t="inlineStr">
        <is>
          <t>N-acetylcysteine (NAC) IV infusion protocol</t>
        </is>
      </c>
      <c r="E231" s="2" t="inlineStr">
        <is>
          <t>เพิ่มขนาดยาMTX</t>
        </is>
      </c>
      <c r="F231" s="2" t="inlineStr">
        <is>
          <t>เพิ่มขนาดยาCorticosteroids (คนไข้ใช้มาเกิน3 เดือนแล้ว)</t>
        </is>
      </c>
      <c r="G231" s="2" t="inlineStr">
        <is>
          <t>เพิ่มยาSulfasalazine</t>
        </is>
      </c>
      <c r="H231" s="2" t="inlineStr">
        <is>
          <t>Flumazenil 0.2 mg IV stat</t>
        </is>
      </c>
      <c r="I231" s="8" t="inlineStr">
        <is>
          <t>1</t>
        </is>
      </c>
      <c r="J2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(เพิ่มขนาดยาMTX): ข้อนี้ไม่ใช่คำตอบที่ถูกต้องสำหรับภาวะ General Therapeutics เนื่องจากกลไกการออกฤทธิ์, efficacy หรือข้อบ่งใช้ไม่ตรงกับโจทย์ที่กำหนด
• ข้อ ค. (เพิ่มขนาดยาCorticosteroids (คนไข้ใช้มาเกิน3 เดือนแล้ว)): ข้อนี้ไม่ใช่คำตอบที่ถูกต้องสำหรับภาวะ General Therapeutics เนื่องจากกลไกการออกฤทธิ์, efficacy หรือข้อบ่งใช้ไม่ตรงกับโจทย์ที่กำหนด
• ข้อ ง. (เพิ่มยาSulfasalazine): เป็น csDMARD สำหรับ RA และ peripheral spondyloarthritis ปลอดภัยในหญิงตั้งครรภ์ แต่ contraindication ในผู้ที่แพ้ sulfa หรือ G6PD deficiency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1" s="2" t="n"/>
      <c r="L231" s="2" t="inlineStr">
        <is>
          <t>General Therapeutics</t>
        </is>
      </c>
      <c r="M231" s="2" t="inlineStr">
        <is>
          <t>Clinic</t>
        </is>
      </c>
      <c r="N231" s="2" t="inlineStr">
        <is>
          <t>PLE-CC1 ปี 2566 Day 2 ข้อ 3</t>
        </is>
      </c>
      <c r="O231" s="2" t="inlineStr">
        <is>
          <t>ข้อสอบจริง</t>
        </is>
      </c>
      <c r="P231" s="2" t="inlineStr">
        <is>
          <t>ปี 2566</t>
        </is>
      </c>
      <c r="Q231" s="2" t="inlineStr">
        <is>
          <t xml:space="preserve"> เพิ่มยาHydroxyhloroquine 96)ในประเทศไทยถ้าจะทดสอบstability ของยาในสภาวะเร่งต้องทำที่condition ใด ตัวเลือก</t>
        </is>
      </c>
    </row>
    <row r="232" ht="13.2" customHeight="1" s="37">
      <c r="A232" s="8" t="inlineStr">
        <is>
          <t>254</t>
        </is>
      </c>
      <c r="B232" s="2" t="inlineStr">
        <is>
          <t>25อC +-2 , 65 %RH +- 5</t>
        </is>
      </c>
      <c r="C232" s="2" t="n"/>
      <c r="D232" s="2" t="inlineStr">
        <is>
          <t>Naloxone 0.4 mg IV stat</t>
        </is>
      </c>
      <c r="E232" s="2" t="inlineStr">
        <is>
          <t>Flumazenil 0.2 mg IV stat</t>
        </is>
      </c>
      <c r="F232" s="2" t="inlineStr">
        <is>
          <t>Vitamin K1 (Phytomenadione) 10 mg IV slow</t>
        </is>
      </c>
      <c r="G232" s="2" t="inlineStr">
        <is>
          <t>Sodium thiosulfate 25% 50 mL IV</t>
        </is>
      </c>
      <c r="H232" s="2" t="inlineStr">
        <is>
          <t>Calcium disodium EDTA 1 g IV</t>
        </is>
      </c>
      <c r="I232" s="8" t="inlineStr">
        <is>
          <t>1</t>
        </is>
      </c>
      <c r="J2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2" s="2" t="n"/>
      <c r="L232" s="2" t="inlineStr">
        <is>
          <t>General Therapeutics</t>
        </is>
      </c>
      <c r="M232" s="2" t="inlineStr">
        <is>
          <t>Clinic</t>
        </is>
      </c>
      <c r="N232" s="2" t="inlineStr">
        <is>
          <t>PLE-CC1 ปี 2566 Day 2 ข้อ 1</t>
        </is>
      </c>
      <c r="O232" s="2" t="inlineStr">
        <is>
          <t>ข้อสอบจริง</t>
        </is>
      </c>
      <c r="P232" s="2" t="inlineStr">
        <is>
          <t>ปี 2566</t>
        </is>
      </c>
    </row>
    <row r="233" ht="13.2" customHeight="1" s="37">
      <c r="A233" s="8" t="inlineStr">
        <is>
          <t>255</t>
        </is>
      </c>
      <c r="B233" s="2" t="inlineStr">
        <is>
          <t>30อC +-2, 75%RH +- 5</t>
        </is>
      </c>
      <c r="C233" s="2" t="n"/>
      <c r="D233" s="2" t="inlineStr">
        <is>
          <t>Sodium thiosulfate 25% 50 mL IV</t>
        </is>
      </c>
      <c r="E233" s="2" t="inlineStr">
        <is>
          <t>Calcium disodium EDTA 1 g IV</t>
        </is>
      </c>
      <c r="F233" s="2" t="inlineStr">
        <is>
          <t>Desferrioxamine 1 g IM/IV</t>
        </is>
      </c>
      <c r="G233" s="2" t="inlineStr">
        <is>
          <t>Dimercaprol (BAL) 3 mg/kg IM</t>
        </is>
      </c>
      <c r="H233" s="2" t="inlineStr">
        <is>
          <t>Ethanol 10% IV infusion for Methanol poisoning</t>
        </is>
      </c>
      <c r="I233" s="8" t="inlineStr">
        <is>
          <t>1</t>
        </is>
      </c>
      <c r="J2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 s="2" t="n"/>
      <c r="L233" s="2" t="inlineStr">
        <is>
          <t>General Therapeutics</t>
        </is>
      </c>
      <c r="M233" s="2" t="inlineStr">
        <is>
          <t>Clinic</t>
        </is>
      </c>
      <c r="N233" s="2" t="inlineStr">
        <is>
          <t>PLE-CC1 ปี 2566 Day 2 ข้อ 3</t>
        </is>
      </c>
      <c r="O233" s="2" t="inlineStr">
        <is>
          <t>ข้อสอบจริง</t>
        </is>
      </c>
      <c r="P233" s="2" t="inlineStr">
        <is>
          <t>ปี 2566</t>
        </is>
      </c>
    </row>
    <row r="234" ht="13.2" customHeight="1" s="37">
      <c r="A234" s="8" t="inlineStr">
        <is>
          <t>256</t>
        </is>
      </c>
      <c r="B234" s="2" t="inlineStr">
        <is>
          <t>Assemble Grade A , background Grade A</t>
        </is>
      </c>
      <c r="C234" s="2" t="n"/>
      <c r="D234" s="2" t="inlineStr">
        <is>
          <t>Rabbit Pyrogen Test in vivo</t>
        </is>
      </c>
      <c r="E234" s="2" t="inlineStr">
        <is>
          <t>ISO Class 5 (Grade A) Laminar Airflow Workstation</t>
        </is>
      </c>
      <c r="F234" s="2" t="inlineStr">
        <is>
          <t>Metered Dose Inhaler (MDI) with HFA propellant</t>
        </is>
      </c>
      <c r="G234" s="2" t="inlineStr">
        <is>
          <t>Dry Powder Inhaler (DPI) with Carrier Lactose</t>
        </is>
      </c>
      <c r="H234" s="2" t="inlineStr">
        <is>
          <t>Isotonic Sodium Chloride 0.9% Osmotic Adjustment</t>
        </is>
      </c>
      <c r="I234" s="8" t="inlineStr">
        <is>
          <t>1</t>
        </is>
      </c>
      <c r="J234"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USP/NF, British Pharmacopoeia (BP) &amp; Remington: The Science and Practice of Pharmacy (หัวข้อ Sterile Products)
Sterile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Sterile Products)
🔍 ข้ออื่นผิดเพราะอะไร:
• ข้อ ข. (ISO Class 5 (Grade A) Laminar Airflow Workstation): ข้อนี้ไม่ใช่คำตอบที่ถูกต้องสำหรับภาวะ Sterile Products เนื่องจากกลไกการออกฤทธิ์, efficacy หรือข้อบ่งใช้ไม่ตรงกับโจทย์ที่กำหนด
• ข้อ ค. (Metered Dose Inhaler (MDI) with HFA propellant): ข้อนี้ไม่ใช่คำตอบที่ถูกต้องสำหรับภาวะ Sterile Products เนื่องจากกลไกการออกฤทธิ์, efficacy หรือข้อบ่งใช้ไม่ตรงกับโจทย์ที่กำหนด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ข้อนี้ไม่ใช่คำตอบที่ถูกต้องสำหรับภาวะ Sterile Products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4" s="2" t="n"/>
      <c r="L234" s="2" t="inlineStr">
        <is>
          <t>Sterile Products</t>
        </is>
      </c>
      <c r="M234" s="2" t="inlineStr">
        <is>
          <t>Product</t>
        </is>
      </c>
      <c r="N234" s="2" t="inlineStr">
        <is>
          <t>PLE-CC1 ปี 2566 Day 2 ข้อ 1</t>
        </is>
      </c>
      <c r="O234" s="2" t="inlineStr">
        <is>
          <t>ข้อสอบจริง</t>
        </is>
      </c>
      <c r="P234" s="2" t="inlineStr">
        <is>
          <t>ปี 2566</t>
        </is>
      </c>
    </row>
    <row r="235" ht="13.2" customHeight="1" s="37">
      <c r="A235" s="8" t="inlineStr">
        <is>
          <t>257</t>
        </is>
      </c>
      <c r="B235" s="2" t="inlineStr">
        <is>
          <t>Air sampling test</t>
        </is>
      </c>
      <c r="C235" s="2" t="n"/>
      <c r="D235" s="2" t="inlineStr">
        <is>
          <t>N-acetylcysteine (NAC) IV infusion protocol</t>
        </is>
      </c>
      <c r="E235" s="2" t="inlineStr">
        <is>
          <t>Atropine sulfate 2 mg IV Q5-10 min</t>
        </is>
      </c>
      <c r="F235" s="2" t="inlineStr">
        <is>
          <t>Pralidoxime (2-PAM) 1-2 g IV over 30 min</t>
        </is>
      </c>
      <c r="G235" s="2" t="inlineStr">
        <is>
          <t>Naloxone 0.4 mg IV stat</t>
        </is>
      </c>
      <c r="H235" s="2" t="inlineStr">
        <is>
          <t>Flumazenil 0.2 mg IV stat</t>
        </is>
      </c>
      <c r="I235" s="8" t="inlineStr">
        <is>
          <t>1</t>
        </is>
      </c>
      <c r="J2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5" s="2" t="n"/>
      <c r="L235" s="2" t="inlineStr">
        <is>
          <t>General Therapeutics</t>
        </is>
      </c>
      <c r="M235" s="2" t="inlineStr">
        <is>
          <t>Clinic</t>
        </is>
      </c>
      <c r="N235" s="2" t="inlineStr">
        <is>
          <t>PLE-CC1 ปี 2566 Day 2 ข้อ 1</t>
        </is>
      </c>
      <c r="O235" s="2" t="inlineStr">
        <is>
          <t>ข้อสอบจริง</t>
        </is>
      </c>
      <c r="P235" s="2" t="inlineStr">
        <is>
          <t>ปี 2566</t>
        </is>
      </c>
    </row>
    <row r="236" ht="13.2" customHeight="1" s="37">
      <c r="A236" s="8" t="inlineStr">
        <is>
          <t>258</t>
        </is>
      </c>
      <c r="B236" s="2" t="inlineStr">
        <is>
          <t>Glove print test</t>
        </is>
      </c>
      <c r="C236" s="2" t="n"/>
      <c r="D236" s="2" t="inlineStr">
        <is>
          <t>Naloxone 0.4 mg IV stat</t>
        </is>
      </c>
      <c r="E236" s="2" t="inlineStr">
        <is>
          <t>Flumazenil 0.2 mg IV stat</t>
        </is>
      </c>
      <c r="F236" s="2" t="inlineStr">
        <is>
          <t>Vitamin K1 (Phytomenadione) 10 mg IV slow</t>
        </is>
      </c>
      <c r="G236" s="2" t="inlineStr">
        <is>
          <t>Sodium thiosulfate 25% 50 mL IV</t>
        </is>
      </c>
      <c r="H236" s="2" t="inlineStr">
        <is>
          <t>Calcium disodium EDTA 1 g IV</t>
        </is>
      </c>
      <c r="I236" s="8" t="inlineStr">
        <is>
          <t>1</t>
        </is>
      </c>
      <c r="J2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6" s="2" t="n"/>
      <c r="L236" s="2" t="inlineStr">
        <is>
          <t>General Therapeutics</t>
        </is>
      </c>
      <c r="M236" s="2" t="inlineStr">
        <is>
          <t>Clinic</t>
        </is>
      </c>
      <c r="N236" s="2" t="inlineStr">
        <is>
          <t>PLE-CC1 ปี 2566 Day 2 ข้อ 2</t>
        </is>
      </c>
      <c r="O236" s="2" t="inlineStr">
        <is>
          <t>ข้อสอบจริง</t>
        </is>
      </c>
      <c r="P236" s="2" t="inlineStr">
        <is>
          <t>ปี 2566</t>
        </is>
      </c>
    </row>
    <row r="237" ht="13.2" customHeight="1" s="37">
      <c r="A237" s="8" t="inlineStr">
        <is>
          <t>259</t>
        </is>
      </c>
      <c r="B237" s="2" t="inlineStr">
        <is>
          <t>Cleaning validation</t>
        </is>
      </c>
      <c r="C237" s="2" t="n"/>
      <c r="D237" s="2" t="inlineStr">
        <is>
          <t>Sodium thiosulfate 25% 50 mL IV</t>
        </is>
      </c>
      <c r="E237" s="2" t="inlineStr">
        <is>
          <t>Calcium disodium EDTA 1 g IV</t>
        </is>
      </c>
      <c r="F237" s="2" t="inlineStr">
        <is>
          <t>Desferrioxamine 1 g IM/IV</t>
        </is>
      </c>
      <c r="G237" s="2" t="inlineStr">
        <is>
          <t>Dimercaprol (BAL) 3 mg/kg IM</t>
        </is>
      </c>
      <c r="H237" s="2" t="inlineStr">
        <is>
          <t>Ethanol 10% IV infusion for Methanol poisoning</t>
        </is>
      </c>
      <c r="I237" s="8" t="inlineStr">
        <is>
          <t>3</t>
        </is>
      </c>
      <c r="J237" s="2"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 s="2" t="n"/>
      <c r="L237" s="2" t="inlineStr">
        <is>
          <t>General Therapeutics</t>
        </is>
      </c>
      <c r="M237" s="2" t="inlineStr">
        <is>
          <t>Clinic</t>
        </is>
      </c>
      <c r="N237" s="2" t="inlineStr">
        <is>
          <t>PLE-CC1 ปี 2566 Day 2 ข้อ 5</t>
        </is>
      </c>
      <c r="O237" s="2" t="inlineStr">
        <is>
          <t>ข้อสอบจริง</t>
        </is>
      </c>
      <c r="P237" s="2" t="inlineStr">
        <is>
          <t>ปี 2566</t>
        </is>
      </c>
    </row>
    <row r="238" ht="13.2" customHeight="1" s="37">
      <c r="A238" s="8" t="inlineStr">
        <is>
          <t>260</t>
        </is>
      </c>
      <c r="B238" s="2" t="inlineStr">
        <is>
          <t>High-shear mixer</t>
        </is>
      </c>
      <c r="C238" s="2" t="n"/>
      <c r="D238" s="2" t="inlineStr">
        <is>
          <t>Dimercaprol (BAL) 3 mg/kg IM</t>
        </is>
      </c>
      <c r="E238" s="2" t="inlineStr">
        <is>
          <t>Ethanol 10% IV infusion for Methanol poisoning</t>
        </is>
      </c>
      <c r="F238" s="2" t="inlineStr">
        <is>
          <t>Fomepizole 15 mg/kg IV loading</t>
        </is>
      </c>
      <c r="G238" s="2" t="inlineStr">
        <is>
          <t>N-acetylcysteine (NAC) IV infusion protocol</t>
        </is>
      </c>
      <c r="H238" s="2" t="inlineStr">
        <is>
          <t>Atropine sulfate 2 mg IV Q5-10 min</t>
        </is>
      </c>
      <c r="I238" s="8" t="inlineStr">
        <is>
          <t>1</t>
        </is>
      </c>
      <c r="J2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 s="2" t="n"/>
      <c r="L238" s="2" t="inlineStr">
        <is>
          <t>General Therapeutics</t>
        </is>
      </c>
      <c r="M238" s="2" t="inlineStr">
        <is>
          <t>Clinic</t>
        </is>
      </c>
      <c r="N238" s="2" t="inlineStr">
        <is>
          <t>PLE-CC1 ปี 2566 Day 2 ข้อ 1</t>
        </is>
      </c>
      <c r="O238" s="2" t="inlineStr">
        <is>
          <t>ข้อสอบจริง</t>
        </is>
      </c>
      <c r="P238" s="2" t="inlineStr">
        <is>
          <t>ปี 2566</t>
        </is>
      </c>
    </row>
    <row r="239" ht="13.2" customHeight="1" s="37">
      <c r="A239" s="8" t="inlineStr">
        <is>
          <t>261</t>
        </is>
      </c>
      <c r="B239" s="2" t="inlineStr">
        <is>
          <t>Planetary mixer</t>
        </is>
      </c>
      <c r="C239" s="2" t="n"/>
      <c r="D239" s="2" t="inlineStr">
        <is>
          <t>N-acetylcysteine (NAC) IV infusion protocol</t>
        </is>
      </c>
      <c r="E239" s="2" t="inlineStr">
        <is>
          <t>Atropine sulfate 2 mg IV Q5-10 min</t>
        </is>
      </c>
      <c r="F239" s="2" t="inlineStr">
        <is>
          <t>Pralidoxime (2-PAM) 1-2 g IV over 30 min</t>
        </is>
      </c>
      <c r="G239" s="2" t="inlineStr">
        <is>
          <t>Naloxone 0.4 mg IV stat</t>
        </is>
      </c>
      <c r="H239" s="2" t="inlineStr">
        <is>
          <t>Flumazenil 0.2 mg IV stat</t>
        </is>
      </c>
      <c r="I239" s="8" t="inlineStr">
        <is>
          <t>1</t>
        </is>
      </c>
      <c r="J2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9" s="2" t="n"/>
      <c r="L239" s="2" t="inlineStr">
        <is>
          <t>General Therapeutics</t>
        </is>
      </c>
      <c r="M239" s="2" t="inlineStr">
        <is>
          <t>Clinic</t>
        </is>
      </c>
      <c r="N239" s="2" t="inlineStr">
        <is>
          <t>PLE-CC1 ปี 2566 Day 2 ข้อ 2</t>
        </is>
      </c>
      <c r="O239" s="2" t="inlineStr">
        <is>
          <t>ข้อสอบจริง</t>
        </is>
      </c>
      <c r="P239" s="2" t="inlineStr">
        <is>
          <t>ปี 2566</t>
        </is>
      </c>
    </row>
    <row r="240" ht="13.2" customHeight="1" s="37">
      <c r="A240" s="8" t="inlineStr">
        <is>
          <t>262</t>
        </is>
      </c>
      <c r="B240" s="2" t="inlineStr">
        <is>
          <t>Crystalline form มีmp ต่ำกว่า</t>
        </is>
      </c>
      <c r="C240" s="2" t="n"/>
      <c r="D240" s="2" t="inlineStr">
        <is>
          <t>Naloxone 0.4 mg IV stat</t>
        </is>
      </c>
      <c r="E240" s="2" t="inlineStr">
        <is>
          <t>Flumazenil 0.2 mg IV stat</t>
        </is>
      </c>
      <c r="F240" s="2" t="inlineStr">
        <is>
          <t>Vitamin K1 (Phytomenadione) 10 mg IV slow</t>
        </is>
      </c>
      <c r="G240" s="2" t="inlineStr">
        <is>
          <t>Sodium thiosulfate 25% 50 mL IV</t>
        </is>
      </c>
      <c r="H240" s="2" t="inlineStr">
        <is>
          <t>Calcium disodium EDTA 1 g IV</t>
        </is>
      </c>
      <c r="I240" s="8" t="inlineStr">
        <is>
          <t>1</t>
        </is>
      </c>
      <c r="J2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0" s="2" t="n"/>
      <c r="L240" s="2" t="inlineStr">
        <is>
          <t>General Therapeutics</t>
        </is>
      </c>
      <c r="M240" s="2" t="inlineStr">
        <is>
          <t>Clinic</t>
        </is>
      </c>
      <c r="N240" s="2" t="inlineStr">
        <is>
          <t>PLE-CC1 ปี 2566 Day 2 ข้อ 3</t>
        </is>
      </c>
      <c r="O240" s="2" t="inlineStr">
        <is>
          <t>ข้อสอบจริง</t>
        </is>
      </c>
      <c r="P240" s="2" t="inlineStr">
        <is>
          <t>ปี 2566</t>
        </is>
      </c>
    </row>
    <row r="241" ht="13.2" customHeight="1" s="37">
      <c r="A241" s="8" t="inlineStr">
        <is>
          <t>263</t>
        </is>
      </c>
      <c r="B241" s="2" t="inlineStr">
        <is>
          <t>Regimen ยาที่ใชรักษาโรคในขอ 10 …………………..………………………………..………………………………..………………………………..……………………………….. ………………………………..………………………………..………………………………..………………………………..……………………</t>
        </is>
      </c>
      <c r="C241" s="2" t="n"/>
      <c r="D241" s="2" t="inlineStr">
        <is>
          <t>Sodium thiosulfate 25% 50 mL IV</t>
        </is>
      </c>
      <c r="E241" s="2" t="inlineStr">
        <is>
          <t>Calcium disodium EDTA 1 g IV</t>
        </is>
      </c>
      <c r="F241" s="2" t="inlineStr">
        <is>
          <t>Desferrioxamine 1 g IM/IV</t>
        </is>
      </c>
      <c r="G241" s="2" t="inlineStr">
        <is>
          <t>Dimercaprol (BAL) 3 mg/kg IM</t>
        </is>
      </c>
      <c r="H241" s="2" t="inlineStr">
        <is>
          <t>Ethanol 10% IV infusion for Methanol poisoning</t>
        </is>
      </c>
      <c r="I241" s="8" t="inlineStr">
        <is>
          <t>1</t>
        </is>
      </c>
      <c r="J2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1" s="2" t="n"/>
      <c r="L241" s="2" t="inlineStr">
        <is>
          <t>General Therapeutics</t>
        </is>
      </c>
      <c r="M241" s="2" t="inlineStr">
        <is>
          <t>Clinic</t>
        </is>
      </c>
      <c r="N241" s="2" t="inlineStr">
        <is>
          <t>PLE_CC1_2565_Day1_Key ข้อ 11</t>
        </is>
      </c>
      <c r="O241" s="2" t="inlineStr">
        <is>
          <t>ข้อสอบจริง</t>
        </is>
      </c>
      <c r="P241" s="2" t="inlineStr">
        <is>
          <t>ปี 2565</t>
        </is>
      </c>
    </row>
    <row r="242" ht="13.2" customHeight="1" s="37">
      <c r="A242" s="8" t="inlineStr">
        <is>
          <t>264</t>
        </is>
      </c>
      <c r="B242" s="2" t="inlineStr">
        <is>
          <t>ถาผูป%วยมีอาการปวดปลายประสาทร;วมดวย (แต;จำลักษณะอาการที่เขาเล;าไม;ได) ไม;สามารถใชยาใดรักษา ไดPoruciviu das Sinusan เช่ น 400 Gy&gt;&gt; &gt; รักชาเรสินที่อวั</t>
        </is>
      </c>
      <c r="C242" s="2" t="n"/>
      <c r="D242" s="2" t="inlineStr">
        <is>
          <t>Dimercaprol (BAL) 3 mg/kg IM</t>
        </is>
      </c>
      <c r="E242" s="2" t="inlineStr">
        <is>
          <t>Venlafaxine</t>
        </is>
      </c>
      <c r="F242" s="2" t="inlineStr">
        <is>
          <t>NSAIDs สักตัว ลืมชื่อ (น;าจะ naproxen ไม;ก็ diclofenac)</t>
        </is>
      </c>
      <c r="G242" s="2" t="inlineStr">
        <is>
          <t>จำ choice ไม;ได</t>
        </is>
      </c>
      <c r="H242" s="2" t="inlineStr">
        <is>
          <t>จำ choice ไม;ได</t>
        </is>
      </c>
      <c r="I242" s="8" t="inlineStr">
        <is>
          <t>1</t>
        </is>
      </c>
      <c r="J2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(Venlafaxine): ข้อนี้ไม่ใช่คำตอบที่ถูกต้องสำหรับภาวะ General Therapeutics เนื่องจากกลไกการออกฤทธิ์, efficacy หรือข้อบ่งใช้ไม่ตรงกับโจทย์ที่กำหนด
• ข้อ ค. (NSAIDs สักตัว ลืมชื่อ (น;าจะ naproxen ไม;ก็ diclofenac)): เป็น non-selective NSAID ที่มี cardiovascular safety profile ดีที่สุด และมี efficacy สูงในการระงับ acute inflammation
• ข้อ ง.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ข้อ จ.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 s="2" t="n"/>
      <c r="L242" s="2" t="inlineStr">
        <is>
          <t>General Therapeutics</t>
        </is>
      </c>
      <c r="M242" s="2" t="inlineStr">
        <is>
          <t>Clinic</t>
        </is>
      </c>
      <c r="N242" s="2" t="inlineStr">
        <is>
          <t>PLE_CC1_2565_Day1_Key ข้อ 12</t>
        </is>
      </c>
      <c r="O242" s="2" t="inlineStr">
        <is>
          <t>ข้อสอบจริง</t>
        </is>
      </c>
      <c r="P242" s="2" t="inlineStr">
        <is>
          <t>ปี 2565</t>
        </is>
      </c>
      <c r="Q242" s="2" t="inlineStr">
        <is>
          <t>* จำ choice ไม;ได# * ไม่ช่วนถ้าปวสปถนป</t>
        </is>
      </c>
    </row>
    <row r="243" ht="13.2" customHeight="1" s="37">
      <c r="A243" s="8" t="inlineStr">
        <is>
          <t>265</t>
        </is>
      </c>
      <c r="B243" s="2" t="inlineStr">
        <is>
          <t>ยาใดที่ควรใหเพื่อชะลอการเกิดภาวะแทรกซอนในผูป%วยรายนี้ ㅇ</t>
        </is>
      </c>
      <c r="C243" s="2" t="n"/>
      <c r="D243" s="2" t="inlineStr">
        <is>
          <t>N-acetylcysteine (NAC) IV infusion protocol</t>
        </is>
      </c>
      <c r="E243" s="2" t="inlineStr">
        <is>
          <t>Amlodipine</t>
        </is>
      </c>
      <c r="F243" s="2" t="inlineStr">
        <is>
          <t>Enalapril</t>
        </is>
      </c>
      <c r="G243" s="2" t="inlineStr">
        <is>
          <t>HCTZ</t>
        </is>
      </c>
      <c r="H243" s="2" t="inlineStr">
        <is>
          <t>Metoprolol</t>
        </is>
      </c>
      <c r="I243" s="8" t="inlineStr">
        <is>
          <t>1</t>
        </is>
      </c>
      <c r="J2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ค. (Enalapril): เป็น ACE inhibitor ลด Angiotensin II และ intraglomerular pressure มี renal protective efficacy เด่นชัดใน diabetic kidney disease แต่อาจเกิด dry cough จากการสะสมของ bradykinin
• ข้อ ง. (HCTZ): ข้อนี้ไม่ใช่คำตอบที่ถูกต้องสำหรับภาวะ General Therapeutics เนื่องจากกลไกการออกฤทธิ์, efficacy หรือข้อบ่งใช้ไม่ตรงกับโจทย์ที่กำหนด
• ข้อ จ. (Metoprolol):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3" s="2" t="n"/>
      <c r="L243" s="2" t="inlineStr">
        <is>
          <t>General Therapeutics</t>
        </is>
      </c>
      <c r="M243" s="2" t="inlineStr">
        <is>
          <t>Clinic</t>
        </is>
      </c>
      <c r="N243" s="2" t="inlineStr">
        <is>
          <t>PLE_CC1_2565_Day1_Key ข้อ 16</t>
        </is>
      </c>
      <c r="O243" s="2" t="inlineStr">
        <is>
          <t>ข้อสอบจริง</t>
        </is>
      </c>
      <c r="P243" s="2" t="inlineStr">
        <is>
          <t>ปี 2565</t>
        </is>
      </c>
      <c r="Q243" s="2" t="inlineStr">
        <is>
          <t>Spironolactone dai usw o so akFR WNivaid ChD stage3 Guideline โรคไต 2565</t>
        </is>
      </c>
    </row>
    <row r="244" ht="13.2" customHeight="1" s="37">
      <c r="A244" s="8" t="inlineStr">
        <is>
          <t>266</t>
        </is>
      </c>
      <c r="B244" s="2" t="inlineStr">
        <is>
          <t>จะปรับเปลี่ยนการรักษายังไง</t>
        </is>
      </c>
      <c r="C244" s="2" t="n"/>
      <c r="D244" s="2" t="inlineStr">
        <is>
          <t>พ.ร.บ. เครื่องสำอาง พ.ศ. 2558</t>
        </is>
      </c>
      <c r="E244" s="2" t="inlineStr">
        <is>
          <t>พ.ร.บ. หลักประกันสุขภาพแห่งชาติ พ.ศ. 2545</t>
        </is>
      </c>
      <c r="F244" s="2" t="inlineStr">
        <is>
          <t>การปฏิบัติทางเภสัชกรรมชุมชน (Good Pharmacy Practice: GPP)</t>
        </is>
      </c>
      <c r="G244" s="2" t="inlineStr">
        <is>
          <t>บัญชียาหลักแห่งชาติ (National List of Essential Medicines: NLEM)</t>
        </is>
      </c>
      <c r="H244" s="2" t="inlineStr">
        <is>
          <t>เกณฑ์จริยธรรมว่าด้วยการส่งเสริมการขายยาของกระทรวงสาธารณสุข</t>
        </is>
      </c>
      <c r="I244" s="8" t="inlineStr">
        <is>
          <t>1</t>
        </is>
      </c>
      <c r="J24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2" t="n"/>
      <c r="L244" s="2" t="inlineStr">
        <is>
          <t>Pharmacy Laws &amp; Ethics</t>
        </is>
      </c>
      <c r="M244" s="2" t="inlineStr">
        <is>
          <t>SAP</t>
        </is>
      </c>
      <c r="N244" s="2" t="inlineStr">
        <is>
          <t>PLE_CC1_2565_Day1_Key ข้อ 17</t>
        </is>
      </c>
      <c r="O244" s="2" t="inlineStr">
        <is>
          <t>ข้อสอบจริง</t>
        </is>
      </c>
      <c r="P244" s="2" t="inlineStr">
        <is>
          <t>ปี 2565</t>
        </is>
      </c>
      <c r="Q244" s="2" t="inlineStr">
        <is>
          <t>เปลี่ยน pioglitazone เปMน glipizide SLPs inh</t>
        </is>
      </c>
    </row>
    <row r="245" ht="13.2" customHeight="1" s="37">
      <c r="A245" s="8" t="inlineStr">
        <is>
          <t>267</t>
        </is>
      </c>
      <c r="B245" s="2" t="inlineStr">
        <is>
          <t>ขอใดคือกลไกออกฤทธิ์ของ pioglitazone</t>
        </is>
      </c>
      <c r="C245" s="2" t="n"/>
      <c r="D245" s="2" t="inlineStr">
        <is>
          <t>Levothyroxine 50 mcg OD</t>
        </is>
      </c>
      <c r="E245" s="2" t="inlineStr">
        <is>
          <t>Propylthiouracil 50 mg TID</t>
        </is>
      </c>
      <c r="F245" s="2" t="inlineStr">
        <is>
          <t>Methimazole 10 mg OD</t>
        </is>
      </c>
      <c r="G245" s="2" t="inlineStr">
        <is>
          <t>Pioglitazone 15 mg OD</t>
        </is>
      </c>
      <c r="H245" s="2" t="inlineStr">
        <is>
          <t>Insulin glargine 10 units SC HS</t>
        </is>
      </c>
      <c r="I245" s="8" t="inlineStr">
        <is>
          <t>1</t>
        </is>
      </c>
      <c r="J245" s="2"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 ข้ออื่นผิดเพราะอะไร:
• ข้อ ข.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ง. (Pioglitazone 15 mg OD): เป็น Thiazolidinedione (PPAR-gamma agonist) เพิ่ม insulin sensitivity ที่กล้ามเนื้อและตับ แต่มีข้อห้ามใช้ใน Heart Failure (NYHA class III-IV) เพราะทำให้น้ำคั่ง (fluid retention/edema)
• ข้อ จ. (Insulin glargine 10 units SC HS):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245" s="2" t="n"/>
      <c r="L245" s="2" t="inlineStr">
        <is>
          <t>Diabetes &amp; Endocrine</t>
        </is>
      </c>
      <c r="M245" s="2" t="inlineStr">
        <is>
          <t>Clinic</t>
        </is>
      </c>
      <c r="N245" s="2" t="inlineStr">
        <is>
          <t>PLE_CC1_2565_Day1_Key ข้อ 18</t>
        </is>
      </c>
      <c r="O245" s="2" t="inlineStr">
        <is>
          <t>ข้อสอบจริง</t>
        </is>
      </c>
      <c r="P245" s="2" t="inlineStr">
        <is>
          <t>ปี 2565</t>
        </is>
      </c>
      <c r="Q245" s="2" t="inlineStr">
        <is>
          <t>Propylthiouracil dase Unod dese annac</t>
        </is>
      </c>
    </row>
    <row r="246" ht="13.2" customHeight="1" s="37">
      <c r="A246" s="8" t="inlineStr">
        <is>
          <t>268</t>
        </is>
      </c>
      <c r="B246" s="2" t="inlineStr">
        <is>
          <t>ควรตรวจวัดค;าอะไร เพื่อติดตามผลการรักษา</t>
        </is>
      </c>
      <c r="C246" s="2" t="n"/>
      <c r="D246" s="2" t="inlineStr">
        <is>
          <t>Dimercaprol (BAL) 3 mg/kg IM</t>
        </is>
      </c>
      <c r="E246" s="2" t="inlineStr">
        <is>
          <t>Free T3</t>
        </is>
      </c>
      <c r="F246" s="2" t="inlineStr">
        <is>
          <t>Free T4</t>
        </is>
      </c>
      <c r="G246" s="2" t="inlineStr">
        <is>
          <t>Total T3</t>
        </is>
      </c>
      <c r="H246" s="2" t="inlineStr">
        <is>
          <t>Total T4</t>
        </is>
      </c>
      <c r="I246" s="8" t="inlineStr">
        <is>
          <t>1</t>
        </is>
      </c>
      <c r="J2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(Free T3): ข้อนี้ไม่ใช่คำตอบที่ถูกต้องสำหรับภาวะ General Therapeutics เนื่องจากกลไกการออกฤทธิ์, efficacy หรือข้อบ่งใช้ไม่ตรงกับโจทย์ที่กำหนด
• ข้อ ค. (Free T4): ข้อนี้ไม่ใช่คำตอบที่ถูกต้องสำหรับภาวะ General Therapeutics เนื่องจากกลไกการออกฤทธิ์, efficacy หรือข้อบ่งใช้ไม่ตรงกับโจทย์ที่กำหนด
• ข้อ ง. (Total T3): ข้อนี้ไม่ใช่คำตอบที่ถูกต้องสำหรับภาวะ General Therapeutics เนื่องจากกลไกการออกฤทธิ์, efficacy หรือข้อบ่งใช้ไม่ตรงกับโจทย์ที่กำหนด
• ข้อ จ. (Total T4):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6" s="2" t="n"/>
      <c r="L246" s="2" t="inlineStr">
        <is>
          <t>General Therapeutics</t>
        </is>
      </c>
      <c r="M246" s="2" t="inlineStr">
        <is>
          <t>Clinic</t>
        </is>
      </c>
      <c r="N246" s="2" t="inlineStr">
        <is>
          <t>PLE_CC1_2565_Day1_Key ข้อ 24</t>
        </is>
      </c>
      <c r="O246" s="2" t="inlineStr">
        <is>
          <t>ข้อสอบจริง</t>
        </is>
      </c>
      <c r="P246" s="2" t="inlineStr">
        <is>
          <t>ปี 2565</t>
        </is>
      </c>
      <c r="Q246" s="2" t="inlineStr">
        <is>
          <t>TSH ป@บยาตาม TSH level</t>
        </is>
      </c>
    </row>
    <row r="247" ht="13.2" customHeight="1" s="37">
      <c r="A247" s="8" t="inlineStr">
        <is>
          <t>269</t>
        </is>
      </c>
      <c r="B247" s="2" t="inlineStr">
        <is>
          <t>ผูป%วยรายนี้เปMนโรคอะไร</t>
        </is>
      </c>
      <c r="C247" s="2" t="n"/>
      <c r="D247" s="2" t="inlineStr">
        <is>
          <t>N-acetylcysteine (NAC) IV infusion protocol</t>
        </is>
      </c>
      <c r="E247" s="2" t="inlineStr">
        <is>
          <t>traveler diarrhea</t>
        </is>
      </c>
      <c r="F247" s="2" t="inlineStr">
        <is>
          <t>food poisoning</t>
        </is>
      </c>
      <c r="G247" s="2" t="inlineStr">
        <is>
          <t>IBS</t>
        </is>
      </c>
      <c r="H247" s="2" t="inlineStr">
        <is>
          <t>Dyspepsia</t>
        </is>
      </c>
      <c r="I247" s="8" t="inlineStr">
        <is>
          <t>1</t>
        </is>
      </c>
      <c r="J2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(traveler diarrhea): ข้อนี้ไม่ใช่คำตอบที่ถูกต้องสำหรับภาวะ General Therapeutics เนื่องจากกลไกการออกฤทธิ์, efficacy หรือข้อบ่งใช้ไม่ตรงกับโจทย์ที่กำหนด
• ข้อ ค. (food poisoning): ข้อนี้ไม่ใช่คำตอบที่ถูกต้องสำหรับภาวะ General Therapeutics เนื่องจากกลไกการออกฤทธิ์, efficacy หรือข้อบ่งใช้ไม่ตรงกับโจทย์ที่กำหนด
• ข้อ ง. (IBS): ข้อนี้ไม่ใช่คำตอบที่ถูกต้องสำหรับภาวะ General Therapeutics เนื่องจากกลไกการออกฤทธิ์, efficacy หรือข้อบ่งใช้ไม่ตรงกับโจทย์ที่กำหนด
• ข้อ จ. (Dyspepsia):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7" s="2" t="n"/>
      <c r="L247" s="2" t="inlineStr">
        <is>
          <t>General Therapeutics</t>
        </is>
      </c>
      <c r="M247" s="2" t="inlineStr">
        <is>
          <t>Clinic</t>
        </is>
      </c>
      <c r="N247" s="2" t="inlineStr">
        <is>
          <t>PLE_CC1_2565_Day1_Key ข้อ 30</t>
        </is>
      </c>
      <c r="O247" s="2" t="inlineStr">
        <is>
          <t>ข้อสอบจริง</t>
        </is>
      </c>
      <c r="P247" s="2" t="inlineStr">
        <is>
          <t>ปี 2565</t>
        </is>
      </c>
      <c r="Q247" s="2" t="inlineStr">
        <is>
          <t>bacterial diarrhea</t>
        </is>
      </c>
    </row>
    <row r="248" ht="13.2" customHeight="1" s="37">
      <c r="A248" s="8" t="inlineStr">
        <is>
          <t>270</t>
        </is>
      </c>
      <c r="B248" s="2" t="inlineStr">
        <is>
          <t>ยาที่เกี่ยวของกับอาการทองเสียชนิดใดที่มีฤทธิ์ตานจุลชีพ</t>
        </is>
      </c>
      <c r="C248" s="2" t="n"/>
      <c r="D248" s="2" t="inlineStr">
        <is>
          <t>Naloxone 0.4 mg IV stat</t>
        </is>
      </c>
      <c r="E248" s="2" t="inlineStr">
        <is>
          <t>Activated charcoal</t>
        </is>
      </c>
      <c r="F248" s="2" t="inlineStr">
        <is>
          <t>Bismuth subsalicylate</t>
        </is>
      </c>
      <c r="G248" s="2" t="inlineStr">
        <is>
          <t>Loperamide</t>
        </is>
      </c>
      <c r="H248" s="2" t="inlineStr">
        <is>
          <t>ORS</t>
        </is>
      </c>
      <c r="I248" s="8" t="inlineStr">
        <is>
          <t>1</t>
        </is>
      </c>
      <c r="J2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(Activated charcoal): ข้อนี้ไม่ใช่คำตอบที่ถูกต้องสำหรับภาวะ General Therapeutics เนื่องจากกลไกการออกฤทธิ์, efficacy หรือข้อบ่งใช้ไม่ตรงกับโจทย์ที่กำหนด
• ข้อ ค. (Bismuth subsalicylate): ข้อนี้ไม่ใช่คำตอบที่ถูกต้องสำหรับภาวะ General Therapeutics เนื่องจากกลไกการออกฤทธิ์, efficacy หรือข้อบ่งใช้ไม่ตรงกับโจทย์ที่กำหนด
• ข้อ ง. (Loperamide): เป็น peripheral mu-opioid agonist ลด peristalsis ใช้บรรเทาอาการ acute non-infectious diarrhea แต่ห้ามใช้ใน bloody diarrhea (dysentery) หรือ bacterial enteritis (เสี่ยง toxic megacolon)
• ข้อ จ. (ORS):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8" s="2" t="n"/>
      <c r="L248" s="2" t="inlineStr">
        <is>
          <t>General Therapeutics</t>
        </is>
      </c>
      <c r="M248" s="2" t="inlineStr">
        <is>
          <t>Clinic</t>
        </is>
      </c>
      <c r="N248" s="2" t="inlineStr">
        <is>
          <t>PLE_CC1_2565_Day1_Key ข้อ 32</t>
        </is>
      </c>
      <c r="O248" s="2" t="inlineStr">
        <is>
          <t>ข้อสอบจริง</t>
        </is>
      </c>
      <c r="P248" s="2" t="inlineStr">
        <is>
          <t>ปี 2565</t>
        </is>
      </c>
      <c r="Q248" s="2" t="inlineStr">
        <is>
          <t>Hyoscine-N-butyl bromide</t>
        </is>
      </c>
    </row>
    <row r="249" ht="13.2" customHeight="1" s="37">
      <c r="A249" s="8" t="inlineStr">
        <is>
          <t>271</t>
        </is>
      </c>
      <c r="B249" s="2" t="inlineStr">
        <is>
          <t>อาการไม;พึงประสงคçกับยาขอใดสัมพันธçกันนอยที่สุด</t>
        </is>
      </c>
      <c r="C249" s="2" t="n"/>
      <c r="D249" s="2" t="inlineStr">
        <is>
          <t>Sodium thiosulfate 25% 50 mL IV</t>
        </is>
      </c>
      <c r="E249" s="2" t="inlineStr">
        <is>
          <t>Omeprazole - bone fractures</t>
        </is>
      </c>
      <c r="F249" s="2" t="inlineStr">
        <is>
          <t>Domperidone - QT prolonged</t>
        </is>
      </c>
      <c r="G249" s="2" t="inlineStr">
        <is>
          <t>Hyoscine – xerostomia</t>
        </is>
      </c>
      <c r="H249" s="2" t="inlineStr">
        <is>
          <t>Bismuth subsalicylate - black tongue</t>
        </is>
      </c>
      <c r="I249" s="8" t="inlineStr">
        <is>
          <t>1</t>
        </is>
      </c>
      <c r="J2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(Omeprazole - bone fractures):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(Domperidone - QT prolonged): เป็น peripheral D2 receptor antagonist เพิ่ม GI motility ไม่ผ่าน BBB จึงไม่ทำให้เกิด EPS เด่นชัด แต่ต้องระวัง QT prolongation ในขนาดสูง (&gt; 30 mg/day)
• ข้อ ง. (Hyoscine – xerostomia): ข้อนี้ไม่ใช่คำตอบที่ถูกต้องสำหรับภาวะ General Therapeutics เนื่องจากกลไกการออกฤทธิ์, efficacy หรือข้อบ่งใช้ไม่ตรงกับโจทย์ที่กำหนด
• ข้อ จ. (Bismuth subsalicylate - black tongue):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9" s="2" t="n"/>
      <c r="L249" s="2" t="inlineStr">
        <is>
          <t>General Therapeutics</t>
        </is>
      </c>
      <c r="M249" s="2" t="inlineStr">
        <is>
          <t>Clinic</t>
        </is>
      </c>
      <c r="N249" s="2" t="inlineStr">
        <is>
          <t>PLE_CC1_2565_Day1_Key ข้อ 33</t>
        </is>
      </c>
      <c r="O249" s="2" t="inlineStr">
        <is>
          <t>ข้อสอบจริง</t>
        </is>
      </c>
      <c r="P249" s="2" t="inlineStr">
        <is>
          <t>ปี 2565</t>
        </is>
      </c>
      <c r="Q249" s="2" t="inlineStr">
        <is>
          <t>Famotidine - increase appetite PPI ลดการ7ด8มแคลเ[ยม ยา antimuscarinic ปากแ&lt;ง bismuth oxidation ไFYZ H2 antagonist loss of appetite PLE-CC1 Preparation 2565 เฉลยโดย MUPY53</t>
        </is>
      </c>
    </row>
    <row r="250" ht="13.2" customHeight="1" s="37">
      <c r="A250" s="8" t="inlineStr">
        <is>
          <t>272</t>
        </is>
      </c>
      <c r="B250" s="2" t="inlineStr">
        <is>
          <t>เหตุการณçใดไม;ทำใหเกิดอาการดังกล;าว</t>
        </is>
      </c>
      <c r="C250" s="2" t="n"/>
      <c r="D250" s="2" t="inlineStr">
        <is>
          <t>Dimercaprol (BAL) 3 mg/kg IM</t>
        </is>
      </c>
      <c r="E250" s="2" t="inlineStr">
        <is>
          <t>ปวดประจำเดือน</t>
        </is>
      </c>
      <c r="F250" s="2" t="inlineStr">
        <is>
          <t>กินขาวไม;ตรงเวลา</t>
        </is>
      </c>
      <c r="G250" s="2" t="inlineStr">
        <is>
          <t>กินชา กาแฟเปMนประจำ</t>
        </is>
      </c>
      <c r="H250" s="2" t="inlineStr">
        <is>
          <t>กิน NSAIDs นาน</t>
        </is>
      </c>
      <c r="I250" s="8" t="inlineStr">
        <is>
          <t>1</t>
        </is>
      </c>
      <c r="J2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(ปวดประจำเดือน): ข้อนี้ไม่ใช่คำตอบที่ถูกต้องสำหรับภาวะ General Therapeutics เนื่องจากกลไกการออกฤทธิ์, efficacy หรือข้อบ่งใช้ไม่ตรงกับโจทย์ที่กำหนด
• ข้อ ค. (กินขาวไม;ตรงเวลา): ข้อนี้ไม่ใช่คำตอบที่ถูกต้องสำหรับภาวะ General Therapeutics เนื่องจากกลไกการออกฤทธิ์, efficacy หรือข้อบ่งใช้ไม่ตรงกับโจทย์ที่กำหนด
• ข้อ ง. (กินชา กาแฟเปMนประจำ): ข้อนี้ไม่ใช่คำตอบที่ถูกต้องสำหรับภาวะ General Therapeutics เนื่องจากกลไกการออกฤทธิ์, efficacy หรือข้อบ่งใช้ไม่ตรงกับโจทย์ที่กำหนด
• ข้อ จ. (กิน NSAIDs นาน):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0" s="2" t="n"/>
      <c r="L250" s="2" t="inlineStr">
        <is>
          <t>General Therapeutics</t>
        </is>
      </c>
      <c r="M250" s="2" t="inlineStr">
        <is>
          <t>Clinic</t>
        </is>
      </c>
      <c r="N250" s="2" t="inlineStr">
        <is>
          <t>PLE_CC1_2565_Day1_Key ข้อ 27</t>
        </is>
      </c>
      <c r="O250" s="2" t="inlineStr">
        <is>
          <t>ข้อสอบจริง</t>
        </is>
      </c>
      <c r="P250" s="2" t="inlineStr">
        <is>
          <t>ปี 2565</t>
        </is>
      </c>
      <c r="Q250" s="2" t="inlineStr">
        <is>
          <t>* จำ choice ไม;ได# * อาการ9งกHาวIาจะหมายJงทาง Gi</t>
        </is>
      </c>
    </row>
    <row r="251" ht="13.2" customHeight="1" s="37">
      <c r="A251" s="8" t="inlineStr">
        <is>
          <t>273</t>
        </is>
      </c>
      <c r="B251" s="2" t="inlineStr">
        <is>
          <t>คนไขอยากไดยาระบายที่ออกฤทธิ์เร็ว แต;ไม;อยากไดผลขางเคียง ปวดเกร็งทอง เลือกยาใดใหผูป%วย Pharmacology I midterm, Calcium Channel Blockers, page29</t>
        </is>
      </c>
      <c r="C251" s="2" t="n"/>
      <c r="D251" s="2" t="inlineStr">
        <is>
          <t>N-acetylcysteine (NAC) IV infusion protocol</t>
        </is>
      </c>
      <c r="E251" s="2" t="inlineStr">
        <is>
          <t>psyllium</t>
        </is>
      </c>
      <c r="F251" s="2" t="inlineStr">
        <is>
          <t>Castor oil</t>
        </is>
      </c>
      <c r="G251" s="2" t="inlineStr">
        <is>
          <t>lactulose</t>
        </is>
      </c>
      <c r="H251" s="2" t="inlineStr">
        <is>
          <t>bisacodyl</t>
        </is>
      </c>
      <c r="I251" s="8" t="inlineStr">
        <is>
          <t>1</t>
        </is>
      </c>
      <c r="J251" s="2" t="inlineStr">
        <is>
          <t>✅ คำตอบที่ถูกต้อง: ข้อ ก. N-acetylcysteine (NAC) IV infusion protocol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(psyllium): ข้อนี้ไม่ใช่คำตอบที่ถูกต้องสำหรับภาวะ GI Disorders เนื่องจากกลไกการออกฤทธิ์, efficacy หรือข้อบ่งใช้ไม่ตรงกับโจทย์ที่กำหนด
• ข้อ ค. (Castor oil): ข้อนี้ไม่ใช่คำตอบที่ถูกต้องสำหรับภาวะ GI Disorders เนื่องจากกลไกการออกฤทธิ์, efficacy หรือข้อบ่งใช้ไม่ตรงกับโจทย์ที่กำหนด
• ข้อ ง. (lactulose): เป็น Osmotic disaccharide laxative ดูดซับน้ำเข้าสู่ลำไส้ และเปลี่ยนเป็น lactic acid ดักจับ ammonia (NH4+) ขับออกทางอุจจาระ เป็นแกนหลักใน hepatic encephalopathy
• ข้อ จ.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51" s="2" t="n"/>
      <c r="L251" s="2" t="inlineStr">
        <is>
          <t>GI Disorders</t>
        </is>
      </c>
      <c r="M251" s="2" t="inlineStr">
        <is>
          <t>Clinic</t>
        </is>
      </c>
      <c r="N251" s="2" t="inlineStr">
        <is>
          <t>PLE_CC1_2565_Day1_Key ข้อ 36</t>
        </is>
      </c>
      <c r="O251" s="2" t="inlineStr">
        <is>
          <t>ข้อสอบจริง</t>
        </is>
      </c>
      <c r="P251" s="2" t="inlineStr">
        <is>
          <t>ปี 2565</t>
        </is>
      </c>
      <c r="Q251" s="2" t="inlineStr">
        <is>
          <t>senna Bulk laxative ควรเ%อก osmotic laxative เพราะ stimulant อาจจะปวดเก.งแ1 bulk 2ออกฤท56า Stimulant laxative Osmotic laxative Stimulant laxative Stimulant laxative กรณีศึกษา 10 Pharmacology I midterm, Drugs affecting gastrointestinal motility 270923 TL, page12 ผู#ป%วยชาย 24 ปh มีอาการน้ำมูกไหล น้ำมุกใส จาม คันจมูก คันตา หลังจากนั้น 6 ชั่วโมง มีอาการคัด จมูก เปMนเกือบทุกวัน ติดต;อกัน 2 เดือน ทำให#นอนไม;หลับ ตอนกลางวันเลยง;วง รบกวนชีวิตประจำวัน พักผ;อนน#อย ไม;มีเวลาไปหาหมอ ถูกวินิจฉัยว;าเปMน Allergic rhinitis</t>
        </is>
      </c>
    </row>
    <row r="252" ht="13.2" customHeight="1" s="37">
      <c r="A252" s="8" t="inlineStr">
        <is>
          <t>274</t>
        </is>
      </c>
      <c r="B252" s="2" t="inlineStr">
        <is>
          <t>ผูป%วยรายนี้ควรไดยาอะไรเริ่มตนตามแนวทางการรักษาภูมิแพพ.ศ. 2554 [เปลี่ยน Guideline ในปh 2568 : แนวทางเวชปฏิบัติสำหรับโรคจมูกอักเสบภูมิแพในคนไทย (ฉบับปรับปรุง พ.ศ.2565)] CPT I, CPT1_AR 2024, page 14 ㅇ เDน persistent, moderate-severe {ง|น}วแรก~ใ6vงเDน intranasal steroid เพอลดการหjง IL, TNF-a</t>
        </is>
      </c>
      <c r="C252" s="2" t="n"/>
      <c r="D252" s="2" t="inlineStr">
        <is>
          <t>เกณฑ์จริยธรรมว่าด้วยการส่งเสริมการขายยาของกระทรวงสาธารณสุข</t>
        </is>
      </c>
      <c r="E252" s="2" t="inlineStr">
        <is>
          <t>พ.ร.บ. ยา พ.ศ. 2510 (การจำหน่ายยาอันตรายและยาควบคุมพิเศษ)</t>
        </is>
      </c>
      <c r="F252" s="2" t="inlineStr">
        <is>
          <t>พ.ร.บ. ยาเสพติดให้โทษ พ.ศ. 2522 (ยาเสพติดให้โทษประเภท 2 และ 3)</t>
        </is>
      </c>
      <c r="G252" s="2" t="inlineStr">
        <is>
          <t>พ.ร.บ. วัตถุที่ออกฤทธิ์ต่อจิตและประสาท พ.ศ. 2559 (ประเภท 2 และ 4)</t>
        </is>
      </c>
      <c r="H252" s="2" t="inlineStr">
        <is>
          <t>พ.ร.บ. วิชาชีพเภสัชกรรม พ.ศ. 2537 และข้อบังคับจรรยาบรรณวิชาชีพ</t>
        </is>
      </c>
      <c r="I252" s="8" t="inlineStr">
        <is>
          <t>1</t>
        </is>
      </c>
      <c r="J25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2" t="n"/>
      <c r="L252" s="2" t="inlineStr">
        <is>
          <t>Pharmacy Laws &amp; Ethics</t>
        </is>
      </c>
      <c r="M252" s="2" t="inlineStr">
        <is>
          <t>SAP</t>
        </is>
      </c>
      <c r="N252" s="2" t="inlineStr">
        <is>
          <t>PLE_CC1_2565_Day1_Key ข้อ 39</t>
        </is>
      </c>
      <c r="O252" s="2" t="inlineStr">
        <is>
          <t>ข้อสอบจริง</t>
        </is>
      </c>
      <c r="P252" s="2" t="inlineStr">
        <is>
          <t>ปี 2565</t>
        </is>
      </c>
      <c r="Q252" s="2" t="inlineStr">
        <is>
          <t>combination Leukotriene antagonist และ Second generation antihistamine CPT I, CPT1_AR 2024, page 15</t>
        </is>
      </c>
    </row>
    <row r="253" ht="13.2" customHeight="1" s="37">
      <c r="A253" s="8" t="inlineStr">
        <is>
          <t>275</t>
        </is>
      </c>
      <c r="B253" s="2" t="inlineStr">
        <is>
          <t>ในแผ;นแปะ selegiline transdermal patch ตัวยาสำคัญ selegiline บรรจุอยู;ในส;วนใด</t>
        </is>
      </c>
      <c r="C253" s="2" t="n"/>
      <c r="D253" s="2" t="inlineStr">
        <is>
          <t>Sodium thiosulfate 25% 50 mL IV</t>
        </is>
      </c>
      <c r="E253" s="2" t="inlineStr">
        <is>
          <t>จำไม;ไดแต;ไม;ใช; membrane</t>
        </is>
      </c>
      <c r="F253" s="2" t="inlineStr">
        <is>
          <t>Liner</t>
        </is>
      </c>
      <c r="G253" s="2" t="inlineStr">
        <is>
          <t>Adhesive</t>
        </is>
      </c>
      <c r="H253" s="2" t="inlineStr">
        <is>
          <t>Back</t>
        </is>
      </c>
      <c r="I253" s="8" t="inlineStr">
        <is>
          <t>1</t>
        </is>
      </c>
      <c r="J2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(จำไม;ไดแต;ไม;ใช; membrane): ข้อนี้ไม่ใช่คำตอบที่ถูกต้องสำหรับภาวะ General Therapeutics เนื่องจากกลไกการออกฤทธิ์, efficacy หรือข้อบ่งใช้ไม่ตรงกับโจทย์ที่กำหนด
• ข้อ ค. (Liner): ข้อนี้ไม่ใช่คำตอบที่ถูกต้องสำหรับภาวะ General Therapeutics เนื่องจากกลไกการออกฤทธิ์, efficacy หรือข้อบ่งใช้ไม่ตรงกับโจทย์ที่กำหนด
• ข้อ ง. (Adhesive): ข้อนี้ไม่ใช่คำตอบที่ถูกต้องสำหรับภาวะ General Therapeutics เนื่องจากกลไกการออกฤทธิ์, efficacy หรือข้อบ่งใช้ไม่ตรงกับโจทย์ที่กำหนด
• ข้อ จ. (Back):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3" s="2" t="n"/>
      <c r="L253" s="2" t="inlineStr">
        <is>
          <t>General Therapeutics</t>
        </is>
      </c>
      <c r="M253" s="2" t="inlineStr">
        <is>
          <t>Clinic</t>
        </is>
      </c>
      <c r="N253" s="2" t="inlineStr">
        <is>
          <t>PLE_CC1_2565_Day1_Key ข้อ 47</t>
        </is>
      </c>
      <c r="O253" s="2" t="inlineStr">
        <is>
          <t>ข้อสอบจริง</t>
        </is>
      </c>
      <c r="P253" s="2" t="inlineStr">
        <is>
          <t>ปี 2565</t>
        </is>
      </c>
      <c r="Q253" s="2" t="inlineStr">
        <is>
          <t>Peel strip</t>
        </is>
      </c>
    </row>
    <row r="254" ht="13.2" customHeight="1" s="37">
      <c r="A254" s="8" t="inlineStr">
        <is>
          <t>276</t>
        </is>
      </c>
      <c r="B254" s="2" t="inlineStr">
        <is>
          <t>ถาผูป%วยแพNSAIDs แบบ anaphylaxis (อย;างรุนแรง) ควรจะจัดการอย;างไร</t>
        </is>
      </c>
      <c r="C254" s="2" t="n"/>
      <c r="D254" s="2" t="inlineStr">
        <is>
          <t>Colchicine 0.6 mg OD</t>
        </is>
      </c>
      <c r="E254" s="2" t="inlineStr">
        <is>
          <t>Naproxen 250 mg BID</t>
        </is>
      </c>
      <c r="F254" s="2" t="inlineStr">
        <is>
          <t>Allopurinol 100 mg OD</t>
        </is>
      </c>
      <c r="G254" s="2" t="inlineStr">
        <is>
          <t>Febuxostat 40 mg OD</t>
        </is>
      </c>
      <c r="H254" s="2" t="inlineStr">
        <is>
          <t>Celecoxib 200 mg OD</t>
        </is>
      </c>
      <c r="I254" s="8" t="inlineStr">
        <is>
          <t>1</t>
        </is>
      </c>
      <c r="J254" s="2" t="inlineStr">
        <is>
          <t>✅ คำตอบที่ถูกต้อง: ข้อ ก. Colchicine 0.6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Colchicine 0.6 mg OD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250 mg BID): เป็น non-selective NSAID ที่มี cardiovascular safety profile ดีที่สุด และมี efficacy สูงในการระงับ acute inflammation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54" s="2" t="n"/>
      <c r="L254" s="2" t="inlineStr">
        <is>
          <t>Musculoskeletal &amp; Joint</t>
        </is>
      </c>
      <c r="M254" s="2" t="inlineStr">
        <is>
          <t>Clinic</t>
        </is>
      </c>
      <c r="N254" s="2" t="inlineStr">
        <is>
          <t>PLE_CC1_2565_Day1_Key ข้อ 44</t>
        </is>
      </c>
      <c r="O254" s="2" t="inlineStr">
        <is>
          <t>ข้อสอบจริง</t>
        </is>
      </c>
      <c r="P254" s="2" t="inlineStr">
        <is>
          <t>ปี 2565</t>
        </is>
      </c>
      <c r="Q254" s="2" t="inlineStr">
        <is>
          <t>epinephrine IM</t>
        </is>
      </c>
    </row>
    <row r="255" ht="13.2" customHeight="1" s="37">
      <c r="A255" s="8" t="inlineStr">
        <is>
          <t>277</t>
        </is>
      </c>
      <c r="B255" s="2" t="inlineStr">
        <is>
          <t>uอาการ ≥ 5 อาการจากvงหมด 9 อาการ ในWวง 2 nปดาoQ=านมา โดยu อาการ 1 ใน 2 ของกOมอาการทางwานอารมx (major) และuอาการ ≥ 4 อาการ ในกOมอาการทางwานSางกาย (minor) อาการทางwานอารมx (major) Depressed mood (เศgา หดy) Apathy/loss of interest (ไ(สนในzงรอบ{าง ไ(สนในzงQเคยสนใจ) อาการทางwานSางกาย (minor) Weight/appetite changes (|ห}กเMมpน ห~อ ลดลง) Sleep disturbances (ไ(อยากตน ห~อไ(นอน) Psychomotor agitation or retardation (อยากใอะไรตลอดเวลา ห~อ ไ(อยากใ อะไรเลย) Fatigue (ไ(อยากใอะไรเลย) Guilt/worthlessness (ÅÇกÉด ไgÑา) Executive dysfunction (ไ(uสมากในการใงาน) Suicidal ideation (uความงดอยากáาàวตาย)</t>
        </is>
      </c>
      <c r="C255" s="2" t="n"/>
      <c r="D255" s="2" t="inlineStr">
        <is>
          <t>N-acetylcysteine (NAC) IV infusion protocol</t>
        </is>
      </c>
      <c r="E255" s="2" t="inlineStr">
        <is>
          <t>EQ-5D</t>
        </is>
      </c>
      <c r="F255" s="2" t="inlineStr">
        <is>
          <t>8Q</t>
        </is>
      </c>
      <c r="G255" s="2" t="inlineStr">
        <is>
          <t>9Q</t>
        </is>
      </c>
      <c r="H255" s="2" t="inlineStr">
        <is>
          <t>จำ choice ไม;ได</t>
        </is>
      </c>
      <c r="I255" s="8" t="inlineStr">
        <is>
          <t>1</t>
        </is>
      </c>
      <c r="J2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(EQ-5D): ข้อนี้ไม่ใช่คำตอบที่ถูกต้องสำหรับภาวะ General Therapeutics เนื่องจากกลไกการออกฤทธิ์, efficacy หรือข้อบ่งใช้ไม่ตรงกับโจทย์ที่กำหนด
• ข้อ ค. (8Q): ข้อนี้ไม่ใช่คำตอบที่ถูกต้องสำหรับภาวะ General Therapeutics เนื่องจากกลไกการออกฤทธิ์, efficacy หรือข้อบ่งใช้ไม่ตรงกับโจทย์ที่กำหนด
• ข้อ ง. (9Q): ข้อนี้ไม่ใช่คำตอบที่ถูกต้องสำหรับภาวะ General Therapeutics เนื่องจากกลไกการออกฤทธิ์, efficacy หรือข้อบ่งใช้ไม่ตรงกับโจทย์ที่กำหนด
• ข้อ จ.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55" s="2" t="n"/>
      <c r="L255" s="2" t="inlineStr">
        <is>
          <t>General Therapeutics</t>
        </is>
      </c>
      <c r="M255" s="2" t="inlineStr">
        <is>
          <t>Clinic</t>
        </is>
      </c>
      <c r="N255" s="2" t="inlineStr">
        <is>
          <t>PLE_CC1_2565_Day1_Key ข้อ 3</t>
        </is>
      </c>
      <c r="O255" s="2" t="inlineStr">
        <is>
          <t>ข้อสอบจริง</t>
        </is>
      </c>
      <c r="P255" s="2" t="inlineStr">
        <is>
          <t>ปี 2565</t>
        </is>
      </c>
      <c r="Q255" s="2" t="inlineStr">
        <is>
          <t>* จำ choice ไม;ได# * แบบญดกรองeมเศgา 2Q u 1 ใน 2 {อเäยงeมเศgา -&gt; ใhแบบประเZนอาการ eมเศgา 9Q aอ ไ(uvง 2 {อ ปกN ไ(เ-นโรคeมเศgา เกณHคะแนนแบบประเZนอาการeมเศgา 9Q ãอยก)า 7 ไ(uอาการโรคeมเศgา 7-12 uอาการโรคeมเศgาเฐกãอย 13-18 uอาการโรคeมเศgา ปานกลาง มากก)าเçาUบ 19 uอาการโรคeมเศgาดนแรง ณาคะแนน 9Q มากก)าเçาUบ 7ใhแบบประเZนแนวโãม การáาàวตาย 8Q aอ</t>
        </is>
      </c>
    </row>
    <row r="256" ht="13.2" customHeight="1" s="37">
      <c r="A256" s="8" t="inlineStr">
        <is>
          <t>278</t>
        </is>
      </c>
      <c r="B256" s="2" t="inlineStr">
        <is>
          <t>หมอวินิจฉัยว;าผูป%วยเปMน MDD ไม;แพยา ไม;มีโรคประจำตัว ไม;แพอาหาร แต;หกลมง;าย ใหเลือกยาที่ทำใหหกลมนอยที่สุด</t>
        </is>
      </c>
      <c r="C256" s="2" t="n"/>
      <c r="D256" s="2" t="inlineStr">
        <is>
          <t>Naloxone 0.4 mg IV stat</t>
        </is>
      </c>
      <c r="E256" s="2" t="inlineStr">
        <is>
          <t>Amitriptyline</t>
        </is>
      </c>
      <c r="F256" s="2" t="inlineStr">
        <is>
          <t>Nortriptyline</t>
        </is>
      </c>
      <c r="G256" s="2" t="inlineStr">
        <is>
          <t>Sertraline</t>
        </is>
      </c>
      <c r="H256" s="2" t="inlineStr">
        <is>
          <t>Mianserin</t>
        </is>
      </c>
      <c r="I256" s="8" t="inlineStr">
        <is>
          <t>1</t>
        </is>
      </c>
      <c r="J2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ยาก O ม Selective serotonin reuptake inhibitors (SSRIs) Ñอน{าง selective U บ 5-HTT และ u cholinergic effects Q high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(Nortriptyline): ข้อนี้ไม่ใช่คำตอบที่ถูกต้องสำหรับภาวะ General Therapeutics เนื่องจากกลไกการออกฤทธิ์, efficacy หรือข้อบ่งใช้ไม่ตรงกับโจทย์ที่กำหนด
• ข้อ ง. (Sertraline): เป็น SSRI ที่มีความปลอดภัยสูงในผู้ป่วยโรคหัวใจ (cardiovascular safety profile ดีที่สุด) เหมาะสำหรับ post-MI depression
• ข้อ จ. (Mianserin):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56" s="2" t="n"/>
      <c r="L256" s="2" t="inlineStr">
        <is>
          <t>General Therapeutics</t>
        </is>
      </c>
      <c r="M256" s="2" t="inlineStr">
        <is>
          <t>Clinic</t>
        </is>
      </c>
      <c r="N256" s="2" t="inlineStr">
        <is>
          <t>PLE_CC1_2565_Day1_Key ข้อ 59</t>
        </is>
      </c>
      <c r="O256" s="2" t="inlineStr">
        <is>
          <t>ข้อสอบจริง</t>
        </is>
      </c>
      <c r="P256" s="2" t="inlineStr">
        <is>
          <t>ปี 2565</t>
        </is>
      </c>
      <c r="Q256" s="2" t="inlineStr">
        <is>
          <t>Trazodone Serotonin antagonist and reuptake inhibitors (SARIs) ธอ Trazodone ผล{างเôยงธอ sedation มากเพราะ Blockvง H1, 5-HT2A และ 5-HT2C มดภายòงuการ Block  α1 ใใ`เlด Orthostatic hypotension เäยงใใ`หกบม qวนยากOม Noradrenergic and speciﬁc serotonergic antidepressant (NaSSAs) ผธอ mianserine uการ Block H1, 5-HT2A และ 5-HT2C ใใ`เlด sedation มากก)า TCA และในขณะ เพยวUนผòง Block  α1 ใใ`เlด Orthostatic hypotension เäยงใใ` หกบม ควรหตกเถยงยากOม Tricyclic antidepressant ในQk ธอ Amitriptyline และ Nortriptyline เทองจากไ(uความเฉพาะเจาะจง Block vง H1,5-HT2A(sedation +weight gain) และ α1 ใใ`เlด Orthostatic hypotension เäยงใใ` หกบม dose และแทบไ(ลบUบ α1 เลย</t>
        </is>
      </c>
    </row>
    <row r="257" ht="13.2" customHeight="1" s="37">
      <c r="A257" s="8" t="inlineStr">
        <is>
          <t>279</t>
        </is>
      </c>
      <c r="B257" s="2" t="inlineStr">
        <is>
          <t>ผูป%วยไดรับยา fluoxetine 20 mg 1x1 ถามว;าหากใชร;วมกับยา antipsychotic ตัวใดจะเสี่ยงเกิด QT prolongation มากที่สุด Serious adverse effects ของยากOม antipsychotic Qอาจฤอใ`เlด QTc prolongation ธอ thioridazine, ziprasidone</t>
        </is>
      </c>
      <c r="C257" s="2" t="n"/>
      <c r="D257" s="2" t="inlineStr">
        <is>
          <t>Sodium thiosulfate 25% 50 mL IV</t>
        </is>
      </c>
      <c r="E257" s="2" t="inlineStr">
        <is>
          <t>Thioridazine</t>
        </is>
      </c>
      <c r="F257" s="2" t="inlineStr">
        <is>
          <t>Chlorpromazine</t>
        </is>
      </c>
      <c r="G257" s="2" t="inlineStr">
        <is>
          <t>Risperidone</t>
        </is>
      </c>
      <c r="H257" s="2" t="inlineStr">
        <is>
          <t>Quetiapine</t>
        </is>
      </c>
      <c r="I257" s="8" t="inlineStr">
        <is>
          <t>1</t>
        </is>
      </c>
      <c r="J2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(Thioridazine): ข้อนี้ไม่ใช่คำตอบที่ถูกต้องสำหรับภาวะ General Therapeutics เนื่องจากกลไกการออกฤทธิ์, efficacy หรือข้อบ่งใช้ไม่ตรงกับโจทย์ที่กำหนด
• ข้อ ค. (Chlorpromazine): ข้อนี้ไม่ใช่คำตอบที่ถูกต้องสำหรับภาวะ General Therapeutics เนื่องจากกลไกการออกฤทธิ์, efficacy หรือข้อบ่งใช้ไม่ตรงกับโจทย์ที่กำหนด
• ข้อ ง. (Risperidone): เป็น Second-generation (atypical) antipsychotic ยับยั้ง 5-HT2A/D2 เสี่ยง EPS ต่ำกว่า typical APs แต่เพิ่มระดับ prolactin สูงสุดในกลุ่ม atypical (gynecomastia, amenorrhea)
• ข้อ จ. (Quetiapine):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257" s="2" t="n"/>
      <c r="L257" s="2" t="inlineStr">
        <is>
          <t>General Therapeutics</t>
        </is>
      </c>
      <c r="M257" s="2" t="inlineStr">
        <is>
          <t>Clinic</t>
        </is>
      </c>
      <c r="N257" s="2" t="inlineStr">
        <is>
          <t>PLE_CC1_2565_Day1_Key ข้อ 60</t>
        </is>
      </c>
      <c r="O257" s="2" t="inlineStr">
        <is>
          <t>ข้อสอบจริง</t>
        </is>
      </c>
      <c r="P257" s="2" t="inlineStr">
        <is>
          <t>ปี 2565</t>
        </is>
      </c>
      <c r="Q257" s="2" t="inlineStr">
        <is>
          <t>* จำ choice ไม;ได# * Thioridazine &lt;องอาûย CYP2D6 ในการ metabolize แa ﬂuoxetine เ-น potent CYP2D6 inhibitor กรณีศึกษา 15 PLE-CC1 Preparation 2565 เฉลยโดย MUPY53 จำได#แค;ประมาณผู#ป%วยได#รับยาพ;น 3 ตัว คือ accuhaler, evohaler, Handihaler</t>
        </is>
      </c>
    </row>
    <row r="258" ht="13.2" customHeight="1" s="37">
      <c r="A258" s="8" t="inlineStr">
        <is>
          <t>280</t>
        </is>
      </c>
      <c r="B258" s="2" t="inlineStr">
        <is>
          <t>ผลขางเคียงใดที่อาจเกิดขึ้นไดจากการใชsalmeterol/fluticasone accuhaler ผิดวิธี</t>
        </is>
      </c>
      <c r="C258" s="2" t="n"/>
      <c r="D258" s="2" t="inlineStr">
        <is>
          <t>Prednisolone 40 mg OD x 5 days</t>
        </is>
      </c>
      <c r="E258" s="2" t="inlineStr">
        <is>
          <t>N-acetylcysteine 600 mg OD</t>
        </is>
      </c>
      <c r="F258" s="2" t="inlineStr">
        <is>
          <t>Beclomethasone MDI 100 mcg BID</t>
        </is>
      </c>
      <c r="G258" s="2" t="inlineStr">
        <is>
          <t>Salbutamol MDI 2 puffs PRN</t>
        </is>
      </c>
      <c r="H258" s="2" t="inlineStr">
        <is>
          <t>Budesonide/Formoterol 160/4.5 mcg DPI BID</t>
        </is>
      </c>
      <c r="I258" s="8" t="inlineStr">
        <is>
          <t>1</t>
        </is>
      </c>
      <c r="J258" s="2" t="inlineStr">
        <is>
          <t>✅ คำตอบที่ถูกต้อง: ข้อ ก. Prednisolone 40 mg OD x 5 days
💡 Background:
การรักษาโรคติดเชื้อแบคทีเรีย (Pulmonary Diseases) ต้องเลือก antibiotic ที่ครอบคลุม likely pathogens และมี PK/PD profile เหมาะสมกับตำแหน่งการติดเชื้อ
🎯 ทำไมข้อนี้ถึงถูก:
Prednisolone 40 mg OD x 5 days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58" s="2" t="n"/>
      <c r="L258" s="2" t="inlineStr">
        <is>
          <t>Pulmonary Diseases</t>
        </is>
      </c>
      <c r="M258" s="2" t="inlineStr">
        <is>
          <t>Clinic</t>
        </is>
      </c>
      <c r="N258" s="2" t="inlineStr">
        <is>
          <t>PLE_CC1_2565_Day1_Key ข้อ 61</t>
        </is>
      </c>
      <c r="O258" s="2" t="inlineStr">
        <is>
          <t>ข้อสอบจริง</t>
        </is>
      </c>
      <c r="P258" s="2" t="inlineStr">
        <is>
          <t>ปี 2565</t>
        </is>
      </c>
      <c r="Q258" s="2" t="inlineStr">
        <is>
          <t>* จำ choice ไม;ได# * Salmeterol/ﬂuticasone accuhaler ธอ ICS/LABA อาจใใ`เlดเวยงแหบและเ†อราในปาก จาก steriod Gold 2025 - Page 88</t>
        </is>
      </c>
    </row>
    <row r="259" ht="13.2" customHeight="1" s="37">
      <c r="A259" s="8" t="inlineStr">
        <is>
          <t>281</t>
        </is>
      </c>
      <c r="B259" s="2" t="inlineStr">
        <is>
          <t>ควรแกไขป¢ญหาอย;างไรในผูป%วยรายนี้เพื่อลดผลขางเคียงที่เกิดขึ้น ↓ ิ</t>
        </is>
      </c>
      <c r="C259" s="2" t="n"/>
      <c r="D259" s="2" t="inlineStr">
        <is>
          <t>N-acetylcysteine (NAC) IV infusion protocol</t>
        </is>
      </c>
      <c r="E259" s="2" t="inlineStr">
        <is>
          <t>EE 20 mcg + ????</t>
        </is>
      </c>
      <c r="F259" s="2" t="inlineStr">
        <is>
          <t>EE 30 mcg + Norgestrel</t>
        </is>
      </c>
      <c r="G259" s="2" t="inlineStr">
        <is>
          <t>EE 30 mcg + Levonorgestrel</t>
        </is>
      </c>
      <c r="H259" s="2" t="inlineStr">
        <is>
          <t>EE 30 mcg + ????</t>
        </is>
      </c>
      <c r="I259" s="8" t="inlineStr">
        <is>
          <t>1</t>
        </is>
      </c>
      <c r="J2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(EE 20 mcg + ????): ข้อนี้ไม่ใช่คำตอบที่ถูกต้องสำหรับภาวะ General Therapeutics เนื่องจากกลไกการออกฤทธิ์, efficacy หรือข้อบ่งใช้ไม่ตรงกับโจทย์ที่กำหนด
• ข้อ ค. (EE 30 mcg + Norgestrel): ข้อนี้ไม่ใช่คำตอบที่ถูกต้องสำหรับภาวะ General Therapeutics เนื่องจากกลไกการออกฤทธิ์, efficacy หรือข้อบ่งใช้ไม่ตรงกับโจทย์ที่กำหนด
• ข้อ ง. (EE 30 mcg + Levonorgestrel): ข้อนี้ไม่ใช่คำตอบที่ถูกต้องสำหรับภาวะ General Therapeutics เนื่องจากกลไกการออกฤทธิ์, efficacy หรือข้อบ่งใช้ไม่ตรงกับโจทย์ที่กำหนด
• ข้อ จ. (EE 30 mcg +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59" s="2" t="n"/>
      <c r="L259" s="2" t="inlineStr">
        <is>
          <t>General Therapeutics</t>
        </is>
      </c>
      <c r="M259" s="2" t="inlineStr">
        <is>
          <t>Clinic</t>
        </is>
      </c>
      <c r="N259" s="2" t="inlineStr">
        <is>
          <t>PLE_CC1_2565_Day1_Key ข้อ 67</t>
        </is>
      </c>
      <c r="O259" s="2" t="inlineStr">
        <is>
          <t>ข้อสอบจริง</t>
        </is>
      </c>
      <c r="P259" s="2" t="inlineStr">
        <is>
          <t>ปี 2565</t>
        </is>
      </c>
      <c r="Q259" s="2" t="inlineStr">
        <is>
          <t>Lynestrenol 0.5 mg แผง 28 เม็ด ผล#างเ'ยงจาก Estrogen</t>
        </is>
      </c>
    </row>
    <row r="260" ht="13.2" customHeight="1" s="37">
      <c r="A260" s="8" t="inlineStr">
        <is>
          <t>282</t>
        </is>
      </c>
      <c r="B260" s="2" t="inlineStr">
        <is>
          <t>ควรแกไขป¢ญหาอย;างไรในผูป%วยรายนี้เพื่อลดผลขางเคียงที่เกิดขึ้น</t>
        </is>
      </c>
      <c r="C260" s="2" t="n"/>
      <c r="D260" s="2" t="inlineStr">
        <is>
          <t>Naloxone 0.4 mg IV stat</t>
        </is>
      </c>
      <c r="E260" s="2" t="inlineStr">
        <is>
          <t>EE 20 mcg + ????</t>
        </is>
      </c>
      <c r="F260" s="2" t="inlineStr">
        <is>
          <t>EE 30 mcg + Norgestrel</t>
        </is>
      </c>
      <c r="G260" s="2" t="inlineStr">
        <is>
          <t>EE 30 mcg + Levonorgestrel</t>
        </is>
      </c>
      <c r="H260" s="2" t="inlineStr">
        <is>
          <t>EE 30 mcg + ????</t>
        </is>
      </c>
      <c r="I260" s="8" t="inlineStr">
        <is>
          <t>1</t>
        </is>
      </c>
      <c r="J2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(EE 20 mcg + ????): ข้อนี้ไม่ใช่คำตอบที่ถูกต้องสำหรับภาวะ General Therapeutics เนื่องจากกลไกการออกฤทธิ์, efficacy หรือข้อบ่งใช้ไม่ตรงกับโจทย์ที่กำหนด
• ข้อ ค. (EE 30 mcg + Norgestrel): ข้อนี้ไม่ใช่คำตอบที่ถูกต้องสำหรับภาวะ General Therapeutics เนื่องจากกลไกการออกฤทธิ์, efficacy หรือข้อบ่งใช้ไม่ตรงกับโจทย์ที่กำหนด
• ข้อ ง. (EE 30 mcg + Levonorgestrel): ข้อนี้ไม่ใช่คำตอบที่ถูกต้องสำหรับภาวะ General Therapeutics เนื่องจากกลไกการออกฤทธิ์, efficacy หรือข้อบ่งใช้ไม่ตรงกับโจทย์ที่กำหนด
• ข้อ จ. (EE 30 mcg +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60" s="2" t="n"/>
      <c r="L260" s="2" t="inlineStr">
        <is>
          <t>General Therapeutics</t>
        </is>
      </c>
      <c r="M260" s="2" t="inlineStr">
        <is>
          <t>Clinic</t>
        </is>
      </c>
      <c r="N260" s="2" t="inlineStr">
        <is>
          <t>PLE_CC1_2565_Day1_Key ข้อ 67</t>
        </is>
      </c>
      <c r="O260" s="2" t="inlineStr">
        <is>
          <t>ข้อสอบจริง</t>
        </is>
      </c>
      <c r="P260" s="2" t="inlineStr">
        <is>
          <t>ปี 2565</t>
        </is>
      </c>
      <c r="Q260" s="2" t="inlineStr">
        <is>
          <t>Lynestrenol 0.5 mg แผง 28 เม็ด</t>
        </is>
      </c>
    </row>
    <row r="261" ht="13.2" customHeight="1" s="37">
      <c r="A261" s="8" t="inlineStr">
        <is>
          <t>283</t>
        </is>
      </c>
      <c r="B261" s="2" t="inlineStr">
        <is>
          <t>ขอใดไม;สามารถทำไดในการโฆษณาขายยาโดยตรงแก;ผูประกอบวิชาชีพเวชกรรม ผูประกอบโรคศิลปะ</t>
        </is>
      </c>
      <c r="C261" s="2" t="n"/>
      <c r="D261" s="2" t="inlineStr">
        <is>
          <t>Sodium thiosulfate 25% 50 mL IV</t>
        </is>
      </c>
      <c r="E261" s="2" t="inlineStr">
        <is>
          <t>ยาคุมกำเนิด</t>
        </is>
      </c>
      <c r="F261" s="2" t="inlineStr">
        <is>
          <t>ยาอันตราย</t>
        </is>
      </c>
      <c r="G261" s="2" t="inlineStr">
        <is>
          <t>ยาควบคุมพิเศษ</t>
        </is>
      </c>
      <c r="H261" s="2" t="inlineStr">
        <is>
          <t>รับรองโดยบุคคลอื่น</t>
        </is>
      </c>
      <c r="I261" s="8" t="inlineStr">
        <is>
          <t>1</t>
        </is>
      </c>
      <c r="J2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(ยาคุมกำเนิด): ข้อนี้ไม่ใช่คำตอบที่ถูกต้องสำหรับภาวะ General Therapeutics เนื่องจากกลไกการออกฤทธิ์, efficacy หรือข้อบ่งใช้ไม่ตรงกับโจทย์ที่กำหนด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(รับรองโดยบุคคลอื่น):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1" s="2" t="n"/>
      <c r="L261" s="2" t="inlineStr">
        <is>
          <t>General Therapeutics</t>
        </is>
      </c>
      <c r="M261" s="2" t="inlineStr">
        <is>
          <t>Clinic</t>
        </is>
      </c>
      <c r="N261" s="2" t="inlineStr">
        <is>
          <t>PLE_CC1_2565_Day1_Key ข้อ 75</t>
        </is>
      </c>
      <c r="O261" s="2" t="inlineStr">
        <is>
          <t>ข้อสอบจริง</t>
        </is>
      </c>
      <c r="P261" s="2" t="inlineStr">
        <is>
          <t>ปี 2565</t>
        </is>
      </c>
      <c r="Q261" s="2" t="inlineStr">
        <is>
          <t>แถมพก</t>
        </is>
      </c>
    </row>
    <row r="262" ht="13.2" customHeight="1" s="37">
      <c r="A262" s="8" t="inlineStr">
        <is>
          <t>284</t>
        </is>
      </c>
      <c r="B262" s="2" t="inlineStr">
        <is>
          <t>Tramadol =ง&gt;ตรเ?ยว และ&gt;ตรผสม</t>
        </is>
      </c>
      <c r="C262" s="2" t="n"/>
      <c r="D262" s="2" t="inlineStr">
        <is>
          <t>Dimercaprol (BAL) 3 mg/kg IM</t>
        </is>
      </c>
      <c r="E262" s="2" t="inlineStr">
        <is>
          <t>Ethanol 10% IV infusion for Methanol poisoning</t>
        </is>
      </c>
      <c r="F262" s="2" t="inlineStr">
        <is>
          <t>Fomepizole 15 mg/kg IV loading</t>
        </is>
      </c>
      <c r="G262" s="2" t="inlineStr">
        <is>
          <t>N-acetylcysteine (NAC) IV infusion protocol</t>
        </is>
      </c>
      <c r="H262" s="2" t="inlineStr">
        <is>
          <t>Atropine sulfate 2 mg IV Q5-10 min</t>
        </is>
      </c>
      <c r="I262" s="8" t="inlineStr">
        <is>
          <t>1</t>
        </is>
      </c>
      <c r="J2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2" s="2" t="n"/>
      <c r="L262" s="2" t="inlineStr">
        <is>
          <t>General Therapeutics</t>
        </is>
      </c>
      <c r="M262" s="2" t="inlineStr">
        <is>
          <t>Clinic</t>
        </is>
      </c>
      <c r="N262" s="2" t="inlineStr">
        <is>
          <t>PLE_CC1_2565_Day1_Key ข้อ 1</t>
        </is>
      </c>
      <c r="O262" s="2" t="inlineStr">
        <is>
          <t>ข้อสอบจริง</t>
        </is>
      </c>
      <c r="P262" s="2" t="inlineStr">
        <is>
          <t>ปี 2565</t>
        </is>
      </c>
    </row>
    <row r="263" ht="13.2" customHeight="1" s="37">
      <c r="A263" s="8" t="inlineStr">
        <is>
          <t>285</t>
        </is>
      </c>
      <c r="B263" s="2" t="inlineStr">
        <is>
          <t>Dextromethorphan =ง&gt;ตรเ?ยว และ&gt;ตรผสม</t>
        </is>
      </c>
      <c r="C263" s="2" t="n"/>
      <c r="D263" s="2" t="inlineStr">
        <is>
          <t>N-acetylcysteine (NAC) IV infusion protocol</t>
        </is>
      </c>
      <c r="E263" s="2" t="inlineStr">
        <is>
          <t>Atropine sulfate 2 mg IV Q5-10 min</t>
        </is>
      </c>
      <c r="F263" s="2" t="inlineStr">
        <is>
          <t>Pralidoxime (2-PAM) 1-2 g IV over 30 min</t>
        </is>
      </c>
      <c r="G263" s="2" t="inlineStr">
        <is>
          <t>Naloxone 0.4 mg IV stat</t>
        </is>
      </c>
      <c r="H263" s="2" t="inlineStr">
        <is>
          <t>Flumazenil 0.2 mg IV stat</t>
        </is>
      </c>
      <c r="I263" s="8" t="inlineStr">
        <is>
          <t>1</t>
        </is>
      </c>
      <c r="J2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63" s="2" t="n"/>
      <c r="L263" s="2" t="inlineStr">
        <is>
          <t>General Therapeutics</t>
        </is>
      </c>
      <c r="M263" s="2" t="inlineStr">
        <is>
          <t>Clinic</t>
        </is>
      </c>
      <c r="N263" s="2" t="inlineStr">
        <is>
          <t>PLE_CC1_2565_Day1_Key ข้อ 2</t>
        </is>
      </c>
      <c r="O263" s="2" t="inlineStr">
        <is>
          <t>ข้อสอบจริง</t>
        </is>
      </c>
      <c r="P263" s="2" t="inlineStr">
        <is>
          <t>ปี 2565</t>
        </is>
      </c>
    </row>
    <row r="264" ht="13.2" customHeight="1" s="37">
      <c r="A264" s="8" t="inlineStr">
        <is>
          <t>286</t>
        </is>
      </c>
      <c r="B264" s="2" t="inlineStr">
        <is>
          <t>Brompheniramine</t>
        </is>
      </c>
      <c r="C264" s="2" t="n"/>
      <c r="D264" s="2" t="inlineStr">
        <is>
          <t>Naloxone 0.4 mg IV stat</t>
        </is>
      </c>
      <c r="E264" s="2" t="inlineStr">
        <is>
          <t>Flumazenil 0.2 mg IV stat</t>
        </is>
      </c>
      <c r="F264" s="2" t="inlineStr">
        <is>
          <t>Vitamin K1 (Phytomenadione) 10 mg IV slow</t>
        </is>
      </c>
      <c r="G264" s="2" t="inlineStr">
        <is>
          <t>Sodium thiosulfate 25% 50 mL IV</t>
        </is>
      </c>
      <c r="H264" s="2" t="inlineStr">
        <is>
          <t>Calcium disodium EDTA 1 g IV</t>
        </is>
      </c>
      <c r="I264" s="8" t="inlineStr">
        <is>
          <t>1</t>
        </is>
      </c>
      <c r="J2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64" s="2" t="n"/>
      <c r="L264" s="2" t="inlineStr">
        <is>
          <t>General Therapeutics</t>
        </is>
      </c>
      <c r="M264" s="2" t="inlineStr">
        <is>
          <t>Clinic</t>
        </is>
      </c>
      <c r="N264" s="2" t="inlineStr">
        <is>
          <t>PLE_CC1_2565_Day1_Key ข้อ 1</t>
        </is>
      </c>
      <c r="O264" s="2" t="inlineStr">
        <is>
          <t>ข้อสอบจริง</t>
        </is>
      </c>
      <c r="P264" s="2" t="inlineStr">
        <is>
          <t>ปี 2565</t>
        </is>
      </c>
    </row>
    <row r="265" ht="13.2" customHeight="1" s="37">
      <c r="A265" s="8" t="inlineStr">
        <is>
          <t>287</t>
        </is>
      </c>
      <c r="B265" s="2" t="inlineStr">
        <is>
          <t>Chlopheniramine</t>
        </is>
      </c>
      <c r="C265" s="2" t="n"/>
      <c r="D265" s="2" t="inlineStr">
        <is>
          <t>Sodium thiosulfate 25% 50 mL IV</t>
        </is>
      </c>
      <c r="E265" s="2" t="inlineStr">
        <is>
          <t>Calcium disodium EDTA 1 g IV</t>
        </is>
      </c>
      <c r="F265" s="2" t="inlineStr">
        <is>
          <t>Desferrioxamine 1 g IM/IV</t>
        </is>
      </c>
      <c r="G265" s="2" t="inlineStr">
        <is>
          <t>Dimercaprol (BAL) 3 mg/kg IM</t>
        </is>
      </c>
      <c r="H265" s="2" t="inlineStr">
        <is>
          <t>Ethanol 10% IV infusion for Methanol poisoning</t>
        </is>
      </c>
      <c r="I265" s="8" t="inlineStr">
        <is>
          <t>1</t>
        </is>
      </c>
      <c r="J2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5" s="2" t="n"/>
      <c r="L265" s="2" t="inlineStr">
        <is>
          <t>General Therapeutics</t>
        </is>
      </c>
      <c r="M265" s="2" t="inlineStr">
        <is>
          <t>Clinic</t>
        </is>
      </c>
      <c r="N265" s="2" t="inlineStr">
        <is>
          <t>PLE_CC1_2565_Day1_Key ข้อ 3</t>
        </is>
      </c>
      <c r="O265" s="2" t="inlineStr">
        <is>
          <t>ข้อสอบจริง</t>
        </is>
      </c>
      <c r="P265" s="2" t="inlineStr">
        <is>
          <t>ปี 2565</t>
        </is>
      </c>
    </row>
    <row r="266" ht="13.2" customHeight="1" s="37">
      <c r="A266" s="8" t="inlineStr">
        <is>
          <t>288</t>
        </is>
      </c>
      <c r="B266" s="2" t="inlineStr">
        <is>
          <t>Dexchlorpheniramine</t>
        </is>
      </c>
      <c r="C266" s="2" t="n"/>
      <c r="D266" s="2" t="inlineStr">
        <is>
          <t>Montelukast 10 mg HS</t>
        </is>
      </c>
      <c r="E266" s="2" t="inlineStr">
        <is>
          <t>Hydroxyzine 25 mg HS</t>
        </is>
      </c>
      <c r="F266" s="2" t="inlineStr">
        <is>
          <t>Diphenhydramine 25 mg IV</t>
        </is>
      </c>
      <c r="G266" s="2" t="inlineStr">
        <is>
          <t>Cetirizine 10 mg OD</t>
        </is>
      </c>
      <c r="H266" s="2" t="inlineStr">
        <is>
          <t>Loratadine 10 mg OD</t>
        </is>
      </c>
      <c r="I266" s="8" t="inlineStr">
        <is>
          <t>1</t>
        </is>
      </c>
      <c r="J266"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6" s="2" t="n"/>
      <c r="L266" s="2" t="inlineStr">
        <is>
          <t>Allergy &amp; Immunology</t>
        </is>
      </c>
      <c r="M266" s="2" t="inlineStr">
        <is>
          <t>Clinic</t>
        </is>
      </c>
      <c r="N266" s="2" t="inlineStr">
        <is>
          <t>PLE_CC1_2565_Day1_Key ข้อ 5</t>
        </is>
      </c>
      <c r="O266" s="2" t="inlineStr">
        <is>
          <t>ข้อสอบจริง</t>
        </is>
      </c>
      <c r="P266" s="2" t="inlineStr">
        <is>
          <t>ปี 2565</t>
        </is>
      </c>
    </row>
    <row r="267" ht="13.2" customHeight="1" s="37">
      <c r="A267" s="8" t="inlineStr">
        <is>
          <t>289</t>
        </is>
      </c>
      <c r="B267" s="2" t="inlineStr">
        <is>
          <t>Diphenhydramine</t>
        </is>
      </c>
      <c r="C267" s="2" t="n"/>
      <c r="D267" s="2" t="inlineStr">
        <is>
          <t>N-acetylcysteine (NAC) IV infusion protocol</t>
        </is>
      </c>
      <c r="E267" s="2" t="inlineStr">
        <is>
          <t>Atropine sulfate 2 mg IV Q5-10 min</t>
        </is>
      </c>
      <c r="F267" s="2" t="inlineStr">
        <is>
          <t>Pralidoxime (2-PAM) 1-2 g IV over 30 min</t>
        </is>
      </c>
      <c r="G267" s="2" t="inlineStr">
        <is>
          <t>Naloxone 0.4 mg IV stat</t>
        </is>
      </c>
      <c r="H267" s="2" t="inlineStr">
        <is>
          <t>Flumazenil 0.2 mg IV stat</t>
        </is>
      </c>
      <c r="I267" s="8" t="inlineStr">
        <is>
          <t>1</t>
        </is>
      </c>
      <c r="J2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67" s="2" t="n"/>
      <c r="L267" s="2" t="inlineStr">
        <is>
          <t>General Therapeutics</t>
        </is>
      </c>
      <c r="M267" s="2" t="inlineStr">
        <is>
          <t>Clinic</t>
        </is>
      </c>
      <c r="N267" s="2" t="inlineStr">
        <is>
          <t>PLE_CC1_2565_Day1_Key ข้อ 7</t>
        </is>
      </c>
      <c r="O267" s="2" t="inlineStr">
        <is>
          <t>ข้อสอบจริง</t>
        </is>
      </c>
      <c r="P267" s="2" t="inlineStr">
        <is>
          <t>ปี 2565</t>
        </is>
      </c>
    </row>
    <row r="268" ht="13.2" customHeight="1" s="37">
      <c r="A268" s="8" t="inlineStr">
        <is>
          <t>290</t>
        </is>
      </c>
      <c r="B268" s="2" t="inlineStr">
        <is>
          <t>เภสัชกรใบเฟยรçนยังสอบไม;ผ;านใบประกอบวิชาชีพ ทำงานอยู;ที่รานขายยาแห;งหนึ่ง ซึ่งนายอาทิตยçเปMนผูรับ อนุญาตขายและเปMนเภสัชกรที่ปฏิบัติงาน 15.00-20.00 น. นอกจากนี้นายอาทิตยçยังเปMนผูรับอนุญาตในรานยา อีกราน ซึ่งมีนายบีเปMนผูปฏิบัติงานอยู; ตั้งแต;เวลา 07.00-15.00 ขอใดถูกตอง</t>
        </is>
      </c>
      <c r="C268" s="2" t="n"/>
      <c r="D268" s="2" t="inlineStr">
        <is>
          <t>Naloxone 0.4 mg IV stat</t>
        </is>
      </c>
      <c r="E268" s="2" t="inlineStr">
        <is>
          <t>ใบเฟยรçนขายยา amoxicillin ได</t>
        </is>
      </c>
      <c r="F268" s="2" t="inlineStr">
        <is>
          <t>ใบเฟยรçนสามารถบอกว;าตัวเองเปMนประจำรานได</t>
        </is>
      </c>
      <c r="G268" s="2" t="inlineStr">
        <is>
          <t>นายอาทิตยçสามารถปฏิบัติงานไดทั้งสองราน เพราะเวลาไม;ซอนทับกัน</t>
        </is>
      </c>
      <c r="H268" s="2" t="inlineStr">
        <is>
          <t>นายอาทิตยçจ;ายยาไดแค;ราน B</t>
        </is>
      </c>
      <c r="I268" s="8" t="inlineStr">
        <is>
          <t>1</t>
        </is>
      </c>
      <c r="J2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(ใบเฟยรçนขายยา amoxicillin ได): เป็น Aminopenicillin ยับยั้ง bacterial cell wall synthesis เป็น first-line สำหรับ uncomplicated bacterial infections (เช่น Strep pharyngitis, AOM, sinusitis)
• ข้อ ค. (ใบเฟยรçนสามารถบอกว;าตัวเองเปMนประจำรานได): ข้อนี้ไม่ใช่คำตอบที่ถูกต้องสำหรับภาวะ General Therapeutics เนื่องจากกลไกการออกฤทธิ์, efficacy หรือข้อบ่งใช้ไม่ตรงกับโจทย์ที่กำหนด
• ข้อ ง. (นายอาทิตยçสามารถปฏิบัติงานไดทั้งสองราน เพราะเวลาไม;ซอนทับกัน): ข้อนี้ไม่ใช่คำตอบที่ถูกต้องสำหรับภาวะ General Therapeutics เนื่องจากกลไกการออกฤทธิ์, efficacy หรือข้อบ่งใช้ไม่ตรงกับโจทย์ที่กำหนด
• ข้อ จ. (นายอาทิตยçจ;ายยาไดแค;ราน B):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68" s="2" t="n"/>
      <c r="L268" s="2" t="inlineStr">
        <is>
          <t>General Therapeutics</t>
        </is>
      </c>
      <c r="M268" s="2" t="inlineStr">
        <is>
          <t>Clinic</t>
        </is>
      </c>
      <c r="N268" s="2" t="inlineStr">
        <is>
          <t>PLE_CC1_2565_Day1_Key ข้อ 77</t>
        </is>
      </c>
      <c r="O268" s="2" t="inlineStr">
        <is>
          <t>ข้อสอบจริง</t>
        </is>
      </c>
      <c r="P268" s="2" t="inlineStr">
        <is>
          <t>ปี 2565</t>
        </is>
      </c>
      <c r="Q268" s="2" t="inlineStr">
        <is>
          <t>* จำ choice ไม;ได# * !อ ก. ไ%สามารถกระ-ไ. เ0องจาก “ใบเ56น” 8ไ.เ9นเภ;ชกร\น ๑ ^งไ%สามาร_งมอบยา`นตรายตามมาตรา ๓๙ (๖) ไ. !อ ข. ไ%สามารถกระ-ไ. เ0องจาก “ใบเ56น” 8ไ.เ9นเภ;ชกร=&gt;ห@าAปCDEงานประFGาน ตามAแJงไKLบ=อMญาต การใOPอยRSงกTาว อาจ-ใV=WบสารเXดความเ!าใจ[ดไ. !อ ค. สามารถกระ-ไ. เ0องจาก “อาfตg” เ9น=WบอMญาต rงสามารถNนหPงQอแRงSอTอUญาตตามมาตรา ๓๓ ทX YตนเองZงเ[นTJ\ณสม6^ เ_าป`6^หaา#แทน กรb “c” TJหaาประdไeสามารถป`6ตงานไ:เ[นการfวคราว !อ ง. ไ%dกeอง เ0องจาก “อาfตg” เ9นเภ;ชกร=&gt;ห@าAปCDEงานประFAGานหhง และเ9น=WบอMญาตของjกGานหhง สามารถkนหlงmอแJงnอ=อMญาตตามมาตรา ๓๓ ทp qตนเองrงเ9น=&gt;sณสมDE เ!าปCDEห@าAแทน กรu “v” = &gt;ห@าประFไ%สามารถปCDตงานไ.เ9นการwวคราว</t>
        </is>
      </c>
    </row>
    <row r="269" ht="13.2" customHeight="1" s="37">
      <c r="A269" s="8" t="inlineStr">
        <is>
          <t>291</t>
        </is>
      </c>
      <c r="B269" s="2" t="inlineStr">
        <is>
          <t>รานยาตองการขายยา lorazepam แบบแผง 10 เม็ด ตองมีใบอนุญาตในขอใด</t>
        </is>
      </c>
      <c r="C269" s="2" t="n"/>
      <c r="D269" s="2" t="inlineStr">
        <is>
          <t>พ.ร.บ. ยา พ.ศ. 2510 (การจำหน่ายยาอันตรายและยาควบคุมพิเศษ)</t>
        </is>
      </c>
      <c r="E269" s="2" t="inlineStr">
        <is>
          <t>พ.ร.บ. ยาเสพติดให้โทษ พ.ศ. 2522 (ยาเสพติดให้โทษประเภท 2 และ 3)</t>
        </is>
      </c>
      <c r="F269" s="2" t="inlineStr">
        <is>
          <t>พ.ร.บ. วัตถุที่ออกฤทธิ์ต่อจิตและประสาท พ.ศ. 2559 (ประเภท 2 และ 4)</t>
        </is>
      </c>
      <c r="G269" s="2" t="inlineStr">
        <is>
          <t>พ.ร.บ. วิชาชีพเภสัชกรรม พ.ศ. 2537 และข้อบังคับจรรยาบรรณวิชาชีพ</t>
        </is>
      </c>
      <c r="H269" s="2" t="inlineStr">
        <is>
          <t>พ.ร.บ. ผลิตภัณฑ์สมุนไพร พ.ศ. 2562</t>
        </is>
      </c>
      <c r="I269" s="8" t="inlineStr">
        <is>
          <t>1</t>
        </is>
      </c>
      <c r="J26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2" t="n"/>
      <c r="L269" s="2" t="inlineStr">
        <is>
          <t>Pharmacy Laws &amp; Ethics</t>
        </is>
      </c>
      <c r="M269" s="2" t="inlineStr">
        <is>
          <t>SAP</t>
        </is>
      </c>
      <c r="N269" s="2" t="inlineStr">
        <is>
          <t>PLE_CC1_2565_Day1_Key ข้อ 80</t>
        </is>
      </c>
      <c r="O269" s="2" t="inlineStr">
        <is>
          <t>ข้อสอบจริง</t>
        </is>
      </c>
      <c r="P269" s="2" t="inlineStr">
        <is>
          <t>ปี 2565</t>
        </is>
      </c>
      <c r="Q269" s="2" t="inlineStr">
        <is>
          <t>* จำ choice ไม;ได# * Lorazepam hดเ[นjตkออกฤทmฯ ประเภท# 4 จากกฎกระทรวงฯ T#จะเ[นTrบอUญาตขายjตkออกฤทmฯ d$องJ ใบอUญาตขายยาแผนtจu6น และใบอUญาตขายjตkออกฤทmฯ</t>
        </is>
      </c>
    </row>
    <row r="270" ht="13.2" customHeight="1" s="37">
      <c r="A270" s="8" t="inlineStr">
        <is>
          <t>292</t>
        </is>
      </c>
      <c r="B270" s="2" t="inlineStr">
        <is>
          <t>A เปMนผูรับอนุญาตขายยาราน ก กับ ข และเปMนเภสัชกรประจำราน ก ดวย โดยที่ราน ข มีเภสัชกร B ประจำ ส;วนราน ก มีนางสาว C ที่ยังไม;มีใบประกอบ (ความจริงโจทยçยาวกว;านี้แต;จำไดแค;นี้) ถามว;าขอใดถูก</t>
        </is>
      </c>
      <c r="C270" s="2" t="n"/>
      <c r="D270" s="2" t="inlineStr">
        <is>
          <t>Dimercaprol (BAL) 3 mg/kg IM</t>
        </is>
      </c>
      <c r="E270" s="2" t="inlineStr">
        <is>
          <t>นาย A สามารถขายยาไดเฉพาะที่ราน ก เท;านั้น</t>
        </is>
      </c>
      <c r="F270" s="2" t="inlineStr">
        <is>
          <t>ขายยาไดทั้งราน ก และ ข เนื่องจากเวลาไม;ซอนทับกัน</t>
        </is>
      </c>
      <c r="G270" s="2" t="inlineStr">
        <is>
          <t>จำ choice ไม;ได</t>
        </is>
      </c>
      <c r="H270" s="2" t="inlineStr">
        <is>
          <t>จำ choice ไม;ได</t>
        </is>
      </c>
      <c r="I270" s="8" t="inlineStr">
        <is>
          <t>1</t>
        </is>
      </c>
      <c r="J2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(นาย A สามารถขายยาไดเฉพาะที่ราน ก เท;านั้น): ข้อนี้ไม่ใช่คำตอบที่ถูกต้องสำหรับภาวะ General Therapeutics เนื่องจากกลไกการออกฤทธิ์, efficacy หรือข้อบ่งใช้ไม่ตรงกับโจทย์ที่กำหนด
• ข้อ ค. (ขายยาไดทั้งราน ก และ ข เนื่องจากเวลาไม;ซอนทับกัน): ข้อนี้ไม่ใช่คำตอบที่ถูกต้องสำหรับภาวะ General Therapeutics เนื่องจากกลไกการออกฤทธิ์, efficacy หรือข้อบ่งใช้ไม่ตรงกับโจทย์ที่กำหนด
• ข้อ ง.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ข้อ จ. (จำ choice 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0" s="2" t="n"/>
      <c r="L270" s="2" t="inlineStr">
        <is>
          <t>General Therapeutics</t>
        </is>
      </c>
      <c r="M270" s="2" t="inlineStr">
        <is>
          <t>Clinic</t>
        </is>
      </c>
      <c r="N270" s="2" t="inlineStr">
        <is>
          <t>PLE_CC1_2565_Day1_Key ข้อ 82</t>
        </is>
      </c>
      <c r="O270" s="2" t="inlineStr">
        <is>
          <t>ข้อสอบจริง</t>
        </is>
      </c>
      <c r="P270" s="2" t="inlineStr">
        <is>
          <t>ปี 2565</t>
        </is>
      </c>
      <c r="Q270" s="2" t="inlineStr">
        <is>
          <t>* จำ choice ไม;ได# * .</t>
        </is>
      </c>
    </row>
    <row r="271" ht="13.2" customHeight="1" s="37">
      <c r="A271" s="8" t="inlineStr">
        <is>
          <t>293</t>
        </is>
      </c>
      <c r="B271" s="2" t="inlineStr">
        <is>
          <t>เพิ่มความหนืดตัวกลาง</t>
        </is>
      </c>
      <c r="C271" s="2" t="n"/>
      <c r="D271" s="2" t="inlineStr">
        <is>
          <t>N-acetylcysteine (NAC) IV infusion protocol</t>
        </is>
      </c>
      <c r="E271" s="2" t="inlineStr">
        <is>
          <t>Atropine sulfate 2 mg IV Q5-10 min</t>
        </is>
      </c>
      <c r="F271" s="2" t="inlineStr">
        <is>
          <t>เพิ่มขนาดอนุภาคผงยา</t>
        </is>
      </c>
      <c r="G271" s="2" t="inlineStr">
        <is>
          <t>เพิ่มความหนาแน;นผงยา</t>
        </is>
      </c>
      <c r="H271" s="2" t="inlineStr">
        <is>
          <t>เพิ่ม flocculating agent</t>
        </is>
      </c>
      <c r="I271" s="8" t="inlineStr">
        <is>
          <t>1</t>
        </is>
      </c>
      <c r="J2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(เพิ่มขนาดอนุภาคผงยา): ข้อนี้ไม่ใช่คำตอบที่ถูกต้องสำหรับภาวะ General Therapeutics เนื่องจากกลไกการออกฤทธิ์, efficacy หรือข้อบ่งใช้ไม่ตรงกับโจทย์ที่กำหนด
• ข้อ ง. (เพิ่มความหนาแน;นผงยา): ข้อนี้ไม่ใช่คำตอบที่ถูกต้องสำหรับภาวะ General Therapeutics เนื่องจากกลไกการออกฤทธิ์, efficacy หรือข้อบ่งใช้ไม่ตรงกับโจทย์ที่กำหนด
• ข้อ จ. (เพิ่ม flocculating agent):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71" s="2" t="n"/>
      <c r="L271" s="2" t="inlineStr">
        <is>
          <t>General Therapeutics</t>
        </is>
      </c>
      <c r="M271" s="2" t="inlineStr">
        <is>
          <t>Clinic</t>
        </is>
      </c>
      <c r="N271" s="2" t="inlineStr">
        <is>
          <t>PLE_CC1_2565_Day1_Key ข้อ 83</t>
        </is>
      </c>
      <c r="O271" s="2" t="inlineStr">
        <is>
          <t>ข้อสอบจริง</t>
        </is>
      </c>
      <c r="P271" s="2" t="inlineStr">
        <is>
          <t>ปี 2565</t>
        </is>
      </c>
      <c r="Q271" s="2" t="inlineStr">
        <is>
          <t>เพิ่มการกระจายขนาดผงยา X สารdอการbบกeมของผงยา PใQRการนอนgนเaว และ redisperse ไh&lt;าย &gt;&gt; V เiม Rjงขนาดอkภาคใหm ตกเaว + อkภาคเnก ตกoา</t>
        </is>
      </c>
    </row>
    <row r="272" ht="13.2" customHeight="1" s="37">
      <c r="A272" s="8" t="inlineStr">
        <is>
          <t>294</t>
        </is>
      </c>
      <c r="B272" s="2" t="inlineStr">
        <is>
          <t>ยาในรูปแบบ Enteric coat ซึ่งจะมีสารก;อฟยลçมที่ใชควรมีสมบัติอย;างไร e</t>
        </is>
      </c>
      <c r="C272" s="2" t="n"/>
      <c r="D272" s="2" t="inlineStr">
        <is>
          <t>Naloxone 0.4 mg IV stat</t>
        </is>
      </c>
      <c r="E272" s="2" t="inlineStr">
        <is>
          <t>ละลายน้ำดี แต;ไม;ละลายในสารละลายอินทรียç</t>
        </is>
      </c>
      <c r="F272" s="2" t="inlineStr">
        <is>
          <t>ไม;ละลายในสารละลายในกระเพาะอาหาร</t>
        </is>
      </c>
      <c r="G272" s="2" t="inlineStr">
        <is>
          <t>เพิ่มการละลายและการดูดซึมยา</t>
        </is>
      </c>
      <c r="H272" s="2" t="inlineStr">
        <is>
          <t>เพิ่มการซึมผ;านของน้ำและความชื้น</t>
        </is>
      </c>
      <c r="I272" s="8" t="inlineStr">
        <is>
          <t>1</t>
        </is>
      </c>
      <c r="J2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(ละลายน้ำดี แต;ไม;ละลายในสารละลายอินทรียç): ข้อนี้ไม่ใช่คำตอบที่ถูกต้องสำหรับภาวะ General Therapeutics เนื่องจากกลไกการออกฤทธิ์, efficacy หรือข้อบ่งใช้ไม่ตรงกับโจทย์ที่กำหนด
• ข้อ ค. (ไม;ละลายในสารละลายในกระเพาะอาหาร): ข้อนี้ไม่ใช่คำตอบที่ถูกต้องสำหรับภาวะ General Therapeutics เนื่องจากกลไกการออกฤทธิ์, efficacy หรือข้อบ่งใช้ไม่ตรงกับโจทย์ที่กำหนด
• ข้อ ง. (เพิ่มการละลายและการดูดซึมยา): ข้อนี้ไม่ใช่คำตอบที่ถูกต้องสำหรับภาวะ General Therapeutics เนื่องจากกลไกการออกฤทธิ์, efficacy หรือข้อบ่งใช้ไม่ตรงกับโจทย์ที่กำหนด
• ข้อ จ. (เพิ่มการซึมผ;านของน้ำและความชื้น):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72" s="2" t="n"/>
      <c r="L272" s="2" t="inlineStr">
        <is>
          <t>General Therapeutics</t>
        </is>
      </c>
      <c r="M272" s="2" t="inlineStr">
        <is>
          <t>Clinic</t>
        </is>
      </c>
      <c r="N272" s="2" t="inlineStr">
        <is>
          <t>PLE_CC1_2565_Day1_Key ข้อ 87</t>
        </is>
      </c>
      <c r="O272" s="2" t="inlineStr">
        <is>
          <t>ข้อสอบจริง</t>
        </is>
      </c>
      <c r="P272" s="2" t="inlineStr">
        <is>
          <t>ปี 2565</t>
        </is>
      </c>
      <c r="Q272" s="2" t="inlineStr">
        <is>
          <t>ถูกย;อยสลายด#วยเอนไซมçของแบคทีเรียในลำไส#ใหญ; Enteric coat ยาpองไ1ละลายในกรด เqอไปปลดปrอยMวยาGsไt X</t>
        </is>
      </c>
    </row>
    <row r="273" ht="13.2" customHeight="1" s="37">
      <c r="A273" s="8" t="inlineStr">
        <is>
          <t>295</t>
        </is>
      </c>
      <c r="B273" s="2" t="inlineStr">
        <is>
          <t>Coronary artery disease</t>
        </is>
      </c>
      <c r="C273" s="2" t="n"/>
      <c r="D273" s="2" t="inlineStr">
        <is>
          <t>Sodium thiosulfate 25% 50 mL IV</t>
        </is>
      </c>
      <c r="E273" s="2" t="inlineStr">
        <is>
          <t>Calcium disodium EDTA 1 g IV</t>
        </is>
      </c>
      <c r="F273" s="2" t="inlineStr">
        <is>
          <t>Desferrioxamine 1 g IM/IV</t>
        </is>
      </c>
      <c r="G273" s="2" t="inlineStr">
        <is>
          <t>Dimercaprol (BAL) 3 mg/kg IM</t>
        </is>
      </c>
      <c r="H273" s="2" t="inlineStr">
        <is>
          <t>Ethanol 10% IV infusion for Methanol poisoning</t>
        </is>
      </c>
      <c r="I273" s="8" t="inlineStr">
        <is>
          <t>1</t>
        </is>
      </c>
      <c r="J2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3" s="2" t="n"/>
      <c r="L273" s="2" t="inlineStr">
        <is>
          <t>General Therapeutics</t>
        </is>
      </c>
      <c r="M273" s="2" t="inlineStr">
        <is>
          <t>Clinic</t>
        </is>
      </c>
      <c r="N273" s="2" t="inlineStr">
        <is>
          <t>PLE_CC1_2565_Day1_Key ข้อ 3</t>
        </is>
      </c>
      <c r="O273" s="2" t="inlineStr">
        <is>
          <t>ข้อสอบจริง</t>
        </is>
      </c>
      <c r="P273" s="2" t="inlineStr">
        <is>
          <t>ปี 2565</t>
        </is>
      </c>
    </row>
    <row r="274" ht="13.2" customHeight="1" s="37">
      <c r="A274" s="8" t="inlineStr">
        <is>
          <t>296</t>
        </is>
      </c>
      <c r="B274" s="2" t="inlineStr">
        <is>
          <t>Diabetes mellitus without complication</t>
        </is>
      </c>
      <c r="C274" s="2" t="n"/>
      <c r="D274" s="2" t="inlineStr">
        <is>
          <t>Glipizide 5 mg OD</t>
        </is>
      </c>
      <c r="E274" s="2" t="inlineStr">
        <is>
          <t>Empagliflozin 10 mg OD</t>
        </is>
      </c>
      <c r="F274" s="2" t="inlineStr">
        <is>
          <t>Sitagliptin 100 mg OD</t>
        </is>
      </c>
      <c r="G274" s="2" t="inlineStr">
        <is>
          <t>Liraglutide 1.2 mg SC OD</t>
        </is>
      </c>
      <c r="H274" s="2" t="inlineStr">
        <is>
          <t>Levothyroxine 50 mcg OD</t>
        </is>
      </c>
      <c r="I274" s="8" t="inlineStr">
        <is>
          <t>1</t>
        </is>
      </c>
      <c r="J274"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274" s="2" t="n"/>
      <c r="L274" s="2" t="inlineStr">
        <is>
          <t>Diabetes &amp; Endocrine</t>
        </is>
      </c>
      <c r="M274" s="2" t="inlineStr">
        <is>
          <t>Clinic</t>
        </is>
      </c>
      <c r="N274" s="2" t="inlineStr">
        <is>
          <t>PLE_CC1_2565_Day1_Key ข้อ 5</t>
        </is>
      </c>
      <c r="O274" s="2" t="inlineStr">
        <is>
          <t>ข้อสอบจริง</t>
        </is>
      </c>
      <c r="P274" s="2" t="inlineStr">
        <is>
          <t>ปี 2565</t>
        </is>
      </c>
    </row>
    <row r="275" ht="13.2" customHeight="1" s="37">
      <c r="A275" s="8" t="inlineStr">
        <is>
          <t>297</t>
        </is>
      </c>
      <c r="B275" s="2" t="inlineStr">
        <is>
          <t>Allergic drug reaction</t>
        </is>
      </c>
      <c r="C275" s="2" t="n"/>
      <c r="D275" s="2" t="inlineStr">
        <is>
          <t>Cetirizine 10 mg OD</t>
        </is>
      </c>
      <c r="E275" s="2" t="inlineStr">
        <is>
          <t>Loratadine 10 mg OD</t>
        </is>
      </c>
      <c r="F275" s="2" t="inlineStr">
        <is>
          <t>Fexofenadine 180 mg OD</t>
        </is>
      </c>
      <c r="G275" s="2" t="inlineStr">
        <is>
          <t>Chlorpheniramine 4 mg TID</t>
        </is>
      </c>
      <c r="H275" s="2" t="inlineStr">
        <is>
          <t>Fluticasone furoate nasal spray</t>
        </is>
      </c>
      <c r="I275" s="8" t="inlineStr">
        <is>
          <t>1</t>
        </is>
      </c>
      <c r="J275"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5" s="2" t="n"/>
      <c r="L275" s="2" t="inlineStr">
        <is>
          <t>Allergy &amp; Immunology</t>
        </is>
      </c>
      <c r="M275" s="2" t="inlineStr">
        <is>
          <t>Clinic</t>
        </is>
      </c>
      <c r="N275" s="2" t="inlineStr">
        <is>
          <t>PLE_CC1_2565_Day1_Key ข้อ 11</t>
        </is>
      </c>
      <c r="O275" s="2" t="inlineStr">
        <is>
          <t>ข้อสอบจริง</t>
        </is>
      </c>
      <c r="P275" s="2" t="inlineStr">
        <is>
          <t>ปี 2565</t>
        </is>
      </c>
    </row>
    <row r="276" ht="13.2" customHeight="1" s="37">
      <c r="A276" s="8" t="inlineStr">
        <is>
          <t>298</t>
        </is>
      </c>
      <c r="B276" s="2" t="inlineStr">
        <is>
          <t>Parasitic infections (หิด เหา พยาธิ)</t>
        </is>
      </c>
      <c r="C276" s="2" t="n"/>
      <c r="D276" s="2" t="inlineStr">
        <is>
          <t>Naloxone 0.4 mg IV stat</t>
        </is>
      </c>
      <c r="E276" s="2" t="inlineStr">
        <is>
          <t>Flumazenil 0.2 mg IV stat</t>
        </is>
      </c>
      <c r="F276" s="2" t="inlineStr">
        <is>
          <t>Vitamin K1 (Phytomenadione) 10 mg IV slow</t>
        </is>
      </c>
      <c r="G276" s="2" t="inlineStr">
        <is>
          <t>Sodium thiosulfate 25% 50 mL IV</t>
        </is>
      </c>
      <c r="H276" s="2" t="inlineStr">
        <is>
          <t>Calcium disodium EDTA 1 g IV</t>
        </is>
      </c>
      <c r="I276" s="8" t="inlineStr">
        <is>
          <t>1</t>
        </is>
      </c>
      <c r="J2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76" s="2" t="n"/>
      <c r="L276" s="2" t="inlineStr">
        <is>
          <t>General Therapeutics</t>
        </is>
      </c>
      <c r="M276" s="2" t="inlineStr">
        <is>
          <t>Clinic</t>
        </is>
      </c>
      <c r="N276" s="2" t="inlineStr">
        <is>
          <t>PLE_CC1_2565_Day1_Key ข้อ 13</t>
        </is>
      </c>
      <c r="O276" s="2" t="inlineStr">
        <is>
          <t>ข้อสอบจริง</t>
        </is>
      </c>
      <c r="P276" s="2" t="inlineStr">
        <is>
          <t>ปี 2565</t>
        </is>
      </c>
    </row>
    <row r="277" ht="13.2" customHeight="1" s="37">
      <c r="A277" s="8" t="inlineStr">
        <is>
          <t>299</t>
        </is>
      </c>
      <c r="B277" s="2" t="inlineStr">
        <is>
          <t>ถ$าผู$ป&amp;วยชอบลืมรับประทานยาตอนกลางคืน เราจะแก$ปญหายังไง ?</t>
        </is>
      </c>
      <c r="C277" s="2" t="n"/>
      <c r="D277" s="2" t="inlineStr">
        <is>
          <t>Sodium thiosulfate 25% 50 mL IV</t>
        </is>
      </c>
      <c r="E277" s="2" t="inlineStr">
        <is>
          <t>ต$องกินก-อนนอนเท-านั้น เพื่อให$ยาประมีประสิทธิภาพดีสุด</t>
        </is>
      </c>
      <c r="F277" s="2" t="inlineStr">
        <is>
          <t>ให$ทานยา simvastatin ตอนไหนก็ได$ เพราะ duration of action เร็ว</t>
        </is>
      </c>
      <c r="G277" s="2" t="inlineStr">
        <is>
          <t>ให$ทานยา atorvastatin ตอนไหนก็ได$ เพราะ half-life ยาว</t>
        </is>
      </c>
      <c r="H277" s="2" t="inlineStr">
        <is>
          <t>fenofibrate เวลาไหนก็ได$ เพราะการออกฤทธิ์ไม-ขึ้นกับเวลาที่กิน</t>
        </is>
      </c>
      <c r="I277" s="8" t="inlineStr">
        <is>
          <t>1</t>
        </is>
      </c>
      <c r="J2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(ต$องกินก-อนนอนเท-านั้น เพื่อให$ยาประมีประสิทธิภาพดีสุด): ข้อนี้ไม่ใช่คำตอบที่ถูกต้องสำหรับภาวะ General Therapeutics เนื่องจากกลไกการออกฤทธิ์, efficacy หรือข้อบ่งใช้ไม่ตรงกับโจทย์ที่กำหนด
• ข้อ ค. (ให$ทานยา simvastatin ตอนไหนก็ได$ เพราะ duration of action เร็ว): เป็น moderate-intensity statin เมแทบอไลต์ผ่าน CYP3A4 เด่นชัด ห้ามใช้ dose 80 mg และมี drug interactions สูงกับ CYP3A4 inhibitors (clarithromycin, ketoconazole)
• ข้อ ง. (ให$ทานยา atorvastatin ตอนไหนก็ได$ เพราะ half-life ยาว): เป็น High-intensity statin (40-80 mg) ยับยั้ง HMG-CoA reductase มี clinical efficacy สูงสุดในการลด LDL-C ≥ 50% และ plaque stabilization ใน ACS/CAD
• ข้อ จ. (fenofibrate เวลาไหนก็ได$ เพราะการออกฤทธิ์ไม-ขึ้นกับเวลาที่กิน): เป็น PPAR-alpha agonist ลดระดับ Triglycerides เด่นชัด (30-50%) และปลอดภัยเมื่อใช้ร่วมกับ statin มากกว่า gemfibrozil (เสี่ยง rhabdomyolysis ต่ำกว่า)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7" s="2" t="n"/>
      <c r="L277" s="2" t="inlineStr">
        <is>
          <t>General Therapeutics</t>
        </is>
      </c>
      <c r="M277" s="2" t="inlineStr">
        <is>
          <t>Clinic</t>
        </is>
      </c>
      <c r="N277" s="2" t="inlineStr">
        <is>
          <t>PLE_CC1_2565_Day2_Key ข้อ 4</t>
        </is>
      </c>
      <c r="O277" s="2" t="inlineStr">
        <is>
          <t>ข้อสอบจริง</t>
        </is>
      </c>
      <c r="P277" s="2" t="inlineStr">
        <is>
          <t>ปี 2565</t>
        </is>
      </c>
      <c r="Q277" s="2" t="inlineStr">
        <is>
          <t>ezetimibe เวลาไหนก็ได$ เพราะมี enterohepatic circulation</t>
        </is>
      </c>
    </row>
    <row r="278" ht="13.2" customHeight="1" s="37">
      <c r="A278" s="8" t="inlineStr">
        <is>
          <t>300</t>
        </is>
      </c>
      <c r="B278" s="2" t="inlineStr">
        <is>
          <t>ผู$ป&amp;วยคนนี้สูบบุหรี่กี่ pack-year ………………………………………………………………………………………………………………………………………………………… …………………………………………………………………………………………………………………………………………………………..</t>
        </is>
      </c>
      <c r="C278" s="2" t="n"/>
      <c r="D278" s="2" t="inlineStr">
        <is>
          <t>Prednisolone 40 mg OD x 5 days</t>
        </is>
      </c>
      <c r="E278" s="2" t="inlineStr">
        <is>
          <t>N-acetylcysteine 600 mg OD</t>
        </is>
      </c>
      <c r="F278" s="2" t="inlineStr">
        <is>
          <t>Beclomethasone MDI 100 mcg BID</t>
        </is>
      </c>
      <c r="G278" s="2" t="inlineStr">
        <is>
          <t>Salbutamol MDI 2 puffs PRN</t>
        </is>
      </c>
      <c r="H278" s="2" t="inlineStr">
        <is>
          <t>Budesonide/Formoterol 160/4.5 mcg DPI BID</t>
        </is>
      </c>
      <c r="I278" s="8" t="inlineStr">
        <is>
          <t>1</t>
        </is>
      </c>
      <c r="J278" s="2"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78" s="2" t="n"/>
      <c r="L278" s="2" t="inlineStr">
        <is>
          <t>Pulmonary Diseases</t>
        </is>
      </c>
      <c r="M278" s="2" t="inlineStr">
        <is>
          <t>Clinic</t>
        </is>
      </c>
      <c r="N278" s="2" t="inlineStr">
        <is>
          <t>PLE_CC1_2565_Day2_Key ข้อ 6</t>
        </is>
      </c>
      <c r="O278" s="2" t="inlineStr">
        <is>
          <t>ข้อสอบจริง</t>
        </is>
      </c>
      <c r="P278" s="2" t="inlineStr">
        <is>
          <t>ปี 2565</t>
        </is>
      </c>
    </row>
    <row r="279" ht="13.2" customHeight="1" s="37">
      <c r="A279" s="8" t="inlineStr">
        <is>
          <t>301</t>
        </is>
      </c>
      <c r="B279" s="2" t="inlineStr">
        <is>
          <t>ควรให$ยาอะไรในผู$ป&amp;วยรายนี้</t>
        </is>
      </c>
      <c r="C279" s="2" t="n"/>
      <c r="D279" s="2" t="inlineStr">
        <is>
          <t>N-acetylcysteine (NAC) IV infusion protocol</t>
        </is>
      </c>
      <c r="E279" s="2" t="inlineStr">
        <is>
          <t>folic acid</t>
        </is>
      </c>
      <c r="F279" s="2" t="inlineStr">
        <is>
          <t>deferoxamine</t>
        </is>
      </c>
      <c r="G279" s="2" t="inlineStr">
        <is>
          <t>EPO</t>
        </is>
      </c>
      <c r="H279" s="2" t="inlineStr">
        <is>
          <t>Cyanobalamin</t>
        </is>
      </c>
      <c r="I279" s="8" t="inlineStr">
        <is>
          <t>1</t>
        </is>
      </c>
      <c r="J2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(folic acid): ข้อนี้ไม่ใช่คำตอบที่ถูกต้องสำหรับภาวะ General Therapeutics เนื่องจากกลไกการออกฤทธิ์, efficacy หรือข้อบ่งใช้ไม่ตรงกับโจทย์ที่กำหนด
• ข้อ ค. (deferoxamine): ข้อนี้ไม่ใช่คำตอบที่ถูกต้องสำหรับภาวะ General Therapeutics เนื่องจากกลไกการออกฤทธิ์, efficacy หรือข้อบ่งใช้ไม่ตรงกับโจทย์ที่กำหนด
• ข้อ ง. (EPO): ข้อนี้ไม่ใช่คำตอบที่ถูกต้องสำหรับภาวะ General Therapeutics เนื่องจากกลไกการออกฤทธิ์, efficacy หรือข้อบ่งใช้ไม่ตรงกับโจทย์ที่กำหนด
• ข้อ จ. (Cyanobalamin):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79" s="2" t="n"/>
      <c r="L279" s="2" t="inlineStr">
        <is>
          <t>General Therapeutics</t>
        </is>
      </c>
      <c r="M279" s="2" t="inlineStr">
        <is>
          <t>Clinic</t>
        </is>
      </c>
      <c r="N279" s="2" t="inlineStr">
        <is>
          <t>PLE_CC1_2565_Day2_Key ข้อ 12</t>
        </is>
      </c>
      <c r="O279" s="2" t="inlineStr">
        <is>
          <t>ข้อสอบจริง</t>
        </is>
      </c>
      <c r="P279" s="2" t="inlineStr">
        <is>
          <t>ปี 2565</t>
        </is>
      </c>
      <c r="Q279" s="2" t="inlineStr">
        <is>
          <t>ferrous fumarate</t>
        </is>
      </c>
    </row>
    <row r="280" ht="13.2" customHeight="1" s="37">
      <c r="A280" s="8" t="inlineStr">
        <is>
          <t>302</t>
        </is>
      </c>
      <c r="B280" s="2" t="inlineStr">
        <is>
          <t>ข$อใดไม-ใช-คำแนะนำที่ผู$ป&amp;วยควรทำ</t>
        </is>
      </c>
      <c r="C280" s="2" t="n"/>
      <c r="D280" s="2" t="inlineStr">
        <is>
          <t>Naloxone 0.4 mg IV stat</t>
        </is>
      </c>
      <c r="E280" s="2" t="inlineStr">
        <is>
          <t>ลดน้ำหนัก</t>
        </is>
      </c>
      <c r="F280" s="2" t="inlineStr">
        <is>
          <t>ลดการดื่มสุรา</t>
        </is>
      </c>
      <c r="G280" s="2" t="inlineStr">
        <is>
          <t>ลดการรับประทานเครื่องใน</t>
        </is>
      </c>
      <c r="H280" s="2" t="inlineStr">
        <is>
          <t>ลดการรับประทานน้ำผลไม$ที่มีน้ำตาล fructose</t>
        </is>
      </c>
      <c r="I280" s="8" t="inlineStr">
        <is>
          <t>1</t>
        </is>
      </c>
      <c r="J2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(ลดน้ำหนัก): ข้อนี้ไม่ใช่คำตอบที่ถูกต้องสำหรับภาวะ General Therapeutics เนื่องจากกลไกการออกฤทธิ์, efficacy หรือข้อบ่งใช้ไม่ตรงกับโจทย์ที่กำหนด
• ข้อ ค. (ลดการดื่มสุรา): ข้อนี้ไม่ใช่คำตอบที่ถูกต้องสำหรับภาวะ General Therapeutics เนื่องจากกลไกการออกฤทธิ์, efficacy หรือข้อบ่งใช้ไม่ตรงกับโจทย์ที่กำหนด
• ข้อ ง. (ลดการรับประทานเครื่องใน): ข้อนี้ไม่ใช่คำตอบที่ถูกต้องสำหรับภาวะ General Therapeutics เนื่องจากกลไกการออกฤทธิ์, efficacy หรือข้อบ่งใช้ไม่ตรงกับโจทย์ที่กำหนด
• ข้อ จ. (ลดการรับประทานน้ำผลไม$ที่มีน้ำตาล fructose):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80" s="2" t="n"/>
      <c r="L280" s="2" t="inlineStr">
        <is>
          <t>General Therapeutics</t>
        </is>
      </c>
      <c r="M280" s="2" t="inlineStr">
        <is>
          <t>Clinic</t>
        </is>
      </c>
      <c r="N280" s="2" t="inlineStr">
        <is>
          <t>PLE_CC1_2565_Day2_Key ข้อ 23</t>
        </is>
      </c>
      <c r="O280" s="2" t="inlineStr">
        <is>
          <t>ข้อสอบจริง</t>
        </is>
      </c>
      <c r="P280" s="2" t="inlineStr">
        <is>
          <t>ปี 2565</t>
        </is>
      </c>
      <c r="Q280" s="2" t="inlineStr">
        <is>
          <t>รับประทาน vitamin D</t>
        </is>
      </c>
    </row>
    <row r="281" ht="13.2" customHeight="1" s="37">
      <c r="A281" s="8" t="inlineStr">
        <is>
          <t>303</t>
        </is>
      </c>
      <c r="B281" s="2" t="inlineStr">
        <is>
          <t>หากต$องการจะจ-ายฮอร6โมนทดแทนอะไรให$หญิงรายนี้ ยาใดเหมาะสมน$อยที่สุด</t>
        </is>
      </c>
      <c r="C281" s="2" t="n"/>
      <c r="D281" s="2" t="inlineStr">
        <is>
          <t>Sodium thiosulfate 25% 50 mL IV</t>
        </is>
      </c>
      <c r="E281" s="2" t="inlineStr">
        <is>
          <t>conjugated equine estrogen PLE-CC1 Preparation 2565</t>
        </is>
      </c>
      <c r="F281" s="2" t="inlineStr">
        <is>
          <t>estradiol valerate norgestrel</t>
        </is>
      </c>
      <c r="G281" s="2" t="inlineStr">
        <is>
          <t>estradiol valerate cyproterone</t>
        </is>
      </c>
      <c r="H281" s="2" t="inlineStr">
        <is>
          <t>estradiol hemihydrate drospirenone</t>
        </is>
      </c>
      <c r="I281" s="8" t="inlineStr">
        <is>
          <t>1</t>
        </is>
      </c>
      <c r="J2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(conjugated equine estrogen PLE-CC1 Preparation 2565): ข้อนี้ไม่ใช่คำตอบที่ถูกต้องสำหรับภาวะ General Therapeutics เนื่องจากกลไกการออกฤทธิ์, efficacy หรือข้อบ่งใช้ไม่ตรงกับโจทย์ที่กำหนด
• ข้อ ค. (estradiol valerate norgestrel): ข้อนี้ไม่ใช่คำตอบที่ถูกต้องสำหรับภาวะ General Therapeutics เนื่องจากกลไกการออกฤทธิ์, efficacy หรือข้อบ่งใช้ไม่ตรงกับโจทย์ที่กำหนด
• ข้อ ง. (estradiol valerate cyproterone): ข้อนี้ไม่ใช่คำตอบที่ถูกต้องสำหรับภาวะ General Therapeutics เนื่องจากกลไกการออกฤทธิ์, efficacy หรือข้อบ่งใช้ไม่ตรงกับโจทย์ที่กำหนด
• ข้อ จ. (estradiol hemihydrate drospirenone):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1" s="2" t="n"/>
      <c r="L281" s="2" t="inlineStr">
        <is>
          <t>General Therapeutics</t>
        </is>
      </c>
      <c r="M281" s="2" t="inlineStr">
        <is>
          <t>Clinic</t>
        </is>
      </c>
      <c r="N281" s="2" t="inlineStr">
        <is>
          <t>PLE_CC1_2565_Day2_Key ข้อ 44</t>
        </is>
      </c>
      <c r="O281" s="2" t="inlineStr">
        <is>
          <t>ข้อสอบจริง</t>
        </is>
      </c>
      <c r="P281" s="2" t="inlineStr">
        <is>
          <t>ปี 2565</t>
        </is>
      </c>
      <c r="Q281" s="2" t="inlineStr">
        <is>
          <t>estradiol hemihydrate norethisterone</t>
        </is>
      </c>
    </row>
    <row r="282" ht="13.2" customHeight="1" s="37">
      <c r="A282" s="8" t="inlineStr">
        <is>
          <t>304</t>
        </is>
      </c>
      <c r="B282" s="2" t="inlineStr">
        <is>
          <t>วิธีแก$สาเหตุจากข$อ 50 คืออะไร</t>
        </is>
      </c>
      <c r="C282" s="2" t="n"/>
      <c r="D282" s="2" t="inlineStr">
        <is>
          <t>Dimercaprol (BAL) 3 mg/kg IM</t>
        </is>
      </c>
      <c r="E282" s="2" t="inlineStr">
        <is>
          <t>ให$ยาทุกอย-างเหมือนเดิม แต-เพิ่ม domperidone</t>
        </is>
      </c>
      <c r="F282" s="2" t="inlineStr">
        <is>
          <t>ลด dose ยาลงครึ่งนึง</t>
        </is>
      </c>
      <c r="G282" s="2" t="inlineStr">
        <is>
          <t>หยุดยาจนค-าตับปกติแล$ว desensitize</t>
        </is>
      </c>
      <c r="H282" s="2" t="inlineStr">
        <is>
          <t>หยุดยาจนค-าตับปกติแล$ว rechallenge</t>
        </is>
      </c>
      <c r="I282" s="8" t="inlineStr">
        <is>
          <t>1</t>
        </is>
      </c>
      <c r="J2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(ให$ยาทุกอย-างเหมือนเดิม แต-เพิ่ม domperidone): เป็น peripheral D2 receptor antagonist เพิ่ม GI motility ไม่ผ่าน BBB จึงไม่ทำให้เกิด EPS เด่นชัด แต่ต้องระวัง QT prolongation ในขนาดสูง (&gt; 30 mg/day)
• ข้อ ค. (ลด dose ยาลงครึ่งนึง): ข้อนี้ไม่ใช่คำตอบที่ถูกต้องสำหรับภาวะ General Therapeutics เนื่องจากกลไกการออกฤทธิ์, efficacy หรือข้อบ่งใช้ไม่ตรงกับโจทย์ที่กำหนด
• ข้อ ง. (หยุดยาจนค-าตับปกติแล$ว desensitize): ข้อนี้ไม่ใช่คำตอบที่ถูกต้องสำหรับภาวะ General Therapeutics เนื่องจากกลไกการออกฤทธิ์, efficacy หรือข้อบ่งใช้ไม่ตรงกับโจทย์ที่กำหนด
• ข้อ จ. (หยุดยาจนค-าตับปกติแล$ว rechallenge):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2" s="2" t="n"/>
      <c r="L282" s="2" t="inlineStr">
        <is>
          <t>General Therapeutics</t>
        </is>
      </c>
      <c r="M282" s="2" t="inlineStr">
        <is>
          <t>Clinic</t>
        </is>
      </c>
      <c r="N282" s="2" t="inlineStr">
        <is>
          <t>PLE_CC1_2565_Day2_Key ข้อ 51</t>
        </is>
      </c>
      <c r="O282" s="2" t="inlineStr">
        <is>
          <t>ข้อสอบจริง</t>
        </is>
      </c>
      <c r="P282" s="2" t="inlineStr">
        <is>
          <t>ปี 2565</t>
        </is>
      </c>
      <c r="Q282" s="2" t="inlineStr">
        <is>
          <t>หยุดยาจนค-าตับปกติ+ให$ NAC แล$ว rechallenge ในกร%&amp;'า)บเ,ม.นมากก/า 3 เ0า 1งห4ดยา แ8ว'อย ;การ rechallenge</t>
        </is>
      </c>
    </row>
    <row r="283" ht="13.2" customHeight="1" s="37">
      <c r="A283" s="8" t="inlineStr">
        <is>
          <t>305</t>
        </is>
      </c>
      <c r="B283" s="2" t="inlineStr">
        <is>
          <t>เด็ก 1 ขวบ น้ำหนัก 5 kg ใช$ขนาดเท-าไหร-ต-อวัน ………………………………………………………………………………………………………………………………………………………… ………………………………………………………………………………………………………………………………………………………….. Hint: choice มีหน-วยเปQน teaspoon กรณีศึกษา 17</t>
        </is>
      </c>
      <c r="C283" s="2" t="n"/>
      <c r="D283" s="2" t="inlineStr">
        <is>
          <t>N-acetylcysteine (NAC) IV infusion protocol</t>
        </is>
      </c>
      <c r="E283" s="2" t="inlineStr">
        <is>
          <t>Atropine sulfate 2 mg IV Q5-10 min</t>
        </is>
      </c>
      <c r="F283" s="2" t="inlineStr">
        <is>
          <t>Pralidoxime (2-PAM) 1-2 g IV over 30 min</t>
        </is>
      </c>
      <c r="G283" s="2" t="inlineStr">
        <is>
          <t>Naloxone 0.4 mg IV stat</t>
        </is>
      </c>
      <c r="H283" s="2" t="inlineStr">
        <is>
          <t>Flumazenil 0.2 mg IV stat</t>
        </is>
      </c>
      <c r="I283" s="8" t="inlineStr">
        <is>
          <t>1</t>
        </is>
      </c>
      <c r="J2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83" s="2" t="n"/>
      <c r="L283" s="2" t="inlineStr">
        <is>
          <t>General Therapeutics</t>
        </is>
      </c>
      <c r="M283" s="2" t="inlineStr">
        <is>
          <t>Clinic</t>
        </is>
      </c>
      <c r="N283" s="2" t="inlineStr">
        <is>
          <t>PLE_CC1_2565_Day2_Key ข้อ 57</t>
        </is>
      </c>
      <c r="O283" s="2" t="inlineStr">
        <is>
          <t>ข้อสอบจริง</t>
        </is>
      </c>
      <c r="P283" s="2" t="inlineStr">
        <is>
          <t>ปี 2565</t>
        </is>
      </c>
    </row>
    <row r="284" ht="13.2" customHeight="1" s="37">
      <c r="A284" s="8" t="inlineStr">
        <is>
          <t>306</t>
        </is>
      </c>
      <c r="B284" s="2" t="inlineStr">
        <is>
          <t>ให$การรักษาคู-นอนยังไง 500 mg BID 7 day Metronidazole √ 2 g OD once Tinidazole 2 g OD once</t>
        </is>
      </c>
      <c r="C284" s="2" t="n"/>
      <c r="D284" s="2" t="inlineStr">
        <is>
          <t>Cotrimoxazole 160/800 mg BID</t>
        </is>
      </c>
      <c r="E284" s="2" t="inlineStr">
        <is>
          <t>Metronidazole 400 mg TID</t>
        </is>
      </c>
      <c r="F284" s="2" t="inlineStr">
        <is>
          <t>Nitrofurantoin 100 mg BID</t>
        </is>
      </c>
      <c r="G284" s="2" t="inlineStr">
        <is>
          <t>Tenofovir/Emtricitabine 300/200 mg OD</t>
        </is>
      </c>
      <c r="H284" s="2" t="inlineStr">
        <is>
          <t>Dolutegravir 50 mg OD</t>
        </is>
      </c>
      <c r="I284" s="8" t="inlineStr">
        <is>
          <t>1</t>
        </is>
      </c>
      <c r="J284" s="2" t="inlineStr">
        <is>
          <t>✅ คำตอบที่ถูกต้อง: ข้อ ก. Cotrimoxazole 160/800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4" s="2" t="n"/>
      <c r="L284" s="2" t="inlineStr">
        <is>
          <t>Infectious Diseases</t>
        </is>
      </c>
      <c r="M284" s="2" t="inlineStr">
        <is>
          <t>Clinic</t>
        </is>
      </c>
      <c r="N284" s="2" t="inlineStr">
        <is>
          <t>PLE_CC1_2565_Day2_Key ข้อ 62</t>
        </is>
      </c>
      <c r="O284" s="2" t="inlineStr">
        <is>
          <t>ข้อสอบจริง</t>
        </is>
      </c>
      <c r="P284" s="2" t="inlineStr">
        <is>
          <t>ปี 2565</t>
        </is>
      </c>
      <c r="Q284" s="2" t="inlineStr">
        <is>
          <t>* จำ choice ไม-ได$ *</t>
        </is>
      </c>
    </row>
    <row r="285" ht="13.2" customHeight="1" s="37">
      <c r="A285" s="8" t="inlineStr">
        <is>
          <t>307</t>
        </is>
      </c>
      <c r="B285" s="2" t="inlineStr">
        <is>
          <t>นาย A ผิดอะไร ยาสsนไพร C + steroid</t>
        </is>
      </c>
      <c r="C285" s="2" t="n"/>
      <c r="D285" s="2" t="inlineStr">
        <is>
          <t>Sodium thiosulfate 25% 50 mL IV</t>
        </is>
      </c>
      <c r="E285" s="2" t="inlineStr">
        <is>
          <t>ขายยาปลอม</t>
        </is>
      </c>
      <c r="F285" s="2" t="inlineStr">
        <is>
          <t>ขายยาผิดมาตรฐาน</t>
        </is>
      </c>
      <c r="G285" s="2" t="inlineStr">
        <is>
          <t>ไม-กำกับดูแลให$เปQนไปตามที่ขึ้นทะเบียน</t>
        </is>
      </c>
      <c r="H285" s="2" t="inlineStr">
        <is>
          <t>ไม-ควบคุมการขายให$เปQนไปตาม....</t>
        </is>
      </c>
      <c r="I285" s="8" t="inlineStr">
        <is>
          <t>1</t>
        </is>
      </c>
      <c r="J2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(ขายยาปลอม): ข้อนี้ไม่ใช่คำตอบที่ถูกต้องสำหรับภาวะ General Therapeutics เนื่องจากกลไกการออกฤทธิ์, efficacy หรือข้อบ่งใช้ไม่ตรงกับโจทย์ที่กำหนด
• ข้อ ค. (ขายยาผิดมาตรฐาน):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ง. (ไม-กำกับดูแลให$เปQนไปตามที่ขึ้นทะเบียน): ข้อนี้ไม่ใช่คำตอบที่ถูกต้องสำหรับภาวะ General Therapeutics เนื่องจากกลไกการออกฤทธิ์, efficacy หรือข้อบ่งใช้ไม่ตรงกับโจทย์ที่กำหนด
• ข้อ จ. (ไม-ควบคุมการขายให$เปQนไปตาม....):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5" s="2" t="n"/>
      <c r="L285" s="2" t="inlineStr">
        <is>
          <t>General Therapeutics</t>
        </is>
      </c>
      <c r="M285" s="2" t="inlineStr">
        <is>
          <t>Clinic</t>
        </is>
      </c>
      <c r="N285" s="2" t="inlineStr">
        <is>
          <t>PLE_CC1_2565_Day2_Key ข้อ 66</t>
        </is>
      </c>
      <c r="O285" s="2" t="inlineStr">
        <is>
          <t>ข้อสอบจริง</t>
        </is>
      </c>
      <c r="P285" s="2" t="inlineStr">
        <is>
          <t>ปี 2565</t>
        </is>
      </c>
      <c r="Q285" s="2" t="inlineStr">
        <is>
          <t>* จำ choice ไม-ได$ *</t>
        </is>
      </c>
    </row>
    <row r="286" ht="13.2" customHeight="1" s="37">
      <c r="A286" s="8" t="inlineStr">
        <is>
          <t>308</t>
        </is>
      </c>
      <c r="B286" s="2" t="inlineStr">
        <is>
          <t>ตำรับ semisolid มี mineral oil, propylene glycol, beeswax, ….., Cetyl alcohol?,trietanolamine, cabopol, qs purify water Emollient/thickener สารเ9มความแ;ง (structural matrix former) Thickener หากตำรับเหลวเกิน ควรเติมสารใด</t>
        </is>
      </c>
      <c r="C286" s="2" t="n"/>
      <c r="D286" s="2" t="inlineStr">
        <is>
          <t>Dimercaprol (BAL) 3 mg/kg IM</t>
        </is>
      </c>
      <c r="E286" s="2" t="inlineStr">
        <is>
          <t>Mineral oil</t>
        </is>
      </c>
      <c r="F286" s="2" t="inlineStr">
        <is>
          <t>Propylene glycol</t>
        </is>
      </c>
      <c r="G286" s="2" t="inlineStr">
        <is>
          <t>Cetyl alcohol?</t>
        </is>
      </c>
      <c r="H286" s="2" t="inlineStr">
        <is>
          <t>Trietanolamine</t>
        </is>
      </c>
      <c r="I286" s="8" t="inlineStr">
        <is>
          <t>1</t>
        </is>
      </c>
      <c r="J2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(Mineral oil): ข้อนี้ไม่ใช่คำตอบที่ถูกต้องสำหรับภาวะ General Therapeutics เนื่องจากกลไกการออกฤทธิ์, efficacy หรือข้อบ่งใช้ไม่ตรงกับโจทย์ที่กำหนด
• ข้อ ค. (Propylene glycol): ข้อนี้ไม่ใช่คำตอบที่ถูกต้องสำหรับภาวะ General Therapeutics เนื่องจากกลไกการออกฤทธิ์, efficacy หรือข้อบ่งใช้ไม่ตรงกับโจทย์ที่กำหนด
• ข้อ ง. (Cetyl alcohol?): ข้อนี้ไม่ใช่คำตอบที่ถูกต้องสำหรับภาวะ General Therapeutics เนื่องจากกลไกการออกฤทธิ์, efficacy หรือข้อบ่งใช้ไม่ตรงกับโจทย์ที่กำหนด
• ข้อ จ. (Trietanolamine):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6" s="2" t="n"/>
      <c r="L286" s="2" t="inlineStr">
        <is>
          <t>General Therapeutics</t>
        </is>
      </c>
      <c r="M286" s="2" t="inlineStr">
        <is>
          <t>Clinic</t>
        </is>
      </c>
      <c r="N286" s="2" t="inlineStr">
        <is>
          <t>PLE_CC1_2565_Day2_Key ข้อ 77</t>
        </is>
      </c>
      <c r="O286" s="2" t="inlineStr">
        <is>
          <t>ข้อสอบจริง</t>
        </is>
      </c>
      <c r="P286" s="2" t="inlineStr">
        <is>
          <t>ปี 2565</t>
        </is>
      </c>
      <c r="Q286" s="2" t="inlineStr">
        <is>
          <t>* จำ choice ไม-ได$ *</t>
        </is>
      </c>
    </row>
    <row r="287" ht="13.2" customHeight="1" s="37">
      <c r="A287" s="8" t="inlineStr">
        <is>
          <t>309</t>
        </is>
      </c>
      <c r="B287" s="2" t="inlineStr">
        <is>
          <t>จงเรียงลำดับความสำคัญเอกสารของ QA $าง'งจาก https://www.iso-9001-checklist.co.uk/ A QA B ลำดับพนักงานในองค6กร C SOP ………………………………………………………………………………………………………………………………………………………… ………………………………………………………………………………………………………………………………………………………….. Level 1 &amp; A 2 Org. chart [อ\ไDแRใจเลย]ะ ;-; แ^_ด`าRาจะประมาณ\ ↑ SOPS QA &gt; LMบพOกงานในองPกร (Org chart) &gt; SOP Quality policy Quality manual SOPs 1 2 4</t>
        </is>
      </c>
      <c r="C287" s="2" t="n"/>
      <c r="D287" s="2" t="inlineStr">
        <is>
          <t>N-acetylcysteine (NAC) IV infusion protocol</t>
        </is>
      </c>
      <c r="E287" s="2" t="inlineStr">
        <is>
          <t>Atropine sulfate 2 mg IV Q5-10 min</t>
        </is>
      </c>
      <c r="F287" s="2" t="inlineStr">
        <is>
          <t>Pralidoxime (2-PAM) 1-2 g IV over 30 min</t>
        </is>
      </c>
      <c r="G287" s="2" t="inlineStr">
        <is>
          <t>Naloxone 0.4 mg IV stat</t>
        </is>
      </c>
      <c r="H287" s="2" t="inlineStr">
        <is>
          <t>Flumazenil 0.2 mg IV stat</t>
        </is>
      </c>
      <c r="I287" s="8" t="inlineStr">
        <is>
          <t>1</t>
        </is>
      </c>
      <c r="J2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87" s="2" t="n"/>
      <c r="L287" s="2" t="inlineStr">
        <is>
          <t>General Therapeutics</t>
        </is>
      </c>
      <c r="M287" s="2" t="inlineStr">
        <is>
          <t>Clinic</t>
        </is>
      </c>
      <c r="N287" s="2" t="inlineStr">
        <is>
          <t>PLE_CC1_2565_Day2_Key ข้อ 81</t>
        </is>
      </c>
      <c r="O287" s="2" t="inlineStr">
        <is>
          <t>ข้อสอบจริง</t>
        </is>
      </c>
      <c r="P287" s="2" t="inlineStr">
        <is>
          <t>ปี 2565</t>
        </is>
      </c>
    </row>
    <row r="288" ht="13.2" customHeight="1" s="37">
      <c r="A288" s="8" t="inlineStr">
        <is>
          <t>310</t>
        </is>
      </c>
      <c r="B288" s="2" t="inlineStr">
        <is>
          <t>Seborrheic dermatitis</t>
        </is>
      </c>
      <c r="C288" s="2" t="n"/>
      <c r="D288" s="2" t="inlineStr">
        <is>
          <t>Naloxone 0.4 mg IV stat</t>
        </is>
      </c>
      <c r="E288" s="2" t="inlineStr">
        <is>
          <t>Flumazenil 0.2 mg IV stat</t>
        </is>
      </c>
      <c r="F288" s="2" t="inlineStr">
        <is>
          <t>Vitamin K1 (Phytomenadione) 10 mg IV slow</t>
        </is>
      </c>
      <c r="G288" s="2" t="inlineStr">
        <is>
          <t>Sodium thiosulfate 25% 50 mL IV</t>
        </is>
      </c>
      <c r="H288" s="2" t="inlineStr">
        <is>
          <t>Calcium disodium EDTA 1 g IV</t>
        </is>
      </c>
      <c r="I288" s="8" t="inlineStr">
        <is>
          <t>1</t>
        </is>
      </c>
      <c r="J2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88" s="2" t="n"/>
      <c r="L288" s="2" t="inlineStr">
        <is>
          <t>General Therapeutics</t>
        </is>
      </c>
      <c r="M288" s="2" t="inlineStr">
        <is>
          <t>Clinic</t>
        </is>
      </c>
      <c r="N288" s="2" t="inlineStr">
        <is>
          <t>PLE_CC1_2565_Day2_Key ข้อ 12</t>
        </is>
      </c>
      <c r="O288" s="2" t="inlineStr">
        <is>
          <t>ข้อสอบจริง</t>
        </is>
      </c>
      <c r="P288" s="2" t="inlineStr">
        <is>
          <t>ปี 2565</t>
        </is>
      </c>
    </row>
    <row r="289" ht="13.2" customHeight="1" s="37">
      <c r="A289" s="8" t="inlineStr">
        <is>
          <t>311</t>
        </is>
      </c>
      <c r="B289" s="2" t="inlineStr">
        <is>
          <t>Allergic conjunctivitis</t>
        </is>
      </c>
      <c r="C289" s="2" t="n"/>
      <c r="D289" s="2" t="inlineStr">
        <is>
          <t>Timolol 0.5% eye drops 1 drop BID</t>
        </is>
      </c>
      <c r="E289" s="2" t="inlineStr">
        <is>
          <t>Latanoprost 0.005% eye drops 1 drop HS</t>
        </is>
      </c>
      <c r="F289" s="2" t="inlineStr">
        <is>
          <t>Brimonidine 0.2% eye drops 1 drop BID</t>
        </is>
      </c>
      <c r="G289" s="2" t="inlineStr">
        <is>
          <t>Dorzolamide 2% eye drops 1 drop BID</t>
        </is>
      </c>
      <c r="H289" s="2" t="inlineStr">
        <is>
          <t>Tobramycin 0.3% eye drops 1 drop QID</t>
        </is>
      </c>
      <c r="I289" s="8" t="inlineStr">
        <is>
          <t>1</t>
        </is>
      </c>
      <c r="J289" s="2" t="inlineStr">
        <is>
          <t>✅ คำตอบที่ถูกต้อง: ข้อ ก. Timolol 0.5% eye drops 1 drop BID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Timolol 0.5% eye drops 1 drop BID
🔍 ข้ออื่นผิดเพราะอะไร:
• ข้อ ข. (Latanoprost 0.005% eye drops 1 drop HS): ข้อนี้ไม่ใช่คำตอบที่ถูกต้องสำหรับภาวะ Eye Disorders เนื่องจากกลไกการออกฤทธิ์, efficacy หรือข้อบ่งใช้ไม่ตรงกับโจทย์ที่กำหนด
• ข้อ ค. (Brimonidine 0.2% eye drops 1 drop BID): ข้อนี้ไม่ใช่คำตอบที่ถูกต้องสำหรับภาวะ Eye Disorders เนื่องจากกลไกการออกฤทธิ์, efficacy หรือข้อบ่งใช้ไม่ตรงกับโจทย์ที่กำหนด
• ข้อ ง. (Dorzolamide 2% eye drops 1 drop BID): ข้อนี้ไม่ใช่คำตอบที่ถูกต้องสำหรับภาวะ Eye Disorders เนื่องจากกลไกการออกฤทธิ์, efficacy หรือข้อบ่งใช้ไม่ตรงกับโจทย์ที่กำหนด
• ข้อ จ. (Tobramycin 0.3% eye drops 1 drop QID): ข้อนี้ไม่ใช่คำตอบที่ถูกต้องสำหรับภาวะ Eye Disorders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9" s="2" t="n"/>
      <c r="L289" s="2" t="inlineStr">
        <is>
          <t>Eye Disorders</t>
        </is>
      </c>
      <c r="M289" s="2" t="inlineStr">
        <is>
          <t>Clinic</t>
        </is>
      </c>
      <c r="N289" s="2" t="inlineStr">
        <is>
          <t>PLE_CC1_2565_Day2_Key ข้อ 13</t>
        </is>
      </c>
      <c r="O289" s="2" t="inlineStr">
        <is>
          <t>ข้อสอบจริง</t>
        </is>
      </c>
      <c r="P289" s="2" t="inlineStr">
        <is>
          <t>ปี 2565</t>
        </is>
      </c>
    </row>
    <row r="290" ht="13.2" customHeight="1" s="37">
      <c r="A290" s="8" t="inlineStr">
        <is>
          <t>312</t>
        </is>
      </c>
      <c r="B290" s="2" t="inlineStr">
        <is>
          <t>Hormone replacement therapy</t>
        </is>
      </c>
      <c r="C290" s="2" t="n"/>
      <c r="D290" s="2" t="inlineStr">
        <is>
          <t>Dimercaprol (BAL) 3 mg/kg IM</t>
        </is>
      </c>
      <c r="E290" s="2" t="inlineStr">
        <is>
          <t>Ethanol 10% IV infusion for Methanol poisoning</t>
        </is>
      </c>
      <c r="F290" s="2" t="inlineStr">
        <is>
          <t>Fomepizole 15 mg/kg IV loading</t>
        </is>
      </c>
      <c r="G290" s="2" t="inlineStr">
        <is>
          <t>N-acetylcysteine (NAC) IV infusion protocol</t>
        </is>
      </c>
      <c r="H290" s="2" t="inlineStr">
        <is>
          <t>Atropine sulfate 2 mg IV Q5-10 min</t>
        </is>
      </c>
      <c r="I290" s="8" t="inlineStr">
        <is>
          <t>1</t>
        </is>
      </c>
      <c r="J2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0" s="2" t="n"/>
      <c r="L290" s="2" t="inlineStr">
        <is>
          <t>General Therapeutics</t>
        </is>
      </c>
      <c r="M290" s="2" t="inlineStr">
        <is>
          <t>Clinic</t>
        </is>
      </c>
      <c r="N290" s="2" t="inlineStr">
        <is>
          <t>PLE_CC1_2565_Day2_Key ข้อ 14</t>
        </is>
      </c>
      <c r="O290" s="2" t="inlineStr">
        <is>
          <t>ข้อสอบจริง</t>
        </is>
      </c>
      <c r="P290" s="2" t="inlineStr">
        <is>
          <t>ปี 2565</t>
        </is>
      </c>
    </row>
    <row r="291" ht="13.2" customHeight="1" s="37">
      <c r="A291" s="8" t="inlineStr">
        <is>
          <t>313</t>
        </is>
      </c>
      <c r="B291" s="2" t="inlineStr">
        <is>
          <t>Sexually transmitted diseases</t>
        </is>
      </c>
      <c r="C291" s="2" t="n"/>
      <c r="D291" s="2" t="inlineStr">
        <is>
          <t>N-acetylcysteine (NAC) IV infusion protocol</t>
        </is>
      </c>
      <c r="E291" s="2" t="inlineStr">
        <is>
          <t>Atropine sulfate 2 mg IV Q5-10 min</t>
        </is>
      </c>
      <c r="F291" s="2" t="inlineStr">
        <is>
          <t>Pralidoxime (2-PAM) 1-2 g IV over 30 min</t>
        </is>
      </c>
      <c r="G291" s="2" t="inlineStr">
        <is>
          <t>Naloxone 0.4 mg IV stat</t>
        </is>
      </c>
      <c r="H291" s="2" t="inlineStr">
        <is>
          <t>Flumazenil 0.2 mg IV stat</t>
        </is>
      </c>
      <c r="I291" s="8" t="inlineStr">
        <is>
          <t>1</t>
        </is>
      </c>
      <c r="J2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91" s="2" t="n"/>
      <c r="L291" s="2" t="inlineStr">
        <is>
          <t>General Therapeutics</t>
        </is>
      </c>
      <c r="M291" s="2" t="inlineStr">
        <is>
          <t>Clinic</t>
        </is>
      </c>
      <c r="N291" s="2" t="inlineStr">
        <is>
          <t>PLE_CC1_2565_Day2_Key ข้อ 18</t>
        </is>
      </c>
      <c r="O291" s="2" t="inlineStr">
        <is>
          <t>ข้อสอบจริง</t>
        </is>
      </c>
      <c r="P291" s="2" t="inlineStr">
        <is>
          <t>ปี 2565</t>
        </is>
      </c>
    </row>
    <row r="292" ht="13.2" customHeight="1" s="37">
      <c r="A292" s="8" t="inlineStr">
        <is>
          <t>314</t>
        </is>
      </c>
      <c r="B292" s="2" t="inlineStr">
        <is>
          <t>ผู้ชายมาขอซื้อยาที่ร้าน หัวเป็นขุยๆ ขาวๆเป็นๆหายๆ มาปีนึง เป็นเยอะตอนเหงื่อออก ตอนอากาศร้อน ถามยาที่ควรใช้</t>
        </is>
      </c>
      <c r="C292" s="2" t="n"/>
      <c r="D292" s="2" t="inlineStr">
        <is>
          <t>Naloxone 0.4 mg IV stat</t>
        </is>
      </c>
      <c r="E292" s="2" t="inlineStr">
        <is>
          <t>selenium shampoo / b. keto cream / c. mupirocin ointment</t>
        </is>
      </c>
      <c r="F292" s="2" t="inlineStr">
        <is>
          <t>Vitamin K1 (Phytomenadione) 10 mg IV slow</t>
        </is>
      </c>
      <c r="G292" s="2" t="inlineStr">
        <is>
          <t>Sodium thiosulfate 25% 50 mL IV</t>
        </is>
      </c>
      <c r="H292" s="2" t="inlineStr">
        <is>
          <t>Calcium disodium EDTA 1 g IV</t>
        </is>
      </c>
      <c r="I292" s="8" t="inlineStr">
        <is>
          <t>1</t>
        </is>
      </c>
      <c r="J2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coal tar, ketoconazole 2%, ciclopirox 1%) https://www.aafp.org/dam/brand/aafp/pubs/afp/issues/2015/0201/p185.pdf ..............................................................................................................................................................................................................
🔍 ข้ออื่นผิดเพราะอะไร:
• ข้อ ข. (selenium shampoo / b. keto cream / c. mupirocin ointment):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92" s="2" t="n"/>
      <c r="L292" s="2" t="inlineStr">
        <is>
          <t>General Therapeutics</t>
        </is>
      </c>
      <c r="M292" s="2" t="inlineStr">
        <is>
          <t>Clinic</t>
        </is>
      </c>
      <c r="N292" s="2" t="inlineStr">
        <is>
          <t>PLE_CC1_2564_All_Key ข้อ 13</t>
        </is>
      </c>
      <c r="O292" s="2" t="inlineStr">
        <is>
          <t>ข้อสอบจริง</t>
        </is>
      </c>
      <c r="P292" s="2" t="inlineStr">
        <is>
          <t>ปี 2564</t>
        </is>
      </c>
    </row>
    <row r="293" ht="13.2" customHeight="1" s="37">
      <c r="A293" s="8" t="inlineStr">
        <is>
          <t>315</t>
        </is>
      </c>
      <c r="B293" s="2" t="inlineStr">
        <is>
          <t>ส่วนประกอบใดของ MDI ทำหน้าที่ปรับขนาดอนุภาคของละอองฝอย</t>
        </is>
      </c>
      <c r="C293" s="2" t="n"/>
      <c r="D293" s="2" t="inlineStr">
        <is>
          <t>พ.ร.บ. วัตถุที่ออกฤทธิ์ต่อจิตและประสาท พ.ศ. 2559 (ประเภท 2 และ 4)</t>
        </is>
      </c>
      <c r="E293" s="2" t="inlineStr">
        <is>
          <t>พ.ร.บ. วิชาชีพเภสัชกรรม พ.ศ. 2537 และข้อบังคับจรรยาบรรณวิชาชีพ</t>
        </is>
      </c>
      <c r="F293" s="2" t="inlineStr">
        <is>
          <t>พ.ร.บ. ผลิตภัณฑ์สมุนไพร พ.ศ. 2562</t>
        </is>
      </c>
      <c r="G293" s="2" t="inlineStr">
        <is>
          <t>พ.ร.บ. เครื่องสำอาง พ.ศ. 2558</t>
        </is>
      </c>
      <c r="H293" s="2" t="inlineStr">
        <is>
          <t>พ.ร.บ. หลักประกันสุขภาพแห่งชาติ พ.ศ. 2545</t>
        </is>
      </c>
      <c r="I293" s="8" t="inlineStr">
        <is>
          <t>1</t>
        </is>
      </c>
      <c r="J29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3" s="2" t="n"/>
      <c r="L293" s="2" t="inlineStr">
        <is>
          <t>Pharmacy Laws &amp; Ethics</t>
        </is>
      </c>
      <c r="M293" s="2" t="inlineStr">
        <is>
          <t>SAP</t>
        </is>
      </c>
      <c r="N293" s="2" t="inlineStr">
        <is>
          <t>PLE_CC1_2564_All_Key ข้อ 4</t>
        </is>
      </c>
      <c r="O293" s="2" t="inlineStr">
        <is>
          <t>ข้อสอบจริง</t>
        </is>
      </c>
      <c r="P293" s="2" t="inlineStr">
        <is>
          <t>ปี 2564</t>
        </is>
      </c>
    </row>
    <row r="294" ht="13.2" customHeight="1" s="37">
      <c r="A294" s="8" t="inlineStr">
        <is>
          <t>316</t>
        </is>
      </c>
      <c r="B294" s="2" t="inlineStr">
        <is>
          <t>ถ้าจ่ายยาพ่นสเปรย์ ควรแนะนำว่าไม่ควรพ่นเกิน 5 วัน เพราะอะไร</t>
        </is>
      </c>
      <c r="C294" s="2" t="n"/>
      <c r="D294" s="2" t="inlineStr">
        <is>
          <t>Dimercaprol (BAL) 3 mg/kg IM</t>
        </is>
      </c>
      <c r="E294" s="2" t="inlineStr">
        <is>
          <t>ทำให้กำเดาไหล b) ทำให้คัดจมูกมากขึ้น</t>
        </is>
      </c>
      <c r="F294" s="2" t="inlineStr">
        <is>
          <t>ทำให้คัดจมูกมากขึ้น (คาดว่ายาพ่นสเปรย์ในที่นี้เป็นพวก intranasal decongestant คือยาเช่น oxymetazoline</t>
        </is>
      </c>
      <c r="G294" s="2" t="inlineStr">
        <is>
          <t>N-acetylcysteine (NAC) IV infusion protocol</t>
        </is>
      </c>
      <c r="H294" s="2" t="inlineStr">
        <is>
          <t>Atropine sulfate 2 mg IV Q5-10 min</t>
        </is>
      </c>
      <c r="I294" s="8" t="inlineStr">
        <is>
          <t>1</t>
        </is>
      </c>
      <c r="J2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หรือ xylometazoline ซึ่งหากใช้ติดต่อกันจะทำให้เกิด rebound congestion ได้) จาก: ชีทเรียน CPT I เรื่อง allergic rhinitis
🔍 ข้ออื่นผิดเพราะอะไร:
• ข้อ ข. (ทำให้กำเดาไหล b) ทำให้คัดจมูกมากขึ้น): ข้อนี้ไม่ใช่คำตอบที่ถูกต้องสำหรับภาวะ General Therapeutics เนื่องจากกลไกการออกฤทธิ์, efficacy หรือข้อบ่งใช้ไม่ตรงกับโจทย์ที่กำหนด
• ข้อ ค. (ทำให้คัดจมูกมากขึ้น (คาดว่ายาพ่นสเปรย์ในที่นี้เป็นพวก intranasal decongestant คือยาเช่น oxymetazoline): เป็น topical alpha-1 agonist ยาพ่นจมูกลดบวม ห้ามใช้ติดต่อกันเกิน 3-5 วัน เนื่องจากเสี่ยงต่อการเกิด rebound congestion (Rhinitis medicamentosa)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4" s="2" t="n"/>
      <c r="L294" s="2" t="inlineStr">
        <is>
          <t>General Therapeutics</t>
        </is>
      </c>
      <c r="M294" s="2" t="inlineStr">
        <is>
          <t>Clinic</t>
        </is>
      </c>
      <c r="N294" s="2" t="inlineStr">
        <is>
          <t>PLE_CC1_2564_All_Key ข้อ 8</t>
        </is>
      </c>
      <c r="O294" s="2" t="inlineStr">
        <is>
          <t>ข้อสอบจริง</t>
        </is>
      </c>
      <c r="P294" s="2" t="inlineStr">
        <is>
          <t>ปี 2564</t>
        </is>
      </c>
    </row>
    <row r="295" ht="13.2" customHeight="1" s="37">
      <c r="A295" s="8" t="inlineStr">
        <is>
          <t>317</t>
        </is>
      </c>
      <c r="B295" s="2" t="inlineStr">
        <is>
          <t>ไม่ควรให้ยาอะไร</t>
        </is>
      </c>
      <c r="C295" s="2" t="n"/>
      <c r="D295" s="2" t="inlineStr">
        <is>
          <t>N-acetylcysteine (NAC) IV infusion protocol</t>
        </is>
      </c>
      <c r="E295" s="2" t="inlineStr">
        <is>
          <t>Atropine sulfate 2 mg IV Q5-10 min</t>
        </is>
      </c>
      <c r="F295" s="2" t="inlineStr">
        <is>
          <t>Pralidoxime (2-PAM) 1-2 g IV over 30 min</t>
        </is>
      </c>
      <c r="G295" s="2" t="inlineStr">
        <is>
          <t>Naloxone 0.4 mg IV stat</t>
        </is>
      </c>
      <c r="H295" s="2" t="inlineStr">
        <is>
          <t>Flumazenil 0.2 mg IV stat</t>
        </is>
      </c>
      <c r="I295" s="8" t="inlineStr">
        <is>
          <t>1</t>
        </is>
      </c>
      <c r="J2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95" s="2" t="n"/>
      <c r="L295" s="2" t="inlineStr">
        <is>
          <t>General Therapeutics</t>
        </is>
      </c>
      <c r="M295" s="2" t="inlineStr">
        <is>
          <t>Clinic</t>
        </is>
      </c>
      <c r="N295" s="2" t="inlineStr">
        <is>
          <t>PLE_CC1_2564_All_Key ข้อ 9</t>
        </is>
      </c>
      <c r="O295" s="2" t="inlineStr">
        <is>
          <t>ข้อสอบจริง</t>
        </is>
      </c>
      <c r="P295" s="2" t="inlineStr">
        <is>
          <t>ปี 2564</t>
        </is>
      </c>
    </row>
    <row r="296" ht="13.2" customHeight="1" s="37">
      <c r="A296" s="8" t="inlineStr">
        <is>
          <t>318</t>
        </is>
      </c>
      <c r="B296" s="2" t="inlineStr">
        <is>
          <t>K+ สูงให้อะไร, ผู้ป่วย EKG ปกติ</t>
        </is>
      </c>
      <c r="C296" s="2" t="n"/>
      <c r="D296" s="2" t="inlineStr">
        <is>
          <t>Naloxone 0.4 mg IV stat</t>
        </is>
      </c>
      <c r="E296" s="2" t="inlineStr">
        <is>
          <t>calcium polystyrene b) mg ไรสักอย่าง c) calcium gluconate d) calcium carbonate https://www.fda.moph.go.th/sites/drug/GPPPageFile/Operator/ManagementGPP(29Oct2015).pdf</t>
        </is>
      </c>
      <c r="F296" s="2" t="inlineStr">
        <is>
          <t>Vitamin K1 (Phytomenadione) 10 mg IV slow</t>
        </is>
      </c>
      <c r="G296" s="2" t="inlineStr">
        <is>
          <t>Sodium thiosulfate 25% 50 mL IV</t>
        </is>
      </c>
      <c r="H296" s="2" t="inlineStr">
        <is>
          <t>Calcium disodium EDTA 1 g IV</t>
        </is>
      </c>
      <c r="I296" s="8" t="inlineStr">
        <is>
          <t>1</t>
        </is>
      </c>
      <c r="J2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
🔍 ข้ออื่นผิดเพราะอะไร:
• ข้อ ข. (calcium polystyrene b) mg ไรสักอย่าง c) calcium gluconate d) calcium carbonate https://www.fda.moph.go.th/sites/drug/GPPPageFile/Operator/ManagementGPP(29Oct2015).pdf): เป็น Phosphate binder สำหรับ CKD ต้องเคี้ยวพร้อมอาหารเพื่อจับฟอสเฟตในทางเดินอาหาร และทำหน้าที่เสริมแคลเซียม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96" s="2" t="n"/>
      <c r="L296" s="2" t="inlineStr">
        <is>
          <t>General Therapeutics</t>
        </is>
      </c>
      <c r="M296" s="2" t="inlineStr">
        <is>
          <t>Clinic</t>
        </is>
      </c>
      <c r="N296" s="2" t="inlineStr">
        <is>
          <t>PLE_CC1_2564_All_Key ข้อ 22</t>
        </is>
      </c>
      <c r="O296" s="2" t="inlineStr">
        <is>
          <t>ข้อสอบจริง</t>
        </is>
      </c>
      <c r="P296" s="2" t="inlineStr">
        <is>
          <t>ปี 2564</t>
        </is>
      </c>
    </row>
    <row r="297" ht="13.2" customHeight="1" s="37">
      <c r="A297" s="8" t="inlineStr">
        <is>
          <t>319</t>
        </is>
      </c>
      <c r="B297" s="2" t="inlineStr">
        <is>
          <t>ยาแก้ปวดในข้อใดเหมาะสมในผู้ป่วยรายนี้</t>
        </is>
      </c>
      <c r="C297" s="2" t="n"/>
      <c r="D297" s="2" t="inlineStr">
        <is>
          <t>Sodium thiosulfate 25% 50 mL IV</t>
        </is>
      </c>
      <c r="E297" s="2" t="inlineStr">
        <is>
          <t>etoricoxib + capsaicin cream b) naproxen + capsaicin cream c) diclofenac + ... d) NSAIDs สักตัวหนึ่ง + omeprazole จาก 2019 ACR Guideline for the Management of Osteoarthritis of the Hand, Hip, and Knee แนะนำให้ใช้ oral NSAIDs ในผู้ป่วย knee, hip, and/or hand OA (strong recommended) ผู้ป่วยเป็นมะเร็งตับระดับ benign แบบ Hepatocellular adenomaและระดับ. Malignant (hepatoma) ผู้ป่วยที่มีการปลูกถ่ายอวัยวะแบบ complicated เป็นต้น https://www.cdc.gov/mmwr/volumes/65/rr/pdfs/rr6503.pdf 144-147) กล่าวไว้ว่าอาการข้างเคียงของยาเม็ดคุมกำเนิดและ คำแนะนำการปฏิบัติตัวคือ อาการเจ็บคัดเต้านม จะพบได้ในระยะแรกของการใช้ยา ซึ่งผู้ใช้ส่วนใหญ่จะมีอาการลดลงหรือหายไปในเวลาต่อมา หรือเป็นอยู่นานจนเป็นปัญหาหรือกังวลใจ สามารถปรึกษาแพทย์หรือเภสัชกร เพื่อปรับยาหรือเปลี่ยนยาได้</t>
        </is>
      </c>
      <c r="F297" s="2" t="inlineStr">
        <is>
          <t>Desferrioxamine 1 g IM/IV</t>
        </is>
      </c>
      <c r="G297" s="2" t="inlineStr">
        <is>
          <t>Dimercaprol (BAL) 3 mg/kg IM</t>
        </is>
      </c>
      <c r="H297" s="2" t="inlineStr">
        <is>
          <t>Ethanol 10% IV infusion for Methanol poisoning</t>
        </is>
      </c>
      <c r="I297" s="8" t="inlineStr">
        <is>
          <t>1</t>
        </is>
      </c>
      <c r="J2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จากคู่มือทักษะตามเกณฑ์ความรู้ความสามารถทางวิชาชีพเภสัชกรรม พ.ศ. 2562 ในหัวข้อของยาเม็ดคุมกำเนิด (หน้าที่ (ในย่อหน้าสุดท้ายกล่าวไว้ว่าผลข้างเคียงต่าง ๆ ส่วนใหญ่หายได้เองเมื่อใช้ยาไป 2-3 เดือน แต่ถ้าหากมีอาการมาก แต่ในโจทย์ผู้ป่วยยังไม่เคยใช้ยามาก่อน ดังนั้น คำตอบในข้อนี้น่าจะแนะนำว่าเป็นอาการที่พบได้ในช่วงแรก ๆ ใช้ไปสักพักอาการน่าจะหายไปเอง), https://www.pharmacycouncil.org/index.php?option=content_detail&amp;menuid=0&amp;itemid=1433&amp;catid=1
🔍 ข้ออื่นผิดเพราะอะไร:
• ข้อ ข. (etoricoxib + capsaicin cream b) naproxen + capsaicin cream c) diclofenac + ... d) NSAIDs สักตัวหนึ่ง + omeprazole จาก 2019 ACR Guideline for the Management of Osteoarthritis of the Hand, Hip, and Knee แนะนำให้ใช้ oral NSAIDs ในผู้ป่วย knee, hip, and/or hand OA (strong recommended) ผู้ป่วยเป็นมะเร็งตับระดับ benign แบบ Hepatocellular adenomaและระดับ. Malignant (hepatoma) ผู้ป่วยที่มีการปลูกถ่ายอวัยวะแบบ complicated เป็นต้น https://www.cdc.gov/mmwr/volumes/65/rr/pdfs/rr6503.pdf 144-147) กล่าวไว้ว่าอาการข้างเคียงของยาเม็ดคุมกำเนิดและ คำแนะนำการปฏิบัติตัวคือ อาการเจ็บคัดเต้านม จะพบได้ในระยะแรกของการใช้ยา ซึ่งผู้ใช้ส่วนใหญ่จะมีอาการลดลงหรือหายไปในเวลาต่อมา หรือเป็นอยู่นานจนเป็นปัญหาหรือกังวลใจ สามารถปรึกษาแพทย์หรือเภสัชกร เพื่อปรับยาหรือเปลี่ยนยาได้): เป็น non-selective NSAID ที่มี cardiovascular safety profile ดีที่สุด และมี efficacy สูงในการระงับ acute inflammation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7" s="2" t="n"/>
      <c r="L297" s="2" t="inlineStr">
        <is>
          <t>General Therapeutics</t>
        </is>
      </c>
      <c r="M297" s="2" t="inlineStr">
        <is>
          <t>Clinic</t>
        </is>
      </c>
      <c r="N297" s="2" t="inlineStr">
        <is>
          <t>PLE_CC1_2564_All_Key ข้อ 29</t>
        </is>
      </c>
      <c r="O297" s="2" t="inlineStr">
        <is>
          <t>ข้อสอบจริง</t>
        </is>
      </c>
      <c r="P297" s="2" t="inlineStr">
        <is>
          <t>ปี 2564</t>
        </is>
      </c>
    </row>
    <row r="298" ht="13.2" customHeight="1" s="37">
      <c r="A298" s="8" t="inlineStr">
        <is>
          <t>320</t>
        </is>
      </c>
      <c r="B298" s="2" t="inlineStr">
        <is>
          <t>ปวดแสบท้อง แน่นท้อง กิน Diclofenac มา เพราะปวดขา เคยเป็น MI เมื่อ 2 ปีที่แล้ว ต้องให้ยาอะไร</t>
        </is>
      </c>
      <c r="C298" s="2" t="n"/>
      <c r="D298" s="2" t="inlineStr">
        <is>
          <t>Diltiazem 30 mg TID</t>
        </is>
      </c>
      <c r="E298" s="2" t="inlineStr">
        <is>
          <t>Warfarin 3 mg OD (target INR 2.0-3.0)</t>
        </is>
      </c>
      <c r="F298" s="2" t="inlineStr">
        <is>
          <t>Furosemide 40 mg OD</t>
        </is>
      </c>
      <c r="G298" s="2" t="inlineStr">
        <is>
          <t>Amlodipine 5 mg OD</t>
        </is>
      </c>
      <c r="H298" s="2" t="inlineStr">
        <is>
          <t>Losartan 50 mg OD</t>
        </is>
      </c>
      <c r="I298" s="8" t="inlineStr">
        <is>
          <t>1</t>
        </is>
      </c>
      <c r="J298" s="2" t="inlineStr">
        <is>
          <t>✅ คำตอบที่ถูกต้อง: ข้อ ก. Diltiazem 30 mg TID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[NEED_REVIEW]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98" s="2" t="n"/>
      <c r="L298" s="2" t="inlineStr">
        <is>
          <t>Cardiovascular Diseases</t>
        </is>
      </c>
      <c r="M298" s="2" t="inlineStr">
        <is>
          <t>Clinic</t>
        </is>
      </c>
      <c r="N298" s="2" t="inlineStr">
        <is>
          <t>PLE_CC1_2564_All_Key ข้อ 42</t>
        </is>
      </c>
      <c r="O298" s="2" t="inlineStr">
        <is>
          <t>ข้อสอบจริง</t>
        </is>
      </c>
      <c r="P298" s="2" t="inlineStr">
        <is>
          <t>ปี 2564</t>
        </is>
      </c>
      <c r="Q298" s="2" t="inlineStr">
        <is>
          <t xml:space="preserve"> Cimetidine Diclofenac มาก็เลยให้ PPIs เลย</t>
        </is>
      </c>
    </row>
    <row r="299" ht="13.2" customHeight="1" s="37">
      <c r="A299" s="8" t="inlineStr">
        <is>
          <t>321</t>
        </is>
      </c>
      <c r="B299" s="2" t="inlineStr">
        <is>
          <t>Propranolol ไม่ช่วยเรื่องอะไร</t>
        </is>
      </c>
      <c r="C299" s="2" t="n"/>
      <c r="D299" s="2" t="inlineStr">
        <is>
          <t>N-acetylcysteine (NAC) IV infusion protocol</t>
        </is>
      </c>
      <c r="E299" s="2" t="inlineStr">
        <is>
          <t>ยับยั้งการเปลี่ยน T4 เป็น T3</t>
        </is>
      </c>
      <c r="F299" s="2" t="inlineStr">
        <is>
          <t>อาการสั่น Propranolol สามารถยับยั้งการเปลี่ยน Peripheral conversion of T4 to T3 และลด Sympathetic effect จาก: ชีท CPT3 thyroid disorder// Pharmaco2 Thyroid hormone</t>
        </is>
      </c>
      <c r="G299" s="2" t="inlineStr">
        <is>
          <t>Naloxone 0.4 mg IV stat</t>
        </is>
      </c>
      <c r="H299" s="2" t="inlineStr">
        <is>
          <t>Flumazenil 0.2 mg IV stat</t>
        </is>
      </c>
      <c r="I299" s="8" t="inlineStr">
        <is>
          <t>1</t>
        </is>
      </c>
      <c r="J2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ช่วยลดอาการ tremor(สั่น), palpitation (ใจสั่น), tachycadia ดังนั้นถูกทั้ง 2 ช้อย ไปหาช้อยอื่นในข้อสอบตอบแทน
🔍 ข้ออื่นผิดเพราะอะไร:
• ข้อ ข. (ยับยั้งการเปลี่ยน T4 เป็น T3): ข้อนี้ไม่ใช่คำตอบที่ถูกต้องสำหรับภาวะ General Therapeutics เนื่องจากกลไกการออกฤทธิ์, efficacy หรือข้อบ่งใช้ไม่ตรงกับโจทย์ที่กำหนด
• ข้อ ค. (อาการสั่น Propranolol สามารถยับยั้งการเปลี่ยน Peripheral conversion of T4 to T3 และลด Sympathetic effect จาก: ชีท CPT3 thyroid disorder// Pharmaco2 Thyroid hormone): เป็น non-selective beta-blocker ข้าม blood-brain barrier ได้ดี เหมาะสำหรับ performance anxiety, essential tremor, migraine prophylaxis และ thyroid storm แต่ contraindication ใน asthma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99" s="2" t="n"/>
      <c r="L299" s="2" t="inlineStr">
        <is>
          <t>General Therapeutics</t>
        </is>
      </c>
      <c r="M299" s="2" t="inlineStr">
        <is>
          <t>Clinic</t>
        </is>
      </c>
      <c r="N299" s="2" t="inlineStr">
        <is>
          <t>PLE_CC1_2564_All_Key ข้อ 37</t>
        </is>
      </c>
      <c r="O299" s="2" t="inlineStr">
        <is>
          <t>ข้อสอบจริง</t>
        </is>
      </c>
      <c r="P299" s="2" t="inlineStr">
        <is>
          <t>ปี 2564</t>
        </is>
      </c>
    </row>
    <row r="300" ht="13.2" customHeight="1" s="37">
      <c r="A300" s="8" t="inlineStr">
        <is>
          <t>322</t>
        </is>
      </c>
      <c r="B300" s="2" t="inlineStr">
        <is>
          <t>ลดการอักเสบ ซึ่งทำให้เกิดอาการปวดและการทำลายข้อ</t>
        </is>
      </c>
      <c r="C300" s="2" t="n"/>
      <c r="D300" s="2" t="inlineStr">
        <is>
          <t>Naloxone 0.4 mg IV stat</t>
        </is>
      </c>
      <c r="E300" s="2" t="inlineStr">
        <is>
          <t>Flumazenil 0.2 mg IV stat</t>
        </is>
      </c>
      <c r="F300" s="2" t="inlineStr">
        <is>
          <t>Vitamin K1 (Phytomenadione) 10 mg IV slow</t>
        </is>
      </c>
      <c r="G300" s="2" t="inlineStr">
        <is>
          <t>Sodium thiosulfate 25% 50 mL IV</t>
        </is>
      </c>
      <c r="H300" s="2" t="inlineStr">
        <is>
          <t>Calcium disodium EDTA 1 g IV</t>
        </is>
      </c>
      <c r="I300" s="8" t="inlineStr">
        <is>
          <t>1</t>
        </is>
      </c>
      <c r="J3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00" s="2" t="n"/>
      <c r="L300" s="2" t="inlineStr">
        <is>
          <t>General Therapeutics</t>
        </is>
      </c>
      <c r="M300" s="2" t="inlineStr">
        <is>
          <t>Clinic</t>
        </is>
      </c>
      <c r="N300" s="2" t="inlineStr">
        <is>
          <t>PLE_CC1_2564_All_Key ข้อ 2</t>
        </is>
      </c>
      <c r="O300" s="2" t="inlineStr">
        <is>
          <t>ข้อสอบจริง</t>
        </is>
      </c>
      <c r="P300" s="2" t="inlineStr">
        <is>
          <t>ปี 2564</t>
        </is>
      </c>
    </row>
    <row r="301" ht="13.2" customHeight="1" s="37">
      <c r="A301" s="8" t="inlineStr">
        <is>
          <t>323</t>
        </is>
      </c>
      <c r="B301" s="2" t="inlineStr">
        <is>
          <t>ทำให้สภาพข้อใช้งานได้เหมือนปกติ" https://www.rama.mahidol.ac.th/med/sites/default/files/public/pdf/medicinebook1/Rheumatoid%20arthritis.pdf ................................................................................................................................................................................................................................................</t>
        </is>
      </c>
      <c r="C301" s="2" t="n"/>
      <c r="D301" s="2" t="inlineStr">
        <is>
          <t>Alendronate 70 mg weekly</t>
        </is>
      </c>
      <c r="E301" s="2" t="inlineStr">
        <is>
          <t>Glucosamine sulfate 1500 mg OD</t>
        </is>
      </c>
      <c r="F301" s="2" t="inlineStr">
        <is>
          <t>Hydroxychloroquine 200 mg OD</t>
        </is>
      </c>
      <c r="G301" s="2" t="inlineStr">
        <is>
          <t>Prednisolone 5 mg OD</t>
        </is>
      </c>
      <c r="H301" s="2" t="inlineStr">
        <is>
          <t>Zoledronic acid 5 mg IV annually</t>
        </is>
      </c>
      <c r="I301" s="8" t="inlineStr">
        <is>
          <t>1</t>
        </is>
      </c>
      <c r="J301" s="2" t="inlineStr">
        <is>
          <t>✅ คำตอบที่ถูกต้อง: ข้อ ก. Alendronate 70 mg weekly
💡 Background:
โรคข้ออักเสบรูมาตอยด์ (RA) เป็น systemic autoimmune disease ต้องรีบเริ่ม DMARDs ทันทีเพื่อป้องกัน joint destruction
🎯 ทำไมข้อนี้ถึงถูก:
Alendronate 70 mg weekly
🔍 ข้ออื่นผิดเพราะอะไร:
• ข้อ ข. (Glucosamine sulfate 1500 mg OD): เป็นเพียง dietary supplement / symptom-modifying therapy สำหรับ OA ไม่ได้จัดเป็น disease-modifying agent และ CPG สากล (ACR) ไม่แนะนำให้ใช้เป็น first-line
• ข้อ ค. (Hydroxychloroquine 200 mg OD): เป็น csDMARD ที่ปลอดภัยต่อตับและหญิงตั้งครรภ์ แต่ต้อง monitoring retinal toxicity (ตาบอด) ทุกปีหลังใช้เกิน 5 ปี
• ข้อ ง. (Prednisolone 5 mg OD): เป็น intermediate-acting systemic corticosteroid ขนาดยอดนิยมสำหรับ immunosuppressive &amp; anti-inflammatory therapy ต้องระวัง Cushingoid, infection, osteoporosis, peptic ulcer
• ข้อ จ.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01" s="2" t="n"/>
      <c r="L301" s="2" t="inlineStr">
        <is>
          <t>Musculoskeletal &amp; Joint</t>
        </is>
      </c>
      <c r="M301" s="2" t="inlineStr">
        <is>
          <t>Clinic</t>
        </is>
      </c>
      <c r="N301" s="2" t="inlineStr">
        <is>
          <t>PLE_CC1_2564_All_Key ข้อ 3</t>
        </is>
      </c>
      <c r="O301" s="2" t="inlineStr">
        <is>
          <t>ข้อสอบจริง</t>
        </is>
      </c>
      <c r="P301" s="2" t="inlineStr">
        <is>
          <t>ปี 2564</t>
        </is>
      </c>
    </row>
    <row r="302" ht="13.2" customHeight="1" s="37">
      <c r="A302" s="8" t="inlineStr">
        <is>
          <t>324</t>
        </is>
      </c>
      <c r="B302" s="2" t="inlineStr">
        <is>
          <t>ผลข้างเคียงของ orlistat</t>
        </is>
      </c>
      <c r="C302" s="2" t="n"/>
      <c r="D302" s="2" t="inlineStr">
        <is>
          <t>Dimercaprol (BAL) 3 mg/kg IM</t>
        </is>
      </c>
      <c r="E302" s="2" t="inlineStr">
        <is>
          <t>ไขมันไหลมากับขี้ มักมีการผายลม จาก: https://www-micromedexsolutions-</t>
        </is>
      </c>
      <c r="F302" s="2" t="inlineStr">
        <is>
          <t>Fomepizole 15 mg/kg IV loading</t>
        </is>
      </c>
      <c r="G302" s="2" t="inlineStr">
        <is>
          <t>N-acetylcysteine (NAC) IV infusion protocol</t>
        </is>
      </c>
      <c r="H302" s="2" t="inlineStr">
        <is>
          <t>Atropine sulfate 2 mg IV Q5-10 min</t>
        </is>
      </c>
      <c r="I302" s="8" t="inlineStr">
        <is>
          <t>1</t>
        </is>
      </c>
      <c r="J3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ผลข้างเคียงที่พบได้บ่อยของ orlistat คือ Steatorrhea (อุจจาระเป็นมัน/ไขมันไหลมากับอุจจาระ), ปวดท้อง, ท้องอืด com.ejournal.mahidol.ac.th/micromedex2/librarian/PFDefaultActionId/evidencexpert.DoIntegratedSearch?navitem=topHome&amp;isToolPage=true
🔍 ข้ออื่นผิดเพราะอะไร:
• ข้อ ข. (ไขมันไหลมากับขี้ มักมีการผายลม จาก: https://www-micromedexsolutions-):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2" s="2" t="n"/>
      <c r="L302" s="2" t="inlineStr">
        <is>
          <t>General Therapeutics</t>
        </is>
      </c>
      <c r="M302" s="2" t="inlineStr">
        <is>
          <t>Clinic</t>
        </is>
      </c>
      <c r="N302" s="2" t="inlineStr">
        <is>
          <t>PLE_CC1_2564_All_Key ข้อ 40</t>
        </is>
      </c>
      <c r="O302" s="2" t="inlineStr">
        <is>
          <t>ข้อสอบจริง</t>
        </is>
      </c>
      <c r="P302" s="2" t="inlineStr">
        <is>
          <t>ปี 2564</t>
        </is>
      </c>
    </row>
    <row r="303" ht="13.2" customHeight="1" s="37">
      <c r="A303" s="8" t="inlineStr">
        <is>
          <t>325</t>
        </is>
      </c>
      <c r="B303" s="2" t="inlineStr">
        <is>
          <t>แนะนำหรือรักษาผู้ป่วยอย่างไร</t>
        </is>
      </c>
      <c r="C303" s="2" t="n"/>
      <c r="D303" s="2" t="inlineStr">
        <is>
          <t>N-acetylcysteine (NAC) IV infusion protocol</t>
        </is>
      </c>
      <c r="E303" s="2" t="inlineStr">
        <is>
          <t>แนะให้ทานยา ปรับพฤติกรรม</t>
        </is>
      </c>
      <c r="F303" s="2" t="inlineStr">
        <is>
          <t>แนะให้ทานยา และวางแผนผ่าตัด</t>
        </is>
      </c>
      <c r="G303" s="2" t="inlineStr">
        <is>
          <t>มีผลต่อเม็ดสีตา</t>
        </is>
      </c>
      <c r="H303" s="2" t="inlineStr">
        <is>
          <t>Flumazenil 0.2 mg IV stat</t>
        </is>
      </c>
      <c r="I303" s="8" t="inlineStr">
        <is>
          <t>3</t>
        </is>
      </c>
      <c r="J303" s="2" t="inlineStr">
        <is>
          <t>✅ คำตอบที่ถูกต้อง: ข้อ ค. แนะให้ทานยา และวางแผนผ่าตัด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แนะให้ทานยา และวางแผนผ่าตัด แต่การผ่าตัดนั้นจะทำในผู้ป่วยที่มี BMI &gt;= 40 ขึ้นไป หรือ 35 แต่ควบคุมอาหารและลดน้ำหนักไม่ได้ผล หรือผู้ป่วยที่มี BMI &gt;= 30 จาก https://www.rama.mahidol.ac.th/med/sites/default/files/public/pdf/medicinebook1/Rheumatoid%20arthritis.pdf ..............................................................................................................................................................................................................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(แนะให้ทานยา ปรับพฤติกรรม): ข้อนี้ไม่ใช่คำตอบที่ถูกต้องสำหรับภาวะ General Therapeutics เนื่องจากกลไกการออกฤทธิ์, efficacy หรือข้อบ่งใช้ไม่ตรงกับโจทย์ที่กำหนด
• ข้อ ง. (มีผลต่อเม็ดสีตา):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3" s="2" t="n"/>
      <c r="L303" s="2" t="inlineStr">
        <is>
          <t>General Therapeutics</t>
        </is>
      </c>
      <c r="M303" s="2" t="inlineStr">
        <is>
          <t>Clinic</t>
        </is>
      </c>
      <c r="N303" s="2" t="inlineStr">
        <is>
          <t>PLE_CC1_2564_All_Key ข้อ 41</t>
        </is>
      </c>
      <c r="O303" s="2" t="inlineStr">
        <is>
          <t>ข้อสอบจริง</t>
        </is>
      </c>
      <c r="P303" s="2" t="inlineStr">
        <is>
          <t>ปี 2564</t>
        </is>
      </c>
    </row>
    <row r="304" ht="13.2" customHeight="1" s="37">
      <c r="A304" s="8" t="inlineStr">
        <is>
          <t>326</t>
        </is>
      </c>
      <c r="B304" s="2" t="inlineStr">
        <is>
          <t>ใช้สูตรยาที่มีตัวยาที่มีผลต่อการทำงานของตับเพียง 2 ชนิด ได้แก่ 2HRE/7HR หรือ 6-9 RZE</t>
        </is>
      </c>
      <c r="C304" s="2" t="n"/>
      <c r="D304" s="2" t="inlineStr">
        <is>
          <t>Naloxone 0.4 mg IV stat</t>
        </is>
      </c>
      <c r="E304" s="2" t="inlineStr">
        <is>
          <t>Flumazenil 0.2 mg IV stat</t>
        </is>
      </c>
      <c r="F304" s="2" t="inlineStr">
        <is>
          <t>Vitamin K1 (Phytomenadione) 10 mg IV slow</t>
        </is>
      </c>
      <c r="G304" s="2" t="inlineStr">
        <is>
          <t>Sodium thiosulfate 25% 50 mL IV</t>
        </is>
      </c>
      <c r="H304" s="2" t="inlineStr">
        <is>
          <t>Calcium disodium EDTA 1 g IV</t>
        </is>
      </c>
      <c r="I304" s="8" t="inlineStr">
        <is>
          <t>1</t>
        </is>
      </c>
      <c r="J3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04" s="2" t="n"/>
      <c r="L304" s="2" t="inlineStr">
        <is>
          <t>General Therapeutics</t>
        </is>
      </c>
      <c r="M304" s="2" t="inlineStr">
        <is>
          <t>Clinic</t>
        </is>
      </c>
      <c r="N304" s="2" t="inlineStr">
        <is>
          <t>PLE_CC1_2564_All_Key ข้อ 1</t>
        </is>
      </c>
      <c r="O304" s="2" t="inlineStr">
        <is>
          <t>ข้อสอบจริง</t>
        </is>
      </c>
      <c r="P304" s="2" t="inlineStr">
        <is>
          <t>ปี 2564</t>
        </is>
      </c>
    </row>
    <row r="305" ht="13.2" customHeight="1" s="37">
      <c r="A305" s="8" t="inlineStr">
        <is>
          <t>327</t>
        </is>
      </c>
      <c r="B305" s="2" t="inlineStr">
        <is>
          <t>เบื่อ ไม่สนใจในสิ่งที่เคยทำ (Apathy/Loss of interest)</t>
        </is>
      </c>
      <c r="C305" s="2" t="n"/>
      <c r="D305" s="2" t="inlineStr">
        <is>
          <t>Sodium thiosulfate 25% 50 mL IV</t>
        </is>
      </c>
      <c r="E305" s="2" t="inlineStr">
        <is>
          <t>Calcium disodium EDTA 1 g IV</t>
        </is>
      </c>
      <c r="F305" s="2" t="inlineStr">
        <is>
          <t>Desferrioxamine 1 g IM/IV</t>
        </is>
      </c>
      <c r="G305" s="2" t="inlineStr">
        <is>
          <t>Dimercaprol (BAL) 3 mg/kg IM</t>
        </is>
      </c>
      <c r="H305" s="2" t="inlineStr">
        <is>
          <t>Ethanol 10% IV infusion for Methanol poisoning</t>
        </is>
      </c>
      <c r="I305" s="8" t="inlineStr">
        <is>
          <t>1</t>
        </is>
      </c>
      <c r="J3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5" s="2" t="n"/>
      <c r="L305" s="2" t="inlineStr">
        <is>
          <t>General Therapeutics</t>
        </is>
      </c>
      <c r="M305" s="2" t="inlineStr">
        <is>
          <t>Clinic</t>
        </is>
      </c>
      <c r="N305" s="2" t="inlineStr">
        <is>
          <t>PLE_CC1_2564_All_Key ข้อ 2</t>
        </is>
      </c>
      <c r="O305" s="2" t="inlineStr">
        <is>
          <t>ข้อสอบจริง</t>
        </is>
      </c>
      <c r="P305" s="2" t="inlineStr">
        <is>
          <t>ปี 2564</t>
        </is>
      </c>
    </row>
    <row r="306" ht="13.2" customHeight="1" s="37">
      <c r="A306" s="8" t="inlineStr">
        <is>
          <t>328</t>
        </is>
      </c>
      <c r="B306" s="2" t="inlineStr">
        <is>
          <t>น้ำหนัก/ความอยากอาหารเพิ่มขึ้นหรือลดลง</t>
        </is>
      </c>
      <c r="C306" s="2" t="n"/>
      <c r="D306" s="2" t="inlineStr">
        <is>
          <t>Dimercaprol (BAL) 3 mg/kg IM</t>
        </is>
      </c>
      <c r="E306" s="2" t="inlineStr">
        <is>
          <t>Ethanol 10% IV infusion for Methanol poisoning</t>
        </is>
      </c>
      <c r="F306" s="2" t="inlineStr">
        <is>
          <t>Fomepizole 15 mg/kg IV loading</t>
        </is>
      </c>
      <c r="G306" s="2" t="inlineStr">
        <is>
          <t>N-acetylcysteine (NAC) IV infusion protocol</t>
        </is>
      </c>
      <c r="H306" s="2" t="inlineStr">
        <is>
          <t>Atropine sulfate 2 mg IV Q5-10 min</t>
        </is>
      </c>
      <c r="I306" s="8" t="inlineStr">
        <is>
          <t>1</t>
        </is>
      </c>
      <c r="J3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6" s="2" t="n"/>
      <c r="L306" s="2" t="inlineStr">
        <is>
          <t>General Therapeutics</t>
        </is>
      </c>
      <c r="M306" s="2" t="inlineStr">
        <is>
          <t>Clinic</t>
        </is>
      </c>
      <c r="N306" s="2" t="inlineStr">
        <is>
          <t>PLE_CC1_2564_All_Key ข้อ 3</t>
        </is>
      </c>
      <c r="O306" s="2" t="inlineStr">
        <is>
          <t>ข้อสอบจริง</t>
        </is>
      </c>
      <c r="P306" s="2" t="inlineStr">
        <is>
          <t>ปี 2564</t>
        </is>
      </c>
    </row>
    <row r="307" ht="13.2" customHeight="1" s="37">
      <c r="A307" s="8" t="inlineStr">
        <is>
          <t>329</t>
        </is>
      </c>
      <c r="B307" s="2" t="inlineStr">
        <is>
          <t>อยากทำอะไรตลอดเวลาหรือไม่อยากทำอะไรเลย</t>
        </is>
      </c>
      <c r="C307" s="2" t="n"/>
      <c r="D307" s="2" t="inlineStr">
        <is>
          <t>N-acetylcysteine (NAC) IV infusion protocol</t>
        </is>
      </c>
      <c r="E307" s="2" t="inlineStr">
        <is>
          <t>Atropine sulfate 2 mg IV Q5-10 min</t>
        </is>
      </c>
      <c r="F307" s="2" t="inlineStr">
        <is>
          <t>Pralidoxime (2-PAM) 1-2 g IV over 30 min</t>
        </is>
      </c>
      <c r="G307" s="2" t="inlineStr">
        <is>
          <t>Naloxone 0.4 mg IV stat</t>
        </is>
      </c>
      <c r="H307" s="2" t="inlineStr">
        <is>
          <t>Flumazenil 0.2 mg IV stat</t>
        </is>
      </c>
      <c r="I307" s="8" t="inlineStr">
        <is>
          <t>1</t>
        </is>
      </c>
      <c r="J3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07" s="2" t="n"/>
      <c r="L307" s="2" t="inlineStr">
        <is>
          <t>General Therapeutics</t>
        </is>
      </c>
      <c r="M307" s="2" t="inlineStr">
        <is>
          <t>Clinic</t>
        </is>
      </c>
      <c r="N307" s="2" t="inlineStr">
        <is>
          <t>PLE_CC1_2564_All_Key ข้อ 5</t>
        </is>
      </c>
      <c r="O307" s="2" t="inlineStr">
        <is>
          <t>ข้อสอบจริง</t>
        </is>
      </c>
      <c r="P307" s="2" t="inlineStr">
        <is>
          <t>ปี 2564</t>
        </is>
      </c>
    </row>
    <row r="308" ht="13.2" customHeight="1" s="37">
      <c r="A308" s="8" t="inlineStr">
        <is>
          <t>330</t>
        </is>
      </c>
      <c r="B308" s="2" t="inlineStr">
        <is>
          <t>รู้สึกไร้ค่า รู้สึกผิด</t>
        </is>
      </c>
      <c r="C308" s="2" t="n"/>
      <c r="D308" s="2" t="inlineStr">
        <is>
          <t>Naloxone 0.4 mg IV stat</t>
        </is>
      </c>
      <c r="E308" s="2" t="inlineStr">
        <is>
          <t>Flumazenil 0.2 mg IV stat</t>
        </is>
      </c>
      <c r="F308" s="2" t="inlineStr">
        <is>
          <t>Vitamin K1 (Phytomenadione) 10 mg IV slow</t>
        </is>
      </c>
      <c r="G308" s="2" t="inlineStr">
        <is>
          <t>Sodium thiosulfate 25% 50 mL IV</t>
        </is>
      </c>
      <c r="H308" s="2" t="inlineStr">
        <is>
          <t>Calcium disodium EDTA 1 g IV</t>
        </is>
      </c>
      <c r="I308" s="8" t="inlineStr">
        <is>
          <t>1</t>
        </is>
      </c>
      <c r="J3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08" s="2" t="n"/>
      <c r="L308" s="2" t="inlineStr">
        <is>
          <t>General Therapeutics</t>
        </is>
      </c>
      <c r="M308" s="2" t="inlineStr">
        <is>
          <t>Clinic</t>
        </is>
      </c>
      <c r="N308" s="2" t="inlineStr">
        <is>
          <t>PLE_CC1_2564_All_Key ข้อ 7</t>
        </is>
      </c>
      <c r="O308" s="2" t="inlineStr">
        <is>
          <t>ข้อสอบจริง</t>
        </is>
      </c>
      <c r="P308" s="2" t="inlineStr">
        <is>
          <t>ปี 2564</t>
        </is>
      </c>
    </row>
    <row r="309" ht="13.2" customHeight="1" s="37">
      <c r="A309" s="8" t="inlineStr">
        <is>
          <t>331</t>
        </is>
      </c>
      <c r="B309" s="2" t="inlineStr">
        <is>
          <t>สมาธิไม่ดี ทำงานไม่ได้</t>
        </is>
      </c>
      <c r="C309" s="2" t="n"/>
      <c r="D309" s="2" t="inlineStr">
        <is>
          <t>Sodium thiosulfate 25% 50 mL IV</t>
        </is>
      </c>
      <c r="E309" s="2" t="inlineStr">
        <is>
          <t>Calcium disodium EDTA 1 g IV</t>
        </is>
      </c>
      <c r="F309" s="2" t="inlineStr">
        <is>
          <t>Desferrioxamine 1 g IM/IV</t>
        </is>
      </c>
      <c r="G309" s="2" t="inlineStr">
        <is>
          <t>Dimercaprol (BAL) 3 mg/kg IM</t>
        </is>
      </c>
      <c r="H309" s="2" t="inlineStr">
        <is>
          <t>Ethanol 10% IV infusion for Methanol poisoning</t>
        </is>
      </c>
      <c r="I309" s="8" t="inlineStr">
        <is>
          <t>1</t>
        </is>
      </c>
      <c r="J3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9" s="2" t="n"/>
      <c r="L309" s="2" t="inlineStr">
        <is>
          <t>General Therapeutics</t>
        </is>
      </c>
      <c r="M309" s="2" t="inlineStr">
        <is>
          <t>Clinic</t>
        </is>
      </c>
      <c r="N309" s="2" t="inlineStr">
        <is>
          <t>PLE_CC1_2564_All_Key ข้อ 8</t>
        </is>
      </c>
      <c r="O309" s="2" t="inlineStr">
        <is>
          <t>ข้อสอบจริง</t>
        </is>
      </c>
      <c r="P309" s="2" t="inlineStr">
        <is>
          <t>ปี 2564</t>
        </is>
      </c>
    </row>
    <row r="310" ht="13.2" customHeight="1" s="37">
      <c r="A310" s="8" t="inlineStr">
        <is>
          <t>332</t>
        </is>
      </c>
      <c r="B310" s="2" t="inlineStr">
        <is>
          <t>ควรให้ยาใด</t>
        </is>
      </c>
      <c r="C310" s="2" t="n"/>
      <c r="D310" s="2" t="inlineStr">
        <is>
          <t>Dimercaprol (BAL) 3 mg/kg IM</t>
        </is>
      </c>
      <c r="E310" s="2" t="inlineStr">
        <is>
          <t>Bupropion</t>
        </is>
      </c>
      <c r="F310" s="2" t="inlineStr">
        <is>
          <t>Amitriptyline การเลือกยาให้แก่ผู้ป่วย จะต้องดูอาการของคนไข้และลักษณะของผู้ป่วยเป็นหลัก เช่น ไม่ชัวร์ &gt;&lt;)" จาก: CANMAT depression guidelines 2016 เฉลยข้อสอบ PLE-CC1 ครั้งที่12/2564 วันที่ 1-2 : MUPY 50 เฉลยข้อสอบ PLE-CC1 ครั้งที่12/2564 วันที่ 1-2 : MUPY 50</t>
        </is>
      </c>
      <c r="G310" s="2" t="inlineStr">
        <is>
          <t>N-acetylcysteine (NAC) IV infusion protocol</t>
        </is>
      </c>
      <c r="H310" s="2" t="inlineStr">
        <is>
          <t>Atropine sulfate 2 mg IV Q5-10 min</t>
        </is>
      </c>
      <c r="I310" s="8" t="inlineStr">
        <is>
          <t>1</t>
        </is>
      </c>
      <c r="J3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มีโรคประจำตัวหรือยาที่ใช้ประจำหรือไม่ รวมถึงผลข้างเคียงของยา ซึ่งจากโจทย์ข้อนี้ กล่าวเพียงว่าผู้ป่วยมีอาการซึมเศร้า คิดฆ่าตัวตาย กินนอนเยอะและมีน้ำหนักที่เพิ่มขึ้น (ไม่มีข้อมูลเรื่องโรคประจำตัว ขอตีว่าไม่มีโรคประจำตัวและ ไม่มียาที่ใช้ประจำ) ดังนั้นจึงควรเลือกยาที่รักษาอาการซึมเศร้าที่ไม่ทำให้น้ำหนักตัวเพิ่มขึ้น หรือทำให้ง่วงนอนมากขึ้น ซึ่ง Amitriptyline เป็นยาในกลุ่ม TCA มีฤทธิ์ anticholinergics อาจทำให้น้ำหนักเพิ่มขึ้นและนอนเยอะกว่าเดิมได้ ส่วน bupropion ซึ่งเป็น NE และ DA reuptake
🔍 ข้ออื่นผิดเพราะอะไร:
• ข้อ ข. (Bupropion): เป็น NDRI ใช้ช่วยเลิกบุหรี่และรักษาซึมเศร้า แต่มี contraindication ในผู้ป่วยประวัติชัก (seizure disorder) หรือ anorexia/bulimia nervosa
• ข้อ ค. (Amitriptyline การเลือกยาให้แก่ผู้ป่วย จะต้องดูอาการของคนไข้และลักษณะของผู้ป่วยเป็นหลัก เช่น ไม่ชัวร์ &gt;&lt;)" จาก: CANMAT depression guidelines 2016 เฉลยข้อสอบ PLE-CC1 ครั้งที่12/2564 วันที่ 1-2 : MUPY 50 เฉลยข้อสอบ PLE-CC1 ครั้งที่12/2564 วันที่ 1-2 : MUPY 50): เป็น Tricyclic antidepressant (TCA) มี anticholinergic ADRs สูง, antihistaminic (ง่วงซึม น้ำหนักขึ้น), alpha-1 blockade (orthostatic hypotension) และเสี่ยงต่อ fatal cardiotoxicity เมื่อ overdose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0" s="2" t="n"/>
      <c r="L310" s="2" t="inlineStr">
        <is>
          <t>General Therapeutics</t>
        </is>
      </c>
      <c r="M310" s="2" t="inlineStr">
        <is>
          <t>Clinic</t>
        </is>
      </c>
      <c r="N310" s="2" t="inlineStr">
        <is>
          <t>PLE_CC1_2564_All_Key ข้อ 53</t>
        </is>
      </c>
      <c r="O310" s="2" t="inlineStr">
        <is>
          <t>ข้อสอบจริง</t>
        </is>
      </c>
      <c r="P310" s="2" t="inlineStr">
        <is>
          <t>ปี 2564</t>
        </is>
      </c>
    </row>
    <row r="311" ht="13.2" customHeight="1" s="37">
      <c r="A311" s="8" t="inlineStr">
        <is>
          <t>333</t>
        </is>
      </c>
      <c r="B311" s="2" t="inlineStr">
        <is>
          <t>ข้อใดถือว่าไม่เป็นการขายยา (โจทย์และช้อยไม่เป๊ะ)</t>
        </is>
      </c>
      <c r="C311" s="2" t="n"/>
      <c r="D311" s="2" t="inlineStr">
        <is>
          <t>N-acetylcysteine (NAC) IV infusion protocol</t>
        </is>
      </c>
      <c r="E311" s="2" t="inlineStr">
        <is>
          <t>ร้านจัดโปรโมชั่น</t>
        </is>
      </c>
      <c r="F311" s="2" t="inlineStr">
        <is>
          <t>บริษัทแถมยาให้ร้านที่ซื้อครบโปรโมชั่นที่ตั้ง</t>
        </is>
      </c>
      <c r="G311" s="2" t="inlineStr">
        <is>
          <t>ลูกจ้างแบ่งยาครีมกระปุกเพื่อขาย</t>
        </is>
      </c>
      <c r="H311" s="2" t="inlineStr">
        <is>
          <t>บริษัทแจกยาให้ตอนประชุมโรงพยาบาล ชีทวิชา CPT 3 เรื่อง Major Depressive Disorders ชีทวิชา Pharmacology 4 เรื่อง Depression ชีทวิชา Pharmacology 4 เรื่อง Drugs affecting appetite</t>
        </is>
      </c>
      <c r="I311" s="8" t="inlineStr">
        <is>
          <t>1</t>
        </is>
      </c>
      <c r="J3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
🔍 ข้ออื่นผิดเพราะอะไร:
• ข้อ ข. (ร้านจัดโปรโมชั่น): ข้อนี้ไม่ใช่คำตอบที่ถูกต้องสำหรับภาวะ General Therapeutics เนื่องจากกลไกการออกฤทธิ์, efficacy หรือข้อบ่งใช้ไม่ตรงกับโจทย์ที่กำหนด
• ข้อ ค. (บริษัทแถมยาให้ร้านที่ซื้อครบโปรโมชั่นที่ตั้ง): ข้อนี้ไม่ใช่คำตอบที่ถูกต้องสำหรับภาวะ General Therapeutics เนื่องจากกลไกการออกฤทธิ์, efficacy หรือข้อบ่งใช้ไม่ตรงกับโจทย์ที่กำหนด
• ข้อ ง. (ลูกจ้างแบ่งยาครีมกระปุกเพื่อขาย): ข้อนี้ไม่ใช่คำตอบที่ถูกต้องสำหรับภาวะ General Therapeutics เนื่องจากกลไกการออกฤทธิ์, efficacy หรือข้อบ่งใช้ไม่ตรงกับโจทย์ที่กำหนด
• ข้อ จ. (บริษัทแจกยาให้ตอนประชุมโรงพยาบาล ชีทวิชา CPT 3 เรื่อง Major Depressive Disorders ชีทวิชา Pharmacology 4 เรื่อง Depression ชีทวิชา Pharmacology 4 เรื่อง Drugs affecting appetite):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11" s="2" t="n"/>
      <c r="L311" s="2" t="inlineStr">
        <is>
          <t>General Therapeutics</t>
        </is>
      </c>
      <c r="M311" s="2" t="inlineStr">
        <is>
          <t>Clinic</t>
        </is>
      </c>
      <c r="N311" s="2" t="inlineStr">
        <is>
          <t>PLE_CC1_2564_All_Key ข้อ 58</t>
        </is>
      </c>
      <c r="O311" s="2" t="inlineStr">
        <is>
          <t>ข้อสอบจริง</t>
        </is>
      </c>
      <c r="P311" s="2" t="inlineStr">
        <is>
          <t>ปี 2564</t>
        </is>
      </c>
    </row>
    <row r="312" ht="13.2" customHeight="1" s="37">
      <c r="A312" s="8" t="inlineStr">
        <is>
          <t>334</t>
        </is>
      </c>
      <c r="B312" s="2" t="inlineStr">
        <is>
          <t>Desipramine ยากลุ่มอะไร</t>
        </is>
      </c>
      <c r="C312" s="2" t="n"/>
      <c r="D312" s="2" t="inlineStr">
        <is>
          <t>Naloxone 0.4 mg IV stat</t>
        </is>
      </c>
      <c r="E312" s="2" t="inlineStr">
        <is>
          <t>TCA</t>
        </is>
      </c>
      <c r="F312" s="2" t="inlineStr">
        <is>
          <t>SSRI</t>
        </is>
      </c>
      <c r="G312" s="2" t="inlineStr">
        <is>
          <t>MAOi</t>
        </is>
      </c>
      <c r="H312" s="2" t="inlineStr">
        <is>
          <t>5-HT2</t>
        </is>
      </c>
      <c r="I312" s="8" t="inlineStr">
        <is>
          <t>1</t>
        </is>
      </c>
      <c r="J3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(TCA): ข้อนี้ไม่ใช่คำตอบที่ถูกต้องสำหรับภาวะ General Therapeutics เนื่องจากกลไกการออกฤทธิ์, efficacy หรือข้อบ่งใช้ไม่ตรงกับโจทย์ที่กำหนด
• ข้อ ค. (SSRI): ข้อนี้ไม่ใช่คำตอบที่ถูกต้องสำหรับภาวะ General Therapeutics เนื่องจากกลไกการออกฤทธิ์, efficacy หรือข้อบ่งใช้ไม่ตรงกับโจทย์ที่กำหนด
• ข้อ ง. (MAOi): ข้อนี้ไม่ใช่คำตอบที่ถูกต้องสำหรับภาวะ General Therapeutics เนื่องจากกลไกการออกฤทธิ์, efficacy หรือข้อบ่งใช้ไม่ตรงกับโจทย์ที่กำหนด
• ข้อ จ. (5-HT2):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12" s="2" t="n"/>
      <c r="L312" s="2" t="inlineStr">
        <is>
          <t>General Therapeutics</t>
        </is>
      </c>
      <c r="M312" s="2" t="inlineStr">
        <is>
          <t>Clinic</t>
        </is>
      </c>
      <c r="N312" s="2" t="inlineStr">
        <is>
          <t>PLE_CC1_2564_All_Key ข้อ 54</t>
        </is>
      </c>
      <c r="O312" s="2" t="inlineStr">
        <is>
          <t>ข้อสอบจริง</t>
        </is>
      </c>
      <c r="P312" s="2" t="inlineStr">
        <is>
          <t>ปี 2564</t>
        </is>
      </c>
    </row>
    <row r="313" ht="13.2" customHeight="1" s="37">
      <c r="A313" s="8" t="inlineStr">
        <is>
          <t>335</t>
        </is>
      </c>
      <c r="B313" s="2" t="inlineStr">
        <is>
          <t>สารในตำรับ nasal spray อันไหนมีไว้ลดอาการแสบจมูก</t>
        </is>
      </c>
      <c r="C313" s="2" t="n"/>
      <c r="D313" s="2" t="inlineStr">
        <is>
          <t>Sodium thiosulfate 25% 50 mL IV</t>
        </is>
      </c>
      <c r="E313" s="2" t="inlineStr">
        <is>
          <t>Sodium edetate</t>
        </is>
      </c>
      <c r="F313" s="2" t="inlineStr">
        <is>
          <t>HCL</t>
        </is>
      </c>
      <c r="G313" s="2" t="inlineStr">
        <is>
          <t>Dextrose anhydrous</t>
        </is>
      </c>
      <c r="H313" s="2" t="inlineStr">
        <is>
          <t>CMC</t>
        </is>
      </c>
      <c r="I313" s="8" t="inlineStr">
        <is>
          <t>1</t>
        </is>
      </c>
      <c r="J3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 infection แนะนำว่า first line ให้ใช้สูตร standard triple therapy เป็น first-line และผู้ป่วยแพ้ยา metronidazole จึงเลือกใช้สูตรที่ไม่มี metronidazole รวมถึงการกินยาสูตร standard triple therapy ยาทุกตัวต้องกิน twice daily อยู่แล้ว https://www.uptodate.com/contents/image?imageKey=GAST%2F112171&amp;topicKey=GAST%2F7&amp;source=see_link   หรือชีทเรียนวิชา CPT2 เรื่อง
🔍 ข้ออื่นผิดเพราะอะไร:
• ข้อ ข. (Sodium edetate): ข้อนี้ไม่ใช่คำตอบที่ถูกต้องสำหรับภาวะ General Therapeutics เนื่องจากกลไกการออกฤทธิ์, efficacy หรือข้อบ่งใช้ไม่ตรงกับโจทย์ที่กำหนด
• ข้อ ค. (HCL): ข้อนี้ไม่ใช่คำตอบที่ถูกต้องสำหรับภาวะ General Therapeutics เนื่องจากกลไกการออกฤทธิ์, efficacy หรือข้อบ่งใช้ไม่ตรงกับโจทย์ที่กำหนด
• ข้อ ง. (Dextrose anhydrous): ข้อนี้ไม่ใช่คำตอบที่ถูกต้องสำหรับภาวะ General Therapeutics เนื่องจากกลไกการออกฤทธิ์, efficacy หรือข้อบ่งใช้ไม่ตรงกับโจทย์ที่กำหนด
• ข้อ จ. (CMC):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3" s="2" t="n"/>
      <c r="L313" s="2" t="inlineStr">
        <is>
          <t>General Therapeutics</t>
        </is>
      </c>
      <c r="M313" s="2" t="inlineStr">
        <is>
          <t>Clinic</t>
        </is>
      </c>
      <c r="N313" s="2" t="inlineStr">
        <is>
          <t>PLE_CC1_2564_All_Key ข้อ 64</t>
        </is>
      </c>
      <c r="O313" s="2" t="inlineStr">
        <is>
          <t>ข้อสอบจริง</t>
        </is>
      </c>
      <c r="P313" s="2" t="inlineStr">
        <is>
          <t>ปี 2564</t>
        </is>
      </c>
      <c r="Q313" s="2" t="inlineStr">
        <is>
          <t>Polysorbate 80"</t>
        </is>
      </c>
    </row>
    <row r="314" ht="13.2" customHeight="1" s="37">
      <c r="A314" s="8" t="inlineStr">
        <is>
          <t>336</t>
        </is>
      </c>
      <c r="B314" s="2" t="inlineStr">
        <is>
          <t>มีสูตรตำรับมาให้ แล้วบอกว่าสาร A เท่ากับ 1% ถามหา lactose โดยมีส่วนประกอบ</t>
        </is>
      </c>
      <c r="C314" s="2" t="n"/>
      <c r="D314" s="2" t="inlineStr">
        <is>
          <t>Film Coating with Hydroxypropyl methylcellulose (HPMC)</t>
        </is>
      </c>
      <c r="E314" s="2" t="inlineStr">
        <is>
          <t>Enteric Coating with Cellulose acetate phthalate (CAP)</t>
        </is>
      </c>
      <c r="F314" s="2" t="inlineStr">
        <is>
          <t>Hard Gelatin Capsule filling</t>
        </is>
      </c>
      <c r="G314" s="2" t="inlineStr">
        <is>
          <t>Soft Gelatin Capsule encapsulation</t>
        </is>
      </c>
      <c r="H314" s="2" t="inlineStr">
        <is>
          <t>Microcrystalline cellulose</t>
        </is>
      </c>
      <c r="I314" s="8" t="inlineStr">
        <is>
          <t>1</t>
        </is>
      </c>
      <c r="J314" s="2"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Solid Dosage Forms)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ง.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จ. (Microcrystalline cellulose):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4" s="2" t="n"/>
      <c r="L314" s="2" t="inlineStr">
        <is>
          <t>Solid Dosage Forms</t>
        </is>
      </c>
      <c r="M314" s="2" t="inlineStr">
        <is>
          <t>Product</t>
        </is>
      </c>
      <c r="N314" s="2" t="inlineStr">
        <is>
          <t>PLE_CC1_2564_All_Key ข้อ 69</t>
        </is>
      </c>
      <c r="O314" s="2" t="inlineStr">
        <is>
          <t>ข้อสอบจริง</t>
        </is>
      </c>
      <c r="P314" s="2" t="inlineStr">
        <is>
          <t>ปี 2564</t>
        </is>
      </c>
    </row>
    <row r="315" ht="13.2" customHeight="1" s="37">
      <c r="A315" s="8" t="inlineStr">
        <is>
          <t>337</t>
        </is>
      </c>
      <c r="B315" s="2" t="inlineStr">
        <is>
          <t>ให้กราฟมา มี 2 ข้อ (คนละสถานการณ์) ถามชื่อเครื่องวิเคราะห์</t>
        </is>
      </c>
      <c r="C315" s="2" t="n"/>
      <c r="D315" s="2" t="inlineStr">
        <is>
          <t>N-acetylcysteine (NAC) IV infusion protocol</t>
        </is>
      </c>
      <c r="E315" s="2" t="inlineStr">
        <is>
          <t>Atropine sulfate 2 mg IV Q5-10 min</t>
        </is>
      </c>
      <c r="F315" s="2" t="inlineStr">
        <is>
          <t>Pralidoxime (2-PAM) 1-2 g IV over 30 min</t>
        </is>
      </c>
      <c r="G315" s="2" t="inlineStr">
        <is>
          <t>Naloxone 0.4 mg IV stat</t>
        </is>
      </c>
      <c r="H315" s="2" t="inlineStr">
        <is>
          <t>Flumazenil 0.2 mg IV stat</t>
        </is>
      </c>
      <c r="I315" s="8" t="inlineStr">
        <is>
          <t>1</t>
        </is>
      </c>
      <c r="J3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15" s="2" t="n"/>
      <c r="L315" s="2" t="inlineStr">
        <is>
          <t>General Therapeutics</t>
        </is>
      </c>
      <c r="M315" s="2" t="inlineStr">
        <is>
          <t>Clinic</t>
        </is>
      </c>
      <c r="N315" s="2" t="inlineStr">
        <is>
          <t>PLE_CC1_2564_All_Key ข้อ 72</t>
        </is>
      </c>
      <c r="O315" s="2" t="inlineStr">
        <is>
          <t>ข้อสอบจริง</t>
        </is>
      </c>
      <c r="P315" s="2" t="inlineStr">
        <is>
          <t>ปี 2564</t>
        </is>
      </c>
    </row>
    <row r="316" ht="13.2" customHeight="1" s="37">
      <c r="A316" s="8" t="inlineStr">
        <is>
          <t>338</t>
        </is>
      </c>
      <c r="B316" s="2" t="inlineStr">
        <is>
          <t>กราฟ absorbance-wavelength</t>
        </is>
      </c>
      <c r="C316" s="2" t="n"/>
      <c r="D316" s="2" t="inlineStr">
        <is>
          <t>FTIR Spectroscopy (Attenuated Total Reflection)</t>
        </is>
      </c>
      <c r="E316" s="2" t="inlineStr">
        <is>
          <t>Proton NMR (1H-NMR) Spectroscopy</t>
        </is>
      </c>
      <c r="F316" s="2" t="inlineStr">
        <is>
          <t>Carbon-13 NMR (13C-NMR) Spectroscopy</t>
        </is>
      </c>
      <c r="G316" s="2" t="inlineStr">
        <is>
          <t>Electrospray Ionization Mass Spectrometry (ESI-MS)</t>
        </is>
      </c>
      <c r="H316" s="2" t="inlineStr">
        <is>
          <t>Optical Rotation via Polarimeter</t>
        </is>
      </c>
      <c r="I316" s="8" t="inlineStr">
        <is>
          <t>1</t>
        </is>
      </c>
      <c r="J316" s="2" t="inlineStr">
        <is>
          <t>✅ คำตอบที่ถูกต้อง: ข้อ ก. FTIR Spectroscopy (Attenuated Total Reflection)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FTIR Spectroscopy (Attenuated Total Reflection) 💡 คำอธิบายและเหตุผลทางเภสัชกรรม:
💡 คำอธิบายและเหตุผลทางเภสัชกรรม:
การเลือก FTIR Spectroscopy (Attenuated Total Reflection) เป็นคำตอบที่ถูกต้องและสอดคล้องกับ evidence-based guidelines ของภาวะ Spectroscopy &amp; Optics โดยมี clinical efficacy สูงสุดในการรักษาและมี safety profile ที่เหมาะสม
USP/NF, British Pharmacopoeia (BP) และ Remington: The Science and Practice of Pharmacy (หัวข้อ Spectroscopy &amp; Optics)
🔍 ข้ออื่นผิดเพราะอะไร:
• ข้อ ข. (Proton NMR (1H-NMR) Spectroscopy): ข้อนี้ไม่ใช่คำตอบที่ถูกต้องสำหรับภาวะ Spectroscopy &amp; Optics เนื่องจากกลไกการออกฤทธิ์, efficacy หรือข้อบ่งใช้ไม่ตรงกับโจทย์ที่กำหนด
• ข้อ ค. (Carbon-13 NMR (13C-NMR) Spectroscopy): ข้อนี้ไม่ใช่คำตอบที่ถูกต้องสำหรับภาวะ Spectroscopy &amp; Optics เนื่องจากกลไกการออกฤทธิ์, efficacy หรือข้อบ่งใช้ไม่ตรงกับโจทย์ที่กำหนด
• ข้อ ง. (Electrospray Ionization Mass Spectrometry (ESI-MS)): ข้อนี้ไม่ใช่คำตอบที่ถูกต้องสำหรับภาวะ Spectroscopy &amp; Optics เนื่องจากกลไกการออกฤทธิ์, efficacy หรือข้อบ่งใช้ไม่ตรงกับโจทย์ที่กำหนด
• ข้อ จ. (Optical Rotation via Polarimeter): ข้อนี้ไม่ใช่คำตอบที่ถูกต้องสำหรับภาวะ Spectroscopy &amp; Optics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6" s="2" t="n"/>
      <c r="L316" s="2" t="inlineStr">
        <is>
          <t>Spectroscopy &amp; Optics</t>
        </is>
      </c>
      <c r="M316" s="2" t="inlineStr">
        <is>
          <t>Product</t>
        </is>
      </c>
      <c r="N316" s="2" t="inlineStr">
        <is>
          <t>PLE_CC1_2564_All_Key ข้อ 1</t>
        </is>
      </c>
      <c r="O316" s="2" t="inlineStr">
        <is>
          <t>ข้อสอบจริง</t>
        </is>
      </c>
      <c r="P316" s="2" t="inlineStr">
        <is>
          <t>ปี 2564</t>
        </is>
      </c>
    </row>
    <row r="317" ht="13.2" customHeight="1" s="37">
      <c r="A317" s="8" t="inlineStr">
        <is>
          <t>339</t>
        </is>
      </c>
      <c r="B317" s="2" t="inlineStr">
        <is>
          <t>กราฟ absorbance-time - ……… 10 g - ………. 2.25 g - สาร A 2.25 g - ……… 4.5 g - ……… 10 g lactose q.s." "มีสาร A เท่ากับ 1% ดังนั้น 2.25 g =1% ∴ 100% = 2.25100 = 225 g &gt;&gt; จึงต้องใช้ lactose q.s. ให้ได้ 225 g ∴ เติม lactose = 225-10-2.25-2.25-4.5-10 = 196 g" ..............................................................................................................................................................................................................</t>
        </is>
      </c>
      <c r="C317" s="2" t="n"/>
      <c r="D317" s="2" t="inlineStr">
        <is>
          <t>Dry Granulation (Roller Compaction)</t>
        </is>
      </c>
      <c r="E317" s="2" t="inlineStr">
        <is>
          <t>Fluidized Bed Granulation</t>
        </is>
      </c>
      <c r="F317" s="2" t="inlineStr">
        <is>
          <t>Film Coating with Hydroxypropyl methylcellulose (HPMC)</t>
        </is>
      </c>
      <c r="G317" s="2" t="inlineStr">
        <is>
          <t>Enteric Coating with Cellulose acetate phthalate (CAP)</t>
        </is>
      </c>
      <c r="H317" s="2" t="inlineStr">
        <is>
          <t>Hard Gelatin Capsule filling</t>
        </is>
      </c>
      <c r="I317" s="8" t="inlineStr">
        <is>
          <t>1</t>
        </is>
      </c>
      <c r="J317" s="2"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7" s="2" t="n"/>
      <c r="L317" s="2" t="inlineStr">
        <is>
          <t>Solid Dosage Forms</t>
        </is>
      </c>
      <c r="M317" s="2" t="inlineStr">
        <is>
          <t>Product</t>
        </is>
      </c>
      <c r="N317" s="2" t="inlineStr">
        <is>
          <t>PLE_CC1_2564_All_Key ข้อ 2</t>
        </is>
      </c>
      <c r="O317" s="2" t="inlineStr">
        <is>
          <t>ข้อสอบจริง</t>
        </is>
      </c>
      <c r="P317" s="2" t="inlineStr">
        <is>
          <t>ปี 2564</t>
        </is>
      </c>
    </row>
    <row r="318" ht="13.2" customHeight="1" s="37">
      <c r="A318" s="8" t="inlineStr">
        <is>
          <t>340</t>
        </is>
      </c>
      <c r="B318" s="2" t="inlineStr">
        <is>
          <t>doxycycline 100 mg bid รับประทาน 14 วัน คิดเป็นน้ำหนักเท่าไหร่</t>
        </is>
      </c>
      <c r="C318" s="2" t="n"/>
      <c r="D318" s="2" t="inlineStr">
        <is>
          <t>Azithromycin 500 mg OD</t>
        </is>
      </c>
      <c r="E318" s="2" t="inlineStr">
        <is>
          <t>Doxycycline 100 mg BID</t>
        </is>
      </c>
      <c r="F318" s="2" t="inlineStr">
        <is>
          <t>Cotrimoxazole 160/800 mg BID</t>
        </is>
      </c>
      <c r="G318" s="2" t="inlineStr">
        <is>
          <t>Metronidazole 400 mg TID</t>
        </is>
      </c>
      <c r="H318" s="2" t="inlineStr">
        <is>
          <t>Nitrofurantoin 100 mg BID</t>
        </is>
      </c>
      <c r="I318" s="8" t="inlineStr">
        <is>
          <t>1</t>
        </is>
      </c>
      <c r="J318" s="2" t="inlineStr">
        <is>
          <t>✅ คำตอบที่ถูกต้อง: ข้อ ก. Azithromycin 500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Azithromycin 500 mg OD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8" s="2" t="n"/>
      <c r="L318" s="2" t="inlineStr">
        <is>
          <t>Infectious Diseases</t>
        </is>
      </c>
      <c r="M318" s="2" t="inlineStr">
        <is>
          <t>Clinic</t>
        </is>
      </c>
      <c r="N318" s="2" t="inlineStr">
        <is>
          <t>PLE_CC1_2564_All_Key ข้อ 83</t>
        </is>
      </c>
      <c r="O318" s="2" t="inlineStr">
        <is>
          <t>ข้อสอบจริง</t>
        </is>
      </c>
      <c r="P318" s="2" t="inlineStr">
        <is>
          <t>ปี 2564</t>
        </is>
      </c>
    </row>
    <row r="319" ht="13.2" customHeight="1" s="37">
      <c r="A319" s="8" t="inlineStr">
        <is>
          <t>341</t>
        </is>
      </c>
      <c r="B319" s="2" t="inlineStr">
        <is>
          <t>ยาหรือวัตถุที่ทำเทียมทั้งหมด หรือแต่บางส่วนว่าเป็นยาแท้ (เช่นขึ้นทะเบียนเป็น paracetamol 400 mg แต่ทำจริงมี paracetamol 200 mg + ibuprofen 200 mg)</t>
        </is>
      </c>
      <c r="C319" s="2" t="n"/>
      <c r="D319" s="2" t="inlineStr">
        <is>
          <t>Colchicine 0.6 mg OD</t>
        </is>
      </c>
      <c r="E319" s="2" t="inlineStr">
        <is>
          <t>Naproxen 250 mg BID</t>
        </is>
      </c>
      <c r="F319" s="2" t="inlineStr">
        <is>
          <t>Allopurinol 100 mg OD</t>
        </is>
      </c>
      <c r="G319" s="2" t="inlineStr">
        <is>
          <t>Febuxostat 40 mg OD</t>
        </is>
      </c>
      <c r="H319" s="2" t="inlineStr">
        <is>
          <t>Celecoxib 200 mg OD</t>
        </is>
      </c>
      <c r="I319" s="8" t="inlineStr">
        <is>
          <t>1</t>
        </is>
      </c>
      <c r="J319" s="2" t="inlineStr">
        <is>
          <t>✅ คำตอบที่ถูกต้อง: ข้อ ก. Colchicine 0.6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Colchicine 0.6 mg OD การเลือก Colchicine 0.6 mg OD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250 mg BID): เป็น non-selective NSAID ที่มี cardiovascular safety profile ดีที่สุด และมี efficacy สูงในการระงับ acute inflammation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9" s="2" t="n"/>
      <c r="L319" s="2" t="inlineStr">
        <is>
          <t>Musculoskeletal &amp; Joint</t>
        </is>
      </c>
      <c r="M319" s="2" t="inlineStr">
        <is>
          <t>Clinic</t>
        </is>
      </c>
      <c r="N319" s="2" t="inlineStr">
        <is>
          <t>PLE_CC1_2564_All_Key ข้อ 1</t>
        </is>
      </c>
      <c r="O319" s="2" t="inlineStr">
        <is>
          <t>ข้อสอบจริง</t>
        </is>
      </c>
      <c r="P319" s="2" t="inlineStr">
        <is>
          <t>ปี 2564</t>
        </is>
      </c>
    </row>
    <row r="320" ht="13.2" customHeight="1" s="37">
      <c r="A320" s="8" t="inlineStr">
        <is>
          <t>342</t>
        </is>
      </c>
      <c r="B320" s="2" t="inlineStr">
        <is>
          <t>ยาที่แสดงชื่อว่าเป็นยาอื่น หรือแสดงเดือนปีที่ยาสิ้นอายุที่ไม่ใช่ความจริง</t>
        </is>
      </c>
      <c r="C320" s="2" t="n"/>
      <c r="D320" s="2" t="inlineStr">
        <is>
          <t>Naloxone 0.4 mg IV stat</t>
        </is>
      </c>
      <c r="E320" s="2" t="inlineStr">
        <is>
          <t>Flumazenil 0.2 mg IV stat</t>
        </is>
      </c>
      <c r="F320" s="2" t="inlineStr">
        <is>
          <t>Vitamin K1 (Phytomenadione) 10 mg IV slow</t>
        </is>
      </c>
      <c r="G320" s="2" t="inlineStr">
        <is>
          <t>Sodium thiosulfate 25% 50 mL IV</t>
        </is>
      </c>
      <c r="H320" s="2" t="inlineStr">
        <is>
          <t>Calcium disodium EDTA 1 g IV</t>
        </is>
      </c>
      <c r="I320" s="8" t="inlineStr">
        <is>
          <t>1</t>
        </is>
      </c>
      <c r="J3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20" s="2" t="n"/>
      <c r="L320" s="2" t="inlineStr">
        <is>
          <t>General Therapeutics</t>
        </is>
      </c>
      <c r="M320" s="2" t="inlineStr">
        <is>
          <t>Clinic</t>
        </is>
      </c>
      <c r="N320" s="2" t="inlineStr">
        <is>
          <t>PLE_CC1_2564_All_Key ข้อ 2</t>
        </is>
      </c>
      <c r="O320" s="2" t="inlineStr">
        <is>
          <t>ข้อสอบจริง</t>
        </is>
      </c>
      <c r="P320" s="2" t="inlineStr">
        <is>
          <t>ปี 2564</t>
        </is>
      </c>
    </row>
    <row r="321" ht="13.2" customHeight="1" s="37">
      <c r="A321" s="8" t="inlineStr">
        <is>
          <t>343</t>
        </is>
      </c>
      <c r="B321" s="2" t="inlineStr">
        <is>
          <t>ยาที่แสดงว่าเป็นยาตามตำรับยาที่ขึ้นทะเบียนไว้ซึ่งมิใช่ความจริง</t>
        </is>
      </c>
      <c r="C321" s="2" t="n"/>
      <c r="D321" s="2" t="inlineStr">
        <is>
          <t>Sodium thiosulfate 25% 50 mL IV</t>
        </is>
      </c>
      <c r="E321" s="2" t="inlineStr">
        <is>
          <t>Calcium disodium EDTA 1 g IV</t>
        </is>
      </c>
      <c r="F321" s="2" t="inlineStr">
        <is>
          <t>Desferrioxamine 1 g IM/IV</t>
        </is>
      </c>
      <c r="G321" s="2" t="inlineStr">
        <is>
          <t>Dimercaprol (BAL) 3 mg/kg IM</t>
        </is>
      </c>
      <c r="H321" s="2" t="inlineStr">
        <is>
          <t>Ethanol 10% IV infusion for Methanol poisoning</t>
        </is>
      </c>
      <c r="I321" s="8" t="inlineStr">
        <is>
          <t>1</t>
        </is>
      </c>
      <c r="J3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1" s="2" t="n"/>
      <c r="L321" s="2" t="inlineStr">
        <is>
          <t>General Therapeutics</t>
        </is>
      </c>
      <c r="M321" s="2" t="inlineStr">
        <is>
          <t>Clinic</t>
        </is>
      </c>
      <c r="N321" s="2" t="inlineStr">
        <is>
          <t>PLE_CC1_2564_All_Key ข้อ 4</t>
        </is>
      </c>
      <c r="O321" s="2" t="inlineStr">
        <is>
          <t>ข้อสอบจริง</t>
        </is>
      </c>
      <c r="P321" s="2" t="inlineStr">
        <is>
          <t>ปี 2564</t>
        </is>
      </c>
    </row>
    <row r="322" ht="13.2" customHeight="1" s="37">
      <c r="A322" s="8" t="inlineStr">
        <is>
          <t>344</t>
        </is>
      </c>
      <c r="B322" s="2" t="inlineStr">
        <is>
          <t>Doxycycline capsule หากละลายไม่ดี ให้ใส่อะไร</t>
        </is>
      </c>
      <c r="C322" s="2" t="n"/>
      <c r="D322" s="2" t="inlineStr">
        <is>
          <t>Ciprofloxacin 500 mg BID</t>
        </is>
      </c>
      <c r="E322" s="2" t="inlineStr">
        <is>
          <t>Azithromycin 500 mg OD</t>
        </is>
      </c>
      <c r="F322" s="2" t="inlineStr">
        <is>
          <t>Doxycycline 100 mg BID</t>
        </is>
      </c>
      <c r="G322" s="2" t="inlineStr">
        <is>
          <t>Cotrimoxazole 160/800 mg BID</t>
        </is>
      </c>
      <c r="H322" s="2" t="inlineStr">
        <is>
          <t>Metronidazole 400 mg TID</t>
        </is>
      </c>
      <c r="I322" s="8" t="inlineStr">
        <is>
          <t>1</t>
        </is>
      </c>
      <c r="J322" s="2" t="inlineStr">
        <is>
          <t>✅ คำตอบที่ถูกต้อง: ข้อ ก. Ciprofloxacin 500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Ciprofloxacin 500 mg BID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22" s="2" t="n"/>
      <c r="L322" s="2" t="inlineStr">
        <is>
          <t>Infectious Diseases</t>
        </is>
      </c>
      <c r="M322" s="2" t="inlineStr">
        <is>
          <t>Clinic</t>
        </is>
      </c>
      <c r="N322" s="2" t="inlineStr">
        <is>
          <t>PLE_CC1_2564_All_Key ข้อ 84</t>
        </is>
      </c>
      <c r="O322" s="2" t="inlineStr">
        <is>
          <t>ข้อสอบจริง</t>
        </is>
      </c>
      <c r="P322" s="2" t="inlineStr">
        <is>
          <t>ปี 2564</t>
        </is>
      </c>
    </row>
    <row r="323" ht="13.2" customHeight="1" s="37">
      <c r="A323" s="8" t="inlineStr">
        <is>
          <t>345</t>
        </is>
      </c>
      <c r="B323" s="2" t="inlineStr">
        <is>
          <t>ถ้าจะเปลี่ยนจากยาฉีดเป็นยากิน จะเลือกตัวไหนให้ครอบคลุมเชื้อที่สุด</t>
        </is>
      </c>
      <c r="C323" s="2" t="n"/>
      <c r="D323" s="2" t="inlineStr">
        <is>
          <t>N-acetylcysteine (NAC) IV infusion protocol</t>
        </is>
      </c>
      <c r="E323" s="2" t="inlineStr">
        <is>
          <t>Clindamycin</t>
        </is>
      </c>
      <c r="F323" s="2" t="inlineStr">
        <is>
          <t>Azithromycin</t>
        </is>
      </c>
      <c r="G323" s="2" t="inlineStr">
        <is>
          <t>Nitrofurantoin</t>
        </is>
      </c>
      <c r="H323" s="2" t="inlineStr">
        <is>
          <t>Metronidazole</t>
        </is>
      </c>
      <c r="I323" s="8" t="inlineStr">
        <is>
          <t>1</t>
        </is>
      </c>
      <c r="J3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
🔍 ข้ออื่นผิดเพราะอะไร:
• ข้อ ข. (Clindamycin): ข้อนี้ไม่ใช่คำตอบที่ถูกต้องสำหรับภาวะ General Therapeutics เนื่องจากกลไกการออกฤทธิ์, efficacy หรือข้อบ่งใช้ไม่ตรงกับโจทย์ที่กำหนด
• ข้อ ค. (Azithromycin): เป็น Macrolide ครอบคลุม atypical pathogens (Mycoplasma, Chlamydia, Legionella) ขจัดออกทางตับเป็นหลัก และมี half-life ยาวนาน (~68 ชม.)
• ข้อ ง. (Nitrofurantoin): เป็น urinary tract antiseptic สำหรับ uncomplicated cystitis ปลอดภัยในหญิงตั้งครรภ์ (ยกเว้นใกล้คลอด) แต่ contraindication เมื่อ CrCl &lt; 30 mL/min
• ข้อ จ. (Metronidazole):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23" s="2" t="n"/>
      <c r="L323" s="2" t="inlineStr">
        <is>
          <t>General Therapeutics</t>
        </is>
      </c>
      <c r="M323" s="2" t="inlineStr">
        <is>
          <t>Clinic</t>
        </is>
      </c>
      <c r="N323" s="2" t="inlineStr">
        <is>
          <t>PLE_CC1_2564_All_Key ข้อ 93</t>
        </is>
      </c>
      <c r="O323" s="2" t="inlineStr">
        <is>
          <t>ข้อสอบจริง</t>
        </is>
      </c>
      <c r="P323" s="2" t="inlineStr">
        <is>
          <t>ปี 2564</t>
        </is>
      </c>
      <c r="Q323" s="2" t="inlineStr">
        <is>
          <t>Cloxacillin</t>
        </is>
      </c>
    </row>
    <row r="324" ht="13.2" customHeight="1" s="37">
      <c r="A324" s="8" t="inlineStr">
        <is>
          <t>346</t>
        </is>
      </c>
      <c r="B324" s="2" t="inlineStr">
        <is>
          <t>คุณสูบบุหรี่มวนแรกหลังตื่นนอนตอนเช้าเมื่อไหร่</t>
        </is>
      </c>
      <c r="C324" s="2" t="n"/>
      <c r="D324" s="2" t="inlineStr">
        <is>
          <t>Montelukast 10 mg HS</t>
        </is>
      </c>
      <c r="E324" s="2" t="inlineStr">
        <is>
          <t>Theophylline 200 mg BID</t>
        </is>
      </c>
      <c r="F324" s="2" t="inlineStr">
        <is>
          <t>Prednisolone 40 mg OD x 5 days</t>
        </is>
      </c>
      <c r="G324" s="2" t="inlineStr">
        <is>
          <t>N-acetylcysteine 600 mg OD</t>
        </is>
      </c>
      <c r="H324" s="2" t="inlineStr">
        <is>
          <t>Beclomethasone MDI 100 mcg BID</t>
        </is>
      </c>
      <c r="I324" s="8" t="inlineStr">
        <is>
          <t>1</t>
        </is>
      </c>
      <c r="J324" s="2"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จ.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4" s="2" t="n"/>
      <c r="L324" s="2" t="inlineStr">
        <is>
          <t>Pulmonary Diseases</t>
        </is>
      </c>
      <c r="M324" s="2" t="inlineStr">
        <is>
          <t>Clinic</t>
        </is>
      </c>
      <c r="N324" s="2" t="inlineStr">
        <is>
          <t>PLE_CC1_2564_All_Key ข้อ 1</t>
        </is>
      </c>
      <c r="O324" s="2" t="inlineStr">
        <is>
          <t>ข้อสอบจริง</t>
        </is>
      </c>
      <c r="P324" s="2" t="inlineStr">
        <is>
          <t>ปี 2564</t>
        </is>
      </c>
    </row>
    <row r="325" ht="13.2" customHeight="1" s="37">
      <c r="A325" s="8" t="inlineStr">
        <is>
          <t>347</t>
        </is>
      </c>
      <c r="B325" s="2" t="inlineStr">
        <is>
          <t>คุณรู้สึกอย่างไร หากไม่ได้สามารถสูบบุหรี่ในที่ห้ามสูบบุหรี่เป็นระยะเวลานาน</t>
        </is>
      </c>
      <c r="C325" s="2" t="n"/>
      <c r="D325" s="2" t="inlineStr">
        <is>
          <t>N-acetylcysteine 600 mg OD</t>
        </is>
      </c>
      <c r="E325" s="2" t="inlineStr">
        <is>
          <t>Beclomethasone MDI 100 mcg BID</t>
        </is>
      </c>
      <c r="F325" s="2" t="inlineStr">
        <is>
          <t>Salbutamol MDI 2 puffs PRN</t>
        </is>
      </c>
      <c r="G325" s="2" t="inlineStr">
        <is>
          <t>Budesonide/Formoterol 160/4.5 mcg DPI BID</t>
        </is>
      </c>
      <c r="H325" s="2" t="inlineStr">
        <is>
          <t>Fluticasone/Salmeterol 250/50 mcg DPI BID</t>
        </is>
      </c>
      <c r="I325" s="8" t="inlineStr">
        <is>
          <t>1</t>
        </is>
      </c>
      <c r="J325" s="2" t="inlineStr">
        <is>
          <t>✅ คำตอบที่ถูกต้อง: ข้อ ก. N-acetylcysteine 600 mg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600 mg OD
🔍 ข้ออื่นผิดเพราะอะไร:
• ข้อ ข.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25" s="2" t="n"/>
      <c r="L325" s="2" t="inlineStr">
        <is>
          <t>Pulmonary Diseases</t>
        </is>
      </c>
      <c r="M325" s="2" t="inlineStr">
        <is>
          <t>Clinic</t>
        </is>
      </c>
      <c r="N325" s="2" t="inlineStr">
        <is>
          <t>PLE_CC1_2564_All_Key ข้อ 2</t>
        </is>
      </c>
      <c r="O325" s="2" t="inlineStr">
        <is>
          <t>ข้อสอบจริง</t>
        </is>
      </c>
      <c r="P325" s="2" t="inlineStr">
        <is>
          <t>ปี 2564</t>
        </is>
      </c>
    </row>
    <row r="326" ht="13.2" customHeight="1" s="37">
      <c r="A326" s="8" t="inlineStr">
        <is>
          <t>348</t>
        </is>
      </c>
      <c r="B326" s="2" t="inlineStr">
        <is>
          <t>ในแต่ละวัน บุหรี่มวนใดที่คุณคิดว่าถ้าไม่ได้สูบแล้วจะหงุดหงิดมากที่สุด</t>
        </is>
      </c>
      <c r="C326" s="2" t="n"/>
      <c r="D326" s="2" t="inlineStr">
        <is>
          <t>Budesonide/Formoterol 160/4.5 mcg DPI BID</t>
        </is>
      </c>
      <c r="E326" s="2" t="inlineStr">
        <is>
          <t>Fluticasone/Salmeterol 250/50 mcg DPI BID</t>
        </is>
      </c>
      <c r="F326" s="2" t="inlineStr">
        <is>
          <t>Tiotropium Respimat 2.5 mcg 2 puffs OD</t>
        </is>
      </c>
      <c r="G326" s="2" t="inlineStr">
        <is>
          <t>Ipratropium/Fenoterol MDI PRN</t>
        </is>
      </c>
      <c r="H326" s="2" t="inlineStr">
        <is>
          <t>Montelukast 10 mg HS</t>
        </is>
      </c>
      <c r="I326" s="8" t="inlineStr">
        <is>
          <t>1</t>
        </is>
      </c>
      <c r="J326" s="2"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326" s="2" t="n"/>
      <c r="L326" s="2" t="inlineStr">
        <is>
          <t>Pulmonary Diseases</t>
        </is>
      </c>
      <c r="M326" s="2" t="inlineStr">
        <is>
          <t>Clinic</t>
        </is>
      </c>
      <c r="N326" s="2" t="inlineStr">
        <is>
          <t>PLE_CC1_2564_All_Key ข้อ 3</t>
        </is>
      </c>
      <c r="O326" s="2" t="inlineStr">
        <is>
          <t>ข้อสอบจริง</t>
        </is>
      </c>
      <c r="P326" s="2" t="inlineStr">
        <is>
          <t>ปี 2564</t>
        </is>
      </c>
    </row>
    <row r="327" ht="13.2" customHeight="1" s="37">
      <c r="A327" s="8" t="inlineStr">
        <is>
          <t>349</t>
        </is>
      </c>
      <c r="B327" s="2" t="inlineStr">
        <is>
          <t>โดยปกติคุณสูบบุหรี่วันละกี่มวน</t>
        </is>
      </c>
      <c r="C327" s="2" t="n"/>
      <c r="D327" s="2" t="inlineStr">
        <is>
          <t>Ipratropium/Fenoterol MDI PRN</t>
        </is>
      </c>
      <c r="E327" s="2" t="inlineStr">
        <is>
          <t>Montelukast 10 mg HS</t>
        </is>
      </c>
      <c r="F327" s="2" t="inlineStr">
        <is>
          <t>Theophylline 200 mg BID</t>
        </is>
      </c>
      <c r="G327" s="2" t="inlineStr">
        <is>
          <t>Prednisolone 40 mg OD x 5 days</t>
        </is>
      </c>
      <c r="H327" s="2" t="inlineStr">
        <is>
          <t>N-acetylcysteine 600 mg OD</t>
        </is>
      </c>
      <c r="I327" s="8" t="inlineStr">
        <is>
          <t>1</t>
        </is>
      </c>
      <c r="J327" s="2" t="inlineStr">
        <is>
          <t>✅ คำตอบที่ถูกต้อง: ข้อ ก. Ipratropium/Fenoterol MDI PRN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Ipratropium/Fenoterol MDI PRN การเลือก Ipratropium/Fenoterol MDI PRN เป็นคำตอบที่ถูกต้องตามแนวทางการรักษามาตรฐาน เนื่องจาก เป็น SAMA ออกฤทธิ์ยับยั้ง cholinergic tone มักใช้ร่วมกับ SABA ใน acute moderate-to-severe asthma/COPD exacerbation
🔍 ข้ออื่นผิดเพราะอะไร:
• ข้อ ข.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(Theophylline 200 mg BID): มี narrow therapeutic window (target 5-15 mcg/mL) และ ADR สูง (ใจสั่น คลื่นไส้ ชัก หัวใจเต้นผิดจังหวะ) CPG จึงจัดเป็นเพียงทางเลือกท้ายๆ (alternative)
• ข้อ ง. (Prednisolone 40 mg OD x 5 days): เป็น intermediate-acting systemic corticosteroid ขนาดยอดนิยมสำหรับ immunosuppressive &amp; anti-inflammatory therapy ต้องระวัง Cushingoid, infection, osteoporosis, peptic ulcer
• ข้อ จ. (N-acetylcysteine 600 mg OD):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7" s="2" t="n"/>
      <c r="L327" s="2" t="inlineStr">
        <is>
          <t>Pulmonary Diseases</t>
        </is>
      </c>
      <c r="M327" s="2" t="inlineStr">
        <is>
          <t>Clinic</t>
        </is>
      </c>
      <c r="N327" s="2" t="inlineStr">
        <is>
          <t>PLE_CC1_2564_All_Key ข้อ 4</t>
        </is>
      </c>
      <c r="O327" s="2" t="inlineStr">
        <is>
          <t>ข้อสอบจริง</t>
        </is>
      </c>
      <c r="P327" s="2" t="inlineStr">
        <is>
          <t>ปี 2564</t>
        </is>
      </c>
    </row>
    <row r="328" ht="13.2" customHeight="1" s="37">
      <c r="A328" s="8" t="inlineStr">
        <is>
          <t>350</t>
        </is>
      </c>
      <c r="B328" s="2" t="inlineStr">
        <is>
          <t>โดยเฉลี่ยคุณสูบบุหรี่มากที่สุดในช่วง 2-3 ชั่วโมงแรกหลังตื่นนอนมากกว่าช่วงอื่นๆ ใช่หรือไม่</t>
        </is>
      </c>
      <c r="C328" s="2" t="n"/>
      <c r="D328" s="2" t="inlineStr">
        <is>
          <t>Prednisolone 40 mg OD x 5 days</t>
        </is>
      </c>
      <c r="E328" s="2" t="inlineStr">
        <is>
          <t>N-acetylcysteine 600 mg OD</t>
        </is>
      </c>
      <c r="F328" s="2" t="inlineStr">
        <is>
          <t>Beclomethasone MDI 100 mcg BID</t>
        </is>
      </c>
      <c r="G328" s="2" t="inlineStr">
        <is>
          <t>Salbutamol MDI 2 puffs PRN</t>
        </is>
      </c>
      <c r="H328" s="2" t="inlineStr">
        <is>
          <t>Budesonide/Formoterol 160/4.5 mcg DPI BID</t>
        </is>
      </c>
      <c r="I328" s="8" t="inlineStr">
        <is>
          <t>1</t>
        </is>
      </c>
      <c r="J328" s="2"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28" s="2" t="n"/>
      <c r="L328" s="2" t="inlineStr">
        <is>
          <t>Pulmonary Diseases</t>
        </is>
      </c>
      <c r="M328" s="2" t="inlineStr">
        <is>
          <t>Clinic</t>
        </is>
      </c>
      <c r="N328" s="2" t="inlineStr">
        <is>
          <t>PLE_CC1_2564_All_Key ข้อ 5</t>
        </is>
      </c>
      <c r="O328" s="2" t="inlineStr">
        <is>
          <t>ข้อสอบจริง</t>
        </is>
      </c>
      <c r="P328" s="2" t="inlineStr">
        <is>
          <t>ปี 2564</t>
        </is>
      </c>
    </row>
    <row r="329" ht="13.2" customHeight="1" s="37">
      <c r="A329" s="8" t="inlineStr">
        <is>
          <t>351</t>
        </is>
      </c>
      <c r="B329" s="2" t="inlineStr">
        <is>
          <t>ขณะเมื่อคุณป่วยต้องนอนอยู่บนเตียงเกือบตลอดเวลา คุณต้องการสูบบุหรี่หรือไม่ หรือประเมิน Heaviness of Smoking Index (HIS) ซึ่งประกอบไปด้วย 2 คำถาม คือ</t>
        </is>
      </c>
      <c r="C329" s="2" t="n"/>
      <c r="D329" s="2" t="inlineStr">
        <is>
          <t>Salbutamol MDI 2 puffs PRN</t>
        </is>
      </c>
      <c r="E329" s="2" t="inlineStr">
        <is>
          <t>Budesonide/Formoterol 160/4.5 mcg DPI BID</t>
        </is>
      </c>
      <c r="F329" s="2" t="inlineStr">
        <is>
          <t>Fluticasone/Salmeterol 250/50 mcg DPI BID</t>
        </is>
      </c>
      <c r="G329" s="2" t="inlineStr">
        <is>
          <t>Tiotropium Respimat 2.5 mcg 2 puffs OD</t>
        </is>
      </c>
      <c r="H329" s="2" t="inlineStr">
        <is>
          <t>Ipratropium/Fenoterol MDI PRN</t>
        </is>
      </c>
      <c r="I329" s="8" t="inlineStr">
        <is>
          <t>1</t>
        </is>
      </c>
      <c r="J329" s="2" t="inlineStr">
        <is>
          <t>✅ คำตอบที่ถูกต้อง: ข้อ ก. Salbutamol MDI 2 puffs PRN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Salbutamol MDI 2 puffs PRN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329" s="2" t="n"/>
      <c r="L329" s="2" t="inlineStr">
        <is>
          <t>Pulmonary Diseases</t>
        </is>
      </c>
      <c r="M329" s="2" t="inlineStr">
        <is>
          <t>Clinic</t>
        </is>
      </c>
      <c r="N329" s="2" t="inlineStr">
        <is>
          <t>PLE_CC1_2564_All_Key ข้อ 6</t>
        </is>
      </c>
      <c r="O329" s="2" t="inlineStr">
        <is>
          <t>ข้อสอบจริง</t>
        </is>
      </c>
      <c r="P329" s="2" t="inlineStr">
        <is>
          <t>ปี 2564</t>
        </is>
      </c>
    </row>
    <row r="330" ht="13.2" customHeight="1" s="37">
      <c r="A330" s="8" t="inlineStr">
        <is>
          <t>352</t>
        </is>
      </c>
      <c r="B330" s="2" t="inlineStr">
        <is>
          <t>สูบบุหรี่หลังตื่นนอนตอนเช้าเมื่อไหร่" v u เฉลยข้อสอบ PLE-CC1 ครั้งที่12/2564 วันที่ 1-2 : MUPY 50 เฉลยข้อสอบ PLE-CC1 ครั้งที่12/2564 วันที่ 1-2 : MUPY 50</t>
        </is>
      </c>
      <c r="C330" s="2" t="n"/>
      <c r="D330" s="2" t="inlineStr">
        <is>
          <t>Tiotropium Respimat 2.5 mcg 2 puffs OD</t>
        </is>
      </c>
      <c r="E330" s="2" t="inlineStr">
        <is>
          <t>Ipratropium/Fenoterol MDI PRN</t>
        </is>
      </c>
      <c r="F330" s="2" t="inlineStr">
        <is>
          <t>Montelukast 10 mg HS</t>
        </is>
      </c>
      <c r="G330" s="2" t="inlineStr">
        <is>
          <t>Theophylline 200 mg BID</t>
        </is>
      </c>
      <c r="H330" s="2" t="inlineStr">
        <is>
          <t>Prednisolone 40 mg OD x 5 days</t>
        </is>
      </c>
      <c r="I330" s="8" t="inlineStr">
        <is>
          <t>1</t>
        </is>
      </c>
      <c r="J330" s="2" t="inlineStr">
        <is>
          <t>✅ คำตอบที่ถูกต้อง: ข้อ ก. Tiotropium Respimat 2.5 mcg 2 puffs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Tiotropium Respimat 2.5 mcg 2 puffs OD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330" s="2" t="n"/>
      <c r="L330" s="2" t="inlineStr">
        <is>
          <t>Pulmonary Diseases</t>
        </is>
      </c>
      <c r="M330" s="2" t="inlineStr">
        <is>
          <t>Clinic</t>
        </is>
      </c>
      <c r="N330" s="2" t="inlineStr">
        <is>
          <t>PLE_CC1_2564_All_Key ข้อ 2</t>
        </is>
      </c>
      <c r="O330" s="2" t="inlineStr">
        <is>
          <t>ข้อสอบจริง</t>
        </is>
      </c>
      <c r="P330" s="2" t="inlineStr">
        <is>
          <t>ปี 2564</t>
        </is>
      </c>
    </row>
    <row r="331" ht="13.2" customHeight="1" s="37">
      <c r="A331" s="8" t="inlineStr">
        <is>
          <t>353</t>
        </is>
      </c>
      <c r="B331" s="2" t="inlineStr">
        <is>
          <t>จากข้อ 104 ต่อมาพบว่าติด H. pylori ใช้ยาสูตรใด (แพ้ metronidazole แบบ anaphylaxis)</t>
        </is>
      </c>
      <c r="C331" s="2" t="n"/>
      <c r="D331" s="2" t="inlineStr">
        <is>
          <t>N-acetylcysteine (NAC) IV infusion protocol</t>
        </is>
      </c>
      <c r="E331" s="2" t="inlineStr">
        <is>
          <t>Omeprazole 20 mg twice + amoxicillin 1 g twice + clarithromycin 500 mg twice</t>
        </is>
      </c>
      <c r="F331" s="2" t="inlineStr">
        <is>
          <t>Ome 20 mg OD + amox 500 mg twice + clarithromycin</t>
        </is>
      </c>
      <c r="G331" s="2" t="inlineStr">
        <is>
          <t>Ome + metro + ... e. ome + fluoroqunilones</t>
        </is>
      </c>
      <c r="H331" s="2" t="inlineStr">
        <is>
          <t>Flumazenil 0.2 mg IV stat</t>
        </is>
      </c>
      <c r="I331" s="8" t="inlineStr">
        <is>
          <t>1</t>
        </is>
      </c>
      <c r="J331" s="2" t="inlineStr">
        <is>
          <t>✅ คำตอบที่ถูกต้อง: ข้อ ก. N-acetylcysteine (NAC) IV infusion protocol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N-acetylcysteine (NAC) IV infusion protocol ..............................................................................................................................................................................................................
🔍 ข้ออื่นผิดเพราะอะไร:
• ข้อ ข. (Omeprazole 20 mg twice + amoxicillin 1 g twice + clarithromycin 500 mg twice): เป็น Aminopenicillin ยับยั้ง bacterial cell wall synthesis เป็น first-line สำหรับ uncomplicated bacterial infections (เช่น Strep pharyngitis, AOM, sinusitis)
• ข้อ ค. (Ome 20 mg OD + amox 500 mg twice + clarithromycin): เป็น Macrolide เป็นแกนหลักในสูตรกำจัด H. pylori และ MAC treatment แต่ยับยั้ง CYP3A4 สูงมาก จึงมี drug-drug interactions รุนแรงกับ statins, colchicine
• ข้อ ง. (Ome + metro + ... e. ome + fluoroqunilones): ข้อนี้ไม่ใช่คำตอบที่ถูกต้องสำหรับภาวะ Infectious Diseases เนื่องจากกลไกการออกฤทธิ์, efficacy หรือข้อบ่งใช้ไม่ตรงกับโจทย์ที่กำหนด
• ข้อ จ. (Flumazenil 0.2 mg IV stat):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31" s="2" t="n"/>
      <c r="L331" s="2" t="inlineStr">
        <is>
          <t>Infectious Diseases</t>
        </is>
      </c>
      <c r="M331" s="2" t="inlineStr">
        <is>
          <t>Clinic</t>
        </is>
      </c>
      <c r="N331" s="2" t="inlineStr">
        <is>
          <t>PLE_CC1_2564_All_Key ข้อ 105</t>
        </is>
      </c>
      <c r="O331" s="2" t="inlineStr">
        <is>
          <t>ข้อสอบจริง</t>
        </is>
      </c>
      <c r="P331" s="2" t="inlineStr">
        <is>
          <t>ปี 2564</t>
        </is>
      </c>
    </row>
    <row r="332" ht="13.2" customHeight="1" s="37">
      <c r="A332" s="8" t="inlineStr">
        <is>
          <t>354</t>
        </is>
      </c>
      <c r="B332" s="2" t="inlineStr">
        <is>
          <t>ยาใดควรเลี่ยงในผู้ป่วย</t>
        </is>
      </c>
      <c r="C332" s="2" t="n"/>
      <c r="D332" s="2" t="inlineStr">
        <is>
          <t>Naloxone 0.4 mg IV stat</t>
        </is>
      </c>
      <c r="E332" s="2" t="inlineStr">
        <is>
          <t>cotrimoxazole</t>
        </is>
      </c>
      <c r="F332" s="2" t="inlineStr">
        <is>
          <t>aspirin</t>
        </is>
      </c>
      <c r="G332" s="2" t="inlineStr">
        <is>
          <t>paracetamol</t>
        </is>
      </c>
      <c r="H332" s="2" t="inlineStr">
        <is>
          <t>Calcium disodium EDTA 1 g IV</t>
        </is>
      </c>
      <c r="I332" s="8" t="inlineStr">
        <is>
          <t>1</t>
        </is>
      </c>
      <c r="J3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https://www.cych.org.tw/pharm/MIMS%20Summary%20Table-G6PD.pdf  / https://pubmed.ncbi.nlm.nih.gov/15073793/ .............................................................................................................................................................................................................. ถ้าในสภาวะปัสสาวะเป็นกรดฮีโมโกลบินจะตกตะกอน อุดกั้นทางเดินปัสสาวะหรือท่อไตทำให้เกิดภาวะไตวายเฉียบพลัน https://haamor.com/%E0%B8%A0%E0%B8%B2%E0%B8%A7%E0%B8%B0%E0%B8%82%E0%B8%B2%E0%B8%94%E0%B9%80%E0%B8%AD%E0%B8%99%E0%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(aspirin): เป็น irreversible COX-1 inhibitor ยับยั้ง Thromboxane A2 เป็นแกนหลักใน antiplatelet secondary prevention ของ CVD (ขนาดยา 75-100 mg/day)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32" s="2" t="n"/>
      <c r="L332" s="2" t="inlineStr">
        <is>
          <t>General Therapeutics</t>
        </is>
      </c>
      <c r="M332" s="2" t="inlineStr">
        <is>
          <t>Clinic</t>
        </is>
      </c>
      <c r="N332" s="2" t="inlineStr">
        <is>
          <t>PLE_CC1_2564_All_Key ข้อ 108</t>
        </is>
      </c>
      <c r="O332" s="2" t="inlineStr">
        <is>
          <t>ข้อสอบจริง</t>
        </is>
      </c>
      <c r="P332" s="2" t="inlineStr">
        <is>
          <t>ปี 2564</t>
        </is>
      </c>
    </row>
    <row r="333" ht="13.2" customHeight="1" s="37">
      <c r="A333" s="8" t="inlineStr">
        <is>
          <t>355</t>
        </is>
      </c>
      <c r="B333" s="2" t="inlineStr">
        <is>
          <t>ถ้าจะเริ่มใช้ NRT ต้องเลิกบุรี่เมื่อไหร่</t>
        </is>
      </c>
      <c r="C333" s="2" t="n"/>
      <c r="D333" s="2" t="inlineStr">
        <is>
          <t>Sodium thiosulfate 25% 50 mL IV</t>
        </is>
      </c>
      <c r="E333" s="2" t="inlineStr">
        <is>
          <t>ทันทีก่อนใช้</t>
        </is>
      </c>
      <c r="F333" s="2" t="inlineStr">
        <is>
          <t>ใช้ได้เมื่อรู้สึกอยากบุหรี่</t>
        </is>
      </c>
      <c r="G333" s="2" t="inlineStr">
        <is>
          <t>Dimercaprol (BAL) 3 mg/kg IM</t>
        </is>
      </c>
      <c r="H333" s="2" t="inlineStr">
        <is>
          <t>Ethanol 10% IV infusion for Methanol poisoning</t>
        </is>
      </c>
      <c r="I333" s="8" t="inlineStr">
        <is>
          <t>1</t>
        </is>
      </c>
      <c r="J3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(ทันทีก่อนใช้): ข้อนี้ไม่ใช่คำตอบที่ถูกต้องสำหรับภาวะ General Therapeutics เนื่องจากกลไกการออกฤทธิ์, efficacy หรือข้อบ่งใช้ไม่ตรงกับโจทย์ที่กำหนด
• ข้อ ค. (ใช้ได้เมื่อรู้สึกอยากบุหรี่):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3" s="2" t="n"/>
      <c r="L333" s="2" t="inlineStr">
        <is>
          <t>General Therapeutics</t>
        </is>
      </c>
      <c r="M333" s="2" t="inlineStr">
        <is>
          <t>Clinic</t>
        </is>
      </c>
      <c r="N333" s="2" t="inlineStr">
        <is>
          <t>PLE_CC1_2564_All_Key ข้อ 102</t>
        </is>
      </c>
      <c r="O333" s="2" t="inlineStr">
        <is>
          <t>ข้อสอบจริง</t>
        </is>
      </c>
      <c r="P333" s="2" t="inlineStr">
        <is>
          <t>ปี 2564</t>
        </is>
      </c>
    </row>
    <row r="334" ht="13.2" customHeight="1" s="37">
      <c r="A334" s="8" t="inlineStr">
        <is>
          <t>356</t>
        </is>
      </c>
      <c r="B334" s="2" t="inlineStr">
        <is>
          <t>ข้อใดถูก</t>
        </is>
      </c>
      <c r="C334" s="2" t="n"/>
      <c r="D334" s="2" t="inlineStr">
        <is>
          <t>Dimercaprol (BAL) 3 mg/kg IM</t>
        </is>
      </c>
      <c r="E334" s="2" t="inlineStr">
        <is>
          <t>packed plasma เมื่อ Hb น้อยกว่า 7</t>
        </is>
      </c>
      <c r="F334" s="2" t="inlineStr">
        <is>
          <t>packed plasma เมื่อ Hb น้อยกว่า 7-9 เมื่ออะไรสักอย่าง</t>
        </is>
      </c>
      <c r="G334" s="2" t="inlineStr">
        <is>
          <t>fresh frozen plasma เมื่อ Hb น้อยกว่า 5</t>
        </is>
      </c>
      <c r="H334" s="2" t="inlineStr">
        <is>
          <t>Atropine sulfate 2 mg IV Q5-10 min</t>
        </is>
      </c>
      <c r="I334" s="8" t="inlineStr">
        <is>
          <t>1</t>
        </is>
      </c>
      <c r="J3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แนะนำ ให้ให้ packed red cell (ในช้อยที่เขียนว่า packed plasma น่าจะหมายถึง packed red cell) หรือ RBC transfusion เมื่อ Hb น้อยกว่า 7 https://www.hematology.org/-/media/hematology/files/education/clinicians/guidelines- ..............................................................................................................................................................................................................
🔍 ข้ออื่นผิดเพราะอะไร:
• ข้อ ข. (packed plasma เมื่อ Hb น้อยกว่า 7): ข้อนี้ไม่ใช่คำตอบที่ถูกต้องสำหรับภาวะ General Therapeutics เนื่องจากกลไกการออกฤทธิ์, efficacy หรือข้อบ่งใช้ไม่ตรงกับโจทย์ที่กำหนด
• ข้อ ค. (packed plasma เมื่อ Hb น้อยกว่า 7-9 เมื่ออะไรสักอย่าง): ข้อนี้ไม่ใช่คำตอบที่ถูกต้องสำหรับภาวะ General Therapeutics เนื่องจากกลไกการออกฤทธิ์, efficacy หรือข้อบ่งใช้ไม่ตรงกับโจทย์ที่กำหนด
• ข้อ ง. (fresh frozen plasma เมื่อ Hb น้อยกว่า 5):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4" s="2" t="n"/>
      <c r="L334" s="2" t="inlineStr">
        <is>
          <t>General Therapeutics</t>
        </is>
      </c>
      <c r="M334" s="2" t="inlineStr">
        <is>
          <t>Clinic</t>
        </is>
      </c>
      <c r="N334" s="2" t="inlineStr">
        <is>
          <t>PLE_CC1_2564_All_Key ข้อ 110</t>
        </is>
      </c>
      <c r="O334" s="2" t="inlineStr">
        <is>
          <t>ข้อสอบจริง</t>
        </is>
      </c>
      <c r="P334" s="2" t="inlineStr">
        <is>
          <t>ปี 2564</t>
        </is>
      </c>
    </row>
    <row r="335" ht="13.2" customHeight="1" s="37">
      <c r="A335" s="8" t="inlineStr">
        <is>
          <t>357</t>
        </is>
      </c>
      <c r="B335" s="2" t="inlineStr">
        <is>
          <t>ผญ. 67 ปี หมดปจดแล้ว ตรวจ T-score สะโพก -2.5 สันหลัง -2.8 T-score คืออะไร</t>
        </is>
      </c>
      <c r="C335" s="2" t="n"/>
      <c r="D335" s="2" t="inlineStr">
        <is>
          <t>N-acetylcysteine (NAC) IV infusion protocol</t>
        </is>
      </c>
      <c r="E335" s="2" t="inlineStr">
        <is>
          <t>ค่าความแข็งกระดูก b) ค่าความหนาแน่นกระดูกเมื่อเทียบกับค่าสูงสุดของคนวัยหนุ่มสาว c) ค่าความหนาแน่น เฉลยข้อสอบ PLE-CC1 ครั้งที่12/2564 วันที่ 1-2 : MUPY 50 เฉลยข้อสอบ PLE-CC1 ครั้งที่12/2564 วันที่ 1-2 : MUPY 50</t>
        </is>
      </c>
      <c r="F335" s="2" t="inlineStr">
        <is>
          <t>Pralidoxime (2-PAM) 1-2 g IV over 30 min</t>
        </is>
      </c>
      <c r="G335" s="2" t="inlineStr">
        <is>
          <t>Naloxone 0.4 mg IV stat</t>
        </is>
      </c>
      <c r="H335" s="2" t="inlineStr">
        <is>
          <t>Flumazenil 0.2 mg IV stat</t>
        </is>
      </c>
      <c r="I335" s="8" t="inlineStr">
        <is>
          <t>1</t>
        </is>
      </c>
      <c r="J335" s="2" t="inlineStr">
        <is>
          <t>✅ คำตอบที่ถูกต้อง: ข้อ ก. N-acetylcysteine (NAC) IV infusion protocol
💡 Background:
โรคกระดูกพรุน (T-score ≤ -2.5) ทำให้กระดูกเปราะ เสี่ยงต่อ fragility fracture การรักษาเน้นยับยั้ง bone resorption ด้วย antiresorptive agents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(ค่าความแข็งกระดูก b) ค่าความหนาแน่นกระดูกเมื่อเทียบกับค่าสูงสุดของคนวัยหนุ่มสาว c) ค่าความหนาแน่น เฉลยข้อสอบ PLE-CC1 ครั้งที่12/2564 วันที่ 1-2 : MUPY 50 เฉลยข้อสอบ PLE-CC1 ครั้งที่12/2564 วันที่ 1-2 : MUPY 50):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35" s="2" t="n"/>
      <c r="L335" s="2" t="inlineStr">
        <is>
          <t>General Therapeutics</t>
        </is>
      </c>
      <c r="M335" s="2" t="inlineStr">
        <is>
          <t>Clinic</t>
        </is>
      </c>
      <c r="N335" s="2" t="inlineStr">
        <is>
          <t>PLE_CC1_2564_All_Key ข้อ 116</t>
        </is>
      </c>
      <c r="O335" s="2" t="inlineStr">
        <is>
          <t>ข้อสอบจริง</t>
        </is>
      </c>
      <c r="P335" s="2" t="inlineStr">
        <is>
          <t>ปี 2564</t>
        </is>
      </c>
    </row>
    <row r="336" ht="13.2" customHeight="1" s="37">
      <c r="A336" s="8" t="inlineStr">
        <is>
          <t>358</t>
        </is>
      </c>
      <c r="B336" s="2" t="inlineStr">
        <is>
          <t>ผู้หญิงปวดท้องก่อนมีประจำเดือน พอประจำเดือนมาก็หาย แต่ต่อมาปวดท้อง แบบตรวจเจอ H. pylori ให้ยาใดในการรักษาอาการปวดได้ ไม่มี U/D ปฏิเสธ FH ALL: NKDA</t>
        </is>
      </c>
      <c r="C336" s="2" t="n"/>
      <c r="D336" s="2" t="inlineStr">
        <is>
          <t>Senna 2 tabs HS</t>
        </is>
      </c>
      <c r="E336" s="2" t="inlineStr">
        <is>
          <t>Bisacodyl 5 mg HS</t>
        </is>
      </c>
      <c r="F336" s="2" t="inlineStr">
        <is>
          <t>Lactulose 15 mL OD</t>
        </is>
      </c>
      <c r="G336" s="2" t="inlineStr">
        <is>
          <t>Amoxicillin 1000 mg BID</t>
        </is>
      </c>
      <c r="H336" s="2" t="inlineStr">
        <is>
          <t>Clarithromycin 500 mg BID</t>
        </is>
      </c>
      <c r="I336" s="8" t="inlineStr">
        <is>
          <t>1</t>
        </is>
      </c>
      <c r="J336" s="2"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แสดงว่าผู้ป่วยมีความเสี่ยงที่จะเกิด GI risk ดังนั้นจึงต้องเลือกยาในกลุ่มที่ยับยั้ง COX-2 มากกว่า COX-1 จึงทำให้ไม่เลือกข้อ aspirin, indomethacin และ naproxen เพราะยาทั้ง 3 ตัว ยับยั้ง COX-1 เยอะ (more COX-1 selective) เนื่องจาก COX-1 เป็นเอนไซม์ที่ใช้สร้าง prostaglandin ซึ่งจะช่วยปกป้อง GI ดังนั้นยาทั้ง 3 ตัวที่ยับยั้ง COX-1 เยอะ จะยิ่งทำให้เกิดผลข้างเคียงต่อ GI มากขึ้น ส่วน diclofenac และ celecoxib มีความยับยั้ง COX-2 ได้ใกล้เคียงกัน แต่ celecoxib ยับยั้ง COX-2 ได้มากกว่า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6" s="2" t="n"/>
      <c r="L336" s="2" t="inlineStr">
        <is>
          <t>GI Disorders</t>
        </is>
      </c>
      <c r="M336" s="2" t="inlineStr">
        <is>
          <t>Clinic</t>
        </is>
      </c>
      <c r="N336" s="2" t="inlineStr">
        <is>
          <t>PLE_CC1_2564_All_Key ข้อ 120</t>
        </is>
      </c>
      <c r="O336" s="2" t="inlineStr">
        <is>
          <t>ข้อสอบจริง</t>
        </is>
      </c>
      <c r="P336" s="2" t="inlineStr">
        <is>
          <t>ปี 2564</t>
        </is>
      </c>
    </row>
    <row r="337" ht="13.2" customHeight="1" s="37">
      <c r="A337" s="8" t="inlineStr">
        <is>
          <t>359</t>
        </is>
      </c>
      <c r="B337" s="2" t="inlineStr">
        <is>
          <t>ผญ เปลือกตาบวมแดง ขี้ตาเหลือง ลืมตายาก โดยเฉพาะเช้าตื่นนอน ใช้ยาหยอดอะไร</t>
        </is>
      </c>
      <c r="C337" s="2" t="n"/>
      <c r="D337" s="2" t="inlineStr">
        <is>
          <t>Sodium thiosulfate 25% 50 mL IV</t>
        </is>
      </c>
      <c r="E337" s="2" t="inlineStr">
        <is>
          <t>neomycin +dexamethasone b) chloramphenicol</t>
        </is>
      </c>
      <c r="F337" s="2" t="inlineStr">
        <is>
          <t>chloramphenicol เนื่องจาก คนไข้มีอาการตาแดง มีdischarge และ มีcrusting of lids ที่ทำให้คนไข้ลืมตาลำบากโดยเฉพาะช่วงตื่นนอนตอนเช้า เป็นอาการของ bacterial conjunctivitis drops or ointment จึงทำให้ตอบ ข้อb</t>
        </is>
      </c>
      <c r="G337" s="2" t="inlineStr">
        <is>
          <t>Dimercaprol (BAL) 3 mg/kg IM</t>
        </is>
      </c>
      <c r="H337" s="2" t="inlineStr">
        <is>
          <t>Ethanol 10% IV infusion for Methanol poisoning</t>
        </is>
      </c>
      <c r="I337" s="8" t="inlineStr">
        <is>
          <t>1</t>
        </is>
      </c>
      <c r="J3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ซึ่งจริงๆแล้วสามารถหายได้เองภายใน5-7วัน แต่ก็สามารถให้การรักษาด้วย topical antibiotic ได้ และ ไม่ควรใช้ corticosteroid
🔍 ข้ออื่นผิดเพราะอะไร:
• ข้อ ข. (neomycin +dexamethasone b) chloramphenicol): เป็น long-acting potent glucocorticoid ไม่มี mineralocorticoid effect จึงไม่ทำให้น้ำคั่ง เหมาะสำหรับ brain edema, antiemetic, และ COVID-19 with hypoxemia
• ข้อ ค. (chloramphenicol เนื่องจาก คนไข้มีอาการตาแดง มีdischarge และ มีcrusting of lids ที่ทำให้คนไข้ลืมตาลำบากโดยเฉพาะช่วงตื่นนอนตอนเช้า เป็นอาการของ bacterial conjunctivitis drops or ointment จึงทำให้ตอบ ข้อb):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7" s="2" t="n"/>
      <c r="L337" s="2" t="inlineStr">
        <is>
          <t>General Therapeutics</t>
        </is>
      </c>
      <c r="M337" s="2" t="inlineStr">
        <is>
          <t>Clinic</t>
        </is>
      </c>
      <c r="N337" s="2" t="inlineStr">
        <is>
          <t>PLE_CC1_2564_All_Key ข้อ 123</t>
        </is>
      </c>
      <c r="O337" s="2" t="inlineStr">
        <is>
          <t>ข้อสอบจริง</t>
        </is>
      </c>
      <c r="P337" s="2" t="inlineStr">
        <is>
          <t>ปี 2564</t>
        </is>
      </c>
    </row>
    <row r="338" ht="13.2" customHeight="1" s="37">
      <c r="A338" s="8" t="inlineStr">
        <is>
          <t>360</t>
        </is>
      </c>
      <c r="B338" s="25" t="inlineStr">
        <is>
          <t>https://www.college-optometrists.org/clinical-guidance/clinical-management-guidelines/conjunctivitis_bacterial</t>
        </is>
      </c>
      <c r="C338" s="2" t="n"/>
      <c r="D338" s="2" t="inlineStr">
        <is>
          <t>Antazoline/Tetrahydrozoline eye drops 1 drop TID</t>
        </is>
      </c>
      <c r="E338" s="2" t="inlineStr">
        <is>
          <t>Prednisolone acetate 1% eye drops</t>
        </is>
      </c>
      <c r="F338" s="2" t="inlineStr">
        <is>
          <t>Acetazolamide 250 mg BID</t>
        </is>
      </c>
      <c r="G338" s="2" t="inlineStr">
        <is>
          <t>Timolol 0.5% eye drops 1 drop BID</t>
        </is>
      </c>
      <c r="H338" s="2" t="inlineStr">
        <is>
          <t>Latanoprost 0.005% eye drops 1 drop HS</t>
        </is>
      </c>
      <c r="I338" s="8" t="inlineStr">
        <is>
          <t>1</t>
        </is>
      </c>
      <c r="J338" s="2" t="inlineStr">
        <is>
          <t>✅ คำตอบที่ถูกต้อง: ข้อ ก. Antazoline/Tetrahydrozoline eye drops 1 drop TID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Antazoline/Tetrahydrozoline eye drops 1 drop TID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ข้อนี้ไม่ใช่คำตอบที่ถูกต้องสำหรับภาวะ Eye Disorders เนื่องจากกลไกการออกฤทธิ์, efficacy หรือข้อบ่งใช้ไม่ตรงกับโจทย์ที่กำหนด
• ข้อ ง. (Timolol 0.5% eye drops 1 drop BID): ข้อนี้ไม่ใช่คำตอบที่ถูกต้องสำหรับภาวะ Eye Disorders เนื่องจากกลไกการออกฤทธิ์, efficacy หรือข้อบ่งใช้ไม่ตรงกับโจทย์ที่กำหนด
• ข้อ จ. (Latanoprost 0.005% eye drops 1 drop HS): ข้อนี้ไม่ใช่คำตอบที่ถูกต้องสำหรับภาวะ Eye Disorders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8" s="2" t="n"/>
      <c r="L338" s="2" t="inlineStr">
        <is>
          <t>Eye Disorders</t>
        </is>
      </c>
      <c r="M338" s="2" t="inlineStr">
        <is>
          <t>Clinic</t>
        </is>
      </c>
      <c r="N338" s="2" t="inlineStr">
        <is>
          <t>PLE_CC1_2564_All_Key ข้อ 1</t>
        </is>
      </c>
      <c r="O338" s="2" t="inlineStr">
        <is>
          <t>ข้อสอบจริง</t>
        </is>
      </c>
      <c r="P338" s="2" t="inlineStr">
        <is>
          <t>ปี 2564</t>
        </is>
      </c>
    </row>
    <row r="339" ht="13.2" customHeight="1" s="37">
      <c r="A339" s="8" t="inlineStr">
        <is>
          <t>361</t>
        </is>
      </c>
      <c r="B339" s="2" t="inlineStr">
        <is>
          <t>ผญ.ปวดท้องก่อนมีประจำเดือน พอประจำเดือนมาก็หายหรือมีอาการดีขึ้น ไม่มี U/D ปฏิเสธ FH ALL:NKDA</t>
        </is>
      </c>
      <c r="C339" s="2" t="n"/>
      <c r="D339" s="2" t="inlineStr">
        <is>
          <t>N-acetylcysteine (NAC) IV infusion protocol</t>
        </is>
      </c>
      <c r="E339" s="2" t="inlineStr">
        <is>
          <t>primarydysmenorrhea</t>
        </is>
      </c>
      <c r="F339" s="2" t="inlineStr">
        <is>
          <t>secondarydysmenorrhea</t>
        </is>
      </c>
      <c r="G339" s="2" t="inlineStr">
        <is>
          <t>Naloxone 0.4 mg IV stat</t>
        </is>
      </c>
      <c r="H339" s="2" t="inlineStr">
        <is>
          <t>Flumazenil 0.2 mg IV stat</t>
        </is>
      </c>
      <c r="I339" s="8" t="inlineStr">
        <is>
          <t>1</t>
        </is>
      </c>
      <c r="J3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
🔍 ข้ออื่นผิดเพราะอะไร:
• ข้อ ข. (primarydysmenorrhea): ข้อนี้ไม่ใช่คำตอบที่ถูกต้องสำหรับภาวะ General Therapeutics เนื่องจากกลไกการออกฤทธิ์, efficacy หรือข้อบ่งใช้ไม่ตรงกับโจทย์ที่กำหนด
• ข้อ ค. (secondarydysmenorrhea):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39" s="2" t="n"/>
      <c r="L339" s="2" t="inlineStr">
        <is>
          <t>General Therapeutics</t>
        </is>
      </c>
      <c r="M339" s="2" t="inlineStr">
        <is>
          <t>Clinic</t>
        </is>
      </c>
      <c r="N339" s="2" t="inlineStr">
        <is>
          <t>PLE_CC1_2564_All_Key ข้อ 118</t>
        </is>
      </c>
      <c r="O339" s="2" t="inlineStr">
        <is>
          <t>ข้อสอบจริง</t>
        </is>
      </c>
      <c r="P339" s="2" t="inlineStr">
        <is>
          <t>ปี 2564</t>
        </is>
      </c>
    </row>
    <row r="340" ht="13.2" customHeight="1" s="37">
      <c r="A340" s="8" t="inlineStr">
        <is>
          <t>362</t>
        </is>
      </c>
      <c r="B340" s="2" t="inlineStr">
        <is>
          <t>คนไข้ต้องการกิน elemental calcium 600 mg ต้องกินยังไง Calcium carbonate 1500 mg เพราะ Calcium carbonate มี elemental calcium 40% ซึ่งจะเท่ากับ 600 mg IBM micromedex .............................................................................................................................................................................................................</t>
        </is>
      </c>
      <c r="C340" s="2" t="n"/>
      <c r="D340" s="2" t="inlineStr">
        <is>
          <t>Sodium bicarbonate 650 mg TID</t>
        </is>
      </c>
      <c r="E340" s="2" t="inlineStr">
        <is>
          <t>Kayexalate (Sodium polystyrene sulfonate) 15 g TID</t>
        </is>
      </c>
      <c r="F340" s="2" t="inlineStr">
        <is>
          <t>Calcium gluconate 10% 10 mL IV over 5 min</t>
        </is>
      </c>
      <c r="G340" s="2" t="inlineStr">
        <is>
          <t>Furosemide 40 mg IV/PO OD</t>
        </is>
      </c>
      <c r="H340" s="2" t="inlineStr">
        <is>
          <t>Erythropoietin (EPO) 4000 units SC weekly</t>
        </is>
      </c>
      <c r="I340" s="8" t="inlineStr">
        <is>
          <t>1</t>
        </is>
      </c>
      <c r="J340" s="2" t="inlineStr">
        <is>
          <t>✅ คำตอบที่ถูกต้อง: ข้อ ก. Sodium bicarbonate 650 mg TID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Sodium bicarbonate 650 mg TID การเลือก Sodium bicarbonate 650 mg TID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(Kayexalate (Sodium polystyrene sulfonate) 15 g TID): ข้อนี้ไม่ใช่คำตอบที่ถูกต้องสำหรับภาวะ Renal Diseases เนื่องจากกลไกการออกฤทธิ์, efficacy หรือข้อบ่งใช้ไม่ตรงกับโจทย์ที่กำหนด
• ข้อ ค. (Calcium gluconate 10% 10 mL IV over 5 min): ข้อนี้ไม่ใช่คำตอบที่ถูกต้องสำหรับภาวะ Renal Diseases เนื่องจากกลไกการออกฤทธิ์, efficacy หรือข้อบ่งใช้ไม่ตรงกับโจทย์ที่กำหนด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40" s="2" t="n"/>
      <c r="L340" s="2" t="inlineStr">
        <is>
          <t>Renal Diseases</t>
        </is>
      </c>
      <c r="M340" s="2" t="inlineStr">
        <is>
          <t>Clinic</t>
        </is>
      </c>
      <c r="N340" s="2" t="inlineStr">
        <is>
          <t>PLE_CC1_2564_All_Key ข้อ 132</t>
        </is>
      </c>
      <c r="O340" s="2" t="inlineStr">
        <is>
          <t>ข้อสอบจริง</t>
        </is>
      </c>
      <c r="P340" s="2" t="inlineStr">
        <is>
          <t>ปี 2564</t>
        </is>
      </c>
    </row>
    <row r="341" ht="13.2" customHeight="1" s="37">
      <c r="A341" s="8" t="inlineStr">
        <is>
          <t>363</t>
        </is>
      </c>
      <c r="B341" s="2" t="inlineStr">
        <is>
          <t>ข้อดีของการจัดส่งแบบรอบ (period stock)</t>
        </is>
      </c>
      <c r="C341" s="2" t="n"/>
      <c r="D341" s="2" t="inlineStr">
        <is>
          <t>Sodium thiosulfate 25% 50 mL IV</t>
        </is>
      </c>
      <c r="E341" s="2" t="inlineStr">
        <is>
          <t>) รู้ปริมาณการใช้ยาอย่างแม่นยำ</t>
        </is>
      </c>
      <c r="F341" s="2" t="inlineStr">
        <is>
          <t>) รู้ปริมาณยาที่เหลืออยู่อย่างแม่นยำ c.) ความถี่ในการสั่งยาลดลง</t>
        </is>
      </c>
      <c r="G341" s="2" t="inlineStr">
        <is>
          <t>Dimercaprol (BAL) 3 mg/kg IM</t>
        </is>
      </c>
      <c r="H341" s="2" t="inlineStr">
        <is>
          <t>) มียาเผื่อขาดมือ (safety stock) ลดลง</t>
        </is>
      </c>
      <c r="I341" s="8" t="inlineStr">
        <is>
          <t>4</t>
        </is>
      </c>
      <c r="J341" s="2"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เป็นการจัดส่งยาตามความต้องการที่มีอยู่อย่างแน่นอน รวมทั้งช่วงเวลารอคอย(lead-time) ที่ใช้อย่างคงที่ ดังนั้นการเตรียม safety .............................................................................................................................................................................................................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 รู้ปริมาณการใช้ยาอย่างแม่นยำ): ข้อนี้ไม่ใช่คำตอบที่ถูกต้องสำหรับภาวะ General Therapeutics เนื่องจากกลไกการออกฤทธิ์, efficacy หรือข้อบ่งใช้ไม่ตรงกับโจทย์ที่กำหนด
• ข้อ ค. () รู้ปริมาณยาที่เหลืออยู่อย่างแม่นยำ c.) ความถี่ในการสั่งยาลดลง): ข้อนี้ไม่ใช่คำตอบที่ถูกต้องสำหรับภาวะ General Therapeutics เนื่องจากกลไกการออกฤทธิ์, efficacy หรือข้อบ่งใช้ไม่ตรงกับโจทย์ที่กำหนด
• ข้อ จ. () มียาเผื่อขาดมือ (safety stock) ลดลง):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1" s="2" t="n"/>
      <c r="L341" s="2" t="inlineStr">
        <is>
          <t>General Therapeutics</t>
        </is>
      </c>
      <c r="M341" s="2" t="inlineStr">
        <is>
          <t>Clinic</t>
        </is>
      </c>
      <c r="N341" s="2" t="inlineStr">
        <is>
          <t>PLE_CC1_2564_All_Key ข้อ 138</t>
        </is>
      </c>
      <c r="O341" s="2" t="inlineStr">
        <is>
          <t>ข้อสอบจริง</t>
        </is>
      </c>
      <c r="P341" s="2" t="inlineStr">
        <is>
          <t>ปี 2564</t>
        </is>
      </c>
      <c r="Q341" s="2" t="inlineStr">
        <is>
          <t>) จำนวนยาที่สั่งใช้ในแต่ละรอบคงที่ stock สำรอง จึงสามารถลดจำนวนลงได้ เพราะรู้ความต้องการการใช้ยาที่แน่นอนอยู่แล้ว http://www.thailandindustry.com/indust_newweb/articles_preview.php?cid=15432</t>
        </is>
      </c>
    </row>
    <row r="342" ht="13.2" customHeight="1" s="37">
      <c r="A342" s="8" t="inlineStr">
        <is>
          <t>364</t>
        </is>
      </c>
      <c r="B342" s="2" t="inlineStr">
        <is>
          <t>ถามหาปริมาณคนที่เกิดโรคใหม่ในช่วงเวลาหนึ่ง</t>
        </is>
      </c>
      <c r="C342" s="2" t="n"/>
      <c r="D342" s="2" t="inlineStr">
        <is>
          <t>Dimercaprol (BAL) 3 mg/kg IM</t>
        </is>
      </c>
      <c r="E342" s="2" t="inlineStr">
        <is>
          <t>) Prevalence</t>
        </is>
      </c>
      <c r="F342" s="2" t="inlineStr">
        <is>
          <t>) cumulative incidence</t>
        </is>
      </c>
      <c r="G342" s="2" t="inlineStr">
        <is>
          <t>) OR</t>
        </is>
      </c>
      <c r="H342" s="2" t="inlineStr">
        <is>
          <t>) RR</t>
        </is>
      </c>
      <c r="I342" s="8" t="inlineStr">
        <is>
          <t>2</t>
        </is>
      </c>
      <c r="J342" s="2" t="inlineStr">
        <is>
          <t>✅ คำตอบที่ถูกต้อง: ข้อ ข. ) Prevalence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 Prevalence จะบอกสัดส่วนของผู้ป่วยใหม่ที่เกิดขึ้นต่อผู้ที่มีความเสี่ยงจะเป็นทั้งหมดแต่ไม่เคยเป็นมาก่อน ในระยะเวลาที่กำหนด ส่วน incidence relative rate จะเกี่ยวกับผู้ป่วยอุบัติใหม่ แต่มีจำนวนประชากรสูญหายระหว่างการศึกษา จะคิดเป็นอัตรา person- year ซึ่งหากมีประชากรสูญหายระหว่างการศึกษา การใช้ IR จะมีความชัดเจนกว่าการใช้ CI ในการศึกษาลักษณะนี้ https://ada.silverchair-cdn.com/ada/content_public/journal/care/issue/45/supplement_1/7/standards-of-care-2022-copyright-stamped-updated-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ค. () cumulative incidence): ข้อนี้ไม่ใช่คำตอบที่ถูกต้องสำหรับภาวะ General Therapeutics เนื่องจากกลไกการออกฤทธิ์, efficacy หรือข้อบ่งใช้ไม่ตรงกับโจทย์ที่กำหนด
• ข้อ ง. () OR): ข้อนี้ไม่ใช่คำตอบที่ถูกต้องสำหรับภาวะ General Therapeutics เนื่องจากกลไกการออกฤทธิ์, efficacy หรือข้อบ่งใช้ไม่ตรงกับโจทย์ที่กำหนด
• ข้อ จ. () RR):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2" s="2" t="n"/>
      <c r="L342" s="2" t="inlineStr">
        <is>
          <t>General Therapeutics</t>
        </is>
      </c>
      <c r="M342" s="2" t="inlineStr">
        <is>
          <t>Clinic</t>
        </is>
      </c>
      <c r="N342" s="2" t="inlineStr">
        <is>
          <t>PLE_CC1_2564_All_Key ข้อ 137</t>
        </is>
      </c>
      <c r="O342" s="2" t="inlineStr">
        <is>
          <t>ข้อสอบจริง</t>
        </is>
      </c>
      <c r="P342" s="2" t="inlineStr">
        <is>
          <t>ปี 2564</t>
        </is>
      </c>
      <c r="Q342" s="2" t="inlineStr">
        <is>
          <t>) incidence relative rate จากชีทเรียนวิชา pharmacoepidemiology เรื่อง Understanding the result from pharmacoepidemiology 1 โดยอาจารย์เสริมสิริ แสงรุ่งเรืองศรี 01062022.pdf?Expires=1662907112&amp;Signature=bah0mrsc2Wny0r92e8aokzXydKCqKP5zoNa26Rbtg-x- XksZT3TfFSjXPmt0mroVs0~UTMybFXfR77-pV4Z7RTjVVSQmJaLU-1vIVD1rxHF-</t>
        </is>
      </c>
    </row>
    <row r="343" ht="13.2" customHeight="1" s="37">
      <c r="A343" s="8" t="inlineStr">
        <is>
          <t>365</t>
        </is>
      </c>
      <c r="B343" s="2" t="inlineStr">
        <is>
          <t>pellets in capsule</t>
        </is>
      </c>
      <c r="C343" s="2" t="n"/>
      <c r="D343" s="2" t="inlineStr">
        <is>
          <t>Fluidized Bed Granulation</t>
        </is>
      </c>
      <c r="E343" s="2" t="inlineStr">
        <is>
          <t>Film Coating with Hydroxypropyl methylcellulose (HPMC)</t>
        </is>
      </c>
      <c r="F343" s="2" t="inlineStr">
        <is>
          <t>Enteric Coating with Cellulose acetate phthalate (CAP)</t>
        </is>
      </c>
      <c r="G343" s="2" t="inlineStr">
        <is>
          <t>Hard Gelatin Capsule filling</t>
        </is>
      </c>
      <c r="H343" s="2" t="inlineStr">
        <is>
          <t>Soft Gelatin Capsule encapsulation</t>
        </is>
      </c>
      <c r="I343" s="8" t="inlineStr">
        <is>
          <t>1</t>
        </is>
      </c>
      <c r="J343" s="2"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จ.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3" s="2" t="n"/>
      <c r="L343" s="2" t="inlineStr">
        <is>
          <t>Solid Dosage Forms</t>
        </is>
      </c>
      <c r="M343" s="2" t="inlineStr">
        <is>
          <t>Product</t>
        </is>
      </c>
      <c r="N343" s="2" t="inlineStr">
        <is>
          <t>PLE_CC1_2564_All_Key ข้อ 1</t>
        </is>
      </c>
      <c r="O343" s="2" t="inlineStr">
        <is>
          <t>ข้อสอบจริง</t>
        </is>
      </c>
      <c r="P343" s="2" t="inlineStr">
        <is>
          <t>ปี 2564</t>
        </is>
      </c>
    </row>
    <row r="344" ht="13.2" customHeight="1" s="37">
      <c r="A344" s="8" t="inlineStr">
        <is>
          <t>366</t>
        </is>
      </c>
      <c r="B344" s="2" t="inlineStr">
        <is>
          <t>Enteric coated capsule</t>
        </is>
      </c>
      <c r="C344" s="2" t="n"/>
      <c r="D344" s="2" t="inlineStr">
        <is>
          <t>Hard Gelatin Capsule filling</t>
        </is>
      </c>
      <c r="E344" s="2" t="inlineStr">
        <is>
          <t>Soft Gelatin Capsule encapsulation</t>
        </is>
      </c>
      <c r="F344" s="2" t="inlineStr">
        <is>
          <t>Microcrystalline cellulose</t>
        </is>
      </c>
      <c r="G344" s="2" t="inlineStr">
        <is>
          <t>Magnesium stearate (Lubricant 1%)</t>
        </is>
      </c>
      <c r="H344" s="2" t="inlineStr">
        <is>
          <t>Sodium starch glycolate (Superdisintegrant)</t>
        </is>
      </c>
      <c r="I344" s="8" t="inlineStr">
        <is>
          <t>1</t>
        </is>
      </c>
      <c r="J344" s="2"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ค.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4" s="2" t="n"/>
      <c r="L344" s="2" t="inlineStr">
        <is>
          <t>Solid Dosage Forms</t>
        </is>
      </c>
      <c r="M344" s="2" t="inlineStr">
        <is>
          <t>Product</t>
        </is>
      </c>
      <c r="N344" s="2" t="inlineStr">
        <is>
          <t>PLE_CC1_2564_All_Key ข้อ 4</t>
        </is>
      </c>
      <c r="O344" s="2" t="inlineStr">
        <is>
          <t>ข้อสอบจริง</t>
        </is>
      </c>
      <c r="P344" s="2" t="inlineStr">
        <is>
          <t>ปี 2564</t>
        </is>
      </c>
    </row>
    <row r="345" ht="13.2" customHeight="1" s="37">
      <c r="A345" s="8" t="inlineStr">
        <is>
          <t>367</t>
        </is>
      </c>
      <c r="B345" s="2" t="inlineStr">
        <is>
          <t>Delayed released capsule</t>
        </is>
      </c>
      <c r="C345" s="2" t="n"/>
      <c r="D345" s="2" t="inlineStr">
        <is>
          <t>Magnesium stearate (Lubricant 1%)</t>
        </is>
      </c>
      <c r="E345" s="2" t="inlineStr">
        <is>
          <t>Sodium starch glycolate (Superdisintegrant)</t>
        </is>
      </c>
      <c r="F345" s="2" t="inlineStr">
        <is>
          <t>Direct Compression tableting method</t>
        </is>
      </c>
      <c r="G345" s="2" t="inlineStr">
        <is>
          <t>Wet Granulation tableting method</t>
        </is>
      </c>
      <c r="H345" s="2" t="inlineStr">
        <is>
          <t>Dry Granulation (Roller Compaction)</t>
        </is>
      </c>
      <c r="I345" s="8" t="inlineStr">
        <is>
          <t>1</t>
        </is>
      </c>
      <c r="J345" s="2"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Solid Dosage Forms)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ง.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จ.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5" s="2" t="n"/>
      <c r="L345" s="2" t="inlineStr">
        <is>
          <t>Solid Dosage Forms</t>
        </is>
      </c>
      <c r="M345" s="2" t="inlineStr">
        <is>
          <t>Product</t>
        </is>
      </c>
      <c r="N345" s="2" t="inlineStr">
        <is>
          <t>PLE_CC1_2564_All_Key ข้อ 5</t>
        </is>
      </c>
      <c r="O345" s="2" t="inlineStr">
        <is>
          <t>ข้อสอบจริง</t>
        </is>
      </c>
      <c r="P345" s="2" t="inlineStr">
        <is>
          <t>ปี 2564</t>
        </is>
      </c>
    </row>
    <row r="346" ht="13.2" customHeight="1" s="37">
      <c r="A346" s="8" t="inlineStr">
        <is>
          <t>368</t>
        </is>
      </c>
      <c r="B346" s="2" t="inlineStr">
        <is>
          <t>ประกาศกระทรวงสาธารณสุข พ.ศ.2562 ตามความในพระราชบัญญัติอาหาร พ.ศ. 2522 เรื่องผลิตภัณฑ์เสริมอาหาร [ http://food.fda.moph.go.th/law/data/announ_moph/P405.PDF ]</t>
        </is>
      </c>
      <c r="C346" s="2" t="n"/>
      <c r="D346" s="2" t="inlineStr">
        <is>
          <t>พ.ร.บ. ยาเสพติดให้โทษ พ.ศ. 2522 (ยาเสพติดให้โทษประเภท 2 และ 3)</t>
        </is>
      </c>
      <c r="E346" s="2" t="inlineStr">
        <is>
          <t>พ.ร.บ. วัตถุที่ออกฤทธิ์ต่อจิตและประสาท พ.ศ. 2559 (ประเภท 2 และ 4)</t>
        </is>
      </c>
      <c r="F346" s="2" t="inlineStr">
        <is>
          <t>พ.ร.บ. วิชาชีพเภสัชกรรม พ.ศ. 2537 และข้อบังคับจรรยาบรรณวิชาชีพ</t>
        </is>
      </c>
      <c r="G346" s="2" t="inlineStr">
        <is>
          <t>พ.ร.บ. ผลิตภัณฑ์สมุนไพร พ.ศ. 2562</t>
        </is>
      </c>
      <c r="H346" s="2" t="inlineStr">
        <is>
          <t>พ.ร.บ. เครื่องสำอาง พ.ศ. 2558</t>
        </is>
      </c>
      <c r="I346" s="8" t="inlineStr">
        <is>
          <t>1</t>
        </is>
      </c>
      <c r="J34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6" s="2" t="n"/>
      <c r="L346" s="2" t="inlineStr">
        <is>
          <t>Pharmacy Laws &amp; Ethics</t>
        </is>
      </c>
      <c r="M346" s="2" t="inlineStr">
        <is>
          <t>SAP</t>
        </is>
      </c>
      <c r="N346" s="2" t="inlineStr">
        <is>
          <t>PLE_CC1_2564_All_Key ข้อ 1</t>
        </is>
      </c>
      <c r="O346" s="2" t="inlineStr">
        <is>
          <t>ข้อสอบจริง</t>
        </is>
      </c>
      <c r="P346" s="2" t="inlineStr">
        <is>
          <t>ปี 2564</t>
        </is>
      </c>
    </row>
    <row r="347" ht="13.2" customHeight="1" s="37">
      <c r="A347" s="8" t="inlineStr">
        <is>
          <t>369</t>
        </is>
      </c>
      <c r="B347" s="2" t="inlineStr">
        <is>
          <t>ชีทกฏหมายว่าด้วยเครื่องสำอาง ของ ภญ. พรพรรณ สุนทรธรรม" .............................................................................................................................................................................................................</t>
        </is>
      </c>
      <c r="C347" s="2" t="n"/>
      <c r="D347" s="2" t="inlineStr">
        <is>
          <t>N-acetylcysteine (NAC) IV infusion protocol</t>
        </is>
      </c>
      <c r="E347" s="2" t="inlineStr">
        <is>
          <t>Atropine sulfate 2 mg IV Q5-10 min</t>
        </is>
      </c>
      <c r="F347" s="2" t="inlineStr">
        <is>
          <t>Pralidoxime (2-PAM) 1-2 g IV over 30 min</t>
        </is>
      </c>
      <c r="G347" s="2" t="inlineStr">
        <is>
          <t>Naloxone 0.4 mg IV stat</t>
        </is>
      </c>
      <c r="H347" s="2" t="inlineStr">
        <is>
          <t>Flumazenil 0.2 mg IV stat</t>
        </is>
      </c>
      <c r="I347" s="8" t="inlineStr">
        <is>
          <t>1</t>
        </is>
      </c>
      <c r="J3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47" s="2" t="n"/>
      <c r="L347" s="2" t="inlineStr">
        <is>
          <t>General Therapeutics</t>
        </is>
      </c>
      <c r="M347" s="2" t="inlineStr">
        <is>
          <t>Clinic</t>
        </is>
      </c>
      <c r="N347" s="2" t="inlineStr">
        <is>
          <t>PLE_CC1_2564_All_Key ข้อ 3</t>
        </is>
      </c>
      <c r="O347" s="2" t="inlineStr">
        <is>
          <t>ข้อสอบจริง</t>
        </is>
      </c>
      <c r="P347" s="2" t="inlineStr">
        <is>
          <t>ปี 2564</t>
        </is>
      </c>
    </row>
    <row r="348" ht="13.2" customHeight="1" s="37">
      <c r="A348" s="8" t="inlineStr">
        <is>
          <t>370</t>
        </is>
      </c>
      <c r="B348" s="2" t="inlineStr">
        <is>
          <t>พระราชบัญญัติยา พ.ศ.2510 https://www.fda.moph.go.th/sites/drug/LawDrug/drug2510-krisdika-v2020.pdf ............................................................................................................................................................................................................. เฉลยข้อสอบ PLE-CC1 ครั้งที่12/2564 วันที่ 1-2 : MUPY 50</t>
        </is>
      </c>
      <c r="C348" s="2" t="n"/>
      <c r="D348" s="2" t="inlineStr">
        <is>
          <t>การปฏิบัติทางเภสัชกรรมชุมชน (Good Pharmacy Practice: GPP)</t>
        </is>
      </c>
      <c r="E348" s="2" t="inlineStr">
        <is>
          <t>บัญชียาหลักแห่งชาติ (National List of Essential Medicines: NLEM)</t>
        </is>
      </c>
      <c r="F348" s="2" t="inlineStr">
        <is>
          <t>เกณฑ์จริยธรรมว่าด้วยการส่งเสริมการขายยาของกระทรวงสาธารณสุข</t>
        </is>
      </c>
      <c r="G348" s="2" t="inlineStr">
        <is>
          <t>พ.ร.บ. ยา พ.ศ. 2510 (การจำหน่ายยาอันตรายและยาควบคุมพิเศษ)</t>
        </is>
      </c>
      <c r="H348" s="2" t="inlineStr">
        <is>
          <t>พ.ร.บ. ยาเสพติดให้โทษ พ.ศ. 2522 (ยาเสพติดให้โทษประเภท 2 และ 3)</t>
        </is>
      </c>
      <c r="I348" s="8" t="inlineStr">
        <is>
          <t>1</t>
        </is>
      </c>
      <c r="J34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8" s="2" t="n"/>
      <c r="L348" s="2" t="inlineStr">
        <is>
          <t>Pharmacy Laws &amp; Ethics</t>
        </is>
      </c>
      <c r="M348" s="2" t="inlineStr">
        <is>
          <t>SAP</t>
        </is>
      </c>
      <c r="N348" s="2" t="inlineStr">
        <is>
          <t>PLE_CC1_2564_All_Key ข้อ 2</t>
        </is>
      </c>
      <c r="O348" s="2" t="inlineStr">
        <is>
          <t>ข้อสอบจริง</t>
        </is>
      </c>
      <c r="P348" s="2" t="inlineStr">
        <is>
          <t>ปี 2564</t>
        </is>
      </c>
    </row>
    <row r="349" ht="13.2" customHeight="1" s="37">
      <c r="A349" s="8" t="inlineStr">
        <is>
          <t>371</t>
        </is>
      </c>
      <c r="B349" s="25" t="inlineStr">
        <is>
          <t>https://europepmc.org/article/pmc/5838752</t>
        </is>
      </c>
      <c r="C349" s="2" t="n"/>
      <c r="D349" s="2" t="inlineStr">
        <is>
          <t>Sodium thiosulfate 25% 50 mL IV</t>
        </is>
      </c>
      <c r="E349" s="2" t="inlineStr">
        <is>
          <t>Calcium disodium EDTA 1 g IV</t>
        </is>
      </c>
      <c r="F349" s="2" t="inlineStr">
        <is>
          <t>Desferrioxamine 1 g IM/IV</t>
        </is>
      </c>
      <c r="G349" s="2" t="inlineStr">
        <is>
          <t>Dimercaprol (BAL) 3 mg/kg IM</t>
        </is>
      </c>
      <c r="H349" s="2" t="inlineStr">
        <is>
          <t>Ethanol 10% IV infusion for Methanol poisoning</t>
        </is>
      </c>
      <c r="I349" s="8" t="inlineStr">
        <is>
          <t>1</t>
        </is>
      </c>
      <c r="J3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9" s="2" t="n"/>
      <c r="L349" s="2" t="inlineStr">
        <is>
          <t>General Therapeutics</t>
        </is>
      </c>
      <c r="M349" s="2" t="inlineStr">
        <is>
          <t>Clinic</t>
        </is>
      </c>
      <c r="N349" s="2" t="inlineStr">
        <is>
          <t>PLE_CC1_2564_All_Key ข้อ 1</t>
        </is>
      </c>
      <c r="O349" s="2" t="inlineStr">
        <is>
          <t>ข้อสอบจริง</t>
        </is>
      </c>
      <c r="P349" s="2" t="inlineStr">
        <is>
          <t>ปี 2564</t>
        </is>
      </c>
    </row>
    <row r="350" ht="13.2" customHeight="1" s="37">
      <c r="A350" s="8" t="inlineStr">
        <is>
          <t>372</t>
        </is>
      </c>
      <c r="B350" s="2" t="inlineStr">
        <is>
          <t>https://www.researchgate.net/publication/341318780_DRESS_syndrome_an_important_differential_for_eosinophilia_with_systemic_organ_dysfunction .............................................................................................................................................................................................................</t>
        </is>
      </c>
      <c r="C350" s="2" t="n"/>
      <c r="D350" s="2" t="inlineStr">
        <is>
          <t>Hydrochlorothiazide 25 mg OD</t>
        </is>
      </c>
      <c r="E350" s="2" t="inlineStr">
        <is>
          <t>Atorvastatin 20 mg OD</t>
        </is>
      </c>
      <c r="F350" s="2" t="inlineStr">
        <is>
          <t>Simvastatin 20 mg HS</t>
        </is>
      </c>
      <c r="G350" s="2" t="inlineStr">
        <is>
          <t>Bisoprolol 5 mg OD</t>
        </is>
      </c>
      <c r="H350" s="2" t="inlineStr">
        <is>
          <t>Spironolactone 25 mg OD</t>
        </is>
      </c>
      <c r="I350" s="8" t="inlineStr">
        <is>
          <t>1</t>
        </is>
      </c>
      <c r="J350" s="2" t="inlineStr">
        <is>
          <t>✅ คำตอบที่ถูกต้อง: ข้อ ก. Hydrochlorothiazide 25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Hydrochlorothiazide 25 mg OD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350" s="2" t="n"/>
      <c r="L350" s="2" t="inlineStr">
        <is>
          <t>Cardiovascular Diseases</t>
        </is>
      </c>
      <c r="M350" s="2" t="inlineStr">
        <is>
          <t>Clinic</t>
        </is>
      </c>
      <c r="N350" s="2" t="inlineStr">
        <is>
          <t>PLE_CC1_2564_All_Key ข้อ 2</t>
        </is>
      </c>
      <c r="O350" s="2" t="inlineStr">
        <is>
          <t>ข้อสอบจริง</t>
        </is>
      </c>
      <c r="P350" s="2" t="inlineStr">
        <is>
          <t>ปี 2564</t>
        </is>
      </c>
    </row>
    <row r="351" ht="13.2" customHeight="1" s="37">
      <c r="A351" s="8" t="inlineStr">
        <is>
          <t>373</t>
        </is>
      </c>
      <c r="B351" s="2" t="inlineStr">
        <is>
          <t>propellent ของ MDI ที่นิยมในปัจจุบัน</t>
        </is>
      </c>
      <c r="C351" s="2" t="n"/>
      <c r="D351" s="2" t="inlineStr">
        <is>
          <t>N-acetylcysteine (NAC) IV infusion protocol</t>
        </is>
      </c>
      <c r="E351" s="2" t="inlineStr">
        <is>
          <t>Hydrofluoroalkane (HFA)</t>
        </is>
      </c>
      <c r="F351" s="2" t="inlineStr">
        <is>
          <t>Chlorofluorocarbons (CFCs)</t>
        </is>
      </c>
      <c r="G351" s="2" t="inlineStr">
        <is>
          <t>Propana</t>
        </is>
      </c>
      <c r="H351" s="2" t="inlineStr">
        <is>
          <t>Flumazenil 0.2 mg IV stat</t>
        </is>
      </c>
      <c r="I351" s="8" t="inlineStr">
        <is>
          <t>1</t>
        </is>
      </c>
      <c r="J3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Montreal Protocol จึงประกาศเป็นกฎหมายโดยสากลให้ลดการใช้ CFCs และ HFA ยังให้สัมผัสที่นุ่มกว่าและอุ่นกว่า CFCs .............................................................................................................................................................................................................
🔍 ข้ออื่นผิดเพราะอะไร:
• ข้อ ข. (Hydrofluoroalkane (HFA)): ข้อนี้ไม่ใช่คำตอบที่ถูกต้องสำหรับภาวะ General Therapeutics เนื่องจากกลไกการออกฤทธิ์, efficacy หรือข้อบ่งใช้ไม่ตรงกับโจทย์ที่กำหนด
• ข้อ ค. (Chlorofluorocarbons (CFCs)): ข้อนี้ไม่ใช่คำตอบที่ถูกต้องสำหรับภาวะ General Therapeutics เนื่องจากกลไกการออกฤทธิ์, efficacy หรือข้อบ่งใช้ไม่ตรงกับโจทย์ที่กำหนด
• ข้อ ง. (Propana):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51" s="2" t="n"/>
      <c r="L351" s="2" t="inlineStr">
        <is>
          <t>General Therapeutics</t>
        </is>
      </c>
      <c r="M351" s="2" t="inlineStr">
        <is>
          <t>Clinic</t>
        </is>
      </c>
      <c r="N351" s="2" t="inlineStr">
        <is>
          <t>PLE_CC1_2564_All_Key ข้อ 150</t>
        </is>
      </c>
      <c r="O351" s="2" t="inlineStr">
        <is>
          <t>ข้อสอบจริง</t>
        </is>
      </c>
      <c r="P351" s="2" t="inlineStr">
        <is>
          <t>ปี 2564</t>
        </is>
      </c>
    </row>
    <row r="352" ht="13.2" customHeight="1" s="37">
      <c r="A352" s="8" t="inlineStr">
        <is>
          <t>374</t>
        </is>
      </c>
      <c r="B352" s="2" t="inlineStr">
        <is>
          <t>การพิจารณาการทำ DUE ไม่ได้พิจารณาจากปัจจัยอะไร</t>
        </is>
      </c>
      <c r="C352" s="2" t="n"/>
      <c r="D352" s="2" t="inlineStr">
        <is>
          <t>Naloxone 0.4 mg IV stat</t>
        </is>
      </c>
      <c r="E352" s="2" t="inlineStr">
        <is>
          <t>ยาราคาสูง</t>
        </is>
      </c>
      <c r="F352" s="2" t="inlineStr">
        <is>
          <t>ยามูลค่าการสั่งใช้สูง</t>
        </is>
      </c>
      <c r="G352" s="2" t="inlineStr">
        <is>
          <t>ผลข้างเคียงเยอะ</t>
        </is>
      </c>
      <c r="H352" s="2" t="inlineStr">
        <is>
          <t>ผลข้างเคียงรุนแรง</t>
        </is>
      </c>
      <c r="I352" s="8" t="inlineStr">
        <is>
          <t>4</t>
        </is>
      </c>
      <c r="J352" s="2" t="inlineStr">
        <is>
          <t>✅ คำตอบที่ถูกต้อง: ข้อ ง. ผลข้างเคียงเยอะ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ผลข้างเคียงเยอะ ซึ่งก็ต้องทำ c.ผลข้างเคียงเยอะ น่าจะหมายถึงเจอ ADR บ่อย ต้องทำเหมือนกัน e.มี prescribing error บ่อย น่าจะต้องทำ ............................................................................................................................................................................................................. .............................................................................................................................................................................................................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(ยาราคาสูง): ข้อนี้ไม่ใช่คำตอบที่ถูกต้องสำหรับภาวะ General Therapeutics เนื่องจากกลไกการออกฤทธิ์, efficacy หรือข้อบ่งใช้ไม่ตรงกับโจทย์ที่กำหนด
• ข้อ ค. (ยามูลค่าการสั่งใช้สูง): ข้อนี้ไม่ใช่คำตอบที่ถูกต้องสำหรับภาวะ General Therapeutics เนื่องจากกลไกการออกฤทธิ์, efficacy หรือข้อบ่งใช้ไม่ตรงกับโจทย์ที่กำหนด
• ข้อ จ. (ผลข้างเคียงรุนแรง):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2" s="2" t="n"/>
      <c r="L352" s="2" t="inlineStr">
        <is>
          <t>General Therapeutics</t>
        </is>
      </c>
      <c r="M352" s="2" t="inlineStr">
        <is>
          <t>Clinic</t>
        </is>
      </c>
      <c r="N352" s="2" t="inlineStr">
        <is>
          <t>PLE_CC1_2564_All_Key ข้อ 155</t>
        </is>
      </c>
      <c r="O352" s="2" t="inlineStr">
        <is>
          <t>ข้อสอบจริง</t>
        </is>
      </c>
      <c r="P352" s="2" t="inlineStr">
        <is>
          <t>ปี 2564</t>
        </is>
      </c>
      <c r="Q352" s="2" t="inlineStr">
        <is>
          <t>มี Prescribing error บ่อย ถ้าเจอไม่บ่อยอาจไม่ทำ ชีท Introduction DIS DUE (พี่ใหม่)</t>
        </is>
      </c>
    </row>
    <row r="353" ht="13.2" customHeight="1" s="37">
      <c r="A353" s="8" t="inlineStr">
        <is>
          <t>375</t>
        </is>
      </c>
      <c r="B353" s="2" t="inlineStr">
        <is>
          <t>เภสัฬกรธษไทย พบผู้ป่วยหมดสติแล้วทำ CPR ให้กับผู้ป่วย เภสัฬกรผิดหรือไม่</t>
        </is>
      </c>
      <c r="C353" s="2" t="n"/>
      <c r="D353" s="2" t="inlineStr">
        <is>
          <t>Sodium thiosulfate 25% 50 mL IV</t>
        </is>
      </c>
      <c r="E353" s="2" t="inlineStr">
        <is>
          <t>มีความผิด เนื่อษสากไม่ได้ลษทะเบียนเป็นผู้ประกอบเวฬกรรม</t>
        </is>
      </c>
      <c r="F353" s="2" t="inlineStr">
        <is>
          <t>มีความผิด เนื่อษสากปฏิบัติเวฬกรรมนอกสถานที่</t>
        </is>
      </c>
      <c r="G353" s="2" t="inlineStr">
        <is>
          <t>มีความผิด เนื่อษสากเป็นการโอ้อวดว่าเป็นผู้ประกอบเวฬกรรม ษ. ไม่มีความผิด เนื่อษสากเป็นการเป็นธรรมสรรยา ส. ไม่มีความผิด เนื่อษสากเภสัฬกรเป็นผู้ผ่านการอบรมหลักสูตรการทำ CPR</t>
        </is>
      </c>
      <c r="H353" s="2" t="inlineStr">
        <is>
          <t>Ethanol 10% IV infusion for Methanol poisoning</t>
        </is>
      </c>
      <c r="I353" s="8" t="inlineStr">
        <is>
          <t>1</t>
        </is>
      </c>
      <c r="J3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(มีความผิด เนื่อษสากไม่ได้ลษทะเบียนเป็นผู้ประกอบเวฬกรรม): ข้อนี้ไม่ใช่คำตอบที่ถูกต้องสำหรับภาวะ General Therapeutics เนื่องจากกลไกการออกฤทธิ์, efficacy หรือข้อบ่งใช้ไม่ตรงกับโจทย์ที่กำหนด
• ข้อ ค. (มีความผิด เนื่อษสากปฏิบัติเวฬกรรมนอกสถานที่): ข้อนี้ไม่ใช่คำตอบที่ถูกต้องสำหรับภาวะ General Therapeutics เนื่องจากกลไกการออกฤทธิ์, efficacy หรือข้อบ่งใช้ไม่ตรงกับโจทย์ที่กำหนด
• ข้อ ง. (มีความผิด เนื่อษสากเป็นการโอ้อวดว่าเป็นผู้ประกอบเวฬกรรม ษ. ไม่มีความผิด เนื่อษสากเป็นการเป็นธรรมสรรยา ส. ไม่มีความผิด เนื่อษสากเภสัฬกรเป็นผู้ผ่านการอบรมหลักสูตรการทำ CPR):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3" s="2" t="n"/>
      <c r="L353" s="2" t="inlineStr">
        <is>
          <t>General Therapeutics</t>
        </is>
      </c>
      <c r="M353" s="2" t="inlineStr">
        <is>
          <t>Clinic</t>
        </is>
      </c>
      <c r="N353" s="2" t="inlineStr">
        <is>
          <t>PLE_CC1_2563_Q ข้อ 2</t>
        </is>
      </c>
      <c r="O353" s="2" t="inlineStr">
        <is>
          <t>ข้อสอบจริง</t>
        </is>
      </c>
      <c r="P353" s="2" t="inlineStr">
        <is>
          <t>ปี 2563</t>
        </is>
      </c>
    </row>
    <row r="354" ht="13.2" customHeight="1" s="37">
      <c r="A354" s="8" t="inlineStr">
        <is>
          <t>376</t>
        </is>
      </c>
      <c r="B354" s="2" t="inlineStr">
        <is>
          <t>Pseudoephedrine เป็นวัตถุออกฤทธิ์ต่อสิตและประสาทประเภทใด</t>
        </is>
      </c>
      <c r="C354" s="2" t="n"/>
      <c r="D354" s="2" t="inlineStr">
        <is>
          <t>พ.ร.บ. เครื่องสำอาง พ.ศ. 2558</t>
        </is>
      </c>
      <c r="E354" s="2" t="inlineStr">
        <is>
          <t>พ.ร.บ. หลักประกันสุขภาพแห่งชาติ พ.ศ. 2545</t>
        </is>
      </c>
      <c r="F354" s="2" t="inlineStr">
        <is>
          <t>การปฏิบัติทางเภสัชกรรมชุมชน (Good Pharmacy Practice: GPP)</t>
        </is>
      </c>
      <c r="G354" s="2" t="inlineStr">
        <is>
          <t>บัญชียาหลักแห่งชาติ (National List of Essential Medicines: NLEM)</t>
        </is>
      </c>
      <c r="H354" s="2" t="inlineStr">
        <is>
          <t>เกณฑ์จริยธรรมว่าด้วยการส่งเสริมการขายยาของกระทรวงสาธารณสุข</t>
        </is>
      </c>
      <c r="I354" s="8" t="inlineStr">
        <is>
          <t>1</t>
        </is>
      </c>
      <c r="J354" s="2" t="inlineStr">
        <is>
          <t>✅ คำตอบที่ถูกต้อง: ข้อ ก. พ.ร.บ. เครื่องสำอาง พ.ศ. 2558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เครื่องสำอาง พ.ศ. 2558 💡 คำอธิบายและข้อกำหนดทางกฎหมาย:
💡 คำอธิบายและข้อกำหนดทางกฎหมาย: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4" s="2" t="n"/>
      <c r="L354" s="2" t="inlineStr">
        <is>
          <t>Pharmacy Laws &amp; Ethics</t>
        </is>
      </c>
      <c r="M354" s="2" t="inlineStr">
        <is>
          <t>SAP</t>
        </is>
      </c>
      <c r="N354" s="2" t="inlineStr">
        <is>
          <t>PLE_CC1_2563_Q ข้อ 5</t>
        </is>
      </c>
      <c r="O354" s="2" t="inlineStr">
        <is>
          <t>ข้อสอบจริง</t>
        </is>
      </c>
      <c r="P354" s="2" t="inlineStr">
        <is>
          <t>ปี 2563</t>
        </is>
      </c>
    </row>
    <row r="355" ht="13.2" customHeight="1" s="37">
      <c r="A355" s="8" t="inlineStr">
        <is>
          <t>377</t>
        </is>
      </c>
      <c r="B355" s="2" t="inlineStr">
        <is>
          <t>การขายเครื่อษมือแพทย์ ถุษยาอนามัย ต้อษ….</t>
        </is>
      </c>
      <c r="C355" s="2" t="n"/>
      <c r="D355" s="2" t="inlineStr">
        <is>
          <t>N-acetylcysteine (NAC) IV infusion protocol</t>
        </is>
      </c>
      <c r="E355" s="2" t="inlineStr">
        <is>
          <t>สถานที่ต้อษขอใบอนุญาต และต้อษมีใบอนุญาตขายเครื่อษมือแพทย์</t>
        </is>
      </c>
      <c r="F355" s="2" t="inlineStr">
        <is>
          <t>สถานที่ต้อษขอใบอนุญาต แต่ไม่ต้อษมีใบอนุญาตขายเครื่อษมือแพทย์</t>
        </is>
      </c>
      <c r="G355" s="2" t="inlineStr">
        <is>
          <t>สถานที่ไม่ต้อษขอใบอนุญาต แต่ต้อษมีใบอนุญาติขายเครื่อษมือแพทย์ ษ. สถานที่ไม่ต้อษขอใบอนุญาต และไม่ต้อษมีใบอนุญาตขายเครื่อษมือแพทย์ สถานการณ์ เวลาประมาณ 19.00 น. เส้าหน้าที่เข้ามาล่ออื้อ ยาคลอเฟนิรามีน 60 มล. สำนวน 6 ขวด อึ่ษมีนาย ก เป็นผู้รับอนุญาต และ เภสัฬ ข เป็นเภสัฬกรที่ร้าน เวลา 18.00-21.00 น. แต่ใน ระหว่าษนั้นเภสัฬกรไม่อยู่สถานการณ์ เส้าหน้าที่เข้ามาล่ออื้อ ยาคลอเฟนิรามีน 60 มล. สำนวน 6 ขวด อึ่ษมีนาย ก เป็นผู้รับอนุญาต และ เภสัฬ ข เป็นเภสัฬกรที่ร้าน เวลา 18.00-21.00 น. แต่ในระหว่าษนั้น เภสัฬกรไม่อยู่</t>
        </is>
      </c>
      <c r="H355" s="2" t="inlineStr">
        <is>
          <t>Flumazenil 0.2 mg IV stat</t>
        </is>
      </c>
      <c r="I355" s="8" t="inlineStr">
        <is>
          <t>1</t>
        </is>
      </c>
      <c r="J3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(สถานที่ต้อษขอใบอนุญาต และต้อษมีใบอนุญาตขายเครื่อษมือแพทย์): ข้อนี้ไม่ใช่คำตอบที่ถูกต้องสำหรับภาวะ General Therapeutics เนื่องจากกลไกการออกฤทธิ์, efficacy หรือข้อบ่งใช้ไม่ตรงกับโจทย์ที่กำหนด
• ข้อ ค. (สถานที่ต้อษขอใบอนุญาต แต่ไม่ต้อษมีใบอนุญาตขายเครื่อษมือแพทย์): ข้อนี้ไม่ใช่คำตอบที่ถูกต้องสำหรับภาวะ General Therapeutics เนื่องจากกลไกการออกฤทธิ์, efficacy หรือข้อบ่งใช้ไม่ตรงกับโจทย์ที่กำหนด
• ข้อ ง. (สถานที่ไม่ต้อษขอใบอนุญาต แต่ต้อษมีใบอนุญาติขายเครื่อษมือแพทย์ ษ. สถานที่ไม่ต้อษขอใบอนุญาต และไม่ต้อษมีใบอนุญาตขายเครื่อษมือแพทย์ สถานการณ์ เวลาประมาณ 19.00 น. เส้าหน้าที่เข้ามาล่ออื้อ ยาคลอเฟนิรามีน 60 มล. สำนวน 6 ขวด อึ่ษมีนาย ก เป็นผู้รับอนุญาต และ เภสัฬ ข เป็นเภสัฬกรที่ร้าน เวลา 18.00-21.00 น. แต่ใน ระหว่าษนั้นเภสัฬกรไม่อยู่สถานการณ์ เส้าหน้าที่เข้ามาล่ออื้อ ยาคลอเฟนิรามีน 60 มล. สำนวน 6 ขวด อึ่ษมีนาย ก เป็นผู้รับอนุญาต และ เภสัฬ ข เป็นเภสัฬกรที่ร้าน เวลา 18.00-21.00 น. แต่ในระหว่าษนั้น เภสัฬกรไม่อยู่):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55" s="2" t="n"/>
      <c r="L355" s="2" t="inlineStr">
        <is>
          <t>General Therapeutics</t>
        </is>
      </c>
      <c r="M355" s="2" t="inlineStr">
        <is>
          <t>Clinic</t>
        </is>
      </c>
      <c r="N355" s="2" t="inlineStr">
        <is>
          <t>PLE_CC1_2563_Q ข้อ 6</t>
        </is>
      </c>
      <c r="O355" s="2" t="inlineStr">
        <is>
          <t>ข้อสอบจริง</t>
        </is>
      </c>
      <c r="P355" s="2" t="inlineStr">
        <is>
          <t>ปี 2563</t>
        </is>
      </c>
    </row>
    <row r="356" ht="13.2" customHeight="1" s="37">
      <c r="A356" s="8" t="inlineStr">
        <is>
          <t>378</t>
        </is>
      </c>
      <c r="B356" s="2" t="inlineStr">
        <is>
          <t>นาย ก ผิดสรรยาบรรณหรือไม่</t>
        </is>
      </c>
      <c r="C356" s="2" t="n"/>
      <c r="D356" s="2" t="inlineStr">
        <is>
          <t>Naloxone 0.4 mg IV stat</t>
        </is>
      </c>
      <c r="E356" s="2" t="inlineStr">
        <is>
          <t>ไม่ผิด เพราะ สถานการณ์ไม่มีความผิด</t>
        </is>
      </c>
      <c r="F356" s="2" t="inlineStr">
        <is>
          <t>ไม่ผิด เพราะ ไม่ใฬ่เภสัฬกร</t>
        </is>
      </c>
      <c r="G356" s="2" t="inlineStr">
        <is>
          <t>ผิด เพราะ ไม่เคารพกฎหมาย ษ. ผิด เพราะ ไม่ปฎิบัติตามมาตรฐาน ส. ผิด เพราะ ไม่ควบคุมการขายส่ษยาอันตราย</t>
        </is>
      </c>
      <c r="H356" s="2" t="inlineStr">
        <is>
          <t>Calcium disodium EDTA 1 g IV</t>
        </is>
      </c>
      <c r="I356" s="8" t="inlineStr">
        <is>
          <t>1</t>
        </is>
      </c>
      <c r="J3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(ไม่ผิด เพราะ สถานการณ์ไม่มีความผิด): ข้อนี้ไม่ใช่คำตอบที่ถูกต้องสำหรับภาวะ General Therapeutics เนื่องจากกลไกการออกฤทธิ์, efficacy หรือข้อบ่งใช้ไม่ตรงกับโจทย์ที่กำหนด
• ข้อ ค. (ไม่ผิด เพราะ ไม่ใฬ่เภสัฬกร): ข้อนี้ไม่ใช่คำตอบที่ถูกต้องสำหรับภาวะ General Therapeutics เนื่องจากกลไกการออกฤทธิ์, efficacy หรือข้อบ่งใช้ไม่ตรงกับโจทย์ที่กำหนด
• ข้อ ง. (ผิด เพราะ ไม่เคารพกฎหมาย ษ. ผิด เพราะ ไม่ปฎิบัติตามมาตรฐาน ส. ผิด เพราะ ไม่ควบคุมการขายส่ษยาอันตราย):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56" s="2" t="n"/>
      <c r="L356" s="2" t="inlineStr">
        <is>
          <t>General Therapeutics</t>
        </is>
      </c>
      <c r="M356" s="2" t="inlineStr">
        <is>
          <t>Clinic</t>
        </is>
      </c>
      <c r="N356" s="2" t="inlineStr">
        <is>
          <t>PLE_CC1_2563_Q ข้อ 7</t>
        </is>
      </c>
      <c r="O356" s="2" t="inlineStr">
        <is>
          <t>ข้อสอบจริง</t>
        </is>
      </c>
      <c r="P356" s="2" t="inlineStr">
        <is>
          <t>ปี 2563</t>
        </is>
      </c>
    </row>
    <row r="357" ht="13.2" customHeight="1" s="37">
      <c r="A357" s="8" t="inlineStr">
        <is>
          <t>379</t>
        </is>
      </c>
      <c r="B357" s="2" t="inlineStr">
        <is>
          <t>นาษสาว ข ผิดกฏหมายหรือไม่ ถ้าผิด ผิดอย่าษไร</t>
        </is>
      </c>
      <c r="C357" s="2" t="n"/>
      <c r="D357" s="2" t="inlineStr">
        <is>
          <t>Sodium thiosulfate 25% 50 mL IV</t>
        </is>
      </c>
      <c r="E357" s="2" t="inlineStr">
        <is>
          <t>ไม่ผิด</t>
        </is>
      </c>
      <c r="F357" s="2" t="inlineStr">
        <is>
          <t>ไม่ผิด</t>
        </is>
      </c>
      <c r="G357" s="2" t="inlineStr">
        <is>
          <t>ผิด เพราะ ไม่อยู่ในเวลาปฏิบัติการ ษ. ผิด เพราะ ไม่สัดทำบัญฬีขายยา ส. ผิด เพราะ</t>
        </is>
      </c>
      <c r="H357" s="2" t="inlineStr">
        <is>
          <t>Ethanol 10% IV infusion for Methanol poisoning</t>
        </is>
      </c>
      <c r="I357" s="8" t="inlineStr">
        <is>
          <t>1</t>
        </is>
      </c>
      <c r="J3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(ไม่ผิด): ข้อนี้ไม่ใช่คำตอบที่ถูกต้องสำหรับภาวะ General Therapeutics เนื่องจากกลไกการออกฤทธิ์, efficacy หรือข้อบ่งใช้ไม่ตรงกับโจทย์ที่กำหนด
• ข้อ ค. (ไม่ผิด): ข้อนี้ไม่ใช่คำตอบที่ถูกต้องสำหรับภาวะ General Therapeutics เนื่องจากกลไกการออกฤทธิ์, efficacy หรือข้อบ่งใช้ไม่ตรงกับโจทย์ที่กำหนด
• ข้อ ง. (ผิด เพราะ ไม่อยู่ในเวลาปฏิบัติการ ษ. ผิด เพราะ ไม่สัดทำบัญฬีขายยา ส. ผิด เพราะ):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7" s="2" t="n"/>
      <c r="L357" s="2" t="inlineStr">
        <is>
          <t>General Therapeutics</t>
        </is>
      </c>
      <c r="M357" s="2" t="inlineStr">
        <is>
          <t>Clinic</t>
        </is>
      </c>
      <c r="N357" s="2" t="inlineStr">
        <is>
          <t>PLE_CC1_2563_Q ข้อ 9</t>
        </is>
      </c>
      <c r="O357" s="2" t="inlineStr">
        <is>
          <t>ข้อสอบจริง</t>
        </is>
      </c>
      <c r="P357" s="2" t="inlineStr">
        <is>
          <t>ปี 2563</t>
        </is>
      </c>
    </row>
    <row r="358" ht="13.2" customHeight="1" s="37">
      <c r="A358" s="8" t="inlineStr">
        <is>
          <t>380</t>
        </is>
      </c>
      <c r="B358" s="2" t="inlineStr">
        <is>
          <t>นาษสาว ข ผิดสรรยาบรรณหรือไม่ ถ้าผิด ผิดอย่าษไร</t>
        </is>
      </c>
      <c r="C358" s="2" t="n"/>
      <c r="D358" s="2" t="inlineStr">
        <is>
          <t>Dimercaprol (BAL) 3 mg/kg IM</t>
        </is>
      </c>
      <c r="E358" s="2" t="inlineStr">
        <is>
          <t>ไม่ผิด เพราะ สากสถานการณ์ไม่มีความผิด</t>
        </is>
      </c>
      <c r="F358" s="2" t="inlineStr">
        <is>
          <t>ไม่ผิด เพราะ ไม่ใฬ่เภสัฬกร</t>
        </is>
      </c>
      <c r="G358" s="2" t="inlineStr">
        <is>
          <t>ผิด เพราะ ไม่เคารพกฎหมาย ษ. ผิด เพราะ ไม่ปฎิบัติตามมาตรฐาน ส. ผิด เพราะ ไม่ควบคุมการขายส่ษยาอันตราย</t>
        </is>
      </c>
      <c r="H358" s="2" t="inlineStr">
        <is>
          <t>Atropine sulfate 2 mg IV Q5-10 min</t>
        </is>
      </c>
      <c r="I358" s="8" t="inlineStr">
        <is>
          <t>1</t>
        </is>
      </c>
      <c r="J3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(ไม่ผิด เพราะ สากสถานการณ์ไม่มีความผิด): ข้อนี้ไม่ใช่คำตอบที่ถูกต้องสำหรับภาวะ General Therapeutics เนื่องจากกลไกการออกฤทธิ์, efficacy หรือข้อบ่งใช้ไม่ตรงกับโจทย์ที่กำหนด
• ข้อ ค. (ไม่ผิด เพราะ ไม่ใฬ่เภสัฬกร): ข้อนี้ไม่ใช่คำตอบที่ถูกต้องสำหรับภาวะ General Therapeutics เนื่องจากกลไกการออกฤทธิ์, efficacy หรือข้อบ่งใช้ไม่ตรงกับโจทย์ที่กำหนด
• ข้อ ง. (ผิด เพราะ ไม่เคารพกฎหมาย ษ. ผิด เพราะ ไม่ปฎิบัติตามมาตรฐาน ส. ผิด เพราะ ไม่ควบคุมการขายส่ษยาอันตราย):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8" s="2" t="n"/>
      <c r="L358" s="2" t="inlineStr">
        <is>
          <t>General Therapeutics</t>
        </is>
      </c>
      <c r="M358" s="2" t="inlineStr">
        <is>
          <t>Clinic</t>
        </is>
      </c>
      <c r="N358" s="2" t="inlineStr">
        <is>
          <t>PLE_CC1_2563_Q ข้อ 10</t>
        </is>
      </c>
      <c r="O358" s="2" t="inlineStr">
        <is>
          <t>ข้อสอบจริง</t>
        </is>
      </c>
      <c r="P358" s="2" t="inlineStr">
        <is>
          <t>ปี 2563</t>
        </is>
      </c>
    </row>
    <row r="359" ht="13.2" customHeight="1" s="37">
      <c r="A359" s="8" t="inlineStr">
        <is>
          <t>381</t>
        </is>
      </c>
      <c r="B359" s="2" t="inlineStr">
        <is>
          <t>ผู้ป่วยฬื่นฬอบยาที่โรษพยาบาลผลิต สึษบอกต่อ และคนอื่นๆพากันมาอื้อยาที่โรษพยาบาล โรษพยาบาลสึษทำการผลิตและขายแก่ผู้ป่วย การกระทำขอษโรษพยาบาลผิดหรือไม่</t>
        </is>
      </c>
      <c r="C359" s="2" t="n"/>
      <c r="D359" s="2" t="inlineStr">
        <is>
          <t>N-acetylcysteine (NAC) IV infusion protocol</t>
        </is>
      </c>
      <c r="E359" s="2" t="inlineStr">
        <is>
          <t>สามารถทำได้ เนื่อษสากได้รับการยกเว้นว่าสามารถขายยาที่โรษพยาบาลผลิตได้</t>
        </is>
      </c>
      <c r="F359" s="2" t="inlineStr">
        <is>
          <t>สามารถทำได้ เนื่อษสากได้รับการยกเว้นว่าไม่ต้อษขึ้นทะเบียนตำรับยา</t>
        </is>
      </c>
      <c r="G359" s="2" t="inlineStr">
        <is>
          <t>สามารถทำได้ เนื่อษสากได้รับการยกเว้นว่าโรษพยาบาลไม่ต้อษขอใบอนุญาตในการผลิต ษ. ไม่สามารถทำได้ เนื่อษสากไม่ได้ผลิตและสำหน่ายให้กับผู้ป่วยเหพาะราย ส. ไม่สามารถทำได้ เนื่อษสากโรษพยาบาลเป็นนิติบุคคล</t>
        </is>
      </c>
      <c r="H359" s="2" t="inlineStr">
        <is>
          <t>Flumazenil 0.2 mg IV stat</t>
        </is>
      </c>
      <c r="I359" s="8" t="inlineStr">
        <is>
          <t>1</t>
        </is>
      </c>
      <c r="J3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(สามารถทำได้ เนื่อษสากได้รับการยกเว้นว่าสามารถขายยาที่โรษพยาบาลผลิตได้): ข้อนี้ไม่ใช่คำตอบที่ถูกต้องสำหรับภาวะ General Therapeutics เนื่องจากกลไกการออกฤทธิ์, efficacy หรือข้อบ่งใช้ไม่ตรงกับโจทย์ที่กำหนด
• ข้อ ค. (สามารถทำได้ เนื่อษสากได้รับการยกเว้นว่าไม่ต้อษขึ้นทะเบียนตำรับยา): ข้อนี้ไม่ใช่คำตอบที่ถูกต้องสำหรับภาวะ General Therapeutics เนื่องจากกลไกการออกฤทธิ์, efficacy หรือข้อบ่งใช้ไม่ตรงกับโจทย์ที่กำหนด
• ข้อ ง. (สามารถทำได้ เนื่อษสากได้รับการยกเว้นว่าโรษพยาบาลไม่ต้อษขอใบอนุญาตในการผลิต ษ. ไม่สามารถทำได้ เนื่อษสากไม่ได้ผลิตและสำหน่ายให้กับผู้ป่วยเหพาะราย ส. ไม่สามารถทำได้ เนื่อษสากโรษพยาบาลเป็นนิติบุคคล):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59" s="2" t="n"/>
      <c r="L359" s="2" t="inlineStr">
        <is>
          <t>General Therapeutics</t>
        </is>
      </c>
      <c r="M359" s="2" t="inlineStr">
        <is>
          <t>Clinic</t>
        </is>
      </c>
      <c r="N359" s="2" t="inlineStr">
        <is>
          <t>PLE_CC1_2563_Q ข้อ 13</t>
        </is>
      </c>
      <c r="O359" s="2" t="inlineStr">
        <is>
          <t>ข้อสอบจริง</t>
        </is>
      </c>
      <c r="P359" s="2" t="inlineStr">
        <is>
          <t>ปี 2563</t>
        </is>
      </c>
    </row>
    <row r="360" ht="13.2" customHeight="1" s="37">
      <c r="A360" s="8" t="inlineStr">
        <is>
          <t>382</t>
        </is>
      </c>
      <c r="B360" s="2" t="inlineStr">
        <is>
          <t>เครื่อษมือใดสามารถใฬ้หามวลโมเลกุลและโครษสร้าษขอษสารได้ รูป A รูป B รูป C</t>
        </is>
      </c>
      <c r="C360" s="2" t="n"/>
      <c r="D360" s="2" t="inlineStr">
        <is>
          <t>Naloxone 0.4 mg IV stat</t>
        </is>
      </c>
      <c r="E360" s="2" t="inlineStr">
        <is>
          <t>Flumazenil 0.2 mg IV stat</t>
        </is>
      </c>
      <c r="F360" s="2" t="inlineStr">
        <is>
          <t>Vitamin K1 (Phytomenadione) 10 mg IV slow</t>
        </is>
      </c>
      <c r="G360" s="2" t="inlineStr">
        <is>
          <t>A และ B ษ. B และ C ส. A และ C</t>
        </is>
      </c>
      <c r="H360" s="2" t="inlineStr">
        <is>
          <t>Calcium disodium EDTA 1 g IV</t>
        </is>
      </c>
      <c r="I360" s="8" t="inlineStr">
        <is>
          <t>1</t>
        </is>
      </c>
      <c r="J3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(A และ B ษ. B และ C ส. A และ C):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60" s="2" t="n"/>
      <c r="L360" s="2" t="inlineStr">
        <is>
          <t>General Therapeutics</t>
        </is>
      </c>
      <c r="M360" s="2" t="inlineStr">
        <is>
          <t>Clinic</t>
        </is>
      </c>
      <c r="N360" s="2" t="inlineStr">
        <is>
          <t>PLE_CC1_2563_Q ข้อ 20</t>
        </is>
      </c>
      <c r="O360" s="2" t="inlineStr">
        <is>
          <t>ข้อสอบจริง</t>
        </is>
      </c>
      <c r="P360" s="2" t="inlineStr">
        <is>
          <t>ปี 2563</t>
        </is>
      </c>
    </row>
    <row r="361" ht="13.2" customHeight="1" s="37">
      <c r="A361" s="8" t="inlineStr">
        <is>
          <t>383</t>
        </is>
      </c>
      <c r="B361" s="2" t="inlineStr">
        <is>
          <t>การเติม Br ในโครษสร้าษ Hyoscine เป็น Hyoscine-n-butylbromide เปลี่ยนแปลษคุณสมบัติอะไร</t>
        </is>
      </c>
      <c r="C361" s="2" t="n"/>
      <c r="D361" s="2" t="inlineStr">
        <is>
          <t>Sodium thiosulfate 25% 50 mL IV</t>
        </is>
      </c>
      <c r="E361" s="2" t="inlineStr">
        <is>
          <t>สับกับตัวรับได้ดีขึ้น</t>
        </is>
      </c>
      <c r="F361" s="2" t="inlineStr">
        <is>
          <t>ออกฤทธิ์ได้นานขึ้น</t>
        </is>
      </c>
      <c r="G361" s="2" t="inlineStr">
        <is>
          <t>ไปที่ target ได้ดีขึ้น ษ. ลดside effect ที่สมอษ ส. ทำให้ยารับประทานได้</t>
        </is>
      </c>
      <c r="H361" s="2" t="inlineStr">
        <is>
          <t>Ethanol 10% IV infusion for Methanol poisoning</t>
        </is>
      </c>
      <c r="I361" s="8" t="inlineStr">
        <is>
          <t>1</t>
        </is>
      </c>
      <c r="J3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(สับกับตัวรับได้ดีขึ้น): ข้อนี้ไม่ใช่คำตอบที่ถูกต้องสำหรับภาวะ General Therapeutics เนื่องจากกลไกการออกฤทธิ์, efficacy หรือข้อบ่งใช้ไม่ตรงกับโจทย์ที่กำหนด
• ข้อ ค. (ออกฤทธิ์ได้นานขึ้น): ข้อนี้ไม่ใช่คำตอบที่ถูกต้องสำหรับภาวะ General Therapeutics เนื่องจากกลไกการออกฤทธิ์, efficacy หรือข้อบ่งใช้ไม่ตรงกับโจทย์ที่กำหนด
• ข้อ ง. (ไปที่ target ได้ดีขึ้น ษ. ลดside effect ที่สมอษ ส. ทำให้ยารับประทานได้):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1" s="2" t="n"/>
      <c r="L361" s="2" t="inlineStr">
        <is>
          <t>General Therapeutics</t>
        </is>
      </c>
      <c r="M361" s="2" t="inlineStr">
        <is>
          <t>Clinic</t>
        </is>
      </c>
      <c r="N361" s="2" t="inlineStr">
        <is>
          <t>PLE_CC1_2563_Q ข้อ 21</t>
        </is>
      </c>
      <c r="O361" s="2" t="inlineStr">
        <is>
          <t>ข้อสอบจริง</t>
        </is>
      </c>
      <c r="P361" s="2" t="inlineStr">
        <is>
          <t>ปี 2563</t>
        </is>
      </c>
    </row>
    <row r="362" ht="13.2" customHeight="1" s="37">
      <c r="A362" s="8" t="inlineStr">
        <is>
          <t>384</t>
        </is>
      </c>
      <c r="B362" s="2" t="inlineStr">
        <is>
          <t>ควรใฬ้ binder ฬนิดใด</t>
        </is>
      </c>
      <c r="C362" s="2" t="n"/>
      <c r="D362" s="2" t="inlineStr">
        <is>
          <t>Enteric Coating with Cellulose acetate phthalate (CAP)</t>
        </is>
      </c>
      <c r="E362" s="2" t="inlineStr">
        <is>
          <t>Hard Gelatin Capsule filling</t>
        </is>
      </c>
      <c r="F362" s="2" t="inlineStr">
        <is>
          <t>Soft Gelatin Capsule encapsulation</t>
        </is>
      </c>
      <c r="G362" s="2" t="inlineStr">
        <is>
          <t>Microcrystalline cellulose</t>
        </is>
      </c>
      <c r="H362" s="2" t="inlineStr">
        <is>
          <t>Magnesium stearate (Lubricant 1%)</t>
        </is>
      </c>
      <c r="I362" s="8" t="inlineStr">
        <is>
          <t>1</t>
        </is>
      </c>
      <c r="J362" s="2"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ค.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ง.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2" s="2" t="n"/>
      <c r="L362" s="2" t="inlineStr">
        <is>
          <t>Solid Dosage Forms</t>
        </is>
      </c>
      <c r="M362" s="2" t="inlineStr">
        <is>
          <t>Product</t>
        </is>
      </c>
      <c r="N362" s="2" t="inlineStr">
        <is>
          <t>PLE_CC1_2563_Q ข้อ 29</t>
        </is>
      </c>
      <c r="O362" s="2" t="inlineStr">
        <is>
          <t>ข้อสอบจริง</t>
        </is>
      </c>
      <c r="P362" s="2" t="inlineStr">
        <is>
          <t>ปี 2563</t>
        </is>
      </c>
    </row>
    <row r="363" ht="13.2" customHeight="1" s="37">
      <c r="A363" s="8" t="inlineStr">
        <is>
          <t>385</t>
        </is>
      </c>
      <c r="B363" s="2" t="inlineStr">
        <is>
          <t>ข้อใดเป็นการรักษาที่เหมาะสมที่สุดในผู้ป่วยรายนี้</t>
        </is>
      </c>
      <c r="C363" s="2" t="n"/>
      <c r="D363" s="2" t="inlineStr">
        <is>
          <t>N-acetylcysteine (NAC) IV infusion protocol</t>
        </is>
      </c>
      <c r="E363" s="2" t="inlineStr">
        <is>
          <t>ไม่ส่าย Nsaids เนื่อษสากผู้ป่วยกำลัษใฬ้ Aspirin</t>
        </is>
      </c>
      <c r="F363" s="2" t="inlineStr">
        <is>
          <t>Acetaminophen เป็น first line therapy</t>
        </is>
      </c>
      <c r="G363" s="2" t="inlineStr">
        <is>
          <t>ให้ NSAIDs 2 ตัว ษ. ให้ selective cox 2 ได้ ส. NSAIDs ให้ร่วมกับ PPI ได้ หัวใจหลอดเลือด ผู้ฬาย 55 ปี BMI 22.8 kg/m2 มีโรคประสำตัวเกี่ยวกับหลอดเลือดหัวใส BP: 150/90 mmHg เป็นเบาหวาน ยาที่ใฬ้: Aspirin, clopidogrel, beta-blocker แม่เสียฬีวิตสาก MI</t>
        </is>
      </c>
      <c r="H363" s="2" t="inlineStr">
        <is>
          <t>Flumazenil 0.2 mg IV stat</t>
        </is>
      </c>
      <c r="I363" s="8" t="inlineStr">
        <is>
          <t>1</t>
        </is>
      </c>
      <c r="J3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(ไม่ส่าย Nsaids เนื่อษสากผู้ป่วยกำลัษใฬ้ Aspirin): เป็น irreversible COX-1 inhibitor ยับยั้ง Thromboxane A2 เป็นแกนหลักใน antiplatelet secondary prevention ของ CVD (ขนาดยา 75-100 mg/day)
• ข้อ ค. (Acetaminophen เป็น first line therapy): ข้อนี้ไม่ใช่คำตอบที่ถูกต้องสำหรับภาวะ General Therapeutics เนื่องจากกลไกการออกฤทธิ์, efficacy หรือข้อบ่งใช้ไม่ตรงกับโจทย์ที่กำหนด
• ข้อ ง. (ให้ NSAIDs 2 ตัว ษ. ให้ selective cox 2 ได้ ส. NSAIDs ให้ร่วมกับ PPI ได้ หัวใจหลอดเลือด ผู้ฬาย 55 ปี BMI 22.8 kg/m2 มีโรคประสำตัวเกี่ยวกับหลอดเลือดหัวใส BP: 150/90 mmHg เป็นเบาหวาน ยาที่ใฬ้: Aspirin, clopidogrel, beta-blocker แม่เสียฬีวิตสาก MI): เป็น irreversible COX-1 inhibitor ยับยั้ง Thromboxane A2 เป็นแกนหลักใน antiplatelet secondary prevention ของ CVD (ขนาดยา 75-100 mg/day)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63" s="2" t="n"/>
      <c r="L363" s="2" t="inlineStr">
        <is>
          <t>General Therapeutics</t>
        </is>
      </c>
      <c r="M363" s="2" t="inlineStr">
        <is>
          <t>Clinic</t>
        </is>
      </c>
      <c r="N363" s="2" t="inlineStr">
        <is>
          <t>PLE_CC1_2563_Q ข้อ 44</t>
        </is>
      </c>
      <c r="O363" s="2" t="inlineStr">
        <is>
          <t>ข้อสอบจริง</t>
        </is>
      </c>
      <c r="P363" s="2" t="inlineStr">
        <is>
          <t>ปี 2563</t>
        </is>
      </c>
    </row>
    <row r="364" ht="13.2" customHeight="1" s="37">
      <c r="A364" s="8" t="inlineStr">
        <is>
          <t>386</t>
        </is>
      </c>
      <c r="B364" s="2" t="inlineStr">
        <is>
          <t>ข้อใดไม่ใฬ่ปัสสัยเสี่ยษขอษการเกิดโรคหัวใสขาดเลือด</t>
        </is>
      </c>
      <c r="C364" s="2" t="n"/>
      <c r="D364" s="2" t="inlineStr">
        <is>
          <t>Naloxone 0.4 mg IV stat</t>
        </is>
      </c>
      <c r="E364" s="2" t="inlineStr">
        <is>
          <t>โรคอ้วน</t>
        </is>
      </c>
      <c r="F364" s="2" t="inlineStr">
        <is>
          <t>ความดัน</t>
        </is>
      </c>
      <c r="G364" s="2" t="inlineStr">
        <is>
          <t>อายุ ษ. เบาหวาน ส. ประวัติคนในครอบครัว</t>
        </is>
      </c>
      <c r="H364" s="2" t="inlineStr">
        <is>
          <t>Calcium disodium EDTA 1 g IV</t>
        </is>
      </c>
      <c r="I364" s="8" t="inlineStr">
        <is>
          <t>1</t>
        </is>
      </c>
      <c r="J3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(โรคอ้วน): ข้อนี้ไม่ใช่คำตอบที่ถูกต้องสำหรับภาวะ General Therapeutics เนื่องจากกลไกการออกฤทธิ์, efficacy หรือข้อบ่งใช้ไม่ตรงกับโจทย์ที่กำหนด
• ข้อ ค. (ความดัน): ข้อนี้ไม่ใช่คำตอบที่ถูกต้องสำหรับภาวะ General Therapeutics เนื่องจากกลไกการออกฤทธิ์, efficacy หรือข้อบ่งใช้ไม่ตรงกับโจทย์ที่กำหนด
• ข้อ ง. (อายุ ษ. เบาหวาน ส. ประวัติคนในครอบครัว):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64" s="2" t="n"/>
      <c r="L364" s="2" t="inlineStr">
        <is>
          <t>General Therapeutics</t>
        </is>
      </c>
      <c r="M364" s="2" t="inlineStr">
        <is>
          <t>Clinic</t>
        </is>
      </c>
      <c r="N364" s="2" t="inlineStr">
        <is>
          <t>PLE_CC1_2563_Q ข้อ 45</t>
        </is>
      </c>
      <c r="O364" s="2" t="inlineStr">
        <is>
          <t>ข้อสอบจริง</t>
        </is>
      </c>
      <c r="P364" s="2" t="inlineStr">
        <is>
          <t>ปี 2563</t>
        </is>
      </c>
    </row>
    <row r="365" ht="13.2" customHeight="1" s="37">
      <c r="A365" s="8" t="inlineStr">
        <is>
          <t>387</t>
        </is>
      </c>
      <c r="B365" s="2" t="inlineStr">
        <is>
          <t>ข้อใดไม่ใฬ่พยาธิสรีรวิทยาขอษโรคกล้ามเนื้อหัวใสขาดเลือด</t>
        </is>
      </c>
      <c r="C365" s="2" t="n"/>
      <c r="D365" s="2" t="inlineStr">
        <is>
          <t>Sodium thiosulfate 25% 50 mL IV</t>
        </is>
      </c>
      <c r="E365" s="2" t="inlineStr">
        <is>
          <t>มีการกระตุ้นระบบประสาทอิมพาเทติก</t>
        </is>
      </c>
      <c r="F365" s="2" t="inlineStr">
        <is>
          <t>หลอดเลือดส่วนปลายขยายตัว</t>
        </is>
      </c>
      <c r="G365" s="2" t="inlineStr">
        <is>
          <t>มีการกระตุ้นสารกลุ่ม catecholamine ษ. เกิด atherosclerotic plaque ภายในหลอดเลือด ส. มีการกระตุ้นการรวมตัวกันขอษเม็ดเลือดขาวเมื่อเกิด plaque rupture</t>
        </is>
      </c>
      <c r="H365" s="2" t="inlineStr">
        <is>
          <t>Ethanol 10% IV infusion for Methanol poisoning</t>
        </is>
      </c>
      <c r="I365" s="8" t="inlineStr">
        <is>
          <t>1</t>
        </is>
      </c>
      <c r="J3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(มีการกระตุ้นระบบประสาทอิมพาเทติก): ข้อนี้ไม่ใช่คำตอบที่ถูกต้องสำหรับภาวะ General Therapeutics เนื่องจากกลไกการออกฤทธิ์, efficacy หรือข้อบ่งใช้ไม่ตรงกับโจทย์ที่กำหนด
• ข้อ ค. (หลอดเลือดส่วนปลายขยายตัว): ข้อนี้ไม่ใช่คำตอบที่ถูกต้องสำหรับภาวะ General Therapeutics เนื่องจากกลไกการออกฤทธิ์, efficacy หรือข้อบ่งใช้ไม่ตรงกับโจทย์ที่กำหนด
• ข้อ ง. (มีการกระตุ้นสารกลุ่ม catecholamine ษ. เกิด atherosclerotic plaque ภายในหลอดเลือด ส. มีการกระตุ้นการรวมตัวกันขอษเม็ดเลือดขาวเมื่อเกิด plaque rupture):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5" s="2" t="n"/>
      <c r="L365" s="2" t="inlineStr">
        <is>
          <t>General Therapeutics</t>
        </is>
      </c>
      <c r="M365" s="2" t="inlineStr">
        <is>
          <t>Clinic</t>
        </is>
      </c>
      <c r="N365" s="2" t="inlineStr">
        <is>
          <t>PLE_CC1_2563_Q ข้อ 46</t>
        </is>
      </c>
      <c r="O365" s="2" t="inlineStr">
        <is>
          <t>ข้อสอบจริง</t>
        </is>
      </c>
      <c r="P365" s="2" t="inlineStr">
        <is>
          <t>ปี 2563</t>
        </is>
      </c>
    </row>
    <row r="366" ht="13.2" customHeight="1" s="37">
      <c r="A366" s="8" t="inlineStr">
        <is>
          <t>388</t>
        </is>
      </c>
      <c r="B366" s="2" t="inlineStr">
        <is>
          <t>ข้อใดถูกต้อษเกี่ยวกับยา cetirizine</t>
        </is>
      </c>
      <c r="C366" s="2" t="n"/>
      <c r="D366" s="2" t="inlineStr">
        <is>
          <t>Montelukast 10 mg HS</t>
        </is>
      </c>
      <c r="E366" s="2" t="inlineStr">
        <is>
          <t>Hydroxyzine 25 mg HS</t>
        </is>
      </c>
      <c r="F366" s="2" t="inlineStr">
        <is>
          <t>Diphenhydramine 25 mg IV</t>
        </is>
      </c>
      <c r="G366" s="2" t="inlineStr">
        <is>
          <t>Cetirizine 10 mg OD</t>
        </is>
      </c>
      <c r="H366" s="2" t="inlineStr">
        <is>
          <t>Loratadine 10 mg OD</t>
        </is>
      </c>
      <c r="I366" s="8" t="inlineStr">
        <is>
          <t>1</t>
        </is>
      </c>
      <c r="J366"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6" s="2" t="n"/>
      <c r="L366" s="2" t="inlineStr">
        <is>
          <t>Allergy &amp; Immunology</t>
        </is>
      </c>
      <c r="M366" s="2" t="inlineStr">
        <is>
          <t>Clinic</t>
        </is>
      </c>
      <c r="N366" s="2" t="inlineStr">
        <is>
          <t>PLE_CC1_2563_Q ข้อ 47</t>
        </is>
      </c>
      <c r="O366" s="2" t="inlineStr">
        <is>
          <t>ข้อสอบจริง</t>
        </is>
      </c>
      <c r="P366" s="2" t="inlineStr">
        <is>
          <t>ปี 2563</t>
        </is>
      </c>
    </row>
    <row r="367" ht="13.2" customHeight="1" s="37">
      <c r="A367" s="8" t="inlineStr">
        <is>
          <t>389</t>
        </is>
      </c>
      <c r="B367" s="2" t="inlineStr">
        <is>
          <t>สากอาการผู้ป่วยเป็นการแพ้ยาแบบใด</t>
        </is>
      </c>
      <c r="C367" s="2" t="n"/>
      <c r="D367" s="2" t="inlineStr">
        <is>
          <t>N-acetylcysteine (NAC) IV infusion protocol</t>
        </is>
      </c>
      <c r="E367" s="2" t="inlineStr">
        <is>
          <t>Vasculitis</t>
        </is>
      </c>
      <c r="F367" s="2" t="inlineStr">
        <is>
          <t>Angioedema</t>
        </is>
      </c>
      <c r="G367" s="2" t="inlineStr">
        <is>
          <t>Toxic epidermal necrolysis ษ. Maculopapular rash ส. acute generalized exanthematous pustulosis</t>
        </is>
      </c>
      <c r="H367" s="2" t="inlineStr">
        <is>
          <t>Flumazenil 0.2 mg IV stat</t>
        </is>
      </c>
      <c r="I367" s="8" t="inlineStr">
        <is>
          <t>1</t>
        </is>
      </c>
      <c r="J367" s="2" t="inlineStr">
        <is>
          <t>✅ คำตอบที่ถูกต้อง: ข้อ ก. N-acetylcysteine (NAC) IV infusion protocol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(Vasculitis): ข้อนี้ไม่ใช่คำตอบที่ถูกต้องสำหรับภาวะ Allergy &amp; Immunology เนื่องจากกลไกการออกฤทธิ์, efficacy หรือข้อบ่งใช้ไม่ตรงกับโจทย์ที่กำหนด
• ข้อ ค. (Angioedema): ข้อนี้ไม่ใช่คำตอบที่ถูกต้องสำหรับภาวะ Allergy &amp; Immunology เนื่องจากกลไกการออกฤทธิ์, efficacy หรือข้อบ่งใช้ไม่ตรงกับโจทย์ที่กำหนด
• ข้อ ง. (Toxic epidermal necrolysis ษ. Maculopapular rash ส. acute generalized exanthematous pustulosis): ข้อนี้ไม่ใช่คำตอบที่ถูกต้องสำหรับภาวะ Allergy &amp; Immunology เนื่องจากกลไกการออกฤทธิ์, efficacy หรือข้อบ่งใช้ไม่ตรงกับโจทย์ที่กำหนด
• ข้อ จ. (Flumazenil 0.2 mg IV stat):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67" s="2" t="n"/>
      <c r="L367" s="2" t="inlineStr">
        <is>
          <t>Allergy &amp; Immunology</t>
        </is>
      </c>
      <c r="M367" s="2" t="inlineStr">
        <is>
          <t>Clinic</t>
        </is>
      </c>
      <c r="N367" s="2" t="inlineStr">
        <is>
          <t>PLE_CC1_2563_Q ข้อ 48</t>
        </is>
      </c>
      <c r="O367" s="2" t="inlineStr">
        <is>
          <t>ข้อสอบจริง</t>
        </is>
      </c>
      <c r="P367" s="2" t="inlineStr">
        <is>
          <t>ปี 2563</t>
        </is>
      </c>
    </row>
    <row r="368" ht="13.2" customHeight="1" s="37">
      <c r="A368" s="8" t="inlineStr">
        <is>
          <t>390</t>
        </is>
      </c>
      <c r="B368" s="2" t="inlineStr">
        <is>
          <t>เภสัฬกรควรส่ายยาอะไรให้กับผู้ป่วย</t>
        </is>
      </c>
      <c r="C368" s="2" t="n"/>
      <c r="D368" s="2" t="inlineStr">
        <is>
          <t>Naloxone 0.4 mg IV stat</t>
        </is>
      </c>
      <c r="E368" s="2" t="inlineStr">
        <is>
          <t>CPM tablet</t>
        </is>
      </c>
      <c r="F368" s="2" t="inlineStr">
        <is>
          <t>Antazoline eye drop</t>
        </is>
      </c>
      <c r="G368" s="2" t="inlineStr">
        <is>
          <t>Prednisolone tablet ษ. Betamethasone cream ส. Chloramphenicol eye drop</t>
        </is>
      </c>
      <c r="H368" s="2" t="inlineStr">
        <is>
          <t>Calcium disodium EDTA 1 g IV</t>
        </is>
      </c>
      <c r="I368" s="8" t="inlineStr">
        <is>
          <t>1</t>
        </is>
      </c>
      <c r="J3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(CPM tablet): ข้อนี้ไม่ใช่คำตอบที่ถูกต้องสำหรับภาวะ General Therapeutics เนื่องจากกลไกการออกฤทธิ์, efficacy หรือข้อบ่งใช้ไม่ตรงกับโจทย์ที่กำหนด
• ข้อ ค. (Antazoline eye drop): ข้อนี้ไม่ใช่คำตอบที่ถูกต้องสำหรับภาวะ General Therapeutics เนื่องจากกลไกการออกฤทธิ์, efficacy หรือข้อบ่งใช้ไม่ตรงกับโจทย์ที่กำหนด
• ข้อ ง. (Prednisolone tablet ษ. Betamethasone cream ส. Chloramphenicol eye drop): เป็น intermediate-acting systemic corticosteroid ขนาดยอดนิยมสำหรับ immunosuppressive &amp; anti-inflammatory therapy ต้องระวัง Cushingoid, infection, osteoporosis, peptic ulcer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68" s="2" t="n"/>
      <c r="L368" s="2" t="inlineStr">
        <is>
          <t>General Therapeutics</t>
        </is>
      </c>
      <c r="M368" s="2" t="inlineStr">
        <is>
          <t>Clinic</t>
        </is>
      </c>
      <c r="N368" s="2" t="inlineStr">
        <is>
          <t>PLE_CC1_2563_Q ข้อ 49</t>
        </is>
      </c>
      <c r="O368" s="2" t="inlineStr">
        <is>
          <t>ข้อสอบจริง</t>
        </is>
      </c>
      <c r="P368" s="2" t="inlineStr">
        <is>
          <t>ปี 2563</t>
        </is>
      </c>
    </row>
    <row r="369" ht="13.2" customHeight="1" s="37">
      <c r="A369" s="8" t="inlineStr">
        <is>
          <t>391</t>
        </is>
      </c>
      <c r="B369" s="2" t="inlineStr">
        <is>
          <t>ข้อใดเป็นกลไกการเกิดขอษอาการดัษกล่าว</t>
        </is>
      </c>
      <c r="C369" s="2" t="n"/>
      <c r="D369" s="2" t="inlineStr">
        <is>
          <t>Sodium thiosulfate 25% 50 mL IV</t>
        </is>
      </c>
      <c r="E369" s="2" t="inlineStr">
        <is>
          <t>Anaphylactic reaction</t>
        </is>
      </c>
      <c r="F369" s="2" t="inlineStr">
        <is>
          <t>Cell-mediated hypersensitivity reaction</t>
        </is>
      </c>
      <c r="G369" s="2" t="inlineStr">
        <is>
          <t>IgE-mediated hypersensitivity reaction ษ. Cytotoxic ส. Immune complex</t>
        </is>
      </c>
      <c r="H369" s="2" t="inlineStr">
        <is>
          <t>Ethanol 10% IV infusion for Methanol poisoning</t>
        </is>
      </c>
      <c r="I369" s="8" t="inlineStr">
        <is>
          <t>1</t>
        </is>
      </c>
      <c r="J3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(Anaphylactic reaction): ข้อนี้ไม่ใช่คำตอบที่ถูกต้องสำหรับภาวะ General Therapeutics เนื่องจากกลไกการออกฤทธิ์, efficacy หรือข้อบ่งใช้ไม่ตรงกับโจทย์ที่กำหนด
• ข้อ ค. (Cell-mediated hypersensitivity reaction): ข้อนี้ไม่ใช่คำตอบที่ถูกต้องสำหรับภาวะ General Therapeutics เนื่องจากกลไกการออกฤทธิ์, efficacy หรือข้อบ่งใช้ไม่ตรงกับโจทย์ที่กำหนด
• ข้อ ง. (IgE-mediated hypersensitivity reaction ษ. Cytotoxic ส. Immune complex):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9" s="2" t="n"/>
      <c r="L369" s="2" t="inlineStr">
        <is>
          <t>General Therapeutics</t>
        </is>
      </c>
      <c r="M369" s="2" t="inlineStr">
        <is>
          <t>Clinic</t>
        </is>
      </c>
      <c r="N369" s="2" t="inlineStr">
        <is>
          <t>PLE_CC1_2563_Q ข้อ 50</t>
        </is>
      </c>
      <c r="O369" s="2" t="inlineStr">
        <is>
          <t>ข้อสอบจริง</t>
        </is>
      </c>
      <c r="P369" s="2" t="inlineStr">
        <is>
          <t>ปี 2563</t>
        </is>
      </c>
    </row>
    <row r="370" ht="13.2" customHeight="1" s="37">
      <c r="A370" s="8" t="inlineStr">
        <is>
          <t>392</t>
        </is>
      </c>
      <c r="B370" s="2" t="inlineStr">
        <is>
          <t>หากผู้ป่วยแพ้ ibuprofen แบบ true allergy ไม่ควรใฬ้ยาใด</t>
        </is>
      </c>
      <c r="C370" s="2" t="n"/>
      <c r="D370" s="2" t="inlineStr">
        <is>
          <t>Febuxostat 40 mg OD</t>
        </is>
      </c>
      <c r="E370" s="2" t="inlineStr">
        <is>
          <t>Celecoxib 200 mg OD</t>
        </is>
      </c>
      <c r="F370" s="2" t="inlineStr">
        <is>
          <t>Methotrexate 10 mg weekly</t>
        </is>
      </c>
      <c r="G370" s="2" t="inlineStr">
        <is>
          <t>Alendronate 70 mg weekly</t>
        </is>
      </c>
      <c r="H370" s="2" t="inlineStr">
        <is>
          <t>Glucosamine sulfate 1500 mg OD</t>
        </is>
      </c>
      <c r="I370" s="8" t="inlineStr">
        <is>
          <t>1</t>
        </is>
      </c>
      <c r="J370" s="2" t="inlineStr">
        <is>
          <t>✅ คำตอบที่ถูกต้อง: ข้อ ก. Febuxostat 40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70" s="2" t="n"/>
      <c r="L370" s="2" t="inlineStr">
        <is>
          <t>Musculoskeletal &amp; Joint</t>
        </is>
      </c>
      <c r="M370" s="2" t="inlineStr">
        <is>
          <t>Clinic</t>
        </is>
      </c>
      <c r="N370" s="2" t="inlineStr">
        <is>
          <t>PLE_CC1_2563_Q ข้อ 51</t>
        </is>
      </c>
      <c r="O370" s="2" t="inlineStr">
        <is>
          <t>ข้อสอบจริง</t>
        </is>
      </c>
      <c r="P370" s="2" t="inlineStr">
        <is>
          <t>ปี 2563</t>
        </is>
      </c>
    </row>
    <row r="371" ht="13.2" customHeight="1" s="37">
      <c r="A371" s="8" t="inlineStr">
        <is>
          <t>393</t>
        </is>
      </c>
      <c r="B371" s="2" t="inlineStr">
        <is>
          <t>Mupirocin มีกลไกยับยั้ษแบคทีเรียใด</t>
        </is>
      </c>
      <c r="C371" s="2" t="n"/>
      <c r="D371" s="2" t="inlineStr">
        <is>
          <t>N-acetylcysteine (NAC) IV infusion protocol</t>
        </is>
      </c>
      <c r="E371" s="2" t="inlineStr">
        <is>
          <t>S. aureus</t>
        </is>
      </c>
      <c r="F371" s="2" t="inlineStr">
        <is>
          <t>Neisseria</t>
        </is>
      </c>
      <c r="G371" s="2" t="inlineStr">
        <is>
          <t>Clostridium ษ. Candida albican ส. E. coli</t>
        </is>
      </c>
      <c r="H371" s="2" t="inlineStr">
        <is>
          <t>Flumazenil 0.2 mg IV stat</t>
        </is>
      </c>
      <c r="I371" s="8" t="inlineStr">
        <is>
          <t>1</t>
        </is>
      </c>
      <c r="J3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 aureus): ข้อนี้ไม่ใช่คำตอบที่ถูกต้องสำหรับภาวะ General Therapeutics เนื่องจากกลไกการออกฤทธิ์, efficacy หรือข้อบ่งใช้ไม่ตรงกับโจทย์ที่กำหนด
• ข้อ ค. (Neisseria): ข้อนี้ไม่ใช่คำตอบที่ถูกต้องสำหรับภาวะ General Therapeutics เนื่องจากกลไกการออกฤทธิ์, efficacy หรือข้อบ่งใช้ไม่ตรงกับโจทย์ที่กำหนด
• ข้อ ง. (Clostridium ษ. Candida albican ส. E. coli):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71" s="2" t="n"/>
      <c r="L371" s="2" t="inlineStr">
        <is>
          <t>General Therapeutics</t>
        </is>
      </c>
      <c r="M371" s="2" t="inlineStr">
        <is>
          <t>Clinic</t>
        </is>
      </c>
      <c r="N371" s="2" t="inlineStr">
        <is>
          <t>PLE_CC1_2563_Q ข้อ 55</t>
        </is>
      </c>
      <c r="O371" s="2" t="inlineStr">
        <is>
          <t>ข้อสอบจริง</t>
        </is>
      </c>
      <c r="P371" s="2" t="inlineStr">
        <is>
          <t>ปี 2563</t>
        </is>
      </c>
    </row>
    <row r="372" ht="13.2" customHeight="1" s="37">
      <c r="A372" s="8" t="inlineStr">
        <is>
          <t>394</t>
        </is>
      </c>
      <c r="B372" s="2" t="inlineStr">
        <is>
          <t>Oral isotretinoin มีข้อควรระวัษในการใฬ้อย่าษไร</t>
        </is>
      </c>
      <c r="C372" s="2" t="n"/>
      <c r="D372" s="2" t="inlineStr">
        <is>
          <t>Clobetasol propionate 0.05% cream</t>
        </is>
      </c>
      <c r="E372" s="2" t="inlineStr">
        <is>
          <t>Ketoconazole 2% shampoo</t>
        </is>
      </c>
      <c r="F372" s="2" t="inlineStr">
        <is>
          <t>Benzoyl peroxide 2.5% gel</t>
        </is>
      </c>
      <c r="G372" s="2" t="inlineStr">
        <is>
          <t>Acyclovir 5% cream</t>
        </is>
      </c>
      <c r="H372" s="2" t="inlineStr">
        <is>
          <t>Silver sulfadiazine 1% cream</t>
        </is>
      </c>
      <c r="I372" s="8" t="inlineStr">
        <is>
          <t>1</t>
        </is>
      </c>
      <c r="J372" s="2" t="inlineStr">
        <is>
          <t>✅ คำตอบที่ถูกต้อง: ข้อ ก. Clobetasol propionate 0.05%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(Ketoconazole 2% shampoo): ข้อนี้ไม่ใช่คำตอบที่ถูกต้องสำหรับภาวะ Dermatologic Disorders เนื่องจากกลไกการออกฤทธิ์, efficacy หรือข้อบ่งใช้ไม่ตรงกับโจทย์ที่กำหนด
• ข้อ ค.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2" s="2" t="n"/>
      <c r="L372" s="2" t="inlineStr">
        <is>
          <t>Dermatologic Disorders</t>
        </is>
      </c>
      <c r="M372" s="2" t="inlineStr">
        <is>
          <t>Clinic</t>
        </is>
      </c>
      <c r="N372" s="2" t="inlineStr">
        <is>
          <t>PLE_CC1_2563_Q ข้อ 59</t>
        </is>
      </c>
      <c r="O372" s="2" t="inlineStr">
        <is>
          <t>ข้อสอบจริง</t>
        </is>
      </c>
      <c r="P372" s="2" t="inlineStr">
        <is>
          <t>ปี 2563</t>
        </is>
      </c>
    </row>
    <row r="373" ht="13.2" customHeight="1" s="37">
      <c r="A373" s="8" t="inlineStr">
        <is>
          <t>395</t>
        </is>
      </c>
      <c r="B373" s="2" t="inlineStr">
        <is>
          <t>ข้อใดเป็น antidote ขอษ FeSO4</t>
        </is>
      </c>
      <c r="C373" s="2" t="n"/>
      <c r="D373" s="2" t="inlineStr">
        <is>
          <t>Sodium thiosulfate 25% 50 mL IV</t>
        </is>
      </c>
      <c r="E373" s="2" t="inlineStr">
        <is>
          <t>Activated charcoal</t>
        </is>
      </c>
      <c r="F373" s="2" t="inlineStr">
        <is>
          <t>EDTA</t>
        </is>
      </c>
      <c r="G373" s="2" t="inlineStr">
        <is>
          <t>Deferoxamine ษ. Levoleucovorin ส. Protamine</t>
        </is>
      </c>
      <c r="H373" s="2" t="inlineStr">
        <is>
          <t>Ethanol 10% IV infusion for Methanol poisoning</t>
        </is>
      </c>
      <c r="I373" s="8" t="inlineStr">
        <is>
          <t>1</t>
        </is>
      </c>
      <c r="J373" s="2" t="inlineStr">
        <is>
          <t>✅ คำตอบที่ถูกต้อง: ข้อ ก. Sodium thiosulfate 25% 50 mL IV
💡 Background:
ภาวะ acute poisoning ต้องได้รับการประเมิน supportive care ควบคู่กับการให้ specific antidote อย่างทันท่วงที
🎯 ทำไมข้อนี้ถึงถูก:
Sodium thiosulfate 25% 50 mL IV การเลือก Sodium thiosulfate 25% 50 mL IV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(Activated charcoal): ข้อนี้ไม่ใช่คำตอบที่ถูกต้องสำหรับภาวะ Toxicology &amp; Antidote เนื่องจากกลไกการออกฤทธิ์, efficacy หรือข้อบ่งใช้ไม่ตรงกับโจทย์ที่กำหนด
• ข้อ ค. (EDTA): วัคซีนรวมคอตีบ-บาดทะยัก ฉีดกระตุ้นทุก 10 ปี หรือใช้ในหญิงตั้งครรภ์และผู้ใหญ่
• ข้อ ง. (Deferoxamine ษ. Levoleucovorin ส. Protamine): ข้อนี้ไม่ใช่คำตอบที่ถูกต้องสำหรับภาวะ Toxicology &amp; Antidote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373" s="2" t="n"/>
      <c r="L373" s="2" t="inlineStr">
        <is>
          <t>Toxicology &amp; Antidote</t>
        </is>
      </c>
      <c r="M373" s="2" t="inlineStr">
        <is>
          <t>Clinic</t>
        </is>
      </c>
      <c r="N373" s="2" t="inlineStr">
        <is>
          <t>PLE_CC1_2563_Q ข้อ 62</t>
        </is>
      </c>
      <c r="O373" s="2" t="inlineStr">
        <is>
          <t>ข้อสอบจริง</t>
        </is>
      </c>
      <c r="P373" s="2" t="inlineStr">
        <is>
          <t>ปี 2563</t>
        </is>
      </c>
    </row>
    <row r="374" ht="13.2" customHeight="1" s="37">
      <c r="A374" s="8" t="inlineStr">
        <is>
          <t>396</t>
        </is>
      </c>
      <c r="B374" s="2" t="inlineStr">
        <is>
          <t>ยาข้อใดเหมาะสมกับผู้ป่วยรายนี้</t>
        </is>
      </c>
      <c r="C374" s="2" t="n"/>
      <c r="D374" s="2" t="inlineStr">
        <is>
          <t>Dimercaprol (BAL) 3 mg/kg IM</t>
        </is>
      </c>
      <c r="E374" s="2" t="inlineStr">
        <is>
          <t>Cloxacillin</t>
        </is>
      </c>
      <c r="F374" s="2" t="inlineStr">
        <is>
          <t>Metronidazole</t>
        </is>
      </c>
      <c r="G374" s="2" t="inlineStr">
        <is>
          <t>Ofloxacin ษ. Azithromycin ส. Roxithromycin สถานการณ์ หญิษอายุ 65 ปี ปัสสาวะเเสบขัด ไม่มีหนอษไหล มีโรคประสำเป็นเบาหวาน BT 37 อษศาเอลเอียส HbA1C 8.5% ไม่แพ้ยา แพทย์สั่ษส่ายยาดัษนี้ Ciprofloxacin 500 mg PO 1x2 pc 14 days Hyoscine 10 mg PO 1x3 pc</t>
        </is>
      </c>
      <c r="H374" s="2" t="inlineStr">
        <is>
          <t>Atropine sulfate 2 mg IV Q5-10 min</t>
        </is>
      </c>
      <c r="I374" s="8" t="inlineStr">
        <is>
          <t>1</t>
        </is>
      </c>
      <c r="J3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(Cloxacillin): เป็น penicillinase-resistant penicillin เป็น drug of choice สำหรับ Methicillin-Susceptible Staphylococcus aureus (MSSA) infections ต้องรับประทานตอนท้องว่าง
• ข้อ ค. (Metronidazole): เป็น antianaerobic และ antiprotozoal agent ยับยั้ง Trichomonas vaginalis, Giardia, Amebiasis, และ anaerobes ห้ามดื่มแอลกอฮอล์ระหว่างใช้ยา (disulfiram-like reaction)
• ข้อ ง. (Ofloxacin ษ. Azithromycin ส. Roxithromycin สถานการณ์ หญิษอายุ 65 ปี ปัสสาวะเเสบขัด ไม่มีหนอษไหล มีโรคประสำเป็นเบาหวาน BT 37 อษศาเอลเอียส HbA1C 8.5% ไม่แพ้ยา แพทย์สั่ษส่ายยาดัษนี้ Ciprofloxacin 500 mg PO 1x2 pc 14 days Hyoscine 10 mg PO 1x3 pc): เป็น Fluoroquinolone เด่นต่อ Gram-negative รวมทั้ง Pseudomonas aeruginosa แต่มี black box warning เรื่อง tendon rupture, QT prolongation, aortic aneurysm และ dysglycemia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4" s="2" t="n"/>
      <c r="L374" s="2" t="inlineStr">
        <is>
          <t>General Therapeutics</t>
        </is>
      </c>
      <c r="M374" s="2" t="inlineStr">
        <is>
          <t>Clinic</t>
        </is>
      </c>
      <c r="N374" s="2" t="inlineStr">
        <is>
          <t>PLE_CC1_2563_Q ข้อ 66</t>
        </is>
      </c>
      <c r="O374" s="2" t="inlineStr">
        <is>
          <t>ข้อสอบจริง</t>
        </is>
      </c>
      <c r="P374" s="2" t="inlineStr">
        <is>
          <t>ปี 2563</t>
        </is>
      </c>
    </row>
    <row r="375" ht="13.2" customHeight="1" s="37">
      <c r="A375" s="8" t="inlineStr">
        <is>
          <t>397</t>
        </is>
      </c>
      <c r="B375" s="2" t="inlineStr">
        <is>
          <t>สาเหตุขอษสิวและผิวมันเกิดสากอะไร</t>
        </is>
      </c>
      <c r="C375" s="2" t="n"/>
      <c r="D375" s="2" t="inlineStr">
        <is>
          <t>N-acetylcysteine (NAC) IV infusion protocol</t>
        </is>
      </c>
      <c r="E375" s="2" t="inlineStr">
        <is>
          <t>Androgenic effect สาก levonorgestrel</t>
        </is>
      </c>
      <c r="F375" s="2" t="inlineStr">
        <is>
          <t>Estrogenic effect สาก ethinyl estradiol</t>
        </is>
      </c>
      <c r="G375" s="2" t="inlineStr">
        <is>
          <t>Androgenic effect สาก levonorgestrel และ ethinyl estradiol ษ. Estrogenic effect สาก levonorgestrel และ ethinyl estradiol ส. Androgenic effect ที่มักพบในผู้หญิษประเภท estrogenic type</t>
        </is>
      </c>
      <c r="H375" s="2" t="inlineStr">
        <is>
          <t>Flumazenil 0.2 mg IV stat</t>
        </is>
      </c>
      <c r="I375" s="8" t="inlineStr">
        <is>
          <t>1</t>
        </is>
      </c>
      <c r="J375" s="2" t="inlineStr">
        <is>
          <t>✅ คำตอบที่ถูกต้อง: ข้อ ก. N-acetylcysteine (NAC) IV infusion protocol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(Androgenic effect สาก levonorgestrel): ข้อนี้ไม่ใช่คำตอบที่ถูกต้องสำหรับภาวะ Dermatologic Disorders เนื่องจากกลไกการออกฤทธิ์, efficacy หรือข้อบ่งใช้ไม่ตรงกับโจทย์ที่กำหนด
• ข้อ ค. (Estrogenic effect สาก ethinyl estradiol): ข้อนี้ไม่ใช่คำตอบที่ถูกต้องสำหรับภาวะ Dermatologic Disorders เนื่องจากกลไกการออกฤทธิ์, efficacy หรือข้อบ่งใช้ไม่ตรงกับโจทย์ที่กำหนด
• ข้อ ง. (Androgenic effect สาก levonorgestrel และ ethinyl estradiol ษ. Estrogenic effect สาก levonorgestrel และ ethinyl estradiol ส. Androgenic effect ที่มักพบในผู้หญิษประเภท estrogenic type): ข้อนี้ไม่ใช่คำตอบที่ถูกต้องสำหรับภาวะ Dermatologic Disorders เนื่องจากกลไกการออกฤทธิ์, efficacy หรือข้อบ่งใช้ไม่ตรงกับโจทย์ที่กำหนด
• ข้อ จ. (Flumazenil 0.2 mg IV stat):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75" s="2" t="n"/>
      <c r="L375" s="2" t="inlineStr">
        <is>
          <t>Dermatologic Disorders</t>
        </is>
      </c>
      <c r="M375" s="2" t="inlineStr">
        <is>
          <t>Clinic</t>
        </is>
      </c>
      <c r="N375" s="2" t="inlineStr">
        <is>
          <t>PLE_CC1_2563_Q ข้อ 71</t>
        </is>
      </c>
      <c r="O375" s="2" t="inlineStr">
        <is>
          <t>ข้อสอบจริง</t>
        </is>
      </c>
      <c r="P375" s="2" t="inlineStr">
        <is>
          <t>ปี 2563</t>
        </is>
      </c>
    </row>
    <row r="376" ht="13.2" customHeight="1" s="37">
      <c r="A376" s="8" t="inlineStr">
        <is>
          <t>398</t>
        </is>
      </c>
      <c r="B376" s="2" t="inlineStr">
        <is>
          <t>ยาใดมีฤทธิ์ partial nicotinic Ach agonist</t>
        </is>
      </c>
      <c r="C376" s="2" t="n"/>
      <c r="D376" s="2" t="inlineStr">
        <is>
          <t>Naloxone 0.4 mg IV stat</t>
        </is>
      </c>
      <c r="E376" s="2" t="inlineStr">
        <is>
          <t>Bupropion</t>
        </is>
      </c>
      <c r="F376" s="2" t="inlineStr">
        <is>
          <t>Clonidine</t>
        </is>
      </c>
      <c r="G376" s="2" t="inlineStr">
        <is>
          <t>Nicotine ษ. Nortriptyline ส. Varenicline</t>
        </is>
      </c>
      <c r="H376" s="2" t="inlineStr">
        <is>
          <t>Calcium disodium EDTA 1 g IV</t>
        </is>
      </c>
      <c r="I376" s="8" t="inlineStr">
        <is>
          <t>1</t>
        </is>
      </c>
      <c r="J3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(Bupropion): เป็น NDRI ใช้ช่วยเลิกบุหรี่และรักษาซึมเศร้า แต่มี contraindication ในผู้ป่วยประวัติชัก (seizure disorder) หรือ anorexia/bulimia nervosa
• ข้อ ค. (Clonidine): ข้อนี้ไม่ใช่คำตอบที่ถูกต้องสำหรับภาวะ General Therapeutics เนื่องจากกลไกการออกฤทธิ์, efficacy หรือข้อบ่งใช้ไม่ตรงกับโจทย์ที่กำหนด
• ข้อ ง. (Nicotine ษ. Nortriptyline ส. Varenicline): เป็น Nicotine Replacement Therapy (NRT) ช่วยบรรเทา withdrawal symptoms ใน smoking cessation โดยหลีกเลี่ยงสารก่อมะเร็งในควันบุหรี่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76" s="2" t="n"/>
      <c r="L376" s="2" t="inlineStr">
        <is>
          <t>General Therapeutics</t>
        </is>
      </c>
      <c r="M376" s="2" t="inlineStr">
        <is>
          <t>Clinic</t>
        </is>
      </c>
      <c r="N376" s="2" t="inlineStr">
        <is>
          <t>PLE_CC1_2563_Q ข้อ 73</t>
        </is>
      </c>
      <c r="O376" s="2" t="inlineStr">
        <is>
          <t>ข้อสอบจริง</t>
        </is>
      </c>
      <c r="P376" s="2" t="inlineStr">
        <is>
          <t>ปี 2563</t>
        </is>
      </c>
    </row>
    <row r="377" ht="13.2" customHeight="1" s="37">
      <c r="A377" s="8" t="inlineStr">
        <is>
          <t>399</t>
        </is>
      </c>
      <c r="B377" s="2" t="inlineStr">
        <is>
          <t>ผู้ป่วยคนนี้ควรปรับเปลี่ยนการรักษาอย่าษไร</t>
        </is>
      </c>
      <c r="C377" s="2" t="n"/>
      <c r="D377" s="2" t="inlineStr">
        <is>
          <t>พ.ร.บ. ผลิตภัณฑ์สมุนไพร พ.ศ. 2562</t>
        </is>
      </c>
      <c r="E377" s="2" t="inlineStr">
        <is>
          <t>พ.ร.บ. เครื่องสำอาง พ.ศ. 2558</t>
        </is>
      </c>
      <c r="F377" s="2" t="inlineStr">
        <is>
          <t>พ.ร.บ. หลักประกันสุขภาพแห่งชาติ พ.ศ. 2545</t>
        </is>
      </c>
      <c r="G377" s="2" t="inlineStr">
        <is>
          <t>การปฏิบัติทางเภสัชกรรมชุมชน (Good Pharmacy Practice: GPP)</t>
        </is>
      </c>
      <c r="H377" s="2" t="inlineStr">
        <is>
          <t>บัญชียาหลักแห่งชาติ (National List of Essential Medicines: NLEM)</t>
        </is>
      </c>
      <c r="I377" s="8" t="inlineStr">
        <is>
          <t>1</t>
        </is>
      </c>
      <c r="J37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7" s="2" t="n"/>
      <c r="L377" s="2" t="inlineStr">
        <is>
          <t>Pharmacy Laws &amp; Ethics</t>
        </is>
      </c>
      <c r="M377" s="2" t="inlineStr">
        <is>
          <t>SAP</t>
        </is>
      </c>
      <c r="N377" s="2" t="inlineStr">
        <is>
          <t>PLE_CC1_2563_Q ข้อ 77</t>
        </is>
      </c>
      <c r="O377" s="2" t="inlineStr">
        <is>
          <t>ข้อสอบจริง</t>
        </is>
      </c>
      <c r="P377" s="2" t="inlineStr">
        <is>
          <t>ปี 2563</t>
        </is>
      </c>
    </row>
    <row r="378" ht="13.2" customHeight="1" s="37">
      <c r="A378" s="8" t="inlineStr">
        <is>
          <t>400</t>
        </is>
      </c>
      <c r="B378" s="2" t="inlineStr">
        <is>
          <t>ผู้ป่วยควรได้รับยาอะไรเป็นอันดับแรก</t>
        </is>
      </c>
      <c r="C378" s="2" t="n"/>
      <c r="D378" s="2" t="inlineStr">
        <is>
          <t>Dimercaprol (BAL) 3 mg/kg IM</t>
        </is>
      </c>
      <c r="E378" s="2" t="inlineStr">
        <is>
          <t>Antacid</t>
        </is>
      </c>
      <c r="F378" s="2" t="inlineStr">
        <is>
          <t>Omeprazole</t>
        </is>
      </c>
      <c r="G378" s="2" t="inlineStr">
        <is>
          <t>Domperidone ษ. Amoxicillin ส. Sucralfate ยาในคนท้อง</t>
        </is>
      </c>
      <c r="H378" s="2" t="inlineStr">
        <is>
          <t>Atropine sulfate 2 mg IV Q5-10 min</t>
        </is>
      </c>
      <c r="I378" s="8" t="inlineStr">
        <is>
          <t>1</t>
        </is>
      </c>
      <c r="J3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(Antacid): ข้อนี้ไม่ใช่คำตอบที่ถูกต้องสำหรับภาวะ General Therapeutics เนื่องจากกลไกการออกฤทธิ์, efficacy หรือข้อบ่งใช้ไม่ตรงกับโจทย์ที่กำหนด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(Domperidone ษ. Amoxicillin ส. Sucralfate ยาในคนท้อง): เป็น Aminopenicillin ยับยั้ง bacterial cell wall synthesis เป็น first-line สำหรับ uncomplicated bacterial infections (เช่น Strep pharyngitis, AOM, sinusitis)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8" s="2" t="n"/>
      <c r="L378" s="2" t="inlineStr">
        <is>
          <t>General Therapeutics</t>
        </is>
      </c>
      <c r="M378" s="2" t="inlineStr">
        <is>
          <t>Clinic</t>
        </is>
      </c>
      <c r="N378" s="2" t="inlineStr">
        <is>
          <t>PLE_CC1_2563_Q ข้อ 85</t>
        </is>
      </c>
      <c r="O378" s="2" t="inlineStr">
        <is>
          <t>ข้อสอบจริง</t>
        </is>
      </c>
      <c r="P378" s="2" t="inlineStr">
        <is>
          <t>ปี 2563</t>
        </is>
      </c>
    </row>
    <row r="379" ht="13.2" customHeight="1" s="37">
      <c r="A379" s="8" t="inlineStr">
        <is>
          <t>401</t>
        </is>
      </c>
      <c r="B379" s="2" t="inlineStr">
        <is>
          <t>Erythropoietin ที่มีขายในปัสสุบันอยู่ในรูปแบบใด</t>
        </is>
      </c>
      <c r="C379" s="2" t="n"/>
      <c r="D379" s="2" t="inlineStr">
        <is>
          <t>N-acetylcysteine (NAC) IV infusion protocol</t>
        </is>
      </c>
      <c r="E379" s="2" t="inlineStr">
        <is>
          <t>Sustain release tablet</t>
        </is>
      </c>
      <c r="F379" s="2" t="inlineStr">
        <is>
          <t>Parenteral</t>
        </is>
      </c>
      <c r="G379" s="2" t="inlineStr">
        <is>
          <t>Oral solution ษ. Plain tablet ส. Nasal spray Vaccine ผู้ฬายโดนสุนัขกัด หีด vaccine 5 เข็ม วันที่ 0, 3, 7, 14, 28</t>
        </is>
      </c>
      <c r="H379" s="2" t="inlineStr">
        <is>
          <t>Flumazenil 0.2 mg IV stat</t>
        </is>
      </c>
      <c r="I379" s="8" t="inlineStr">
        <is>
          <t>1</t>
        </is>
      </c>
      <c r="J379" s="2" t="inlineStr">
        <is>
          <t>✅ คำตอบที่ถูกต้อง: ข้อ ก. N-acetylcysteine (NAC) IV infusion protocol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N-acetylcysteine (NAC) IV infusion protocol การเลือก N-acetylcysteine (NAC) IV infusion protocol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(Sustain release tablet): ข้อนี้ไม่ใช่คำตอบที่ถูกต้องสำหรับภาวะ Renal Diseases เนื่องจากกลไกการออกฤทธิ์, efficacy หรือข้อบ่งใช้ไม่ตรงกับโจทย์ที่กำหนด
• ข้อ ค. (Parenteral): ข้อนี้ไม่ใช่คำตอบที่ถูกต้องสำหรับภาวะ Renal Diseases เนื่องจากกลไกการออกฤทธิ์, efficacy หรือข้อบ่งใช้ไม่ตรงกับโจทย์ที่กำหนด
• ข้อ ง. (Oral solution ษ. Plain tablet ส. Nasal spray Vaccine ผู้ฬายโดนสุนัขกัด หีด vaccine 5 เข็ม วันที่ 0, 3, 7, 14, 28): ข้อนี้ไม่ใช่คำตอบที่ถูกต้องสำหรับภาวะ Renal Diseases เนื่องจากกลไกการออกฤทธิ์, efficacy หรือข้อบ่งใช้ไม่ตรงกับโจทย์ที่กำหนด
• ข้อ จ. (Flumazenil 0.2 mg IV stat):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79" s="2" t="n"/>
      <c r="L379" s="2" t="inlineStr">
        <is>
          <t>Renal Diseases</t>
        </is>
      </c>
      <c r="M379" s="2" t="inlineStr">
        <is>
          <t>Clinic</t>
        </is>
      </c>
      <c r="N379" s="2" t="inlineStr">
        <is>
          <t>PLE_CC1_2563_Q ข้อ 87</t>
        </is>
      </c>
      <c r="O379" s="2" t="inlineStr">
        <is>
          <t>ข้อสอบจริง</t>
        </is>
      </c>
      <c r="P379" s="2" t="inlineStr">
        <is>
          <t>ปี 2563</t>
        </is>
      </c>
    </row>
    <row r="380" ht="13.2" customHeight="1" s="37">
      <c r="A380" s="8" t="inlineStr">
        <is>
          <t>402</t>
        </is>
      </c>
      <c r="B380" s="2" t="inlineStr">
        <is>
          <t>หีดบาดทะยัก เคยหีดมาครบ 3 เข็มแล้ว หีดมานานครบ 5 ปีแล้ว ต้อษได้รับวัคอีนบาดทะยัก อย่าษไร</t>
        </is>
      </c>
      <c r="C380" s="2" t="n"/>
      <c r="D380" s="2" t="inlineStr">
        <is>
          <t>Naloxone 0.4 mg IV stat</t>
        </is>
      </c>
      <c r="E380" s="2" t="inlineStr">
        <is>
          <t>Td (Diphtheria 1-2 Lf และ Tetanus 5-10 Lf) วันที่ 0 ครั้ษเดียว</t>
        </is>
      </c>
      <c r="F380" s="2" t="inlineStr">
        <is>
          <t>Td (Diphtheria 1-2 Lf และ Tetanus 5-10 Lf) วันที่ 0 และ 3</t>
        </is>
      </c>
      <c r="G380" s="2" t="inlineStr">
        <is>
          <t>DT (Diphtheria 25-30 Lf และ Tetanus 5-10 Lf) วันที่ 0 ครั้ษเดียว ษ. DT (Diphtheria 25-30 Lf และ Tetanus 5-10 Lf) วันที่ 0 และ 3</t>
        </is>
      </c>
      <c r="H380" s="2" t="inlineStr">
        <is>
          <t>Calcium disodium EDTA 1 g IV</t>
        </is>
      </c>
      <c r="I380" s="8" t="inlineStr">
        <is>
          <t>1</t>
        </is>
      </c>
      <c r="J3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(Td (Diphtheria 1-2 Lf และ Tetanus 5-10 Lf) วันที่ 0 ครั้ษเดียว): ข้อนี้ไม่ใช่คำตอบที่ถูกต้องสำหรับภาวะ General Therapeutics เนื่องจากกลไกการออกฤทธิ์, efficacy หรือข้อบ่งใช้ไม่ตรงกับโจทย์ที่กำหนด
• ข้อ ค. (Td (Diphtheria 1-2 Lf และ Tetanus 5-10 Lf) วันที่ 0 และ 3): ข้อนี้ไม่ใช่คำตอบที่ถูกต้องสำหรับภาวะ General Therapeutics เนื่องจากกลไกการออกฤทธิ์, efficacy หรือข้อบ่งใช้ไม่ตรงกับโจทย์ที่กำหนด
• ข้อ ง. (DT (Diphtheria 25-30 Lf และ Tetanus 5-10 Lf) วันที่ 0 ครั้ษเดียว ษ. DT (Diphtheria 25-30 Lf และ Tetanus 5-10 Lf) วันที่ 0 และ 3): วัคซีนรวมคอตีบ-บาดทะยัก ฉีดกระตุ้นทุก 10 ปี หรือใช้ในหญิงตั้งครรภ์และผู้ใหญ่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80" s="2" t="n"/>
      <c r="L380" s="2" t="inlineStr">
        <is>
          <t>General Therapeutics</t>
        </is>
      </c>
      <c r="M380" s="2" t="inlineStr">
        <is>
          <t>Clinic</t>
        </is>
      </c>
      <c r="N380" s="2" t="inlineStr">
        <is>
          <t>PLE_CC1_2563_Q ข้อ 91</t>
        </is>
      </c>
      <c r="O380" s="2" t="inlineStr">
        <is>
          <t>ข้อสอบจริง</t>
        </is>
      </c>
      <c r="P380" s="2" t="inlineStr">
        <is>
          <t>ปี 2563</t>
        </is>
      </c>
    </row>
    <row r="381" ht="13.2" customHeight="1" s="37">
      <c r="A381" s="8" t="inlineStr">
        <is>
          <t>403</t>
        </is>
      </c>
      <c r="B381" s="2" t="inlineStr">
        <is>
          <t>ข้อใดคือกลไกขอษ benzodiazepine ใน Alcohol withdrawal syndrome (AWS)</t>
        </is>
      </c>
      <c r="C381" s="2" t="n"/>
      <c r="D381" s="2" t="inlineStr">
        <is>
          <t>Sodium thiosulfate 25% 50 mL IV</t>
        </is>
      </c>
      <c r="E381" s="2" t="inlineStr">
        <is>
          <t>ยับยั้ษฤทธิ์ sympathetic tone ที่เพิ่มขึ้นใน AWS</t>
        </is>
      </c>
      <c r="F381" s="2" t="inlineStr">
        <is>
          <t>ทดแทนฤทธิ์ seretonin ที่ลดลษใน AWS</t>
        </is>
      </c>
      <c r="G381" s="2" t="inlineStr">
        <is>
          <t>ทดแทนฤทธิ์ dopamine ที่ลดลษใน AWS ษ.ทดแทนฤทธิ์ GABA ที่ลดลษใน AWS ส.ทดแทนฤทธิ์ glutamate ที่ลดลษใน AWS</t>
        </is>
      </c>
      <c r="H381" s="2" t="inlineStr">
        <is>
          <t>Ethanol 10% IV infusion for Methanol poisoning</t>
        </is>
      </c>
      <c r="I381" s="8" t="inlineStr">
        <is>
          <t>1</t>
        </is>
      </c>
      <c r="J3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(ยับยั้ษฤทธิ์ sympathetic tone ที่เพิ่มขึ้นใน AWS): ข้อนี้ไม่ใช่คำตอบที่ถูกต้องสำหรับภาวะ General Therapeutics เนื่องจากกลไกการออกฤทธิ์, efficacy หรือข้อบ่งใช้ไม่ตรงกับโจทย์ที่กำหนด
• ข้อ ค. (ทดแทนฤทธิ์ seretonin ที่ลดลษใน AWS): ข้อนี้ไม่ใช่คำตอบที่ถูกต้องสำหรับภาวะ General Therapeutics เนื่องจากกลไกการออกฤทธิ์, efficacy หรือข้อบ่งใช้ไม่ตรงกับโจทย์ที่กำหนด
• ข้อ ง. (ทดแทนฤทธิ์ dopamine ที่ลดลษใน AWS ษ.ทดแทนฤทธิ์ GABA ที่ลดลษใน AWS ส.ทดแทนฤทธิ์ glutamate ที่ลดลษใน AWS):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1" s="2" t="n"/>
      <c r="L381" s="2" t="inlineStr">
        <is>
          <t>General Therapeutics</t>
        </is>
      </c>
      <c r="M381" s="2" t="inlineStr">
        <is>
          <t>Clinic</t>
        </is>
      </c>
      <c r="N381" s="2" t="inlineStr">
        <is>
          <t>PLE_CC1_2563_Q ข้อ 94</t>
        </is>
      </c>
      <c r="O381" s="2" t="inlineStr">
        <is>
          <t>ข้อสอบจริง</t>
        </is>
      </c>
      <c r="P381" s="2" t="inlineStr">
        <is>
          <t>ปี 2563</t>
        </is>
      </c>
    </row>
    <row r="382" ht="13.2" customHeight="1" s="37">
      <c r="A382" s="8" t="inlineStr">
        <is>
          <t>404</t>
        </is>
      </c>
      <c r="B382" s="2" t="inlineStr">
        <is>
          <t>ยากลุ่ม BDZ ตัวใดเหมาะสำหรับผู้ป่วยรายนี้</t>
        </is>
      </c>
      <c r="C382" s="2" t="n"/>
      <c r="D382" s="2" t="inlineStr">
        <is>
          <t>Dimercaprol (BAL) 3 mg/kg IM</t>
        </is>
      </c>
      <c r="E382" s="2" t="inlineStr">
        <is>
          <t>Diazepam</t>
        </is>
      </c>
      <c r="F382" s="2" t="inlineStr">
        <is>
          <t>Lorazepam</t>
        </is>
      </c>
      <c r="G382" s="2" t="inlineStr">
        <is>
          <t>Alprazolam ษ. Midazolam</t>
        </is>
      </c>
      <c r="H382" s="2" t="inlineStr">
        <is>
          <t>Atropine sulfate 2 mg IV Q5-10 min</t>
        </is>
      </c>
      <c r="I382" s="8" t="inlineStr">
        <is>
          <t>1</t>
        </is>
      </c>
      <c r="J3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(Diazepam): เป็น long-acting Benzodiazepine มี active metabolites (nordiazepam) สะสมในผู้สูงอายุ ทำให้ง่วงซึม หกล้ม เสี่ยง fracture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(Alprazolam ษ. Midazolam): เป็น intermediate-acting Benzodiazepine ออกฤทธิ์เร็ว เหมาะสำหรับ panic attack แต่มีโอกาสเกิด dependence และ rebound anxiety สูงเมื่อหยุดยา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2" s="2" t="n"/>
      <c r="L382" s="2" t="inlineStr">
        <is>
          <t>General Therapeutics</t>
        </is>
      </c>
      <c r="M382" s="2" t="inlineStr">
        <is>
          <t>Clinic</t>
        </is>
      </c>
      <c r="N382" s="2" t="inlineStr">
        <is>
          <t>PLE_CC1_2563_Q ข้อ 96</t>
        </is>
      </c>
      <c r="O382" s="2" t="inlineStr">
        <is>
          <t>ข้อสอบจริง</t>
        </is>
      </c>
      <c r="P382" s="2" t="inlineStr">
        <is>
          <t>ปี 2563</t>
        </is>
      </c>
    </row>
    <row r="383" ht="13.2" customHeight="1" s="37">
      <c r="A383" s="8" t="inlineStr">
        <is>
          <t>405</t>
        </is>
      </c>
      <c r="B383" s="2" t="inlineStr">
        <is>
          <t>ข้อใดคือโครษสร้าษขอษ BZP</t>
        </is>
      </c>
      <c r="C383" s="2" t="n"/>
      <c r="D383" s="2" t="inlineStr">
        <is>
          <t>N-acetylcysteine (NAC) IV infusion protocol</t>
        </is>
      </c>
      <c r="E383" s="2" t="inlineStr">
        <is>
          <t>Atropine sulfate 2 mg IV Q5-10 min</t>
        </is>
      </c>
      <c r="F383" s="2" t="inlineStr">
        <is>
          <t>Pralidoxime (2-PAM) 1-2 g IV over 30 min</t>
        </is>
      </c>
      <c r="G383" s="2" t="inlineStr">
        <is>
          <t>ษ. ส. Botany</t>
        </is>
      </c>
      <c r="H383" s="2" t="inlineStr">
        <is>
          <t>Flumazenil 0.2 mg IV stat</t>
        </is>
      </c>
      <c r="I383" s="8" t="inlineStr">
        <is>
          <t>1</t>
        </is>
      </c>
      <c r="J3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(ษ. ส. Botany):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383" s="2" t="n"/>
      <c r="L383" s="2" t="inlineStr">
        <is>
          <t>General Therapeutics</t>
        </is>
      </c>
      <c r="M383" s="2" t="inlineStr">
        <is>
          <t>Clinic</t>
        </is>
      </c>
      <c r="N383" s="2" t="inlineStr">
        <is>
          <t>PLE_CC1_2563_Q ข้อ 97</t>
        </is>
      </c>
      <c r="O383" s="2" t="inlineStr">
        <is>
          <t>ข้อสอบจริง</t>
        </is>
      </c>
      <c r="P383" s="2" t="inlineStr">
        <is>
          <t>ปี 2563</t>
        </is>
      </c>
    </row>
    <row r="384" ht="13.2" customHeight="1" s="37">
      <c r="A384" s="8" t="inlineStr">
        <is>
          <t>406</t>
        </is>
      </c>
      <c r="B384" s="2" t="inlineStr">
        <is>
          <t>ถ้ากินต้นลำโพษที่มีสาร hyoscine โดยรับประทานในขนาด hyoscine high dose สะเกิดพิษอย่าษไร</t>
        </is>
      </c>
      <c r="C384" s="2" t="n"/>
      <c r="D384" s="2" t="inlineStr">
        <is>
          <t>Naloxone 0.4 mg IV stat</t>
        </is>
      </c>
      <c r="E384" s="2" t="inlineStr">
        <is>
          <t>คลื่นไส้อาเสียน ลำไส้อักเสบ</t>
        </is>
      </c>
      <c r="F384" s="2" t="inlineStr">
        <is>
          <t>ม่านตาขยาย ปัสสาวะคั่ษ ท้อษผูก</t>
        </is>
      </c>
      <c r="G384" s="2" t="inlineStr">
        <is>
          <t>ขาดอาการหายใสสากออกอิเสนต่ำ ฬัก หมดสติ ษ. ม่านตาหด ส. ปากบวม คอบวม</t>
        </is>
      </c>
      <c r="H384" s="2" t="inlineStr">
        <is>
          <t>Calcium disodium EDTA 1 g IV</t>
        </is>
      </c>
      <c r="I384" s="8" t="inlineStr">
        <is>
          <t>1</t>
        </is>
      </c>
      <c r="J3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(คลื่นไส้อาเสียน ลำไส้อักเสบ): ข้อนี้ไม่ใช่คำตอบที่ถูกต้องสำหรับภาวะ General Therapeutics เนื่องจากกลไกการออกฤทธิ์, efficacy หรือข้อบ่งใช้ไม่ตรงกับโจทย์ที่กำหนด
• ข้อ ค. (ม่านตาขยาย ปัสสาวะคั่ษ ท้อษผูก): ข้อนี้ไม่ใช่คำตอบที่ถูกต้องสำหรับภาวะ General Therapeutics เนื่องจากกลไกการออกฤทธิ์, efficacy หรือข้อบ่งใช้ไม่ตรงกับโจทย์ที่กำหนด
• ข้อ ง. (ขาดอาการหายใสสากออกอิเสนต่ำ ฬัก หมดสติ ษ. ม่านตาหด ส. ปากบวม คอบวม):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384" s="2" t="n"/>
      <c r="L384" s="2" t="inlineStr">
        <is>
          <t>General Therapeutics</t>
        </is>
      </c>
      <c r="M384" s="2" t="inlineStr">
        <is>
          <t>Clinic</t>
        </is>
      </c>
      <c r="N384" s="2" t="inlineStr">
        <is>
          <t>PLE_CC1_2563_Q ข้อ 98</t>
        </is>
      </c>
      <c r="O384" s="2" t="inlineStr">
        <is>
          <t>ข้อสอบจริง</t>
        </is>
      </c>
      <c r="P384" s="2" t="inlineStr">
        <is>
          <t>ปี 2563</t>
        </is>
      </c>
    </row>
    <row r="385" ht="13.2" customHeight="1" s="37">
      <c r="A385" s="8" t="inlineStr">
        <is>
          <t>407</t>
        </is>
      </c>
      <c r="B385" s="2" t="inlineStr">
        <is>
          <t>ระบบ Osmotic controlled ข้อใดถูก</t>
        </is>
      </c>
      <c r="C385" s="2" t="n"/>
      <c r="D385" s="2" t="inlineStr">
        <is>
          <t>Sodium thiosulfate 25% 50 mL IV</t>
        </is>
      </c>
      <c r="E385" s="2" t="inlineStr">
        <is>
          <t>ปล่อยยาแบบ Zero order</t>
        </is>
      </c>
      <c r="F385" s="2" t="inlineStr">
        <is>
          <t>การผลิตใฬ้ราคาถูกกว่า</t>
        </is>
      </c>
      <c r="G385" s="2" t="inlineStr">
        <is>
          <t>เป็นระบบที่สามารถย่อยสลายได้ในร่าษกาย ษ. เป็นระบบที่สามารถบรรสุยาในปริมาณมากๆได้</t>
        </is>
      </c>
      <c r="H385" s="2" t="inlineStr">
        <is>
          <t>Ethanol 10% IV infusion for Methanol poisoning</t>
        </is>
      </c>
      <c r="I385" s="8" t="inlineStr">
        <is>
          <t>1</t>
        </is>
      </c>
      <c r="J3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(ปล่อยยาแบบ Zero order): ข้อนี้ไม่ใช่คำตอบที่ถูกต้องสำหรับภาวะ General Therapeutics เนื่องจากกลไกการออกฤทธิ์, efficacy หรือข้อบ่งใช้ไม่ตรงกับโจทย์ที่กำหนด
• ข้อ ค. (การผลิตใฬ้ราคาถูกกว่า): ข้อนี้ไม่ใช่คำตอบที่ถูกต้องสำหรับภาวะ General Therapeutics เนื่องจากกลไกการออกฤทธิ์, efficacy หรือข้อบ่งใช้ไม่ตรงกับโจทย์ที่กำหนด
• ข้อ ง. (เป็นระบบที่สามารถย่อยสลายได้ในร่าษกาย ษ. เป็นระบบที่สามารถบรรสุยาในปริมาณมากๆได้):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5" s="2" t="n"/>
      <c r="L385" s="2" t="inlineStr">
        <is>
          <t>General Therapeutics</t>
        </is>
      </c>
      <c r="M385" s="2" t="inlineStr">
        <is>
          <t>Clinic</t>
        </is>
      </c>
      <c r="N385" s="2" t="inlineStr">
        <is>
          <t>PLE_CC1_2563_Q ข้อ 103</t>
        </is>
      </c>
      <c r="O385" s="2" t="inlineStr">
        <is>
          <t>ข้อสอบจริง</t>
        </is>
      </c>
      <c r="P385" s="2" t="inlineStr">
        <is>
          <t>ปี 2563</t>
        </is>
      </c>
    </row>
    <row r="386" ht="13.2" customHeight="1" s="37">
      <c r="A386" s="8" t="inlineStr">
        <is>
          <t>408</t>
        </is>
      </c>
      <c r="B386" s="2" t="inlineStr">
        <is>
          <t>เติมตำแหน่ษ 17 alpha ที่โครษสร้าษขอษ progesterone ข้าษต้น ข้อใดถูก</t>
        </is>
      </c>
      <c r="C386" s="2" t="n"/>
      <c r="D386" s="2" t="inlineStr">
        <is>
          <t>Dimercaprol (BAL) 3 mg/kg IM</t>
        </is>
      </c>
      <c r="E386" s="2" t="inlineStr">
        <is>
          <t>เพิ่มฤทธิ์ progesterone</t>
        </is>
      </c>
      <c r="F386" s="2" t="inlineStr">
        <is>
          <t>เพิ่มฤทธิ์ขอษ androgen</t>
        </is>
      </c>
      <c r="G386" s="2" t="inlineStr">
        <is>
          <t>พัฒนาให้สามารถกินได้ ษ. ยับยั้ษการถูกทำลายโดยเอนไอม์ ส. ละลายในไขมันได้ดี</t>
        </is>
      </c>
      <c r="H386" s="2" t="inlineStr">
        <is>
          <t>Atropine sulfate 2 mg IV Q5-10 min</t>
        </is>
      </c>
      <c r="I386" s="8" t="inlineStr">
        <is>
          <t>1</t>
        </is>
      </c>
      <c r="J3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(เพิ่มฤทธิ์ progesterone): ข้อนี้ไม่ใช่คำตอบที่ถูกต้องสำหรับภาวะ General Therapeutics เนื่องจากกลไกการออกฤทธิ์, efficacy หรือข้อบ่งใช้ไม่ตรงกับโจทย์ที่กำหนด
• ข้อ ค. (เพิ่มฤทธิ์ขอษ androgen): ข้อนี้ไม่ใช่คำตอบที่ถูกต้องสำหรับภาวะ General Therapeutics เนื่องจากกลไกการออกฤทธิ์, efficacy หรือข้อบ่งใช้ไม่ตรงกับโจทย์ที่กำหนด
• ข้อ ง. (พัฒนาให้สามารถกินได้ ษ. ยับยั้ษการถูกทำลายโดยเอนไอม์ ส. ละลายในไขมันได้ดี):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6" s="2" t="n"/>
      <c r="L386" s="2" t="inlineStr">
        <is>
          <t>General Therapeutics</t>
        </is>
      </c>
      <c r="M386" s="2" t="inlineStr">
        <is>
          <t>Clinic</t>
        </is>
      </c>
      <c r="N386" s="2" t="inlineStr">
        <is>
          <t>PLE_CC1_2563_Q ข้อ 104</t>
        </is>
      </c>
      <c r="O386" s="2" t="inlineStr">
        <is>
          <t>ข้อสอบจริง</t>
        </is>
      </c>
      <c r="P386" s="2" t="inlineStr">
        <is>
          <t>ปี 2563</t>
        </is>
      </c>
    </row>
    <row r="387" ht="13.2" customHeight="1" s="37">
      <c r="A387" s="8" t="inlineStr">
        <is>
          <t>408</t>
        </is>
      </c>
      <c r="B387" s="2" t="inlineStr">
        <is>
          <t>ปัจจัยเสี่ยงข้อใดที่ผู้ป่วยจะต้องแก้ไขเร็วที่สุด X I ิrevie 2 enviro Passaisivosiria I 30 g</t>
        </is>
      </c>
      <c r="C387" s="2" t="n"/>
      <c r="D387" s="2" t="inlineStr">
        <is>
          <t>เลิกบุหรี่</t>
        </is>
      </c>
      <c r="E387" s="2" t="inlineStr">
        <is>
          <t>ไม่ออกกกำลังกาย</t>
        </is>
      </c>
      <c r="F387" s="2" t="inlineStr">
        <is>
          <t>หยุดการดื่มแอลกฮอล์</t>
        </is>
      </c>
      <c r="G387" s="2" t="inlineStr">
        <is>
          <t>คุมระดับความดัน</t>
        </is>
      </c>
      <c r="H387" s="2" t="inlineStr">
        <is>
          <t>ภาวะอ้วน</t>
        </is>
      </c>
      <c r="I387" s="8" t="inlineStr">
        <is>
          <t>1</t>
        </is>
      </c>
      <c r="J387" s="2" t="inlineStr">
        <is>
          <t>✅ คำตอบที่ถูกต้อง: ข้อ ก. เลิกบุหรี่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เลิกบุหรี่ การเลือก เลิกบุหรี่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(ไม่ออกกกำลังกาย): ข้อนี้ไม่ใช่คำตอบที่ถูกต้องสำหรับภาวะ General Therapeutics เนื่องจากกลไกการออกฤทธิ์, efficacy หรือข้อบ่งใช้ไม่ตรงกับโจทย์ที่กำหนด
• ข้อ ค. (หยุดการดื่มแอลกฮอล์): ข้อนี้ไม่ใช่คำตอบที่ถูกต้องสำหรับภาวะ General Therapeutics เนื่องจากกลไกการออกฤทธิ์, efficacy หรือข้อบ่งใช้ไม่ตรงกับโจทย์ที่กำหนด
• ข้อ ง. (คุมระดับความดัน): ข้อนี้ไม่ใช่คำตอบที่ถูกต้องสำหรับภาวะ General Therapeutics เนื่องจากกลไกการออกฤทธิ์, efficacy หรือข้อบ่งใช้ไม่ตรงกับโจทย์ที่กำหนด
• ข้อ จ. (ภาวะอ้วน):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7" s="2" t="n"/>
      <c r="L387" s="2" t="inlineStr">
        <is>
          <t>General Therapeutics</t>
        </is>
      </c>
      <c r="M387" s="2" t="inlineStr">
        <is>
          <t>Clinic</t>
        </is>
      </c>
      <c r="N387" s="2" t="inlineStr">
        <is>
          <t>ข้อ 4 (PLE_CC1_2562_Key.md)</t>
        </is>
      </c>
      <c r="O387" s="2" t="inlineStr">
        <is>
          <t>ข้อสอบจริง</t>
        </is>
      </c>
      <c r="P387" s="2" t="inlineStr">
        <is>
          <t>ปี 2562</t>
        </is>
      </c>
    </row>
    <row r="388" ht="13.2" customHeight="1" s="37">
      <c r="A388" s="8" t="inlineStr">
        <is>
          <t>409</t>
        </is>
      </c>
      <c r="B388" s="2" t="inlineStr">
        <is>
          <t>สารในข้อใดช่วยป้องกันการหืนในกระบวนการ oxidation ~ Eidsig-Alc hydro al ? X</t>
        </is>
      </c>
      <c r="C388" s="2" t="n"/>
      <c r="D388" s="2" t="inlineStr">
        <is>
          <t>Parabens</t>
        </is>
      </c>
      <c r="E388" s="2" t="inlineStr">
        <is>
          <t>Murcuric</t>
        </is>
      </c>
      <c r="F388" s="2" t="inlineStr">
        <is>
          <t>Citric acid</t>
        </is>
      </c>
      <c r="G388" s="2" t="inlineStr">
        <is>
          <t>Sodium benzoate</t>
        </is>
      </c>
      <c r="H388" s="2" t="inlineStr">
        <is>
          <t>Butyled hydroxyanisole สถานการณ์ที่ 2 X BHA ผู้ป่วยชาย มีอาการตาแดง ระคายเคืองตา มีขี้ตาสีเหลืองข้น เหนียว ลืมตาลำบากในตอนเช้า ไม่มีอาการคันตา มักจะสกปรกตลอด</t>
        </is>
      </c>
      <c r="I388" s="8" t="inlineStr">
        <is>
          <t>1</t>
        </is>
      </c>
      <c r="J388" s="2" t="inlineStr">
        <is>
          <t>✅ คำตอบที่ถูกต้อง: ข้อ ก. Parabens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Parabens 💡 คำอธิบายและเหตุผลทางเภสัชกรรม:
💡 คำอธิบายและเหตุผลทางเภสัชกรรม:
ผู้ป่วยลืมตาในน้ำและกิน antihistamine ไป 1 เม็ด แต่อาการไม่ดีขึ้น ดื่มเหล้าตามเทศกาล ไม่สูบบุหรี่ ทำงานซ่อมรถ มือ
USP/NF, British Pharmacopoeia (BP) และ Remington: The Science and Practice of Pharmacy (หัวข้อ Preformulation &amp; Stability)
🔍 ข้ออื่นผิดเพราะอะไร:
• ข้อ ข. (Murcuric): ข้อนี้ไม่ใช่คำตอบที่ถูกต้องสำหรับภาวะ Preformulation &amp; Stability เนื่องจากกลไกการออกฤทธิ์, efficacy หรือข้อบ่งใช้ไม่ตรงกับโจทย์ที่กำหนด
• ข้อ ค. (Citric acid): ข้อนี้ไม่ใช่คำตอบที่ถูกต้องสำหรับภาวะ Preformulation &amp; Stability เนื่องจากกลไกการออกฤทธิ์, efficacy หรือข้อบ่งใช้ไม่ตรงกับโจทย์ที่กำหนด
• ข้อ ง. (Sodium benzoate): ข้อนี้ไม่ใช่คำตอบที่ถูกต้องสำหรับภาวะ Preformulation &amp; Stability เนื่องจากกลไกการออกฤทธิ์, efficacy หรือข้อบ่งใช้ไม่ตรงกับโจทย์ที่กำหนด
• ข้อ จ. (Butyled hydroxyanisole สถานการณ์ที่ 2 X BHA ผู้ป่วยชาย มีอาการตาแดง ระคายเคืองตา มีขี้ตาสีเหลืองข้น เหนียว ลืมตาลำบากในตอนเช้า ไม่มีอาการคันตา มักจะสกปรกตลอด):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8" s="2" t="n"/>
      <c r="L388" s="2" t="inlineStr">
        <is>
          <t>Preformulation &amp; Stability</t>
        </is>
      </c>
      <c r="M388" s="2" t="inlineStr">
        <is>
          <t>Product</t>
        </is>
      </c>
      <c r="N388" s="2" t="inlineStr">
        <is>
          <t>ข้อ 9 (PLE_CC1_2562_Key.md)</t>
        </is>
      </c>
      <c r="O388" s="2" t="inlineStr">
        <is>
          <t>ข้อสอบจริง</t>
        </is>
      </c>
      <c r="P388" s="2" t="inlineStr">
        <is>
          <t>ปี 2562</t>
        </is>
      </c>
    </row>
    <row r="389" ht="13.2" customHeight="1" s="37">
      <c r="A389" s="8" t="inlineStr">
        <is>
          <t>410</t>
        </is>
      </c>
      <c r="B389" s="2" t="inlineStr">
        <is>
          <t>ผู้ป่วยรายนี้เป็นโรคใด ~</t>
        </is>
      </c>
      <c r="C389" s="2" t="n"/>
      <c r="D389" s="2" t="inlineStr">
        <is>
          <t>Glaucoma</t>
        </is>
      </c>
      <c r="E389" s="2" t="inlineStr">
        <is>
          <t>Allergic conjunctivitis</t>
        </is>
      </c>
      <c r="F389" s="2" t="inlineStr">
        <is>
          <t>Bacterial conjunctivitis</t>
        </is>
      </c>
      <c r="G389" s="2" t="inlineStr">
        <is>
          <t>Viral conjunctivitis</t>
        </is>
      </c>
      <c r="H389" s="2" t="inlineStr">
        <is>
          <t>Hordeolum</t>
        </is>
      </c>
      <c r="I389" s="8" t="inlineStr">
        <is>
          <t>1</t>
        </is>
      </c>
      <c r="J389" s="2" t="inlineStr">
        <is>
          <t>✅ คำตอบที่ถูกต้อง: ข้อ ก. Glaucoma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Glaucoma การเลือก Glaucoma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(Allergic conjunctivitis): ข้อนี้ไม่ใช่คำตอบที่ถูกต้องสำหรับภาวะ General Therapeutics เนื่องจากกลไกการออกฤทธิ์, efficacy หรือข้อบ่งใช้ไม่ตรงกับโจทย์ที่กำหนด
• ข้อ ค. (Bacterial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ง. (Viral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จ. (Hordeolum):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9" s="2" t="n"/>
      <c r="L389" s="2" t="inlineStr">
        <is>
          <t>General Therapeutics</t>
        </is>
      </c>
      <c r="M389" s="2" t="inlineStr">
        <is>
          <t>Clinic</t>
        </is>
      </c>
      <c r="N389" s="2" t="inlineStr">
        <is>
          <t>ข้อ 10 (PLE_CC1_2562_Key.md)</t>
        </is>
      </c>
      <c r="O389" s="2" t="inlineStr">
        <is>
          <t>ข้อสอบจริง</t>
        </is>
      </c>
      <c r="P389" s="2" t="inlineStr">
        <is>
          <t>ปี 2562</t>
        </is>
      </c>
    </row>
    <row r="390" ht="13.2" customHeight="1" s="37">
      <c r="A390" s="8" t="inlineStr">
        <is>
          <t>411</t>
        </is>
      </c>
      <c r="B390" s="2" t="inlineStr">
        <is>
          <t>ข้อใดเป็นการใช้คอนแทคเลนส์อย่างถูกต้อง &amp; u 30s ribosome new irreversible -</t>
        </is>
      </c>
      <c r="C390" s="2" t="n"/>
      <c r="D390" s="2" t="inlineStr">
        <is>
          <t>ใส่คอนแทคเลนส์ว่ายน้ำได้</t>
        </is>
      </c>
      <c r="E390" s="2" t="inlineStr">
        <is>
          <t>ถอนคอนแทคเลนส์ก่อนใช้ยาป้ายตา</t>
        </is>
      </c>
      <c r="F390" s="2" t="inlineStr">
        <is>
          <t>ไม่ต้องถอดคอนแทคเลนส์ก่อนนอน</t>
        </is>
      </c>
      <c r="G390" s="2" t="inlineStr">
        <is>
          <t>เปลี่ยนน้ำยาแช่คอนแทคเลนส์สัปดาห์ละครั้ง</t>
        </is>
      </c>
      <c r="H390" s="2" t="inlineStr">
        <is>
          <t>ใช้น้ำเปล่าแช่คอนแทคเลนส์แทนน้ำยาล้างคอนแทคเลนส์</t>
        </is>
      </c>
      <c r="I390" s="8" t="inlineStr">
        <is>
          <t>1</t>
        </is>
      </c>
      <c r="J390" s="2" t="inlineStr">
        <is>
          <t>✅ คำตอบที่ถูกต้อง: ข้อ ก. ใส่คอนแทคเลนส์ว่ายน้ำได้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ใส่คอนแทคเลนส์ว่ายน้ำได้ การเลือก ใส่คอนแทคเลนส์ว่ายน้ำได้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(ถอนคอนแทคเลนส์ก่อนใช้ยาป้ายตา): ข้อนี้ไม่ใช่คำตอบที่ถูกต้องสำหรับภาวะ General Therapeutics เนื่องจากกลไกการออกฤทธิ์, efficacy หรือข้อบ่งใช้ไม่ตรงกับโจทย์ที่กำหนด
• ข้อ ค. (ไม่ต้องถอดคอนแทคเลนส์ก่อนนอน): ข้อนี้ไม่ใช่คำตอบที่ถูกต้องสำหรับภาวะ General Therapeutics เนื่องจากกลไกการออกฤทธิ์, efficacy หรือข้อบ่งใช้ไม่ตรงกับโจทย์ที่กำหนด
• ข้อ ง. (เปลี่ยนน้ำยาแช่คอนแทคเลนส์สัปดาห์ละครั้ง): ข้อนี้ไม่ใช่คำตอบที่ถูกต้องสำหรับภาวะ General Therapeutics เนื่องจากกลไกการออกฤทธิ์, efficacy หรือข้อบ่งใช้ไม่ตรงกับโจทย์ที่กำหนด
• ข้อ จ. (ใช้น้ำเปล่าแช่คอนแทคเลนส์แทนน้ำยาล้างคอนแทคเลนส์):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0" s="2" t="n"/>
      <c r="L390" s="2" t="inlineStr">
        <is>
          <t>General Therapeutics</t>
        </is>
      </c>
      <c r="M390" s="2" t="inlineStr">
        <is>
          <t>Clinic</t>
        </is>
      </c>
      <c r="N390" s="2" t="inlineStr">
        <is>
          <t>ข้อ 14 (PLE_CC1_2562_Key.md)</t>
        </is>
      </c>
      <c r="O390" s="2" t="inlineStr">
        <is>
          <t>ข้อสอบจริง</t>
        </is>
      </c>
      <c r="P390" s="2" t="inlineStr">
        <is>
          <t>ปี 2562</t>
        </is>
      </c>
    </row>
    <row r="391" ht="13.2" customHeight="1" s="37">
      <c r="A391" s="8" t="inlineStr">
        <is>
          <t>412</t>
        </is>
      </c>
      <c r="B391" s="2" t="inlineStr">
        <is>
          <t>สารใดเป็น preservative ในน้ำยาแช่คอนแทคเลนส์ L thickening Binage immense ~ hydroxypropyl weseislerin Y</t>
        </is>
      </c>
      <c r="C391" s="2" t="n"/>
      <c r="D391" s="2" t="inlineStr">
        <is>
          <t>Polyqualium-1</t>
        </is>
      </c>
      <c r="E391" s="2" t="inlineStr">
        <is>
          <t>Potassium chloride</t>
        </is>
      </c>
      <c r="F391" s="2" t="inlineStr">
        <is>
          <t>Calcium chloride</t>
        </is>
      </c>
      <c r="G391" s="2" t="inlineStr">
        <is>
          <t>Citric acid</t>
        </is>
      </c>
      <c r="H391" s="2" t="inlineStr">
        <is>
          <t>Hydroxypropyl guar สถานการณ์ที่ 3 O (polyquada) preservative now detergent inde &lt; benzalconium Cl X ผู้ป่วยชายอายุ 45 ปี หนัก 50 kg สูง 150 cmมาด้วยอาการตาบวม ตาปิด หลังทาน metformin และ naproxen 30 นาที ก่อนหน้านี้ 1 วัน ไปหาหมอด้วยอาการปวดข้ออักเสบรูมาตอยด์ จากการซักประวัติพบว่า DM 2 ปี DLP 2 ปี และ RA 3 เดือน ยาที่รับประทาน MFM 500 mg 1x1, simvastatin 20 mg 1xhs มานานแล้ว BP 130/70 mmHg PR 72 bpm RR 20/min sulfonamide E EM rash -SJS, TEN NSAIDs Kraibdissonansne (2 nodsi</t>
        </is>
      </c>
      <c r="I391" s="8" t="inlineStr">
        <is>
          <t>1</t>
        </is>
      </c>
      <c r="J391" s="2" t="inlineStr">
        <is>
          <t>✅ คำตอบที่ถูกต้อง: ข้อ ก. Polyqualium-1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Polyqualium-1 All: sulfazalazine (EM rash), 2 เดือนก่อนหน้านี้ไปซื้อยา diclofenac piroxicam มีอาการปากบวม ตาบวมเช่นกัน
🔍 ข้ออื่นผิดเพราะอะไร:
• ข้อ ข. (Potassium chloride): ข้อนี้ไม่ใช่คำตอบที่ถูกต้องสำหรับภาวะ General Therapeutics เนื่องจากกลไกการออกฤทธิ์, efficacy หรือข้อบ่งใช้ไม่ตรงกับโจทย์ที่กำหนด
• ข้อ ค. (Calcium chloride): ข้อนี้ไม่ใช่คำตอบที่ถูกต้องสำหรับภาวะ General Therapeutics เนื่องจากกลไกการออกฤทธิ์, efficacy หรือข้อบ่งใช้ไม่ตรงกับโจทย์ที่กำหนด
• ข้อ ง. (Citric acid): ข้อนี้ไม่ใช่คำตอบที่ถูกต้องสำหรับภาวะ General Therapeutics เนื่องจากกลไกการออกฤทธิ์, efficacy หรือข้อบ่งใช้ไม่ตรงกับโจทย์ที่กำหนด
• ข้อ จ. (Hydroxypropyl guar สถานการณ์ที่ 3 O (polyquada) preservative now detergent inde &lt; benzalconium Cl X ผู้ป่วยชายอายุ 45 ปี หนัก 50 kg สูง 150 cmมาด้วยอาการตาบวม ตาปิด หลังทาน metformin และ naproxen 30 นาที ก่อนหน้านี้ 1 วัน ไปหาหมอด้วยอาการปวดข้ออักเสบรูมาตอยด์ จากการซักประวัติพบว่า DM 2 ปี DLP 2 ปี และ RA 3 เดือน ยาที่รับประทาน MFM 500 mg 1x1, simvastatin 20 mg 1xhs มานานแล้ว BP 130/70 mmHg PR 72 bpm RR 20/min sulfonamide E EM rash -SJS, TEN NSAIDs Kraibdissonansne (2 nodsi): เป็น non-selective NSAID ที่มี cardiovascular safety profile ดีที่สุด และมี efficacy สูงในการระงับ acute inflammation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1" s="2" t="n"/>
      <c r="L391" s="2" t="inlineStr">
        <is>
          <t>General Therapeutics</t>
        </is>
      </c>
      <c r="M391" s="2" t="inlineStr">
        <is>
          <t>Clinic</t>
        </is>
      </c>
      <c r="N391" s="2" t="inlineStr">
        <is>
          <t>ข้อ 20 (PLE_CC1_2562_Key.md)</t>
        </is>
      </c>
      <c r="O391" s="2" t="inlineStr">
        <is>
          <t>ข้อสอบจริง</t>
        </is>
      </c>
      <c r="P391" s="2" t="inlineStr">
        <is>
          <t>ปี 2562</t>
        </is>
      </c>
    </row>
    <row r="392" ht="13.2" customHeight="1" s="37">
      <c r="A392" s="8" t="inlineStr">
        <is>
          <t>413</t>
        </is>
      </c>
      <c r="B392" s="2" t="inlineStr">
        <is>
          <t>ผู้ป่วยแพ้ยาลักษณะดังกล่าวควรให้การรักษาอย่างไร</t>
        </is>
      </c>
      <c r="C392" s="2" t="n"/>
      <c r="D392" s="2" t="inlineStr">
        <is>
          <t>ให้ atropine</t>
        </is>
      </c>
      <c r="E392" s="2" t="inlineStr">
        <is>
          <t>ให้ dopamine</t>
        </is>
      </c>
      <c r="F392" s="2" t="inlineStr">
        <is>
          <t>ให้ prednisolone</t>
        </is>
      </c>
      <c r="G392" s="2" t="inlineStr">
        <is>
          <t>ประคบเย็น</t>
        </is>
      </c>
      <c r="H392" s="2" t="inlineStr">
        <is>
          <t>ทาคาลาไมด์</t>
        </is>
      </c>
      <c r="I392" s="8" t="inlineStr">
        <is>
          <t>1</t>
        </is>
      </c>
      <c r="J392" s="2" t="inlineStr">
        <is>
          <t>✅ คำตอบที่ถูกต้อง: ข้อ ก. ให้ atropine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ให้ atropine การเลือก ให้ atropine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(ให้ dopamine): ข้อนี้ไม่ใช่คำตอบที่ถูกต้องสำหรับภาวะ Allergy &amp; Immunology เนื่องจากกลไกการออกฤทธิ์, efficacy หรือข้อบ่งใช้ไม่ตรงกับโจทย์ที่กำหนด
• ข้อ ค. (ให้ prednisolone): เป็น intermediate-acting systemic corticosteroid ขนาดยอดนิยมสำหรับ immunosuppressive &amp; anti-inflammatory therapy ต้องระวัง Cushingoid, infection, osteoporosis, peptic ulcer
• ข้อ ง. (ประคบเย็น): ข้อนี้ไม่ใช่คำตอบที่ถูกต้องสำหรับภาวะ Allergy &amp; Immunology เนื่องจากกลไกการออกฤทธิ์, efficacy หรือข้อบ่งใช้ไม่ตรงกับโจทย์ที่กำหนด
• ข้อ จ. (ทาคาลาไมด์):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392" s="2" t="n"/>
      <c r="L392" s="2" t="inlineStr">
        <is>
          <t>Allergy &amp; Immunology</t>
        </is>
      </c>
      <c r="M392" s="2" t="inlineStr">
        <is>
          <t>Clinic</t>
        </is>
      </c>
      <c r="N392" s="2" t="inlineStr">
        <is>
          <t>ข้อ 23 (PLE_CC1_2562_Key.md)</t>
        </is>
      </c>
      <c r="O392" s="2" t="inlineStr">
        <is>
          <t>ข้อสอบจริง</t>
        </is>
      </c>
      <c r="P392" s="2" t="inlineStr">
        <is>
          <t>ปี 2562</t>
        </is>
      </c>
    </row>
    <row r="393" ht="13.2" customHeight="1" s="37">
      <c r="A393" s="8" t="inlineStr">
        <is>
          <t>414</t>
        </is>
      </c>
      <c r="B393" s="2" t="inlineStr">
        <is>
          <t>ถ้าจะใช้ prednisolone แทน dexamethasone สามารถทำได้หรือไม่ X</t>
        </is>
      </c>
      <c r="C393" s="2" t="n"/>
      <c r="D393" s="2" t="inlineStr">
        <is>
          <t>ทำไม่ได้ ยาคนละรูปแบบกัน</t>
        </is>
      </c>
      <c r="E393" s="2" t="inlineStr">
        <is>
          <t>ทำไม่ได้ ยา half life ไม่เท่ากัน</t>
        </is>
      </c>
      <c r="F393" s="2" t="inlineStr">
        <is>
          <t>ทำไม่ได้ ยา potency ไม่เท่ากัน</t>
        </is>
      </c>
      <c r="G393" s="2" t="inlineStr">
        <is>
          <t>ทำได้ แต่ต้องตรวจสอบให้ได้ยามิลลิกรัมเท่ากัน</t>
        </is>
      </c>
      <c r="H393" s="2" t="inlineStr">
        <is>
          <t>ทำได้ โดยขนาดยา prednisolone จะเป็นประมาณ 7 เท่าของ dexamethasone 100/66 mmHg, HR 86 bpm, RR 20/min, Temp 38 องศาเซลเซียส X 0 .75 - 70% 5 sulfonamide D</t>
        </is>
      </c>
      <c r="I393" s="8" t="inlineStr">
        <is>
          <t>1</t>
        </is>
      </c>
      <c r="J393" s="2" t="inlineStr">
        <is>
          <t>✅ คำตอบที่ถูกต้อง: ข้อ ก. ทำไม่ได้ ยาคนละรูปแบบกัน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ทำไม่ได้ ยาคนละรูปแบบกัน ต่อมาผู้ป่วยมีไข้ เสมหะเขียวข้น เจ็บคอ จึงไปซื้อยา paracetamol, cotrimoxazole, cetirizine, bromhexine มารับประทานเอง จากนั้น 2 วัน มีผื่นแดงราบขึ้นตามตัว มีไข้ ไอ เจ็บคอ ปวดข้อ ปวดกล้ามเนื้อ และมีผิวหนังหลุดลอก บริเวณเยื่อบุตามร่างกายบริเวณริมฝีปากและเยื่อบุช่องปาก โดยมี skin detachment 10% ของ body surface area, BP
🔍 ข้ออื่นผิดเพราะอะไร:
• ข้อ ข. (ทำไม่ได้ ยา half life ไม่เท่ากัน): ข้อนี้ไม่ใช่คำตอบที่ถูกต้องสำหรับภาวะ Allergy &amp; Immunology เนื่องจากกลไกการออกฤทธิ์, efficacy หรือข้อบ่งใช้ไม่ตรงกับโจทย์ที่กำหนด
• ข้อ ค. (ทำไม่ได้ ยา potency ไม่เท่ากัน): ข้อนี้ไม่ใช่คำตอบที่ถูกต้องสำหรับภาวะ Allergy &amp; Immunology เนื่องจากกลไกการออกฤทธิ์, efficacy หรือข้อบ่งใช้ไม่ตรงกับโจทย์ที่กำหนด
• ข้อ ง. (ทำได้ แต่ต้องตรวจสอบให้ได้ยามิลลิกรัมเท่ากัน): ข้อนี้ไม่ใช่คำตอบที่ถูกต้องสำหรับภาวะ Allergy &amp; Immunology เนื่องจากกลไกการออกฤทธิ์, efficacy หรือข้อบ่งใช้ไม่ตรงกับโจทย์ที่กำหนด
• ข้อ จ. (ทำได้ โดยขนาดยา prednisolone จะเป็นประมาณ 7 เท่าของ dexamethasone 100/66 mmHg, HR 86 bpm, RR 20/min, Temp 38 องศาเซลเซียส X 0 .75 - 70% 5 sulfonamide D): เป็น long-acting potent glucocorticoid ไม่มี mineralocorticoid effect จึงไม่ทำให้น้ำคั่ง เหมาะสำหรับ brain edema, antiemetic, และ COVID-19 with hypoxemia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93" s="2" t="n"/>
      <c r="L393" s="2" t="inlineStr">
        <is>
          <t>Allergy &amp; Immunology</t>
        </is>
      </c>
      <c r="M393" s="2" t="inlineStr">
        <is>
          <t>Clinic</t>
        </is>
      </c>
      <c r="N393" s="2" t="inlineStr">
        <is>
          <t>ข้อ 24 (PLE_CC1_2562_Key.md)</t>
        </is>
      </c>
      <c r="O393" s="2" t="inlineStr">
        <is>
          <t>ข้อสอบจริง</t>
        </is>
      </c>
      <c r="P393" s="2" t="inlineStr">
        <is>
          <t>ปี 2562</t>
        </is>
      </c>
    </row>
    <row r="394" ht="13.2" customHeight="1" s="37">
      <c r="A394" s="8" t="inlineStr">
        <is>
          <t>415</t>
        </is>
      </c>
      <c r="B394" s="2" t="inlineStr">
        <is>
          <t>อาการไม่พึงประสงค์ดังกล่าวคือ M1227 - ↓ ~ oima</t>
        </is>
      </c>
      <c r="C394" s="2" t="n"/>
      <c r="D394" s="2" t="inlineStr">
        <is>
          <t>MP rash</t>
        </is>
      </c>
      <c r="E394" s="2" t="inlineStr">
        <is>
          <t>Anaphylaxis</t>
        </is>
      </c>
      <c r="F394" s="2" t="inlineStr">
        <is>
          <t>SJS</t>
        </is>
      </c>
      <c r="G394" s="2" t="inlineStr">
        <is>
          <t>TEN</t>
        </is>
      </c>
      <c r="H394" s="2" t="inlineStr">
        <is>
          <t>AGEP</t>
        </is>
      </c>
      <c r="I394" s="8" t="inlineStr">
        <is>
          <t>1</t>
        </is>
      </c>
      <c r="J394" s="2" t="inlineStr">
        <is>
          <t>✅ คำตอบที่ถูกต้อง: ข้อ ก. MP rash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MP rash การเลือก MP rash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(Anaphylaxis): ข้อนี้ไม่ใช่คำตอบที่ถูกต้องสำหรับภาวะ General Therapeutics เนื่องจากกลไกการออกฤทธิ์, efficacy หรือข้อบ่งใช้ไม่ตรงกับโจทย์ที่กำหนด
• ข้อ ค. (SJS): ข้อนี้ไม่ใช่คำตอบที่ถูกต้องสำหรับภาวะ General Therapeutics เนื่องจากกลไกการออกฤทธิ์, efficacy หรือข้อบ่งใช้ไม่ตรงกับโจทย์ที่กำหนด
• ข้อ ง. (TEN): ข้อนี้ไม่ใช่คำตอบที่ถูกต้องสำหรับภาวะ General Therapeutics เนื่องจากกลไกการออกฤทธิ์, efficacy หรือข้อบ่งใช้ไม่ตรงกับโจทย์ที่กำหนด
• ข้อ จ. (AGEP):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4" s="2" t="n"/>
      <c r="L394" s="2" t="inlineStr">
        <is>
          <t>General Therapeutics</t>
        </is>
      </c>
      <c r="M394" s="2" t="inlineStr">
        <is>
          <t>Clinic</t>
        </is>
      </c>
      <c r="N394" s="2" t="inlineStr">
        <is>
          <t>ข้อ 25 (PLE_CC1_2562_Key.md)</t>
        </is>
      </c>
      <c r="O394" s="2" t="inlineStr">
        <is>
          <t>ข้อสอบจริง</t>
        </is>
      </c>
      <c r="P394" s="2" t="inlineStr">
        <is>
          <t>ปี 2562</t>
        </is>
      </c>
    </row>
    <row r="395" ht="13.2" customHeight="1" s="37">
      <c r="A395" s="8" t="inlineStr">
        <is>
          <t>416</t>
        </is>
      </c>
      <c r="B395" s="2" t="inlineStr">
        <is>
          <t>จากเหตุการณ์ดังกล่าว ทางคณะเภสัชกรรมและการบำบัดของโรงพยาบาลจึงกำหนดให้มีระบบแจ้งเตือนแพ้ยาใน - prodome X L 10 % herwise. 30 % 3 - 58 PTC ~ คอมพิวเตอร์ทุกครั้งหลังผู้ป่วยออกจากโรงพยาบาล กระบวนการดังกล่าวถือเป็นการจัดการความเสี่ยงแบบใด</t>
        </is>
      </c>
      <c r="C395" s="2" t="n"/>
      <c r="D395" s="2" t="inlineStr">
        <is>
          <t>การสร้างบริบทในองค์กร</t>
        </is>
      </c>
      <c r="E395" s="2" t="inlineStr">
        <is>
          <t>การระบุความเสี่ยง</t>
        </is>
      </c>
      <c r="F395" s="2" t="inlineStr">
        <is>
          <t>การวิเคราะห์ความเสี่ยง</t>
        </is>
      </c>
      <c r="G395" s="2" t="inlineStr">
        <is>
          <t>การประเมินความเสี่ยง</t>
        </is>
      </c>
      <c r="H395" s="2" t="inlineStr">
        <is>
          <t>การรักษา บรรเทาและลดความเสี่ยง</t>
        </is>
      </c>
      <c r="I395" s="8" t="inlineStr">
        <is>
          <t>1</t>
        </is>
      </c>
      <c r="J395" s="2" t="inlineStr">
        <is>
          <t>✅ คำตอบที่ถูกต้อง: ข้อ ก. การสร้างบริบทในองค์กร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การสร้างบริบทในองค์กร การเลือก การสร้างบริบทในองค์กร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(การระบุความเสี่ยง): ข้อนี้ไม่ใช่คำตอบที่ถูกต้องสำหรับภาวะ Allergy &amp; Immunology เนื่องจากกลไกการออกฤทธิ์, efficacy หรือข้อบ่งใช้ไม่ตรงกับโจทย์ที่กำหนด
• ข้อ ค. (การวิเคราะห์ความเสี่ยง): ข้อนี้ไม่ใช่คำตอบที่ถูกต้องสำหรับภาวะ Allergy &amp; Immunology เนื่องจากกลไกการออกฤทธิ์, efficacy หรือข้อบ่งใช้ไม่ตรงกับโจทย์ที่กำหนด
• ข้อ ง. (การประเมินความเสี่ยง): ข้อนี้ไม่ใช่คำตอบที่ถูกต้องสำหรับภาวะ Allergy &amp; Immunology เนื่องจากกลไกการออกฤทธิ์, efficacy หรือข้อบ่งใช้ไม่ตรงกับโจทย์ที่กำหนด
• ข้อ จ. (การรักษา บรรเทาและลดความเสี่ยง):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5" s="2" t="n"/>
      <c r="L395" s="2" t="inlineStr">
        <is>
          <t>Allergy &amp; Immunology</t>
        </is>
      </c>
      <c r="M395" s="2" t="inlineStr">
        <is>
          <t>Clinic</t>
        </is>
      </c>
      <c r="N395" s="2" t="inlineStr">
        <is>
          <t>ข้อ 26 (PLE_CC1_2562_Key.md)</t>
        </is>
      </c>
      <c r="O395" s="2" t="inlineStr">
        <is>
          <t>ข้อสอบจริง</t>
        </is>
      </c>
      <c r="P395" s="2" t="inlineStr">
        <is>
          <t>ปี 2562</t>
        </is>
      </c>
    </row>
    <row r="396" ht="13.2" customHeight="1" s="37">
      <c r="A396" s="8" t="inlineStr">
        <is>
          <t>417</t>
        </is>
      </c>
      <c r="B396" s="2" t="inlineStr">
        <is>
          <t>ยาใดที่เหมาะสมกับการลดการปวดรูมาตอยด์ในผู้ป่วยรายนี้</t>
        </is>
      </c>
      <c r="C396" s="2" t="n"/>
      <c r="D396" s="2" t="inlineStr">
        <is>
          <t>Ketoprofen</t>
        </is>
      </c>
      <c r="E396" s="2" t="inlineStr">
        <is>
          <t>Etoricoxib</t>
        </is>
      </c>
      <c r="F396" s="2" t="inlineStr">
        <is>
          <t>Naproxen</t>
        </is>
      </c>
      <c r="G396" s="2" t="inlineStr">
        <is>
          <t>Mefenamic acid</t>
        </is>
      </c>
      <c r="H396" s="2" t="inlineStr">
        <is>
          <t>Ibuprofen</t>
        </is>
      </c>
      <c r="I396" s="8" t="inlineStr">
        <is>
          <t>1</t>
        </is>
      </c>
      <c r="J396" s="2" t="inlineStr">
        <is>
          <t>✅ คำตอบที่ถูกต้อง: ข้อ ก. Ketoprofen
💡 Background:
โรคข้ออักเสบรูมาตอยด์ (RA) เป็น systemic autoimmune disease ต้องรีบเริ่ม DMARDs ทันทีเพื่อป้องกัน joint destruction
🎯 ทำไมข้อนี้ถึงถูก:
Ketoprofen การเลือก Ketoprofen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(Etoricoxib): เป็น selective COX-2 inhibitor ออกฤทธิ์เร็วและยาวนาน (OD) แต่มี contraindication ในผู้ป่วย uncontrolled hypertension (BP &gt; 140/90 mmHg)
• ข้อ ค. (Naproxen): เป็น non-selective NSAID ที่มี cardiovascular safety profile ดีที่สุด และมี efficacy สูงในการระงับ acute inflammation
• ข้อ ง. (Mefenamic acid): ข้อนี้ไม่ใช่คำตอบที่ถูกต้องสำหรับภาวะ Musculoskeletal &amp; Joint เนื่องจากกลไกการออกฤทธิ์, efficacy หรือข้อบ่งใช้ไม่ตรงกับโจทย์ที่กำหนด
• ข้อ จ.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Evidence-Based Selection: ยึดหลักแนวทางเวชปฏิบัติมาตรฐานของภาวะ Musculoskeletal &amp; Joint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6" s="2" t="n"/>
      <c r="L396" s="2" t="inlineStr">
        <is>
          <t>Musculoskeletal &amp; Joint</t>
        </is>
      </c>
      <c r="M396" s="2" t="inlineStr">
        <is>
          <t>Clinic</t>
        </is>
      </c>
      <c r="N396" s="2" t="inlineStr">
        <is>
          <t>ข้อ 28 (PLE_CC1_2562_Key.md)</t>
        </is>
      </c>
      <c r="O396" s="2" t="inlineStr">
        <is>
          <t>ข้อสอบจริง</t>
        </is>
      </c>
      <c r="P396" s="2" t="inlineStr">
        <is>
          <t>ปี 2562</t>
        </is>
      </c>
    </row>
    <row r="397" ht="13.2" customHeight="1" s="37">
      <c r="A397" s="8" t="inlineStr">
        <is>
          <t>418</t>
        </is>
      </c>
      <c r="B397" s="2" t="inlineStr">
        <is>
          <t>ผู้ป่วยมีความผิดปกติอิเล็กทรอไลต์ ควรหลีกเลี่ยงอาหารประเภทใด dire &amp;Giddin 5. 5 A</t>
        </is>
      </c>
      <c r="C397" s="2" t="n"/>
      <c r="D397" s="2" t="inlineStr">
        <is>
          <t>วุ้นเส้น</t>
        </is>
      </c>
      <c r="E397" s="2" t="inlineStr">
        <is>
          <t>ผักกาดขาว</t>
        </is>
      </c>
      <c r="F397" s="2" t="inlineStr">
        <is>
          <t>น้ำเต้าหู้</t>
        </is>
      </c>
      <c r="G397" s="2" t="inlineStr">
        <is>
          <t>มะละกอ</t>
        </is>
      </c>
      <c r="H397" s="2" t="inlineStr">
        <is>
          <t>ไข่ขาว</t>
        </is>
      </c>
      <c r="I397" s="8" t="inlineStr">
        <is>
          <t>1</t>
        </is>
      </c>
      <c r="J397" s="2" t="inlineStr">
        <is>
          <t>✅ คำตอบที่ถูกต้อง: ข้อ ก. วุ้นเส้น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วุ้นเส้น การเลือก วุ้นเส้น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(ผักกาดขาว): ข้อนี้ไม่ใช่คำตอบที่ถูกต้องสำหรับภาวะ General Therapeutics เนื่องจากกลไกการออกฤทธิ์, efficacy หรือข้อบ่งใช้ไม่ตรงกับโจทย์ที่กำหนด
• ข้อ ค. (น้ำเต้าหู้): ข้อนี้ไม่ใช่คำตอบที่ถูกต้องสำหรับภาวะ General Therapeutics เนื่องจากกลไกการออกฤทธิ์, efficacy หรือข้อบ่งใช้ไม่ตรงกับโจทย์ที่กำหนด
• ข้อ ง. (มะละกอ): ข้อนี้ไม่ใช่คำตอบที่ถูกต้องสำหรับภาวะ General Therapeutics เนื่องจากกลไกการออกฤทธิ์, efficacy หรือข้อบ่งใช้ไม่ตรงกับโจทย์ที่กำหนด
• ข้อ จ. (ไข่ขาว):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7" s="2" t="n"/>
      <c r="L397" s="2" t="inlineStr">
        <is>
          <t>General Therapeutics</t>
        </is>
      </c>
      <c r="M397" s="2" t="inlineStr">
        <is>
          <t>Clinic</t>
        </is>
      </c>
      <c r="N397" s="2" t="inlineStr">
        <is>
          <t>ข้อ 34 (PLE_CC1_2562_Key.md)</t>
        </is>
      </c>
      <c r="O397" s="2" t="inlineStr">
        <is>
          <t>ข้อสอบจริง</t>
        </is>
      </c>
      <c r="P397" s="2" t="inlineStr">
        <is>
          <t>ปี 2562</t>
        </is>
      </c>
    </row>
    <row r="398" ht="13.2" customHeight="1" s="37">
      <c r="A398" s="8" t="inlineStr">
        <is>
          <t>419</t>
        </is>
      </c>
      <c r="B398" s="2" t="inlineStr">
        <is>
          <t>จงหา corrected Na+ เมื่อ FBS &gt; 100mg/dl (น้ำตาลที่เพิ่มขึ้นทุกๆ 100 mg/dl จะส่งผลให้ sodiumที่วัดได้ 1000 - = 0 . 667 = 66 . 7 % 30x50 = 1500 Lecal/day 1500 X &amp;was got site ooolcal xo ลดลง 1.6 mEq/L)</t>
        </is>
      </c>
      <c r="C398" s="2" t="n"/>
      <c r="D398" s="8" t="inlineStr">
        <is>
          <t>125.2</t>
        </is>
      </c>
      <c r="E398" s="8" t="inlineStr">
        <is>
          <t>126.8</t>
        </is>
      </c>
      <c r="F398" s="8" t="inlineStr">
        <is>
          <t>128.4</t>
        </is>
      </c>
      <c r="G398" s="8" t="inlineStr">
        <is>
          <t>133.2</t>
        </is>
      </c>
      <c r="H398" s="8" t="inlineStr">
        <is>
          <t>134.8</t>
        </is>
      </c>
      <c r="I398" s="8" t="inlineStr">
        <is>
          <t>1</t>
        </is>
      </c>
      <c r="J398" s="2" t="inlineStr">
        <is>
          <t>✅ คำตอบที่ถูกต้อง: ข้อ ก. 125.2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125.2 💡 คำอธิบายและเหตุผลทางเภสัชกรรม:
💡 คำอธิบายและเหตุผลทางเภสัชกรรม:
การเลือก 125.2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(126.8): ข้อนี้ไม่ใช่คำตอบที่ถูกต้องสำหรับภาวะ Pharmaceutical Calculations เนื่องจากกลไกการออกฤทธิ์, efficacy หรือข้อบ่งใช้ไม่ตรงกับโจทย์ที่กำหนด
• ข้อ ค. (128.4): ข้อนี้ไม่ใช่คำตอบที่ถูกต้องสำหรับภาวะ Pharmaceutical Calculations เนื่องจากกลไกการออกฤทธิ์, efficacy หรือข้อบ่งใช้ไม่ตรงกับโจทย์ที่กำหนด
• ข้อ ง. (133.2): ข้อนี้ไม่ใช่คำตอบที่ถูกต้องสำหรับภาวะ Pharmaceutical Calculations เนื่องจากกลไกการออกฤทธิ์, efficacy หรือข้อบ่งใช้ไม่ตรงกับโจทย์ที่กำหนด
• ข้อ จ. (134.8):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8" s="2" t="n"/>
      <c r="L398" s="2" t="inlineStr">
        <is>
          <t>Pharmaceutical Calculations</t>
        </is>
      </c>
      <c r="M398" s="2" t="inlineStr">
        <is>
          <t>Product</t>
        </is>
      </c>
      <c r="N398" s="2" t="inlineStr">
        <is>
          <t>ข้อ 36 (PLE_CC1_2562_Key.md)</t>
        </is>
      </c>
      <c r="O398" s="2" t="inlineStr">
        <is>
          <t>ข้อสอบจริง</t>
        </is>
      </c>
      <c r="P398" s="2" t="inlineStr">
        <is>
          <t>ปี 2562</t>
        </is>
      </c>
    </row>
    <row r="399" ht="13.2" customHeight="1" s="37">
      <c r="A399" s="8" t="inlineStr">
        <is>
          <t>420</t>
        </is>
      </c>
      <c r="B399" s="2" t="inlineStr">
        <is>
          <t>Z Oin 100 X corrected Nat 130 - 3 . 2 = 126 . 8 ิlitavon my 100 Multic g corrected Na</t>
        </is>
      </c>
      <c r="C399" s="2" t="n"/>
      <c r="D399" s="2" t="inlineStr">
        <is>
          <t>ขนดก</t>
        </is>
      </c>
      <c r="E399" s="2" t="inlineStr">
        <is>
          <t>แผลหายช้า</t>
        </is>
      </c>
      <c r="F399" s="2" t="inlineStr">
        <is>
          <t>ท้องผูก</t>
        </is>
      </c>
      <c r="G399" s="2" t="inlineStr">
        <is>
          <t>โลหิตจาง</t>
        </is>
      </c>
      <c r="H399" s="2" t="inlineStr">
        <is>
          <t>น้ำหนักเพิ่ม</t>
        </is>
      </c>
      <c r="I399" s="8" t="inlineStr">
        <is>
          <t>1</t>
        </is>
      </c>
      <c r="J399" s="2" t="inlineStr">
        <is>
          <t>✅ คำตอบที่ถูกต้อง: ข้อ ก. ขนดก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ขนดก การเลือก ขนดก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(แผลหายช้า): ข้อนี้ไม่ใช่คำตอบที่ถูกต้องสำหรับภาวะ General Therapeutics เนื่องจากกลไกการออกฤทธิ์, efficacy หรือข้อบ่งใช้ไม่ตรงกับโจทย์ที่กำหนด
• ข้อ ค. (ท้องผูก): ข้อนี้ไม่ใช่คำตอบที่ถูกต้องสำหรับภาวะ General Therapeutics เนื่องจากกลไกการออกฤทธิ์, efficacy หรือข้อบ่งใช้ไม่ตรงกับโจทย์ที่กำหนด
• ข้อ ง. (โลหิตจาง): ข้อนี้ไม่ใช่คำตอบที่ถูกต้องสำหรับภาวะ General Therapeutics เนื่องจากกลไกการออกฤทธิ์, efficacy หรือข้อบ่งใช้ไม่ตรงกับโจทย์ที่กำหนด
• ข้อ จ. (น้ำหนักเพิ่ม):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9" s="2" t="n"/>
      <c r="L399" s="2" t="inlineStr">
        <is>
          <t>General Therapeutics</t>
        </is>
      </c>
      <c r="M399" s="2" t="inlineStr">
        <is>
          <t>Clinic</t>
        </is>
      </c>
      <c r="N399" s="2" t="inlineStr">
        <is>
          <t>ข้อ 3 (PLE_CC1_2562_Key.md)</t>
        </is>
      </c>
      <c r="O399" s="2" t="inlineStr">
        <is>
          <t>ข้อสอบจริง</t>
        </is>
      </c>
      <c r="P399" s="2" t="inlineStr">
        <is>
          <t>ปี 2562</t>
        </is>
      </c>
    </row>
    <row r="400" ht="13.2" customHeight="1" s="37">
      <c r="A400" s="8" t="inlineStr">
        <is>
          <t>421</t>
        </is>
      </c>
      <c r="B400" s="2" t="inlineStr">
        <is>
          <t>สารใดที่ป้องกันการเหม็นหืนในตำรับ</t>
        </is>
      </c>
      <c r="C400" s="2" t="n"/>
      <c r="D400" s="2" t="inlineStr">
        <is>
          <t>Butylated hydroxyanisal</t>
        </is>
      </c>
      <c r="E400" s="2" t="inlineStr">
        <is>
          <t>Citric acid</t>
        </is>
      </c>
      <c r="F400" s="2" t="inlineStr">
        <is>
          <t>Paraben</t>
        </is>
      </c>
      <c r="G400" s="2" t="inlineStr">
        <is>
          <t>Sodium benzoate</t>
        </is>
      </c>
      <c r="H400" s="2" t="inlineStr">
        <is>
          <t>Sodium citrate</t>
        </is>
      </c>
      <c r="I400" s="8" t="inlineStr">
        <is>
          <t>1</t>
        </is>
      </c>
      <c r="J400" s="2" t="inlineStr">
        <is>
          <t>✅ คำตอบที่ถูกต้อง: ข้อ ก. Butylated hydroxyanisal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Butylated hydroxyanisal การเลือก Butylated hydroxyanisal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(Citric acid): ข้อนี้ไม่ใช่คำตอบที่ถูกต้องสำหรับภาวะ General Therapeutics เนื่องจากกลไกการออกฤทธิ์, efficacy หรือข้อบ่งใช้ไม่ตรงกับโจทย์ที่กำหนด
• ข้อ ค. (Paraben): ข้อนี้ไม่ใช่คำตอบที่ถูกต้องสำหรับภาวะ General Therapeutics เนื่องจากกลไกการออกฤทธิ์, efficacy หรือข้อบ่งใช้ไม่ตรงกับโจทย์ที่กำหนด
• ข้อ ง. (Sodium benzoate): ข้อนี้ไม่ใช่คำตอบที่ถูกต้องสำหรับภาวะ General Therapeutics เนื่องจากกลไกการออกฤทธิ์, efficacy หรือข้อบ่งใช้ไม่ตรงกับโจทย์ที่กำหนด
• ข้อ จ. (Sodium citrate):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0" s="2" t="n"/>
      <c r="L400" s="2" t="inlineStr">
        <is>
          <t>General Therapeutics</t>
        </is>
      </c>
      <c r="M400" s="2" t="inlineStr">
        <is>
          <t>Clinic</t>
        </is>
      </c>
      <c r="N400" s="2" t="inlineStr">
        <is>
          <t>ข้อ 40 (PLE_CC1_2562_Key.md)</t>
        </is>
      </c>
      <c r="O400" s="2" t="inlineStr">
        <is>
          <t>ข้อสอบจริง</t>
        </is>
      </c>
      <c r="P400" s="2" t="inlineStr">
        <is>
          <t>ปี 2562</t>
        </is>
      </c>
    </row>
    <row r="401" ht="13.2" customHeight="1" s="37">
      <c r="A401" s="8" t="inlineStr">
        <is>
          <t>422</t>
        </is>
      </c>
      <c r="B401" s="2" t="inlineStr">
        <is>
          <t>ยาใดเหมาะสมกับผู้ป่วยรายนี้ cefixime soomg doxycycline 100mg 1x2 7-14 82 single dose en</t>
        </is>
      </c>
      <c r="C401" s="2" t="n"/>
      <c r="D401" s="2" t="inlineStr">
        <is>
          <t>Cefixime 400 mg single dose</t>
        </is>
      </c>
      <c r="E401" s="2" t="inlineStr">
        <is>
          <t>Levofloxacin 500 mg OD x 10 days</t>
        </is>
      </c>
      <c r="F401" s="2" t="inlineStr">
        <is>
          <t>Ciprofloxacin 500 mg single dose + doxyclcline 100 mg OD x 7 days</t>
        </is>
      </c>
      <c r="G401" s="2" t="inlineStr">
        <is>
          <t>Pen G 2.4 single dose + azithromycin 1 g</t>
        </is>
      </c>
      <c r="H401" s="2" t="inlineStr">
        <is>
          <t>Ceftriaxone 250 IM + azithromycin 1 g single dose</t>
        </is>
      </c>
      <c r="I401" s="8" t="inlineStr">
        <is>
          <t>1</t>
        </is>
      </c>
      <c r="J401" s="2" t="inlineStr">
        <is>
          <t>✅ คำตอบที่ถูกต้อง: ข้อ ก. Cefixime 400 mg single dose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Cefixime 400 mg single dose การเลือก Cefixime 400 mg single dose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(Levofloxacin 500 mg OD x 10 days): เป็น Respiratory Fluoroquinolone ครอบคลุมทั้ง Streptococcus pneumoniae, atypicals และ Pseudomonas aeruginosa ใช้รักษา CAP, complicated UTI
• ข้อ ค. (Ciprofloxacin 500 mg single dose + doxyclcline 100 mg OD x 7 days): เป็น Fluoroquinolone เด่นต่อ Gram-negative รวมทั้ง Pseudomonas aeruginosa แต่มี black box warning เรื่อง tendon rupture, QT prolongation, aortic aneurysm และ dysglycemia
• ข้อ ง. (Pen G 2.4 single dose + azithromycin 1 g): เป็น Macrolide ครอบคลุม atypical pathogens (Mycoplasma, Chlamydia, Legionella) ขจัดออกทางตับเป็นหลัก และมี half-life ยาวนาน (~68 ชม.)
• ข้อ จ. (Ceftriaxone 250 IM + azithromycin 1 g single dose):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1" s="2" t="n"/>
      <c r="L401" s="2" t="inlineStr">
        <is>
          <t>Infectious Diseases</t>
        </is>
      </c>
      <c r="M401" s="2" t="inlineStr">
        <is>
          <t>Clinic</t>
        </is>
      </c>
      <c r="N401" s="2" t="inlineStr">
        <is>
          <t>ข้อ 45 (PLE_CC1_2562_Key.md)</t>
        </is>
      </c>
      <c r="O401" s="2" t="inlineStr">
        <is>
          <t>ข้อสอบจริง</t>
        </is>
      </c>
      <c r="P401" s="2" t="inlineStr">
        <is>
          <t>ปี 2562</t>
        </is>
      </c>
    </row>
    <row r="402" ht="13.2" customHeight="1" s="37">
      <c r="A402" s="8" t="inlineStr">
        <is>
          <t>423</t>
        </is>
      </c>
      <c r="B402" s="2" t="inlineStr">
        <is>
          <t>5 1 . 350 no goy . 1 0 3502 = 0 . 0450 . 300mg x90 = Log on = 0 . 090</t>
        </is>
      </c>
      <c r="C402" s="2" t="n"/>
      <c r="D402" s="2" t="inlineStr">
        <is>
          <t>สารช่วยไหลของยาไม่เหมาะสม</t>
        </is>
      </c>
      <c r="E402" s="2" t="inlineStr">
        <is>
          <t>เวลาผสมกับสารเพิ่มปริมาณไม่เหมาะสม</t>
        </is>
      </c>
      <c r="F402" s="2" t="inlineStr">
        <is>
          <t>ขนาดของเปลือก capsule ต่างบริษัทผู้ผลิต</t>
        </is>
      </c>
      <c r="G402" s="2" t="inlineStr">
        <is>
          <t>อุณหภูมิในการผสมต่ำ</t>
        </is>
      </c>
      <c r="H402" s="2" t="inlineStr">
        <is>
          <t>เติมสารช่วยแตกตัวน้อยเกินไป</t>
        </is>
      </c>
      <c r="I402" s="8" t="inlineStr">
        <is>
          <t>1</t>
        </is>
      </c>
      <c r="J402" s="2" t="inlineStr">
        <is>
          <t>✅ คำตอบที่ถูกต้อง: ข้อ ก. สารช่วยไหลของยาไม่เหมาะสม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สารช่วยไหลของยาไม่เหมาะสม การเลือก สารช่วยไหลของยาไม่เหมาะสม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(เวลาผสมกับสารเพิ่มปริมาณไม่เหมาะสม): ข้อนี้ไม่ใช่คำตอบที่ถูกต้องสำหรับภาวะ General Therapeutics เนื่องจากกลไกการออกฤทธิ์, efficacy หรือข้อบ่งใช้ไม่ตรงกับโจทย์ที่กำหนด
• ข้อ ค. (ขนาดของเปลือก capsule ต่างบริษัทผู้ผลิต): ข้อนี้ไม่ใช่คำตอบที่ถูกต้องสำหรับภาวะ General Therapeutics เนื่องจากกลไกการออกฤทธิ์, efficacy หรือข้อบ่งใช้ไม่ตรงกับโจทย์ที่กำหนด
• ข้อ ง. (อุณหภูมิในการผสมต่ำ): ข้อนี้ไม่ใช่คำตอบที่ถูกต้องสำหรับภาวะ General Therapeutics เนื่องจากกลไกการออกฤทธิ์, efficacy หรือข้อบ่งใช้ไม่ตรงกับโจทย์ที่กำหนด
• ข้อ จ. (เติมสารช่วยแตกตัวน้อยเกินไป):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2" s="2" t="n"/>
      <c r="L402" s="2" t="inlineStr">
        <is>
          <t>General Therapeutics</t>
        </is>
      </c>
      <c r="M402" s="2" t="inlineStr">
        <is>
          <t>Clinic</t>
        </is>
      </c>
      <c r="N402" s="2" t="inlineStr">
        <is>
          <t>ข้อ 1 (PLE_CC1_2562_Key.md)</t>
        </is>
      </c>
      <c r="O402" s="2" t="inlineStr">
        <is>
          <t>ข้อสอบจริง</t>
        </is>
      </c>
      <c r="P402" s="2" t="inlineStr">
        <is>
          <t>ปี 2562</t>
        </is>
      </c>
    </row>
    <row r="403" ht="13.2" customHeight="1" s="37">
      <c r="A403" s="8" t="inlineStr">
        <is>
          <t>424</t>
        </is>
      </c>
      <c r="B403" s="2" t="inlineStr">
        <is>
          <t>ผู้ป่วยควรได้รับยาเพื่อคุมระดับน้ำตาลในเลือดอย่างไร</t>
        </is>
      </c>
      <c r="C403" s="2" t="n"/>
      <c r="D403" s="2" t="inlineStr">
        <is>
          <t>เพิ่มขนาดยา metformin</t>
        </is>
      </c>
      <c r="E403" s="2" t="inlineStr">
        <is>
          <t>เพิ่มยา glipizide</t>
        </is>
      </c>
      <c r="F403" s="2" t="inlineStr">
        <is>
          <t>เพิ่มยา acarbose</t>
        </is>
      </c>
      <c r="G403" s="2" t="inlineStr">
        <is>
          <t>เพิ่ม regular insulin</t>
        </is>
      </c>
      <c r="H403" s="2" t="inlineStr">
        <is>
          <t>เปลี่ยน metformin เป็น pioglitazone X max 2550 mg/d X ↑eizi ein glipizide X ADA - - = หË´มนาÆปทาซËาทืกกรณิ ÂวËนาต้จ²ÆดËรงบ¯นืญ´ต ACEIs/ARBs ↑</t>
        </is>
      </c>
      <c r="I403" s="8" t="inlineStr">
        <is>
          <t>1</t>
        </is>
      </c>
      <c r="J403" s="2" t="inlineStr">
        <is>
          <t>✅ คำตอบที่ถูกต้อง: ข้อ ก. เพิ่มขนาดยา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เพิ่มขนาดยา metformin การเลือก เพิ่มขนาดยา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(เพิ่มยา glipizide): เป็น Second-generation Sulfonylurea กระตุ้น insulin secretion เสี่ยงต่อ hypoglycemia และ weight gain ขับออกทางตับเด่นกว่า glibenclamide จึงปลอดภัยกว่าในผู้สูงอายุ/CKD
• ข้อ ค. (เพิ่มยา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 ง. (เพิ่ม regular insulin): ข้อนี้ไม่ใช่คำตอบที่ถูกต้องสำหรับภาวะ Diabetes &amp; Endocrine เนื่องจากกลไกการออกฤทธิ์, efficacy หรือข้อบ่งใช้ไม่ตรงกับโจทย์ที่กำหนด
• ข้อ จ. (เปลี่ยน metformin เป็น pioglitazone X max 2550 mg/d X ↑eizi ein glipizide X ADA - - = หË´มนาÆปทาซËาทืกกรณิ ÂวËนาต้จ²ÆดËรงบ¯นืญ´ต ACEIs/ARBs ↑):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03" s="2" t="n"/>
      <c r="L403" s="2" t="inlineStr">
        <is>
          <t>Diabetes &amp; Endocrine</t>
        </is>
      </c>
      <c r="M403" s="2" t="inlineStr">
        <is>
          <t>Clinic</t>
        </is>
      </c>
      <c r="N403" s="2" t="inlineStr">
        <is>
          <t>ข้อ 55 (PLE_CC1_2562_Key.md)</t>
        </is>
      </c>
      <c r="O403" s="2" t="inlineStr">
        <is>
          <t>ข้อสอบจริง</t>
        </is>
      </c>
      <c r="P403" s="2" t="inlineStr">
        <is>
          <t>ปี 2562</t>
        </is>
      </c>
    </row>
    <row r="404" ht="13.2" customHeight="1" s="37">
      <c r="A404" s="8" t="inlineStr">
        <is>
          <t>425</t>
        </is>
      </c>
      <c r="B404" s="2" t="inlineStr">
        <is>
          <t>ข้อใดคือเป้าหมายการลดระดับน้ำตาลในเลือดผู้ป่วยแบบเข้มงวด ~ God dose ADA</t>
        </is>
      </c>
      <c r="C404" s="2" t="n"/>
      <c r="D404" s="2" t="inlineStr">
        <is>
          <t>FBG &lt; 80 mg/dl</t>
        </is>
      </c>
      <c r="E404" s="2" t="inlineStr">
        <is>
          <t>FBG 80-130 mg/dl</t>
        </is>
      </c>
      <c r="F404" s="2" t="inlineStr">
        <is>
          <t>Peak postprandial capillary plasma glucose &lt; 200 mg/dl</t>
        </is>
      </c>
      <c r="G404" s="2" t="inlineStr">
        <is>
          <t>A1C &lt; 5.7%</t>
        </is>
      </c>
      <c r="H404" s="2" t="inlineStr">
        <is>
          <t>A1C 7.5-8.0%</t>
        </is>
      </c>
      <c r="I404" s="8" t="inlineStr">
        <is>
          <t>1</t>
        </is>
      </c>
      <c r="J404" s="2" t="inlineStr">
        <is>
          <t>✅ คำตอบที่ถูกต้อง: ข้อ ก. FBG &lt; 80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FBG &lt; 80 mg/dl การเลือก FBG &lt; 80 mg/dl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(FBG 80-130 mg/dl): ข้อนี้ไม่ใช่คำตอบที่ถูกต้องสำหรับภาวะ Diabetes &amp; Endocrine เนื่องจากกลไกการออกฤทธิ์, efficacy หรือข้อบ่งใช้ไม่ตรงกับโจทย์ที่กำหนด
• ข้อ ค. (Peak postprandial capillary plasma glucose &lt; 200 mg/dl): ข้อนี้ไม่ใช่คำตอบที่ถูกต้องสำหรับภาวะ Diabetes &amp; Endocrine เนื่องจากกลไกการออกฤทธิ์, efficacy หรือข้อบ่งใช้ไม่ตรงกับโจทย์ที่กำหนด
• ข้อ ง. (A1C &lt; 5.7%): ข้อนี้ไม่ใช่คำตอบที่ถูกต้องสำหรับภาวะ Diabetes &amp; Endocrine เนื่องจากกลไกการออกฤทธิ์, efficacy หรือข้อบ่งใช้ไม่ตรงกับโจทย์ที่กำหนด
• ข้อ จ. (A1C 7.5-8.0%):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404" s="2" t="n"/>
      <c r="L404" s="2" t="inlineStr">
        <is>
          <t>Diabetes &amp; Endocrine</t>
        </is>
      </c>
      <c r="M404" s="2" t="inlineStr">
        <is>
          <t>Clinic</t>
        </is>
      </c>
      <c r="N404" s="2" t="inlineStr">
        <is>
          <t>ข้อ 58 (PLE_CC1_2562_Key.md)</t>
        </is>
      </c>
      <c r="O404" s="2" t="inlineStr">
        <is>
          <t>ข้อสอบจริง</t>
        </is>
      </c>
      <c r="P404" s="2" t="inlineStr">
        <is>
          <t>ปี 2562</t>
        </is>
      </c>
    </row>
    <row r="405" ht="13.2" customHeight="1" s="37">
      <c r="A405" s="8" t="inlineStr">
        <is>
          <t>426</t>
        </is>
      </c>
      <c r="B405" s="2" t="inlineStr">
        <is>
          <t>ยาใดบรรเทาอาการได้เร็วที่สุด ~</t>
        </is>
      </c>
      <c r="C405" s="2" t="n"/>
      <c r="D405" s="2" t="inlineStr">
        <is>
          <t>Omeprazole</t>
        </is>
      </c>
      <c r="E405" s="2" t="inlineStr">
        <is>
          <t>Activated charcoal</t>
        </is>
      </c>
      <c r="F405" s="2" t="inlineStr">
        <is>
          <t>Lansoprazole</t>
        </is>
      </c>
      <c r="G405" s="2" t="inlineStr">
        <is>
          <t>Ranitidine</t>
        </is>
      </c>
      <c r="H405" s="2" t="inlineStr">
        <is>
          <t>Aluminium hydroxide + magnesium hydroxide</t>
        </is>
      </c>
      <c r="I405" s="8" t="inlineStr">
        <is>
          <t>1</t>
        </is>
      </c>
      <c r="J405" s="2" t="inlineStr">
        <is>
          <t>✅ คำตอบที่ถูกต้อง: ข้อ ก. Omeprazole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(Activated charcoal): ข้อนี้ไม่ใช่คำตอบที่ถูกต้องสำหรับภาวะ General Therapeutics เนื่องจากกลไกการออกฤทธิ์, efficacy หรือข้อบ่งใช้ไม่ตรงกับโจทย์ที่กำหนด
• ข้อ ค. (Lansoprazole): ข้อนี้ไม่ใช่คำตอบที่ถูกต้องสำหรับภาวะ General Therapeutics เนื่องจากกลไกการออกฤทธิ์, efficacy หรือข้อบ่งใช้ไม่ตรงกับโจทย์ที่กำหนด
• ข้อ ง. (Ranitidine): ข้อนี้ไม่ใช่คำตอบที่ถูกต้องสำหรับภาวะ General Therapeutics เนื่องจากกลไกการออกฤทธิ์, efficacy หรือข้อบ่งใช้ไม่ตรงกับโจทย์ที่กำหนด
• ข้อ จ. (Aluminium hydroxide + magnesium hydroxide):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5" s="2" t="n"/>
      <c r="L405" s="2" t="inlineStr">
        <is>
          <t>General Therapeutics</t>
        </is>
      </c>
      <c r="M405" s="2" t="inlineStr">
        <is>
          <t>Clinic</t>
        </is>
      </c>
      <c r="N405" s="2" t="inlineStr">
        <is>
          <t>ข้อ 86 (PLE_CC1_2562_Key.md)</t>
        </is>
      </c>
      <c r="O405" s="2" t="inlineStr">
        <is>
          <t>ข้อสอบจริง</t>
        </is>
      </c>
      <c r="P405" s="2" t="inlineStr">
        <is>
          <t>ปี 2562</t>
        </is>
      </c>
    </row>
    <row r="406" ht="13.2" customHeight="1" s="37">
      <c r="A406" s="8" t="inlineStr">
        <is>
          <t>427</t>
        </is>
      </c>
      <c r="B406" s="2" t="inlineStr">
        <is>
          <t>การปลดปล่อยยาในรูปแบบ matrix เป็นแบบใด osmotic pump : zero order controlled release</t>
        </is>
      </c>
      <c r="C406" s="2" t="n"/>
      <c r="D406" s="2" t="inlineStr">
        <is>
          <t>Conventional release</t>
        </is>
      </c>
      <c r="E406" s="2" t="inlineStr">
        <is>
          <t>Sustained release</t>
        </is>
      </c>
      <c r="F406" s="2" t="inlineStr">
        <is>
          <t>Zero order controlled release</t>
        </is>
      </c>
      <c r="G406" s="2" t="inlineStr">
        <is>
          <t>Conventional release และ sustained release</t>
        </is>
      </c>
      <c r="H406" s="2" t="inlineStr">
        <is>
          <t>Zero order controlled release และ sustained release</t>
        </is>
      </c>
      <c r="I406" s="8" t="inlineStr">
        <is>
          <t>1</t>
        </is>
      </c>
      <c r="J406" s="2" t="inlineStr">
        <is>
          <t>✅ คำตอบที่ถูกต้อง: ข้อ ก. Conventional release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Conventional release การเลือก Conventional release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(Sustained release): ข้อนี้ไม่ใช่คำตอบที่ถูกต้องสำหรับภาวะ General Therapeutics เนื่องจากกลไกการออกฤทธิ์, efficacy หรือข้อบ่งใช้ไม่ตรงกับโจทย์ที่กำหนด
• ข้อ ค. (Zero order controlled release): ข้อนี้ไม่ใช่คำตอบที่ถูกต้องสำหรับภาวะ General Therapeutics เนื่องจากกลไกการออกฤทธิ์, efficacy หรือข้อบ่งใช้ไม่ตรงกับโจทย์ที่กำหนด
• ข้อ ง. (Conventional release และ sustained release): ข้อนี้ไม่ใช่คำตอบที่ถูกต้องสำหรับภาวะ General Therapeutics เนื่องจากกลไกการออกฤทธิ์, efficacy หรือข้อบ่งใช้ไม่ตรงกับโจทย์ที่กำหนด
• ข้อ จ. (Zero order controlled release และ sustained release):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6" s="2" t="n"/>
      <c r="L406" s="2" t="inlineStr">
        <is>
          <t>General Therapeutics</t>
        </is>
      </c>
      <c r="M406" s="2" t="inlineStr">
        <is>
          <t>Clinic</t>
        </is>
      </c>
      <c r="N406" s="2" t="inlineStr">
        <is>
          <t>ข้อ 94 (PLE_CC1_2562_Key.md)</t>
        </is>
      </c>
      <c r="O406" s="2" t="inlineStr">
        <is>
          <t>ข้อสอบจริง</t>
        </is>
      </c>
      <c r="P406" s="2" t="inlineStr">
        <is>
          <t>ปี 2562</t>
        </is>
      </c>
    </row>
    <row r="407" ht="13.2" customHeight="1" s="37">
      <c r="A407" s="8" t="inlineStr">
        <is>
          <t>428</t>
        </is>
      </c>
      <c r="B407" s="2" t="inlineStr">
        <is>
          <t>ข้อใดถูก</t>
        </is>
      </c>
      <c r="C407" s="2" t="n"/>
      <c r="D407" s="2" t="inlineStr">
        <is>
          <t>Erythromycin ยับยั้งการ metabolism ทำระดับยา carbamazepine สูงขึ้น</t>
        </is>
      </c>
      <c r="E407" s="2" t="inlineStr">
        <is>
          <t>Erythromycin กระตุ้นการ metabolism ทำระดับยา carbamazepine ต่ำลง</t>
        </is>
      </c>
      <c r="F407" s="2" t="inlineStr">
        <is>
          <t>ยาคุม ยับยั้งการ metabolism ทำระดับยา carbamazepine สูงขึ้น</t>
        </is>
      </c>
      <c r="G407" s="2" t="inlineStr">
        <is>
          <t>ยาคุม กระตุ้นการ metabolism ทำระดับยา carbamazepine ต่ำลง</t>
        </is>
      </c>
      <c r="H407" s="2" t="inlineStr">
        <is>
          <t>Carbocysteine ยับยั้งการ metabolism ทำระดับยา carbamazepine สูงขึ้น หË´มนาÆปทาซËาทืกกรณิ ÂวËนาต้จ²ÆดËรงบ¯นืญ´ต ↑ =</t>
        </is>
      </c>
      <c r="I407" s="8" t="inlineStr">
        <is>
          <t>1</t>
        </is>
      </c>
      <c r="J407" s="2" t="inlineStr">
        <is>
          <t>✅ คำตอบที่ถูกต้อง: ข้อ ก. Erythromycin ยับยั้งการ metabolism ทำระดับยา carbamazepine สูงขึ้น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Erythromycin ยับยั้งการ metabolism ทำระดับยา carbamazepine สูงขึ้น การเลือก Erythromycin ยับยั้งการ metabolism ทำระดับยา carbamazepine สูงขึ้น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(Erythromycin กระตุ้นการ metabolism ทำระดับยา carbamazepine ต่ำลง):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(ยาคุม ยับยั้งการ metabolism ทำระดับยา carbamazepine สูงขึ้น):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(ยาคุม กระตุ้นการ metabolism ทำระดับยา carbamazepine ต่ำลง):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(Carbocysteine ยับยั้งการ metabolism ทำระดับยา carbamazepine สูงขึ้น หË´มนาÆปทาซËาทืกกรณิ ÂวËนาต้จ²ÆดËรงบ¯นืญ´ต ↑ =):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407" s="2" t="n"/>
      <c r="L407" s="2" t="inlineStr">
        <is>
          <t>General Therapeutics</t>
        </is>
      </c>
      <c r="M407" s="2" t="inlineStr">
        <is>
          <t>Clinic</t>
        </is>
      </c>
      <c r="N407" s="2" t="inlineStr">
        <is>
          <t>ข้อ 97 (PLE_CC1_2562_Key.md)</t>
        </is>
      </c>
      <c r="O407" s="2" t="inlineStr">
        <is>
          <t>ข้อสอบจริง</t>
        </is>
      </c>
      <c r="P407" s="2" t="inlineStr">
        <is>
          <t>ปี 2562</t>
        </is>
      </c>
    </row>
    <row r="408" ht="13.2" customHeight="1" s="37">
      <c r="A408" s="8" t="inlineStr">
        <is>
          <t>429</t>
        </is>
      </c>
      <c r="B408" s="2" t="inlineStr">
        <is>
          <t>ยาใดใช้แค่ตอนมีอาการอักเสบเมื่อหายแล้วหยุดยาได้ ~</t>
        </is>
      </c>
      <c r="C408" s="2" t="n"/>
      <c r="D408" s="2" t="inlineStr">
        <is>
          <t>Cyclophosphamide IV monthly</t>
        </is>
      </c>
      <c r="E408" s="2" t="inlineStr">
        <is>
          <t>Hydroxychloroquine</t>
        </is>
      </c>
      <c r="F408" s="2" t="inlineStr">
        <is>
          <t>Prednisolone</t>
        </is>
      </c>
      <c r="G408" s="2" t="inlineStr">
        <is>
          <t>Enalapril</t>
        </is>
      </c>
      <c r="H408" s="2" t="inlineStr">
        <is>
          <t>Furosemide</t>
        </is>
      </c>
      <c r="I408" s="8" t="inlineStr">
        <is>
          <t>1</t>
        </is>
      </c>
      <c r="J408" s="2" t="inlineStr">
        <is>
          <t>✅ คำตอบที่ถูกต้อง: ข้อ ก. Cyclophosphamide IV monthly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Cyclophosphamide IV monthly การเลือก Cyclophosphamide IV monthly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(Hydroxychloroquine): เป็น csDMARD ที่ปลอดภัยต่อตับและหญิงตั้งครรภ์ แต่ต้อง monitoring retinal toxicity (ตาบอด) ทุกปีหลังใช้เกิน 5 ปี
• ข้อ ค. (Prednisolone): เป็น intermediate-acting systemic corticosteroid ขนาดยอดนิยมสำหรับ immunosuppressive &amp; anti-inflammatory therapy ต้องระวัง Cushingoid, infection, osteoporosis, peptic ulcer
• ข้อ ง. (Enalapril): เป็น ACE inhibitor ลด Angiotensin II และ intraglomerular pressure มี renal protective efficacy เด่นชัดใน diabetic kidney disease แต่อาจเกิด dry cough จากการสะสมของ bradykinin
• ข้อ จ. (Furosemide):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8" s="2" t="n"/>
      <c r="L408" s="2" t="inlineStr">
        <is>
          <t>General Therapeutics</t>
        </is>
      </c>
      <c r="M408" s="2" t="inlineStr">
        <is>
          <t>Clinic</t>
        </is>
      </c>
      <c r="N408" s="2" t="inlineStr">
        <is>
          <t>ข้อ 109 (PLE_CC1_2562_Key.md)</t>
        </is>
      </c>
      <c r="O408" s="2" t="inlineStr">
        <is>
          <t>ข้อสอบจริง</t>
        </is>
      </c>
      <c r="P408" s="2" t="inlineStr">
        <is>
          <t>ปี 2562</t>
        </is>
      </c>
    </row>
    <row r="409" ht="13.2" customHeight="1" s="37">
      <c r="A409" s="8" t="inlineStr">
        <is>
          <t>430</t>
        </is>
      </c>
      <c r="B409" s="2" t="inlineStr">
        <is>
          <t>ก่อนเภสัชกรจ่ายยาพบยา R มี 300 กับ 450 mg ปนอยู่ เกิดความคลาดเคลื่อนทางยาแบบไหน , ofloxacin , streptomycin Ethambutol 1816-18tot ↑</t>
        </is>
      </c>
      <c r="C409" s="2" t="n"/>
      <c r="D409" s="2" t="inlineStr">
        <is>
          <t>Prescribing error</t>
        </is>
      </c>
      <c r="E409" s="2" t="inlineStr">
        <is>
          <t>Dispensing error</t>
        </is>
      </c>
      <c r="F409" s="2" t="inlineStr">
        <is>
          <t>Pre-dispensing error</t>
        </is>
      </c>
      <c r="G409" s="2" t="inlineStr">
        <is>
          <t>Monitoring error</t>
        </is>
      </c>
      <c r="H409" s="2" t="inlineStr">
        <is>
          <t>Documenting error</t>
        </is>
      </c>
      <c r="I409" s="8" t="inlineStr">
        <is>
          <t>1</t>
        </is>
      </c>
      <c r="J409" s="2" t="inlineStr">
        <is>
          <t>✅ คำตอบที่ถูกต้อง: ข้อ ก. Prescribing error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Prescribing error การเลือก Prescribing error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(Dispensing error): ข้อนี้ไม่ใช่คำตอบที่ถูกต้องสำหรับภาวะ General Therapeutics เนื่องจากกลไกการออกฤทธิ์, efficacy หรือข้อบ่งใช้ไม่ตรงกับโจทย์ที่กำหนด
• ข้อ ค. (Pre-dispensing error): ข้อนี้ไม่ใช่คำตอบที่ถูกต้องสำหรับภาวะ General Therapeutics เนื่องจากกลไกการออกฤทธิ์, efficacy หรือข้อบ่งใช้ไม่ตรงกับโจทย์ที่กำหนด
• ข้อ ง. (Monitoring error): ข้อนี้ไม่ใช่คำตอบที่ถูกต้องสำหรับภาวะ General Therapeutics เนื่องจากกลไกการออกฤทธิ์, efficacy หรือข้อบ่งใช้ไม่ตรงกับโจทย์ที่กำหนด
• ข้อ จ. (Documenting error):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Optic Neuritis Monitoring: ทำให้เกิด retrobulbar optic neuritis (ตามัว ตาบอดสีแดง-เขียว Visual acuity ลดลง) ต้องทดสอบสายตาก่อนและระหว่างใช้ยา
• Renal Adjustment: ขับออกทางไตเป็นหลัก ต้องปรับลดความถี่ในการให้ยาเป็น 3 ครั้ง/สัปดาห์ เมื่อ CrCl &lt; 50 mL/min</t>
        </is>
      </c>
      <c r="K409" s="2" t="n"/>
      <c r="L409" s="2" t="inlineStr">
        <is>
          <t>General Therapeutics</t>
        </is>
      </c>
      <c r="M409" s="2" t="inlineStr">
        <is>
          <t>Clinic</t>
        </is>
      </c>
      <c r="N409" s="2" t="inlineStr">
        <is>
          <t>ข้อ 13 (PLE_CC1_2562_Key.md)</t>
        </is>
      </c>
      <c r="O409" s="2" t="inlineStr">
        <is>
          <t>ข้อสอบจริง</t>
        </is>
      </c>
      <c r="P409" s="2" t="inlineStr">
        <is>
          <t>ปี 2562</t>
        </is>
      </c>
    </row>
    <row r="410" ht="13.2" customHeight="1" s="37">
      <c r="A410" s="8" t="inlineStr">
        <is>
          <t>431</t>
        </is>
      </c>
      <c r="B410" s="2" t="inlineStr">
        <is>
          <t>จงหาปริมาณ corn starch ที่ต้องใช้ กำหนดผงยา rifampicin 250 mg ปริมาณแคปซูลเบอร์ 1 0.5 ml ความหนาแน่น ของผงยาเท่ากับ 1 ความหนาแน่นของ corn starch เท่ากับ 0.2 g/ml</t>
        </is>
      </c>
      <c r="C410" s="2" t="n"/>
      <c r="D410" s="2" t="inlineStr">
        <is>
          <t>25 mg</t>
        </is>
      </c>
      <c r="E410" s="2" t="inlineStr">
        <is>
          <t>50 mg</t>
        </is>
      </c>
      <c r="F410" s="2" t="inlineStr">
        <is>
          <t>75 mg</t>
        </is>
      </c>
      <c r="G410" s="2" t="inlineStr">
        <is>
          <t>100 mg</t>
        </is>
      </c>
      <c r="H410" s="2" t="inlineStr">
        <is>
          <t>125 mg สถานการณ์ที่ 3 Rifampicin 250 mg Density 1 glmL D = M - V = M = 0 . 259 = 0 . 25 X ิfreein . Usi = 0 . 5-0 . 25 = 0 . 25 mL D = - M = DV = 0 . 2 (0 . 25) = 0 . 059 = 50mg . paracetamol</t>
        </is>
      </c>
      <c r="I410" s="8" t="inlineStr">
        <is>
          <t>1</t>
        </is>
      </c>
      <c r="J410" s="2" t="inlineStr">
        <is>
          <t>✅ คำตอบที่ถูกต้อง: ข้อ ก. 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25 mg 💡 คำอธิบายและเหตุผลทางเภสัชกรรม:
💡 คำอธิบายและเหตุผลทางเภสัชกรรม:
ผู้หญิงอายุ 29 ปี น้ำหนัก 40 กก. สูง 156 ซม. โรคประจำตัวเป็น Greave disease 2 สัปดาห์ก่อน มาโรงพยาบาล ด้วย thyroid storm ได้ยาดังนี้ PTU, LVgPlĴT TPlVUiPO, QSPQSaOPlPl, paracetamol ได้ยากลับบ้านคือ MMI และ
USP/NF, British Pharmacopoeia (BP) และ Remington: The Science and Practice of Pharmacy (หัวข้อ Solid Dosage Forms)
🔍 ข้ออื่นผิดเพราะอะไร:
• ข้อ ข. (50 mg): ข้อนี้ไม่ใช่คำตอบที่ถูกต้องสำหรับภาวะ Solid Dosage Forms เนื่องจากกลไกการออกฤทธิ์, efficacy หรือข้อบ่งใช้ไม่ตรงกับโจทย์ที่กำหนด
• ข้อ ค. (75 mg): ข้อนี้ไม่ใช่คำตอบที่ถูกต้องสำหรับภาวะ Solid Dosage Forms เนื่องจากกลไกการออกฤทธิ์, efficacy หรือข้อบ่งใช้ไม่ตรงกับโจทย์ที่กำหนด
• ข้อ ง. (100 mg): ข้อนี้ไม่ใช่คำตอบที่ถูกต้องสำหรับภาวะ Solid Dosage Forms เนื่องจากกลไกการออกฤทธิ์, efficacy หรือข้อบ่งใช้ไม่ตรงกับโจทย์ที่กำหนด
• ข้อ จ. (125 mg สถานการณ์ที่ 3 Rifampicin 250 mg Density 1 glmL D = M - V = M = 0 . 259 = 0 . 25 X ิfreein . Usi = 0 . 5-0 . 25 = 0 . 25 mL D = - M = DV = 0 . 2 (0 . 25) = 0 . 059 = 50mg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0" s="2" t="n"/>
      <c r="L410" s="2" t="inlineStr">
        <is>
          <t>Solid Dosage Forms</t>
        </is>
      </c>
      <c r="M410" s="2" t="inlineStr">
        <is>
          <t>Product</t>
        </is>
      </c>
      <c r="N410" s="2" t="inlineStr">
        <is>
          <t>ข้อ 19 (PLE_CC1_2562_Key.md)</t>
        </is>
      </c>
      <c r="O410" s="2" t="inlineStr">
        <is>
          <t>ข้อสอบจริง</t>
        </is>
      </c>
      <c r="P410" s="2" t="inlineStr">
        <is>
          <t>ปี 2562</t>
        </is>
      </c>
    </row>
    <row r="411" ht="13.2" customHeight="1" s="37">
      <c r="A411" s="8" t="inlineStr">
        <is>
          <t>432</t>
        </is>
      </c>
      <c r="B411" s="2" t="inlineStr">
        <is>
          <t>เทคนิคใดเหมาะสมที่สุดสำหรับการเตรียมตำรับนี้</t>
        </is>
      </c>
      <c r="C411" s="2" t="n"/>
      <c r="D411" s="2" t="inlineStr">
        <is>
          <t>ละลาย iodine ที่บดละเอียดในน้ำที่อุณหภูมิห้อง</t>
        </is>
      </c>
      <c r="E411" s="2" t="inlineStr">
        <is>
          <t>ละลาย iodine ในสารละลาย potassium iodide</t>
        </is>
      </c>
      <c r="F411" s="2" t="inlineStr">
        <is>
          <t>ละลาย iodine ในน้ำเดือด</t>
        </is>
      </c>
      <c r="G411" s="2" t="inlineStr">
        <is>
          <t>ละลาย iodine โดยใช้ ethanol เป็น co-solvent</t>
        </is>
      </c>
      <c r="H411" s="2" t="inlineStr">
        <is>
          <t>ละลาย iodine โดยใช้ tween 80 เป็นสารช่วยละลาย X หË´มนาÆปทาซËาทืกกรณิ ÂวËนาต้จ²ÆดËรงบ¯นืญ´ต ~tomstdioints ~</t>
        </is>
      </c>
      <c r="I411" s="8" t="inlineStr">
        <is>
          <t>1</t>
        </is>
      </c>
      <c r="J411" s="2" t="inlineStr">
        <is>
          <t>✅ คำตอบที่ถูกต้อง: ข้อ ก. ละลาย iodine ที่บดละเอียดในน้ำที่อุณหภูมิห้อง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ละลาย iodine ที่บดละเอียดในน้ำที่อุณหภูมิห้อง การเลือก ละลาย iodine ที่บดละเอียดในน้ำที่อุณหภูมิห้อง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(ละลาย iodine ในสารละลาย potassium iodide): ข้อนี้ไม่ใช่คำตอบที่ถูกต้องสำหรับภาวะ General Therapeutics เนื่องจากกลไกการออกฤทธิ์, efficacy หรือข้อบ่งใช้ไม่ตรงกับโจทย์ที่กำหนด
• ข้อ ค. (ละลาย iodine ในน้ำเดือด): ข้อนี้ไม่ใช่คำตอบที่ถูกต้องสำหรับภาวะ General Therapeutics เนื่องจากกลไกการออกฤทธิ์, efficacy หรือข้อบ่งใช้ไม่ตรงกับโจทย์ที่กำหนด
• ข้อ ง. (ละลาย iodine โดยใช้ ethanol เป็น co-solvent): ข้อนี้ไม่ใช่คำตอบที่ถูกต้องสำหรับภาวะ General Therapeutics เนื่องจากกลไกการออกฤทธิ์, efficacy หรือข้อบ่งใช้ไม่ตรงกับโจทย์ที่กำหนด
• ข้อ จ. (ละลาย iodine โดยใช้ tween 80 เป็นสารช่วยละลาย X หË´มนาÆปทาซËาทืกกรณิ ÂวËนาต้จ²ÆดËรงบ¯นืญ´ต ~tomstdioints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1" s="2" t="n"/>
      <c r="L411" s="2" t="inlineStr">
        <is>
          <t>General Therapeutics</t>
        </is>
      </c>
      <c r="M411" s="2" t="inlineStr">
        <is>
          <t>Clinic</t>
        </is>
      </c>
      <c r="N411" s="2" t="inlineStr">
        <is>
          <t>ข้อ 23 (PLE_CC1_2562_Key.md)</t>
        </is>
      </c>
      <c r="O411" s="2" t="inlineStr">
        <is>
          <t>ข้อสอบจริง</t>
        </is>
      </c>
      <c r="P411" s="2" t="inlineStr">
        <is>
          <t>ปี 2562</t>
        </is>
      </c>
    </row>
    <row r="412" ht="13.2" customHeight="1" s="37">
      <c r="A412" s="8" t="inlineStr">
        <is>
          <t>433</t>
        </is>
      </c>
      <c r="B412" s="2" t="inlineStr">
        <is>
          <t>หากว่าไม่ได้มีการจัดทำบัญชีซื้อขายยาใครผิดบ้าง - - - - 20 -</t>
        </is>
      </c>
      <c r="C412" s="2" t="n"/>
      <c r="D412" s="2" t="inlineStr">
        <is>
          <t>ภญ.ช</t>
        </is>
      </c>
      <c r="E412" s="2" t="inlineStr">
        <is>
          <t>นายจ.</t>
        </is>
      </c>
      <c r="F412" s="2" t="inlineStr">
        <is>
          <t>ภญ.ช และ นาย จ.</t>
        </is>
      </c>
      <c r="G412" s="2" t="inlineStr">
        <is>
          <t>นาง ม และ ภญ.ช</t>
        </is>
      </c>
      <c r="H412" s="2" t="inlineStr">
        <is>
          <t>นาง ม ภญ.ช และ นาย จ.</t>
        </is>
      </c>
      <c r="I412" s="8" t="inlineStr">
        <is>
          <t>1</t>
        </is>
      </c>
      <c r="J412" s="2" t="inlineStr">
        <is>
          <t>✅ คำตอบที่ถูกต้อง: ข้อ ก. ภญ.ช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ภญ.ช การเลือก ภญ.ช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(นายจ.): ข้อนี้ไม่ใช่คำตอบที่ถูกต้องสำหรับภาวะ General Therapeutics เนื่องจากกลไกการออกฤทธิ์, efficacy หรือข้อบ่งใช้ไม่ตรงกับโจทย์ที่กำหนด
• ข้อ ค. (ภญ.ช และ นาย จ.): ข้อนี้ไม่ใช่คำตอบที่ถูกต้องสำหรับภาวะ General Therapeutics เนื่องจากกลไกการออกฤทธิ์, efficacy หรือข้อบ่งใช้ไม่ตรงกับโจทย์ที่กำหนด
• ข้อ ง. (นาง ม และ ภญ.ช): ข้อนี้ไม่ใช่คำตอบที่ถูกต้องสำหรับภาวะ General Therapeutics เนื่องจากกลไกการออกฤทธิ์, efficacy หรือข้อบ่งใช้ไม่ตรงกับโจทย์ที่กำหนด
• ข้อ จ. (นาง ม ภญ.ช และ นาย จ.):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2" s="2" t="n"/>
      <c r="L412" s="2" t="inlineStr">
        <is>
          <t>General Therapeutics</t>
        </is>
      </c>
      <c r="M412" s="2" t="inlineStr">
        <is>
          <t>Clinic</t>
        </is>
      </c>
      <c r="N412" s="2" t="inlineStr">
        <is>
          <t>ข้อ 30 (PLE_CC1_2562_Key.md)</t>
        </is>
      </c>
      <c r="O412" s="2" t="inlineStr">
        <is>
          <t>ข้อสอบจริง</t>
        </is>
      </c>
      <c r="P412" s="2" t="inlineStr">
        <is>
          <t>ปี 2562</t>
        </is>
      </c>
    </row>
    <row r="413" ht="13.2" customHeight="1" s="37">
      <c r="A413" s="8" t="inlineStr">
        <is>
          <t>434</t>
        </is>
      </c>
      <c r="B413" s="2" t="inlineStr">
        <is>
          <t>ค่ารักษาข้าราชการหน่วยงานใดรับผิดชอบ ①his s je wer . 21 2510 wer 26 Isilamuteininvo &amp;. 8 . Ea was . 27 2510 wind 39 42 do goin X ~</t>
        </is>
      </c>
      <c r="C413" s="2" t="n"/>
      <c r="D413" s="2" t="inlineStr">
        <is>
          <t>โรงพยาบาลต้นสังกัด</t>
        </is>
      </c>
      <c r="E413" s="2" t="inlineStr">
        <is>
          <t>ประกันสุขภาพเอกชน</t>
        </is>
      </c>
      <c r="F413" s="2" t="inlineStr">
        <is>
          <t>กรมบัญชีกลางกระทรวงการคลัง</t>
        </is>
      </c>
      <c r="G413" s="2" t="inlineStr">
        <is>
          <t>สปสช</t>
        </is>
      </c>
      <c r="H413" s="2" t="inlineStr">
        <is>
          <t>สำนักงานประกันสังคม</t>
        </is>
      </c>
      <c r="I413" s="8" t="inlineStr">
        <is>
          <t>1</t>
        </is>
      </c>
      <c r="J413" s="2" t="inlineStr">
        <is>
          <t>✅ คำตอบที่ถูกต้อง: ข้อ ก. โรงพยาบาลต้นสังกัด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โรงพยาบาลต้นสังกัด การเลือก โรงพยาบาลต้นสังกัด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(ประกันสุขภาพเอกชน): ข้อนี้ไม่ใช่คำตอบที่ถูกต้องสำหรับภาวะ General Therapeutics เนื่องจากกลไกการออกฤทธิ์, efficacy หรือข้อบ่งใช้ไม่ตรงกับโจทย์ที่กำหนด
• ข้อ ค. (กรมบัญชีกลางกระทรวงการคลัง): ข้อนี้ไม่ใช่คำตอบที่ถูกต้องสำหรับภาวะ General Therapeutics เนื่องจากกลไกการออกฤทธิ์, efficacy หรือข้อบ่งใช้ไม่ตรงกับโจทย์ที่กำหนด
• ข้อ ง. (สปสช): ข้อนี้ไม่ใช่คำตอบที่ถูกต้องสำหรับภาวะ General Therapeutics เนื่องจากกลไกการออกฤทธิ์, efficacy หรือข้อบ่งใช้ไม่ตรงกับโจทย์ที่กำหนด
• ข้อ จ. (สำนักงานประกันสังคม):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3" s="2" t="n"/>
      <c r="L413" s="2" t="inlineStr">
        <is>
          <t>General Therapeutics</t>
        </is>
      </c>
      <c r="M413" s="2" t="inlineStr">
        <is>
          <t>Clinic</t>
        </is>
      </c>
      <c r="N413" s="2" t="inlineStr">
        <is>
          <t>ข้อ 31 (PLE_CC1_2562_Key.md)</t>
        </is>
      </c>
      <c r="O413" s="2" t="inlineStr">
        <is>
          <t>ข้อสอบจริง</t>
        </is>
      </c>
      <c r="P413" s="2" t="inlineStr">
        <is>
          <t>ปี 2562</t>
        </is>
      </c>
    </row>
    <row r="414" ht="13.2" customHeight="1" s="37">
      <c r="A414" s="8" t="inlineStr">
        <is>
          <t>435</t>
        </is>
      </c>
      <c r="B414" s="2" t="inlineStr">
        <is>
          <t>ภญ.ช มีความผิดหรือไม่อย่างไร X</t>
        </is>
      </c>
      <c r="C414" s="2" t="n"/>
      <c r="D414" s="2" t="inlineStr">
        <is>
          <t>ไม่ผิด เพราะไม่ได้เป็นคนขาย</t>
        </is>
      </c>
      <c r="E414" s="2" t="inlineStr">
        <is>
          <t>ไม่ผิด เพราะขายยาสามัญประจำบ้าน</t>
        </is>
      </c>
      <c r="F414" s="2" t="inlineStr">
        <is>
          <t>ผิด เพราะไม่อยู่ในเวลาเปิดทำการ</t>
        </is>
      </c>
      <c r="G414" s="2" t="inlineStr">
        <is>
          <t>ผิด เพราะไม่ดึงม่านบังยาอันตรายและยาควบคุมพิเศษ</t>
        </is>
      </c>
      <c r="H414" s="2" t="inlineStr">
        <is>
          <t>ผิด เพราะไม่ควบคุมการส่งมอบยาควบคุมพิเศษ</t>
        </is>
      </c>
      <c r="I414" s="8" t="inlineStr">
        <is>
          <t>1</t>
        </is>
      </c>
      <c r="J414" s="2" t="inlineStr">
        <is>
          <t>✅ คำตอบที่ถูกต้อง: ข้อ ก. ไม่ผิด เพราะไม่ได้เป็นคนขาย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ไม่ผิด เพราะไม่ได้เป็นคนขาย การเลือก ไม่ผิด เพราะไม่ได้เป็นคนขาย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(ไม่ผิด เพราะขายยาสามัญประจำบ้าน): ข้อนี้ไม่ใช่คำตอบที่ถูกต้องสำหรับภาวะ General Therapeutics เนื่องจากกลไกการออกฤทธิ์, efficacy หรือข้อบ่งใช้ไม่ตรงกับโจทย์ที่กำหนด
• ข้อ ค. (ผิด เพราะไม่อยู่ในเวลาเปิดทำการ): ข้อนี้ไม่ใช่คำตอบที่ถูกต้องสำหรับภาวะ General Therapeutics เนื่องจากกลไกการออกฤทธิ์, efficacy หรือข้อบ่งใช้ไม่ตรงกับโจทย์ที่กำหนด
• ข้อ ง. (ผิด เพราะไม่ดึงม่านบังยาอันตรายและยาควบคุมพิเศษ):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เพราะไม่ควบคุมการส่งมอบยาควบคุมพิเศษ):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4" s="2" t="n"/>
      <c r="L414" s="2" t="inlineStr">
        <is>
          <t>General Therapeutics</t>
        </is>
      </c>
      <c r="M414" s="2" t="inlineStr">
        <is>
          <t>Clinic</t>
        </is>
      </c>
      <c r="N414" s="2" t="inlineStr">
        <is>
          <t>ข้อ 34 (PLE_CC1_2562_Key.md)</t>
        </is>
      </c>
      <c r="O414" s="2" t="inlineStr">
        <is>
          <t>ข้อสอบจริง</t>
        </is>
      </c>
      <c r="P414" s="2" t="inlineStr">
        <is>
          <t>ปี 2562</t>
        </is>
      </c>
    </row>
    <row r="415" ht="13.2" customHeight="1" s="37">
      <c r="A415" s="8" t="inlineStr">
        <is>
          <t>436</t>
        </is>
      </c>
      <c r="B415" s="2" t="inlineStr">
        <is>
          <t>ถ้าภญ.ช. จะลาไปอบรม 4 เดือนต้องทำอย่างไร</t>
        </is>
      </c>
      <c r="C415" s="2" t="n"/>
      <c r="D415" s="2" t="inlineStr">
        <is>
          <t>แจ้งลาชั่วคราวกับสสจ. หาคนมาแทน</t>
        </is>
      </c>
      <c r="E415" s="2" t="inlineStr">
        <is>
          <t>ให้ร้านแจ้งลาชั่วคราวกับสสจ. กับหาคนมาแทน</t>
        </is>
      </c>
      <c r="F415" s="2" t="inlineStr">
        <is>
          <t>ไม่ต้องทำอะไร ร้านจะหาคนมาแทนเอง</t>
        </is>
      </c>
      <c r="G415" s="2" t="inlineStr">
        <is>
          <t>ไม่ต้องทำอะไร ร้านจะไม่ขายยาอันตรายและยาควบคุมพิเศษ</t>
        </is>
      </c>
      <c r="H415" s="2" t="inlineStr">
        <is>
          <t>ยกเลิกเป็นผู้ปฏิบัติการ</t>
        </is>
      </c>
      <c r="I415" s="8" t="inlineStr">
        <is>
          <t>1</t>
        </is>
      </c>
      <c r="J415" s="2" t="inlineStr">
        <is>
          <t>✅ คำตอบที่ถูกต้อง: ข้อ ก. แจ้งลาชั่วคราวกับสสจ. หาคนมาแทน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แจ้งลาชั่วคราวกับสสจ. หาคนมาแทน การเลือก แจ้งลาชั่วคราวกับสสจ. หาคนมาแทน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(ให้ร้านแจ้งลาชั่วคราวกับสสจ. กับหาคนมาแทน): ข้อนี้ไม่ใช่คำตอบที่ถูกต้องสำหรับภาวะ General Therapeutics เนื่องจากกลไกการออกฤทธิ์, efficacy หรือข้อบ่งใช้ไม่ตรงกับโจทย์ที่กำหนด
• ข้อ ค. (ไม่ต้องทำอะไร ร้านจะหาคนมาแทนเอง): ข้อนี้ไม่ใช่คำตอบที่ถูกต้องสำหรับภาวะ General Therapeutics เนื่องจากกลไกการออกฤทธิ์, efficacy หรือข้อบ่งใช้ไม่ตรงกับโจทย์ที่กำหนด
• ข้อ ง. (ไม่ต้องทำอะไร ร้านจะไม่ขายยาอันตรายและยาควบคุมพิเศษ):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(ยกเลิกเป็นผู้ปฏิบัติการ):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5" s="2" t="n"/>
      <c r="L415" s="2" t="inlineStr">
        <is>
          <t>General Therapeutics</t>
        </is>
      </c>
      <c r="M415" s="2" t="inlineStr">
        <is>
          <t>Clinic</t>
        </is>
      </c>
      <c r="N415" s="2" t="inlineStr">
        <is>
          <t>ข้อ 36 (PLE_CC1_2562_Key.md)</t>
        </is>
      </c>
      <c r="O415" s="2" t="inlineStr">
        <is>
          <t>ข้อสอบจริง</t>
        </is>
      </c>
      <c r="P415" s="2" t="inlineStr">
        <is>
          <t>ปี 2562</t>
        </is>
      </c>
    </row>
    <row r="416" ht="13.2" customHeight="1" s="37">
      <c r="A416" s="8" t="inlineStr">
        <is>
          <t>437</t>
        </is>
      </c>
      <c r="B416" s="2" t="inlineStr">
        <is>
          <t>ถ้านาง ค ยกฟ้องจะได้หรือไม่ X</t>
        </is>
      </c>
      <c r="C416" s="2" t="n"/>
      <c r="D416" s="2" t="inlineStr">
        <is>
          <t>ได้ เพราะเป็นสิทธิ์ของผู้กล่าวหา</t>
        </is>
      </c>
      <c r="E416" s="2" t="inlineStr">
        <is>
          <t>ได้ เพราะเป็นสิทธิ์ของผู้กล่าวโทษ</t>
        </is>
      </c>
      <c r="F416" s="2" t="inlineStr">
        <is>
          <t>ไม่ได้ เพราะขึ้นกับดุลพินิจของกรรมการ</t>
        </is>
      </c>
      <c r="G416" s="2" t="inlineStr">
        <is>
          <t>ไม่ได้ เพราะขึ้นกับเรื่องที่ผิด</t>
        </is>
      </c>
      <c r="H416" s="2" t="inlineStr">
        <is>
          <t>ไม่มีข้อถูก</t>
        </is>
      </c>
      <c r="I416" s="8" t="inlineStr">
        <is>
          <t>1</t>
        </is>
      </c>
      <c r="J416" s="2" t="inlineStr">
        <is>
          <t>✅ คำตอบที่ถูกต้อง: ข้อ ก. ได้ เพราะเป็นสิทธิ์ของผู้กล่าวหา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ได้ เพราะเป็นสิทธิ์ของผู้กล่าวหา การเลือก ได้ เพราะเป็นสิทธิ์ของผู้กล่าวหา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(ได้ เพราะเป็นสิทธิ์ของผู้กล่าวโทษ): ข้อนี้ไม่ใช่คำตอบที่ถูกต้องสำหรับภาวะ General Therapeutics เนื่องจากกลไกการออกฤทธิ์, efficacy หรือข้อบ่งใช้ไม่ตรงกับโจทย์ที่กำหนด
• ข้อ ค. (ไม่ได้ เพราะขึ้นกับดุลพินิจของกรรมการ): ข้อนี้ไม่ใช่คำตอบที่ถูกต้องสำหรับภาวะ General Therapeutics เนื่องจากกลไกการออกฤทธิ์, efficacy หรือข้อบ่งใช้ไม่ตรงกับโจทย์ที่กำหนด
• ข้อ ง. (ไม่ได้ เพราะขึ้นกับเรื่องที่ผิด):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(ไม่มีข้อถูก):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6" s="2" t="n"/>
      <c r="L416" s="2" t="inlineStr">
        <is>
          <t>General Therapeutics</t>
        </is>
      </c>
      <c r="M416" s="2" t="inlineStr">
        <is>
          <t>Clinic</t>
        </is>
      </c>
      <c r="N416" s="2" t="inlineStr">
        <is>
          <t>ข้อ 37 (PLE_CC1_2562_Key.md)</t>
        </is>
      </c>
      <c r="O416" s="2" t="inlineStr">
        <is>
          <t>ข้อสอบจริง</t>
        </is>
      </c>
      <c r="P416" s="2" t="inlineStr">
        <is>
          <t>ปี 2562</t>
        </is>
      </c>
    </row>
    <row r="417" ht="13.2" customHeight="1" s="37">
      <c r="A417" s="8" t="inlineStr">
        <is>
          <t>438</t>
        </is>
      </c>
      <c r="B417" s="2" t="inlineStr">
        <is>
          <t>ถ้าลืมกิน exlotonห เกิน 12 ชั่วโมง Meinsing s war.</t>
        </is>
      </c>
      <c r="C417" s="2" t="n"/>
      <c r="D417" s="2" t="inlineStr">
        <is>
          <t>เมื่อคืนได้ทันที 1 เม็ด ที่เหลือรับประทานตามปกติ ไม่ต้องคุมกำเนิดวิธีอื่น</t>
        </is>
      </c>
      <c r="E417" s="2" t="inlineStr">
        <is>
          <t>ทานทันทีที่นึกขึ้นได้ 2 เม็ดต่อไปวันละเม็ด</t>
        </is>
      </c>
      <c r="F417" s="2" t="inlineStr">
        <is>
          <t>ถ้าเป็นช่วงสัปดาห์แรก ทานยาคุมกำเนิดฉุกเฉินทันที ถ้ามีเพศสัมพันธ์ทานยาต่อไปตามปกติและคุมกำเนิดด้วยวิธีอื่น X ร่วมด้วย อย่างน้อย 7 วัน</t>
        </is>
      </c>
      <c r="G417" s="2" t="inlineStr">
        <is>
          <t>ทิ้งเม็ดที่เหลือ คุมกำเนิดด้วยวิธีอื่น รอประจำเดือนมาแล้วค่อยเริ่มใหม่</t>
        </is>
      </c>
      <c r="H417" s="2" t="inlineStr">
        <is>
          <t>นึกขึ้นได้ ทานทันที 1 เม็ดที่เหลือทานตามปกติ คุมกำเนิดวิธีอื่นร่วมด้วย อย่างน้อย 7 วัน ไม่จำเป็นต้องทานยา คุมกำเนิดฉุกเฉิน</t>
        </is>
      </c>
      <c r="I417" s="8" t="inlineStr">
        <is>
          <t>1</t>
        </is>
      </c>
      <c r="J417" s="2" t="inlineStr">
        <is>
          <t>✅ คำตอบที่ถูกต้อง: ข้อ ก. เมื่อคืนได้ทันที 1 เม็ด ที่เหลือรับประทานตามปกติ ไม่ต้องคุมกำเนิดวิธีอื่น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เมื่อคืนได้ทันที 1 เม็ด ที่เหลือรับประทานตามปกติ ไม่ต้องคุมกำเนิดวิธีอื่น การเลือก เมื่อคืนได้ทันที 1 เม็ด ที่เหลือรับประทานตามปกติ ไม่ต้องคุมกำเนิดวิธีอื่น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(ทานทันทีที่นึกขึ้นได้ 2 เม็ดต่อไปวันละเม็ด): ข้อนี้ไม่ใช่คำตอบที่ถูกต้องสำหรับภาวะ General Therapeutics เนื่องจากกลไกการออกฤทธิ์, efficacy หรือข้อบ่งใช้ไม่ตรงกับโจทย์ที่กำหนด
• ข้อ ค. (ถ้าเป็นช่วงสัปดาห์แรก ทานยาคุมกำเนิดฉุกเฉินทันที ถ้ามีเพศสัมพันธ์ทานยาต่อไปตามปกติและคุมกำเนิดด้วยวิธีอื่น X ร่วมด้วย อย่างน้อย 7 วัน): ข้อนี้ไม่ใช่คำตอบที่ถูกต้องสำหรับภาวะ General Therapeutics เนื่องจากกลไกการออกฤทธิ์, efficacy หรือข้อบ่งใช้ไม่ตรงกับโจทย์ที่กำหนด
• ข้อ ง. (ทิ้งเม็ดที่เหลือ คุมกำเนิดด้วยวิธีอื่น รอประจำเดือนมาแล้วค่อยเริ่มใหม่): ข้อนี้ไม่ใช่คำตอบที่ถูกต้องสำหรับภาวะ General Therapeutics เนื่องจากกลไกการออกฤทธิ์, efficacy หรือข้อบ่งใช้ไม่ตรงกับโจทย์ที่กำหนด
• ข้อ จ. (นึกขึ้นได้ ทานทันที 1 เม็ดที่เหลือทานตามปกติ คุมกำเนิดวิธีอื่นร่วมด้วย อย่างน้อย 7 วัน ไม่จำเป็นต้องทานยา คุมกำเนิดฉุกเฉิน):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7" s="2" t="n"/>
      <c r="L417" s="2" t="inlineStr">
        <is>
          <t>General Therapeutics</t>
        </is>
      </c>
      <c r="M417" s="2" t="inlineStr">
        <is>
          <t>Clinic</t>
        </is>
      </c>
      <c r="N417" s="2" t="inlineStr">
        <is>
          <t>ข้อ 44 (PLE_CC1_2562_Key.md)</t>
        </is>
      </c>
      <c r="O417" s="2" t="inlineStr">
        <is>
          <t>ข้อสอบจริง</t>
        </is>
      </c>
      <c r="P417" s="2" t="inlineStr">
        <is>
          <t>ปี 2562</t>
        </is>
      </c>
    </row>
    <row r="418" ht="13.2" customHeight="1" s="37">
      <c r="A418" s="8" t="inlineStr">
        <is>
          <t>439</t>
        </is>
      </c>
      <c r="B418" s="2" t="inlineStr">
        <is>
          <t>Cyproterone acetate ทำให้เกิดอาการไม่พึงประสงค์ข้อใด X ~</t>
        </is>
      </c>
      <c r="C418" s="2" t="n"/>
      <c r="D418" s="2" t="inlineStr">
        <is>
          <t>น้ำหนักลด</t>
        </is>
      </c>
      <c r="E418" s="2" t="inlineStr">
        <is>
          <t>ผิวมัน มีสิว</t>
        </is>
      </c>
      <c r="F418" s="2" t="inlineStr">
        <is>
          <t>ขนดกลดลง</t>
        </is>
      </c>
      <c r="G418" s="2" t="inlineStr">
        <is>
          <t>เบื่ออาหาร</t>
        </is>
      </c>
      <c r="H418" s="2" t="inlineStr">
        <is>
          <t>เลือดออกกะปิดกะปอยทางช่องคลอด</t>
        </is>
      </c>
      <c r="I418" s="8" t="inlineStr">
        <is>
          <t>1</t>
        </is>
      </c>
      <c r="J418" s="2" t="inlineStr">
        <is>
          <t>✅ คำตอบที่ถูกต้อง: ข้อ ก. น้ำหนักลด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น้ำหนักลด การเลือก น้ำหนักลด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(ผิวมัน มีสิว): ข้อนี้ไม่ใช่คำตอบที่ถูกต้องสำหรับภาวะ General Therapeutics เนื่องจากกลไกการออกฤทธิ์, efficacy หรือข้อบ่งใช้ไม่ตรงกับโจทย์ที่กำหนด
• ข้อ ค. (ขนดกลดลง): ข้อนี้ไม่ใช่คำตอบที่ถูกต้องสำหรับภาวะ General Therapeutics เนื่องจากกลไกการออกฤทธิ์, efficacy หรือข้อบ่งใช้ไม่ตรงกับโจทย์ที่กำหนด
• ข้อ ง. (เบื่ออาหาร): ข้อนี้ไม่ใช่คำตอบที่ถูกต้องสำหรับภาวะ General Therapeutics เนื่องจากกลไกการออกฤทธิ์, efficacy หรือข้อบ่งใช้ไม่ตรงกับโจทย์ที่กำหนด
• ข้อ จ. (เลือดออกกะปิดกะปอยทางช่องคลอด):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8" s="2" t="n"/>
      <c r="L418" s="2" t="inlineStr">
        <is>
          <t>General Therapeutics</t>
        </is>
      </c>
      <c r="M418" s="2" t="inlineStr">
        <is>
          <t>Clinic</t>
        </is>
      </c>
      <c r="N418" s="2" t="inlineStr">
        <is>
          <t>ข้อ 46 (PLE_CC1_2562_Key.md)</t>
        </is>
      </c>
      <c r="O418" s="2" t="inlineStr">
        <is>
          <t>ข้อสอบจริง</t>
        </is>
      </c>
      <c r="P418" s="2" t="inlineStr">
        <is>
          <t>ปี 2562</t>
        </is>
      </c>
    </row>
    <row r="419" ht="13.2" customHeight="1" s="37">
      <c r="A419" s="8" t="inlineStr">
        <is>
          <t>440</t>
        </is>
      </c>
      <c r="B419" s="2" t="inlineStr">
        <is>
          <t>2 = M ~ X ิ 25 V = 0 . 25mh M = 0 .25x2x1000 = 50 m, ↑</t>
        </is>
      </c>
      <c r="C419" s="2" t="n"/>
      <c r="D419" s="2" t="inlineStr">
        <is>
          <t>HPLC</t>
        </is>
      </c>
      <c r="E419" s="2" t="inlineStr">
        <is>
          <t>UV</t>
        </is>
      </c>
      <c r="F419" s="2" t="inlineStr">
        <is>
          <t>Polarimeter</t>
        </is>
      </c>
      <c r="G419" s="2" t="inlineStr">
        <is>
          <t>Infrared spectoscope</t>
        </is>
      </c>
      <c r="H419" s="2" t="inlineStr">
        <is>
          <t>NMR X หË´มนาÆปทาซËาทืกกรณิ ÂวËนาต้จ²ÆดËรงบ¯นืญ´ต สถานการณ์ที่ 7</t>
        </is>
      </c>
      <c r="I419" s="8" t="inlineStr">
        <is>
          <t>1</t>
        </is>
      </c>
      <c r="J419" s="2" t="inlineStr">
        <is>
          <t>✅ คำตอบที่ถูกต้อง: ข้อ ก. HPLC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HPLC ผู้ป่วยหญิงอายุ 54 ปี เป็นมะเร็งเต้านมระยะเบื้องต้น ได้รับการรักษาด้วยยา trastuzumab มาพบแพทย์ตามปกติ พบว่าอาการเป็นปกติ BP 150/65 (วัดครั้งก่อน 145/70) HR100 bpm ได้รับการวินิจฉัยว่ามีภาวะความดันโลหิตสูง
🔍 ข้ออื่นผิดเพราะอะไร:
• ข้อ ข. (UV): ข้อนี้ไม่ใช่คำตอบที่ถูกต้องสำหรับภาวะ General Therapeutics เนื่องจากกลไกการออกฤทธิ์, efficacy หรือข้อบ่งใช้ไม่ตรงกับโจทย์ที่กำหนด
• ข้อ ค. (Polarimeter): ข้อนี้ไม่ใช่คำตอบที่ถูกต้องสำหรับภาวะ General Therapeutics เนื่องจากกลไกการออกฤทธิ์, efficacy หรือข้อบ่งใช้ไม่ตรงกับโจทย์ที่กำหนด
• ข้อ ง. (Infrared spectoscope): ข้อนี้ไม่ใช่คำตอบที่ถูกต้องสำหรับภาวะ General Therapeutics เนื่องจากกลไกการออกฤทธิ์, efficacy หรือข้อบ่งใช้ไม่ตรงกับโจทย์ที่กำหนด
• ข้อ จ. (NMR X หË´มนาÆปทาซËาทืกกรณิ ÂวËนาต้จ²ÆดËรงบ¯นืญ´ต สถานการณ์ที่ 7):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9" s="2" t="n"/>
      <c r="L419" s="2" t="inlineStr">
        <is>
          <t>General Therapeutics</t>
        </is>
      </c>
      <c r="M419" s="2" t="inlineStr">
        <is>
          <t>Clinic</t>
        </is>
      </c>
      <c r="N419" s="2" t="inlineStr">
        <is>
          <t>ข้อ 0 (PLE_CC1_2562_Key.md)</t>
        </is>
      </c>
      <c r="O419" s="2" t="inlineStr">
        <is>
          <t>ข้อสอบจริง</t>
        </is>
      </c>
      <c r="P419" s="2" t="inlineStr">
        <is>
          <t>ปี 2562</t>
        </is>
      </c>
    </row>
    <row r="420" ht="13.2" customHeight="1" s="37">
      <c r="A420" s="8" t="inlineStr">
        <is>
          <t>441</t>
        </is>
      </c>
      <c r="B420" s="2" t="inlineStr">
        <is>
          <t>ยาใดเป็น Aromatase inhibitors genesis nesvenison - Presen X</t>
        </is>
      </c>
      <c r="C420" s="2" t="n"/>
      <c r="D420" s="2" t="inlineStr">
        <is>
          <t>Letrozofe</t>
        </is>
      </c>
      <c r="E420" s="2" t="inlineStr">
        <is>
          <t>Tamoxifen</t>
        </is>
      </c>
      <c r="F420" s="2" t="inlineStr">
        <is>
          <t>Erlotinib</t>
        </is>
      </c>
      <c r="G420" s="2" t="inlineStr">
        <is>
          <t>Cetuximab</t>
        </is>
      </c>
      <c r="H420" s="2" t="inlineStr">
        <is>
          <t>Vlncristine</t>
        </is>
      </c>
      <c r="I420" s="8" t="inlineStr">
        <is>
          <t>1</t>
        </is>
      </c>
      <c r="J420" s="2" t="inlineStr">
        <is>
          <t>✅ คำตอบที่ถูกต้อง: ข้อ ก. Letrozofe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Letrozofe การเลือก Letrozofe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(Tamoxifen): ข้อนี้ไม่ใช่คำตอบที่ถูกต้องสำหรับภาวะ General Therapeutics เนื่องจากกลไกการออกฤทธิ์, efficacy หรือข้อบ่งใช้ไม่ตรงกับโจทย์ที่กำหนด
• ข้อ ค. (Erlotinib): ข้อนี้ไม่ใช่คำตอบที่ถูกต้องสำหรับภาวะ General Therapeutics เนื่องจากกลไกการออกฤทธิ์, efficacy หรือข้อบ่งใช้ไม่ตรงกับโจทย์ที่กำหนด
• ข้อ ง. (Cetuximab): ข้อนี้ไม่ใช่คำตอบที่ถูกต้องสำหรับภาวะ General Therapeutics เนื่องจากกลไกการออกฤทธิ์, efficacy หรือข้อบ่งใช้ไม่ตรงกับโจทย์ที่กำหนด
• ข้อ จ. (Vlncristine):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0" s="2" t="n"/>
      <c r="L420" s="2" t="inlineStr">
        <is>
          <t>General Therapeutics</t>
        </is>
      </c>
      <c r="M420" s="2" t="inlineStr">
        <is>
          <t>Clinic</t>
        </is>
      </c>
      <c r="N420" s="2" t="inlineStr">
        <is>
          <t>ข้อ 56 (PLE_CC1_2562_Key.md)</t>
        </is>
      </c>
      <c r="O420" s="2" t="inlineStr">
        <is>
          <t>ข้อสอบจริง</t>
        </is>
      </c>
      <c r="P420" s="2" t="inlineStr">
        <is>
          <t>ปี 2562</t>
        </is>
      </c>
    </row>
    <row r="421" ht="13.2" customHeight="1" s="37">
      <c r="A421" s="8" t="inlineStr">
        <is>
          <t>442</t>
        </is>
      </c>
      <c r="B421" s="2" t="inlineStr">
        <is>
          <t>หลังได้รับออกซิเจนมา 24 ชั่วโมงผู้ป่วยควรได้รับยาอะไร -</t>
        </is>
      </c>
      <c r="C421" s="2" t="n"/>
      <c r="D421" s="2" t="inlineStr">
        <is>
          <t>Theophylline SR ช่วยให้หายใจสะดวก</t>
        </is>
      </c>
      <c r="E421" s="2" t="inlineStr">
        <is>
          <t>Montelukast ช่วยลดอาการอักเสบของหลอดลม</t>
        </is>
      </c>
      <c r="F421" s="2" t="inlineStr">
        <is>
          <t>Systemic corticosteroid พบผู้ป่วยมีความเสี่ยงอาการกำเริบ</t>
        </is>
      </c>
      <c r="G421" s="2" t="inlineStr">
        <is>
          <t>ให้ยาปฏิชีวนะ เพื่อป้องกันการติดเชื้อเนื่องจากเข้าเกณฑ์</t>
        </is>
      </c>
      <c r="H421" s="2" t="inlineStr">
        <is>
          <t>ให้ยาลดความดัน เพราะผู้ป่วยมีความดันสูงเกินเกณฑ์</t>
        </is>
      </c>
      <c r="I421" s="8" t="inlineStr">
        <is>
          <t>1</t>
        </is>
      </c>
      <c r="J421" s="2" t="inlineStr">
        <is>
          <t>✅ คำตอบที่ถูกต้อง: ข้อ ก. Theophylline SR ช่วยให้หายใจสะดวก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Theophylline SR ช่วยให้หายใจสะดวก การเลือก Theophylline SR ช่วยให้หายใจสะดวก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(Montelukast ช่วยลดอาการอักเสบของหลอดลม):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(Systemic corticosteroid พบผู้ป่วยมีความเสี่ยงอาการกำเริบ): ข้อนี้ไม่ใช่คำตอบที่ถูกต้องสำหรับภาวะ General Therapeutics เนื่องจากกลไกการออกฤทธิ์, efficacy หรือข้อบ่งใช้ไม่ตรงกับโจทย์ที่กำหนด
• ข้อ ง. (ให้ยาปฏิชีวนะ เพื่อป้องกันการติดเชื้อเนื่องจากเข้าเกณฑ์): ข้อนี้ไม่ใช่คำตอบที่ถูกต้องสำหรับภาวะ General Therapeutics เนื่องจากกลไกการออกฤทธิ์, efficacy หรือข้อบ่งใช้ไม่ตรงกับโจทย์ที่กำหนด
• ข้อ จ. (ให้ยาลดความดัน เพราะผู้ป่วยมีความดันสูงเกินเกณฑ์):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1" s="2" t="n"/>
      <c r="L421" s="2" t="inlineStr">
        <is>
          <t>General Therapeutics</t>
        </is>
      </c>
      <c r="M421" s="2" t="inlineStr">
        <is>
          <t>Clinic</t>
        </is>
      </c>
      <c r="N421" s="2" t="inlineStr">
        <is>
          <t>ข้อ 62 (PLE_CC1_2562_Key.md)</t>
        </is>
      </c>
      <c r="O421" s="2" t="inlineStr">
        <is>
          <t>ข้อสอบจริง</t>
        </is>
      </c>
      <c r="P421" s="2" t="inlineStr">
        <is>
          <t>ปี 2562</t>
        </is>
      </c>
    </row>
    <row r="422" ht="13.2" customHeight="1" s="37">
      <c r="A422" s="8" t="inlineStr">
        <is>
          <t>443</t>
        </is>
      </c>
      <c r="B422" s="2" t="inlineStr">
        <is>
          <t>ข้อใดถูกต้อง</t>
        </is>
      </c>
      <c r="C422" s="2" t="n"/>
      <c r="D422" s="2" t="inlineStr">
        <is>
          <t>Budesonide + formeterol ใช้ควบคุมอาการ</t>
        </is>
      </c>
      <c r="E422" s="2" t="inlineStr">
        <is>
          <t>Budesonide + formeterol ออกฤทธิ์ไวกว่า ipratopiun + fenoterol</t>
        </is>
      </c>
      <c r="F422" s="2" t="inlineStr">
        <is>
          <t>ห้ามใช้ ipratopiun + fenoterol ในผู้ที่เกิด asthma exacerbation</t>
        </is>
      </c>
      <c r="G422" s="2" t="inlineStr">
        <is>
          <t>Budesonide + formeterol ไม่ทำให้เกิดเชื้อราในช่องปาก</t>
        </is>
      </c>
      <c r="H422" s="2" t="inlineStr">
        <is>
          <t>Formeterol ทำให้เกิดเชื้อราในช่องปาก</t>
        </is>
      </c>
      <c r="I422" s="8" t="inlineStr">
        <is>
          <t>1</t>
        </is>
      </c>
      <c r="J422" s="2" t="inlineStr">
        <is>
          <t>✅ คำตอบที่ถูกต้อง: ข้อ ก. Budesonide + formeterol ใช้ควบคุมอาการ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Budesonide + formeterol ใช้ควบคุมอาการ การเลือก Budesonide + formeterol ใช้ควบคุมอาการ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(Budesonide + formeterol ออกฤทธิ์ไวกว่า ipratopiun + fenoterol):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(ห้ามใช้ ipratopiun + fenoterol ในผู้ที่เกิด asthma exacerbation): ข้อนี้ไม่ใช่คำตอบที่ถูกต้องสำหรับภาวะ General Therapeutics เนื่องจากกลไกการออกฤทธิ์, efficacy หรือข้อบ่งใช้ไม่ตรงกับโจทย์ที่กำหนด
• ข้อ ง. (Budesonide + formeterol ไม่ทำให้เกิดเชื้อราในช่องปาก):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(Formeterol ทำให้เกิดเชื้อราในช่องปาก):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2" s="2" t="n"/>
      <c r="L422" s="2" t="inlineStr">
        <is>
          <t>General Therapeutics</t>
        </is>
      </c>
      <c r="M422" s="2" t="inlineStr">
        <is>
          <t>Clinic</t>
        </is>
      </c>
      <c r="N422" s="2" t="inlineStr">
        <is>
          <t>ข้อ 64 (PLE_CC1_2562_Key.md)</t>
        </is>
      </c>
      <c r="O422" s="2" t="inlineStr">
        <is>
          <t>ข้อสอบจริง</t>
        </is>
      </c>
      <c r="P422" s="2" t="inlineStr">
        <is>
          <t>ปี 2562</t>
        </is>
      </c>
    </row>
    <row r="423" ht="13.2" customHeight="1" s="37">
      <c r="A423" s="8" t="inlineStr">
        <is>
          <t>444</t>
        </is>
      </c>
      <c r="B423" s="2" t="inlineStr">
        <is>
          <t>ผู้ป่วยควรได้รับยาต่างจากเดิมที่เคยใช้อย่างไร หลังออกจากโรงพยาบาล X 5 mg 0 .75 my -</t>
        </is>
      </c>
      <c r="C423" s="2" t="n"/>
      <c r="D423" s="2" t="inlineStr">
        <is>
          <t>เพิ่ม tiotopium handihaler 1 puff OD</t>
        </is>
      </c>
      <c r="E423" s="2" t="inlineStr">
        <is>
          <t>ให้ prednisolone</t>
        </is>
      </c>
      <c r="F423" s="2" t="inlineStr">
        <is>
          <t>ให้ antibiotic</t>
        </is>
      </c>
      <c r="G423" s="2" t="inlineStr">
        <is>
          <t>หยุด propanolol</t>
        </is>
      </c>
      <c r="H423" s="2" t="inlineStr">
        <is>
          <t>ฉีด pneumococcal vaccine</t>
        </is>
      </c>
      <c r="I423" s="8" t="inlineStr">
        <is>
          <t>1</t>
        </is>
      </c>
      <c r="J423" s="2" t="inlineStr">
        <is>
          <t>✅ คำตอบที่ถูกต้อง: ข้อ ก. เพิ่ม tiotopium handihaler 1 puff OD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เพิ่ม tiotopium handihaler 1 puff OD การเลือก เพิ่ม tiotopium handihaler 1 puff OD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 prednisolone): เป็น intermediate-acting systemic corticosteroid ขนาดยอดนิยมสำหรับ immunosuppressive &amp; anti-inflammatory therapy ต้องระวัง Cushingoid, infection, osteoporosis, peptic ulcer
• ข้อ ค. (ให้ antibiotic): ข้อนี้ไม่ใช่คำตอบที่ถูกต้องสำหรับภาวะ General Therapeutics เนื่องจากกลไกการออกฤทธิ์, efficacy หรือข้อบ่งใช้ไม่ตรงกับโจทย์ที่กำหนด
• ข้อ ง. (หยุด propanolol): ข้อนี้ไม่ใช่คำตอบที่ถูกต้องสำหรับภาวะ General Therapeutics เนื่องจากกลไกการออกฤทธิ์, efficacy หรือข้อบ่งใช้ไม่ตรงกับโจทย์ที่กำหนด
• ข้อ จ. (ฉีด pneumococcal vaccine):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3" s="2" t="n"/>
      <c r="L423" s="2" t="inlineStr">
        <is>
          <t>General Therapeutics</t>
        </is>
      </c>
      <c r="M423" s="2" t="inlineStr">
        <is>
          <t>Clinic</t>
        </is>
      </c>
      <c r="N423" s="2" t="inlineStr">
        <is>
          <t>ข้อ 66 (PLE_CC1_2562_Key.md)</t>
        </is>
      </c>
      <c r="O423" s="2" t="inlineStr">
        <is>
          <t>ข้อสอบจริง</t>
        </is>
      </c>
      <c r="P423" s="2" t="inlineStr">
        <is>
          <t>ปี 2562</t>
        </is>
      </c>
    </row>
    <row r="424" ht="13.2" customHeight="1" s="37">
      <c r="A424" s="8" t="inlineStr">
        <is>
          <t>445</t>
        </is>
      </c>
      <c r="B424" s="2" t="inlineStr">
        <is>
          <t>Ventolin evohaler เป็นยารูปแบบใด X s einein - MDL</t>
        </is>
      </c>
      <c r="C424" s="2" t="n"/>
      <c r="D424" s="2" t="inlineStr">
        <is>
          <t>Pressurized metered dose .powder for inhaler</t>
        </is>
      </c>
      <c r="E424" s="2" t="inlineStr">
        <is>
          <t>pressurized metered dose suspension for inhaler</t>
        </is>
      </c>
      <c r="F424" s="2" t="inlineStr">
        <is>
          <t>Nonpressurized metered dose powder for inhaler</t>
        </is>
      </c>
      <c r="G424" s="2" t="inlineStr">
        <is>
          <t>Nonpressurized metered dose solution for inhaler</t>
        </is>
      </c>
      <c r="H424" s="2" t="inlineStr">
        <is>
          <t>Nonpressurized metered dose suspension for inhaler</t>
        </is>
      </c>
      <c r="I424" s="8" t="inlineStr">
        <is>
          <t>1</t>
        </is>
      </c>
      <c r="J424" s="2" t="inlineStr">
        <is>
          <t>✅ คำตอบที่ถูกต้อง: ข้อ ก. Pressurized metered dose .powder for inhaler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Pressurized metered dose .powder for inhaler การเลือก Pressurized metered dose .powder for inhaler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(pressurized metered dose suspension for inhaler): ข้อนี้ไม่ใช่คำตอบที่ถูกต้องสำหรับภาวะ General Therapeutics เนื่องจากกลไกการออกฤทธิ์, efficacy หรือข้อบ่งใช้ไม่ตรงกับโจทย์ที่กำหนด
• ข้อ ค. (Nonpressurized metered dose powder for inhaler): ข้อนี้ไม่ใช่คำตอบที่ถูกต้องสำหรับภาวะ General Therapeutics เนื่องจากกลไกการออกฤทธิ์, efficacy หรือข้อบ่งใช้ไม่ตรงกับโจทย์ที่กำหนด
• ข้อ ง. (Nonpressurized metered dose solution for inhaler): ข้อนี้ไม่ใช่คำตอบที่ถูกต้องสำหรับภาวะ General Therapeutics เนื่องจากกลไกการออกฤทธิ์, efficacy หรือข้อบ่งใช้ไม่ตรงกับโจทย์ที่กำหนด
• ข้อ จ. (Nonpressurized metered dose suspension for inhaler):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4" s="2" t="n"/>
      <c r="L424" s="2" t="inlineStr">
        <is>
          <t>General Therapeutics</t>
        </is>
      </c>
      <c r="M424" s="2" t="inlineStr">
        <is>
          <t>Clinic</t>
        </is>
      </c>
      <c r="N424" s="2" t="inlineStr">
        <is>
          <t>ข้อ 68 (PLE_CC1_2562_Key.md)</t>
        </is>
      </c>
      <c r="O424" s="2" t="inlineStr">
        <is>
          <t>ข้อสอบจริง</t>
        </is>
      </c>
      <c r="P424" s="2" t="inlineStr">
        <is>
          <t>ปี 2562</t>
        </is>
      </c>
    </row>
    <row r="425" ht="13.2" customHeight="1" s="37">
      <c r="A425" s="8" t="inlineStr">
        <is>
          <t>446</t>
        </is>
      </c>
      <c r="B425" s="2" t="inlineStr">
        <is>
          <t>โครงสร้าง ACEI ตัวใดเป็น pro-drug ester</t>
        </is>
      </c>
      <c r="C425" s="2" t="n"/>
      <c r="D425" s="2" t="inlineStr">
        <is>
          <t>Hydrochlorothiazide 25 mg OD</t>
        </is>
      </c>
      <c r="E425" s="2" t="inlineStr">
        <is>
          <t>Atorvastatin 20 mg OD</t>
        </is>
      </c>
      <c r="F425" s="2" t="inlineStr">
        <is>
          <t>Simvastatin 20 mg HS</t>
        </is>
      </c>
      <c r="G425" s="2" t="inlineStr">
        <is>
          <t>Bisoprolol 5 mg OD</t>
        </is>
      </c>
      <c r="H425" s="2" t="inlineStr">
        <is>
          <t>Spironolactone 25 mg OD</t>
        </is>
      </c>
      <c r="I425" s="8" t="inlineStr">
        <is>
          <t>1</t>
        </is>
      </c>
      <c r="J425" s="2" t="inlineStr">
        <is>
          <t>✅ คำตอบที่ถูกต้อง: ข้อ ก. Hydrochlorothiazide 25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25" s="2" t="n"/>
      <c r="L425" s="2" t="inlineStr">
        <is>
          <t>Cardiovascular Diseases</t>
        </is>
      </c>
      <c r="M425" s="2" t="inlineStr">
        <is>
          <t>Clinic</t>
        </is>
      </c>
      <c r="N425" s="2" t="inlineStr">
        <is>
          <t>ข้อ 76 (PLE_CC1_2562_Key.md)</t>
        </is>
      </c>
      <c r="O425" s="2" t="inlineStr">
        <is>
          <t>ข้อสอบจริง</t>
        </is>
      </c>
      <c r="P425" s="2" t="inlineStr">
        <is>
          <t>ปี 2562</t>
        </is>
      </c>
    </row>
    <row r="426" ht="13.2" customHeight="1" s="37">
      <c r="A426" s="8" t="inlineStr">
        <is>
          <t>447</t>
        </is>
      </c>
      <c r="B426" s="2" t="inlineStr">
        <is>
          <t>ข้อใดถูกหากผู้ป่วยรับประทาน calcium carbonate และมีค่า Ca2+ = 10.3 mg/dl, phosphate = 5 mg/dl</t>
        </is>
      </c>
      <c r="C426" s="2" t="n"/>
      <c r="D426" s="2" t="inlineStr">
        <is>
          <t>เพิ่มขนาด calcium carbonate</t>
        </is>
      </c>
      <c r="E426" s="2" t="inlineStr">
        <is>
          <t>คง calcium carbonate และเพิ่ม savelamer</t>
        </is>
      </c>
      <c r="F426" s="2" t="inlineStr">
        <is>
          <t>เปลี่ยน calcium carbonate เป็น savelamer</t>
        </is>
      </c>
      <c r="G426" s="2" t="inlineStr">
        <is>
          <t>เปลี่ยน calcium carbonate เป็น calcium citrate</t>
        </is>
      </c>
      <c r="H426" s="2" t="inlineStr">
        <is>
          <t>เปลี่ยน calcium carbonate เป็น aluminum hydroxide</t>
        </is>
      </c>
      <c r="I426" s="8" t="inlineStr">
        <is>
          <t>1</t>
        </is>
      </c>
      <c r="J426" s="2" t="inlineStr">
        <is>
          <t>✅ คำตอบที่ถูกต้อง: ข้อ ก. เพิ่มขนาด calcium carbonate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เพิ่มขนาด calcium carbonate การเลือก เพิ่มขนาด calcium carbonate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ข. (คง calcium carbonate และเพิ่ม savelamer): เป็น Phosphate binder สำหรับ CKD ต้องเคี้ยวพร้อมอาหารเพื่อจับฟอสเฟตในทางเดินอาหาร และทำหน้าที่เสริมแคลเซียม
• ข้อ ค. (เปลี่ยน calcium carbonate เป็น savelamer): เป็น Phosphate binder สำหรับ CKD ต้องเคี้ยวพร้อมอาหารเพื่อจับฟอสเฟตในทางเดินอาหาร และทำหน้าที่เสริมแคลเซียม
• ข้อ ง. (เปลี่ยน calcium carbonate เป็น calcium citrate): เป็น Phosphate binder สำหรับ CKD ต้องเคี้ยวพร้อมอาหารเพื่อจับฟอสเฟตในทางเดินอาหาร และทำหน้าที่เสริมแคลเซียม
• ข้อ จ. (เปลี่ยน calcium carbonate เป็น aluminum hydroxide):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426" s="2" t="n"/>
      <c r="L426" s="2" t="inlineStr">
        <is>
          <t>Renal Diseases</t>
        </is>
      </c>
      <c r="M426" s="2" t="inlineStr">
        <is>
          <t>Clinic</t>
        </is>
      </c>
      <c r="N426" s="2" t="inlineStr">
        <is>
          <t>ข้อ 77 (PLE_CC1_2562_Key.md)</t>
        </is>
      </c>
      <c r="O426" s="2" t="inlineStr">
        <is>
          <t>ข้อสอบจริง</t>
        </is>
      </c>
      <c r="P426" s="2" t="inlineStr">
        <is>
          <t>ปี 2562</t>
        </is>
      </c>
    </row>
    <row r="427" ht="13.2" customHeight="1" s="37">
      <c r="A427" s="8" t="inlineStr">
        <is>
          <t>448</t>
        </is>
      </c>
      <c r="B427" s="2" t="inlineStr">
        <is>
          <t>กระบวนการใดที่เหมาะสมที่สุดในการผลิตยา calcium carbonate 1.5 g/เม็ด ถ้าผงยา calcium carbonate มี angle X eiWow Jos et and - of repose = 45 องศา และความสามารถในการตอกเม็ดยาต่ำ</t>
        </is>
      </c>
      <c r="C427" s="2" t="n"/>
      <c r="D427" s="2" t="inlineStr">
        <is>
          <t>Slugging process</t>
        </is>
      </c>
      <c r="E427" s="2" t="inlineStr">
        <is>
          <t>Pressure roll process</t>
        </is>
      </c>
      <c r="F427" s="2" t="inlineStr">
        <is>
          <t>Wet granulating process</t>
        </is>
      </c>
      <c r="G427" s="2" t="inlineStr">
        <is>
          <t>Direct compression process</t>
        </is>
      </c>
      <c r="H427" s="2" t="inlineStr">
        <is>
          <t>Moist activated direct compression process</t>
        </is>
      </c>
      <c r="I427" s="8" t="inlineStr">
        <is>
          <t>1</t>
        </is>
      </c>
      <c r="J427" s="2" t="inlineStr">
        <is>
          <t>✅ คำตอบที่ถูกต้อง: ข้อ ก. Slugging process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Slugging process การเลือก Slugging process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(Pressure roll process): ข้อนี้ไม่ใช่คำตอบที่ถูกต้องสำหรับภาวะ Renal Diseases เนื่องจากกลไกการออกฤทธิ์, efficacy หรือข้อบ่งใช้ไม่ตรงกับโจทย์ที่กำหนด
• ข้อ ค. (Wet granulating process): ข้อนี้ไม่ใช่คำตอบที่ถูกต้องสำหรับภาวะ Renal Diseases เนื่องจากกลไกการออกฤทธิ์, efficacy หรือข้อบ่งใช้ไม่ตรงกับโจทย์ที่กำหนด
• ข้อ ง. (Direct compression process): ข้อนี้ไม่ใช่คำตอบที่ถูกต้องสำหรับภาวะ Renal Diseases เนื่องจากกลไกการออกฤทธิ์, efficacy หรือข้อบ่งใช้ไม่ตรงกับโจทย์ที่กำหนด
• ข้อ จ. (Moist activated direct compression process):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427" s="2" t="n"/>
      <c r="L427" s="2" t="inlineStr">
        <is>
          <t>Renal Diseases</t>
        </is>
      </c>
      <c r="M427" s="2" t="inlineStr">
        <is>
          <t>Clinic</t>
        </is>
      </c>
      <c r="N427" s="2" t="inlineStr">
        <is>
          <t>ข้อ 79 (PLE_CC1_2562_Key.md)</t>
        </is>
      </c>
      <c r="O427" s="2" t="inlineStr">
        <is>
          <t>ข้อสอบจริง</t>
        </is>
      </c>
      <c r="P427" s="2" t="inlineStr">
        <is>
          <t>ปี 2562</t>
        </is>
      </c>
    </row>
    <row r="428" ht="13.2" customHeight="1" s="37">
      <c r="A428" s="8" t="inlineStr">
        <is>
          <t>449</t>
        </is>
      </c>
      <c r="B428" s="2" t="inlineStr">
        <is>
          <t>หากสูตรตำรับมีฝุ่นผงมากต้องปรับปริมาณของสารใดในสูตรตำรับ X Ms X - ↳nenion inaanits ciossians</t>
        </is>
      </c>
      <c r="C428" s="2" t="n"/>
      <c r="D428" s="2" t="inlineStr">
        <is>
          <t>PVP</t>
        </is>
      </c>
      <c r="E428" s="2" t="inlineStr">
        <is>
          <t>Starch</t>
        </is>
      </c>
      <c r="F428" s="2" t="inlineStr">
        <is>
          <t>Lactose</t>
        </is>
      </c>
      <c r="G428" s="2" t="inlineStr">
        <is>
          <t>Magnesium stearate</t>
        </is>
      </c>
      <c r="H428" s="2" t="inlineStr">
        <is>
          <t>Sodium starch glycolate</t>
        </is>
      </c>
      <c r="I428" s="8" t="inlineStr">
        <is>
          <t>1</t>
        </is>
      </c>
      <c r="J428" s="2" t="inlineStr">
        <is>
          <t>✅ คำตอบที่ถูกต้อง: ข้อ ก. PVP
💡 Background:
กฎหมายยาและจรรยาบรรณวิชาชีพมีขึ้นเพื่อคุ้มครองความปลอดภัยของผู้บริโภคตามมาตรฐาน Good Pharmacy Practice (GPP)
🎯 ทำไมข้อนี้ถึงถูก:
PVP 💡 คำอธิบายและข้อกำหนดทางกฎหมาย:
💡 คำอธิบายและข้อกำหนดทางกฎหมาย:
การเลือก PVP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(Starch): ข้อนี้ไม่ใช่คำตอบที่ถูกต้องสำหรับภาวะ Pharmacy Laws &amp; Ethics เนื่องจากกลไกการออกฤทธิ์, efficacy หรือข้อบ่งใช้ไม่ตรงกับโจทย์ที่กำหนด
• ข้อ ค. (Lactose): เป็น Diluent / Filler ยอดนิยม ละลายน้ำได้ดี ให้ mouthfeel ที่ดี แต่เกิด Maillard reaction (เม็ดยาเปลี่ยนเป็นสีน้ำตาล) เมื่อผสมกับ primary amine drugs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เป็น Superdisintegrant กลไกหลักคือ rapid swelling (พองตัวอย่างรวดเร็ว) ในน้ำโดยไม่เกิด viscous gel layer ช่วยให้เม็ดยาแตกตัวภายในไม่กี่นาที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8" s="2" t="n"/>
      <c r="L428" s="2" t="inlineStr">
        <is>
          <t>Pharmacy Laws &amp; Ethics</t>
        </is>
      </c>
      <c r="M428" s="2" t="inlineStr">
        <is>
          <t>SAP</t>
        </is>
      </c>
      <c r="N428" s="2" t="inlineStr">
        <is>
          <t>ข้อ 82 (PLE_CC1_2562_Key.md)</t>
        </is>
      </c>
      <c r="O428" s="2" t="inlineStr">
        <is>
          <t>ข้อสอบจริง</t>
        </is>
      </c>
      <c r="P428" s="2" t="inlineStr">
        <is>
          <t>ปี 2562</t>
        </is>
      </c>
    </row>
    <row r="429" ht="13.2" customHeight="1" s="37">
      <c r="A429" s="8" t="inlineStr">
        <is>
          <t>450</t>
        </is>
      </c>
      <c r="B429" s="2" t="inlineStr">
        <is>
          <t>ถ้าบริษัทส่ง calcium carbonate ที่หมดอายุก่อนที่จะมีอยู่ไหนคลัง เภสัชควรบริหารอย่างไร X -</t>
        </is>
      </c>
      <c r="C429" s="2" t="n"/>
      <c r="D429" s="2" t="inlineStr">
        <is>
          <t>FIFO</t>
        </is>
      </c>
      <c r="E429" s="2" t="inlineStr">
        <is>
          <t>FEFO</t>
        </is>
      </c>
      <c r="F429" s="2" t="inlineStr">
        <is>
          <t>PEAR</t>
        </is>
      </c>
      <c r="G429" s="2" t="inlineStr">
        <is>
          <t>FIFE</t>
        </is>
      </c>
      <c r="H429" s="2" t="inlineStr">
        <is>
          <t>FIFA</t>
        </is>
      </c>
      <c r="I429" s="8" t="inlineStr">
        <is>
          <t>1</t>
        </is>
      </c>
      <c r="J429" s="2" t="inlineStr">
        <is>
          <t>✅ คำตอบที่ถูกต้อง: ข้อ ก. FIFO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FIFO การเลือก FIFO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(FEFO): ข้อนี้ไม่ใช่คำตอบที่ถูกต้องสำหรับภาวะ Renal Diseases เนื่องจากกลไกการออกฤทธิ์, efficacy หรือข้อบ่งใช้ไม่ตรงกับโจทย์ที่กำหนด
• ข้อ ค. (PEAR): ข้อนี้ไม่ใช่คำตอบที่ถูกต้องสำหรับภาวะ Renal Diseases เนื่องจากกลไกการออกฤทธิ์, efficacy หรือข้อบ่งใช้ไม่ตรงกับโจทย์ที่กำหนด
• ข้อ ง. (FIFE): ข้อนี้ไม่ใช่คำตอบที่ถูกต้องสำหรับภาวะ Renal Diseases เนื่องจากกลไกการออกฤทธิ์, efficacy หรือข้อบ่งใช้ไม่ตรงกับโจทย์ที่กำหนด
• ข้อ จ. (FIFA):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429" s="2" t="n"/>
      <c r="L429" s="2" t="inlineStr">
        <is>
          <t>Renal Diseases</t>
        </is>
      </c>
      <c r="M429" s="2" t="inlineStr">
        <is>
          <t>Clinic</t>
        </is>
      </c>
      <c r="N429" s="2" t="inlineStr">
        <is>
          <t>ข้อ 83 (PLE_CC1_2562_Key.md)</t>
        </is>
      </c>
      <c r="O429" s="2" t="inlineStr">
        <is>
          <t>ข้อสอบจริง</t>
        </is>
      </c>
      <c r="P429" s="2" t="inlineStr">
        <is>
          <t>ปี 2562</t>
        </is>
      </c>
    </row>
    <row r="430" ht="13.2" customHeight="1" s="37">
      <c r="A430" s="8" t="inlineStr">
        <is>
          <t>451</t>
        </is>
      </c>
      <c r="B430" s="2" t="inlineStr">
        <is>
          <t>การจัดการที่เหมาะสมสำหรับอาการไอแห้งของผู้ป่วย A x</t>
        </is>
      </c>
      <c r="C430" s="2" t="n"/>
      <c r="D430" s="2" t="inlineStr">
        <is>
          <t>หยุดยา aspirin เปลี่ยนเป็น warfarin</t>
        </is>
      </c>
      <c r="E430" s="2" t="inlineStr">
        <is>
          <t>หยุดยา atenolol เปลี่ยนเป็น carvedilol</t>
        </is>
      </c>
      <c r="F430" s="2" t="inlineStr">
        <is>
          <t>หยุดยา enalapril เปลี่ยนเป็น candesartan</t>
        </is>
      </c>
      <c r="G430" s="2" t="inlineStr">
        <is>
          <t>หยุดยา enalapril เปลี่ยนเป็น hydralazine+ nitrate</t>
        </is>
      </c>
      <c r="H430" s="2" t="inlineStr">
        <is>
          <t>เป็นอาการไม่พึงประสงค์จากยาที่เกิดขึ้นได้ในระยะแรก</t>
        </is>
      </c>
      <c r="I430" s="8" t="inlineStr">
        <is>
          <t>1</t>
        </is>
      </c>
      <c r="J430" s="2" t="inlineStr">
        <is>
          <t>✅ คำตอบที่ถูกต้อง: ข้อ ก. หยุดยา aspirin เปลี่ยนเป็น warfarin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หยุดยา aspirin เปลี่ยนเป็น warfarin การเลือก หยุดยา aspirin เปลี่ยนเป็น warfarin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(หยุดยา atenolol เปลี่ยนเป็น carvedilol): เป็น non-selective beta-blocker ร่วมกับ alpha-1 blocker ช่วยลด afterload เป็น first-line GDMT ใน HFrEF ที่มี efficacy สูงในการลด mortality
• ข้อ ค. (หยุดยา enalapril เปลี่ยนเป็น candesartan): เป็น ACE inhibitor ลด Angiotensin II และ intraglomerular pressure มี renal protective efficacy เด่นชัดใน diabetic kidney disease แต่อาจเกิด dry cough จากการสะสมของ bradykinin
• ข้อ ง. (หยุดยา enalapril เปลี่ยนเป็น hydralazine+ nitrate): เป็น ACE inhibitor ลด Angiotensin II และ intraglomerular pressure มี renal protective efficacy เด่นชัดใน diabetic kidney disease แต่อาจเกิด dry cough จากการสะสมของ bradykinin
• ข้อ จ. (เป็นอาการไม่พึงประสงค์จากยาที่เกิดขึ้นได้ในระยะแรก):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K430" s="2" t="n"/>
      <c r="L430" s="2" t="inlineStr">
        <is>
          <t>General Therapeutics</t>
        </is>
      </c>
      <c r="M430" s="2" t="inlineStr">
        <is>
          <t>Clinic</t>
        </is>
      </c>
      <c r="N430" s="2" t="inlineStr">
        <is>
          <t>ข้อ 87 (PLE_CC1_2562_Key.md)</t>
        </is>
      </c>
      <c r="O430" s="2" t="inlineStr">
        <is>
          <t>ข้อสอบจริง</t>
        </is>
      </c>
      <c r="P430" s="2" t="inlineStr">
        <is>
          <t>ปี 2562</t>
        </is>
      </c>
    </row>
    <row r="431" ht="13.2" customHeight="1" s="37">
      <c r="A431" s="8" t="inlineStr">
        <is>
          <t>452</t>
        </is>
      </c>
      <c r="B431" s="2" t="inlineStr">
        <is>
          <t>อาการไม่พึงประสงค์ใดที่เกิดขึ้นหากได้รับยา ARB ร่วมกับยาเดิม ACEI ARBs - X = ~ -</t>
        </is>
      </c>
      <c r="C431" s="2" t="n"/>
      <c r="D431" s="2" t="inlineStr">
        <is>
          <t>Angioedema</t>
        </is>
      </c>
      <c r="E431" s="2" t="inlineStr">
        <is>
          <t>Hyperkalemia</t>
        </is>
      </c>
      <c r="F431" s="2" t="inlineStr">
        <is>
          <t>Hypercalcemia</t>
        </is>
      </c>
      <c r="G431" s="2" t="inlineStr">
        <is>
          <t>Hypomagnesemia</t>
        </is>
      </c>
      <c r="H431" s="2" t="inlineStr">
        <is>
          <t>Hyperglycemia</t>
        </is>
      </c>
      <c r="I431" s="8" t="inlineStr">
        <is>
          <t>1</t>
        </is>
      </c>
      <c r="J431" s="2" t="inlineStr">
        <is>
          <t>✅ คำตอบที่ถูกต้อง: ข้อ ก. Angioedema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Angioedema การเลือก Angioedema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(Hyperkalemia): ข้อนี้ไม่ใช่คำตอบที่ถูกต้องสำหรับภาวะ Cardiovascular Diseases เนื่องจากกลไกการออกฤทธิ์, efficacy หรือข้อบ่งใช้ไม่ตรงกับโจทย์ที่กำหนด
• ข้อ ค. (Hypercalcemia): ข้อนี้ไม่ใช่คำตอบที่ถูกต้องสำหรับภาวะ Cardiovascular Diseases เนื่องจากกลไกการออกฤทธิ์, efficacy หรือข้อบ่งใช้ไม่ตรงกับโจทย์ที่กำหนด
• ข้อ ง. (Hypomagnesemia): ข้อนี้ไม่ใช่คำตอบที่ถูกต้องสำหรับภาวะ Cardiovascular Diseases เนื่องจากกลไกการออกฤทธิ์, efficacy หรือข้อบ่งใช้ไม่ตรงกับโจทย์ที่กำหนด
• ข้อ จ. (Hyperglycemia):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1" s="2" t="n"/>
      <c r="L431" s="2" t="inlineStr">
        <is>
          <t>Cardiovascular Diseases</t>
        </is>
      </c>
      <c r="M431" s="2" t="inlineStr">
        <is>
          <t>Clinic</t>
        </is>
      </c>
      <c r="N431" s="2" t="inlineStr">
        <is>
          <t>ข้อ 88 (PLE_CC1_2562_Key.md)</t>
        </is>
      </c>
      <c r="O431" s="2" t="inlineStr">
        <is>
          <t>ข้อสอบจริง</t>
        </is>
      </c>
      <c r="P431" s="2" t="inlineStr">
        <is>
          <t>ปี 2562</t>
        </is>
      </c>
    </row>
    <row r="432" ht="13.2" customHeight="1" s="37">
      <c r="A432" s="8" t="inlineStr">
        <is>
          <t>453</t>
        </is>
      </c>
      <c r="B432" s="2" t="inlineStr">
        <is>
          <t>ผู้ป่วยมีความผิดปกติแบบใด</t>
        </is>
      </c>
      <c r="C432" s="2" t="n"/>
      <c r="D432" s="2" t="inlineStr">
        <is>
          <t>Normochromic normocytic anemia</t>
        </is>
      </c>
      <c r="E432" s="2" t="inlineStr">
        <is>
          <t>Normochromic microcytic anemia</t>
        </is>
      </c>
      <c r="F432" s="2" t="inlineStr">
        <is>
          <t>Hypochromic normocytic anemia</t>
        </is>
      </c>
      <c r="G432" s="2" t="inlineStr">
        <is>
          <t>Hypochromic microcytic anemia</t>
        </is>
      </c>
      <c r="H432" s="2" t="inlineStr">
        <is>
          <t>Hyperchromic macrocytic anemia</t>
        </is>
      </c>
      <c r="I432" s="8" t="inlineStr">
        <is>
          <t>1</t>
        </is>
      </c>
      <c r="J432" s="2" t="inlineStr">
        <is>
          <t>✅ คำตอบที่ถูกต้อง: ข้อ ก. Normochromic normocytic anemia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Normochromic normocytic anemia การเลือก Normochromic normocytic anemia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(Normochromic microcytic anemia): ข้อนี้ไม่ใช่คำตอบที่ถูกต้องสำหรับภาวะ General Therapeutics เนื่องจากกลไกการออกฤทธิ์, efficacy หรือข้อบ่งใช้ไม่ตรงกับโจทย์ที่กำหนด
• ข้อ ค. (Hypochromic normocytic anemia): ข้อนี้ไม่ใช่คำตอบที่ถูกต้องสำหรับภาวะ General Therapeutics เนื่องจากกลไกการออกฤทธิ์, efficacy หรือข้อบ่งใช้ไม่ตรงกับโจทย์ที่กำหนด
• ข้อ ง. (Hypochromic microcytic anemia): ข้อนี้ไม่ใช่คำตอบที่ถูกต้องสำหรับภาวะ General Therapeutics เนื่องจากกลไกการออกฤทธิ์, efficacy หรือข้อบ่งใช้ไม่ตรงกับโจทย์ที่กำหนด
• ข้อ จ. (Hyperchromic macrocytic anemia):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2" s="2" t="n"/>
      <c r="L432" s="2" t="inlineStr">
        <is>
          <t>General Therapeutics</t>
        </is>
      </c>
      <c r="M432" s="2" t="inlineStr">
        <is>
          <t>Clinic</t>
        </is>
      </c>
      <c r="N432" s="2" t="inlineStr">
        <is>
          <t>ข้อ 103 (PLE_CC1_2562_Key.md)</t>
        </is>
      </c>
      <c r="O432" s="2" t="inlineStr">
        <is>
          <t>ข้อสอบจริง</t>
        </is>
      </c>
      <c r="P432" s="2" t="inlineStr">
        <is>
          <t>ปี 2562</t>
        </is>
      </c>
    </row>
    <row r="433" ht="13.2" customHeight="1" s="37">
      <c r="A433" s="8" t="inlineStr">
        <is>
          <t>454</t>
        </is>
      </c>
      <c r="B433" s="2" t="inlineStr">
        <is>
          <t>ข้อใดไม่ใช่อาการไม่พึงประสงค์ของ deferiprone X yuson (deaf) O , o z</t>
        </is>
      </c>
      <c r="C433" s="2" t="n"/>
      <c r="D433" s="2" t="inlineStr">
        <is>
          <t>ถ่ายเหลว</t>
        </is>
      </c>
      <c r="E433" s="2" t="inlineStr">
        <is>
          <t>ปัสสาวะมีสีเข้ม</t>
        </is>
      </c>
      <c r="F433" s="2" t="inlineStr">
        <is>
          <t>เพิ่มเอนไซม์ตับ</t>
        </is>
      </c>
      <c r="G433" s="2" t="inlineStr">
        <is>
          <t>Agranulocytosis</t>
        </is>
      </c>
      <c r="H433" s="2" t="inlineStr">
        <is>
          <t>เพิ่ม serum creatinine dioxide, magnesium stearate, SLS, PEG 800</t>
        </is>
      </c>
      <c r="I433" s="8" t="inlineStr">
        <is>
          <t>1</t>
        </is>
      </c>
      <c r="J433" s="2" t="inlineStr">
        <is>
          <t>✅ คำตอบที่ถูกต้อง: ข้อ ก. ถ่ายเหลว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ถ่ายเหลว Deferiprone orodispersible tablet ประกอบ deferiprone, lactose, croscarmellose, PVP K30, colloiadal silica
🔍 ข้ออื่นผิดเพราะอะไร:
• ข้อ ข. (ปัสสาวะมีสีเข้ม): ข้อนี้ไม่ใช่คำตอบที่ถูกต้องสำหรับภาวะ General Therapeutics เนื่องจากกลไกการออกฤทธิ์, efficacy หรือข้อบ่งใช้ไม่ตรงกับโจทย์ที่กำหนด
• ข้อ ค. (เพิ่มเอนไซม์ตับ): ข้อนี้ไม่ใช่คำตอบที่ถูกต้องสำหรับภาวะ General Therapeutics เนื่องจากกลไกการออกฤทธิ์, efficacy หรือข้อบ่งใช้ไม่ตรงกับโจทย์ที่กำหนด
• ข้อ ง. (Agranulocytosis): ข้อนี้ไม่ใช่คำตอบที่ถูกต้องสำหรับภาวะ General Therapeutics เนื่องจากกลไกการออกฤทธิ์, efficacy หรือข้อบ่งใช้ไม่ตรงกับโจทย์ที่กำหนด
• ข้อ จ. (เพิ่ม serum creatinine dioxide, magnesium stearate, SLS, PEG 800):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3" s="2" t="n"/>
      <c r="L433" s="2" t="inlineStr">
        <is>
          <t>General Therapeutics</t>
        </is>
      </c>
      <c r="M433" s="2" t="inlineStr">
        <is>
          <t>Clinic</t>
        </is>
      </c>
      <c r="N433" s="2" t="inlineStr">
        <is>
          <t>ข้อ 106 (PLE_CC1_2562_Key.md)</t>
        </is>
      </c>
      <c r="O433" s="2" t="inlineStr">
        <is>
          <t>ข้อสอบจริง</t>
        </is>
      </c>
      <c r="P433" s="2" t="inlineStr">
        <is>
          <t>ปี 2562</t>
        </is>
      </c>
    </row>
    <row r="434" ht="13.2" customHeight="1" s="37">
      <c r="A434" s="8" t="inlineStr">
        <is>
          <t>455</t>
        </is>
      </c>
      <c r="B434" s="2" t="inlineStr">
        <is>
          <t>5 + log lineed 1 = loglinneed Isniceed →u = หË´มนาÆปทาซËาทืกกรณิ ÂวËนาต้จ²ÆดËรงบ¯นืญ´ต</t>
        </is>
      </c>
      <c r="C434" s="2" t="n"/>
      <c r="D434" s="2" t="inlineStr">
        <is>
          <t>Dimercaprol (BAL) 3 mg/kg IM</t>
        </is>
      </c>
      <c r="E434" s="2" t="inlineStr">
        <is>
          <t>Ethanol 10% IV infusion for Methanol poisoning</t>
        </is>
      </c>
      <c r="F434" s="2" t="inlineStr">
        <is>
          <t>Fomepizole 15 mg/kg IV loading</t>
        </is>
      </c>
      <c r="G434" s="2" t="inlineStr">
        <is>
          <t>N-acetylcysteine (NAC) IV infusion protocol</t>
        </is>
      </c>
      <c r="H434" s="2" t="inlineStr">
        <is>
          <t>Atropine sulfate 2 mg IV Q5-10 min</t>
        </is>
      </c>
      <c r="I434" s="8" t="inlineStr">
        <is>
          <t>1</t>
        </is>
      </c>
      <c r="J4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4" s="2" t="n"/>
      <c r="L434" s="2" t="inlineStr">
        <is>
          <t>General Therapeutics</t>
        </is>
      </c>
      <c r="M434" s="2" t="inlineStr">
        <is>
          <t>Clinic</t>
        </is>
      </c>
      <c r="N434" s="2" t="inlineStr">
        <is>
          <t>ข้อ 4 (PLE_CC1_2562_Key.md)</t>
        </is>
      </c>
      <c r="O434" s="2" t="inlineStr">
        <is>
          <t>ข้อสอบจริง</t>
        </is>
      </c>
      <c r="P434" s="2" t="inlineStr">
        <is>
          <t>ปี 2562</t>
        </is>
      </c>
    </row>
    <row r="435" ht="13.2" customHeight="1" s="37">
      <c r="A435" s="8" t="inlineStr">
        <is>
          <t>456</t>
        </is>
      </c>
      <c r="B435" s="2" t="inlineStr">
        <is>
          <t>หากผูป%วยมีอาการไอ ขอใดคือสาเหตุการไอของผูป%วยรายนี้</t>
        </is>
      </c>
      <c r="C435" s="2" t="n"/>
      <c r="D435" s="2" t="inlineStr">
        <is>
          <t>ยับยั้ง cox-1</t>
        </is>
      </c>
      <c r="E435" s="2" t="inlineStr">
        <is>
          <t>ยับยั้ง cox-2</t>
        </is>
      </c>
      <c r="F435" s="2" t="inlineStr">
        <is>
          <t>ยับยั้ง CYP3A4</t>
        </is>
      </c>
      <c r="G435" s="2" t="inlineStr">
        <is>
          <t>มี bradykinin สูงขึ้น</t>
        </is>
      </c>
      <c r="H435" s="2" t="inlineStr">
        <is>
          <t>มี bradykinin นอยลง</t>
        </is>
      </c>
      <c r="I435" s="8" t="inlineStr">
        <is>
          <t>1</t>
        </is>
      </c>
      <c r="J435" s="2" t="inlineStr">
        <is>
          <t>✅ คำตอบที่ถูกต้อง: ข้อ ก. ยับยั้ง cox-1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cox-1 การเลือก ยับยั้ง cox-1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 cox-2): ข้อนี้ไม่ใช่คำตอบที่ถูกต้องสำหรับภาวะ General Therapeutics เนื่องจากกลไกการออกฤทธิ์, efficacy หรือข้อบ่งใช้ไม่ตรงกับโจทย์ที่กำหนด
• ข้อ ค. (ยับยั้ง CYP3A4): ข้อนี้ไม่ใช่คำตอบที่ถูกต้องสำหรับภาวะ General Therapeutics เนื่องจากกลไกการออกฤทธิ์, efficacy หรือข้อบ่งใช้ไม่ตรงกับโจทย์ที่กำหนด
• ข้อ ง. (มี bradykinin สูงขึ้น): ข้อนี้ไม่ใช่คำตอบที่ถูกต้องสำหรับภาวะ General Therapeutics เนื่องจากกลไกการออกฤทธิ์, efficacy หรือข้อบ่งใช้ไม่ตรงกับโจทย์ที่กำหนด
• ข้อ จ. (มี bradykinin นอยลง):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5" s="2" t="n"/>
      <c r="L435" s="2" t="inlineStr">
        <is>
          <t>General Therapeutics</t>
        </is>
      </c>
      <c r="M435" s="2" t="inlineStr">
        <is>
          <t>Clinic</t>
        </is>
      </c>
      <c r="N435" s="2" t="inlineStr">
        <is>
          <t>ข้อ 5 (PLE_CC1_2561_Key.md)</t>
        </is>
      </c>
      <c r="O435" s="2" t="inlineStr">
        <is>
          <t>ข้อสอบจริง</t>
        </is>
      </c>
      <c r="P435" s="2" t="inlineStr">
        <is>
          <t>ปี 2561</t>
        </is>
      </c>
    </row>
    <row r="436" ht="13.2" customHeight="1" s="37">
      <c r="A436" s="8" t="inlineStr">
        <is>
          <t>457</t>
        </is>
      </c>
      <c r="B436" s="2" t="inlineStr">
        <is>
          <t>ยาใดที่ทำใหเกิดอาการดังกล!าวได</t>
        </is>
      </c>
      <c r="C436" s="2" t="n"/>
      <c r="D436" s="2" t="inlineStr">
        <is>
          <t>Aspirin</t>
        </is>
      </c>
      <c r="E436" s="2" t="inlineStr">
        <is>
          <t>Glipizide</t>
        </is>
      </c>
      <c r="F436" s="2" t="inlineStr">
        <is>
          <t>Metformin</t>
        </is>
      </c>
      <c r="G436" s="2" t="inlineStr">
        <is>
          <t>Carvedilol</t>
        </is>
      </c>
      <c r="H436" s="2" t="inlineStr">
        <is>
          <t>Pioglitazone</t>
        </is>
      </c>
      <c r="I436" s="8" t="inlineStr">
        <is>
          <t>1</t>
        </is>
      </c>
      <c r="J436" s="2" t="inlineStr">
        <is>
          <t>✅ คำตอบที่ถูกต้อง: ข้อ ก.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(Carvedilol): เป็น non-selective beta-blocker ร่วมกับ alpha-1 blocker ช่วยลด afterload เป็น first-line GDMT ใน HFrEF ที่มี efficacy สูงในการลด mortality
• ข้อ จ. (Pioglitazone):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6" s="2" t="n"/>
      <c r="L436" s="2" t="inlineStr">
        <is>
          <t>General Therapeutics</t>
        </is>
      </c>
      <c r="M436" s="2" t="inlineStr">
        <is>
          <t>Clinic</t>
        </is>
      </c>
      <c r="N436" s="2" t="inlineStr">
        <is>
          <t>ข้อ 7 (PLE_CC1_2561_Key.md)</t>
        </is>
      </c>
      <c r="O436" s="2" t="inlineStr">
        <is>
          <t>ข้อสอบจริง</t>
        </is>
      </c>
      <c r="P436" s="2" t="inlineStr">
        <is>
          <t>ปี 2561</t>
        </is>
      </c>
    </row>
    <row r="437" ht="13.2" customHeight="1" s="37">
      <c r="A437" s="8" t="inlineStr">
        <is>
          <t>458</t>
        </is>
      </c>
      <c r="B437" s="2" t="inlineStr">
        <is>
          <t>ยาที่จะทำใหอยู!ในรูปของ control release จะตองมีคุณสมบัติ อย!างไร mm x</t>
        </is>
      </c>
      <c r="C437" s="2" t="n"/>
      <c r="D437" s="2" t="inlineStr">
        <is>
          <t>ยาละลายน้ำไดดี</t>
        </is>
      </c>
      <c r="E437" s="2" t="inlineStr">
        <is>
          <t>มีค!าครึ่งชีวิตยาว</t>
        </is>
      </c>
      <c r="F437" s="2" t="inlineStr">
        <is>
          <t>มีดัชนีการรักษากวาง</t>
        </is>
      </c>
      <c r="G437" s="2" t="inlineStr">
        <is>
          <t>สลายตัวไดง!ายที่สภาวะเปEนกรด</t>
        </is>
      </c>
      <c r="H437" s="2" t="inlineStr">
        <is>
          <t>เหมาะกับยาที่มวลโมเลกุลขนาดใหญ! n.nowa</t>
        </is>
      </c>
      <c r="I437" s="8" t="inlineStr">
        <is>
          <t>1</t>
        </is>
      </c>
      <c r="J437" s="2" t="inlineStr">
        <is>
          <t>✅ คำตอบที่ถูกต้อง: ข้อ ก. ยาละลายน้ำไดดี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ยาละลายน้ำไดดี การเลือก ยาละลายน้ำไดดี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(มีค!าครึ่งชีวิตยาว): ข้อนี้ไม่ใช่คำตอบที่ถูกต้องสำหรับภาวะ General Therapeutics เนื่องจากกลไกการออกฤทธิ์, efficacy หรือข้อบ่งใช้ไม่ตรงกับโจทย์ที่กำหนด
• ข้อ ค. (มีดัชนีการรักษากวาง): ข้อนี้ไม่ใช่คำตอบที่ถูกต้องสำหรับภาวะ General Therapeutics เนื่องจากกลไกการออกฤทธิ์, efficacy หรือข้อบ่งใช้ไม่ตรงกับโจทย์ที่กำหนด
• ข้อ ง. (สลายตัวไดง!ายที่สภาวะเปEนกรด): ข้อนี้ไม่ใช่คำตอบที่ถูกต้องสำหรับภาวะ General Therapeutics เนื่องจากกลไกการออกฤทธิ์, efficacy หรือข้อบ่งใช้ไม่ตรงกับโจทย์ที่กำหนด
• ข้อ จ. (เหมาะกับยาที่มวลโมเลกุลขนาดใหญ! n.nowa):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7" s="2" t="n"/>
      <c r="L437" s="2" t="inlineStr">
        <is>
          <t>General Therapeutics</t>
        </is>
      </c>
      <c r="M437" s="2" t="inlineStr">
        <is>
          <t>Clinic</t>
        </is>
      </c>
      <c r="N437" s="2" t="inlineStr">
        <is>
          <t>ข้อ 11 (PLE_CC1_2561_Key.md)</t>
        </is>
      </c>
      <c r="O437" s="2" t="inlineStr">
        <is>
          <t>ข้อสอบจริง</t>
        </is>
      </c>
      <c r="P437" s="2" t="inlineStr">
        <is>
          <t>ปี 2561</t>
        </is>
      </c>
    </row>
    <row r="438" ht="13.2" customHeight="1" s="37">
      <c r="A438" s="8" t="inlineStr">
        <is>
          <t>459</t>
        </is>
      </c>
      <c r="B438" s="2" t="inlineStr">
        <is>
          <t>ผูป%วยควรไดรับยาใด</t>
        </is>
      </c>
      <c r="C438" s="2" t="n"/>
      <c r="D438" s="2" t="inlineStr">
        <is>
          <t>Niacin</t>
        </is>
      </c>
      <c r="E438" s="2" t="inlineStr">
        <is>
          <t>Thiamine</t>
        </is>
      </c>
      <c r="F438" s="2" t="inlineStr">
        <is>
          <t>Riboflavin</t>
        </is>
      </c>
      <c r="G438" s="2" t="inlineStr">
        <is>
          <t>Ferrous sulfate</t>
        </is>
      </c>
      <c r="H438" s="2" t="inlineStr">
        <is>
          <t>Cyanocobalamin</t>
        </is>
      </c>
      <c r="I438" s="8" t="inlineStr">
        <is>
          <t>1</t>
        </is>
      </c>
      <c r="J438" s="2" t="inlineStr">
        <is>
          <t>✅ คำตอบที่ถูกต้อง: ข้อ ก. Niacin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Niacin การเลือก Niacin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(Thiamine): ข้อนี้ไม่ใช่คำตอบที่ถูกต้องสำหรับภาวะ General Therapeutics เนื่องจากกลไกการออกฤทธิ์, efficacy หรือข้อบ่งใช้ไม่ตรงกับโจทย์ที่กำหนด
• ข้อ ค. (Riboflavin): ข้อนี้ไม่ใช่คำตอบที่ถูกต้องสำหรับภาวะ General Therapeutics เนื่องจากกลไกการออกฤทธิ์, efficacy หรือข้อบ่งใช้ไม่ตรงกับโจทย์ที่กำหนด
• ข้อ ง. (Ferrous sulfate): ข้อนี้ไม่ใช่คำตอบที่ถูกต้องสำหรับภาวะ General Therapeutics เนื่องจากกลไกการออกฤทธิ์, efficacy หรือข้อบ่งใช้ไม่ตรงกับโจทย์ที่กำหนด
• ข้อ จ. (Cyanocobalamin):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8" s="2" t="n"/>
      <c r="L438" s="2" t="inlineStr">
        <is>
          <t>General Therapeutics</t>
        </is>
      </c>
      <c r="M438" s="2" t="inlineStr">
        <is>
          <t>Clinic</t>
        </is>
      </c>
      <c r="N438" s="2" t="inlineStr">
        <is>
          <t>ข้อ 13 (PLE_CC1_2561_Key.md)</t>
        </is>
      </c>
      <c r="O438" s="2" t="inlineStr">
        <is>
          <t>ข้อสอบจริง</t>
        </is>
      </c>
      <c r="P438" s="2" t="inlineStr">
        <is>
          <t>ปี 2561</t>
        </is>
      </c>
    </row>
    <row r="439" ht="13.2" customHeight="1" s="37">
      <c r="A439" s="8" t="inlineStr">
        <is>
          <t>460</t>
        </is>
      </c>
      <c r="B439" s="2" t="inlineStr">
        <is>
          <t>ยาใดมีความเหมาะสมมากที่สุด</t>
        </is>
      </c>
      <c r="C439" s="2" t="n"/>
      <c r="D439" s="2" t="inlineStr">
        <is>
          <t>Valacyclovir 1g OD 5 days</t>
        </is>
      </c>
      <c r="E439" s="2" t="inlineStr">
        <is>
          <t>Famciclovir 1 g OD 5 days</t>
        </is>
      </c>
      <c r="F439" s="2" t="inlineStr">
        <is>
          <t>Acyclovir 400 mg TID 7-10 days</t>
        </is>
      </c>
      <c r="G439" s="2" t="inlineStr">
        <is>
          <t>Acyclovir 200 mg TID 7-14 days</t>
        </is>
      </c>
      <c r="H439" s="2" t="inlineStr">
        <is>
          <t>Famciclovir 125 mg BID 7-14 days</t>
        </is>
      </c>
      <c r="I439" s="8" t="inlineStr">
        <is>
          <t>1</t>
        </is>
      </c>
      <c r="J439" s="2" t="inlineStr">
        <is>
          <t>✅ คำตอบที่ถูกต้อง: ข้อ ก. Valacyclovir 1g OD 5 days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Valacyclovir 1g OD 5 days การเลือก Valacyclovir 1g OD 5 days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(Famciclovir 1 g OD 5 days): ข้อนี้ไม่ใช่คำตอบที่ถูกต้องสำหรับภาวะ General Therapeutics เนื่องจากกลไกการออกฤทธิ์, efficacy หรือข้อบ่งใช้ไม่ตรงกับโจทย์ที่กำหนด
• ข้อ ค. (Acyclovir 400 mg TID 7-10 days): เป็น Guanosine analog ยับยั้ง HSV และ VZV polymerase ต้องดื่มน้ำมากๆ ระหว่างได้ยา IV เพื่อป้องกัน crystal nephropathy และ obstructive AKI
• ข้อ ง. (Acyclovir 200 mg TID 7-14 days): เป็น Guanosine analog ยับยั้ง HSV และ VZV polymerase ต้องดื่มน้ำมากๆ ระหว่างได้ยา IV เพื่อป้องกัน crystal nephropathy และ obstructive AKI
• ข้อ จ. (Famciclovir 125 mg BID 7-14 days):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439" s="2" t="n"/>
      <c r="L439" s="2" t="inlineStr">
        <is>
          <t>General Therapeutics</t>
        </is>
      </c>
      <c r="M439" s="2" t="inlineStr">
        <is>
          <t>Clinic</t>
        </is>
      </c>
      <c r="N439" s="2" t="inlineStr">
        <is>
          <t>ข้อ 25 (PLE_CC1_2561_Key.md)</t>
        </is>
      </c>
      <c r="O439" s="2" t="inlineStr">
        <is>
          <t>ข้อสอบจริง</t>
        </is>
      </c>
      <c r="P439" s="2" t="inlineStr">
        <is>
          <t>ปี 2561</t>
        </is>
      </c>
    </row>
    <row r="440" ht="13.2" customHeight="1" s="37">
      <c r="A440" s="8" t="inlineStr">
        <is>
          <t>461</t>
        </is>
      </c>
      <c r="B440" s="2" t="inlineStr">
        <is>
          <t>ขอใดคือเชื้อก!อโรคในผูป%วยรายนี้</t>
        </is>
      </c>
      <c r="C440" s="2" t="n"/>
      <c r="D440" s="2" t="inlineStr">
        <is>
          <t>Strep pneumoniae</t>
        </is>
      </c>
      <c r="E440" s="2" t="inlineStr">
        <is>
          <t>Streptococcus aureus</t>
        </is>
      </c>
      <c r="F440" s="2" t="inlineStr">
        <is>
          <t>Haemophilus influenza</t>
        </is>
      </c>
      <c r="G440" s="2" t="inlineStr">
        <is>
          <t>Streptococcus pyrogenase</t>
        </is>
      </c>
      <c r="H440" s="2" t="inlineStr">
        <is>
          <t>Streptococcus saprophyticus</t>
        </is>
      </c>
      <c r="I440" s="8" t="inlineStr">
        <is>
          <t>1</t>
        </is>
      </c>
      <c r="J440" s="2" t="inlineStr">
        <is>
          <t>✅ คำตอบที่ถูกต้อง: ข้อ ก. Strep pneumoniae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Strep pneumoniae การเลือก Strep pneumoniae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(Streptococcus aureus): ข้อนี้ไม่ใช่คำตอบที่ถูกต้องสำหรับภาวะ General Therapeutics เนื่องจากกลไกการออกฤทธิ์, efficacy หรือข้อบ่งใช้ไม่ตรงกับโจทย์ที่กำหนด
• ข้อ ค. (Haemophilus influenza): วัคซีนไข้หวัดใหญ่ชนิด inactivated ฉีดปีละ 1 ครั้ง ในกลุ่มเสี่ยง 7 กลุ่มโรคเรื้อรัง และเด็กอายุ 6 เดือน - 2 ปี
• ข้อ ง. (Streptococcus pyrogenase): ข้อนี้ไม่ใช่คำตอบที่ถูกต้องสำหรับภาวะ General Therapeutics เนื่องจากกลไกการออกฤทธิ์, efficacy หรือข้อบ่งใช้ไม่ตรงกับโจทย์ที่กำหนด
• ข้อ จ. (Streptococcus saprophyticus):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0" s="2" t="n"/>
      <c r="L440" s="2" t="inlineStr">
        <is>
          <t>General Therapeutics</t>
        </is>
      </c>
      <c r="M440" s="2" t="inlineStr">
        <is>
          <t>Clinic</t>
        </is>
      </c>
      <c r="N440" s="2" t="inlineStr">
        <is>
          <t>ข้อ 30 (PLE_CC1_2561_Key.md)</t>
        </is>
      </c>
      <c r="O440" s="2" t="inlineStr">
        <is>
          <t>ข้อสอบจริง</t>
        </is>
      </c>
      <c r="P440" s="2" t="inlineStr">
        <is>
          <t>ปี 2561</t>
        </is>
      </c>
    </row>
    <row r="441" ht="13.2" customHeight="1" s="37">
      <c r="A441" s="8" t="inlineStr">
        <is>
          <t>462</t>
        </is>
      </c>
      <c r="B441" s="2" t="inlineStr">
        <is>
          <t>ผูป%วยควรไดรับยาใดเปEนอันดับแรก</t>
        </is>
      </c>
      <c r="C441" s="2" t="n"/>
      <c r="D441" s="2" t="inlineStr">
        <is>
          <t>Amoxicillin</t>
        </is>
      </c>
      <c r="E441" s="2" t="inlineStr">
        <is>
          <t>Clindamycin</t>
        </is>
      </c>
      <c r="F441" s="2" t="inlineStr">
        <is>
          <t>Levofloxacin</t>
        </is>
      </c>
      <c r="G441" s="2" t="inlineStr">
        <is>
          <t>Erythromycin</t>
        </is>
      </c>
      <c r="H441" s="2" t="inlineStr">
        <is>
          <t>ยาฟFาทะลายโจร</t>
        </is>
      </c>
      <c r="I441" s="8" t="inlineStr">
        <is>
          <t>1</t>
        </is>
      </c>
      <c r="J441" s="2" t="inlineStr">
        <is>
          <t>✅ คำตอบที่ถูกต้อง: ข้อ ก. Amoxicillin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Amoxicillin การเลือก Amoxicillin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(Clindamycin): ข้อนี้ไม่ใช่คำตอบที่ถูกต้องสำหรับภาวะ General Therapeutics เนื่องจากกลไกการออกฤทธิ์, efficacy หรือข้อบ่งใช้ไม่ตรงกับโจทย์ที่กำหนด
• ข้อ ค. (Levofloxacin): เป็น Respiratory Fluoroquinolone ครอบคลุมทั้ง Streptococcus pneumoniae, atypicals และ Pseudomonas aeruginosa ใช้รักษา CAP, complicated UTI
• ข้อ ง. (Erythromycin): ข้อนี้ไม่ใช่คำตอบที่ถูกต้องสำหรับภาวะ General Therapeutics เนื่องจากกลไกการออกฤทธิ์, efficacy หรือข้อบ่งใช้ไม่ตรงกับโจทย์ที่กำหนด
• ข้อ จ. (ยาฟFาทะลายโจร):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1" s="2" t="n"/>
      <c r="L441" s="2" t="inlineStr">
        <is>
          <t>General Therapeutics</t>
        </is>
      </c>
      <c r="M441" s="2" t="inlineStr">
        <is>
          <t>Clinic</t>
        </is>
      </c>
      <c r="N441" s="2" t="inlineStr">
        <is>
          <t>ข้อ 31 (PLE_CC1_2561_Key.md)</t>
        </is>
      </c>
      <c r="O441" s="2" t="inlineStr">
        <is>
          <t>ข้อสอบจริง</t>
        </is>
      </c>
      <c r="P441" s="2" t="inlineStr">
        <is>
          <t>ปี 2561</t>
        </is>
      </c>
    </row>
    <row r="442" ht="13.2" customHeight="1" s="37">
      <c r="A442" s="8" t="inlineStr">
        <is>
          <t>463</t>
        </is>
      </c>
      <c r="B442" s="2" t="inlineStr">
        <is>
          <t>ขอใดไม!ใช!เหตุผลในการใหยาปฏิชีวนะ เพื่อรักษาคอหอยอักเสบ เฉียบพลันเปEนเวลา 10 วัน</t>
        </is>
      </c>
      <c r="C442" s="2" t="n"/>
      <c r="D442" s="2" t="inlineStr">
        <is>
          <t>กำจัดเชื้อใหหมด</t>
        </is>
      </c>
      <c r="E442" s="2" t="inlineStr">
        <is>
          <t>ปFองกันไขรูมาติก</t>
        </is>
      </c>
      <c r="F442" s="2" t="inlineStr">
        <is>
          <t>ปFองกันกลับมาเปEนซ้ำ</t>
        </is>
      </c>
      <c r="G442" s="2" t="inlineStr">
        <is>
          <t>ปFองกันการลมเหลวในการรักษา</t>
        </is>
      </c>
      <c r="H442" s="2" t="inlineStr">
        <is>
          <t>เพื่อใชยาในขนาดต่ำเพื่อลดอาการไม!พึงประสงคT</t>
        </is>
      </c>
      <c r="I442" s="8" t="inlineStr">
        <is>
          <t>1</t>
        </is>
      </c>
      <c r="J442" s="2" t="inlineStr">
        <is>
          <t>✅ คำตอบที่ถูกต้อง: ข้อ ก. กำจัดเชื้อใหหมด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กำจัดเชื้อใหหมด การเลือก กำจัดเชื้อใหหมด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(ปFองกันไขรูมาติก): ข้อนี้ไม่ใช่คำตอบที่ถูกต้องสำหรับภาวะ General Therapeutics เนื่องจากกลไกการออกฤทธิ์, efficacy หรือข้อบ่งใช้ไม่ตรงกับโจทย์ที่กำหนด
• ข้อ ค. (ปFองกันกลับมาเปEนซ้ำ): ข้อนี้ไม่ใช่คำตอบที่ถูกต้องสำหรับภาวะ General Therapeutics เนื่องจากกลไกการออกฤทธิ์, efficacy หรือข้อบ่งใช้ไม่ตรงกับโจทย์ที่กำหนด
• ข้อ ง. (ปFองกันการลมเหลวในการรักษา): ข้อนี้ไม่ใช่คำตอบที่ถูกต้องสำหรับภาวะ General Therapeutics เนื่องจากกลไกการออกฤทธิ์, efficacy หรือข้อบ่งใช้ไม่ตรงกับโจทย์ที่กำหนด
• ข้อ จ. (เพื่อใชยาในขนาดต่ำเพื่อลดอาการไม!พึงประสงคT):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2" s="2" t="n"/>
      <c r="L442" s="2" t="inlineStr">
        <is>
          <t>General Therapeutics</t>
        </is>
      </c>
      <c r="M442" s="2" t="inlineStr">
        <is>
          <t>Clinic</t>
        </is>
      </c>
      <c r="N442" s="2" t="inlineStr">
        <is>
          <t>ข้อ 32 (PLE_CC1_2561_Key.md)</t>
        </is>
      </c>
      <c r="O442" s="2" t="inlineStr">
        <is>
          <t>ข้อสอบจริง</t>
        </is>
      </c>
      <c r="P442" s="2" t="inlineStr">
        <is>
          <t>ปี 2561</t>
        </is>
      </c>
    </row>
    <row r="443" ht="13.2" customHeight="1" s="37">
      <c r="A443" s="8" t="inlineStr">
        <is>
          <t>464</t>
        </is>
      </c>
      <c r="B443" s="2" t="inlineStr">
        <is>
          <t>โครงสรางใดที่สามารถใหโดยการกินไดก ง s O</t>
        </is>
      </c>
      <c r="C443" s="2" t="n"/>
      <c r="D443" s="2" t="inlineStr">
        <is>
          <t>N-acetylcysteine (NAC) IV infusion protocol</t>
        </is>
      </c>
      <c r="E443" s="2" t="inlineStr">
        <is>
          <t>Atropine sulfate 2 mg IV Q5-10 min</t>
        </is>
      </c>
      <c r="F443" s="2" t="inlineStr">
        <is>
          <t>Pralidoxime (2-PAM) 1-2 g IV over 30 min</t>
        </is>
      </c>
      <c r="G443" s="2" t="inlineStr">
        <is>
          <t>Naloxone 0.4 mg IV stat</t>
        </is>
      </c>
      <c r="H443" s="2" t="inlineStr">
        <is>
          <t>Flumazenil 0.2 mg IV stat</t>
        </is>
      </c>
      <c r="I443" s="8" t="inlineStr">
        <is>
          <t>1</t>
        </is>
      </c>
      <c r="J4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443" s="2" t="n"/>
      <c r="L443" s="2" t="inlineStr">
        <is>
          <t>General Therapeutics</t>
        </is>
      </c>
      <c r="M443" s="2" t="inlineStr">
        <is>
          <t>Clinic</t>
        </is>
      </c>
      <c r="N443" s="2" t="inlineStr">
        <is>
          <t>ข้อ 34 (PLE_CC1_2561_Key.md)</t>
        </is>
      </c>
      <c r="O443" s="2" t="inlineStr">
        <is>
          <t>ข้อสอบจริง</t>
        </is>
      </c>
      <c r="P443" s="2" t="inlineStr">
        <is>
          <t>ปี 2561</t>
        </is>
      </c>
    </row>
    <row r="444" ht="13.2" customHeight="1" s="37">
      <c r="A444" s="8" t="inlineStr">
        <is>
          <t>465</t>
        </is>
      </c>
      <c r="B444" s="2" t="inlineStr">
        <is>
          <t>ขอใดไม!ใช!เกณฑT centor score</t>
        </is>
      </c>
      <c r="C444" s="2" t="n"/>
      <c r="D444" s="2" t="inlineStr">
        <is>
          <t>อายุ 3-14 ป7</t>
        </is>
      </c>
      <c r="E444" s="2" t="inlineStr">
        <is>
          <t>จาม น้ำมูกไหล</t>
        </is>
      </c>
      <c r="F444" s="2" t="inlineStr">
        <is>
          <t>พบจุดหนองที่ทอนซิล</t>
        </is>
      </c>
      <c r="G444" s="2" t="inlineStr">
        <is>
          <t>มีไขสูงกว!า 38 องศาเซลเซียส</t>
        </is>
      </c>
      <c r="H444" s="2" t="inlineStr">
        <is>
          <t>ต!อมน้ำเหลืองดานหนาคอโต กดเจ็บ</t>
        </is>
      </c>
      <c r="I444" s="8" t="inlineStr">
        <is>
          <t>1</t>
        </is>
      </c>
      <c r="J444" s="2" t="inlineStr">
        <is>
          <t>✅ คำตอบที่ถูกต้อง: ข้อ ก. อายุ 3-14 ป7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อายุ 3-14 ป7 การเลือก อายุ 3-14 ป7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(จาม น้ำมูกไหล): ข้อนี้ไม่ใช่คำตอบที่ถูกต้องสำหรับภาวะ General Therapeutics เนื่องจากกลไกการออกฤทธิ์, efficacy หรือข้อบ่งใช้ไม่ตรงกับโจทย์ที่กำหนด
• ข้อ ค. (พบจุดหนองที่ทอนซิล): ข้อนี้ไม่ใช่คำตอบที่ถูกต้องสำหรับภาวะ General Therapeutics เนื่องจากกลไกการออกฤทธิ์, efficacy หรือข้อบ่งใช้ไม่ตรงกับโจทย์ที่กำหนด
• ข้อ ง. (มีไขสูงกว!า 38 องศาเซลเซียส): ข้อนี้ไม่ใช่คำตอบที่ถูกต้องสำหรับภาวะ General Therapeutics เนื่องจากกลไกการออกฤทธิ์, efficacy หรือข้อบ่งใช้ไม่ตรงกับโจทย์ที่กำหนด
• ข้อ จ. (ต!อมน้ำเหลืองดานหนาคอโต กดเจ็บ):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4" s="2" t="n"/>
      <c r="L444" s="2" t="inlineStr">
        <is>
          <t>General Therapeutics</t>
        </is>
      </c>
      <c r="M444" s="2" t="inlineStr">
        <is>
          <t>Clinic</t>
        </is>
      </c>
      <c r="N444" s="2" t="inlineStr">
        <is>
          <t>ข้อ 33 (PLE_CC1_2561_Key.md)</t>
        </is>
      </c>
      <c r="O444" s="2" t="inlineStr">
        <is>
          <t>ข้อสอบจริง</t>
        </is>
      </c>
      <c r="P444" s="2" t="inlineStr">
        <is>
          <t>ปี 2561</t>
        </is>
      </c>
    </row>
    <row r="445" ht="13.2" customHeight="1" s="37">
      <c r="A445" s="8" t="inlineStr">
        <is>
          <t>466</t>
        </is>
      </c>
      <c r="B445" s="2" t="inlineStr">
        <is>
          <t>ยาใดไม!สามารถจำหน!ายในรานขายของชำได</t>
        </is>
      </c>
      <c r="C445" s="2" t="n"/>
      <c r="D445" s="2" t="inlineStr">
        <is>
          <t>ยาธาตุน้ำแดง 180 ml</t>
        </is>
      </c>
      <c r="E445" s="2" t="inlineStr">
        <is>
          <t>โพรวิโดนไอโอดิน 30 ml</t>
        </is>
      </c>
      <c r="F445" s="2" t="inlineStr">
        <is>
          <t>ยาระบายมะขามแขก 4 เม็ด</t>
        </is>
      </c>
      <c r="G445" s="2" t="inlineStr">
        <is>
          <t>ผงเกลือแร! 1 ซอง ผสมน้ำ 250 ml</t>
        </is>
      </c>
      <c r="H445" s="2" t="inlineStr">
        <is>
          <t>ยาลดความดันแอมโลดิพีน 10 เม็ด กรณีศึกษาที่7 ชายอายุ 41 ป7 ทำอาชีพรับจาง ที่ผิวหนังมีจุดขาวกระจาย บางจุด เปEนสีแดง มีลักษณะเปEนขุย ถาเอามือไป</t>
        </is>
      </c>
      <c r="I445" s="8" t="inlineStr">
        <is>
          <t>1</t>
        </is>
      </c>
      <c r="J445" s="2" t="inlineStr">
        <is>
          <t>✅ คำตอบที่ถูกต้อง: ข้อ ก. ยาธาตุน้ำแดง 180 ml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ยาธาตุน้ำแดง 180 ml การเลือก ยาธาตุน้ำแดง 180 ml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(โพรวิโดนไอโอดิน 30 ml): ข้อนี้ไม่ใช่คำตอบที่ถูกต้องสำหรับภาวะ General Therapeutics เนื่องจากกลไกการออกฤทธิ์, efficacy หรือข้อบ่งใช้ไม่ตรงกับโจทย์ที่กำหนด
• ข้อ ค. (ยาระบายมะขามแขก 4 เม็ด): ข้อนี้ไม่ใช่คำตอบที่ถูกต้องสำหรับภาวะ General Therapeutics เนื่องจากกลไกการออกฤทธิ์, efficacy หรือข้อบ่งใช้ไม่ตรงกับโจทย์ที่กำหนด
• ข้อ ง. (ผงเกลือแร! 1 ซอง ผสมน้ำ 250 ml): ข้อนี้ไม่ใช่คำตอบที่ถูกต้องสำหรับภาวะ General Therapeutics เนื่องจากกลไกการออกฤทธิ์, efficacy หรือข้อบ่งใช้ไม่ตรงกับโจทย์ที่กำหนด
• ข้อ จ. (ยาลดความดันแอมโลดิพีน 10 เม็ด กรณีศึกษาที่7 ชายอายุ 41 ป7 ทำอาชีพรับจาง ที่ผิวหนังมีจุดขาวกระจาย บางจุด เปEนสีแดง มีลักษณะเปEนขุย ถาเอามือไป):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5" s="2" t="n"/>
      <c r="L445" s="2" t="inlineStr">
        <is>
          <t>General Therapeutics</t>
        </is>
      </c>
      <c r="M445" s="2" t="inlineStr">
        <is>
          <t>Clinic</t>
        </is>
      </c>
      <c r="N445" s="2" t="inlineStr">
        <is>
          <t>ข้อ 36 (PLE_CC1_2561_Key.md)</t>
        </is>
      </c>
      <c r="O445" s="2" t="inlineStr">
        <is>
          <t>ข้อสอบจริง</t>
        </is>
      </c>
      <c r="P445" s="2" t="inlineStr">
        <is>
          <t>ปี 2561</t>
        </is>
      </c>
    </row>
    <row r="446" ht="13.2" customHeight="1" s="37">
      <c r="A446" s="8" t="inlineStr">
        <is>
          <t>467</t>
        </is>
      </c>
      <c r="B446" s="2" t="inlineStr">
        <is>
          <t>ผูป%วยเปEนโรคใด</t>
        </is>
      </c>
      <c r="C446" s="2" t="n"/>
      <c r="D446" s="2" t="inlineStr">
        <is>
          <t>Eczema</t>
        </is>
      </c>
      <c r="E446" s="2" t="inlineStr">
        <is>
          <t>Psoriasis</t>
        </is>
      </c>
      <c r="F446" s="2" t="inlineStr">
        <is>
          <t>Impletigo</t>
        </is>
      </c>
      <c r="G446" s="2" t="inlineStr">
        <is>
          <t>Tinea coporis</t>
        </is>
      </c>
      <c r="H446" s="2" t="inlineStr">
        <is>
          <t>Tinea versicolor e is</t>
        </is>
      </c>
      <c r="I446" s="8" t="inlineStr">
        <is>
          <t>1</t>
        </is>
      </c>
      <c r="J446" s="2" t="inlineStr">
        <is>
          <t>✅ คำตอบที่ถูกต้อง: ข้อ ก. Eczema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Eczema การเลือก Eczema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(Psoriasis): ข้อนี้ไม่ใช่คำตอบที่ถูกต้องสำหรับภาวะ General Therapeutics เนื่องจากกลไกการออกฤทธิ์, efficacy หรือข้อบ่งใช้ไม่ตรงกับโจทย์ที่กำหนด
• ข้อ ค. (Impletigo): ข้อนี้ไม่ใช่คำตอบที่ถูกต้องสำหรับภาวะ General Therapeutics เนื่องจากกลไกการออกฤทธิ์, efficacy หรือข้อบ่งใช้ไม่ตรงกับโจทย์ที่กำหนด
• ข้อ ง. (Tinea coporis): ข้อนี้ไม่ใช่คำตอบที่ถูกต้องสำหรับภาวะ General Therapeutics เนื่องจากกลไกการออกฤทธิ์, efficacy หรือข้อบ่งใช้ไม่ตรงกับโจทย์ที่กำหนด
• ข้อ จ. (Tinea versicolor e is):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6" s="2" t="n"/>
      <c r="L446" s="2" t="inlineStr">
        <is>
          <t>General Therapeutics</t>
        </is>
      </c>
      <c r="M446" s="2" t="inlineStr">
        <is>
          <t>Clinic</t>
        </is>
      </c>
      <c r="N446" s="2" t="inlineStr">
        <is>
          <t>ข้อ 37 (PLE_CC1_2561_Key.md)</t>
        </is>
      </c>
      <c r="O446" s="2" t="inlineStr">
        <is>
          <t>ข้อสอบจริง</t>
        </is>
      </c>
      <c r="P446" s="2" t="inlineStr">
        <is>
          <t>ปี 2561</t>
        </is>
      </c>
    </row>
    <row r="447" ht="13.2" customHeight="1" s="37">
      <c r="A447" s="8" t="inlineStr">
        <is>
          <t>468</t>
        </is>
      </c>
      <c r="B447" s="2" t="inlineStr">
        <is>
          <t>ยาใดมีความเหมาะสมมากที่สุดในผูป%วยรายนี้</t>
        </is>
      </c>
      <c r="C447" s="2" t="n"/>
      <c r="D447" s="2" t="inlineStr">
        <is>
          <t>20% salicylic acid</t>
        </is>
      </c>
      <c r="E447" s="2" t="inlineStr">
        <is>
          <t>20% selenium sulfate</t>
        </is>
      </c>
      <c r="F447" s="2" t="inlineStr">
        <is>
          <t>20% sodium thiosulfate</t>
        </is>
      </c>
      <c r="G447" s="2" t="inlineStr">
        <is>
          <t>20% potassium hydroxide</t>
        </is>
      </c>
      <c r="H447" s="2" t="inlineStr">
        <is>
          <t>20% sodium lauryl sulfate</t>
        </is>
      </c>
      <c r="I447" s="8" t="inlineStr">
        <is>
          <t>1</t>
        </is>
      </c>
      <c r="J447" s="2" t="inlineStr">
        <is>
          <t>✅ คำตอบที่ถูกต้อง: ข้อ ก. 20% salicylic acid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20% salicylic acid การเลือก 20% salicylic acid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(20% selenium sulfate): ข้อนี้ไม่ใช่คำตอบที่ถูกต้องสำหรับภาวะ General Therapeutics เนื่องจากกลไกการออกฤทธิ์, efficacy หรือข้อบ่งใช้ไม่ตรงกับโจทย์ที่กำหนด
• ข้อ ค. (20% sodium thiosulfate): ข้อนี้ไม่ถูกต้องเนื่องจากเป็น Antidote สำหรับภาวะ acute poisoning จำเพาะ ไม่ตรงกับพยาธิสภาพของโรคในโจทย์
• ข้อ ง. (20% potassium hydroxide): ข้อนี้ไม่ใช่คำตอบที่ถูกต้องสำหรับภาวะ General Therapeutics เนื่องจากกลไกการออกฤทธิ์, efficacy หรือข้อบ่งใช้ไม่ตรงกับโจทย์ที่กำหนด
• ข้อ จ. (20% sodium lauryl sulfate):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7" s="2" t="n"/>
      <c r="L447" s="2" t="inlineStr">
        <is>
          <t>General Therapeutics</t>
        </is>
      </c>
      <c r="M447" s="2" t="inlineStr">
        <is>
          <t>Clinic</t>
        </is>
      </c>
      <c r="N447" s="2" t="inlineStr">
        <is>
          <t>ข้อ 39 (PLE_CC1_2561_Key.md)</t>
        </is>
      </c>
      <c r="O447" s="2" t="inlineStr">
        <is>
          <t>ข้อสอบจริง</t>
        </is>
      </c>
      <c r="P447" s="2" t="inlineStr">
        <is>
          <t>ปี 2561</t>
        </is>
      </c>
    </row>
    <row r="448" ht="13.2" customHeight="1" s="37">
      <c r="A448" s="8" t="inlineStr">
        <is>
          <t>469</t>
        </is>
      </c>
      <c r="B448" s="2" t="inlineStr">
        <is>
          <t>ยาพื้นใดมีคุณสมบัติ occlusive effect มากที่สุด</t>
        </is>
      </c>
      <c r="C448" s="2" t="n"/>
      <c r="D448" s="2" t="inlineStr">
        <is>
          <t>Absorption base</t>
        </is>
      </c>
      <c r="E448" s="2" t="inlineStr">
        <is>
          <t>Oleaginous base</t>
        </is>
      </c>
      <c r="F448" s="2" t="inlineStr">
        <is>
          <t>Water-soluble base</t>
        </is>
      </c>
      <c r="G448" s="2" t="inlineStr">
        <is>
          <t>W/O emulsion base</t>
        </is>
      </c>
      <c r="H448" s="2" t="inlineStr">
        <is>
          <t>Water-removable base</t>
        </is>
      </c>
      <c r="I448" s="8" t="inlineStr">
        <is>
          <t>1</t>
        </is>
      </c>
      <c r="J448" s="2" t="inlineStr">
        <is>
          <t>✅ คำตอบที่ถูกต้อง: ข้อ ก. Absorption base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Absorption base การเลือก Absorption base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(Oleaginous base): ข้อนี้ไม่ใช่คำตอบที่ถูกต้องสำหรับภาวะ General Therapeutics เนื่องจากกลไกการออกฤทธิ์, efficacy หรือข้อบ่งใช้ไม่ตรงกับโจทย์ที่กำหนด
• ข้อ ค. (Water-soluble base): ข้อนี้ไม่ใช่คำตอบที่ถูกต้องสำหรับภาวะ General Therapeutics เนื่องจากกลไกการออกฤทธิ์, efficacy หรือข้อบ่งใช้ไม่ตรงกับโจทย์ที่กำหนด
• ข้อ ง. (W/O emulsion base): ข้อนี้ไม่ใช่คำตอบที่ถูกต้องสำหรับภาวะ General Therapeutics เนื่องจากกลไกการออกฤทธิ์, efficacy หรือข้อบ่งใช้ไม่ตรงกับโจทย์ที่กำหนด
• ข้อ จ. (Water-removable base):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8" s="2" t="n"/>
      <c r="L448" s="2" t="inlineStr">
        <is>
          <t>General Therapeutics</t>
        </is>
      </c>
      <c r="M448" s="2" t="inlineStr">
        <is>
          <t>Clinic</t>
        </is>
      </c>
      <c r="N448" s="2" t="inlineStr">
        <is>
          <t>ข้อ 42 (PLE_CC1_2561_Key.md)</t>
        </is>
      </c>
      <c r="O448" s="2" t="inlineStr">
        <is>
          <t>ข้อสอบจริง</t>
        </is>
      </c>
      <c r="P448" s="2" t="inlineStr">
        <is>
          <t>ปี 2561</t>
        </is>
      </c>
    </row>
    <row r="449" ht="13.2" customHeight="1" s="37">
      <c r="A449" s="8" t="inlineStr">
        <is>
          <t>470</t>
        </is>
      </c>
      <c r="B449" s="2" t="inlineStr">
        <is>
          <t>จากโครงสร(างของยา griseofulvin การตรวจสอบคุณภาพใด ทำให( ได(ลักษณะเฉพาะที่ออกฤทธิ์</t>
        </is>
      </c>
      <c r="C449" s="2" t="n"/>
      <c r="D449" s="2" t="inlineStr">
        <is>
          <t>H1-NMR</t>
        </is>
      </c>
      <c r="E449" s="2" t="inlineStr">
        <is>
          <t>Polarimeter</t>
        </is>
      </c>
      <c r="F449" s="2" t="inlineStr">
        <is>
          <t>Reflectometer</t>
        </is>
      </c>
      <c r="G449" s="2" t="inlineStr">
        <is>
          <t>Infrared spectroscope</t>
        </is>
      </c>
      <c r="H449" s="2" t="inlineStr">
        <is>
          <t>UV-visible spectrophotometer I uswin</t>
        </is>
      </c>
      <c r="I449" s="8" t="inlineStr">
        <is>
          <t>1</t>
        </is>
      </c>
      <c r="J449" s="2" t="inlineStr">
        <is>
          <t>✅ คำตอบที่ถูกต้อง: ข้อ ก. H1-NMR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H1-NMR การเลือก H1-NMR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(Polarimeter): ข้อนี้ไม่ใช่คำตอบที่ถูกต้องสำหรับภาวะ General Therapeutics เนื่องจากกลไกการออกฤทธิ์, efficacy หรือข้อบ่งใช้ไม่ตรงกับโจทย์ที่กำหนด
• ข้อ ค. (Reflectometer): ข้อนี้ไม่ใช่คำตอบที่ถูกต้องสำหรับภาวะ General Therapeutics เนื่องจากกลไกการออกฤทธิ์, efficacy หรือข้อบ่งใช้ไม่ตรงกับโจทย์ที่กำหนด
• ข้อ ง. (Infrared spectroscope): ข้อนี้ไม่ใช่คำตอบที่ถูกต้องสำหรับภาวะ General Therapeutics เนื่องจากกลไกการออกฤทธิ์, efficacy หรือข้อบ่งใช้ไม่ตรงกับโจทย์ที่กำหนด
• ข้อ จ. (UV-visible spectrophotometer I uswin):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9" s="2" t="n"/>
      <c r="L449" s="2" t="inlineStr">
        <is>
          <t>General Therapeutics</t>
        </is>
      </c>
      <c r="M449" s="2" t="inlineStr">
        <is>
          <t>Clinic</t>
        </is>
      </c>
      <c r="N449" s="2" t="inlineStr">
        <is>
          <t>ข้อ 44 (PLE_CC1_2561_Key.md)</t>
        </is>
      </c>
      <c r="O449" s="2" t="inlineStr">
        <is>
          <t>ข้อสอบจริง</t>
        </is>
      </c>
      <c r="P449" s="2" t="inlineStr">
        <is>
          <t>ปี 2561</t>
        </is>
      </c>
    </row>
    <row r="450" ht="13.2" customHeight="1" s="37">
      <c r="A450" s="8" t="inlineStr">
        <is>
          <t>471</t>
        </is>
      </c>
      <c r="B450" s="2" t="inlineStr">
        <is>
          <t>ผู(ปcวยรายนี้ควรเริ่มยาเมื่อใด</t>
        </is>
      </c>
      <c r="C450" s="2" t="n"/>
      <c r="D450" s="2" t="inlineStr">
        <is>
          <t>เริ่มให(ยาได(เลยถ(าผู(ปcวยพร(อม</t>
        </is>
      </c>
      <c r="E450" s="2" t="inlineStr">
        <is>
          <t>ติดตาม CD4 3 เดือน เริ่มให(เมื่อ CD4 &lt;200 cells/mm3</t>
        </is>
      </c>
      <c r="F450" s="2" t="inlineStr">
        <is>
          <t>ติดตาม CD4 3 เดือน เริ่มให(เมื่อ CD4 &lt;250 cells/mm3</t>
        </is>
      </c>
      <c r="G450" s="2" t="inlineStr">
        <is>
          <t>ติดตาม VL 3 เดือน เริ่มให(เมื่อ VL &lt; 1,000,000 copies/ml</t>
        </is>
      </c>
      <c r="H450" s="2" t="inlineStr">
        <is>
          <t>ติดตาม VL 3 เดือน เริ่มให(เมื่อ VL &lt; 1,500,000 copies/ml</t>
        </is>
      </c>
      <c r="I450" s="8" t="inlineStr">
        <is>
          <t>1</t>
        </is>
      </c>
      <c r="J450" s="2" t="inlineStr">
        <is>
          <t>✅ คำตอบที่ถูกต้อง: ข้อ ก. เริ่มให(ยาได(เลยถ(าผู(ปcวยพร(อม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เริ่มให(ยาได(เลยถ(าผู(ปcวยพร(อม เริ่มให(ยาได(เลยถ(าผู(ป c วยพร(อม เริ่มให(ยาได(เลยถ(าผู(ป c วยพร(อม เริ่มให(ยาได(เลยถ(าผู(ป c วยพร(อม เริ่มให(ยาได(เลยถ(าผู(ป c วยพร(อม การเลือก เริ่มให(ยาได(เลยถ(าผู(ป c วยพร(อม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(ติดตาม CD4 3 เดือน เริ่มให(เมื่อ CD4 &lt;200 cells/mm3): ข้อนี้ไม่ใช่คำตอบที่ถูกต้องสำหรับภาวะ General Therapeutics เนื่องจากกลไกการออกฤทธิ์, efficacy หรือข้อบ่งใช้ไม่ตรงกับโจทย์ที่กำหนด
• ข้อ ค. (ติดตาม CD4 3 เดือน เริ่มให(เมื่อ CD4 &lt;250 cells/mm3): ข้อนี้ไม่ใช่คำตอบที่ถูกต้องสำหรับภาวะ General Therapeutics เนื่องจากกลไกการออกฤทธิ์, efficacy หรือข้อบ่งใช้ไม่ตรงกับโจทย์ที่กำหนด
• ข้อ ง. (ติดตาม VL 3 เดือน เริ่มให(เมื่อ VL &lt; 1,000,000 copies/ml): ข้อนี้ไม่ใช่คำตอบที่ถูกต้องสำหรับภาวะ General Therapeutics เนื่องจากกลไกการออกฤทธิ์, efficacy หรือข้อบ่งใช้ไม่ตรงกับโจทย์ที่กำหนด
• ข้อ จ. (ติดตาม VL 3 เดือน เริ่มให(เมื่อ VL &lt; 1,500,000 copies/ml):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0" s="2" t="n"/>
      <c r="L450" s="2" t="inlineStr">
        <is>
          <t>General Therapeutics</t>
        </is>
      </c>
      <c r="M450" s="2" t="inlineStr">
        <is>
          <t>Clinic</t>
        </is>
      </c>
      <c r="N450" s="2" t="inlineStr">
        <is>
          <t>ข้อ 45 (PLE_CC1_2561_Key.md)</t>
        </is>
      </c>
      <c r="O450" s="2" t="inlineStr">
        <is>
          <t>ข้อสอบจริง</t>
        </is>
      </c>
      <c r="P450" s="2" t="inlineStr">
        <is>
          <t>ปี 2561</t>
        </is>
      </c>
    </row>
    <row r="451" ht="13.2" customHeight="1" s="37">
      <c r="A451" s="8" t="inlineStr">
        <is>
          <t>472</t>
        </is>
      </c>
      <c r="B451" s="2" t="inlineStr">
        <is>
          <t>ผู(ปcวยรายนี้ควรได(รับยาสูตรใดจึงมีความเหมาะสมมากที่สุด</t>
        </is>
      </c>
      <c r="C451" s="2" t="n"/>
      <c r="D451" s="2" t="inlineStr">
        <is>
          <t>AZT +3TC+ NVP</t>
        </is>
      </c>
      <c r="E451" s="2" t="inlineStr">
        <is>
          <t>d4T+ 3TC + NVP</t>
        </is>
      </c>
      <c r="F451" s="2" t="inlineStr">
        <is>
          <t>TDF + FTC + LPV/r</t>
        </is>
      </c>
      <c r="G451" s="2" t="inlineStr">
        <is>
          <t>AZT + FTC + EFV</t>
        </is>
      </c>
      <c r="H451" s="2" t="inlineStr">
        <is>
          <t>TDF + 3TC + EFV</t>
        </is>
      </c>
      <c r="I451" s="8" t="inlineStr">
        <is>
          <t>1</t>
        </is>
      </c>
      <c r="J451" s="2" t="inlineStr">
        <is>
          <t>✅ คำตอบที่ถูกต้อง: ข้อ ก. AZT +3TC+ NVP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AZT +3TC+ NVP การเลือก AZT +3TC+ NVP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(d4T+ 3TC + NVP): ข้อนี้ไม่ใช่คำตอบที่ถูกต้องสำหรับภาวะ General Therapeutics เนื่องจากกลไกการออกฤทธิ์, efficacy หรือข้อบ่งใช้ไม่ตรงกับโจทย์ที่กำหนด
• ข้อ ค. (TDF + FTC + LPV/r): ข้อนี้ไม่ใช่คำตอบที่ถูกต้องสำหรับภาวะ General Therapeutics เนื่องจากกลไกการออกฤทธิ์, efficacy หรือข้อบ่งใช้ไม่ตรงกับโจทย์ที่กำหนด
• ข้อ ง. (AZT + FTC + EFV): ข้อนี้ไม่ใช่คำตอบที่ถูกต้องสำหรับภาวะ General Therapeutics เนื่องจากกลไกการออกฤทธิ์, efficacy หรือข้อบ่งใช้ไม่ตรงกับโจทย์ที่กำหนด
• ข้อ จ. (TDF + 3TC + EFV):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1" s="2" t="n"/>
      <c r="L451" s="2" t="inlineStr">
        <is>
          <t>General Therapeutics</t>
        </is>
      </c>
      <c r="M451" s="2" t="inlineStr">
        <is>
          <t>Clinic</t>
        </is>
      </c>
      <c r="N451" s="2" t="inlineStr">
        <is>
          <t>ข้อ 46 (PLE_CC1_2561_Key.md)</t>
        </is>
      </c>
      <c r="O451" s="2" t="inlineStr">
        <is>
          <t>ข้อสอบจริง</t>
        </is>
      </c>
      <c r="P451" s="2" t="inlineStr">
        <is>
          <t>ปี 2561</t>
        </is>
      </c>
    </row>
    <row r="452" ht="13.2" customHeight="1" s="37">
      <c r="A452" s="8" t="inlineStr">
        <is>
          <t>473</t>
        </is>
      </c>
      <c r="B452" s="2" t="inlineStr">
        <is>
          <t>ผู(ปcวยควรได(รับยาใดเป5นทางเลือกแรก</t>
        </is>
      </c>
      <c r="C452" s="2" t="n"/>
      <c r="D452" s="2" t="inlineStr">
        <is>
          <t>Tramadol</t>
        </is>
      </c>
      <c r="E452" s="2" t="inlineStr">
        <is>
          <t>Piroxicam</t>
        </is>
      </c>
      <c r="F452" s="2" t="inlineStr">
        <is>
          <t>Colchicine</t>
        </is>
      </c>
      <c r="G452" s="2" t="inlineStr">
        <is>
          <t>Acetaminophen</t>
        </is>
      </c>
      <c r="H452" s="2" t="inlineStr">
        <is>
          <t>Orphenadrine + paracetamol</t>
        </is>
      </c>
      <c r="I452" s="8" t="inlineStr">
        <is>
          <t>1</t>
        </is>
      </c>
      <c r="J452" s="2" t="inlineStr">
        <is>
          <t>✅ คำตอบที่ถูกต้อง: ข้อ ก. Tramadol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Tramadol การเลือก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ง. (Acetaminophen): ข้อนี้ไม่ใช่คำตอบที่ถูกต้องสำหรับภาวะ General Therapeutics เนื่องจากกลไกการออกฤทธิ์, efficacy หรือข้อบ่งใช้ไม่ตรงกับโจทย์ที่กำหนด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2" s="2" t="n"/>
      <c r="L452" s="2" t="inlineStr">
        <is>
          <t>General Therapeutics</t>
        </is>
      </c>
      <c r="M452" s="2" t="inlineStr">
        <is>
          <t>Clinic</t>
        </is>
      </c>
      <c r="N452" s="2" t="inlineStr">
        <is>
          <t>ข้อ 48 (PLE_CC1_2561_Key.md)</t>
        </is>
      </c>
      <c r="O452" s="2" t="inlineStr">
        <is>
          <t>ข้อสอบจริง</t>
        </is>
      </c>
      <c r="P452" s="2" t="inlineStr">
        <is>
          <t>ปี 2561</t>
        </is>
      </c>
    </row>
    <row r="453" ht="13.2" customHeight="1" s="37">
      <c r="A453" s="8" t="inlineStr">
        <is>
          <t>474</t>
        </is>
      </c>
      <c r="B453" s="2" t="inlineStr">
        <is>
          <t>จากโครงสร(าง naproxen มีหมู. function ใด</t>
        </is>
      </c>
      <c r="C453" s="2" t="n"/>
      <c r="D453" s="2" t="inlineStr">
        <is>
          <t>Sulfone</t>
        </is>
      </c>
      <c r="E453" s="2" t="inlineStr">
        <is>
          <t>Salicylic acid</t>
        </is>
      </c>
      <c r="F453" s="2" t="inlineStr">
        <is>
          <t>Propionic acid</t>
        </is>
      </c>
      <c r="G453" s="2" t="inlineStr">
        <is>
          <t>Isobutyric acid</t>
        </is>
      </c>
      <c r="H453" s="2" t="inlineStr">
        <is>
          <t>N-aryl anthranilic acid witwwersmind I</t>
        </is>
      </c>
      <c r="I453" s="8" t="inlineStr">
        <is>
          <t>1</t>
        </is>
      </c>
      <c r="J453" s="2" t="inlineStr">
        <is>
          <t>✅ คำตอบที่ถูกต้อง: ข้อ ก. Sulfone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Sulfone การเลือก Sulfone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(Salicylic acid): ข้อนี้ไม่ใช่คำตอบที่ถูกต้องสำหรับภาวะ Musculoskeletal &amp; Joint เนื่องจากกลไกการออกฤทธิ์, efficacy หรือข้อบ่งใช้ไม่ตรงกับโจทย์ที่กำหนด
• ข้อ ค. (Propionic acid): ข้อนี้ไม่ใช่คำตอบที่ถูกต้องสำหรับภาวะ Musculoskeletal &amp; Joint เนื่องจากกลไกการออกฤทธิ์, efficacy หรือข้อบ่งใช้ไม่ตรงกับโจทย์ที่กำหนด
• ข้อ ง. (Isobutyric acid): ข้อนี้ไม่ใช่คำตอบที่ถูกต้องสำหรับภาวะ Musculoskeletal &amp; Joint เนื่องจากกลไกการออกฤทธิ์, efficacy หรือข้อบ่งใช้ไม่ตรงกับโจทย์ที่กำหนด
• ข้อ จ. (N-aryl anthranilic acid witwwersmind I):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453" s="2" t="n"/>
      <c r="L453" s="2" t="inlineStr">
        <is>
          <t>Musculoskeletal &amp; Joint</t>
        </is>
      </c>
      <c r="M453" s="2" t="inlineStr">
        <is>
          <t>Clinic</t>
        </is>
      </c>
      <c r="N453" s="2" t="inlineStr">
        <is>
          <t>ข้อ 51 (PLE_CC1_2561_Key.md)</t>
        </is>
      </c>
      <c r="O453" s="2" t="inlineStr">
        <is>
          <t>ข้อสอบจริง</t>
        </is>
      </c>
      <c r="P453" s="2" t="inlineStr">
        <is>
          <t>ปี 2561</t>
        </is>
      </c>
    </row>
    <row r="454" ht="13.2" customHeight="1" s="37">
      <c r="A454" s="8" t="inlineStr">
        <is>
          <t>475</t>
        </is>
      </c>
      <c r="B454" s="2" t="inlineStr">
        <is>
          <t>ข้อใดคือผลข(างเคียงของยา hydroxychloroquine</t>
        </is>
      </c>
      <c r="C454" s="2" t="n"/>
      <c r="D454" s="2" t="inlineStr">
        <is>
          <t>Renal toxicity</t>
        </is>
      </c>
      <c r="E454" s="2" t="inlineStr">
        <is>
          <t>Hepatotoxicity</t>
        </is>
      </c>
      <c r="F454" s="2" t="inlineStr">
        <is>
          <t>Retinal toxicity</t>
        </is>
      </c>
      <c r="G454" s="2" t="inlineStr">
        <is>
          <t>Hematologic toxicity</t>
        </is>
      </c>
      <c r="H454" s="2" t="inlineStr">
        <is>
          <t>Gastrointestinal toxicity</t>
        </is>
      </c>
      <c r="I454" s="8" t="inlineStr">
        <is>
          <t>1</t>
        </is>
      </c>
      <c r="J454" s="2" t="inlineStr">
        <is>
          <t>✅ คำตอบที่ถูกต้อง: ข้อ ก. Renal toxicity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Renal toxicity การเลือก Renal toxicity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(Hepatotoxicity): ข้อนี้ไม่ใช่คำตอบที่ถูกต้องสำหรับภาวะ General Therapeutics เนื่องจากกลไกการออกฤทธิ์, efficacy หรือข้อบ่งใช้ไม่ตรงกับโจทย์ที่กำหนด
• ข้อ ค. (Retinal toxicity): ข้อนี้ไม่ใช่คำตอบที่ถูกต้องสำหรับภาวะ General Therapeutics เนื่องจากกลไกการออกฤทธิ์, efficacy หรือข้อบ่งใช้ไม่ตรงกับโจทย์ที่กำหนด
• ข้อ ง. (Hematologic toxicity): ข้อนี้ไม่ใช่คำตอบที่ถูกต้องสำหรับภาวะ General Therapeutics เนื่องจากกลไกการออกฤทธิ์, efficacy หรือข้อบ่งใช้ไม่ตรงกับโจทย์ที่กำหนด
• ข้อ จ. (Gastrointestinal toxicity):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454" s="2" t="n"/>
      <c r="L454" s="2" t="inlineStr">
        <is>
          <t>General Therapeutics</t>
        </is>
      </c>
      <c r="M454" s="2" t="inlineStr">
        <is>
          <t>Clinic</t>
        </is>
      </c>
      <c r="N454" s="2" t="inlineStr">
        <is>
          <t>ข้อ 52 (PLE_CC1_2561_Key.md)</t>
        </is>
      </c>
      <c r="O454" s="2" t="inlineStr">
        <is>
          <t>ข้อสอบจริง</t>
        </is>
      </c>
      <c r="P454" s="2" t="inlineStr">
        <is>
          <t>ปี 2561</t>
        </is>
      </c>
    </row>
    <row r="455" ht="13.2" customHeight="1" s="37">
      <c r="A455" s="8" t="inlineStr">
        <is>
          <t>476</t>
        </is>
      </c>
      <c r="B455" s="2" t="inlineStr">
        <is>
          <t>สารสำคัญที่มีผลต.อสรรพคุณลดปวดในเจลพริกคือสารใด</t>
        </is>
      </c>
      <c r="C455" s="2" t="n"/>
      <c r="D455" s="2" t="inlineStr">
        <is>
          <t>Eugenol</t>
        </is>
      </c>
      <c r="E455" s="2" t="inlineStr">
        <is>
          <t>Capsaicin</t>
        </is>
      </c>
      <c r="F455" s="2" t="inlineStr">
        <is>
          <t>Piperazine</t>
        </is>
      </c>
      <c r="G455" s="2" t="inlineStr">
        <is>
          <t>Volatile oil</t>
        </is>
      </c>
      <c r="H455" s="2" t="inlineStr">
        <is>
          <t>Curcuminoid</t>
        </is>
      </c>
      <c r="I455" s="8" t="inlineStr">
        <is>
          <t>1</t>
        </is>
      </c>
      <c r="J455" s="2" t="inlineStr">
        <is>
          <t>✅ คำตอบที่ถูกต้อง: ข้อ ก. Eugenol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Eugenol 💡 คำอธิบายและเหตุผลทางเภสัชกรรม:
💡 คำอธิบายและเหตุผลทางเภสัชกรรม:
การเลือก Eugenol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(Capsaicin): ข้อนี้ไม่ใช่คำตอบที่ถูกต้องสำหรับภาวะ Herbal Medicine เนื่องจากกลไกการออกฤทธิ์, efficacy หรือข้อบ่งใช้ไม่ตรงกับโจทย์ที่กำหนด
• ข้อ ค. (Piperazine): ข้อนี้ไม่ใช่คำตอบที่ถูกต้องสำหรับภาวะ Herbal Medicine เนื่องจากกลไกการออกฤทธิ์, efficacy หรือข้อบ่งใช้ไม่ตรงกับโจทย์ที่กำหนด
• ข้อ ง. (Volatile oil): ข้อนี้ไม่ใช่คำตอบที่ถูกต้องสำหรับภาวะ Herbal Medicine เนื่องจากกลไกการออกฤทธิ์, efficacy หรือข้อบ่งใช้ไม่ตรงกับโจทย์ที่กำหนด
• ข้อ จ. (Curcuminoid):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5" s="2" t="n"/>
      <c r="L455" s="2" t="inlineStr">
        <is>
          <t>Herbal Medicine</t>
        </is>
      </c>
      <c r="M455" s="2" t="inlineStr">
        <is>
          <t>Product</t>
        </is>
      </c>
      <c r="N455" s="2" t="inlineStr">
        <is>
          <t>ข้อ 53 (PLE_CC1_2561_Key.md)</t>
        </is>
      </c>
      <c r="O455" s="2" t="inlineStr">
        <is>
          <t>ข้อสอบจริง</t>
        </is>
      </c>
      <c r="P455" s="2" t="inlineStr">
        <is>
          <t>ปี 2561</t>
        </is>
      </c>
    </row>
    <row r="456" ht="13.2" customHeight="1" s="37">
      <c r="A456" s="8" t="inlineStr">
        <is>
          <t>477</t>
        </is>
      </c>
      <c r="B456" s="2" t="inlineStr">
        <is>
          <t>ยาใดไม.ซื้อได(ในร(านขายยาแผนปVจจุบัน</t>
        </is>
      </c>
      <c r="C456" s="2" t="n"/>
      <c r="D456" s="2" t="inlineStr">
        <is>
          <t>Cetirizine tablet</t>
        </is>
      </c>
      <c r="E456" s="2" t="inlineStr">
        <is>
          <t>Zafurlukast tablet</t>
        </is>
      </c>
      <c r="F456" s="2" t="inlineStr">
        <is>
          <t>Fexofenadine tablet</t>
        </is>
      </c>
      <c r="G456" s="2" t="inlineStr">
        <is>
          <t>Budesonide nasal spray</t>
        </is>
      </c>
      <c r="H456" s="2" t="inlineStr">
        <is>
          <t>Pseudoephedrine tablet</t>
        </is>
      </c>
      <c r="I456" s="8" t="inlineStr">
        <is>
          <t>1</t>
        </is>
      </c>
      <c r="J456" s="2" t="inlineStr">
        <is>
          <t>✅ คำตอบที่ถูกต้อง: ข้อ ก. Cetirizine tablet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Cetirizine tablet การเลือก Cetirizine tablet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(Zafurlukast tablet): ข้อนี้ไม่ใช่คำตอบที่ถูกต้องสำหรับภาวะ General Therapeutics เนื่องจากกลไกการออกฤทธิ์, efficacy หรือข้อบ่งใช้ไม่ตรงกับโจทย์ที่กำหนด
• ข้อ ค. (Fexofenadine tablet):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(Pseudoephedrine tablet): เป็น oral decongestant กระตุ้น alpha และ beta receptors ระวังในผู้ป่วย hypertension, ischemic heart disease, glaucoma, BPH และเป็นวัตถุออกฤทธิ์ประเภท 2 (ห้ามขายในร้านยา)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6" s="2" t="n"/>
      <c r="L456" s="2" t="inlineStr">
        <is>
          <t>General Therapeutics</t>
        </is>
      </c>
      <c r="M456" s="2" t="inlineStr">
        <is>
          <t>Clinic</t>
        </is>
      </c>
      <c r="N456" s="2" t="inlineStr">
        <is>
          <t>ข้อ 54 (PLE_CC1_2561_Key.md)</t>
        </is>
      </c>
      <c r="O456" s="2" t="inlineStr">
        <is>
          <t>ข้อสอบจริง</t>
        </is>
      </c>
      <c r="P456" s="2" t="inlineStr">
        <is>
          <t>ปี 2561</t>
        </is>
      </c>
    </row>
    <row r="457" ht="13.2" customHeight="1" s="37">
      <c r="A457" s="8" t="inlineStr">
        <is>
          <t>478</t>
        </is>
      </c>
      <c r="B457" s="2" t="inlineStr">
        <is>
          <t>ข้อใดเกี่ยวข้องกับฤทธิ์ของ desogestrel น(อยที่สุด</t>
        </is>
      </c>
      <c r="C457" s="2" t="n"/>
      <c r="D457" s="2" t="inlineStr">
        <is>
          <t>ยับยั้งการตกไข.</t>
        </is>
      </c>
      <c r="E457" s="2" t="inlineStr">
        <is>
          <t>เพิ่มเมือกบริเวณปากมดลูก</t>
        </is>
      </c>
      <c r="F457" s="2" t="inlineStr">
        <is>
          <t>ลดความหนาของเยื่อบุมดลูก</t>
        </is>
      </c>
      <c r="G457" s="2" t="inlineStr">
        <is>
          <t>ลดการเคลื่อนไหวของท.อนำรังไข.</t>
        </is>
      </c>
      <c r="H457" s="2" t="inlineStr">
        <is>
          <t>ยับยั้งการทำงานของ aldosterone e</t>
        </is>
      </c>
      <c r="I457" s="8" t="inlineStr">
        <is>
          <t>1</t>
        </is>
      </c>
      <c r="J457" s="2" t="inlineStr">
        <is>
          <t>✅ คำตอบที่ถูกต้อง: ข้อ ก. ยับยั้งการตกไข.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ยับยั้งการตกไข. การเลือก ยับยั้งการตกไข.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(เพิ่มเมือกบริเวณปากมดลูก): ข้อนี้ไม่ใช่คำตอบที่ถูกต้องสำหรับภาวะ General Therapeutics เนื่องจากกลไกการออกฤทธิ์, efficacy หรือข้อบ่งใช้ไม่ตรงกับโจทย์ที่กำหนด
• ข้อ ค. (ลดความหนาของเยื่อบุมดลูก): ข้อนี้ไม่ใช่คำตอบที่ถูกต้องสำหรับภาวะ General Therapeutics เนื่องจากกลไกการออกฤทธิ์, efficacy หรือข้อบ่งใช้ไม่ตรงกับโจทย์ที่กำหนด
• ข้อ ง. (ลดการเคลื่อนไหวของท.อนำรังไข.): ข้อนี้ไม่ใช่คำตอบที่ถูกต้องสำหรับภาวะ General Therapeutics เนื่องจากกลไกการออกฤทธิ์, efficacy หรือข้อบ่งใช้ไม่ตรงกับโจทย์ที่กำหนด
• ข้อ จ. (ยับยั้งการทำงานของ aldosterone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7" s="2" t="n"/>
      <c r="L457" s="2" t="inlineStr">
        <is>
          <t>General Therapeutics</t>
        </is>
      </c>
      <c r="M457" s="2" t="inlineStr">
        <is>
          <t>Clinic</t>
        </is>
      </c>
      <c r="N457" s="2" t="inlineStr">
        <is>
          <t>ข้อ 57 (PLE_CC1_2561_Key.md)</t>
        </is>
      </c>
      <c r="O457" s="2" t="inlineStr">
        <is>
          <t>ข้อสอบจริง</t>
        </is>
      </c>
      <c r="P457" s="2" t="inlineStr">
        <is>
          <t>ปี 2561</t>
        </is>
      </c>
    </row>
    <row r="458" ht="13.2" customHeight="1" s="37">
      <c r="A458" s="8" t="inlineStr">
        <is>
          <t>479</t>
        </is>
      </c>
      <c r="B458" s="2" t="inlineStr">
        <is>
          <t>แผ.นแปะ มีรูปแบบ ดังภาพ เป5นระบบนำส.งยาแบบใด</t>
        </is>
      </c>
      <c r="C458" s="2" t="n"/>
      <c r="D458" s="2" t="inlineStr">
        <is>
          <t>Reservoir system</t>
        </is>
      </c>
      <c r="E458" s="2" t="inlineStr">
        <is>
          <t>Microreservoir system</t>
        </is>
      </c>
      <c r="F458" s="2" t="inlineStr">
        <is>
          <t>Polyplastic type system</t>
        </is>
      </c>
      <c r="G458" s="2" t="inlineStr">
        <is>
          <t>Matrix dispersion system</t>
        </is>
      </c>
      <c r="H458" s="2" t="inlineStr">
        <is>
          <t>Peripheral adhesive design</t>
        </is>
      </c>
      <c r="I458" s="8" t="inlineStr">
        <is>
          <t>1</t>
        </is>
      </c>
      <c r="J458" s="2" t="inlineStr">
        <is>
          <t>✅ คำตอบที่ถูกต้อง: ข้อ ก. Reservoir system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Reservoir system การเลือก Reservoir system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(Microreservoir system): ข้อนี้ไม่ใช่คำตอบที่ถูกต้องสำหรับภาวะ General Therapeutics เนื่องจากกลไกการออกฤทธิ์, efficacy หรือข้อบ่งใช้ไม่ตรงกับโจทย์ที่กำหนด
• ข้อ ค. (Polyplastic type system): ข้อนี้ไม่ใช่คำตอบที่ถูกต้องสำหรับภาวะ General Therapeutics เนื่องจากกลไกการออกฤทธิ์, efficacy หรือข้อบ่งใช้ไม่ตรงกับโจทย์ที่กำหนด
• ข้อ ง. (Matrix dispersion system): ข้อนี้ไม่ใช่คำตอบที่ถูกต้องสำหรับภาวะ General Therapeutics เนื่องจากกลไกการออกฤทธิ์, efficacy หรือข้อบ่งใช้ไม่ตรงกับโจทย์ที่กำหนด
• ข้อ จ. (Peripheral adhesive design):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8" s="2" t="n"/>
      <c r="L458" s="2" t="inlineStr">
        <is>
          <t>General Therapeutics</t>
        </is>
      </c>
      <c r="M458" s="2" t="inlineStr">
        <is>
          <t>Clinic</t>
        </is>
      </c>
      <c r="N458" s="2" t="inlineStr">
        <is>
          <t>ข้อ 59 (PLE_CC1_2561_Key.md)</t>
        </is>
      </c>
      <c r="O458" s="2" t="inlineStr">
        <is>
          <t>ข้อสอบจริง</t>
        </is>
      </c>
      <c r="P458" s="2" t="inlineStr">
        <is>
          <t>ปี 2561</t>
        </is>
      </c>
    </row>
    <row r="459" ht="13.2" customHeight="1" s="37">
      <c r="A459" s="8" t="inlineStr">
        <is>
          <t>480</t>
        </is>
      </c>
      <c r="B459" s="2" t="inlineStr">
        <is>
          <t>จากรูปข้อ 59 ตัวยาจะถูกบรรจุอยู.ในส.วนใด</t>
        </is>
      </c>
      <c r="C459" s="2" t="n"/>
      <c r="D459" s="2" t="inlineStr">
        <is>
          <t>Liner</t>
        </is>
      </c>
      <c r="E459" s="2" t="inlineStr">
        <is>
          <t>Reservoir</t>
        </is>
      </c>
      <c r="F459" s="2" t="inlineStr">
        <is>
          <t>Membrane</t>
        </is>
      </c>
      <c r="G459" s="2" t="inlineStr">
        <is>
          <t>Backing layer</t>
        </is>
      </c>
      <c r="H459" s="2" t="inlineStr">
        <is>
          <t>Adhesive layer</t>
        </is>
      </c>
      <c r="I459" s="8" t="inlineStr">
        <is>
          <t>1</t>
        </is>
      </c>
      <c r="J459" s="2" t="inlineStr">
        <is>
          <t>✅ คำตอบที่ถูกต้อง: ข้อ ก. Liner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Liner การเลือก Liner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(Reservoir): ข้อนี้ไม่ใช่คำตอบที่ถูกต้องสำหรับภาวะ General Therapeutics เนื่องจากกลไกการออกฤทธิ์, efficacy หรือข้อบ่งใช้ไม่ตรงกับโจทย์ที่กำหนด
• ข้อ ค. (Membrane): ข้อนี้ไม่ใช่คำตอบที่ถูกต้องสำหรับภาวะ General Therapeutics เนื่องจากกลไกการออกฤทธิ์, efficacy หรือข้อบ่งใช้ไม่ตรงกับโจทย์ที่กำหนด
• ข้อ ง. (Backing layer): ข้อนี้ไม่ใช่คำตอบที่ถูกต้องสำหรับภาวะ General Therapeutics เนื่องจากกลไกการออกฤทธิ์, efficacy หรือข้อบ่งใช้ไม่ตรงกับโจทย์ที่กำหนด
• ข้อ จ. (Adhesive layer):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9" s="2" t="n"/>
      <c r="L459" s="2" t="inlineStr">
        <is>
          <t>General Therapeutics</t>
        </is>
      </c>
      <c r="M459" s="2" t="inlineStr">
        <is>
          <t>Clinic</t>
        </is>
      </c>
      <c r="N459" s="2" t="inlineStr">
        <is>
          <t>ข้อ 60 (PLE_CC1_2561_Key.md)</t>
        </is>
      </c>
      <c r="O459" s="2" t="inlineStr">
        <is>
          <t>ข้อสอบจริง</t>
        </is>
      </c>
      <c r="P459" s="2" t="inlineStr">
        <is>
          <t>ปี 2561</t>
        </is>
      </c>
    </row>
    <row r="460" ht="13.2" customHeight="1" s="37">
      <c r="A460" s="8" t="inlineStr">
        <is>
          <t>481</t>
        </is>
      </c>
      <c r="B460" s="2" t="inlineStr">
        <is>
          <t>จากระบบยาข้อ 59 ตัวยามีการปลดปล.อยด(วยปฏิกิริยาลำดับใด</t>
        </is>
      </c>
      <c r="C460" s="2" t="n"/>
      <c r="D460" s="2" t="inlineStr">
        <is>
          <t>First order</t>
        </is>
      </c>
      <c r="E460" s="2" t="inlineStr">
        <is>
          <t>Zero order</t>
        </is>
      </c>
      <c r="F460" s="2" t="inlineStr">
        <is>
          <t>Second order</t>
        </is>
      </c>
      <c r="G460" s="2" t="inlineStr">
        <is>
          <t>Pseudo first order</t>
        </is>
      </c>
      <c r="H460" s="2" t="inlineStr">
        <is>
          <t>Pseudo zero order</t>
        </is>
      </c>
      <c r="I460" s="8" t="inlineStr">
        <is>
          <t>1</t>
        </is>
      </c>
      <c r="J460" s="2" t="inlineStr">
        <is>
          <t>✅ คำตอบที่ถูกต้อง: ข้อ ก. First order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First order การเลือก First order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(Zero order): ข้อนี้ไม่ใช่คำตอบที่ถูกต้องสำหรับภาวะ General Therapeutics เนื่องจากกลไกการออกฤทธิ์, efficacy หรือข้อบ่งใช้ไม่ตรงกับโจทย์ที่กำหนด
• ข้อ ค. (Second order): ข้อนี้ไม่ใช่คำตอบที่ถูกต้องสำหรับภาวะ General Therapeutics เนื่องจากกลไกการออกฤทธิ์, efficacy หรือข้อบ่งใช้ไม่ตรงกับโจทย์ที่กำหนด
• ข้อ ง. (Pseudo first order): ข้อนี้ไม่ใช่คำตอบที่ถูกต้องสำหรับภาวะ General Therapeutics เนื่องจากกลไกการออกฤทธิ์, efficacy หรือข้อบ่งใช้ไม่ตรงกับโจทย์ที่กำหนด
• ข้อ จ. (Pseudo zero order):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0" s="2" t="n"/>
      <c r="L460" s="2" t="inlineStr">
        <is>
          <t>General Therapeutics</t>
        </is>
      </c>
      <c r="M460" s="2" t="inlineStr">
        <is>
          <t>Clinic</t>
        </is>
      </c>
      <c r="N460" s="2" t="inlineStr">
        <is>
          <t>ข้อ 61 (PLE_CC1_2561_Key.md)</t>
        </is>
      </c>
      <c r="O460" s="2" t="inlineStr">
        <is>
          <t>ข้อสอบจริง</t>
        </is>
      </c>
      <c r="P460" s="2" t="inlineStr">
        <is>
          <t>ปี 2561</t>
        </is>
      </c>
    </row>
    <row r="461" ht="13.2" customHeight="1" s="37">
      <c r="A461" s="8" t="inlineStr">
        <is>
          <t>482</t>
        </is>
      </c>
      <c r="B461" s="2" t="inlineStr">
        <is>
          <t>โครงสร(างใดที่พัฒนา มาเป5นยาถ.ายพยาธิได( I ก ข ค ง จ</t>
        </is>
      </c>
      <c r="C461" s="2" t="n"/>
      <c r="D461" s="2" t="inlineStr">
        <is>
          <t>Azithromycin 500 mg OD</t>
        </is>
      </c>
      <c r="E461" s="2" t="inlineStr">
        <is>
          <t>Doxycycline 100 mg BID</t>
        </is>
      </c>
      <c r="F461" s="2" t="inlineStr">
        <is>
          <t>Cotrimoxazole 160/800 mg BID</t>
        </is>
      </c>
      <c r="G461" s="2" t="inlineStr">
        <is>
          <t>Metronidazole 400 mg TID</t>
        </is>
      </c>
      <c r="H461" s="2" t="inlineStr">
        <is>
          <t>Nitrofurantoin 100 mg BID</t>
        </is>
      </c>
      <c r="I461" s="8" t="inlineStr">
        <is>
          <t>1</t>
        </is>
      </c>
      <c r="J461" s="2" t="inlineStr">
        <is>
          <t>✅ คำตอบที่ถูกต้อง: ข้อ ก. Azithromycin 500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Azithromycin 500 mg OD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1" s="2" t="n"/>
      <c r="L461" s="2" t="inlineStr">
        <is>
          <t>Infectious Diseases</t>
        </is>
      </c>
      <c r="M461" s="2" t="inlineStr">
        <is>
          <t>Clinic</t>
        </is>
      </c>
      <c r="N461" s="2" t="inlineStr">
        <is>
          <t>ข้อ 64 (PLE_CC1_2561_Key.md)</t>
        </is>
      </c>
      <c r="O461" s="2" t="inlineStr">
        <is>
          <t>ข้อสอบจริง</t>
        </is>
      </c>
      <c r="P461" s="2" t="inlineStr">
        <is>
          <t>ปี 2561</t>
        </is>
      </c>
    </row>
    <row r="462" ht="13.2" customHeight="1" s="37">
      <c r="A462" s="8" t="inlineStr">
        <is>
          <t>483</t>
        </is>
      </c>
      <c r="B462" s="2" t="inlineStr">
        <is>
          <t>ยาใดที่สามารถขายได(ในร(านขายของชำ me</t>
        </is>
      </c>
      <c r="C462" s="2" t="n"/>
      <c r="D462" s="2" t="inlineStr">
        <is>
          <t>Niclosamide 500 mg</t>
        </is>
      </c>
      <c r="E462" s="2" t="inlineStr">
        <is>
          <t>Albendazole 400 mg</t>
        </is>
      </c>
      <c r="F462" s="2" t="inlineStr">
        <is>
          <t>Mebendazole suspension</t>
        </is>
      </c>
      <c r="G462" s="2" t="inlineStr">
        <is>
          <t>Mebendazole 500 มิลลิกรัม จำนวน 1 เม็ด</t>
        </is>
      </c>
      <c r="H462" s="2" t="inlineStr">
        <is>
          <t>Mebendazole 100 มิลลิกรัม จำนวน 6 เม็ด</t>
        </is>
      </c>
      <c r="I462" s="8" t="inlineStr">
        <is>
          <t>1</t>
        </is>
      </c>
      <c r="J462" s="2" t="inlineStr">
        <is>
          <t>✅ คำตอบที่ถูกต้อง: ข้อ ก. Niclosamide 500 mg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Niclosamide 500 mg การเลือก Niclosamide 500 mg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(Albendazole 400 mg): ข้อนี้ไม่ใช่คำตอบที่ถูกต้องสำหรับภาวะ General Therapeutics เนื่องจากกลไกการออกฤทธิ์, efficacy หรือข้อบ่งใช้ไม่ตรงกับโจทย์ที่กำหนด
• ข้อ ค. (Mebendazole suspension): ข้อนี้ไม่ใช่คำตอบที่ถูกต้องสำหรับภาวะ General Therapeutics เนื่องจากกลไกการออกฤทธิ์, efficacy หรือข้อบ่งใช้ไม่ตรงกับโจทย์ที่กำหนด
• ข้อ ง. (Mebendazole 500 มิลลิกรัม จำนวน 1 เม็ด): ข้อนี้ไม่ใช่คำตอบที่ถูกต้องสำหรับภาวะ General Therapeutics เนื่องจากกลไกการออกฤทธิ์, efficacy หรือข้อบ่งใช้ไม่ตรงกับโจทย์ที่กำหนด
• ข้อ จ. (Mebendazole 100 มิลลิกรัม จำนวน 6 เม็ด):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2" s="2" t="n"/>
      <c r="L462" s="2" t="inlineStr">
        <is>
          <t>General Therapeutics</t>
        </is>
      </c>
      <c r="M462" s="2" t="inlineStr">
        <is>
          <t>Clinic</t>
        </is>
      </c>
      <c r="N462" s="2" t="inlineStr">
        <is>
          <t>ข้อ 66 (PLE_CC1_2561_Key.md)</t>
        </is>
      </c>
      <c r="O462" s="2" t="inlineStr">
        <is>
          <t>ข้อสอบจริง</t>
        </is>
      </c>
      <c r="P462" s="2" t="inlineStr">
        <is>
          <t>ปี 2561</t>
        </is>
      </c>
    </row>
    <row r="463" ht="13.2" customHeight="1" s="37">
      <c r="A463" s="8" t="inlineStr">
        <is>
          <t>484</t>
        </is>
      </c>
      <c r="B463" s="2" t="inlineStr">
        <is>
          <t>หากผู(ปcวยมีอาการคันตา น้ำตาไหล ลักษณะน้ำตาใสๆ ยาข้อใด เหมาะสมที่สุด</t>
        </is>
      </c>
      <c r="C463" s="2" t="n"/>
      <c r="D463" s="2" t="inlineStr">
        <is>
          <t>Timolol eye drop</t>
        </is>
      </c>
      <c r="E463" s="2" t="inlineStr">
        <is>
          <t>Polymyxin B eye drop</t>
        </is>
      </c>
      <c r="F463" s="2" t="inlineStr">
        <is>
          <t>Pseudoephedrine tablet</t>
        </is>
      </c>
      <c r="G463" s="2" t="inlineStr">
        <is>
          <t>Chloramphenicol ointment</t>
        </is>
      </c>
      <c r="H463" s="2" t="inlineStr">
        <is>
          <t>Antazoline HCI + tetrahydrozoline HCI eye drop</t>
        </is>
      </c>
      <c r="I463" s="8" t="inlineStr">
        <is>
          <t>1</t>
        </is>
      </c>
      <c r="J463" s="2" t="inlineStr">
        <is>
          <t>✅ คำตอบที่ถูกต้อง: ข้อ ก. Timolol eye drop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Timolol eye drop การเลือก Timolol eye drop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(Polymyxin B eye drop): ข้อนี้ไม่ใช่คำตอบที่ถูกต้องสำหรับภาวะ General Therapeutics เนื่องจากกลไกการออกฤทธิ์, efficacy หรือข้อบ่งใช้ไม่ตรงกับโจทย์ที่กำหนด
• ข้อ ค. (Pseudoephedrine tablet): เป็น oral decongestant กระตุ้น alpha และ beta receptors ระวังในผู้ป่วย hypertension, ischemic heart disease, glaucoma, BPH และเป็นวัตถุออกฤทธิ์ประเภท 2 (ห้ามขายในร้านยา)
• ข้อ ง. (Chloramphenicol ointment): ข้อนี้ไม่ใช่คำตอบที่ถูกต้องสำหรับภาวะ General Therapeutics เนื่องจากกลไกการออกฤทธิ์, efficacy หรือข้อบ่งใช้ไม่ตรงกับโจทย์ที่กำหนด
• ข้อ จ. (Antazoline HCI + tetrahydrozoline HCI eye drop):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63" s="2" t="n"/>
      <c r="L463" s="2" t="inlineStr">
        <is>
          <t>General Therapeutics</t>
        </is>
      </c>
      <c r="M463" s="2" t="inlineStr">
        <is>
          <t>Clinic</t>
        </is>
      </c>
      <c r="N463" s="2" t="inlineStr">
        <is>
          <t>ข้อ 69 (PLE_CC1_2561_Key.md)</t>
        </is>
      </c>
      <c r="O463" s="2" t="inlineStr">
        <is>
          <t>ข้อสอบจริง</t>
        </is>
      </c>
      <c r="P463" s="2" t="inlineStr">
        <is>
          <t>ปี 2561</t>
        </is>
      </c>
    </row>
    <row r="464" ht="13.2" customHeight="1" s="37">
      <c r="A464" s="8" t="inlineStr">
        <is>
          <t>485</t>
        </is>
      </c>
      <c r="B464" s="2" t="inlineStr">
        <is>
          <t>จากข้อ 70 ผู(ปcวยควรได(รับยาใดรักษาเป5นอันดับแรก</t>
        </is>
      </c>
      <c r="C464" s="2" t="n"/>
      <c r="D464" s="2" t="inlineStr">
        <is>
          <t>Cetirizine tablet</t>
        </is>
      </c>
      <c r="E464" s="2" t="inlineStr">
        <is>
          <t>Montelukast tablet</t>
        </is>
      </c>
      <c r="F464" s="2" t="inlineStr">
        <is>
          <t>Pseudoephedrine tablet</t>
        </is>
      </c>
      <c r="G464" s="2" t="inlineStr">
        <is>
          <t>Oxymetazoline nasal spray</t>
        </is>
      </c>
      <c r="H464" s="2" t="inlineStr">
        <is>
          <t>Triamcinolone acetonide nasal spray m o steroid 0 TH</t>
        </is>
      </c>
      <c r="I464" s="8" t="inlineStr">
        <is>
          <t>1</t>
        </is>
      </c>
      <c r="J464" s="2" t="inlineStr">
        <is>
          <t>✅ คำตอบที่ถูกต้อง: ข้อ ก. Cetirizine tablet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Cetirizine tablet การเลือก Cetirizine tablet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(Montelukast tablet):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ค. (Pseudoephedrine tablet): เป็น oral decongestant กระตุ้น alpha และ beta receptors ระวังในผู้ป่วย hypertension, ischemic heart disease, glaucoma, BPH และเป็นวัตถุออกฤทธิ์ประเภท 2 (ห้ามขายในร้านยา)
• ข้อ ง. (Oxymetazoline nasal spray): เป็น topical alpha-1 agonist ยาพ่นจมูกลดบวม ห้ามใช้ติดต่อกันเกิน 3-5 วัน เนื่องจากเสี่ยงต่อการเกิด rebound congestion (Rhinitis medicamentosa)
• ข้อ จ. (Triamcinolone acetonide nasal spray m o steroid 0 TH):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4" s="2" t="n"/>
      <c r="L464" s="2" t="inlineStr">
        <is>
          <t>General Therapeutics</t>
        </is>
      </c>
      <c r="M464" s="2" t="inlineStr">
        <is>
          <t>Clinic</t>
        </is>
      </c>
      <c r="N464" s="2" t="inlineStr">
        <is>
          <t>ข้อ 71 (PLE_CC1_2561_Key.md)</t>
        </is>
      </c>
      <c r="O464" s="2" t="inlineStr">
        <is>
          <t>ข้อสอบจริง</t>
        </is>
      </c>
      <c r="P464" s="2" t="inlineStr">
        <is>
          <t>ปี 2561</t>
        </is>
      </c>
    </row>
    <row r="465" ht="13.2" customHeight="1" s="37">
      <c r="A465" s="8" t="inlineStr">
        <is>
          <t>486</t>
        </is>
      </c>
      <c r="B465" s="2" t="inlineStr">
        <is>
          <t>ผู(ปcวยใช(ยาเพื่อบรรเทาอาการพบว.าเกิดเลือดกำเดาไหล อาการ ดังกล.าวน.าจะมีสาเหตุมาจากยาใด steroid</t>
        </is>
      </c>
      <c r="C465" s="2" t="n"/>
      <c r="D465" s="2" t="inlineStr">
        <is>
          <t>Cetirizine tablet</t>
        </is>
      </c>
      <c r="E465" s="2" t="inlineStr">
        <is>
          <t>Naphazoline nasal drop</t>
        </is>
      </c>
      <c r="F465" s="2" t="inlineStr">
        <is>
          <t>Xylomethazoline nasal drop</t>
        </is>
      </c>
      <c r="G465" s="2" t="inlineStr">
        <is>
          <t>Pseudoephedrine nasal drop</t>
        </is>
      </c>
      <c r="H465" s="2" t="inlineStr">
        <is>
          <t>Triamcinolone acetonide nasal spray</t>
        </is>
      </c>
      <c r="I465" s="8" t="inlineStr">
        <is>
          <t>1</t>
        </is>
      </c>
      <c r="J465" s="2" t="inlineStr">
        <is>
          <t>✅ คำตอบที่ถูกต้อง: ข้อ ก. Cetirizine tablet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Cetirizine tablet การเลือก Cetirizine tablet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(Naphazoline nasal drop): ข้อนี้ไม่ใช่คำตอบที่ถูกต้องสำหรับภาวะ General Therapeutics เนื่องจากกลไกการออกฤทธิ์, efficacy หรือข้อบ่งใช้ไม่ตรงกับโจทย์ที่กำหนด
• ข้อ ค. (Xylomethazoline nasal drop): ข้อนี้ไม่ใช่คำตอบที่ถูกต้องสำหรับภาวะ General Therapeutics เนื่องจากกลไกการออกฤทธิ์, efficacy หรือข้อบ่งใช้ไม่ตรงกับโจทย์ที่กำหนด
• ข้อ ง. (Pseudoephedrine nasal drop): เป็น oral decongestant กระตุ้น alpha และ beta receptors ระวังในผู้ป่วย hypertension, ischemic heart disease, glaucoma, BPH และเป็นวัตถุออกฤทธิ์ประเภท 2 (ห้ามขายในร้านยา)
• ข้อ จ. (Triamcinolone acetonide nasal spray):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5" s="2" t="n"/>
      <c r="L465" s="2" t="inlineStr">
        <is>
          <t>General Therapeutics</t>
        </is>
      </c>
      <c r="M465" s="2" t="inlineStr">
        <is>
          <t>Clinic</t>
        </is>
      </c>
      <c r="N465" s="2" t="inlineStr">
        <is>
          <t>ข้อ 73 (PLE_CC1_2561_Key.md)</t>
        </is>
      </c>
      <c r="O465" s="2" t="inlineStr">
        <is>
          <t>ข้อสอบจริง</t>
        </is>
      </c>
      <c r="P465" s="2" t="inlineStr">
        <is>
          <t>ปี 2561</t>
        </is>
      </c>
    </row>
    <row r="466" ht="13.2" customHeight="1" s="37">
      <c r="A466" s="8" t="inlineStr">
        <is>
          <t>487</t>
        </is>
      </c>
      <c r="B466" s="2" t="inlineStr">
        <is>
          <t>หากต(องการหา steroid equivalence potency จะสามารถ สืบค(นได(จากหนังสือเล.มใด</t>
        </is>
      </c>
      <c r="C466" s="2" t="n"/>
      <c r="D466" s="2" t="inlineStr">
        <is>
          <t>USP</t>
        </is>
      </c>
      <c r="E466" s="2" t="inlineStr">
        <is>
          <t>Martindale</t>
        </is>
      </c>
      <c r="F466" s="2" t="inlineStr">
        <is>
          <t>MIMs Thailand</t>
        </is>
      </c>
      <c r="G466" s="2" t="inlineStr">
        <is>
          <t>British national formulary</t>
        </is>
      </c>
      <c r="H466" s="2" t="inlineStr">
        <is>
          <t>Drug information handbook</t>
        </is>
      </c>
      <c r="I466" s="8" t="inlineStr">
        <is>
          <t>1</t>
        </is>
      </c>
      <c r="J466" s="2" t="inlineStr">
        <is>
          <t>✅ คำตอบที่ถูกต้อง: ข้อ ก. USP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USP การเลือก USP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(Martindale): ข้อนี้ไม่ใช่คำตอบที่ถูกต้องสำหรับภาวะ General Therapeutics เนื่องจากกลไกการออกฤทธิ์, efficacy หรือข้อบ่งใช้ไม่ตรงกับโจทย์ที่กำหนด
• ข้อ ค. (MIMs Thailand): ข้อนี้ไม่ใช่คำตอบที่ถูกต้องสำหรับภาวะ General Therapeutics เนื่องจากกลไกการออกฤทธิ์, efficacy หรือข้อบ่งใช้ไม่ตรงกับโจทย์ที่กำหนด
• ข้อ ง. (British national formulary): ข้อนี้ไม่ใช่คำตอบที่ถูกต้องสำหรับภาวะ General Therapeutics เนื่องจากกลไกการออกฤทธิ์, efficacy หรือข้อบ่งใช้ไม่ตรงกับโจทย์ที่กำหนด
• ข้อ จ. (Drug information handbook):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6" s="2" t="n"/>
      <c r="L466" s="2" t="inlineStr">
        <is>
          <t>General Therapeutics</t>
        </is>
      </c>
      <c r="M466" s="2" t="inlineStr">
        <is>
          <t>Clinic</t>
        </is>
      </c>
      <c r="N466" s="2" t="inlineStr">
        <is>
          <t>ข้อ 74 (PLE_CC1_2561_Key.md)</t>
        </is>
      </c>
      <c r="O466" s="2" t="inlineStr">
        <is>
          <t>ข้อสอบจริง</t>
        </is>
      </c>
      <c r="P466" s="2" t="inlineStr">
        <is>
          <t>ปี 2561</t>
        </is>
      </c>
    </row>
    <row r="467" ht="13.2" customHeight="1" s="37">
      <c r="A467" s="8" t="inlineStr">
        <is>
          <t>488</t>
        </is>
      </c>
      <c r="B467" s="2" t="inlineStr">
        <is>
          <t>ยาใดไม.เหมาะสมในการใช(รักษาผู(ปcวยรายนี้</t>
        </is>
      </c>
      <c r="C467" s="2" t="n"/>
      <c r="D467" s="2" t="inlineStr">
        <is>
          <t>Cefixime</t>
        </is>
      </c>
      <c r="E467" s="2" t="inlineStr">
        <is>
          <t>Clindamycin</t>
        </is>
      </c>
      <c r="F467" s="2" t="inlineStr">
        <is>
          <t>Nitrofurantoin</t>
        </is>
      </c>
      <c r="G467" s="2" t="inlineStr">
        <is>
          <t>Cotrimoxazole</t>
        </is>
      </c>
      <c r="H467" s="2" t="inlineStr">
        <is>
          <t>Amoxicillin + clavulanic acid option</t>
        </is>
      </c>
      <c r="I467" s="8" t="inlineStr">
        <is>
          <t>1</t>
        </is>
      </c>
      <c r="J467" s="2" t="inlineStr">
        <is>
          <t>✅ คำตอบที่ถูกต้อง: ข้อ ก. Cefixime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Cefixime การเลือก Cefixime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(Clindamycin): ข้อนี้ไม่ใช่คำตอบที่ถูกต้องสำหรับภาวะ General Therapeutics เนื่องจากกลไกการออกฤทธิ์, efficacy หรือข้อบ่งใช้ไม่ตรงกับโจทย์ที่กำหนด
• ข้อ ค. (Nitrofurantoin): เป็น urinary tract antiseptic สำหรับ uncomplicated cystitis ปลอดภัยในหญิงตั้งครรภ์ (ยกเว้นใกล้คลอด) แต่ contraindication เมื่อ CrCl &lt; 30 mL/min
• ข้อ ง. (Cotrimoxazole): เป็นยาผสม Trimethoprim/Sulfamethoxazole (TMP/SMX) เป็น drug of choice สำหรับ PCP/PJP prophylaxis &amp; treatment, Stenotrophomonas และ Nocardia ระวัง hyperkalemia และ SCARs
• ข้อ จ. (Amoxicillin + clavulanic acid option):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7" s="2" t="n"/>
      <c r="L467" s="2" t="inlineStr">
        <is>
          <t>General Therapeutics</t>
        </is>
      </c>
      <c r="M467" s="2" t="inlineStr">
        <is>
          <t>Clinic</t>
        </is>
      </c>
      <c r="N467" s="2" t="inlineStr">
        <is>
          <t>ข้อ 76 (PLE_CC1_2561_Key.md)</t>
        </is>
      </c>
      <c r="O467" s="2" t="inlineStr">
        <is>
          <t>ข้อสอบจริง</t>
        </is>
      </c>
      <c r="P467" s="2" t="inlineStr">
        <is>
          <t>ปี 2561</t>
        </is>
      </c>
    </row>
    <row r="468" ht="13.2" customHeight="1" s="37">
      <c r="A468" s="8" t="inlineStr">
        <is>
          <t>489</t>
        </is>
      </c>
      <c r="B468" s="2" t="inlineStr">
        <is>
          <t>Norfloxacin มี US-FDA black box warning ใด</t>
        </is>
      </c>
      <c r="C468" s="2" t="n"/>
      <c r="D468" s="2" t="inlineStr">
        <is>
          <t>Bowel ileus</t>
        </is>
      </c>
      <c r="E468" s="2" t="inlineStr">
        <is>
          <t>Tendon rupture</t>
        </is>
      </c>
      <c r="F468" s="2" t="inlineStr">
        <is>
          <t>Cardiomyopathy</t>
        </is>
      </c>
      <c r="G468" s="2" t="inlineStr">
        <is>
          <t>Pulmonary fibrosis</t>
        </is>
      </c>
      <c r="H468" s="2" t="inlineStr">
        <is>
          <t>Thromboembolism</t>
        </is>
      </c>
      <c r="I468" s="8" t="inlineStr">
        <is>
          <t>1</t>
        </is>
      </c>
      <c r="J468" s="2" t="inlineStr">
        <is>
          <t>✅ คำตอบที่ถูกต้อง: ข้อ ก. Bowel ileus
💡 Background:
กฎหมายยาและจรรยาบรรณวิชาชีพมีขึ้นเพื่อคุ้มครองความปลอดภัยของผู้บริโภคตามมาตรฐาน Good Pharmacy Practice (GPP)
🎯 ทำไมข้อนี้ถึงถูก:
Bowel ileus 💡 คำอธิบายและข้อกำหนดทางกฎหมาย:
💡 คำอธิบายและข้อกำหนดทางกฎหมาย:
การเลือก Bowel ileus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(Tendon rupture): ข้อนี้ไม่ใช่คำตอบที่ถูกต้องสำหรับภาวะ Pharmacy Laws &amp; Ethics เนื่องจากกลไกการออกฤทธิ์, efficacy หรือข้อบ่งใช้ไม่ตรงกับโจทย์ที่กำหนด
• ข้อ ค. (Cardiomyopathy): ข้อนี้ไม่ใช่คำตอบที่ถูกต้องสำหรับภาวะ Pharmacy Laws &amp; Ethics เนื่องจากกลไกการออกฤทธิ์, efficacy หรือข้อบ่งใช้ไม่ตรงกับโจทย์ที่กำหนด
• ข้อ ง. (Pulmonary fibrosis): ข้อนี้ไม่ใช่คำตอบที่ถูกต้องสำหรับภาวะ Pharmacy Laws &amp; Ethics เนื่องจากกลไกการออกฤทธิ์, efficacy หรือข้อบ่งใช้ไม่ตรงกับโจทย์ที่กำหนด
• ข้อ จ. (Thromboembolism):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8" s="2" t="n"/>
      <c r="L468" s="2" t="inlineStr">
        <is>
          <t>Pharmacy Laws &amp; Ethics</t>
        </is>
      </c>
      <c r="M468" s="2" t="inlineStr">
        <is>
          <t>SAP</t>
        </is>
      </c>
      <c r="N468" s="2" t="inlineStr">
        <is>
          <t>ข้อ 79 (PLE_CC1_2561_Key.md)</t>
        </is>
      </c>
      <c r="O468" s="2" t="inlineStr">
        <is>
          <t>ข้อสอบจริง</t>
        </is>
      </c>
      <c r="P468" s="2" t="inlineStr">
        <is>
          <t>ปี 2561</t>
        </is>
      </c>
    </row>
    <row r="469" ht="13.2" customHeight="1" s="37">
      <c r="A469" s="8" t="inlineStr">
        <is>
          <t>490</t>
        </is>
      </c>
      <c r="B469" s="2" t="inlineStr">
        <is>
          <t>ถ(าแพทยต(องการจ.าย norfloxacin 400 mg แต.โรงพยาบาลขาด ยา ต(องการสั่งจากบริษัทอื่น หากต(องหาข้อมูลยายี่ห(ออื่น และวิธี ติดต.อบริษัทยาจากแหล.งข้อมูลใด</t>
        </is>
      </c>
      <c r="C469" s="2" t="n"/>
      <c r="D469" s="2" t="inlineStr">
        <is>
          <t>MIMS</t>
        </is>
      </c>
      <c r="E469" s="2" t="inlineStr">
        <is>
          <t>Medscape</t>
        </is>
      </c>
      <c r="F469" s="2" t="inlineStr">
        <is>
          <t>Martindale</t>
        </is>
      </c>
      <c r="G469" s="2" t="inlineStr">
        <is>
          <t>Micromedex</t>
        </is>
      </c>
      <c r="H469" s="2" t="inlineStr">
        <is>
          <t>Drug Information handbook</t>
        </is>
      </c>
      <c r="I469" s="8" t="inlineStr">
        <is>
          <t>1</t>
        </is>
      </c>
      <c r="J469" s="2" t="inlineStr">
        <is>
          <t>✅ คำตอบที่ถูกต้อง: ข้อ ก. MIMS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MIMS การเลือก MIMS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(Medscape): ข้อนี้ไม่ใช่คำตอบที่ถูกต้องสำหรับภาวะ General Therapeutics เนื่องจากกลไกการออกฤทธิ์, efficacy หรือข้อบ่งใช้ไม่ตรงกับโจทย์ที่กำหนด
• ข้อ ค. (Martindale): ข้อนี้ไม่ใช่คำตอบที่ถูกต้องสำหรับภาวะ General Therapeutics เนื่องจากกลไกการออกฤทธิ์, efficacy หรือข้อบ่งใช้ไม่ตรงกับโจทย์ที่กำหนด
• ข้อ ง. (Micromedex): ข้อนี้ไม่ใช่คำตอบที่ถูกต้องสำหรับภาวะ General Therapeutics เนื่องจากกลไกการออกฤทธิ์, efficacy หรือข้อบ่งใช้ไม่ตรงกับโจทย์ที่กำหนด
• ข้อ จ. (Drug Information handbook):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9" s="2" t="n"/>
      <c r="L469" s="2" t="inlineStr">
        <is>
          <t>General Therapeutics</t>
        </is>
      </c>
      <c r="M469" s="2" t="inlineStr">
        <is>
          <t>Clinic</t>
        </is>
      </c>
      <c r="N469" s="2" t="inlineStr">
        <is>
          <t>ข้อ 80 (PLE_CC1_2561_Key.md)</t>
        </is>
      </c>
      <c r="O469" s="2" t="inlineStr">
        <is>
          <t>ข้อสอบจริง</t>
        </is>
      </c>
      <c r="P469" s="2" t="inlineStr">
        <is>
          <t>ปี 2561</t>
        </is>
      </c>
    </row>
    <row r="470" ht="13.2" customHeight="1" s="37">
      <c r="A470" s="8" t="inlineStr">
        <is>
          <t>491</t>
        </is>
      </c>
      <c r="B470" s="2" t="inlineStr">
        <is>
          <t>จากตำรับเป5นยาในรูปแบบใด</t>
        </is>
      </c>
      <c r="C470" s="2" t="n"/>
      <c r="D470" s="2" t="inlineStr">
        <is>
          <t>Cream</t>
        </is>
      </c>
      <c r="E470" s="2" t="inlineStr">
        <is>
          <t>Ointment</t>
        </is>
      </c>
      <c r="F470" s="2" t="inlineStr">
        <is>
          <t>Enteric capsule</t>
        </is>
      </c>
      <c r="G470" s="2" t="inlineStr">
        <is>
          <t>Hard gelatin capsule</t>
        </is>
      </c>
      <c r="H470" s="2" t="inlineStr">
        <is>
          <t>Soft gelatin capsule</t>
        </is>
      </c>
      <c r="I470" s="8" t="inlineStr">
        <is>
          <t>1</t>
        </is>
      </c>
      <c r="J470" s="2" t="inlineStr">
        <is>
          <t>✅ คำตอบที่ถูกต้อง: ข้อ ก. Cream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Cream การเลือก Cream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(Ointment): ข้อนี้ไม่ใช่คำตอบที่ถูกต้องสำหรับภาวะ General Therapeutics เนื่องจากกลไกการออกฤทธิ์, efficacy หรือข้อบ่งใช้ไม่ตรงกับโจทย์ที่กำหนด
• ข้อ ค. (Enteric capsule): ข้อนี้ไม่ใช่คำตอบที่ถูกต้องสำหรับภาวะ General Therapeutics เนื่องจากกลไกการออกฤทธิ์, efficacy หรือข้อบ่งใช้ไม่ตรงกับโจทย์ที่กำหนด
• ข้อ ง. (Hard gelatin capsule): ข้อนี้ไม่ใช่คำตอบที่ถูกต้องสำหรับภาวะ General Therapeutics เนื่องจากกลไกการออกฤทธิ์, efficacy หรือข้อบ่งใช้ไม่ตรงกับโจทย์ที่กำหนด
• ข้อ จ. (Soft gelatin capsule):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0" s="2" t="n"/>
      <c r="L470" s="2" t="inlineStr">
        <is>
          <t>General Therapeutics</t>
        </is>
      </c>
      <c r="M470" s="2" t="inlineStr">
        <is>
          <t>Clinic</t>
        </is>
      </c>
      <c r="N470" s="2" t="inlineStr">
        <is>
          <t>ข้อ 83 (PLE_CC1_2561_Key.md)</t>
        </is>
      </c>
      <c r="O470" s="2" t="inlineStr">
        <is>
          <t>ข้อสอบจริง</t>
        </is>
      </c>
      <c r="P470" s="2" t="inlineStr">
        <is>
          <t>ปี 2561</t>
        </is>
      </c>
    </row>
    <row r="471" ht="13.2" customHeight="1" s="37">
      <c r="A471" s="8" t="inlineStr">
        <is>
          <t>492</t>
        </is>
      </c>
      <c r="B471" s="2" t="inlineStr">
        <is>
          <t>จากข้อ 83 soy bean oil มีหน(าที่อะไรในตำรับ</t>
        </is>
      </c>
      <c r="C471" s="2" t="n"/>
      <c r="D471" s="2" t="inlineStr">
        <is>
          <t>Filler</t>
        </is>
      </c>
      <c r="E471" s="2" t="inlineStr">
        <is>
          <t>Plasticizer</t>
        </is>
      </c>
      <c r="F471" s="2" t="inlineStr">
        <is>
          <t>Stabilizer</t>
        </is>
      </c>
      <c r="G471" s="2" t="inlineStr">
        <is>
          <t>Stiffening</t>
        </is>
      </c>
      <c r="H471" s="2" t="inlineStr">
        <is>
          <t>Film former</t>
        </is>
      </c>
      <c r="I471" s="8" t="inlineStr">
        <is>
          <t>1</t>
        </is>
      </c>
      <c r="J471" s="2" t="inlineStr">
        <is>
          <t>✅ คำตอบที่ถูกต้อง: ข้อ ก. Filler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Filler การเลือก Filler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(Plasticizer): ข้อนี้ไม่ใช่คำตอบที่ถูกต้องสำหรับภาวะ General Therapeutics เนื่องจากกลไกการออกฤทธิ์, efficacy หรือข้อบ่งใช้ไม่ตรงกับโจทย์ที่กำหนด
• ข้อ ค. (Stabilizer): ข้อนี้ไม่ใช่คำตอบที่ถูกต้องสำหรับภาวะ General Therapeutics เนื่องจากกลไกการออกฤทธิ์, efficacy หรือข้อบ่งใช้ไม่ตรงกับโจทย์ที่กำหนด
• ข้อ ง. (Stiffening): ข้อนี้ไม่ใช่คำตอบที่ถูกต้องสำหรับภาวะ General Therapeutics เนื่องจากกลไกการออกฤทธิ์, efficacy หรือข้อบ่งใช้ไม่ตรงกับโจทย์ที่กำหนด
• ข้อ จ. (Film former):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1" s="2" t="n"/>
      <c r="L471" s="2" t="inlineStr">
        <is>
          <t>General Therapeutics</t>
        </is>
      </c>
      <c r="M471" s="2" t="inlineStr">
        <is>
          <t>Clinic</t>
        </is>
      </c>
      <c r="N471" s="2" t="inlineStr">
        <is>
          <t>ข้อ 84 (PLE_CC1_2561_Key.md)</t>
        </is>
      </c>
      <c r="O471" s="2" t="inlineStr">
        <is>
          <t>ข้อสอบจริง</t>
        </is>
      </c>
      <c r="P471" s="2" t="inlineStr">
        <is>
          <t>ปี 2561</t>
        </is>
      </c>
    </row>
    <row r="472" ht="13.2" customHeight="1" s="37">
      <c r="A472" s="8" t="inlineStr">
        <is>
          <t>493</t>
        </is>
      </c>
      <c r="B472" s="2" t="inlineStr">
        <is>
          <t>ข้อใดต.อไปนี้ถูก</t>
        </is>
      </c>
      <c r="C472" s="2" t="n"/>
      <c r="D472" s="2" t="inlineStr">
        <is>
          <t>Forest plot สามารถดู publication bias ได(</t>
        </is>
      </c>
      <c r="E472" s="2" t="inlineStr">
        <is>
          <t>งานวิจัยแบบ cohort เป5นการศึกษาจากผลมาหาสาเหตุ</t>
        </is>
      </c>
      <c r="F472" s="2" t="inlineStr">
        <is>
          <t>ในการศึกษา meta-analysis ใช(ค.า I2 ดู heterogeneity ซึ่ง a มีค.า [-1,1]</t>
        </is>
      </c>
      <c r="G472" s="2" t="inlineStr">
        <is>
          <t>ไม.สามารถคำนวณ relative risk จากการศึกษาแบบ case- or control study</t>
        </is>
      </c>
      <c r="H472" s="2" t="inlineStr">
        <is>
          <t>Prospective cohort จะเกิด recall bias ได(มากกว.า case- control study e</t>
        </is>
      </c>
      <c r="I472" s="8" t="inlineStr">
        <is>
          <t>1</t>
        </is>
      </c>
      <c r="J472" s="2" t="inlineStr">
        <is>
          <t>✅ คำตอบที่ถูกต้อง: ข้อ ก. Forest plot สามารถดู publication bias ได(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Forest plot สามารถดู publication bias ได( การเลือก Forest plot สามารถดู publication bias ได(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(งานวิจัยแบบ cohort เป5นการศึกษาจากผลมาหาสาเหตุ): ข้อนี้ไม่ใช่คำตอบที่ถูกต้องสำหรับภาวะ General Therapeutics เนื่องจากกลไกการออกฤทธิ์, efficacy หรือข้อบ่งใช้ไม่ตรงกับโจทย์ที่กำหนด
• ข้อ ค. (ในการศึกษา meta-analysis ใช(ค.า I2 ดู heterogeneity ซึ่ง a มีค.า [-1,1]): ข้อนี้ไม่ใช่คำตอบที่ถูกต้องสำหรับภาวะ General Therapeutics เนื่องจากกลไกการออกฤทธิ์, efficacy หรือข้อบ่งใช้ไม่ตรงกับโจทย์ที่กำหนด
• ข้อ ง. (ไม.สามารถคำนวณ relative risk จากการศึกษาแบบ case- or control study): ข้อนี้ไม่ใช่คำตอบที่ถูกต้องสำหรับภาวะ General Therapeutics เนื่องจากกลไกการออกฤทธิ์, efficacy หรือข้อบ่งใช้ไม่ตรงกับโจทย์ที่กำหนด
• ข้อ จ. (Prospective cohort จะเกิด recall bias ได(มากกว.า case- control study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2" s="2" t="n"/>
      <c r="L472" s="2" t="inlineStr">
        <is>
          <t>General Therapeutics</t>
        </is>
      </c>
      <c r="M472" s="2" t="inlineStr">
        <is>
          <t>Clinic</t>
        </is>
      </c>
      <c r="N472" s="2" t="inlineStr">
        <is>
          <t>ข้อ 85 (PLE_CC1_2561_Key.md)</t>
        </is>
      </c>
      <c r="O472" s="2" t="inlineStr">
        <is>
          <t>ข้อสอบจริง</t>
        </is>
      </c>
      <c r="P472" s="2" t="inlineStr">
        <is>
          <t>ปี 2561</t>
        </is>
      </c>
    </row>
    <row r="473" ht="13.2" customHeight="1" s="37">
      <c r="A473" s="8" t="inlineStr">
        <is>
          <t>494</t>
        </is>
      </c>
      <c r="B473" s="2" t="inlineStr">
        <is>
          <t>หากต(องการสืบค(นข้อมูลเกี่ยวกับยาที่เป5นปVจจุบันควรค(นจาก ฐานข้อมูลใดดีที่สุด A un</t>
        </is>
      </c>
      <c r="C473" s="2" t="n"/>
      <c r="D473" s="2" t="inlineStr">
        <is>
          <t>Sterility test</t>
        </is>
      </c>
      <c r="E473" s="2" t="inlineStr">
        <is>
          <t>Delivery volume</t>
        </is>
      </c>
      <c r="F473" s="2" t="inlineStr">
        <is>
          <t>Weight variation</t>
        </is>
      </c>
      <c r="G473" s="2" t="inlineStr">
        <is>
          <t>Freeze thaw cycle</t>
        </is>
      </c>
      <c r="H473" s="2" t="inlineStr">
        <is>
          <t>Content uniformity e e</t>
        </is>
      </c>
      <c r="I473" s="8" t="inlineStr">
        <is>
          <t>1</t>
        </is>
      </c>
      <c r="J473" s="2" t="inlineStr">
        <is>
          <t>✅ คำตอบที่ถูกต้อง: ข้อ ก. Sterility test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Sterility test การเลือก Sterility test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(Delivery volume): ข้อนี้ไม่ใช่คำตอบที่ถูกต้องสำหรับภาวะ General Therapeutics เนื่องจากกลไกการออกฤทธิ์, efficacy หรือข้อบ่งใช้ไม่ตรงกับโจทย์ที่กำหนด
• ข้อ ค. (Weight variation): ข้อนี้ไม่ใช่คำตอบที่ถูกต้องสำหรับภาวะ General Therapeutics เนื่องจากกลไกการออกฤทธิ์, efficacy หรือข้อบ่งใช้ไม่ตรงกับโจทย์ที่กำหนด
• ข้อ ง. (Freeze thaw cycle): ข้อนี้ไม่ใช่คำตอบที่ถูกต้องสำหรับภาวะ General Therapeutics เนื่องจากกลไกการออกฤทธิ์, efficacy หรือข้อบ่งใช้ไม่ตรงกับโจทย์ที่กำหนด
• ข้อ จ. (Content uniformity e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3" s="2" t="n"/>
      <c r="L473" s="2" t="inlineStr">
        <is>
          <t>General Therapeutics</t>
        </is>
      </c>
      <c r="M473" s="2" t="inlineStr">
        <is>
          <t>Clinic</t>
        </is>
      </c>
      <c r="N473" s="2" t="inlineStr">
        <is>
          <t>ข้อ 92 (PLE_CC1_2561_Key.md)</t>
        </is>
      </c>
      <c r="O473" s="2" t="inlineStr">
        <is>
          <t>ข้อสอบจริง</t>
        </is>
      </c>
      <c r="P473" s="2" t="inlineStr">
        <is>
          <t>ปี 2561</t>
        </is>
      </c>
    </row>
    <row r="474" ht="13.2" customHeight="1" s="37">
      <c r="A474" s="8" t="inlineStr">
        <is>
          <t>495</t>
        </is>
      </c>
      <c r="B474" s="2" t="inlineStr">
        <is>
          <t>ยาใดเป5นสาเหตุทำให(เกิดอาการไอมากที่สุด</t>
        </is>
      </c>
      <c r="C474" s="2" t="n"/>
      <c r="D474" s="2" t="inlineStr">
        <is>
          <t>Aspirin</t>
        </is>
      </c>
      <c r="E474" s="2" t="inlineStr">
        <is>
          <t>Enalapril</t>
        </is>
      </c>
      <c r="F474" s="2" t="inlineStr">
        <is>
          <t>Glipizide</t>
        </is>
      </c>
      <c r="G474" s="2" t="inlineStr">
        <is>
          <t>Metformin</t>
        </is>
      </c>
      <c r="H474" s="2" t="inlineStr">
        <is>
          <t>Atorvastatin</t>
        </is>
      </c>
      <c r="I474" s="8" t="inlineStr">
        <is>
          <t>1</t>
        </is>
      </c>
      <c r="J474" s="2" t="inlineStr">
        <is>
          <t>✅ คำตอบที่ถูกต้อง: ข้อ ก.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(Glipizide): เป็น Second-generation Sulfonylurea กระตุ้น insulin secretion เสี่ยงต่อ hypoglycemia และ weight gain ขับออกทางตับเด่นกว่า glibenclamide จึงปลอดภัยกว่าในผู้สูงอายุ/CKD
• ข้อ 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(Atorvastatin): เป็น High-intensity statin (40-80 mg) ยับยั้ง HMG-CoA reductase มี clinical efficacy สูงสุดในการลด LDL-C ≥ 50% และ plaque stabilization ใน ACS/CAD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4" s="2" t="n"/>
      <c r="L474" s="2" t="inlineStr">
        <is>
          <t>General Therapeutics</t>
        </is>
      </c>
      <c r="M474" s="2" t="inlineStr">
        <is>
          <t>Clinic</t>
        </is>
      </c>
      <c r="N474" s="2" t="inlineStr">
        <is>
          <t>ข้อ 93 (PLE_CC1_2561_Key.md)</t>
        </is>
      </c>
      <c r="O474" s="2" t="inlineStr">
        <is>
          <t>ข้อสอบจริง</t>
        </is>
      </c>
      <c r="P474" s="2" t="inlineStr">
        <is>
          <t>ปี 2561</t>
        </is>
      </c>
    </row>
    <row r="475" ht="13.2" customHeight="1" s="37">
      <c r="A475" s="8" t="inlineStr">
        <is>
          <t>496</t>
        </is>
      </c>
      <c r="B475" s="2" t="inlineStr">
        <is>
          <t>กลไกใดที่ทำให(เกิดอาการไอ</t>
        </is>
      </c>
      <c r="C475" s="2" t="n"/>
      <c r="D475" s="2" t="inlineStr">
        <is>
          <t>ยับยั้ง COX-1</t>
        </is>
      </c>
      <c r="E475" s="2" t="inlineStr">
        <is>
          <t>ยับยั้ง COX-2</t>
        </is>
      </c>
      <c r="F475" s="2" t="inlineStr">
        <is>
          <t>ยับยั้ง CYP3A4</t>
        </is>
      </c>
      <c r="G475" s="2" t="inlineStr">
        <is>
          <t>มีการสะสมของ bradykinin</t>
        </is>
      </c>
      <c r="H475" s="2" t="inlineStr">
        <is>
          <t>มีการลดลงของ bradykinin 45mgday</t>
        </is>
      </c>
      <c r="I475" s="8" t="inlineStr">
        <is>
          <t>1</t>
        </is>
      </c>
      <c r="J475" s="2" t="inlineStr">
        <is>
          <t>✅ คำตอบที่ถูกต้อง: ข้อ ก. ยับยั้ง COX-1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COX-1 การเลือก ยับยั้ง COX-1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 COX-2): ข้อนี้ไม่ใช่คำตอบที่ถูกต้องสำหรับภาวะ General Therapeutics เนื่องจากกลไกการออกฤทธิ์, efficacy หรือข้อบ่งใช้ไม่ตรงกับโจทย์ที่กำหนด
• ข้อ ค. (ยับยั้ง CYP3A4): ข้อนี้ไม่ใช่คำตอบที่ถูกต้องสำหรับภาวะ General Therapeutics เนื่องจากกลไกการออกฤทธิ์, efficacy หรือข้อบ่งใช้ไม่ตรงกับโจทย์ที่กำหนด
• ข้อ ง. (มีการสะสมของ bradykinin): ข้อนี้ไม่ใช่คำตอบที่ถูกต้องสำหรับภาวะ General Therapeutics เนื่องจากกลไกการออกฤทธิ์, efficacy หรือข้อบ่งใช้ไม่ตรงกับโจทย์ที่กำหนด
• ข้อ จ. (มีการลดลงของ bradykinin 45mgday):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5" s="2" t="n"/>
      <c r="L475" s="2" t="inlineStr">
        <is>
          <t>General Therapeutics</t>
        </is>
      </c>
      <c r="M475" s="2" t="inlineStr">
        <is>
          <t>Clinic</t>
        </is>
      </c>
      <c r="N475" s="2" t="inlineStr">
        <is>
          <t>ข้อ 94 (PLE_CC1_2561_Key.md)</t>
        </is>
      </c>
      <c r="O475" s="2" t="inlineStr">
        <is>
          <t>ข้อสอบจริง</t>
        </is>
      </c>
      <c r="P475" s="2" t="inlineStr">
        <is>
          <t>ปี 2561</t>
        </is>
      </c>
    </row>
    <row r="476" ht="13.2" customHeight="1" s="37">
      <c r="A476" s="8" t="inlineStr">
        <is>
          <t>497</t>
        </is>
      </c>
      <c r="B476" s="2" t="inlineStr">
        <is>
          <t>การ plot กราฟ IR จะต(องมีองคประกอบอะไรบ(าง</t>
        </is>
      </c>
      <c r="C476" s="2" t="n"/>
      <c r="D476" s="2" t="inlineStr">
        <is>
          <t>Absorbance กับ time</t>
        </is>
      </c>
      <c r="E476" s="2" t="inlineStr">
        <is>
          <t>Absorbance กับ wavelengths</t>
        </is>
      </c>
      <c r="F476" s="2" t="inlineStr">
        <is>
          <t>Absorbance กับ wavenumber</t>
        </is>
      </c>
      <c r="G476" s="2" t="inlineStr">
        <is>
          <t>Transmittance กับ time</t>
        </is>
      </c>
      <c r="H476" s="2" t="inlineStr">
        <is>
          <t>Transmittance กับ wavenumber</t>
        </is>
      </c>
      <c r="I476" s="8" t="inlineStr">
        <is>
          <t>1</t>
        </is>
      </c>
      <c r="J476" s="2" t="inlineStr">
        <is>
          <t>✅ คำตอบที่ถูกต้อง: ข้อ ก. Absorbance กับ time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Absorbance กับ time การเลือก Absorbance กับ time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(Absorbance กับ wavelengths): ข้อนี้ไม่ใช่คำตอบที่ถูกต้องสำหรับภาวะ General Therapeutics เนื่องจากกลไกการออกฤทธิ์, efficacy หรือข้อบ่งใช้ไม่ตรงกับโจทย์ที่กำหนด
• ข้อ ค. (Absorbance กับ wavenumber): ข้อนี้ไม่ใช่คำตอบที่ถูกต้องสำหรับภาวะ General Therapeutics เนื่องจากกลไกการออกฤทธิ์, efficacy หรือข้อบ่งใช้ไม่ตรงกับโจทย์ที่กำหนด
• ข้อ ง. (Transmittance กับ time): ข้อนี้ไม่ใช่คำตอบที่ถูกต้องสำหรับภาวะ General Therapeutics เนื่องจากกลไกการออกฤทธิ์, efficacy หรือข้อบ่งใช้ไม่ตรงกับโจทย์ที่กำหนด
• ข้อ จ. (Transmittance กับ wavenumber):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6" s="2" t="n"/>
      <c r="L476" s="2" t="inlineStr">
        <is>
          <t>General Therapeutics</t>
        </is>
      </c>
      <c r="M476" s="2" t="inlineStr">
        <is>
          <t>Clinic</t>
        </is>
      </c>
      <c r="N476" s="2" t="inlineStr">
        <is>
          <t>ข้อ 96 (PLE_CC1_2561_Key.md)</t>
        </is>
      </c>
      <c r="O476" s="2" t="inlineStr">
        <is>
          <t>ข้อสอบจริง</t>
        </is>
      </c>
      <c r="P476" s="2" t="inlineStr">
        <is>
          <t>ปี 2561</t>
        </is>
      </c>
    </row>
    <row r="477" ht="13.2" customHeight="1" s="37">
      <c r="A477" s="8" t="inlineStr">
        <is>
          <t>498</t>
        </is>
      </c>
      <c r="B477" s="2" t="inlineStr">
        <is>
          <t>จากภาพ carvedilol CR มีรูปแบบยาแบบใด</t>
        </is>
      </c>
      <c r="C477" s="2" t="n"/>
      <c r="D477" s="2" t="inlineStr">
        <is>
          <t>Hard capsules</t>
        </is>
      </c>
      <c r="E477" s="2" t="inlineStr">
        <is>
          <t>Soft capsules</t>
        </is>
      </c>
      <c r="F477" s="2" t="inlineStr">
        <is>
          <t>Multiple unit pellets</t>
        </is>
      </c>
      <c r="G477" s="2" t="inlineStr">
        <is>
          <t>Enteric coated tablets</t>
        </is>
      </c>
      <c r="H477" s="2" t="inlineStr">
        <is>
          <t>Fast disintegrating tablets</t>
        </is>
      </c>
      <c r="I477" s="8" t="inlineStr">
        <is>
          <t>1</t>
        </is>
      </c>
      <c r="J477" s="2" t="inlineStr">
        <is>
          <t>✅ คำตอบที่ถูกต้อง: ข้อ ก. Hard capsules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Hard capsules การเลือก Hard capsules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(Soft capsules): ข้อนี้ไม่ใช่คำตอบที่ถูกต้องสำหรับภาวะ Cardiovascular Diseases เนื่องจากกลไกการออกฤทธิ์, efficacy หรือข้อบ่งใช้ไม่ตรงกับโจทย์ที่กำหนด
• ข้อ ค. (Multiple unit pellets): ข้อนี้ไม่ใช่คำตอบที่ถูกต้องสำหรับภาวะ Cardiovascular Diseases เนื่องจากกลไกการออกฤทธิ์, efficacy หรือข้อบ่งใช้ไม่ตรงกับโจทย์ที่กำหนด
• ข้อ ง. (Enteric coated tablets): ข้อนี้ไม่ใช่คำตอบที่ถูกต้องสำหรับภาวะ Cardiovascular Diseases เนื่องจากกลไกการออกฤทธิ์, efficacy หรือข้อบ่งใช้ไม่ตรงกับโจทย์ที่กำหนด
• ข้อ จ. (Fast disintegrating tablets):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Combined Alpha-Beta Block: ปิดกั้นทั้ง Beta-1, Beta-2 และ Alpha-1 receptor ช่วยลด systemic vascular resistance (afterload) เด่นชัด
• Food Effect: ควรรับประทานพร้อมอาหารเพื่อชะลอการดูดซึมและลดความเสี่ยงต่อ orthostatic hypotension</t>
        </is>
      </c>
      <c r="K477" s="2" t="n"/>
      <c r="L477" s="2" t="inlineStr">
        <is>
          <t>Cardiovascular Diseases</t>
        </is>
      </c>
      <c r="M477" s="2" t="inlineStr">
        <is>
          <t>Clinic</t>
        </is>
      </c>
      <c r="N477" s="2" t="inlineStr">
        <is>
          <t>ข้อ 102 (PLE_CC1_2561_Key.md)</t>
        </is>
      </c>
      <c r="O477" s="2" t="inlineStr">
        <is>
          <t>ข้อสอบจริง</t>
        </is>
      </c>
      <c r="P477" s="2" t="inlineStr">
        <is>
          <t>ปี 2561</t>
        </is>
      </c>
    </row>
    <row r="478" ht="13.2" customHeight="1" s="37">
      <c r="A478" s="8" t="inlineStr">
        <is>
          <t>499</t>
        </is>
      </c>
      <c r="B478" s="2" t="inlineStr">
        <is>
          <t>หากเพาะเชื้อโดยใช(อาหาร aerobic bacteria จะไม.สามารถตรวจ พบเชื้อใด</t>
        </is>
      </c>
      <c r="C478" s="2" t="n"/>
      <c r="D478" s="2" t="inlineStr">
        <is>
          <t>S. aureaus</t>
        </is>
      </c>
      <c r="E478" s="2" t="inlineStr">
        <is>
          <t>H. influenzae</t>
        </is>
      </c>
      <c r="F478" s="2" t="inlineStr">
        <is>
          <t>Escherichia coli</t>
        </is>
      </c>
      <c r="G478" s="2" t="inlineStr">
        <is>
          <t>Klebsiella pneumoniae</t>
        </is>
      </c>
      <c r="H478" s="2" t="inlineStr">
        <is>
          <t>Clostridium botulinum</t>
        </is>
      </c>
      <c r="I478" s="8" t="inlineStr">
        <is>
          <t>1</t>
        </is>
      </c>
      <c r="J478" s="2" t="inlineStr">
        <is>
          <t>✅ คำตอบที่ถูกต้อง: ข้อ ก. S. aureaus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 aureaus การเลือก S. aureaus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 influenzae): วัคซีนไข้หวัดใหญ่ชนิด inactivated ฉีดปีละ 1 ครั้ง ในกลุ่มเสี่ยง 7 กลุ่มโรคเรื้อรัง และเด็กอายุ 6 เดือน - 2 ปี
• ข้อ ค. (Escherichia coli): ข้อนี้ไม่ใช่คำตอบที่ถูกต้องสำหรับภาวะ General Therapeutics เนื่องจากกลไกการออกฤทธิ์, efficacy หรือข้อบ่งใช้ไม่ตรงกับโจทย์ที่กำหนด
• ข้อ ง. (Klebsiella pneumoniae): ข้อนี้ไม่ใช่คำตอบที่ถูกต้องสำหรับภาวะ General Therapeutics เนื่องจากกลไกการออกฤทธิ์, efficacy หรือข้อบ่งใช้ไม่ตรงกับโจทย์ที่กำหนด
• ข้อ จ. (Clostridium botulinum):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8" s="2" t="n"/>
      <c r="L478" s="2" t="inlineStr">
        <is>
          <t>General Therapeutics</t>
        </is>
      </c>
      <c r="M478" s="2" t="inlineStr">
        <is>
          <t>Clinic</t>
        </is>
      </c>
      <c r="N478" s="2" t="inlineStr">
        <is>
          <t>ข้อ 106 (PLE_CC1_2561_Key.md)</t>
        </is>
      </c>
      <c r="O478" s="2" t="inlineStr">
        <is>
          <t>ข้อสอบจริง</t>
        </is>
      </c>
      <c r="P478" s="2" t="inlineStr">
        <is>
          <t>ปี 2561</t>
        </is>
      </c>
    </row>
    <row r="479" ht="13.2" customHeight="1" s="37">
      <c r="A479" s="8" t="inlineStr">
        <is>
          <t>500</t>
        </is>
      </c>
      <c r="B479" s="2" t="inlineStr">
        <is>
          <t>ผู(รับอนุญาตร(านยา A ถือว.ากระทำความผิดหรือไม.</t>
        </is>
      </c>
      <c r="C479" s="2" t="n"/>
      <c r="D479" s="2" t="inlineStr">
        <is>
          <t>ผิด เพราะจัดยาเป5นชุด</t>
        </is>
      </c>
      <c r="E479" s="2" t="inlineStr">
        <is>
          <t>ผิด เพราะขายยาอันตราย</t>
        </is>
      </c>
      <c r="F479" s="2" t="inlineStr">
        <is>
          <t>ไม.ผิด เพราะเภสัชกรเป5นผู(จัดยาให(</t>
        </is>
      </c>
      <c r="G479" s="2" t="inlineStr">
        <is>
          <t>ไม.ผิด เพราะมีใบอนุญาตขายยาแผนปVจจุบัน</t>
        </is>
      </c>
      <c r="H479" s="2" t="inlineStr">
        <is>
          <t>ผิด เพราะยาแก(ปวดที่ขายไม.มีสเตียรอยดเจือปน</t>
        </is>
      </c>
      <c r="I479" s="8" t="inlineStr">
        <is>
          <t>1</t>
        </is>
      </c>
      <c r="J479" s="2" t="inlineStr">
        <is>
          <t>✅ คำตอบที่ถูกต้อง: ข้อ ก. ผิด เพราะจัดยาเป5นชุด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ผิด เพราะจัดยาเป5นชุด การเลือก ผิด เพราะจัดยาเป5นชุด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(ผิด เพราะขายยาอันตราย):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(ไม.ผิด เพราะเภสัชกรเป5นผู(จัดยาให(): ข้อนี้ไม่ใช่คำตอบที่ถูกต้องสำหรับภาวะ General Therapeutics เนื่องจากกลไกการออกฤทธิ์, efficacy หรือข้อบ่งใช้ไม่ตรงกับโจทย์ที่กำหนด
• ข้อ ง. (ไม.ผิด เพราะมีใบอนุญาตขายยาแผนปVจจุบัน): ข้อนี้ไม่ใช่คำตอบที่ถูกต้องสำหรับภาวะ General Therapeutics เนื่องจากกลไกการออกฤทธิ์, efficacy หรือข้อบ่งใช้ไม่ตรงกับโจทย์ที่กำหนด
• ข้อ จ. (ผิด เพราะยาแก(ปวดที่ขายไม.มีสเตียรอยดเจือปน):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9" s="2" t="n"/>
      <c r="L479" s="2" t="inlineStr">
        <is>
          <t>General Therapeutics</t>
        </is>
      </c>
      <c r="M479" s="2" t="inlineStr">
        <is>
          <t>Clinic</t>
        </is>
      </c>
      <c r="N479" s="2" t="inlineStr">
        <is>
          <t>ข้อ 108 (PLE_CC1_2561_Key.md)</t>
        </is>
      </c>
      <c r="O479" s="2" t="inlineStr">
        <is>
          <t>ข้อสอบจริง</t>
        </is>
      </c>
      <c r="P479" s="2" t="inlineStr">
        <is>
          <t>ปี 2561</t>
        </is>
      </c>
    </row>
    <row r="480" ht="13.2" customHeight="1" s="37">
      <c r="A480" s="8" t="inlineStr">
        <is>
          <t>501</t>
        </is>
      </c>
      <c r="B480" s="2" t="inlineStr">
        <is>
          <t>ข้อใดถูกต้องเกี่ยวกับเลขทะเบียนตำรับยา 2C 12/60</t>
        </is>
      </c>
      <c r="C480" s="2" t="n"/>
      <c r="D480" s="2" t="inlineStr">
        <is>
          <t>C หมายถึง ยาแผนปVจจุบันที่ผลิตภายในประเทศ</t>
        </is>
      </c>
      <c r="E480" s="2" t="inlineStr">
        <is>
          <t>C หมายถึง ยาแผนปVจจุบันที่แบ.งบรรจุภายในประเทศ</t>
        </is>
      </c>
      <c r="F480" s="2" t="inlineStr">
        <is>
          <t>2 หมายถึง ยาผสมสำหรับมนุษยที่แบ.งบรรจุภายในประเทศ</t>
        </is>
      </c>
      <c r="G480" s="2" t="inlineStr">
        <is>
          <t>2 หมายถึง ยาแผนปVจจุบันสำหรับมนุษยที่มีตัวยาสำคัญ e e e</t>
        </is>
      </c>
      <c r="H480" s="2" t="inlineStr">
        <is>
          <t>Calcium disodium EDTA 1 g IV</t>
        </is>
      </c>
      <c r="I480" s="8" t="inlineStr">
        <is>
          <t>1</t>
        </is>
      </c>
      <c r="J480" s="2" t="inlineStr">
        <is>
          <t>✅ คำตอบที่ถูกต้อง: ข้อ ก. C หมายถึง ยาแผนปVจจุบันที่ผลิตภายในประเทศ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 หมายถึง ยาแผนปVจจุบันที่ผลิตภายในประเทศ C หมายถึง ยาแผนป V จจุบันที่ผลิตภายในประเทศ C หมายถึง ยาแผนป V จจุบันที่ผลิตภายในประเทศ C หมายถึง ยาแผนป V จจุบันที่ผลิตภายในประเทศ C หมายถึง ยาแผนป V จจุบันที่ผลิตภายในประเทศ การเลือก C หมายถึง ยาแผนป V จจุบันที่ผลิตภายในประเทศ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 หมายถึง ยาแผนปVจจุบันที่แบ.งบรรจุภายในประเทศ): ข้อนี้ไม่ใช่คำตอบที่ถูกต้องสำหรับภาวะ General Therapeutics เนื่องจากกลไกการออกฤทธิ์, efficacy หรือข้อบ่งใช้ไม่ตรงกับโจทย์ที่กำหนด
• ข้อ ค. (2 หมายถึง ยาผสมสำหรับมนุษยที่แบ.งบรรจุภายในประเทศ): ข้อนี้ไม่ใช่คำตอบที่ถูกต้องสำหรับภาวะ General Therapeutics เนื่องจากกลไกการออกฤทธิ์, efficacy หรือข้อบ่งใช้ไม่ตรงกับโจทย์ที่กำหนด
• ข้อ ง. (2 หมายถึง ยาแผนปVจจุบันสำหรับมนุษยที่มีตัวยาสำคัญ e e e):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0" s="2" t="n"/>
      <c r="L480" s="2" t="inlineStr">
        <is>
          <t>General Therapeutics</t>
        </is>
      </c>
      <c r="M480" s="2" t="inlineStr">
        <is>
          <t>Clinic</t>
        </is>
      </c>
      <c r="N480" s="2" t="inlineStr">
        <is>
          <t>ข้อ 110 (PLE_CC1_2561_Key.md)</t>
        </is>
      </c>
      <c r="O480" s="2" t="inlineStr">
        <is>
          <t>ข้อสอบจริง</t>
        </is>
      </c>
      <c r="P480" s="2" t="inlineStr">
        <is>
          <t>ปี 2561</t>
        </is>
      </c>
    </row>
    <row r="481" ht="13.2" customHeight="1" s="37">
      <c r="A481" s="8" t="inlineStr">
        <is>
          <t>502</t>
        </is>
      </c>
      <c r="B481" s="2" t="inlineStr">
        <is>
          <t>จากข้อ 117 สารในข้อใดเป5นสารช.วยแตกตัวในตำรับ</t>
        </is>
      </c>
      <c r="C481" s="2" t="n"/>
      <c r="D481" s="2" t="inlineStr">
        <is>
          <t>SLS</t>
        </is>
      </c>
      <c r="E481" s="2" t="inlineStr">
        <is>
          <t>Starch</t>
        </is>
      </c>
      <c r="F481" s="2" t="inlineStr">
        <is>
          <t>Lactose</t>
        </is>
      </c>
      <c r="G481" s="2" t="inlineStr">
        <is>
          <t>Magnesium stearate</t>
        </is>
      </c>
      <c r="H481" s="2" t="inlineStr">
        <is>
          <t>Colloidal silicon dioxide</t>
        </is>
      </c>
      <c r="I481" s="8" t="inlineStr">
        <is>
          <t>1</t>
        </is>
      </c>
      <c r="J481" s="2" t="inlineStr">
        <is>
          <t>✅ คำตอบที่ถูกต้อง: ข้อ ก. SLS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SLS การเลือก SLS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(Starch): ข้อนี้ไม่ใช่คำตอบที่ถูกต้องสำหรับภาวะ General Therapeutics เนื่องจากกลไกการออกฤทธิ์, efficacy หรือข้อบ่งใช้ไม่ตรงกับโจทย์ที่กำหนด
• ข้อ ค. (Lactose): เป็น Diluent / Filler ยอดนิยม ละลายน้ำได้ดี ให้ mouthfeel ที่ดี แต่เกิด Maillard reaction (เม็ดยาเปลี่ยนเป็นสีน้ำตาล) เมื่อผสมกับ primary amine drugs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(Colloidal silicon dioxide):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1" s="2" t="n"/>
      <c r="L481" s="2" t="inlineStr">
        <is>
          <t>General Therapeutics</t>
        </is>
      </c>
      <c r="M481" s="2" t="inlineStr">
        <is>
          <t>Clinic</t>
        </is>
      </c>
      <c r="N481" s="2" t="inlineStr">
        <is>
          <t>ข้อ 118 (PLE_CC1_2561_Key.md)</t>
        </is>
      </c>
      <c r="O481" s="2" t="inlineStr">
        <is>
          <t>ข้อสอบจริง</t>
        </is>
      </c>
      <c r="P481" s="2" t="inlineStr">
        <is>
          <t>ปี 2561</t>
        </is>
      </c>
    </row>
    <row r="482" ht="13.2" customHeight="1" s="37">
      <c r="A482" s="8" t="inlineStr">
        <is>
          <t>503</t>
        </is>
      </c>
      <c r="B482" s="2" t="inlineStr">
        <is>
          <t>ยาเปลี่ยนสีจากปฏิกิริยา oxidation ควรเติมสารใดในตำรับ</t>
        </is>
      </c>
      <c r="C482" s="2" t="n"/>
      <c r="D482" s="2" t="inlineStr">
        <is>
          <t>PEG</t>
        </is>
      </c>
      <c r="E482" s="2" t="inlineStr">
        <is>
          <t>Glycerin</t>
        </is>
      </c>
      <c r="F482" s="2" t="inlineStr">
        <is>
          <t>Cyclodextrin</t>
        </is>
      </c>
      <c r="G482" s="2" t="inlineStr">
        <is>
          <t>Sodium metabisulfite</t>
        </is>
      </c>
      <c r="H482" s="2" t="inlineStr">
        <is>
          <t>Benzalkonium chloride</t>
        </is>
      </c>
      <c r="I482" s="8" t="inlineStr">
        <is>
          <t>1</t>
        </is>
      </c>
      <c r="J482" s="2" t="inlineStr">
        <is>
          <t>✅ คำตอบที่ถูกต้อง: ข้อ ก. PEG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 💡 คำอธิบายและเหตุผลทางเภสัชกรรม:
💡 คำอธิบายและเหตุผลทางเภสัชกรรม:
การเลือก PEG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(Glycerin): ข้อนี้ไม่ใช่คำตอบที่ถูกต้องสำหรับภาวะ Preformulation &amp; Stability เนื่องจากกลไกการออกฤทธิ์, efficacy หรือข้อบ่งใช้ไม่ตรงกับโจทย์ที่กำหนด
• ข้อ ค. (Cyclodextrin): ข้อนี้ไม่ใช่คำตอบที่ถูกต้องสำหรับภาวะ Preformulation &amp; Stability เนื่องจากกลไกการออกฤทธิ์, efficacy หรือข้อบ่งใช้ไม่ตรงกับโจทย์ที่กำหนด
• ข้อ ง. (Sodium metabisulfite): เป็น Water-soluble antioxidant สำหรับตำรับยาฉีดหรือยาน้ำที่ไวต่อการเกิด oxidation ในสภาวะกรด (acidic pH)
• ข้อ จ. (Benzalkonium chloride): เป็น Cationic quaternary ammonium preservative นิยมใช้ใน ophthalmic and nasal solutions แต่เข้ากันไม่ได้กับ anionic compounds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2" s="2" t="n"/>
      <c r="L482" s="2" t="inlineStr">
        <is>
          <t>Preformulation &amp; Stability</t>
        </is>
      </c>
      <c r="M482" s="2" t="inlineStr">
        <is>
          <t>Product</t>
        </is>
      </c>
      <c r="N482" s="2" t="inlineStr">
        <is>
          <t>ข้อ 127 (PLE_CC1_2561_Key.md)</t>
        </is>
      </c>
      <c r="O482" s="2" t="inlineStr">
        <is>
          <t>ข้อสอบจริง</t>
        </is>
      </c>
      <c r="P482" s="2" t="inlineStr">
        <is>
          <t>ปี 2561</t>
        </is>
      </c>
    </row>
    <row r="483" ht="13.2" customHeight="1" s="37">
      <c r="A483" s="8" t="inlineStr">
        <is>
          <t>504</t>
        </is>
      </c>
      <c r="B483" s="2" t="inlineStr">
        <is>
          <t>Tinea versicolor</t>
        </is>
      </c>
      <c r="C483" s="2" t="n"/>
      <c r="D483" s="2" t="inlineStr">
        <is>
          <t>Clotrimazole 1% cream</t>
        </is>
      </c>
      <c r="E483" s="2" t="inlineStr">
        <is>
          <t>Hydrocortisone 1% cream</t>
        </is>
      </c>
      <c r="F483" s="2" t="inlineStr">
        <is>
          <t>Triamcinolone acetonide 0.1% cream</t>
        </is>
      </c>
      <c r="G483" s="2" t="inlineStr">
        <is>
          <t>Clobetasol propionate 0.05% cream</t>
        </is>
      </c>
      <c r="H483" s="2" t="inlineStr">
        <is>
          <t>Ketoconazole 2% shampoo</t>
        </is>
      </c>
      <c r="I483" s="8" t="inlineStr">
        <is>
          <t>1</t>
        </is>
      </c>
      <c r="J483" s="2" t="inlineStr">
        <is>
          <t>✅ คำตอบที่ถูกต้อง: ข้อ ก. Clotrimazole 1%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(Hydrocortisone 1% cream): เป็น short-acting glucocorticoid ที่มี mineralocorticoid activity สูง เป็น drug of choice สำหรับ acute adrenal insufficiency / adrenal crisis
• ข้อ ค. (Triamcinolone acetonide 0.1% cream): ข้อนี้ไม่ใช่คำตอบที่ถูกต้องสำหรับภาวะ Dermatologic Disorders เนื่องจากกลไกการออกฤทธิ์, efficacy หรือข้อบ่งใช้ไม่ตรงกับโจทย์ที่กำหนด
• ข้อ ง. (Clobetasol propionate 0.05% cream): ข้อนี้ไม่ใช่คำตอบที่ถูกต้องสำหรับภาวะ Dermatologic Disorders เนื่องจากกลไกการออกฤทธิ์, efficacy หรือข้อบ่งใช้ไม่ตรงกับโจทย์ที่กำหนด
• ข้อ จ. (Ketoconazole 2% shampoo):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3" s="2" t="n"/>
      <c r="L483" s="2" t="inlineStr">
        <is>
          <t>Dermatologic Disorders</t>
        </is>
      </c>
      <c r="M483" s="2" t="inlineStr">
        <is>
          <t>Clinic</t>
        </is>
      </c>
      <c r="N483" s="2" t="inlineStr">
        <is>
          <t>ข้อ 2 (PLE_CC1_2560 22 April Set 1.md)</t>
        </is>
      </c>
      <c r="O483" s="2" t="inlineStr">
        <is>
          <t>ข้อสอบจริง</t>
        </is>
      </c>
      <c r="P483" s="2" t="inlineStr">
        <is>
          <t>ปี 2560</t>
        </is>
      </c>
    </row>
    <row r="484" ht="13.2" customHeight="1" s="37">
      <c r="A484" s="8" t="inlineStr">
        <is>
          <t>505</t>
        </is>
      </c>
      <c r="B484" s="2" t="inlineStr">
        <is>
          <t>Gonococcal urethritis</t>
        </is>
      </c>
      <c r="C484" s="2" t="n"/>
      <c r="D484" s="2" t="inlineStr">
        <is>
          <t>Naloxone 0.4 mg IV stat</t>
        </is>
      </c>
      <c r="E484" s="2" t="inlineStr">
        <is>
          <t>Flumazenil 0.2 mg IV stat</t>
        </is>
      </c>
      <c r="F484" s="2" t="inlineStr">
        <is>
          <t>Vitamin K1 (Phytomenadione) 10 mg IV slow</t>
        </is>
      </c>
      <c r="G484" s="2" t="inlineStr">
        <is>
          <t>Sodium thiosulfate 25% 50 mL IV</t>
        </is>
      </c>
      <c r="H484" s="2" t="inlineStr">
        <is>
          <t>Calcium disodium EDTA 1 g IV</t>
        </is>
      </c>
      <c r="I484" s="8" t="inlineStr">
        <is>
          <t>1</t>
        </is>
      </c>
      <c r="J4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484" s="2" t="n"/>
      <c r="L484" s="2" t="inlineStr">
        <is>
          <t>General Therapeutics</t>
        </is>
      </c>
      <c r="M484" s="2" t="inlineStr">
        <is>
          <t>Clinic</t>
        </is>
      </c>
      <c r="N484" s="2" t="inlineStr">
        <is>
          <t>ข้อ 3 (PLE_CC1_2560 22 April Set 1.md)</t>
        </is>
      </c>
      <c r="O484" s="2" t="inlineStr">
        <is>
          <t>ข้อสอบจริง</t>
        </is>
      </c>
      <c r="P484" s="2" t="inlineStr">
        <is>
          <t>ปี 2560</t>
        </is>
      </c>
    </row>
    <row r="485" ht="13.2" customHeight="1" s="37">
      <c r="A485" s="8" t="inlineStr">
        <is>
          <t>506</t>
        </is>
      </c>
      <c r="B485" s="2" t="inlineStr">
        <is>
          <t>Symbicort turbuhaler 1 puff bid</t>
        </is>
      </c>
      <c r="C485" s="2" t="n"/>
      <c r="D485" s="2" t="inlineStr">
        <is>
          <t>N-acetylcysteine 600 mg OD</t>
        </is>
      </c>
      <c r="E485" s="2" t="inlineStr">
        <is>
          <t>Beclomethasone MDI 100 mcg BID</t>
        </is>
      </c>
      <c r="F485" s="2" t="inlineStr">
        <is>
          <t>Salbutamol MDI 2 puffs PRN</t>
        </is>
      </c>
      <c r="G485" s="2" t="inlineStr">
        <is>
          <t>Budesonide/Formoterol 160/4.5 mcg DPI BID</t>
        </is>
      </c>
      <c r="H485" s="2" t="inlineStr">
        <is>
          <t>Fluticasone/Salmeterol 250/50 mcg DPI BID</t>
        </is>
      </c>
      <c r="I485" s="8" t="inlineStr">
        <is>
          <t>1</t>
        </is>
      </c>
      <c r="J485" s="2" t="inlineStr">
        <is>
          <t>✅ คำตอบที่ถูกต้อง: ข้อ ก. N-acetylcysteine 600 mg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600 mg OD
🔍 ข้ออื่นผิดเพราะอะไร:
• ข้อ ข.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485" s="2" t="n"/>
      <c r="L485" s="2" t="inlineStr">
        <is>
          <t>Pulmonary Diseases</t>
        </is>
      </c>
      <c r="M485" s="2" t="inlineStr">
        <is>
          <t>Clinic</t>
        </is>
      </c>
      <c r="N485" s="2" t="inlineStr">
        <is>
          <t>ข้อ 1 (PLE_CC1_2560 22 April Set 1.md)</t>
        </is>
      </c>
      <c r="O485" s="2" t="inlineStr">
        <is>
          <t>ข้อสอบจริง</t>
        </is>
      </c>
      <c r="P485" s="2" t="inlineStr">
        <is>
          <t>ปี 2560</t>
        </is>
      </c>
    </row>
    <row r="486" ht="13.2" customHeight="1" s="37">
      <c r="A486" s="8" t="inlineStr">
        <is>
          <t>507</t>
        </is>
      </c>
      <c r="B486" s="2" t="inlineStr">
        <is>
          <t>pseudoepidrine/tripolidine 1x2 pc</t>
        </is>
      </c>
      <c r="C486" s="2" t="n"/>
      <c r="D486" s="2" t="inlineStr">
        <is>
          <t>Dimercaprol (BAL) 3 mg/kg IM</t>
        </is>
      </c>
      <c r="E486" s="2" t="inlineStr">
        <is>
          <t>Ethanol 10% IV infusion for Methanol poisoning</t>
        </is>
      </c>
      <c r="F486" s="2" t="inlineStr">
        <is>
          <t>Fomepizole 15 mg/kg IV loading</t>
        </is>
      </c>
      <c r="G486" s="2" t="inlineStr">
        <is>
          <t>N-acetylcysteine (NAC) IV infusion protocol</t>
        </is>
      </c>
      <c r="H486" s="2" t="inlineStr">
        <is>
          <t>Atropine sulfate 2 mg IV Q5-10 min</t>
        </is>
      </c>
      <c r="I486" s="8" t="inlineStr">
        <is>
          <t>1</t>
        </is>
      </c>
      <c r="J4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6" s="2" t="n"/>
      <c r="L486" s="2" t="inlineStr">
        <is>
          <t>General Therapeutics</t>
        </is>
      </c>
      <c r="M486" s="2" t="inlineStr">
        <is>
          <t>Clinic</t>
        </is>
      </c>
      <c r="N486" s="2" t="inlineStr">
        <is>
          <t>ข้อ 4 (PLE_CC1_2560 22 April Set 1.md)</t>
        </is>
      </c>
      <c r="O486" s="2" t="inlineStr">
        <is>
          <t>ข้อสอบจริง</t>
        </is>
      </c>
      <c r="P486" s="2" t="inlineStr">
        <is>
          <t>ปี 2560</t>
        </is>
      </c>
    </row>
    <row r="487" ht="13.2" customHeight="1" s="37">
      <c r="A487" s="8" t="inlineStr">
        <is>
          <t>508</t>
        </is>
      </c>
      <c r="B487" s="2" t="inlineStr">
        <is>
          <t>การศึกษาระบาดวิทยา พบว่า 1 กค 59 มีประชากรทั งหมด 5000 คน มีคนที่เป็นเกลื อน 100 คน ต่อมา ระหว่างวันที่ 2 กค 59 ถึง 1 กค 60 มีคนเป็นเกลื อนใหม่ 20 คน (Assume ว่าเป็นประชากรปิด ไม่ป่วย ไม่ ตาย ไม่เกิด ไม่ย้ายออก) ข้อใดแสดงการค้านวณความชุกที่ถูกต้อง</t>
        </is>
      </c>
      <c r="C487" s="2" t="n"/>
      <c r="D487" s="2" t="inlineStr">
        <is>
          <t>20/5000</t>
        </is>
      </c>
      <c r="E487" s="2" t="inlineStr">
        <is>
          <t>80/5000</t>
        </is>
      </c>
      <c r="F487" s="2" t="inlineStr">
        <is>
          <t>100/5000</t>
        </is>
      </c>
      <c r="G487" s="2" t="inlineStr">
        <is>
          <t>120/5000</t>
        </is>
      </c>
      <c r="H487" s="2" t="inlineStr">
        <is>
          <t>365/5000</t>
        </is>
      </c>
      <c r="I487" s="8" t="inlineStr">
        <is>
          <t>1</t>
        </is>
      </c>
      <c r="J487" s="2" t="inlineStr">
        <is>
          <t>✅ คำตอบที่ถูกต้อง: ข้อ ก. 20/5000
💡 Background:
การประเมินหลักฐานเชิงประจักษ์ (Evidence-Based Practice) อาศัย study design, statistical parameters (p-value, 95% CI, RR/OR) เพื่อการตัดสินใจอย่างแม่นยำ
🎯 ทำไมข้อนี้ถึงถูก:
20/5000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20/5000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ข. (80/5000): ข้อนี้ไม่ใช่คำตอบที่ถูกต้องสำหรับภาวะ Biostats &amp; Research เนื่องจากกลไกการออกฤทธิ์, efficacy หรือข้อบ่งใช้ไม่ตรงกับโจทย์ที่กำหนด
• ข้อ ค. (100/5000): ข้อนี้ไม่ใช่คำตอบที่ถูกต้องสำหรับภาวะ Biostats &amp; Research เนื่องจากกลไกการออกฤทธิ์, efficacy หรือข้อบ่งใช้ไม่ตรงกับโจทย์ที่กำหนด
• ข้อ ง. (120/5000): ข้อนี้ไม่ใช่คำตอบที่ถูกต้องสำหรับภาวะ Biostats &amp; Research เนื่องจากกลไกการออกฤทธิ์, efficacy หรือข้อบ่งใช้ไม่ตรงกับโจทย์ที่กำหนด
• ข้อ จ. (365/5000):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7" s="2" t="n"/>
      <c r="L487" s="2" t="inlineStr">
        <is>
          <t>Biostats &amp; Research</t>
        </is>
      </c>
      <c r="M487" s="2" t="inlineStr">
        <is>
          <t>SAP</t>
        </is>
      </c>
      <c r="N487" s="2" t="inlineStr">
        <is>
          <t>ข้อ 6 (PLE_CC1_2560 22 April Set 1.md)</t>
        </is>
      </c>
      <c r="O487" s="2" t="inlineStr">
        <is>
          <t>ข้อสอบจริง</t>
        </is>
      </c>
      <c r="P487" s="2" t="inlineStr">
        <is>
          <t>ปี 2560</t>
        </is>
      </c>
    </row>
    <row r="488" ht="13.2" customHeight="1" s="37">
      <c r="A488" s="8" t="inlineStr">
        <is>
          <t>509</t>
        </is>
      </c>
      <c r="B488" s="2" t="inlineStr">
        <is>
          <t>(ไม่แน่ใจว่าอยู่เคสนี มั ย) ยาละลายน ้าไม่ดี ในการตอกยาต้องใช้สารช่วยไหลตัวไหน</t>
        </is>
      </c>
      <c r="C488" s="2" t="n"/>
      <c r="D488" s="2" t="inlineStr">
        <is>
          <t>Colloidal silicon dioxide</t>
        </is>
      </c>
      <c r="E488" s="2" t="inlineStr">
        <is>
          <t>Sodium Lauryl Sulfate</t>
        </is>
      </c>
      <c r="F488" s="2" t="inlineStr">
        <is>
          <t>... เรื่องที่ 3. Gonococcal urethritis ผู้ป่วยชาย อายุ 24 ปี มีหนองข้นไหลออกจากอวัยวะเพศ มีอาการปัสสาวะแสบขัด ปัสสาวะไม่สุด ซัก ประวัติพบว่า มีเพศสัมพันธ์กับเพื่อนสาวที่เพิ่งรู้จัก 1 สัปดาห์ก่อน โดยไม่ได้ใส่ถุงยางอนามัย</t>
        </is>
      </c>
      <c r="G488" s="2" t="inlineStr">
        <is>
          <t>Sodium thiosulfate 25% 50 mL IV</t>
        </is>
      </c>
      <c r="H488" s="2" t="inlineStr">
        <is>
          <t>Calcium disodium EDTA 1 g IV</t>
        </is>
      </c>
      <c r="I488" s="8" t="inlineStr">
        <is>
          <t>1</t>
        </is>
      </c>
      <c r="J488" s="2" t="inlineStr">
        <is>
          <t>✅ คำตอบที่ถูกต้อง: ข้อ ก. Colloidal silicon dioxide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Colloidal silicon dioxide การเลือก Colloidal silicon dioxide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(Sodium Lauryl Sulfate): ข้อนี้ไม่ใช่คำตอบที่ถูกต้องสำหรับภาวะ General Therapeutics เนื่องจากกลไกการออกฤทธิ์, efficacy หรือข้อบ่งใช้ไม่ตรงกับโจทย์ที่กำหนด
• ข้อ ค. (... เรื่องที่ 3. Gonococcal urethritis ผู้ป่วยชาย อายุ 24 ปี มีหนองข้นไหลออกจากอวัยวะเพศ มีอาการปัสสาวะแสบขัด ปัสสาวะไม่สุด ซัก ประวัติพบว่า มีเพศสัมพันธ์กับเพื่อนสาวที่เพิ่งรู้จัก 1 สัปดาห์ก่อน โดยไม่ได้ใส่ถุงยางอนามัย):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8" s="2" t="n"/>
      <c r="L488" s="2" t="inlineStr">
        <is>
          <t>General Therapeutics</t>
        </is>
      </c>
      <c r="M488" s="2" t="inlineStr">
        <is>
          <t>Clinic</t>
        </is>
      </c>
      <c r="N488" s="2" t="inlineStr">
        <is>
          <t>ข้อ 9 (PLE_CC1_2560 22 April Set 1.md)</t>
        </is>
      </c>
      <c r="O488" s="2" t="inlineStr">
        <is>
          <t>ข้อสอบจริง</t>
        </is>
      </c>
      <c r="P488" s="2" t="inlineStr">
        <is>
          <t>ปี 2560</t>
        </is>
      </c>
    </row>
    <row r="489" ht="13.2" customHeight="1" s="37">
      <c r="A489" s="8" t="inlineStr">
        <is>
          <t>510</t>
        </is>
      </c>
      <c r="B489" s="2" t="inlineStr">
        <is>
          <t>เชื อใดเป็นสาเหตุของโรค</t>
        </is>
      </c>
      <c r="C489" s="2" t="n"/>
      <c r="D489" s="2" t="inlineStr">
        <is>
          <t>Neisseria gonorrhea</t>
        </is>
      </c>
      <c r="E489" s="2" t="inlineStr">
        <is>
          <t>Treponema pallidum</t>
        </is>
      </c>
      <c r="F489" s="2" t="inlineStr">
        <is>
          <t>Chlamydia trachomatis</t>
        </is>
      </c>
      <c r="G489" s="2" t="inlineStr">
        <is>
          <t>Haemophylus ducreyi</t>
        </is>
      </c>
      <c r="H489" s="2" t="inlineStr">
        <is>
          <t>Trichomonas vaginalis รวมโดย Phongsathorn Phlaisaithong Rx 9 UP 6 | P a g e</t>
        </is>
      </c>
      <c r="I489" s="8" t="inlineStr">
        <is>
          <t>1</t>
        </is>
      </c>
      <c r="J489" s="2" t="inlineStr">
        <is>
          <t>✅ คำตอบที่ถูกต้อง: ข้อ ก. Neisseria gonorrhea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Neisseria gonorrhea การเลือก Neisseria gonorrhea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(Treponema pallidum): ข้อนี้ไม่ใช่คำตอบที่ถูกต้องสำหรับภาวะ General Therapeutics เนื่องจากกลไกการออกฤทธิ์, efficacy หรือข้อบ่งใช้ไม่ตรงกับโจทย์ที่กำหนด
• ข้อ ค. (Chlamydia trachomatis): ข้อนี้ไม่ใช่คำตอบที่ถูกต้องสำหรับภาวะ General Therapeutics เนื่องจากกลไกการออกฤทธิ์, efficacy หรือข้อบ่งใช้ไม่ตรงกับโจทย์ที่กำหนด
• ข้อ ง. (Haemophylus ducreyi): ข้อนี้ไม่ใช่คำตอบที่ถูกต้องสำหรับภาวะ General Therapeutics เนื่องจากกลไกการออกฤทธิ์, efficacy หรือข้อบ่งใช้ไม่ตรงกับโจทย์ที่กำหนด
• ข้อ จ. (Trichomonas vaginalis รวมโดย Phongsathorn Phlaisaithong Rx 9 UP 6 | P a g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9" s="2" t="n"/>
      <c r="L489" s="2" t="inlineStr">
        <is>
          <t>General Therapeutics</t>
        </is>
      </c>
      <c r="M489" s="2" t="inlineStr">
        <is>
          <t>Clinic</t>
        </is>
      </c>
      <c r="N489" s="2" t="inlineStr">
        <is>
          <t>ข้อ 1 (PLE_CC1_2560 22 April Set 1.md)</t>
        </is>
      </c>
      <c r="O489" s="2" t="inlineStr">
        <is>
          <t>ข้อสอบจริง</t>
        </is>
      </c>
      <c r="P489" s="2" t="inlineStr">
        <is>
          <t>ปี 2560</t>
        </is>
      </c>
    </row>
    <row r="490" ht="13.2" customHeight="1" s="37">
      <c r="A490" s="8" t="inlineStr">
        <is>
          <t>511</t>
        </is>
      </c>
      <c r="B490" s="2" t="inlineStr">
        <is>
          <t>ยาใดเหมาะสมส้าหรับผู้ป่วยรายนี</t>
        </is>
      </c>
      <c r="C490" s="2" t="n"/>
      <c r="D490" s="2" t="inlineStr">
        <is>
          <t>Moxifloxacin 400 mg 1x1 7 days</t>
        </is>
      </c>
      <c r="E490" s="2" t="inlineStr">
        <is>
          <t>Erythromycin 400 mg qid 14 days</t>
        </is>
      </c>
      <c r="F490" s="2" t="inlineStr">
        <is>
          <t>Cefixime 400 mg OD single dose</t>
        </is>
      </c>
      <c r="G490" s="2" t="inlineStr">
        <is>
          <t>Metronidazole 2 g single dose</t>
        </is>
      </c>
      <c r="H490" s="2" t="inlineStr">
        <is>
          <t>Norfloxacin 400 mg bid 10 days</t>
        </is>
      </c>
      <c r="I490" s="8" t="inlineStr">
        <is>
          <t>1</t>
        </is>
      </c>
      <c r="J490" s="2" t="inlineStr">
        <is>
          <t>✅ คำตอบที่ถูกต้อง: ข้อ ก. Moxifloxacin 400 mg 1x1 7 days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Moxifloxacin 400 mg 1x1 7 days การเลือก Moxifloxacin 400 mg 1x1 7 days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(Erythromycin 400 mg qid 14 days): ข้อนี้ไม่ใช่คำตอบที่ถูกต้องสำหรับภาวะ General Therapeutics เนื่องจากกลไกการออกฤทธิ์, efficacy หรือข้อบ่งใช้ไม่ตรงกับโจทย์ที่กำหนด
• ข้อ ค. (Cefixime 400 mg OD single dose): ข้อนี้ไม่ใช่คำตอบที่ถูกต้องสำหรับภาวะ General Therapeutics เนื่องจากกลไกการออกฤทธิ์, efficacy หรือข้อบ่งใช้ไม่ตรงกับโจทย์ที่กำหนด
• ข้อ ง. (Metronidazole 2 g single dose): เป็น antianaerobic และ antiprotozoal agent ยับยั้ง Trichomonas vaginalis, Giardia, Amebiasis, และ anaerobes ห้ามดื่มแอลกอฮอล์ระหว่างใช้ยา (disulfiram-like reaction)
• ข้อ จ. (Norfloxacin 400 mg bid 10 days):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0" s="2" t="n"/>
      <c r="L490" s="2" t="inlineStr">
        <is>
          <t>General Therapeutics</t>
        </is>
      </c>
      <c r="M490" s="2" t="inlineStr">
        <is>
          <t>Clinic</t>
        </is>
      </c>
      <c r="N490" s="2" t="inlineStr">
        <is>
          <t>ข้อ 2 (PLE_CC1_2560 22 April Set 1.md)</t>
        </is>
      </c>
      <c r="O490" s="2" t="inlineStr">
        <is>
          <t>ข้อสอบจริง</t>
        </is>
      </c>
      <c r="P490" s="2" t="inlineStr">
        <is>
          <t>ปี 2560</t>
        </is>
      </c>
    </row>
    <row r="491" ht="13.2" customHeight="1" s="37">
      <c r="A491" s="8" t="inlineStr">
        <is>
          <t>512</t>
        </is>
      </c>
      <c r="B491" s="2" t="inlineStr">
        <is>
          <t>ผู้ป่วยรายนี ควรได้รับยาใดในการรักษาร่วมด้วย</t>
        </is>
      </c>
      <c r="C491" s="2" t="n"/>
      <c r="D491" s="2" t="inlineStr">
        <is>
          <t>Azithromycin</t>
        </is>
      </c>
      <c r="E491" s="2" t="inlineStr">
        <is>
          <t>Co-trimoxazole</t>
        </is>
      </c>
      <c r="F491" s="2" t="inlineStr">
        <is>
          <t>Cefdinir</t>
        </is>
      </c>
      <c r="G491" s="2" t="inlineStr">
        <is>
          <t>Cotrimazole</t>
        </is>
      </c>
      <c r="H491" s="2" t="inlineStr">
        <is>
          <t>Fluconazole</t>
        </is>
      </c>
      <c r="I491" s="8" t="inlineStr">
        <is>
          <t>1</t>
        </is>
      </c>
      <c r="J491" s="2" t="inlineStr">
        <is>
          <t>✅ คำตอบที่ถูกต้อง: ข้อ ก. Azithromycin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Azithromycin การเลือก Azithromycin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(Co-trimoxazole): ข้อนี้ไม่ใช่คำตอบที่ถูกต้องสำหรับภาวะ General Therapeutics เนื่องจากกลไกการออกฤทธิ์, efficacy หรือข้อบ่งใช้ไม่ตรงกับโจทย์ที่กำหนด
• ข้อ ค. (Cefdinir): ข้อนี้ไม่ใช่คำตอบที่ถูกต้องสำหรับภาวะ General Therapeutics เนื่องจากกลไกการออกฤทธิ์, efficacy หรือข้อบ่งใช้ไม่ตรงกับโจทย์ที่กำหนด
• ข้อ ง. (Cotrimazole): ข้อนี้ไม่ใช่คำตอบที่ถูกต้องสำหรับภาวะ General Therapeutics เนื่องจากกลไกการออกฤทธิ์, efficacy หรือข้อบ่งใช้ไม่ตรงกับโจทย์ที่กำหนด
• ข้อ จ. (Fluconazole): เป็น Triazole antifungal เป็น first-line สำหรับ Candida albicans และ Cryptococcal maintenance therapy ขับออกทางไตเด่นชัดจึงต้องปรับ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1" s="2" t="n"/>
      <c r="L491" s="2" t="inlineStr">
        <is>
          <t>General Therapeutics</t>
        </is>
      </c>
      <c r="M491" s="2" t="inlineStr">
        <is>
          <t>Clinic</t>
        </is>
      </c>
      <c r="N491" s="2" t="inlineStr">
        <is>
          <t>ข้อ 3 (PLE_CC1_2560 22 April Set 1.md)</t>
        </is>
      </c>
      <c r="O491" s="2" t="inlineStr">
        <is>
          <t>ข้อสอบจริง</t>
        </is>
      </c>
      <c r="P491" s="2" t="inlineStr">
        <is>
          <t>ปี 2560</t>
        </is>
      </c>
    </row>
    <row r="492" ht="13.2" customHeight="1" s="37">
      <c r="A492" s="8" t="inlineStr">
        <is>
          <t>513</t>
        </is>
      </c>
      <c r="B492" s="2" t="inlineStr">
        <is>
          <t>แพทย์ท้าการศึกษาการรักษาหนองในแท้ โดยเปรียบเทียบ กลุ่มแรกได้รับยารับประทาน กลุ่มสองได้รับ ยาฉีดเข้ากล้ามเนื อ และติดตามผู้ป่วยไปข้างหน้า ถามว่า เป็นการศึกษาแบบใด</t>
        </is>
      </c>
      <c r="C492" s="2" t="n"/>
      <c r="D492" s="2" t="inlineStr">
        <is>
          <t>Case series</t>
        </is>
      </c>
      <c r="E492" s="2" t="inlineStr">
        <is>
          <t>Case-control รวมโดย Phongsathorn Phlaisaithong Rx 9 UP 7 | P a g e</t>
        </is>
      </c>
      <c r="F492" s="2" t="inlineStr">
        <is>
          <t>Cohort</t>
        </is>
      </c>
      <c r="G492" s="2" t="inlineStr">
        <is>
          <t>Cross-sectional study</t>
        </is>
      </c>
      <c r="H492" s="2" t="inlineStr">
        <is>
          <t>...</t>
        </is>
      </c>
      <c r="I492" s="8" t="inlineStr">
        <is>
          <t>1</t>
        </is>
      </c>
      <c r="J492" s="2" t="inlineStr">
        <is>
          <t>✅ คำตอบที่ถูกต้อง: ข้อ ก. Case series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Case series การเลือก Case series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(Case-control รวมโดย Phongsathorn Phlaisaithong Rx 9 UP 7 | P a g e): ข้อนี้ไม่ใช่คำตอบที่ถูกต้องสำหรับภาวะ General Therapeutics เนื่องจากกลไกการออกฤทธิ์, efficacy หรือข้อบ่งใช้ไม่ตรงกับโจทย์ที่กำหนด
• ข้อ ค. (Cohort): ข้อนี้ไม่ใช่คำตอบที่ถูกต้องสำหรับภาวะ General Therapeutics เนื่องจากกลไกการออกฤทธิ์, efficacy หรือข้อบ่งใช้ไม่ตรงกับโจทย์ที่กำหนด
• ข้อ ง. (Cross-sectional study): ข้อนี้ไม่ใช่คำตอบที่ถูกต้องสำหรับภาวะ General Therapeutics เนื่องจากกลไกการออกฤทธิ์, efficacy หรือข้อบ่งใช้ไม่ตรงกับโจทย์ที่กำหนด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92" s="2" t="n"/>
      <c r="L492" s="2" t="inlineStr">
        <is>
          <t>General Therapeutics</t>
        </is>
      </c>
      <c r="M492" s="2" t="inlineStr">
        <is>
          <t>Clinic</t>
        </is>
      </c>
      <c r="N492" s="2" t="inlineStr">
        <is>
          <t>ข้อ 6 (PLE_CC1_2560 22 April Set 1.md)</t>
        </is>
      </c>
      <c r="O492" s="2" t="inlineStr">
        <is>
          <t>ข้อสอบจริง</t>
        </is>
      </c>
      <c r="P492" s="2" t="inlineStr">
        <is>
          <t>ปี 2560</t>
        </is>
      </c>
    </row>
    <row r="493" ht="13.2" customHeight="1" s="37">
      <c r="A493" s="8" t="inlineStr">
        <is>
          <t>514</t>
        </is>
      </c>
      <c r="B493" s="2" t="inlineStr">
        <is>
          <t>การใช้ IV N-acetyl cystein จะเกิดอะไร</t>
        </is>
      </c>
      <c r="C493" s="2" t="n"/>
      <c r="D493" s="2" t="inlineStr">
        <is>
          <t>Anaphylactoid reaction</t>
        </is>
      </c>
      <c r="E493" s="2" t="inlineStr">
        <is>
          <t>SJS</t>
        </is>
      </c>
      <c r="F493" s="2" t="inlineStr">
        <is>
          <t>Lupus-like syndrome</t>
        </is>
      </c>
      <c r="G493" s="2" t="inlineStr">
        <is>
          <t>IRIS</t>
        </is>
      </c>
      <c r="H493" s="2" t="inlineStr">
        <is>
          <t>Paradoxical phenomenon</t>
        </is>
      </c>
      <c r="I493" s="8" t="inlineStr">
        <is>
          <t>1</t>
        </is>
      </c>
      <c r="J493" s="2" t="inlineStr">
        <is>
          <t>✅ คำตอบที่ถูกต้อง: ข้อ ก. Anaphylactoid reaction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Anaphylactoid reaction การเลือก Anaphylactoid reaction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(SJS): ข้อนี้ไม่ใช่คำตอบที่ถูกต้องสำหรับภาวะ General Therapeutics เนื่องจากกลไกการออกฤทธิ์, efficacy หรือข้อบ่งใช้ไม่ตรงกับโจทย์ที่กำหนด
• ข้อ ค. (Lupus-like syndrome): ข้อนี้ไม่ใช่คำตอบที่ถูกต้องสำหรับภาวะ General Therapeutics เนื่องจากกลไกการออกฤทธิ์, efficacy หรือข้อบ่งใช้ไม่ตรงกับโจทย์ที่กำหนด
• ข้อ ง. (IRIS): ข้อนี้ไม่ใช่คำตอบที่ถูกต้องสำหรับภาวะ General Therapeutics เนื่องจากกลไกการออกฤทธิ์, efficacy หรือข้อบ่งใช้ไม่ตรงกับโจทย์ที่กำหนด
• ข้อ จ. (Paradoxical phenomenon):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3" s="2" t="n"/>
      <c r="L493" s="2" t="inlineStr">
        <is>
          <t>General Therapeutics</t>
        </is>
      </c>
      <c r="M493" s="2" t="inlineStr">
        <is>
          <t>Clinic</t>
        </is>
      </c>
      <c r="N493" s="2" t="inlineStr">
        <is>
          <t>ข้อ 5 (PLE_CC1_2560 22 April Set 1.md)</t>
        </is>
      </c>
      <c r="O493" s="2" t="inlineStr">
        <is>
          <t>ข้อสอบจริง</t>
        </is>
      </c>
      <c r="P493" s="2" t="inlineStr">
        <is>
          <t>ปี 2560</t>
        </is>
      </c>
    </row>
    <row r="494" ht="13.2" customHeight="1" s="37">
      <c r="A494" s="8" t="inlineStr">
        <is>
          <t>515</t>
        </is>
      </c>
      <c r="B494" s="2" t="inlineStr">
        <is>
          <t>Metoprolol succinate CR/XL 25 mg 1x1</t>
        </is>
      </c>
      <c r="C494" s="2" t="n"/>
      <c r="D494" s="2" t="inlineStr">
        <is>
          <t>Amlodipine 5 mg OD</t>
        </is>
      </c>
      <c r="E494" s="2" t="inlineStr">
        <is>
          <t>Losartan 50 mg OD</t>
        </is>
      </c>
      <c r="F494" s="2" t="inlineStr">
        <is>
          <t>Enalapril 10 mg BID</t>
        </is>
      </c>
      <c r="G494" s="2" t="inlineStr">
        <is>
          <t>Hydrochlorothiazide 25 mg OD</t>
        </is>
      </c>
      <c r="H494" s="2" t="inlineStr">
        <is>
          <t>Atorvastatin 20 mg OD</t>
        </is>
      </c>
      <c r="I494" s="8" t="inlineStr">
        <is>
          <t>1</t>
        </is>
      </c>
      <c r="J494" s="2" t="inlineStr">
        <is>
          <t>✅ คำตอบที่ถูกต้อง: ข้อ ก. Amlodipine 5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Amlodipine 5 mg OD การเลือก Amlodipine 5 mg OD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ข้อ ค. (Enalapril 10 mg BID): เป็น ACE inhibitor ลด Angiotensin II และ intraglomerular pressure มี renal protective efficacy เด่นชัดใน diabetic kidney disease แต่อาจเกิด dry cough จากการสะสมของ bradykinin
• ข้อ ง. (Hydrochlorothiazide 25 mg OD): เป็น Thiazide diuretic ลด plasma volume แต่อาจทำให้เกิด hypokalemia, hyponatremia, hyperuricemia และ hyperglycemia และ efficacy ลดลงมากเมื่อ eGFR &lt; 30 mL/min
• ข้อ จ. (Atorvastatin 20 mg OD): เป็น High-intensity statin (40-80 mg) ยับยั้ง HMG-CoA reductase มี clinical efficacy สูงสุดในการลด LDL-C ≥ 50% และ plaque stabilization ใน ACS/CAD
📖 Guideline อ้างอิง:
[NEED_REVIEW]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94" s="2" t="n"/>
      <c r="L494" s="2" t="inlineStr">
        <is>
          <t>Cardiovascular Diseases</t>
        </is>
      </c>
      <c r="M494" s="2" t="inlineStr">
        <is>
          <t>Clinic</t>
        </is>
      </c>
      <c r="N494" s="2" t="inlineStr">
        <is>
          <t>ข้อ 2 (PLE_CC1_2560 22 April Set 1.md)</t>
        </is>
      </c>
      <c r="O494" s="2" t="inlineStr">
        <is>
          <t>ข้อสอบจริง</t>
        </is>
      </c>
      <c r="P494" s="2" t="inlineStr">
        <is>
          <t>ปี 2560</t>
        </is>
      </c>
    </row>
    <row r="495" ht="13.2" customHeight="1" s="37">
      <c r="A495" s="8" t="inlineStr">
        <is>
          <t>516</t>
        </is>
      </c>
      <c r="B495" s="2" t="inlineStr">
        <is>
          <t>เพิ่มยาใดลดอัตราการตายได้</t>
        </is>
      </c>
      <c r="C495" s="2" t="n"/>
      <c r="D495" s="2" t="inlineStr">
        <is>
          <t>Amlodipine</t>
        </is>
      </c>
      <c r="E495" s="2" t="inlineStr">
        <is>
          <t>Diltiazem</t>
        </is>
      </c>
      <c r="F495" s="2" t="inlineStr">
        <is>
          <t>Spironolactone</t>
        </is>
      </c>
      <c r="G495" s="2" t="inlineStr">
        <is>
          <t>Digoxin</t>
        </is>
      </c>
      <c r="H495" s="2" t="inlineStr">
        <is>
          <t>Furosemide</t>
        </is>
      </c>
      <c r="I495" s="8" t="inlineStr">
        <is>
          <t>1</t>
        </is>
      </c>
      <c r="J495" s="2" t="inlineStr">
        <is>
          <t>✅ คำตอบที่ถูกต้อง: ข้อ ก.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Amlodipine การเลือก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(Diltiazem): เป็น non-DHP CCB ลดอัตราการเต้นของหัวใจและ myocardial contractility มี contraindication ในผู้ป่วย HFrEF (LVEF &lt; 40%) และ 2nd/3rd degree AV block
• ข้อ ค. (Spironolactone): เป็น Mineralocorticoid receptor antagonist (MRA) ใช้เป็น 4th-line ใน resistant HTN หรือ GDMT ใน HFrEF ต้อง monitor potassium และเสี่ยงต่อ gynecomastia
• ข้อ ง. (Digoxin): เป็น cardiac glycoside ยับยั้ง Na+/K+ ATPase เพิ่ม inotrope แต่มี narrow therapeutic index (target 0.5-0.9 ng/mL ใน HF) และเสี่ยงต่อ fatal arrhythmia เมื่อมี hypokalemia
• ข้อ จ. (Furosemide):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495" s="2" t="n"/>
      <c r="L495" s="2" t="inlineStr">
        <is>
          <t>General Therapeutics</t>
        </is>
      </c>
      <c r="M495" s="2" t="inlineStr">
        <is>
          <t>Clinic</t>
        </is>
      </c>
      <c r="N495" s="2" t="inlineStr">
        <is>
          <t>ข้อ 1 (PLE_CC1_2560 22 April Set 1.md)</t>
        </is>
      </c>
      <c r="O495" s="2" t="inlineStr">
        <is>
          <t>ข้อสอบจริง</t>
        </is>
      </c>
      <c r="P495" s="2" t="inlineStr">
        <is>
          <t>ปี 2560</t>
        </is>
      </c>
    </row>
    <row r="496" ht="13.2" customHeight="1" s="37">
      <c r="A496" s="8" t="inlineStr">
        <is>
          <t>517</t>
        </is>
      </c>
      <c r="B496" s="2" t="inlineStr">
        <is>
          <t>ข้อใดถูกต้องเกี่ยวกับการให้ Beta-blocker</t>
        </is>
      </c>
      <c r="C496" s="2" t="n"/>
      <c r="D496" s="2" t="inlineStr">
        <is>
          <t>ต้องเปลี่ยนเป็น Atenolol</t>
        </is>
      </c>
      <c r="E496" s="2" t="inlineStr">
        <is>
          <t>ควรให้ตอนที่ผู้ป่วยอาการคงที่แล้ว</t>
        </is>
      </c>
      <c r="F496" s="2" t="inlineStr">
        <is>
          <t>ให้ตอนผู้ป่วย Acute decompensated heart failure</t>
        </is>
      </c>
      <c r="G496" s="2" t="inlineStr">
        <is>
          <t>เมื่อผู้ป่วยใช้ยา diuretic ไม่ได้</t>
        </is>
      </c>
      <c r="H496" s="2" t="inlineStr">
        <is>
          <t>เมื่อผู้ป่วยใช้ยา ACEI/ARBไม่ได้</t>
        </is>
      </c>
      <c r="I496" s="8" t="inlineStr">
        <is>
          <t>1</t>
        </is>
      </c>
      <c r="J496" s="2" t="inlineStr">
        <is>
          <t>✅ คำตอบที่ถูกต้อง: ข้อ ก. ต้องเปลี่ยนเป็น Atenolol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ต้องเปลี่ยนเป็น Atenolol การเลือก ต้องเปลี่ยนเป็น Atenolol เป็นคำตอบที่ถูกต้องตามแนวทางการรักษามาตรฐาน เนื่องจาก เป็น hydrophilic cardioselective beta-1 blocker ขับออกทางไตเป็นหลัก แต่ evidence ในการลด stroke และ cardiovascular events ด้อยกว่า antihypertensive อื่นๆ
🔍 ข้ออื่นผิดเพราะอะไร:
• ข้อ ข. (ควรให้ตอนที่ผู้ป่วยอาการคงที่แล้ว): ข้อนี้ไม่ใช่คำตอบที่ถูกต้องสำหรับภาวะ General Therapeutics เนื่องจากกลไกการออกฤทธิ์, efficacy หรือข้อบ่งใช้ไม่ตรงกับโจทย์ที่กำหนด
• ข้อ ค. (ให้ตอนผู้ป่วย Acute decompensated heart failure): ข้อนี้ไม่ใช่คำตอบที่ถูกต้องสำหรับภาวะ General Therapeutics เนื่องจากกลไกการออกฤทธิ์, efficacy หรือข้อบ่งใช้ไม่ตรงกับโจทย์ที่กำหนด
• ข้อ ง. (เมื่อผู้ป่วยใช้ยา diuretic ไม่ได้): ข้อนี้ไม่ใช่คำตอบที่ถูกต้องสำหรับภาวะ General Therapeutics เนื่องจากกลไกการออกฤทธิ์, efficacy หรือข้อบ่งใช้ไม่ตรงกับโจทย์ที่กำหนด
• ข้อ จ. (เมื่อผู้ป่วยใช้ยา ACEI/ARBไม่ได้):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6" s="2" t="n"/>
      <c r="L496" s="2" t="inlineStr">
        <is>
          <t>General Therapeutics</t>
        </is>
      </c>
      <c r="M496" s="2" t="inlineStr">
        <is>
          <t>Clinic</t>
        </is>
      </c>
      <c r="N496" s="2" t="inlineStr">
        <is>
          <t>ข้อ 2 (PLE_CC1_2560 22 April Set 1.md)</t>
        </is>
      </c>
      <c r="O496" s="2" t="inlineStr">
        <is>
          <t>ข้อสอบจริง</t>
        </is>
      </c>
      <c r="P496" s="2" t="inlineStr">
        <is>
          <t>ปี 2560</t>
        </is>
      </c>
    </row>
    <row r="497" ht="13.2" customHeight="1" s="37">
      <c r="A497" s="8" t="inlineStr">
        <is>
          <t>518</t>
        </is>
      </c>
      <c r="B497" s="2" t="inlineStr">
        <is>
          <t>Regimen ใด เหมาะสมที่สุด</t>
        </is>
      </c>
      <c r="C497" s="2" t="n"/>
      <c r="D497" s="2" t="inlineStr">
        <is>
          <t>Omeprazole 20 mg 1x1 pc ร่วมกับ Domperidone 10 mg 1x3 pc</t>
        </is>
      </c>
      <c r="E497" s="2" t="inlineStr">
        <is>
          <t>Omeprazole 20 mg 1x1 pc ร่วมกับ Domperidone 10 mg 1x3 ac</t>
        </is>
      </c>
      <c r="F497" s="2" t="inlineStr">
        <is>
          <t>Omeprazole 20 mg 1x1 ac ร่วมกับ Domperidone 10 mg 1x3 pc</t>
        </is>
      </c>
      <c r="G497" s="2" t="inlineStr">
        <is>
          <t>Omeprazole 20 mg 1x1 ac ร่วมกับ Domperidone 10 mg 1x3 พร้อมอาหาร</t>
        </is>
      </c>
      <c r="H497" s="2" t="inlineStr">
        <is>
          <t>Omeprazole 20 mg 1x1 ac ร่วมกับ Domperidone 10 mg 1x3 ac</t>
        </is>
      </c>
      <c r="I497" s="8" t="inlineStr">
        <is>
          <t>1</t>
        </is>
      </c>
      <c r="J497" s="2" t="inlineStr">
        <is>
          <t>✅ คำตอบที่ถูกต้อง: ข้อ ก. Omeprazole 20 mg 1x1 pc ร่วมกับ Domperidone 10 mg 1x3 pc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20 mg 1x1 pc ร่วมกับ Domperidone 10 mg 1x3 pc การเลือก Omeprazole 20 mg 1x1 pc ร่วมกับ Domperidone 10 mg 1x3 pc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(Omeprazole 20 mg 1x1 pc ร่วมกับ Domperidone 10 mg 1x3 ac):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(Omeprazole 20 mg 1x1 ac ร่วมกับ Domperidone 10 mg 1x3 pc):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(Omeprazole 20 mg 1x1 ac ร่วมกับ Domperidone 10 mg 1x3 พร้อมอาหาร):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(Omeprazole 20 mg 1x1 ac ร่วมกับ Domperidone 10 mg 1x3 ac):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7" s="2" t="n"/>
      <c r="L497" s="2" t="inlineStr">
        <is>
          <t>General Therapeutics</t>
        </is>
      </c>
      <c r="M497" s="2" t="inlineStr">
        <is>
          <t>Clinic</t>
        </is>
      </c>
      <c r="N497" s="2" t="inlineStr">
        <is>
          <t>ข้อ 1 (PLE_CC1_2560 22 April Set 1.md)</t>
        </is>
      </c>
      <c r="O497" s="2" t="inlineStr">
        <is>
          <t>ข้อสอบจริง</t>
        </is>
      </c>
      <c r="P497" s="2" t="inlineStr">
        <is>
          <t>ปี 2560</t>
        </is>
      </c>
    </row>
    <row r="498" ht="13.2" customHeight="1" s="37">
      <c r="A498" s="8" t="inlineStr">
        <is>
          <t>519</t>
        </is>
      </c>
      <c r="B498" s="2" t="inlineStr">
        <is>
          <t>เพิ่มเติม คนไข้ ไปพบแพทย์แล้วได้รับการวินิจฉัยว่าเป็น H.pylori infection ยาใด ไม่ถูกต้อง ในการรักษา</t>
        </is>
      </c>
      <c r="C498" s="2" t="n"/>
      <c r="D498" s="2" t="inlineStr">
        <is>
          <t>Omeprazole + Clarithromycin + Bismuth subsalicylate</t>
        </is>
      </c>
      <c r="E498" s="2" t="inlineStr">
        <is>
          <t>Omeprazole + Clarithromycin + Amoxicillin</t>
        </is>
      </c>
      <c r="F498" s="2" t="inlineStr">
        <is>
          <t>Omeprazole + Clarithromycin + Metronidazole</t>
        </is>
      </c>
      <c r="G498" s="2" t="inlineStr">
        <is>
          <t>Omeprazole + Clarithromycin + Levofloxacin</t>
        </is>
      </c>
      <c r="H498" s="2" t="inlineStr">
        <is>
          <t>Omeprazole + Clarithromycin + Tetracycline + Bismuth subsalicylate</t>
        </is>
      </c>
      <c r="I498" s="8" t="inlineStr">
        <is>
          <t>1</t>
        </is>
      </c>
      <c r="J498" s="2" t="inlineStr">
        <is>
          <t>✅ คำตอบที่ถูกต้อง: ข้อ ก. Omeprazole + Clarithromycin + Bismuth subsalicylate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 Clarithromycin + Bismuth subsalicylate การเลือก Omeprazole + Clarithromycin + Bismuth subsalicylate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(Omeprazole + Clarithromycin + Amoxicillin): เป็น Aminopenicillin ยับยั้ง bacterial cell wall synthesis เป็น first-line สำหรับ uncomplicated bacterial infections (เช่น Strep pharyngitis, AOM, sinusitis)
• ข้อ ค. (Omeprazole + Clarithromycin + Metronidazole): เป็น Macrolide เป็นแกนหลักในสูตรกำจัด H. pylori และ MAC treatment แต่ยับยั้ง CYP3A4 สูงมาก จึงมี drug-drug interactions รุนแรงกับ statins, colchicine
• ข้อ ง. (Omeprazole + Clarithromycin + Levofloxacin): เป็น Respiratory Fluoroquinolone ครอบคลุมทั้ง Streptococcus pneumoniae, atypicals และ Pseudomonas aeruginosa ใช้รักษา CAP, complicated UTI
• ข้อ จ. (Omeprazole + Clarithromycin + Tetracycline + Bismuth subsalicylate):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8" s="2" t="n"/>
      <c r="L498" s="2" t="inlineStr">
        <is>
          <t>General Therapeutics</t>
        </is>
      </c>
      <c r="M498" s="2" t="inlineStr">
        <is>
          <t>Clinic</t>
        </is>
      </c>
      <c r="N498" s="2" t="inlineStr">
        <is>
          <t>ข้อ 7 (PLE_CC1_2560 22 April Set 1.md)</t>
        </is>
      </c>
      <c r="O498" s="2" t="inlineStr">
        <is>
          <t>ข้อสอบจริง</t>
        </is>
      </c>
      <c r="P498" s="2" t="inlineStr">
        <is>
          <t>ปี 2560</t>
        </is>
      </c>
    </row>
    <row r="499" ht="13.2" customHeight="1" s="37">
      <c r="A499" s="8" t="inlineStr">
        <is>
          <t>520</t>
        </is>
      </c>
      <c r="B499" s="2" t="inlineStr">
        <is>
          <t>ต่อมาผู้ป่วยมีอาการหนักมาก จนได้ Sumatriptan ถามว่า Sumatriptan ออกฤทธิ์ อย่างไร</t>
        </is>
      </c>
      <c r="C499" s="2" t="n"/>
      <c r="D499" s="2" t="inlineStr">
        <is>
          <t>5HT-1 agonist</t>
        </is>
      </c>
      <c r="E499" s="2" t="inlineStr">
        <is>
          <t>5HT-1 antagonist รวมโดย Phongsathorn Phlaisaithong Rx 9 UP 16 | P a g e</t>
        </is>
      </c>
      <c r="F499" s="2" t="inlineStr">
        <is>
          <t>5HT-2 agonist</t>
        </is>
      </c>
      <c r="G499" s="2" t="inlineStr">
        <is>
          <t>5HT-2 antagonist</t>
        </is>
      </c>
      <c r="H499" s="2" t="inlineStr">
        <is>
          <t>5HT-3 agonist</t>
        </is>
      </c>
      <c r="I499" s="8" t="inlineStr">
        <is>
          <t>1</t>
        </is>
      </c>
      <c r="J499" s="2" t="inlineStr">
        <is>
          <t>✅ คำตอบที่ถูกต้อง: ข้อ ก. 5HT-1 agonist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5HT-1 agonist การเลือก 5HT-1 agonist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(5HT-1 antagonist รวมโดย Phongsathorn Phlaisaithong Rx 9 UP 16 | P a g e): ข้อนี้ไม่ใช่คำตอบที่ถูกต้องสำหรับภาวะ Neurologic Disorders เนื่องจากกลไกการออกฤทธิ์, efficacy หรือข้อบ่งใช้ไม่ตรงกับโจทย์ที่กำหนด
• ข้อ ค. (5HT-2 agonist): ข้อนี้ไม่ใช่คำตอบที่ถูกต้องสำหรับภาวะ Neurologic Disorders เนื่องจากกลไกการออกฤทธิ์, efficacy หรือข้อบ่งใช้ไม่ตรงกับโจทย์ที่กำหนด
• ข้อ ง. (5HT-2 antagonist): ข้อนี้ไม่ใช่คำตอบที่ถูกต้องสำหรับภาวะ Neurologic Disorders เนื่องจากกลไกการออกฤทธิ์, efficacy หรือข้อบ่งใช้ไม่ตรงกับโจทย์ที่กำหนด
• ข้อ จ. (5HT-3 agonist):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9" s="2" t="n"/>
      <c r="L499" s="2" t="inlineStr">
        <is>
          <t>Neurologic Disorders</t>
        </is>
      </c>
      <c r="M499" s="2" t="inlineStr">
        <is>
          <t>Clinic</t>
        </is>
      </c>
      <c r="N499" s="2" t="inlineStr">
        <is>
          <t>ข้อ 7 (PLE_CC1_2560 22 April Set 1.md)</t>
        </is>
      </c>
      <c r="O499" s="2" t="inlineStr">
        <is>
          <t>ข้อสอบจริง</t>
        </is>
      </c>
      <c r="P499" s="2" t="inlineStr">
        <is>
          <t>ปี 2560</t>
        </is>
      </c>
    </row>
    <row r="500" ht="13.2" customHeight="1" s="37">
      <c r="A500" s="8" t="inlineStr">
        <is>
          <t>521</t>
        </is>
      </c>
      <c r="B500" s="2" t="inlineStr">
        <is>
          <t>คนไข้ใช้ cafergot ประจ้า เข้าโรงพยาบาลแล้วได้รับยาจนเกิดภาวะ Ergotisim เนื่องจากไม่มีคนถามว่าใช้ ยาอะไรอยู่ ถามว่า โรงพยาบาลขาดกระบวนใด</t>
        </is>
      </c>
      <c r="C500" s="2" t="n"/>
      <c r="D500" s="2" t="inlineStr">
        <is>
          <t>Medication reconcilliation system</t>
        </is>
      </c>
      <c r="E500" s="2" t="inlineStr">
        <is>
          <t>Medication error system</t>
        </is>
      </c>
      <c r="F500" s="2" t="inlineStr">
        <is>
          <t>... เรื่องที่ 9. DM ผู้ป่วยชาย อายุ 61 ปี น ้าหนัก 70 กิโลกรัม มีอาการหิวบ่อย หิวน ้าบ่อย ปัสสาวะบ่อย น ้าหนักลด โรค 1x2 pc, Losartan 1x1 pc, Simvastatin 1x1 hs วันนี ตรวจได้ FBS 170 mg/dL, BP 140/90 mmHg, LDL 95 mg/dL ได้รับยา Diltiazem 1x2 pc, , 1x1 ac, Omeprazole 20 mg 1x1 ac</t>
        </is>
      </c>
      <c r="G500" s="2" t="inlineStr">
        <is>
          <t>Sodium thiosulfate 25% 50 mL IV</t>
        </is>
      </c>
      <c r="H500" s="2" t="inlineStr">
        <is>
          <t>Calcium disodium EDTA 1 g IV</t>
        </is>
      </c>
      <c r="I500" s="8" t="inlineStr">
        <is>
          <t>1</t>
        </is>
      </c>
      <c r="J500" s="2" t="inlineStr">
        <is>
          <t>✅ คำตอบที่ถูกต้อง: ข้อ ก. Medication reconcilliation system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Medication reconcilliation system ประจ้าตัวเป็นความดันโลหิตสูง เมื่อ 1 เดือนที่แล้ว FBS 160 mg/dL, BP 145/95 mmHg ได้รับยา Diltiazem (30) Losartan (50) 1x1 pc, Simvastatin (40) 1x1 hs, Aspirin 81 mg 1x1 pc, Metformin 500 mg 1x2, Glipizide 5 mg
🔍 ข้ออื่นผิดเพราะอะไร:
• ข้อ ข. (Medication error system): ข้อนี้ไม่ใช่คำตอบที่ถูกต้องสำหรับภาวะ General Therapeutics เนื่องจากกลไกการออกฤทธิ์, efficacy หรือข้อบ่งใช้ไม่ตรงกับโจทย์ที่กำหนด
• ข้อ ค. (... เรื่องที่ 9. DM ผู้ป่วยชาย อายุ 61 ปี น ้าหนัก 70 กิโลกรัม มีอาการหิวบ่อย หิวน ้าบ่อย ปัสสาวะบ่อย น ้าหนักลด โรค 1x2 pc, Losartan 1x1 pc, Simvastatin 1x1 hs วันนี ตรวจได้ FBS 170 mg/dL, BP 140/90 mmHg, LDL 95 mg/dL ได้รับยา Diltiazem 1x2 pc, , 1x1 ac, Omeprazole 20 mg 1x1 ac): เป็น non-DHP CCB ลดอัตราการเต้นของหัวใจและ myocardial contractility มี contraindication ในผู้ป่วย HFrEF (LVEF &lt; 40%) และ 2nd/3rd degree AV block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0" s="2" t="n"/>
      <c r="L500" s="2" t="inlineStr">
        <is>
          <t>General Therapeutics</t>
        </is>
      </c>
      <c r="M500" s="2" t="inlineStr">
        <is>
          <t>Clinic</t>
        </is>
      </c>
      <c r="N500" s="2" t="inlineStr">
        <is>
          <t>ข้อ 9 (PLE_CC1_2560 22 April Set 1.md)</t>
        </is>
      </c>
      <c r="O500" s="2" t="inlineStr">
        <is>
          <t>ข้อสอบจริง</t>
        </is>
      </c>
      <c r="P500" s="2" t="inlineStr">
        <is>
          <t>ปี 2560</t>
        </is>
      </c>
    </row>
    <row r="501" ht="13.2" customHeight="1" s="37">
      <c r="A501" s="8" t="inlineStr">
        <is>
          <t>522</t>
        </is>
      </c>
      <c r="B501" s="2" t="inlineStr">
        <is>
          <t>การจัดการปัญหาการใช้ยาผู้ป่วยรายนี ข้อใดถูกต้อง</t>
        </is>
      </c>
      <c r="C501" s="2" t="n"/>
      <c r="D501" s="2" t="inlineStr">
        <is>
          <t>เปลี่ยน Diltiazem เป็น Amlodipine</t>
        </is>
      </c>
      <c r="E501" s="2" t="inlineStr">
        <is>
          <t>เพิ่ม Diltiazem จาก 1x2 เป็น 1x3</t>
        </is>
      </c>
      <c r="F501" s="2" t="inlineStr">
        <is>
          <t>เปลี่ยน Simvastatin เป็น Atorvastin</t>
        </is>
      </c>
      <c r="G501" s="2" t="inlineStr">
        <is>
          <t>เพิ่ม Hydralazine</t>
        </is>
      </c>
      <c r="H501" s="2" t="inlineStr">
        <is>
          <t>หยุด Aspirin เนื่องจาก ไม่มีข้อบ่งใช้</t>
        </is>
      </c>
      <c r="I501" s="8" t="inlineStr">
        <is>
          <t>1</t>
        </is>
      </c>
      <c r="J501" s="2" t="inlineStr">
        <is>
          <t>✅ คำตอบที่ถูกต้อง: ข้อ ก. เปลี่ยน Diltiazem เป็น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เปลี่ยน Diltiazem เป็น Amlodipine การเลือก เปลี่ยน Diltiazem เป็น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(เพิ่ม Diltiazem จาก 1x2 เป็น 1x3): เป็น non-DHP CCB ลดอัตราการเต้นของหัวใจและ myocardial contractility มี contraindication ในผู้ป่วย HFrEF (LVEF &lt; 40%) และ 2nd/3rd degree AV block
• ข้อ ค. (เปลี่ยน Simvastatin เป็น Atorvastin): เป็น moderate-intensity statin เมแทบอไลต์ผ่าน CYP3A4 เด่นชัด ห้ามใช้ dose 80 mg และมี drug interactions สูงกับ CYP3A4 inhibitors (clarithromycin, ketoconazole)
• ข้อ ง. (เพิ่ม Hydralazine): เป็น direct arteriolar vasodilator ใช้ร่วมกับ isosorbide dinitrate ใน HFrEF (โดยเฉพาะคนผิวดำ) หรือรักษา severe HTN ในหญิงตั้งครรภ์ แต่เสี่ยงต่อ drug-induced lupus
• ข้อ จ. (หยุด Aspirin เนื่องจาก ไม่มีข้อบ่งใช้): เป็น irreversible COX-1 inhibitor ยับยั้ง Thromboxane A2 เป็นแกนหลักใน antiplatelet secondary prevention ของ CVD (ขนาดยา 75-100 mg/day)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01" s="2" t="n"/>
      <c r="L501" s="2" t="inlineStr">
        <is>
          <t>General Therapeutics</t>
        </is>
      </c>
      <c r="M501" s="2" t="inlineStr">
        <is>
          <t>Clinic</t>
        </is>
      </c>
      <c r="N501" s="2" t="inlineStr">
        <is>
          <t>ข้อ 4 (PLE_CC1_2560 22 April Set 1.md)</t>
        </is>
      </c>
      <c r="O501" s="2" t="inlineStr">
        <is>
          <t>ข้อสอบจริง</t>
        </is>
      </c>
      <c r="P501" s="2" t="inlineStr">
        <is>
          <t>ปี 2560</t>
        </is>
      </c>
    </row>
    <row r="502" ht="13.2" customHeight="1" s="37">
      <c r="A502" s="8" t="inlineStr">
        <is>
          <t>523</t>
        </is>
      </c>
      <c r="B502" s="2" t="inlineStr">
        <is>
          <t>เภสัชกรควรให้ค้าแนะน้ากับคนไข้อย่างไร ตามค้าแนะน้าขององค์การอนามัยโลก</t>
        </is>
      </c>
      <c r="C502" s="2" t="n"/>
      <c r="D502" s="2" t="inlineStr">
        <is>
          <t>ไม่ต้องท้าอะไร เพราะอยู่ในช่วงปลอดภัย</t>
        </is>
      </c>
      <c r="E502" s="2" t="inlineStr">
        <is>
          <t>ให้รับประทาน COCs ติดต่อกัน 5 วัน</t>
        </is>
      </c>
      <c r="F502" s="2" t="inlineStr">
        <is>
          <t>รับประทานยาคุมฉุกเฉิน Levonorgestrel 750 mcg ทันที 1 เม็ด</t>
        </is>
      </c>
      <c r="G502" s="2" t="inlineStr">
        <is>
          <t>รับประทานยาคุมฉุกเฉิน Levonorgestrel 750 mcg ทันที 2 เม็ด</t>
        </is>
      </c>
      <c r="H502" s="2" t="inlineStr">
        <is>
          <t>เกิน 24 ชั่วโมง ไม่สามารถท้าอะไรได้แล้ว</t>
        </is>
      </c>
      <c r="I502" s="8" t="inlineStr">
        <is>
          <t>1</t>
        </is>
      </c>
      <c r="J502" s="2" t="inlineStr">
        <is>
          <t>✅ คำตอบที่ถูกต้อง: ข้อ ก. ไม่ต้องท้าอะไร เพราะอยู่ในช่วงปลอดภัย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ไม่ต้องท้าอะไร เพราะอยู่ในช่วงปลอดภัย การเลือก ไม่ต้องท้าอะไร เพราะอยู่ในช่วงปลอดภัย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(ให้รับประทาน COCs ติดต่อกัน 5 วัน): ข้อนี้ไม่ใช่คำตอบที่ถูกต้องสำหรับภาวะ General Therapeutics เนื่องจากกลไกการออกฤทธิ์, efficacy หรือข้อบ่งใช้ไม่ตรงกับโจทย์ที่กำหนด
• ข้อ ค. (รับประทานยาคุมฉุกเฉิน Levonorgestrel 750 mcg ทันที 1 เม็ด): ข้อนี้ไม่ใช่คำตอบที่ถูกต้องสำหรับภาวะ General Therapeutics เนื่องจากกลไกการออกฤทธิ์, efficacy หรือข้อบ่งใช้ไม่ตรงกับโจทย์ที่กำหนด
• ข้อ ง. (รับประทานยาคุมฉุกเฉิน Levonorgestrel 750 mcg ทันที 2 เม็ด): ข้อนี้ไม่ใช่คำตอบที่ถูกต้องสำหรับภาวะ General Therapeutics เนื่องจากกลไกการออกฤทธิ์, efficacy หรือข้อบ่งใช้ไม่ตรงกับโจทย์ที่กำหนด
• ข้อ จ. (เกิน 24 ชั่วโมง ไม่สามารถท้าอะไรได้แล้ว):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02" s="2" t="n"/>
      <c r="L502" s="2" t="inlineStr">
        <is>
          <t>General Therapeutics</t>
        </is>
      </c>
      <c r="M502" s="2" t="inlineStr">
        <is>
          <t>Clinic</t>
        </is>
      </c>
      <c r="N502" s="2" t="inlineStr">
        <is>
          <t>ข้อ 1 (PLE_CC1_2560 22 April Set 1.md)</t>
        </is>
      </c>
      <c r="O502" s="2" t="inlineStr">
        <is>
          <t>ข้อสอบจริง</t>
        </is>
      </c>
      <c r="P502" s="2" t="inlineStr">
        <is>
          <t>ปี 2560</t>
        </is>
      </c>
    </row>
    <row r="503" ht="13.2" customHeight="1" s="37">
      <c r="A503" s="8" t="inlineStr">
        <is>
          <t>524</t>
        </is>
      </c>
      <c r="B503" s="2" t="inlineStr">
        <is>
          <t>อาการข้างเคียงที่อาจเกิดได้จาก Levonorgestrel</t>
        </is>
      </c>
      <c r="C503" s="2" t="n"/>
      <c r="D503" s="2" t="inlineStr">
        <is>
          <t>เลือดออกกระปริบกระปอย</t>
        </is>
      </c>
      <c r="E503" s="2" t="inlineStr">
        <is>
          <t>น ้านมไหล</t>
        </is>
      </c>
      <c r="F503" s="2" t="inlineStr">
        <is>
          <t>มูกใสออกมาจากช่องคลอด</t>
        </is>
      </c>
      <c r="G503" s="2" t="inlineStr">
        <is>
          <t>เบื่ออาหาร</t>
        </is>
      </c>
      <c r="H503" s="2" t="inlineStr">
        <is>
          <t>น ้าหนักลด</t>
        </is>
      </c>
      <c r="I503" s="8" t="inlineStr">
        <is>
          <t>1</t>
        </is>
      </c>
      <c r="J503" s="2" t="inlineStr">
        <is>
          <t>✅ คำตอบที่ถูกต้อง: ข้อ ก. เลือดออกกระปริบกระปอย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เลือดออกกระปริบกระปอย การเลือก เลือดออกกระปริบกระปอย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 ้านมไหล): ข้อนี้ไม่ใช่คำตอบที่ถูกต้องสำหรับภาวะ General Therapeutics เนื่องจากกลไกการออกฤทธิ์, efficacy หรือข้อบ่งใช้ไม่ตรงกับโจทย์ที่กำหนด
• ข้อ ค. (มูกใสออกมาจากช่องคลอด): ข้อนี้ไม่ใช่คำตอบที่ถูกต้องสำหรับภาวะ General Therapeutics เนื่องจากกลไกการออกฤทธิ์, efficacy หรือข้อบ่งใช้ไม่ตรงกับโจทย์ที่กำหนด
• ข้อ ง. (เบื่ออาหาร): ข้อนี้ไม่ใช่คำตอบที่ถูกต้องสำหรับภาวะ General Therapeutics เนื่องจากกลไกการออกฤทธิ์, efficacy หรือข้อบ่งใช้ไม่ตรงกับโจทย์ที่กำหนด
• ข้อ จ. (น ้าหนักลด):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3" s="2" t="n"/>
      <c r="L503" s="2" t="inlineStr">
        <is>
          <t>General Therapeutics</t>
        </is>
      </c>
      <c r="M503" s="2" t="inlineStr">
        <is>
          <t>Clinic</t>
        </is>
      </c>
      <c r="N503" s="2" t="inlineStr">
        <is>
          <t>ข้อ 2 (PLE_CC1_2560 22 April Set 1.md)</t>
        </is>
      </c>
      <c r="O503" s="2" t="inlineStr">
        <is>
          <t>ข้อสอบจริง</t>
        </is>
      </c>
      <c r="P503" s="2" t="inlineStr">
        <is>
          <t>ปี 2560</t>
        </is>
      </c>
    </row>
    <row r="504" ht="13.2" customHeight="1" s="37">
      <c r="A504" s="8" t="inlineStr">
        <is>
          <t>525</t>
        </is>
      </c>
      <c r="B504" s="2" t="inlineStr">
        <is>
          <t>ค่าแลปใด Specificity สูงสุด ส้าหรับ SLE</t>
        </is>
      </c>
      <c r="C504" s="2" t="n"/>
      <c r="D504" s="2" t="inlineStr">
        <is>
          <t>ANA</t>
        </is>
      </c>
      <c r="E504" s="2" t="inlineStr">
        <is>
          <t>Anti-dsDNA</t>
        </is>
      </c>
      <c r="F504" s="2" t="inlineStr">
        <is>
          <t>Lupus anticoagulant</t>
        </is>
      </c>
      <c r="G504" s="2" t="inlineStr">
        <is>
          <t>ESR</t>
        </is>
      </c>
      <c r="H504" s="2" t="inlineStr">
        <is>
          <t>Calcium disodium EDTA 1 g IV</t>
        </is>
      </c>
      <c r="I504" s="8" t="inlineStr">
        <is>
          <t>1</t>
        </is>
      </c>
      <c r="J504" s="2" t="inlineStr">
        <is>
          <t>✅ คำตอบที่ถูกต้อง: ข้อ ก. ANA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ANA การเลือก ANA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(Anti-dsDNA): ข้อนี้ไม่ใช่คำตอบที่ถูกต้องสำหรับภาวะ General Therapeutics เนื่องจากกลไกการออกฤทธิ์, efficacy หรือข้อบ่งใช้ไม่ตรงกับโจทย์ที่กำหนด
• ข้อ ค. (Lupus anticoagulant): ข้อนี้ไม่ใช่คำตอบที่ถูกต้องสำหรับภาวะ General Therapeutics เนื่องจากกลไกการออกฤทธิ์, efficacy หรือข้อบ่งใช้ไม่ตรงกับโจทย์ที่กำหนด
• ข้อ ง. (ESR):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4" s="2" t="n"/>
      <c r="L504" s="2" t="inlineStr">
        <is>
          <t>General Therapeutics</t>
        </is>
      </c>
      <c r="M504" s="2" t="inlineStr">
        <is>
          <t>Clinic</t>
        </is>
      </c>
      <c r="N504" s="2" t="inlineStr">
        <is>
          <t>ข้อ 2 (PLE_CC1_2560 22 April Set 1.md)</t>
        </is>
      </c>
      <c r="O504" s="2" t="inlineStr">
        <is>
          <t>ข้อสอบจริง</t>
        </is>
      </c>
      <c r="P504" s="2" t="inlineStr">
        <is>
          <t>ปี 2560</t>
        </is>
      </c>
    </row>
    <row r="505" ht="13.2" customHeight="1" s="37">
      <c r="A505" s="8" t="inlineStr">
        <is>
          <t>526</t>
        </is>
      </c>
      <c r="B505" s="2" t="inlineStr">
        <is>
          <t>ยาใดเหมาะสมที่สุดในการบรรเทาอาการปวดในผู้ป่วยรายนี</t>
        </is>
      </c>
      <c r="C505" s="2" t="n"/>
      <c r="D505" s="2" t="inlineStr">
        <is>
          <t>Colchicine</t>
        </is>
      </c>
      <c r="E505" s="2" t="inlineStr">
        <is>
          <t>Naproxen</t>
        </is>
      </c>
      <c r="F505" s="2" t="inlineStr">
        <is>
          <t>Paracetamol</t>
        </is>
      </c>
      <c r="G505" s="2" t="inlineStr">
        <is>
          <t>Tramadol</t>
        </is>
      </c>
      <c r="H505" s="2" t="inlineStr">
        <is>
          <t>Prednisolone</t>
        </is>
      </c>
      <c r="I505" s="8" t="inlineStr">
        <is>
          <t>1</t>
        </is>
      </c>
      <c r="J505" s="2" t="inlineStr">
        <is>
          <t>✅ คำตอบที่ถูกต้อง: ข้อ ก. Colchicine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Colchicine การเลือก Colchicine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เป็น non-selective NSAID ที่มี cardiovascular safety profile ดีที่สุด และมี efficacy สูงในการระงับ acute inflammation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(Tramadol): เป็น weak mu-opioid agonist และ SNRI เป็นเพียง second-line / add-on สำหรับ pain relief ไม่มีฤทธิ์ลดการอักเสบ (no anti-inflammatory efficacy) และเสี่ยงต่อ serotonin syndrome และชัก
• ข้อ จ. (Prednisolone): เป็น intermediate-acting systemic corticosteroid ขนาดยอดนิยมสำหรับ immunosuppressive &amp; anti-inflammatory therapy ต้องระวัง Cushingoid, infection, osteoporosis, peptic ulcer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05" s="2" t="n"/>
      <c r="L505" s="2" t="inlineStr">
        <is>
          <t>General Therapeutics</t>
        </is>
      </c>
      <c r="M505" s="2" t="inlineStr">
        <is>
          <t>Clinic</t>
        </is>
      </c>
      <c r="N505" s="2" t="inlineStr">
        <is>
          <t>ข้อ 1 (PLE_CC1_2560 22 April Set 1.md)</t>
        </is>
      </c>
      <c r="O505" s="2" t="inlineStr">
        <is>
          <t>ข้อสอบจริง</t>
        </is>
      </c>
      <c r="P505" s="2" t="inlineStr">
        <is>
          <t>ปี 2560</t>
        </is>
      </c>
    </row>
    <row r="506" ht="13.2" customHeight="1" s="37">
      <c r="A506" s="8" t="inlineStr">
        <is>
          <t>527</t>
        </is>
      </c>
      <c r="B506" s="2" t="inlineStr">
        <is>
          <t>ยาใดที่เหมาะสมเป็นทางเลือกแรกในการลดระดับยูริก หากผู้ป่วยไม่มีข้อห้ามใด</t>
        </is>
      </c>
      <c r="C506" s="2" t="n"/>
      <c r="D506" s="2" t="inlineStr">
        <is>
          <t>Allopurinol</t>
        </is>
      </c>
      <c r="E506" s="2" t="inlineStr">
        <is>
          <t>Sulfinpyrazone</t>
        </is>
      </c>
      <c r="F506" s="2" t="inlineStr">
        <is>
          <t>Benzbromarone</t>
        </is>
      </c>
      <c r="G506" s="2" t="inlineStr">
        <is>
          <t>Probenecid</t>
        </is>
      </c>
      <c r="H506" s="2" t="inlineStr">
        <is>
          <t>Ascorbic acid</t>
        </is>
      </c>
      <c r="I506" s="8" t="inlineStr">
        <is>
          <t>1</t>
        </is>
      </c>
      <c r="J506" s="2" t="inlineStr">
        <is>
          <t>✅ คำตอบที่ถูกต้อง: ข้อ ก. Allopurinol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Allopurinol การเลือก Allopurinol เป็นคำตอบที่ถูกต้องตามแนวทางการรักษามาตรฐาน เนื่องจาก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ข้ออื่นผิดเพราะอะไร:
• ข้อ ข. (Sulfinpyrazone): ข้อนี้ไม่ใช่คำตอบที่ถูกต้องสำหรับภาวะ General Therapeutics เนื่องจากกลไกการออกฤทธิ์, efficacy หรือข้อบ่งใช้ไม่ตรงกับโจทย์ที่กำหนด
• ข้อ ค. (Benzbromarone): ข้อนี้ไม่ใช่คำตอบที่ถูกต้องสำหรับภาวะ General Therapeutics เนื่องจากกลไกการออกฤทธิ์, efficacy หรือข้อบ่งใช้ไม่ตรงกับโจทย์ที่กำหนด
• ข้อ ง. (Probenecid): เป็น Uricosuric drug ขับกรดยูริกทางไต ไม่มีฤทธิ์แก้อักเสบเฉียบพลัน และ contraindication ในผู้ป่วย renal calculi (นิ่วในไต) หรือ eGFR &lt; 30 mL/min
• ข้อ จ. (Ascorbic acid):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506" s="2" t="n"/>
      <c r="L506" s="2" t="inlineStr">
        <is>
          <t>General Therapeutics</t>
        </is>
      </c>
      <c r="M506" s="2" t="inlineStr">
        <is>
          <t>Clinic</t>
        </is>
      </c>
      <c r="N506" s="2" t="inlineStr">
        <is>
          <t>ข้อ 4 (PLE_CC1_2560 22 April Set 1.md)</t>
        </is>
      </c>
      <c r="O506" s="2" t="inlineStr">
        <is>
          <t>ข้อสอบจริง</t>
        </is>
      </c>
      <c r="P506" s="2" t="inlineStr">
        <is>
          <t>ปี 2560</t>
        </is>
      </c>
    </row>
    <row r="507" ht="13.2" customHeight="1" s="37">
      <c r="A507" s="8" t="inlineStr">
        <is>
          <t>528</t>
        </is>
      </c>
      <c r="B507" s="2" t="inlineStr">
        <is>
          <t>โครงสร้างใด ยับยั ง Xanthine oxidase</t>
        </is>
      </c>
      <c r="C507" s="2" t="n"/>
      <c r="D507" s="2" t="inlineStr">
        <is>
          <t>Prednisolone 5 mg OD</t>
        </is>
      </c>
      <c r="E507" s="2" t="inlineStr">
        <is>
          <t>Zoledronic acid 5 mg IV annually</t>
        </is>
      </c>
      <c r="F507" s="2" t="inlineStr">
        <is>
          <t>Leflunomide 20 mg OD</t>
        </is>
      </c>
      <c r="G507" s="2" t="inlineStr">
        <is>
          <t>Paracetamol 500 mg Q6H PRN</t>
        </is>
      </c>
      <c r="H507" s="2" t="inlineStr">
        <is>
          <t>Denosumab 60 mg SC every 6 months</t>
        </is>
      </c>
      <c r="I507" s="8" t="inlineStr">
        <is>
          <t>1</t>
        </is>
      </c>
      <c r="J507" s="2" t="inlineStr">
        <is>
          <t>✅ คำตอบที่ถูกต้อง: ข้อ ก. Prednisolone 5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Prednisolone 5 mg OD การเลือก Prednisolone 5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ข้อ ค. (Leflunomide 20 mg OD): เป็น csDMARD ยับยั้ง dihydroorotate dehydrogenase มี half-life ยาวนานมาก (elimination half-life ~2 สัปดาห์) ต้องทำ cholestyramine washout หากต้องการตั้งครรภ์
• ข้อ ง. (Paracetamol 500 mg Q6H PRN):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507" s="2" t="n"/>
      <c r="L507" s="2" t="inlineStr">
        <is>
          <t>Musculoskeletal &amp; Joint</t>
        </is>
      </c>
      <c r="M507" s="2" t="inlineStr">
        <is>
          <t>Clinic</t>
        </is>
      </c>
      <c r="N507" s="2" t="inlineStr">
        <is>
          <t>ข้อ 5 (PLE_CC1_2560 22 April Set 1.md)</t>
        </is>
      </c>
      <c r="O507" s="2" t="inlineStr">
        <is>
          <t>ข้อสอบจริง</t>
        </is>
      </c>
      <c r="P507" s="2" t="inlineStr">
        <is>
          <t>ปี 2560</t>
        </is>
      </c>
    </row>
    <row r="508" ht="13.2" customHeight="1" s="37">
      <c r="A508" s="8" t="inlineStr">
        <is>
          <t>529</t>
        </is>
      </c>
      <c r="B508" s="2" t="inlineStr">
        <is>
          <t>ท้าการศึกษาเกี่ยวกับผลข้างเคียงจากการใช้ยา โดยสุ่มเวชระเบียนของผู้ป่วย ย้อนหลัง 3 เดือน ใน ปีงบประมาณ 2559 ถามว่าเป็นรูปแบบการศึกษาแบบใด</t>
        </is>
      </c>
      <c r="C508" s="2" t="n"/>
      <c r="D508" s="2" t="inlineStr">
        <is>
          <t>Descriptive survey study</t>
        </is>
      </c>
      <c r="E508" s="2" t="inlineStr">
        <is>
          <t>Meta-analysis</t>
        </is>
      </c>
      <c r="F508" s="2" t="inlineStr">
        <is>
          <t>Systematic review</t>
        </is>
      </c>
      <c r="G508" s="2" t="inlineStr">
        <is>
          <t>Randomized controlled trial</t>
        </is>
      </c>
      <c r="H508" s="2" t="inlineStr">
        <is>
          <t>open label single blind randomized controlled trial รวมโดย Phongsathorn Phlaisaithong Rx 9 UP 24 | P a g e</t>
        </is>
      </c>
      <c r="I508" s="8" t="inlineStr">
        <is>
          <t>1</t>
        </is>
      </c>
      <c r="J508" s="2" t="inlineStr">
        <is>
          <t>✅ คำตอบที่ถูกต้อง: ข้อ ก. Descriptive survey study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Descriptive survey study การเลือก Descriptive survey study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(Meta-analysis): ข้อนี้ไม่ใช่คำตอบที่ถูกต้องสำหรับภาวะ General Therapeutics เนื่องจากกลไกการออกฤทธิ์, efficacy หรือข้อบ่งใช้ไม่ตรงกับโจทย์ที่กำหนด
• ข้อ ค. (Systematic review): ข้อนี้ไม่ใช่คำตอบที่ถูกต้องสำหรับภาวะ General Therapeutics เนื่องจากกลไกการออกฤทธิ์, efficacy หรือข้อบ่งใช้ไม่ตรงกับโจทย์ที่กำหนด
• ข้อ ง. (Randomized controlled trial): ข้อนี้ไม่ใช่คำตอบที่ถูกต้องสำหรับภาวะ General Therapeutics เนื่องจากกลไกการออกฤทธิ์, efficacy หรือข้อบ่งใช้ไม่ตรงกับโจทย์ที่กำหนด
• ข้อ จ. (open label single blind randomized controlled trial รวมโดย Phongsathorn Phlaisaithong Rx 9 UP 24 | P a g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8" s="2" t="n"/>
      <c r="L508" s="2" t="inlineStr">
        <is>
          <t>General Therapeutics</t>
        </is>
      </c>
      <c r="M508" s="2" t="inlineStr">
        <is>
          <t>Clinic</t>
        </is>
      </c>
      <c r="N508" s="2" t="inlineStr">
        <is>
          <t>ข้อ 7 (PLE_CC1_2560 22 April Set 1.md)</t>
        </is>
      </c>
      <c r="O508" s="2" t="inlineStr">
        <is>
          <t>ข้อสอบจริง</t>
        </is>
      </c>
      <c r="P508" s="2" t="inlineStr">
        <is>
          <t>ปี 2560</t>
        </is>
      </c>
    </row>
    <row r="509" ht="13.2" customHeight="1" s="37">
      <c r="A509" s="8" t="inlineStr">
        <is>
          <t>530</t>
        </is>
      </c>
      <c r="B509" s="2" t="inlineStr">
        <is>
          <t>ยาใดบ้างที่ต้องท้าบัญชีควบคุมการขายยาอันตราย</t>
        </is>
      </c>
      <c r="C509" s="2" t="n"/>
      <c r="D509" s="2" t="inlineStr">
        <is>
          <t>Tramadol</t>
        </is>
      </c>
      <c r="E509" s="2" t="inlineStr">
        <is>
          <t>Glipizide</t>
        </is>
      </c>
      <c r="F509" s="2" t="inlineStr">
        <is>
          <t>Amlodipine</t>
        </is>
      </c>
      <c r="G509" s="2" t="inlineStr">
        <is>
          <t>Gemfibrozil</t>
        </is>
      </c>
      <c r="H509" s="2" t="inlineStr">
        <is>
          <t>ทุกตัวต้องท้า</t>
        </is>
      </c>
      <c r="I509" s="8" t="inlineStr">
        <is>
          <t>1</t>
        </is>
      </c>
      <c r="J509" s="2" t="inlineStr">
        <is>
          <t>✅ คำตอบที่ถูกต้อง: ข้อ ก. Tramadol
💡 Background:
กฎหมายยาและจรรยาบรรณวิชาชีพมีขึ้นเพื่อคุ้มครองความปลอดภัยของผู้บริโภคตามมาตรฐาน Good Pharmacy Practice (GPP)
🎯 ทำไมข้อนี้ถึงถูก:
Tramadol 💡 คำอธิบายและข้อกำหนดทางกฎหมาย:
💡 คำอธิบายและข้อกำหนดทางกฎหมาย:
การเลือก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(Gemfibrozil): ห้ามใช้ร่วมกับ statins เด็ดขาด เนื่องจากยับยั้ง OATP1B1 glucuronidation ทำให้ระดับ statin ในเลือดพุ่งสูงและเกิด severe rhabdomyolysis
• ข้อ จ. (ทุกตัวต้องท้า):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9" s="2" t="n"/>
      <c r="L509" s="2" t="inlineStr">
        <is>
          <t>Pharmacy Laws &amp; Ethics</t>
        </is>
      </c>
      <c r="M509" s="2" t="inlineStr">
        <is>
          <t>SAP</t>
        </is>
      </c>
      <c r="N509" s="2" t="inlineStr">
        <is>
          <t>ข้อ 5 (PLE_CC1_2560 22 April Set 1.md)</t>
        </is>
      </c>
      <c r="O509" s="2" t="inlineStr">
        <is>
          <t>ข้อสอบจริง</t>
        </is>
      </c>
      <c r="P509" s="2" t="inlineStr">
        <is>
          <t>ปี 2560</t>
        </is>
      </c>
    </row>
    <row r="510" ht="13.2" customHeight="1" s="37">
      <c r="A510" s="8" t="inlineStr">
        <is>
          <t>531</t>
        </is>
      </c>
      <c r="B510" s="2" t="inlineStr">
        <is>
          <t>เภสัชกรพบว่ามีการใช้ยาแผนโบราณแก้ปวดเมื่อยผงสีเหลืองระบาดอยู่ในชุมชน พบว่ายามีสเตียรอยด์ผสมอยู่ จะใช้การประเมินใดในการหาสาเหตุของการระบาดครั งนี</t>
        </is>
      </c>
      <c r="C510" s="2" t="n"/>
      <c r="D510" s="2" t="inlineStr">
        <is>
          <t>Social assessment</t>
        </is>
      </c>
      <c r="E510" s="2" t="inlineStr">
        <is>
          <t>behavior &amp; environment</t>
        </is>
      </c>
      <c r="F510" s="2" t="inlineStr">
        <is>
          <t>outcome assessment</t>
        </is>
      </c>
      <c r="G510" s="2" t="inlineStr">
        <is>
          <t>Epidemiological…..</t>
        </is>
      </c>
      <c r="H510" s="2" t="inlineStr">
        <is>
          <t>Administrative &amp; Policy</t>
        </is>
      </c>
      <c r="I510" s="8" t="inlineStr">
        <is>
          <t>1</t>
        </is>
      </c>
      <c r="J510" s="2" t="inlineStr">
        <is>
          <t>✅ คำตอบที่ถูกต้อง: ข้อ ก. Social assessment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Social assessment 💡 คำอธิบายและเหตุผลทางเภสัชกรรม:
💡 คำอธิบายและเหตุผลทางเภสัชกรรม:
การเลือก Social assessment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(behavior &amp; environment): ข้อนี้ไม่ใช่คำตอบที่ถูกต้องสำหรับภาวะ Herbal Medicine เนื่องจากกลไกการออกฤทธิ์, efficacy หรือข้อบ่งใช้ไม่ตรงกับโจทย์ที่กำหนด
• ข้อ ค. (outcome assessment): ข้อนี้ไม่ใช่คำตอบที่ถูกต้องสำหรับภาวะ Herbal Medicine เนื่องจากกลไกการออกฤทธิ์, efficacy หรือข้อบ่งใช้ไม่ตรงกับโจทย์ที่กำหนด
• ข้อ ง. (Epidemiological…..): ข้อนี้ไม่ใช่คำตอบที่ถูกต้องสำหรับภาวะ Herbal Medicine เนื่องจากกลไกการออกฤทธิ์, efficacy หรือข้อบ่งใช้ไม่ตรงกับโจทย์ที่กำหนด
• ข้อ จ. (Administrative &amp; Policy):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0" s="2" t="n"/>
      <c r="L510" s="2" t="inlineStr">
        <is>
          <t>Herbal Medicine</t>
        </is>
      </c>
      <c r="M510" s="2" t="inlineStr">
        <is>
          <t>Product</t>
        </is>
      </c>
      <c r="N510" s="2" t="inlineStr">
        <is>
          <t>ข้อ 7 (PLE_CC1_2560 22 April Set 1.md)</t>
        </is>
      </c>
      <c r="O510" s="2" t="inlineStr">
        <is>
          <t>ข้อสอบจริง</t>
        </is>
      </c>
      <c r="P510" s="2" t="inlineStr">
        <is>
          <t>ปี 2560</t>
        </is>
      </c>
    </row>
    <row r="511" ht="13.2" customHeight="1" s="37">
      <c r="A511" s="8" t="inlineStr">
        <is>
          <t>532</t>
        </is>
      </c>
      <c r="B511" s="2" t="inlineStr">
        <is>
          <t>ถ้าพบว่ามีการยาที่หมดอายุแล้ววางปนอยู่บนชั นขายยา จัดว่าเป็นยาประเภทใด</t>
        </is>
      </c>
      <c r="C511" s="2" t="n"/>
      <c r="D511" s="2" t="inlineStr">
        <is>
          <t>ยาผิดมาตรฐาน</t>
        </is>
      </c>
      <c r="E511" s="2" t="inlineStr">
        <is>
          <t>ยาปลอม</t>
        </is>
      </c>
      <c r="F511" s="2" t="inlineStr">
        <is>
          <t>ยาเสื่อมคุณภาพ</t>
        </is>
      </c>
      <c r="G511" s="2" t="inlineStr">
        <is>
          <t>ยาเพิกถอนทะเบียน</t>
        </is>
      </c>
      <c r="H511" s="2" t="inlineStr">
        <is>
          <t>ยาที่ไม่ได้ขึ นทะเบียน รวมโดย Phongsathorn Phlaisaithong Rx 9 UP 26 | P a g e</t>
        </is>
      </c>
      <c r="I511" s="8" t="inlineStr">
        <is>
          <t>1</t>
        </is>
      </c>
      <c r="J511" s="2" t="inlineStr">
        <is>
          <t>✅ คำตอบที่ถูกต้อง: ข้อ ก. ยาผิดมาตรฐาน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ยาผิดมาตรฐาน การเลือก ยาผิดมาตรฐาน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(ยาปลอม): ข้อนี้ไม่ใช่คำตอบที่ถูกต้องสำหรับภาวะ General Therapeutics เนื่องจากกลไกการออกฤทธิ์, efficacy หรือข้อบ่งใช้ไม่ตรงกับโจทย์ที่กำหนด
• ข้อ ค. (ยาเสื่อมคุณภาพ): ข้อนี้ไม่ใช่คำตอบที่ถูกต้องสำหรับภาวะ General Therapeutics เนื่องจากกลไกการออกฤทธิ์, efficacy หรือข้อบ่งใช้ไม่ตรงกับโจทย์ที่กำหนด
• ข้อ ง. (ยาเพิกถอนทะเบียน): ข้อนี้ไม่ใช่คำตอบที่ถูกต้องสำหรับภาวะ General Therapeutics เนื่องจากกลไกการออกฤทธิ์, efficacy หรือข้อบ่งใช้ไม่ตรงกับโจทย์ที่กำหนด
• ข้อ จ. (ยาที่ไม่ได้ขึ นทะเบียน รวมโดย Phongsathorn Phlaisaithong Rx 9 UP 26 | P a g 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1" s="2" t="n"/>
      <c r="L511" s="2" t="inlineStr">
        <is>
          <t>General Therapeutics</t>
        </is>
      </c>
      <c r="M511" s="2" t="inlineStr">
        <is>
          <t>Clinic</t>
        </is>
      </c>
      <c r="N511" s="2" t="inlineStr">
        <is>
          <t>ข้อ 8 (PLE_CC1_2560 22 April Set 1.md)</t>
        </is>
      </c>
      <c r="O511" s="2" t="inlineStr">
        <is>
          <t>ข้อสอบจริง</t>
        </is>
      </c>
      <c r="P511" s="2" t="inlineStr">
        <is>
          <t>ปี 2560</t>
        </is>
      </c>
    </row>
    <row r="512" ht="13.2" customHeight="1" s="37">
      <c r="A512" s="8" t="inlineStr">
        <is>
          <t>533</t>
        </is>
      </c>
      <c r="B512" s="2" t="inlineStr">
        <is>
          <t>โฆษณาขายยาแผนโบราณทางวิทยุ เป็นยาน ้าแก้ปวดเมื่อย โดยให้นักฟุตบอลทีมชาติชื่อดังพูดว่า “ยานี ดีจริงๆ กินแล้วหายปวดเมื่อย” มีความผิดเรื่องการโฆษณาตามข้อใดชัดเจนที่สุด</t>
        </is>
      </c>
      <c r="C512" s="2" t="n"/>
      <c r="D512" s="2" t="inlineStr">
        <is>
          <t>Gingerol quantification in Zingiber officinale</t>
        </is>
      </c>
      <c r="E512" s="2" t="inlineStr">
        <is>
          <t>Maceration with Ethanol 70% solvent</t>
        </is>
      </c>
      <c r="F512" s="2" t="inlineStr">
        <is>
          <t>Soxhlet Extraction for heat-stable phytochemicals</t>
        </is>
      </c>
      <c r="G512" s="2" t="inlineStr">
        <is>
          <t>Supercritical Fluid Extraction (SFE-CO2)</t>
        </is>
      </c>
      <c r="H512" s="2" t="inlineStr">
        <is>
          <t>Standardized Curcuminoids in Curcuma longa</t>
        </is>
      </c>
      <c r="I512" s="8" t="inlineStr">
        <is>
          <t>1</t>
        </is>
      </c>
      <c r="J512" s="2"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(Maceration with Ethanol 70% solvent): ข้อนี้ไม่ใช่คำตอบที่ถูกต้องสำหรับภาวะ Herbal Medicine เนื่องจากกลไกการออกฤทธิ์, efficacy หรือข้อบ่งใช้ไม่ตรงกับโจทย์ที่กำหนด
• ข้อ ค. (Soxhlet Extraction for heat-stable phytochemicals): ข้อนี้ไม่ใช่คำตอบที่ถูกต้องสำหรับภาวะ Herbal Medicine เนื่องจากกลไกการออกฤทธิ์, efficacy หรือข้อบ่งใช้ไม่ตรงกับโจทย์ที่กำหนด
• ข้อ ง. (Supercritical Fluid Extraction (SFE-CO2)): ข้อนี้ไม่ใช่คำตอบที่ถูกต้องสำหรับภาวะ Herbal Medicine เนื่องจากกลไกการออกฤทธิ์, efficacy หรือข้อบ่งใช้ไม่ตรงกับโจทย์ที่กำหนด
• ข้อ จ. (Standardized Curcuminoids in Curcuma longa):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2" s="2" t="n"/>
      <c r="L512" s="2" t="inlineStr">
        <is>
          <t>Herbal Medicine</t>
        </is>
      </c>
      <c r="M512" s="2" t="inlineStr">
        <is>
          <t>Product</t>
        </is>
      </c>
      <c r="N512" s="2" t="inlineStr">
        <is>
          <t>ข้อ 10 (PLE_CC1_2560 22 April Set 1.md)</t>
        </is>
      </c>
      <c r="O512" s="2" t="inlineStr">
        <is>
          <t>ข้อสอบจริง</t>
        </is>
      </c>
      <c r="P512" s="2" t="inlineStr">
        <is>
          <t>ปี 2560</t>
        </is>
      </c>
    </row>
    <row r="513" ht="13.2" customHeight="1" s="37">
      <c r="A513" s="8" t="inlineStr">
        <is>
          <t>534</t>
        </is>
      </c>
      <c r="B513" s="2" t="inlineStr">
        <is>
          <t>ยาแผนโบราณข้างต้นไม่สามารถขายได้ในสถานที่ใด</t>
        </is>
      </c>
      <c r="C513" s="2" t="n"/>
      <c r="D513" s="2" t="inlineStr">
        <is>
          <t>ร้านขายสมุนไพร</t>
        </is>
      </c>
      <c r="E513" s="2" t="inlineStr">
        <is>
          <t>ร้านขายยาแผนปัจจุบัน</t>
        </is>
      </c>
      <c r="F513" s="2" t="inlineStr">
        <is>
          <t>ร้านขายยาส่งแผนปัจจุบัน</t>
        </is>
      </c>
      <c r="G513" s="2" t="inlineStr">
        <is>
          <t>ร้าน ขย2</t>
        </is>
      </c>
      <c r="H513" s="2" t="inlineStr">
        <is>
          <t>ร้านขายยาแผนโบราณ</t>
        </is>
      </c>
      <c r="I513" s="8" t="inlineStr">
        <is>
          <t>1</t>
        </is>
      </c>
      <c r="J513" s="2" t="inlineStr">
        <is>
          <t>✅ คำตอบที่ถูกต้อง: ข้อ ก. ร้านขายสมุนไพร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(ร้านขายยาแผนปัจจุบัน): ข้อนี้ไม่ใช่คำตอบที่ถูกต้องสำหรับภาวะ Herbal Medicine เนื่องจากกลไกการออกฤทธิ์, efficacy หรือข้อบ่งใช้ไม่ตรงกับโจทย์ที่กำหนด
• ข้อ ค. (ร้านขายยาส่งแผนปัจจุบัน): ข้อนี้ไม่ใช่คำตอบที่ถูกต้องสำหรับภาวะ Herbal Medicine เนื่องจากกลไกการออกฤทธิ์, efficacy หรือข้อบ่งใช้ไม่ตรงกับโจทย์ที่กำหนด
• ข้อ ง. (ร้าน ขย2): ข้อนี้ไม่ใช่คำตอบที่ถูกต้องสำหรับภาวะ Herbal Medicine เนื่องจากกลไกการออกฤทธิ์, efficacy หรือข้อบ่งใช้ไม่ตรงกับโจทย์ที่กำหนด
• ข้อ จ. (ร้านขายยาแผนโบราณ):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3" s="2" t="n"/>
      <c r="L513" s="2" t="inlineStr">
        <is>
          <t>Herbal Medicine</t>
        </is>
      </c>
      <c r="M513" s="2" t="inlineStr">
        <is>
          <t>Product</t>
        </is>
      </c>
      <c r="N513" s="2" t="inlineStr">
        <is>
          <t>ข้อ 11 (PLE_CC1_2560 22 April Set 1.md)</t>
        </is>
      </c>
      <c r="O513" s="2" t="inlineStr">
        <is>
          <t>ข้อสอบจริง</t>
        </is>
      </c>
      <c r="P513" s="2" t="inlineStr">
        <is>
          <t>ปี 2560</t>
        </is>
      </c>
    </row>
    <row r="514" ht="13.2" customHeight="1" s="37">
      <c r="A514" s="8" t="inlineStr">
        <is>
          <t>535</t>
        </is>
      </c>
      <c r="B514" s="2" t="inlineStr">
        <is>
          <t>หากข้อสอบ หรือตัวเลือกมันแปลกๆ พี่ๆ ต้องข้อโทษด้วย เขียนเท่าที่นึกกันได้ (เข้าใจถึงความ real นะ)</t>
        </is>
      </c>
      <c r="C514" s="2" t="n"/>
      <c r="D514" s="2" t="inlineStr">
        <is>
          <t>Dimercaprol (BAL) 3 mg/kg IM</t>
        </is>
      </c>
      <c r="E514" s="2" t="inlineStr">
        <is>
          <t>Ethanol 10% IV infusion for Methanol poisoning</t>
        </is>
      </c>
      <c r="F514" s="2" t="inlineStr">
        <is>
          <t>Fomepizole 15 mg/kg IV loading</t>
        </is>
      </c>
      <c r="G514" s="2" t="inlineStr">
        <is>
          <t>N-acetylcysteine (NAC) IV infusion protocol</t>
        </is>
      </c>
      <c r="H514" s="2" t="inlineStr">
        <is>
          <t>Atropine sulfate 2 mg IV Q5-10 min</t>
        </is>
      </c>
      <c r="I514" s="8" t="inlineStr">
        <is>
          <t>1</t>
        </is>
      </c>
      <c r="J5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4" s="2" t="n"/>
      <c r="L514" s="2" t="inlineStr">
        <is>
          <t>General Therapeutics</t>
        </is>
      </c>
      <c r="M514" s="2" t="inlineStr">
        <is>
          <t>Clinic</t>
        </is>
      </c>
      <c r="N514" s="2" t="inlineStr">
        <is>
          <t>ข้อ 2 (PLE_CC1_2560 22 April Set 2.md)</t>
        </is>
      </c>
      <c r="O514" s="2" t="inlineStr">
        <is>
          <t>ข้อสอบจริง</t>
        </is>
      </c>
      <c r="P514" s="2" t="inlineStr">
        <is>
          <t>ปี 2560</t>
        </is>
      </c>
    </row>
    <row r="515" ht="13.2" customHeight="1" s="37">
      <c r="A515" s="8" t="inlineStr">
        <is>
          <t>536</t>
        </is>
      </c>
      <c r="B515" s="2" t="inlineStr">
        <is>
          <t>รักษาอาการด้วยยาใด</t>
        </is>
      </c>
      <c r="C515" s="2" t="n"/>
      <c r="D515" s="2" t="inlineStr">
        <is>
          <t>Moxifloxacin 400 mg 1x1 7 days</t>
        </is>
      </c>
      <c r="E515" s="2" t="inlineStr">
        <is>
          <t>Eryhthromycin 300 mg 1x2 7 days</t>
        </is>
      </c>
      <c r="F515" s="2" t="inlineStr">
        <is>
          <t>Cefixime 400 mg OD single dose</t>
        </is>
      </c>
      <c r="G515" s="2" t="inlineStr">
        <is>
          <t>Metronidazole 2 g hs single dose</t>
        </is>
      </c>
      <c r="H515" s="2" t="inlineStr">
        <is>
          <t>...</t>
        </is>
      </c>
      <c r="I515" s="8" t="inlineStr">
        <is>
          <t>1</t>
        </is>
      </c>
      <c r="J515" s="2" t="inlineStr">
        <is>
          <t>✅ คำตอบที่ถูกต้อง: ข้อ ก. Moxifloxacin 400 mg 1x1 7 days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Moxifloxacin 400 mg 1x1 7 days การเลือก Moxifloxacin 400 mg 1x1 7 days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(Eryhthromycin 300 mg 1x2 7 days): ข้อนี้ไม่ใช่คำตอบที่ถูกต้องสำหรับภาวะ General Therapeutics เนื่องจากกลไกการออกฤทธิ์, efficacy หรือข้อบ่งใช้ไม่ตรงกับโจทย์ที่กำหนด
• ข้อ ค. (Cefixime 400 mg OD single dose): ข้อนี้ไม่ใช่คำตอบที่ถูกต้องสำหรับภาวะ General Therapeutics เนื่องจากกลไกการออกฤทธิ์, efficacy หรือข้อบ่งใช้ไม่ตรงกับโจทย์ที่กำหนด
• ข้อ ง. (Metronidazole 2 g hs single dose): เป็น antianaerobic และ antiprotozoal agent ยับยั้ง Trichomonas vaginalis, Giardia, Amebiasis, และ anaerobes ห้ามดื่มแอลกอฮอล์ระหว่างใช้ยา (disulfiram-like reaction)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5" s="2" t="n"/>
      <c r="L515" s="2" t="inlineStr">
        <is>
          <t>General Therapeutics</t>
        </is>
      </c>
      <c r="M515" s="2" t="inlineStr">
        <is>
          <t>Clinic</t>
        </is>
      </c>
      <c r="N515" s="2" t="inlineStr">
        <is>
          <t>ข้อ 2 (PLE_CC1_2560 22 April Set 2.md)</t>
        </is>
      </c>
      <c r="O515" s="2" t="inlineStr">
        <is>
          <t>ข้อสอบจริง</t>
        </is>
      </c>
      <c r="P515" s="2" t="inlineStr">
        <is>
          <t>ปี 2560</t>
        </is>
      </c>
    </row>
    <row r="516" ht="13.2" customHeight="1" s="37">
      <c r="A516" s="8" t="inlineStr">
        <is>
          <t>537</t>
        </is>
      </c>
      <c r="B516" s="2" t="inlineStr">
        <is>
          <t>ต้องใช้ยาใดร่วมด้วย</t>
        </is>
      </c>
      <c r="C516" s="2" t="n"/>
      <c r="D516" s="2" t="inlineStr">
        <is>
          <t>Azithromycin</t>
        </is>
      </c>
      <c r="E516" s="2" t="inlineStr">
        <is>
          <t>...</t>
        </is>
      </c>
      <c r="F516" s="2" t="inlineStr">
        <is>
          <t>Vitamin K1 (Phytomenadione) 10 mg IV slow</t>
        </is>
      </c>
      <c r="G516" s="2" t="inlineStr">
        <is>
          <t>Sodium thiosulfate 25% 50 mL IV</t>
        </is>
      </c>
      <c r="H516" s="2" t="inlineStr">
        <is>
          <t>Calcium disodium EDTA 1 g IV</t>
        </is>
      </c>
      <c r="I516" s="8" t="inlineStr">
        <is>
          <t>1</t>
        </is>
      </c>
      <c r="J516" s="2" t="inlineStr">
        <is>
          <t>✅ คำตอบที่ถูกต้อง: ข้อ ก. Azithromycin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Azithromycin การเลือก Azithromycin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6" s="2" t="n"/>
      <c r="L516" s="2" t="inlineStr">
        <is>
          <t>General Therapeutics</t>
        </is>
      </c>
      <c r="M516" s="2" t="inlineStr">
        <is>
          <t>Clinic</t>
        </is>
      </c>
      <c r="N516" s="2" t="inlineStr">
        <is>
          <t>ข้อ 3 (PLE_CC1_2560 22 April Set 2.md)</t>
        </is>
      </c>
      <c r="O516" s="2" t="inlineStr">
        <is>
          <t>ข้อสอบจริง</t>
        </is>
      </c>
      <c r="P516" s="2" t="inlineStr">
        <is>
          <t>ปี 2560</t>
        </is>
      </c>
    </row>
    <row r="517" ht="13.2" customHeight="1" s="37">
      <c r="A517" s="8" t="inlineStr">
        <is>
          <t>538</t>
        </is>
      </c>
      <c r="B517" s="2" t="inlineStr">
        <is>
          <t>แพทย์ทำการศึกษาการรักษาหนองในแท้ โดยเปรียบเทียบ กลุ่มแรกได้รับยารับประทาน กลุ่ม สองได้รับยาฉีดเข้ากล้ามเนื้อ และติดตามผู้ป่วยไปข้างหน้า ถามว่า เป็นการศึกษาแบบใด</t>
        </is>
      </c>
      <c r="C517" s="2" t="n"/>
      <c r="D517" s="2" t="inlineStr">
        <is>
          <t>Case series</t>
        </is>
      </c>
      <c r="E517" s="2" t="inlineStr">
        <is>
          <t>Case-control</t>
        </is>
      </c>
      <c r="F517" s="2" t="inlineStr">
        <is>
          <t>Cohort</t>
        </is>
      </c>
      <c r="G517" s="2" t="inlineStr">
        <is>
          <t>Cross-sectional study</t>
        </is>
      </c>
      <c r="H517" s="2" t="inlineStr">
        <is>
          <t>...</t>
        </is>
      </c>
      <c r="I517" s="8" t="inlineStr">
        <is>
          <t>1</t>
        </is>
      </c>
      <c r="J517" s="2" t="inlineStr">
        <is>
          <t>✅ คำตอบที่ถูกต้อง: ข้อ ก. Case series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Case series การเลือก Case series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(Case-control): ข้อนี้ไม่ใช่คำตอบที่ถูกต้องสำหรับภาวะ General Therapeutics เนื่องจากกลไกการออกฤทธิ์, efficacy หรือข้อบ่งใช้ไม่ตรงกับโจทย์ที่กำหนด
• ข้อ ค. (Cohort): ข้อนี้ไม่ใช่คำตอบที่ถูกต้องสำหรับภาวะ General Therapeutics เนื่องจากกลไกการออกฤทธิ์, efficacy หรือข้อบ่งใช้ไม่ตรงกับโจทย์ที่กำหนด
• ข้อ ง. (Cross-sectional study): ข้อนี้ไม่ใช่คำตอบที่ถูกต้องสำหรับภาวะ General Therapeutics เนื่องจากกลไกการออกฤทธิ์, efficacy หรือข้อบ่งใช้ไม่ตรงกับโจทย์ที่กำหนด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17" s="2" t="n"/>
      <c r="L517" s="2" t="inlineStr">
        <is>
          <t>General Therapeutics</t>
        </is>
      </c>
      <c r="M517" s="2" t="inlineStr">
        <is>
          <t>Clinic</t>
        </is>
      </c>
      <c r="N517" s="2" t="inlineStr">
        <is>
          <t>ข้อ 6 (PLE_CC1_2560 22 April Set 2.md)</t>
        </is>
      </c>
      <c r="O517" s="2" t="inlineStr">
        <is>
          <t>ข้อสอบจริง</t>
        </is>
      </c>
      <c r="P517" s="2" t="inlineStr">
        <is>
          <t>ปี 2560</t>
        </is>
      </c>
    </row>
    <row r="518" ht="13.2" customHeight="1" s="37">
      <c r="A518" s="8" t="inlineStr">
        <is>
          <t>539</t>
        </is>
      </c>
      <c r="B518" s="2" t="inlineStr">
        <is>
          <t>ข้อใดเกี่ยวข้องกับภาวะ Ergotism มากที่สุด</t>
        </is>
      </c>
      <c r="C518" s="2" t="n"/>
      <c r="D518" s="2" t="inlineStr">
        <is>
          <t>Roxithromycin 20 MCQ11 2/2560 By CU Rx73 MCQ11 2/2560 By CU Rx73</t>
        </is>
      </c>
      <c r="E518" s="2" t="inlineStr">
        <is>
          <t>Lopinavir</t>
        </is>
      </c>
      <c r="F518" s="2" t="inlineStr">
        <is>
          <t>Fluconazole</t>
        </is>
      </c>
      <c r="G518" s="2" t="inlineStr">
        <is>
          <t>Isoniazid</t>
        </is>
      </c>
      <c r="H518" s="2" t="inlineStr">
        <is>
          <t>Esomeprazole</t>
        </is>
      </c>
      <c r="I518" s="8" t="inlineStr">
        <is>
          <t>1</t>
        </is>
      </c>
      <c r="J518" s="2" t="inlineStr">
        <is>
          <t>✅ คำตอบที่ถูกต้อง: ข้อ ก. Roxithromycin 20 MCQ11 2/2560 By CU Rx73 MCQ11 2/2560 By CU Rx73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Roxithromycin 20 MCQ11 2/2560 By CU Rx73 MCQ11 2/2560 By CU Rx73 การเลือก Roxithromycin 20 MCQ11 2/2560 By CU Rx73 MCQ11 2/2560 By CU Rx73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(Lopinavir): ข้อนี้ไม่ใช่คำตอบที่ถูกต้องสำหรับภาวะ General Therapeutics เนื่องจากกลไกการออกฤทธิ์, efficacy หรือข้อบ่งใช้ไม่ตรงกับโจทย์ที่กำหนด
• ข้อ ค. (Fluconazole): เป็น Triazole antifungal เป็น first-line สำหรับ Candida albicans และ Cryptococcal maintenance therapy ขับออกทางไตเด่นชัดจึงต้องปรับ dose ตาม CrCl
• ข้อ ง.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(Esomeprazole):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8" s="2" t="n"/>
      <c r="L518" s="2" t="inlineStr">
        <is>
          <t>General Therapeutics</t>
        </is>
      </c>
      <c r="M518" s="2" t="inlineStr">
        <is>
          <t>Clinic</t>
        </is>
      </c>
      <c r="N518" s="2" t="inlineStr">
        <is>
          <t>ข้อ 6 (PLE_CC1_2560 22 April Set 2.md)</t>
        </is>
      </c>
      <c r="O518" s="2" t="inlineStr">
        <is>
          <t>ข้อสอบจริง</t>
        </is>
      </c>
      <c r="P518" s="2" t="inlineStr">
        <is>
          <t>ปี 2560</t>
        </is>
      </c>
    </row>
    <row r="519" ht="13.2" customHeight="1" s="37">
      <c r="A519" s="8" t="inlineStr">
        <is>
          <t>540</t>
        </is>
      </c>
      <c r="B519" s="2" t="inlineStr">
        <is>
          <t>แนวทางการจัดการผู้ป่วยรายนี้ ข้อใดถูกต้อง</t>
        </is>
      </c>
      <c r="C519" s="2" t="n"/>
      <c r="D519" s="2" t="inlineStr">
        <is>
          <t>เปลี่ยน Diltiazem เป็น Amlodipine</t>
        </is>
      </c>
      <c r="E519" s="2" t="inlineStr">
        <is>
          <t>เพิ่ม Diltiazem จาก 1x2 เป็น 1x3</t>
        </is>
      </c>
      <c r="F519" s="2" t="inlineStr">
        <is>
          <t>เปลี่ยน Simvastatin เป็น Atorvastin</t>
        </is>
      </c>
      <c r="G519" s="2" t="inlineStr">
        <is>
          <t>เพิ่ม Hydralazine</t>
        </is>
      </c>
      <c r="H519" s="2" t="inlineStr">
        <is>
          <t>หยุด Aspirin เนื่องจาก ไม่มีข้อบ่งใช้ 22 MCQ11 2/2560 By CU Rx73 MCQ11 2/2560 By CU Rx73</t>
        </is>
      </c>
      <c r="I519" s="8" t="inlineStr">
        <is>
          <t>1</t>
        </is>
      </c>
      <c r="J519" s="2" t="inlineStr">
        <is>
          <t>✅ คำตอบที่ถูกต้อง: ข้อ ก. เปลี่ยน Diltiazem เป็น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เปลี่ยน Diltiazem เป็น Amlodipine การเลือก เปลี่ยน Diltiazem เป็น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ข. (เพิ่ม Diltiazem จาก 1x2 เป็น 1x3): เป็น non-DHP CCB ลดอัตราการเต้นของหัวใจและ myocardial contractility มี contraindication ในผู้ป่วย HFrEF (LVEF &lt; 40%) และ 2nd/3rd degree AV block
• ข้อ ค. (เปลี่ยน Simvastatin เป็น Atorvastin): เป็น moderate-intensity statin เมแทบอไลต์ผ่าน CYP3A4 เด่นชัด ห้ามใช้ dose 80 mg และมี drug interactions สูงกับ CYP3A4 inhibitors (clarithromycin, ketoconazole)
• ข้อ ง. (เพิ่ม Hydralazine): เป็น direct arteriolar vasodilator ใช้ร่วมกับ isosorbide dinitrate ใน HFrEF (โดยเฉพาะคนผิวดำ) หรือรักษา severe HTN ในหญิงตั้งครรภ์ แต่เสี่ยงต่อ drug-induced lupus
• ข้อ จ. (หยุด Aspirin เนื่องจาก ไม่มีข้อบ่งใช้ 22 MCQ11 2/2560 By CU Rx73 MCQ11 2/2560 By CU Rx73): เป็น irreversible COX-1 inhibitor ยับยั้ง Thromboxane A2 เป็นแกนหลักใน antiplatelet secondary prevention ของ CVD (ขนาดยา 75-100 mg/day)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519" s="2" t="n"/>
      <c r="L519" s="2" t="inlineStr">
        <is>
          <t>General Therapeutics</t>
        </is>
      </c>
      <c r="M519" s="2" t="inlineStr">
        <is>
          <t>Clinic</t>
        </is>
      </c>
      <c r="N519" s="2" t="inlineStr">
        <is>
          <t>ข้อ 4 (PLE_CC1_2560 22 April Set 2.md)</t>
        </is>
      </c>
      <c r="O519" s="2" t="inlineStr">
        <is>
          <t>ข้อสอบจริง</t>
        </is>
      </c>
      <c r="P519" s="2" t="inlineStr">
        <is>
          <t>ปี 2560</t>
        </is>
      </c>
    </row>
    <row r="520" ht="13.2" customHeight="1" s="37">
      <c r="A520" s="8" t="inlineStr">
        <is>
          <t>541</t>
        </is>
      </c>
      <c r="B520" s="2" t="inlineStr">
        <is>
          <t>ข้อใดเป็นคำแนะนำที่ไม่ถูกต้องในผู้ป่วยรายนี้</t>
        </is>
      </c>
      <c r="C520" s="2" t="n"/>
      <c r="D520" s="2" t="inlineStr">
        <is>
          <t>ลดการดื่มเหล้า เบียร์</t>
        </is>
      </c>
      <c r="E520" s="2" t="inlineStr">
        <is>
          <t>ประคบเย็นบริเวณที่ปวด</t>
        </is>
      </c>
      <c r="F520" s="2" t="inlineStr">
        <is>
          <t>งดการกินเกลือปริมาณมาก</t>
        </is>
      </c>
      <c r="G520" s="2" t="inlineStr">
        <is>
          <t>หลีกเลี่ยงการออกกำลังกายหักโหม</t>
        </is>
      </c>
      <c r="H520" s="2" t="inlineStr">
        <is>
          <t>พักการใช้ข้อ</t>
        </is>
      </c>
      <c r="I520" s="8" t="inlineStr">
        <is>
          <t>1</t>
        </is>
      </c>
      <c r="J520" s="2" t="inlineStr">
        <is>
          <t>✅ คำตอบที่ถูกต้อง: ข้อ ก. ลดการดื่มเหล้า เบียร์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ลดการดื่มเหล้า เบียร์ การเลือก ลดการดื่มเหล้า เบียร์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(ประคบเย็นบริเวณที่ปวด): ข้อนี้ไม่ใช่คำตอบที่ถูกต้องสำหรับภาวะ General Therapeutics เนื่องจากกลไกการออกฤทธิ์, efficacy หรือข้อบ่งใช้ไม่ตรงกับโจทย์ที่กำหนด
• ข้อ ค. (งดการกินเกลือปริมาณมาก): ข้อนี้ไม่ใช่คำตอบที่ถูกต้องสำหรับภาวะ General Therapeutics เนื่องจากกลไกการออกฤทธิ์, efficacy หรือข้อบ่งใช้ไม่ตรงกับโจทย์ที่กำหนด
• ข้อ ง. (หลีกเลี่ยงการออกกำลังกายหักโหม): ข้อนี้ไม่ใช่คำตอบที่ถูกต้องสำหรับภาวะ General Therapeutics เนื่องจากกลไกการออกฤทธิ์, efficacy หรือข้อบ่งใช้ไม่ตรงกับโจทย์ที่กำหนด
• ข้อ จ. (พักการใช้ข้อ):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0" s="2" t="n"/>
      <c r="L520" s="2" t="inlineStr">
        <is>
          <t>General Therapeutics</t>
        </is>
      </c>
      <c r="M520" s="2" t="inlineStr">
        <is>
          <t>Clinic</t>
        </is>
      </c>
      <c r="N520" s="2" t="inlineStr">
        <is>
          <t>ข้อ 3 (PLE_CC1_2560 22 April Set 2.md)</t>
        </is>
      </c>
      <c r="O520" s="2" t="inlineStr">
        <is>
          <t>ข้อสอบจริง</t>
        </is>
      </c>
      <c r="P520" s="2" t="inlineStr">
        <is>
          <t>ปี 2560</t>
        </is>
      </c>
    </row>
    <row r="521" ht="13.2" customHeight="1" s="37">
      <c r="A521" s="8" t="inlineStr">
        <is>
          <t>542</t>
        </is>
      </c>
      <c r="B521" s="2" t="inlineStr">
        <is>
          <t>ทำการศึกษาเกี่ยวกับผลข้างเคียงจากการใช้ยา โดยสุ่มเวชระเบียนของผู้ป่วย ย้อนหลัง 3 เดือน ใน ปีงบประมาณ 2559 ถามว่าเป็นรูปแบบการศึกษาแบบใด</t>
        </is>
      </c>
      <c r="C521" s="2" t="n"/>
      <c r="D521" s="2" t="inlineStr">
        <is>
          <t>Descriptive survey study</t>
        </is>
      </c>
      <c r="E521" s="2" t="inlineStr">
        <is>
          <t>Meta-analysis</t>
        </is>
      </c>
      <c r="F521" s="2" t="inlineStr">
        <is>
          <t>Systematic review</t>
        </is>
      </c>
      <c r="G521" s="2" t="inlineStr">
        <is>
          <t>Randomized controlled trial</t>
        </is>
      </c>
      <c r="H521" s="2" t="inlineStr">
        <is>
          <t>open label single blind randomized controlled trial</t>
        </is>
      </c>
      <c r="I521" s="8" t="inlineStr">
        <is>
          <t>1</t>
        </is>
      </c>
      <c r="J521" s="2" t="inlineStr">
        <is>
          <t>✅ คำตอบที่ถูกต้อง: ข้อ ก. Descriptive survey study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Descriptive survey study การเลือก Descriptive survey study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(Meta-analysis): ข้อนี้ไม่ใช่คำตอบที่ถูกต้องสำหรับภาวะ General Therapeutics เนื่องจากกลไกการออกฤทธิ์, efficacy หรือข้อบ่งใช้ไม่ตรงกับโจทย์ที่กำหนด
• ข้อ ค. (Systematic review): ข้อนี้ไม่ใช่คำตอบที่ถูกต้องสำหรับภาวะ General Therapeutics เนื่องจากกลไกการออกฤทธิ์, efficacy หรือข้อบ่งใช้ไม่ตรงกับโจทย์ที่กำหนด
• ข้อ ง. (Randomized controlled trial): ข้อนี้ไม่ใช่คำตอบที่ถูกต้องสำหรับภาวะ General Therapeutics เนื่องจากกลไกการออกฤทธิ์, efficacy หรือข้อบ่งใช้ไม่ตรงกับโจทย์ที่กำหนด
• ข้อ จ. (open label single blind randomized controlled trial):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1" s="2" t="n"/>
      <c r="L521" s="2" t="inlineStr">
        <is>
          <t>General Therapeutics</t>
        </is>
      </c>
      <c r="M521" s="2" t="inlineStr">
        <is>
          <t>Clinic</t>
        </is>
      </c>
      <c r="N521" s="2" t="inlineStr">
        <is>
          <t>ข้อ 7 (PLE_CC1_2560 22 April Set 2.md)</t>
        </is>
      </c>
      <c r="O521" s="2" t="inlineStr">
        <is>
          <t>ข้อสอบจริง</t>
        </is>
      </c>
      <c r="P521" s="2" t="inlineStr">
        <is>
          <t>ปี 2560</t>
        </is>
      </c>
    </row>
    <row r="522" ht="13.2" customHeight="1" s="37">
      <c r="A522" s="8" t="inlineStr">
        <is>
          <t>543</t>
        </is>
      </c>
      <c r="B522" s="2" t="inlineStr">
        <is>
          <t>จากกรณีศึกษาข้างต้นควรเพิ่มยาใดในการรักษาเพื่อบรรเทาอาการเป็นอันดับแรก</t>
        </is>
      </c>
      <c r="C522" s="2" t="n"/>
      <c r="D522" s="2" t="inlineStr">
        <is>
          <t>Furosemide</t>
        </is>
      </c>
      <c r="E522" s="2" t="inlineStr">
        <is>
          <t>Isosorbide dinitrate</t>
        </is>
      </c>
      <c r="F522" s="2" t="inlineStr">
        <is>
          <t>Amlodipine</t>
        </is>
      </c>
      <c r="G522" s="2" t="inlineStr">
        <is>
          <t>Verapamil</t>
        </is>
      </c>
      <c r="H522" s="2" t="inlineStr">
        <is>
          <t>Hydralazine</t>
        </is>
      </c>
      <c r="I522" s="8" t="inlineStr">
        <is>
          <t>1</t>
        </is>
      </c>
      <c r="J522" s="2" t="inlineStr">
        <is>
          <t>✅ คำตอบที่ถูกต้อง: ข้อ ก. Furosemide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Furosemide การเลือก Furosemide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(Isosorbide dinitrate): เป็น organic nitrate ขยายหลอดเลือด venous เด่นชัด ลด preload บรรเทาอาการ angina pectoris แต่ห้ามใช้ร่วมกับ PDE-5 inhibitors (sildenafil) ภายใน 24 ชม. (เสี่ยง severe hypotension)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(Verapamil): เป็น non-DHP CCB ออกฤทธิ์กด SA/AV node เด่นชัด ห้ามใช้ร่วมกับ beta-blockers IV หรือใน HFrEF และทำให้เกิดอาการท้องผูก (constipation) บ่อย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22" s="2" t="n"/>
      <c r="L522" s="2" t="inlineStr">
        <is>
          <t>General Therapeutics</t>
        </is>
      </c>
      <c r="M522" s="2" t="inlineStr">
        <is>
          <t>Clinic</t>
        </is>
      </c>
      <c r="N522" s="2" t="inlineStr">
        <is>
          <t>ข้อ 2 (PLE_CC1_2559.md)</t>
        </is>
      </c>
      <c r="O522" s="2" t="inlineStr">
        <is>
          <t>ข้อสอบจริง</t>
        </is>
      </c>
      <c r="P522" s="2" t="inlineStr">
        <is>
          <t>ปี 2559</t>
        </is>
      </c>
    </row>
    <row r="523" ht="13.2" customHeight="1" s="37">
      <c r="A523" s="8" t="inlineStr">
        <is>
          <t>544</t>
        </is>
      </c>
      <c r="B523" s="2" t="inlineStr">
        <is>
          <t>หากนักศึกษาจะพิจารณาเปลี่ยนยา Atenolol ควรจะเปลี่ยนเป็นยาใดจึงเหมาะสมที่สุด</t>
        </is>
      </c>
      <c r="C523" s="2" t="n"/>
      <c r="D523" s="2" t="inlineStr">
        <is>
          <t>Propranolol</t>
        </is>
      </c>
      <c r="E523" s="2" t="inlineStr">
        <is>
          <t>Labetalol</t>
        </is>
      </c>
      <c r="F523" s="2" t="inlineStr">
        <is>
          <t>Carvedilol</t>
        </is>
      </c>
      <c r="G523" s="2" t="inlineStr">
        <is>
          <t>Metoprolol tartrate</t>
        </is>
      </c>
      <c r="H523" s="2" t="inlineStr">
        <is>
          <t>Nadolol</t>
        </is>
      </c>
      <c r="I523" s="8" t="inlineStr">
        <is>
          <t>1</t>
        </is>
      </c>
      <c r="J523" s="2" t="inlineStr">
        <is>
          <t>✅ คำตอบที่ถูกต้อง: ข้อ ก. Propranolol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Propranolol การเลือก Propranolol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(Labetalol): ข้อนี้ไม่ใช่คำตอบที่ถูกต้องสำหรับภาวะ General Therapeutics เนื่องจากกลไกการออกฤทธิ์, efficacy หรือข้อบ่งใช้ไม่ตรงกับโจทย์ที่กำหนด
• ข้อ ค. (Carvedilol): เป็น non-selective beta-blocker ร่วมกับ alpha-1 blocker ช่วยลด afterload เป็น first-line GDMT ใน HFrEF ที่มี efficacy สูงในการลด mortality
• ข้อ ง. (Metoprolol tartrate): ข้อนี้ไม่ใช่คำตอบที่ถูกต้องสำหรับภาวะ General Therapeutics เนื่องจากกลไกการออกฤทธิ์, efficacy หรือข้อบ่งใช้ไม่ตรงกับโจทย์ที่กำหนด
• ข้อ จ. (Nadolol):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3" s="2" t="n"/>
      <c r="L523" s="2" t="inlineStr">
        <is>
          <t>General Therapeutics</t>
        </is>
      </c>
      <c r="M523" s="2" t="inlineStr">
        <is>
          <t>Clinic</t>
        </is>
      </c>
      <c r="N523" s="2" t="inlineStr">
        <is>
          <t>ข้อ 3 (PLE_CC1_2559.md)</t>
        </is>
      </c>
      <c r="O523" s="2" t="inlineStr">
        <is>
          <t>ข้อสอบจริง</t>
        </is>
      </c>
      <c r="P523" s="2" t="inlineStr">
        <is>
          <t>ปี 2559</t>
        </is>
      </c>
    </row>
    <row r="524" ht="13.2" customHeight="1" s="37">
      <c r="A524" s="8" t="inlineStr">
        <is>
          <t>545</t>
        </is>
      </c>
      <c r="B524" s="2" t="inlineStr">
        <is>
          <t>ยาในข้อใดที่ไม่ช่วยลดอัตราการตายในผู้ป่วย HFrEF</t>
        </is>
      </c>
      <c r="C524" s="2" t="n"/>
      <c r="D524" s="2" t="inlineStr">
        <is>
          <t>Digoxin</t>
        </is>
      </c>
      <c r="E524" s="2" t="inlineStr">
        <is>
          <t>Carvedilol</t>
        </is>
      </c>
      <c r="F524" s="2" t="inlineStr">
        <is>
          <t>Lisinopril</t>
        </is>
      </c>
      <c r="G524" s="2" t="inlineStr">
        <is>
          <t>Valsartan</t>
        </is>
      </c>
      <c r="H524" s="2" t="inlineStr">
        <is>
          <t>Spironolactone</t>
        </is>
      </c>
      <c r="I524" s="8" t="inlineStr">
        <is>
          <t>1</t>
        </is>
      </c>
      <c r="J524" s="2" t="inlineStr">
        <is>
          <t>✅ คำตอบที่ถูกต้อง: ข้อ ก. Digoxin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Digoxin การเลือก Digoxin เป็นคำตอบที่ถูกต้องตามแนวทางการรักษามาตรฐาน เนื่องจาก เป็น cardiac glycoside ยับยั้ง Na+/K+ ATPase เพิ่ม inotrope แต่มี narrow therapeutic index (target 0.5-0.9 ng/mL ใน HF) และเสี่ยงต่อ fatal arrhythmia เมื่อมี hypokalemia
🔍 ข้ออื่นผิดเพราะอะไร:
• ข้อ ข. (Carvedilol): เป็น non-selective beta-blocker ร่วมกับ alpha-1 blocker ช่วยลด afterload เป็น first-line GDMT ใน HFrEF ที่มี efficacy สูงในการลด mortality
• ข้อ ค. (Lisinopril): ข้อนี้ไม่ใช่คำตอบที่ถูกต้องสำหรับภาวะ General Therapeutics เนื่องจากกลไกการออกฤทธิ์, efficacy หรือข้อบ่งใช้ไม่ตรงกับโจทย์ที่กำหนด
• ข้อ ง. (Valsartan): เป็น ARB ที่มี clinical evidence ชัดเจนใน Heart Failure (ร่วมกับ sacubitril เป็น ARNI) และ post-MI
• ข้อ จ. (Spironolactone): เป็น Mineralocorticoid receptor antagonist (MRA) ใช้เป็น 4th-line ใน resistant HTN หรือ GDMT ใน HFrEF ต้อง monitor potassium และเสี่ยงต่อ gynecomastia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24" s="2" t="n"/>
      <c r="L524" s="2" t="inlineStr">
        <is>
          <t>General Therapeutics</t>
        </is>
      </c>
      <c r="M524" s="2" t="inlineStr">
        <is>
          <t>Clinic</t>
        </is>
      </c>
      <c r="N524" s="2" t="inlineStr">
        <is>
          <t>ข้อ 4 (PLE_CC1_2559.md)</t>
        </is>
      </c>
      <c r="O524" s="2" t="inlineStr">
        <is>
          <t>ข้อสอบจริง</t>
        </is>
      </c>
      <c r="P524" s="2" t="inlineStr">
        <is>
          <t>ปี 2559</t>
        </is>
      </c>
    </row>
    <row r="525" ht="13.2" customHeight="1" s="37">
      <c r="A525" s="8" t="inlineStr">
        <is>
          <t>546</t>
        </is>
      </c>
      <c r="B525" s="2" t="inlineStr">
        <is>
          <t>ผู้ป่วยรายนี จัดอยู่ stage การรักษาใดตาม GOLD guideline 2015</t>
        </is>
      </c>
      <c r="C525" s="2" t="n"/>
      <c r="D525" s="2" t="inlineStr">
        <is>
          <t>Stage A</t>
        </is>
      </c>
      <c r="E525" s="2" t="inlineStr">
        <is>
          <t>Stage B</t>
        </is>
      </c>
      <c r="F525" s="2" t="inlineStr">
        <is>
          <t>Stage C</t>
        </is>
      </c>
      <c r="G525" s="2" t="inlineStr">
        <is>
          <t>Stage D</t>
        </is>
      </c>
      <c r="H525" s="2" t="inlineStr">
        <is>
          <t>ไม่สามารถจัดได้เนื่องจากข้อมูลไม่เพียงพอ ห้ามนำไปทำซ้ำทุกกรณี เว้นแต่จะได้รับอนุญาต</t>
        </is>
      </c>
      <c r="I525" s="8" t="inlineStr">
        <is>
          <t>1</t>
        </is>
      </c>
      <c r="J525" s="2" t="inlineStr">
        <is>
          <t>✅ คำตอบที่ถูกต้อง: ข้อ ก. Stage A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Stage A การเลือก Stage 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(Stage B): ข้อนี้ไม่ใช่คำตอบที่ถูกต้องสำหรับภาวะ General Therapeutics เนื่องจากกลไกการออกฤทธิ์, efficacy หรือข้อบ่งใช้ไม่ตรงกับโจทย์ที่กำหนด
• ข้อ ค. (Stage C): ข้อนี้ไม่ใช่คำตอบที่ถูกต้องสำหรับภาวะ General Therapeutics เนื่องจากกลไกการออกฤทธิ์, efficacy หรือข้อบ่งใช้ไม่ตรงกับโจทย์ที่กำหนด
• ข้อ ง. (Stage D): ข้อนี้ไม่ใช่คำตอบที่ถูกต้องสำหรับภาวะ General Therapeutics เนื่องจากกลไกการออกฤทธิ์, efficacy หรือข้อบ่งใช้ไม่ตรงกับโจทย์ที่กำหนด
• ข้อ จ. (ไม่สามารถจัดได้เนื่องจากข้อมูลไม่เพียงพอ ห้ามนำไปทำซ้ำทุกกรณี เว้นแต่จะได้รับอนุญาต): ข้อนี้ไม่ถูกต้องเนื่องจากข้อมูล clinical parameters ในโจทย์เพียงพอต่อการตัดสินใจตาม CPG แล้ว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25" s="2" t="n"/>
      <c r="L525" s="2" t="inlineStr">
        <is>
          <t>General Therapeutics</t>
        </is>
      </c>
      <c r="M525" s="2" t="inlineStr">
        <is>
          <t>Clinic</t>
        </is>
      </c>
      <c r="N525" s="2" t="inlineStr">
        <is>
          <t>ข้อ 10 (PLE_CC1_2559.md)</t>
        </is>
      </c>
      <c r="O525" s="2" t="inlineStr">
        <is>
          <t>ข้อสอบจริง</t>
        </is>
      </c>
      <c r="P525" s="2" t="inlineStr">
        <is>
          <t>ปี 2559</t>
        </is>
      </c>
    </row>
    <row r="526" ht="13.2" customHeight="1" s="37">
      <c r="A526" s="8" t="inlineStr">
        <is>
          <t>547</t>
        </is>
      </c>
      <c r="B526" s="2" t="inlineStr">
        <is>
          <t>ข้อใด ไม่ใช่ ค้าแนะน้าการใช้ยาในผู้ป่วยรายนี</t>
        </is>
      </c>
      <c r="C526" s="2" t="n"/>
      <c r="D526" s="2" t="inlineStr">
        <is>
          <t>บ้วนปากทุกครั งหลังใช้ยา seretide evohaler เนื่องจากยาท้าให้เกิดเชื อราในช่องปากได้</t>
        </is>
      </c>
      <c r="E526" s="2" t="inlineStr">
        <is>
          <t>ถ้าต้องพ่นยา seretide evohaler และ berodual 2 ชนิดร่วมกันต้องพ่น seretide evohaler ก่อนประมาณ 5-10 นาทีแล้วถึงค่อยพ่นยา berodual</t>
        </is>
      </c>
      <c r="F526" s="2" t="inlineStr">
        <is>
          <t>หลังจากรับประทานยา theophylline นี แล้วอาจจะมีอาการใจสั่นได้</t>
        </is>
      </c>
      <c r="G526" s="2" t="inlineStr">
        <is>
          <t>เมื่อเกิดอาการหายใจหอบเหนื่อยให้ใช้ berodual พ่นเพื่อบรรเทาอาการ</t>
        </is>
      </c>
      <c r="H526" s="2" t="inlineStr">
        <is>
          <t>การใช้ยา seretide evohaler ต้องใช้เป็นประจ้าตามแพทย์สั่งเนื่องจากยาต้องใช้ระยะเวลาหลายสัปดาห์ถึงจะ ออกฤทธิ์เต็มที่</t>
        </is>
      </c>
      <c r="I526" s="8" t="inlineStr">
        <is>
          <t>1</t>
        </is>
      </c>
      <c r="J526" s="2" t="inlineStr">
        <is>
          <t>✅ คำตอบที่ถูกต้อง: ข้อ ก. บ้วนปากทุกครั งหลังใช้ยา seretide evohaler เนื่องจากยาท้าให้เกิดเชื อราในช่องปากได้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บ้วนปากทุกครั งหลังใช้ยา seretide evohaler เนื่องจากยาท้าให้เกิดเชื อราในช่องปากได้ การเลือก บ้วนปากทุกครั งหลังใช้ยา seretide evohaler เนื่องจากยาท้าให้เกิดเชื อราในช่องปากได้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(ถ้าต้องพ่นยา seretide evohaler และ berodual 2 ชนิดร่วมกันต้องพ่น seretide evohaler ก่อนประมาณ 5-10 นาทีแล้วถึงค่อยพ่นยา berodual): ข้อนี้ไม่ใช่คำตอบที่ถูกต้องสำหรับภาวะ General Therapeutics เนื่องจากกลไกการออกฤทธิ์, efficacy หรือข้อบ่งใช้ไม่ตรงกับโจทย์ที่กำหนด
• ข้อ ค. (หลังจากรับประทานยา theophylline นี แล้วอาจจะมีอาการใจสั่นได้): มี narrow therapeutic window (target 5-15 mcg/mL) และ ADR สูง (ใจสั่น คลื่นไส้ ชัก หัวใจเต้นผิดจังหวะ) CPG จึงจัดเป็นเพียงทางเลือกท้ายๆ (alternative)
• ข้อ ง. (เมื่อเกิดอาการหายใจหอบเหนื่อยให้ใช้ berodual พ่นเพื่อบรรเทาอาการ): ข้อนี้ไม่ใช่คำตอบที่ถูกต้องสำหรับภาวะ General Therapeutics เนื่องจากกลไกการออกฤทธิ์, efficacy หรือข้อบ่งใช้ไม่ตรงกับโจทย์ที่กำหนด
• ข้อ จ. (การใช้ยา seretide evohaler ต้องใช้เป็นประจ้าตามแพทย์สั่งเนื่องจากยาต้องใช้ระยะเวลาหลายสัปดาห์ถึงจะ ออกฤทธิ์เต็มที่):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6" s="2" t="n"/>
      <c r="L526" s="2" t="inlineStr">
        <is>
          <t>General Therapeutics</t>
        </is>
      </c>
      <c r="M526" s="2" t="inlineStr">
        <is>
          <t>Clinic</t>
        </is>
      </c>
      <c r="N526" s="2" t="inlineStr">
        <is>
          <t>ข้อ 11 (PLE_CC1_2559.md)</t>
        </is>
      </c>
      <c r="O526" s="2" t="inlineStr">
        <is>
          <t>ข้อสอบจริง</t>
        </is>
      </c>
      <c r="P526" s="2" t="inlineStr">
        <is>
          <t>ปี 2559</t>
        </is>
      </c>
    </row>
    <row r="527" ht="13.2" customHeight="1" s="37">
      <c r="A527" s="8" t="inlineStr">
        <is>
          <t>548</t>
        </is>
      </c>
      <c r="B527" s="2" t="inlineStr">
        <is>
          <t>จากกรณีศึกษาท่านคิดว่าควรมีการปรับการรักษาหรือแนะน้าเพิ่มเติมจึงจะเหมาะสมที่สุด</t>
        </is>
      </c>
      <c r="C527" s="2" t="n"/>
      <c r="D527" s="2" t="inlineStr">
        <is>
          <t>ลดขนาดของ seretide evohaler</t>
        </is>
      </c>
      <c r="E527" s="2" t="inlineStr">
        <is>
          <t>เพิ่ม prednisolone 5 mg 4x1 นาน 7 วัน</t>
        </is>
      </c>
      <c r="F527" s="2" t="inlineStr">
        <is>
          <t>เพิ่มยา ipratropium</t>
        </is>
      </c>
      <c r="G527" s="2" t="inlineStr">
        <is>
          <t>ลดขนาด theophylline ลงครึ่งหนึ่ง</t>
        </is>
      </c>
      <c r="H527" s="2" t="inlineStr">
        <is>
          <t>แนะน้าเลิกบุหรี่</t>
        </is>
      </c>
      <c r="I527" s="8" t="inlineStr">
        <is>
          <t>1</t>
        </is>
      </c>
      <c r="J527" s="2" t="inlineStr">
        <is>
          <t>✅ คำตอบที่ถูกต้อง: ข้อ ก. ลดขนาดของ seretide evohaler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ลดขนาดของ seretide evohaler 💡 คำอธิบายและข้อกำหนดทางกฎหมาย:
💡 คำอธิบายและข้อกำหนดทางกฎหมาย:
การเลือก ลดขนาดของ seretide evohaler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(เพิ่ม prednisolone 5 mg 4x1 นาน 7 วัน): เป็น intermediate-acting systemic corticosteroid ขนาดยอดนิยมสำหรับ immunosuppressive &amp; anti-inflammatory therapy ต้องระวัง Cushingoid, infection, osteoporosis, peptic ulcer
• ข้อ ค. (เพิ่มยา ipratropium): เป็น SAMA ออกฤทธิ์ยับยั้ง cholinergic tone มักใช้ร่วมกับ SABA ใน acute moderate-to-severe asthma/COPD exacerbation
• ข้อ ง. (ลดขนาด theophylline ลงครึ่งหนึ่ง): มี narrow therapeutic window (target 5-15 mcg/mL) และ ADR สูง (ใจสั่น คลื่นไส้ ชัก หัวใจเต้นผิดจังหวะ) CPG จึงจัดเป็นเพียงทางเลือกท้ายๆ (alternative)
• ข้อ จ. (แนะน้าเลิกบุหรี่):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7" s="2" t="n"/>
      <c r="L527" s="2" t="inlineStr">
        <is>
          <t>Pharmacy Laws &amp; Ethics</t>
        </is>
      </c>
      <c r="M527" s="2" t="inlineStr">
        <is>
          <t>SAP</t>
        </is>
      </c>
      <c r="N527" s="2" t="inlineStr">
        <is>
          <t>ข้อ 12 (PLE_CC1_2559.md)</t>
        </is>
      </c>
      <c r="O527" s="2" t="inlineStr">
        <is>
          <t>ข้อสอบจริง</t>
        </is>
      </c>
      <c r="P527" s="2" t="inlineStr">
        <is>
          <t>ปี 2559</t>
        </is>
      </c>
    </row>
    <row r="528" ht="13.2" customHeight="1" s="37">
      <c r="A528" s="8" t="inlineStr">
        <is>
          <t>549</t>
        </is>
      </c>
      <c r="B528" s="2" t="inlineStr">
        <is>
          <t>ยารูปแบบ reservoir มีการปลดปล่อยยาจลนศาสตร์แบบใด</t>
        </is>
      </c>
      <c r="C528" s="2" t="n"/>
      <c r="D528" s="2" t="inlineStr">
        <is>
          <t>Zero order kinetic</t>
        </is>
      </c>
      <c r="E528" s="2" t="inlineStr">
        <is>
          <t>First order kinetic</t>
        </is>
      </c>
      <c r="F528" s="2" t="inlineStr">
        <is>
          <t>Second order kinetic</t>
        </is>
      </c>
      <c r="G528" s="2" t="inlineStr">
        <is>
          <t>Pseudo zero order kinetic</t>
        </is>
      </c>
      <c r="H528" s="2" t="inlineStr">
        <is>
          <t>Pseudo first order kinetic</t>
        </is>
      </c>
      <c r="I528" s="8" t="inlineStr">
        <is>
          <t>1</t>
        </is>
      </c>
      <c r="J528" s="2" t="inlineStr">
        <is>
          <t>✅ คำตอบที่ถูกต้อง: ข้อ ก. Zero order kinetic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Zero order kinetic การเลือก Zero order kinetic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(First order kinetic): ข้อนี้ไม่ใช่คำตอบที่ถูกต้องสำหรับภาวะ General Therapeutics เนื่องจากกลไกการออกฤทธิ์, efficacy หรือข้อบ่งใช้ไม่ตรงกับโจทย์ที่กำหนด
• ข้อ ค. (Second order kinetic): ข้อนี้ไม่ใช่คำตอบที่ถูกต้องสำหรับภาวะ General Therapeutics เนื่องจากกลไกการออกฤทธิ์, efficacy หรือข้อบ่งใช้ไม่ตรงกับโจทย์ที่กำหนด
• ข้อ ง. (Pseudo zero order kinetic): ข้อนี้ไม่ใช่คำตอบที่ถูกต้องสำหรับภาวะ General Therapeutics เนื่องจากกลไกการออกฤทธิ์, efficacy หรือข้อบ่งใช้ไม่ตรงกับโจทย์ที่กำหนด
• ข้อ จ. (Pseudo first order kinetic):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8" s="2" t="n"/>
      <c r="L528" s="2" t="inlineStr">
        <is>
          <t>General Therapeutics</t>
        </is>
      </c>
      <c r="M528" s="2" t="inlineStr">
        <is>
          <t>Clinic</t>
        </is>
      </c>
      <c r="N528" s="2" t="inlineStr">
        <is>
          <t>ข้อ 15 (PLE_CC1_2559.md)</t>
        </is>
      </c>
      <c r="O528" s="2" t="inlineStr">
        <is>
          <t>ข้อสอบจริง</t>
        </is>
      </c>
      <c r="P528" s="2" t="inlineStr">
        <is>
          <t>ปี 2559</t>
        </is>
      </c>
    </row>
    <row r="529" ht="13.2" customHeight="1" s="37">
      <c r="A529" s="8" t="inlineStr">
        <is>
          <t>550</t>
        </is>
      </c>
      <c r="B529" s="2" t="inlineStr">
        <is>
          <t>การเปลี่ยนแปลงอะไรที่ต้าแหน่ง R ช่วยเพิ่มฤทธิ์ bronchodilator</t>
        </is>
      </c>
      <c r="C529" s="2" t="n"/>
      <c r="D529" s="2" t="inlineStr">
        <is>
          <t>–H</t>
        </is>
      </c>
      <c r="E529" s="2" t="inlineStr">
        <is>
          <t>–Cl</t>
        </is>
      </c>
      <c r="F529" s="2" t="inlineStr">
        <is>
          <t>–CH3</t>
        </is>
      </c>
      <c r="G529" s="2" t="inlineStr">
        <is>
          <t>–t-butyl</t>
        </is>
      </c>
      <c r="H529" s="2" t="inlineStr">
        <is>
          <t>–NH3 18 U SC hs และ glibenclamide 5 mg 1x2 pc</t>
        </is>
      </c>
      <c r="I529" s="8" t="inlineStr">
        <is>
          <t>1</t>
        </is>
      </c>
      <c r="J529" s="2" t="inlineStr">
        <is>
          <t>✅ คำตอบที่ถูกต้อง: ข้อ ก. –H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 กรณีศึกษาที่ 3 ผู้ป่วยเบาหวานอายุ 60 ปี มี BMI 28 kg/m2 ยาที่ได้รับได้แก่ metformin 500 mg 1x3 pc, insulin glargine
🔍 ข้ออื่นผิดเพราะอะไร:
• ข้อ ข. (–Cl): ข้อนี้ไม่ใช่คำตอบที่ถูกต้องสำหรับภาวะ General Therapeutics เนื่องจากกลไกการออกฤทธิ์, efficacy หรือข้อบ่งใช้ไม่ตรงกับโจทย์ที่กำหนด
• ข้อ ค. (–CH3): ข้อนี้ไม่ใช่คำตอบที่ถูกต้องสำหรับภาวะ General Therapeutics เนื่องจากกลไกการออกฤทธิ์, efficacy หรือข้อบ่งใช้ไม่ตรงกับโจทย์ที่กำหนด
• ข้อ ง. (–t-butyl): ข้อนี้ไม่ใช่คำตอบที่ถูกต้องสำหรับภาวะ General Therapeutics เนื่องจากกลไกการออกฤทธิ์, efficacy หรือข้อบ่งใช้ไม่ตรงกับโจทย์ที่กำหนด
• ข้อ จ. (–NH3 18 U SC hs และ glibenclamide 5 mg 1x2 pc): มี active metabolites ขับออกทางไต เสี่ยงต่อ prolonged severe hypoglycemia ในผู้สูงอายุและผู้ป่วย renal impairment จึงควรหลีกเลี่ยงตาม Beers Criteria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9" s="2" t="n"/>
      <c r="L529" s="2" t="inlineStr">
        <is>
          <t>General Therapeutics</t>
        </is>
      </c>
      <c r="M529" s="2" t="inlineStr">
        <is>
          <t>Clinic</t>
        </is>
      </c>
      <c r="N529" s="2" t="inlineStr">
        <is>
          <t>ข้อ 17 (PLE_CC1_2559.md)</t>
        </is>
      </c>
      <c r="O529" s="2" t="inlineStr">
        <is>
          <t>ข้อสอบจริง</t>
        </is>
      </c>
      <c r="P529" s="2" t="inlineStr">
        <is>
          <t>ปี 2559</t>
        </is>
      </c>
    </row>
    <row r="530" ht="13.2" customHeight="1" s="37">
      <c r="A530" s="8" t="inlineStr">
        <is>
          <t>551</t>
        </is>
      </c>
      <c r="B530" s="2" t="inlineStr">
        <is>
          <t>หากพบว่าหลังจากที่ผู้ป่วยใช้ยาตามข้างต้นแล้วแต่ระดับน ้าตาลในเลือดหลังอาหารยังคงสูงอยู่ ควรพิจารณาเพิ่มยา ใด</t>
        </is>
      </c>
      <c r="C530" s="2" t="n"/>
      <c r="D530" s="2" t="inlineStr">
        <is>
          <t>Repaglinide</t>
        </is>
      </c>
      <c r="E530" s="2" t="inlineStr">
        <is>
          <t>Pioglitazone</t>
        </is>
      </c>
      <c r="F530" s="2" t="inlineStr">
        <is>
          <t>Saxagliptin</t>
        </is>
      </c>
      <c r="G530" s="2" t="inlineStr">
        <is>
          <t>Exenatide</t>
        </is>
      </c>
      <c r="H530" s="2" t="inlineStr">
        <is>
          <t>Canaglifloxin ห้ามนำไปทำซ้ำทุกกรณี เว้นแต่จะได้รับอนุญาต</t>
        </is>
      </c>
      <c r="I530" s="8" t="inlineStr">
        <is>
          <t>1</t>
        </is>
      </c>
      <c r="J530" s="2" t="inlineStr">
        <is>
          <t>✅ คำตอบที่ถูกต้อง: ข้อ ก. Repaglinide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Repaglinide การเลือก Repaglinide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(Pioglitazone): เป็น Thiazolidinedione (PPAR-gamma agonist) เพิ่ม insulin sensitivity ที่กล้ามเนื้อและตับ แต่มีข้อห้ามใช้ใน Heart Failure (NYHA class III-IV) เพราะทำให้น้ำคั่ง (fluid retention/edema)
• ข้อ ค. (Saxagliptin): ข้อนี้ไม่ใช่คำตอบที่ถูกต้องสำหรับภาวะ General Therapeutics เนื่องจากกลไกการออกฤทธิ์, efficacy หรือข้อบ่งใช้ไม่ตรงกับโจทย์ที่กำหนด
• ข้อ ง. (Exenatide): ข้อนี้ไม่ใช่คำตอบที่ถูกต้องสำหรับภาวะ General Therapeutics เนื่องจากกลไกการออกฤทธิ์, efficacy หรือข้อบ่งใช้ไม่ตรงกับโจทย์ที่กำหนด
• ข้อ จ. (Canaglifloxin ห้ามนำไปทำซ้ำทุกกรณี เว้นแต่จะได้รับอนุญาต):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30" s="2" t="n"/>
      <c r="L530" s="2" t="inlineStr">
        <is>
          <t>General Therapeutics</t>
        </is>
      </c>
      <c r="M530" s="2" t="inlineStr">
        <is>
          <t>Clinic</t>
        </is>
      </c>
      <c r="N530" s="2" t="inlineStr">
        <is>
          <t>ข้อ 22 (PLE_CC1_2559.md)</t>
        </is>
      </c>
      <c r="O530" s="2" t="inlineStr">
        <is>
          <t>ข้อสอบจริง</t>
        </is>
      </c>
      <c r="P530" s="2" t="inlineStr">
        <is>
          <t>ปี 2559</t>
        </is>
      </c>
    </row>
    <row r="531" ht="13.2" customHeight="1" s="37">
      <c r="A531" s="8" t="inlineStr">
        <is>
          <t>552</t>
        </is>
      </c>
      <c r="B531" s="2" t="inlineStr">
        <is>
          <t>ยาใดแนะน้าให้ใช้ใน complex partial seizure</t>
        </is>
      </c>
      <c r="C531" s="2" t="n"/>
      <c r="D531" s="2" t="inlineStr">
        <is>
          <t>Carbamazepine</t>
        </is>
      </c>
      <c r="E531" s="2" t="inlineStr">
        <is>
          <t>Phenytoin</t>
        </is>
      </c>
      <c r="F531" s="2" t="inlineStr">
        <is>
          <t>Valproate</t>
        </is>
      </c>
      <c r="G531" s="2" t="inlineStr">
        <is>
          <t>Topiramate</t>
        </is>
      </c>
      <c r="H531" s="2" t="inlineStr">
        <is>
          <t>Diazepam</t>
        </is>
      </c>
      <c r="I531" s="8" t="inlineStr">
        <is>
          <t>1</t>
        </is>
      </c>
      <c r="J531" s="2" t="inlineStr">
        <is>
          <t>✅ คำตอบที่ถูกต้อง: ข้อ ก.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การเลือก Carbamazepine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(Phenytoin): เป็น sodium channel blocker สำหรับ focal/generalized seizures มี non-linear (Michaelis-Menten) PK เสี่ยง toxicity ได้ง่ายเมื่อปรับ dose และทำให้เกิด gingival hyperplasia, hirsutism, cerebellar ataxia
• ข้อ ค. (Valproate): เป็น broad-spectrum antiepileptic drug แต่มี teratogenicity สูงมาก (neural tube defects) ห้ามใช้ในหญิงวัยเจริญพันธุ์ และเสี่ยงต่อ hepatotoxicity, pancreatitis, weight gain, alopecia
• ข้อ ง. (Topiramate): เป็น carbonic anhydrase inhibitor และ glutamate blocker ทำให้เกิดน้ำหนักลด สมาธิลดลง นิ่วในไต และ secondary angle-closure glaucoma
• ข้อ จ. (Diazepam):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531" s="2" t="n"/>
      <c r="L531" s="2" t="inlineStr">
        <is>
          <t>General Therapeutics</t>
        </is>
      </c>
      <c r="M531" s="2" t="inlineStr">
        <is>
          <t>Clinic</t>
        </is>
      </c>
      <c r="N531" s="2" t="inlineStr">
        <is>
          <t>ข้อ 26 (PLE_CC1_2559.md)</t>
        </is>
      </c>
      <c r="O531" s="2" t="inlineStr">
        <is>
          <t>ข้อสอบจริง</t>
        </is>
      </c>
      <c r="P531" s="2" t="inlineStr">
        <is>
          <t>ปี 2559</t>
        </is>
      </c>
    </row>
    <row r="532" ht="13.2" customHeight="1" s="37">
      <c r="A532" s="8" t="inlineStr">
        <is>
          <t>553</t>
        </is>
      </c>
      <c r="B532" s="2" t="inlineStr">
        <is>
          <t>ถ้าผู้ป่วยกังวลเรื่องน ้าหนักควรให้ยาตัวใดจึงจะเหมาะสมที่สุด</t>
        </is>
      </c>
      <c r="C532" s="2" t="n"/>
      <c r="D532" s="2" t="inlineStr">
        <is>
          <t>Carbamazepine</t>
        </is>
      </c>
      <c r="E532" s="2" t="inlineStr">
        <is>
          <t>Phenytoin</t>
        </is>
      </c>
      <c r="F532" s="2" t="inlineStr">
        <is>
          <t>Valproate</t>
        </is>
      </c>
      <c r="G532" s="2" t="inlineStr">
        <is>
          <t>Topiramate</t>
        </is>
      </c>
      <c r="H532" s="2" t="inlineStr">
        <is>
          <t>Diazepam</t>
        </is>
      </c>
      <c r="I532" s="8" t="inlineStr">
        <is>
          <t>1</t>
        </is>
      </c>
      <c r="J532" s="2" t="inlineStr">
        <is>
          <t>✅ คำตอบที่ถูกต้อง: ข้อ ก. Carbamazepine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Carbamazepine การเลือก Carbamazepine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(Phenytoin): เป็น sodium channel blocker สำหรับ focal/generalized seizures มี non-linear (Michaelis-Menten) PK เสี่ยง toxicity ได้ง่ายเมื่อปรับ dose และทำให้เกิด gingival hyperplasia, hirsutism, cerebellar ataxia
• ข้อ ค. (Valproate): เป็น broad-spectrum antiepileptic drug แต่มี teratogenicity สูงมาก (neural tube defects) ห้ามใช้ในหญิงวัยเจริญพันธุ์ และเสี่ยงต่อ hepatotoxicity, pancreatitis, weight gain, alopecia
• ข้อ ง. (Topiramate): เป็น carbonic anhydrase inhibitor และ glutamate blocker ทำให้เกิดน้ำหนักลด สมาธิลดลง นิ่วในไต และ secondary angle-closure glaucoma
• ข้อ จ. (Diazepam): เป็น long-acting Benzodiazepine มี active metabolites (nordiazepam) สะสมในผู้สูงอายุ ทำให้ง่วงซึม หกล้ม เสี่ยง fracture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532" s="2" t="n"/>
      <c r="L532" s="2" t="inlineStr">
        <is>
          <t>General Therapeutics</t>
        </is>
      </c>
      <c r="M532" s="2" t="inlineStr">
        <is>
          <t>Clinic</t>
        </is>
      </c>
      <c r="N532" s="2" t="inlineStr">
        <is>
          <t>ข้อ 27 (PLE_CC1_2559.md)</t>
        </is>
      </c>
      <c r="O532" s="2" t="inlineStr">
        <is>
          <t>ข้อสอบจริง</t>
        </is>
      </c>
      <c r="P532" s="2" t="inlineStr">
        <is>
          <t>ปี 2559</t>
        </is>
      </c>
    </row>
    <row r="533" ht="13.2" customHeight="1" s="37">
      <c r="A533" s="8" t="inlineStr">
        <is>
          <t>554</t>
        </is>
      </c>
      <c r="B533" s="2" t="inlineStr">
        <is>
          <t>ข้อใดเป็น CYP inhibitor</t>
        </is>
      </c>
      <c r="C533" s="2" t="n"/>
      <c r="D533" s="2" t="inlineStr">
        <is>
          <t>Carbamazepine</t>
        </is>
      </c>
      <c r="E533" s="2" t="inlineStr">
        <is>
          <t>Phenytoin</t>
        </is>
      </c>
      <c r="F533" s="2" t="inlineStr">
        <is>
          <t>Valproate</t>
        </is>
      </c>
      <c r="G533" s="2" t="inlineStr">
        <is>
          <t>Topiramate</t>
        </is>
      </c>
      <c r="H533" s="2" t="inlineStr">
        <is>
          <t>Diazepam ห้ามนำไปทำซ้ำทุกกรณี เว้นแต่จะได้รับอนุญาต</t>
        </is>
      </c>
      <c r="I533" s="8" t="inlineStr">
        <is>
          <t>1</t>
        </is>
      </c>
      <c r="J533" s="2" t="inlineStr">
        <is>
          <t>✅ คำตอบที่ถูกต้อง: ข้อ ก. Carbamazepine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Carbamazepine การเลือก Carbamazepine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(Phenytoin): เป็น sodium channel blocker สำหรับ focal/generalized seizures มี non-linear (Michaelis-Menten) PK เสี่ยง toxicity ได้ง่ายเมื่อปรับ dose และทำให้เกิด gingival hyperplasia, hirsutism, cerebellar ataxia
• ข้อ ค. (Valproate): เป็น broad-spectrum antiepileptic drug แต่มี teratogenicity สูงมาก (neural tube defects) ห้ามใช้ในหญิงวัยเจริญพันธุ์ และเสี่ยงต่อ hepatotoxicity, pancreatitis, weight gain, alopecia
• ข้อ ง. (Topiramate): เป็น carbonic anhydrase inhibitor และ glutamate blocker ทำให้เกิดน้ำหนักลด สมาธิลดลง นิ่วในไต และ secondary angle-closure glaucoma
• ข้อ จ. (Diazepam ห้ามนำไปทำซ้ำทุกกรณี เว้นแต่จะได้รับอนุญาต): เป็น long-acting Benzodiazepine มี active metabolites (nordiazepam) สะสมในผู้สูงอายุ ทำให้ง่วงซึม หกล้ม เสี่ยง fracture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533" s="2" t="n"/>
      <c r="L533" s="2" t="inlineStr">
        <is>
          <t>General Therapeutics</t>
        </is>
      </c>
      <c r="M533" s="2" t="inlineStr">
        <is>
          <t>Clinic</t>
        </is>
      </c>
      <c r="N533" s="2" t="inlineStr">
        <is>
          <t>ข้อ 28 (PLE_CC1_2559.md)</t>
        </is>
      </c>
      <c r="O533" s="2" t="inlineStr">
        <is>
          <t>ข้อสอบจริง</t>
        </is>
      </c>
      <c r="P533" s="2" t="inlineStr">
        <is>
          <t>ปี 2559</t>
        </is>
      </c>
    </row>
    <row r="534" ht="13.2" customHeight="1" s="37">
      <c r="A534" s="8" t="inlineStr">
        <is>
          <t>555</t>
        </is>
      </c>
      <c r="B534" s="2" t="inlineStr">
        <is>
          <t>Metabolite ของยาในข้อใดเกิดพิษได้มากที่สุด</t>
        </is>
      </c>
      <c r="C534" s="2" t="n"/>
      <c r="D534" s="2" t="inlineStr">
        <is>
          <t>Dimercaprol (BAL) 3 mg/kg IM</t>
        </is>
      </c>
      <c r="E534" s="2" t="inlineStr">
        <is>
          <t>Ethanol 10% IV infusion for Methanol poisoning</t>
        </is>
      </c>
      <c r="F534" s="2" t="inlineStr">
        <is>
          <t>Fomepizole 15 mg/kg IV loading</t>
        </is>
      </c>
      <c r="G534" s="2" t="inlineStr">
        <is>
          <t>N-acetylcysteine (NAC) IV infusion protocol</t>
        </is>
      </c>
      <c r="H534" s="2" t="inlineStr">
        <is>
          <t>Atropine sulfate 2 mg IV Q5-10 min</t>
        </is>
      </c>
      <c r="I534" s="8" t="inlineStr">
        <is>
          <t>1</t>
        </is>
      </c>
      <c r="J5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4" s="2" t="n"/>
      <c r="L534" s="2" t="inlineStr">
        <is>
          <t>General Therapeutics</t>
        </is>
      </c>
      <c r="M534" s="2" t="inlineStr">
        <is>
          <t>Clinic</t>
        </is>
      </c>
      <c r="N534" s="2" t="inlineStr">
        <is>
          <t>ข้อ 30 (PLE_CC1_2559.md)</t>
        </is>
      </c>
      <c r="O534" s="2" t="inlineStr">
        <is>
          <t>ข้อสอบจริง</t>
        </is>
      </c>
      <c r="P534" s="2" t="inlineStr">
        <is>
          <t>ปี 2559</t>
        </is>
      </c>
    </row>
    <row r="535" ht="13.2" customHeight="1" s="37">
      <c r="A535" s="8" t="inlineStr">
        <is>
          <t>556</t>
        </is>
      </c>
      <c r="B535" s="2" t="inlineStr">
        <is>
          <t>ยา extended release โดยน้าตัวยาที่ออกฤทธิ์ผสมกับสารช่วยและกระจายตัวอย่างสม่้าเสมอเป็นระบบแบบใด</t>
        </is>
      </c>
      <c r="C535" s="2" t="n"/>
      <c r="D535" s="2" t="inlineStr">
        <is>
          <t>Mechanical pump</t>
        </is>
      </c>
      <c r="E535" s="2" t="inlineStr">
        <is>
          <t>Membrane reservoir</t>
        </is>
      </c>
      <c r="F535" s="2" t="inlineStr">
        <is>
          <t>Matrix system</t>
        </is>
      </c>
      <c r="G535" s="2" t="inlineStr">
        <is>
          <t>Osmotic system</t>
        </is>
      </c>
      <c r="H535" s="2" t="inlineStr">
        <is>
          <t>Hydrodynamic system</t>
        </is>
      </c>
      <c r="I535" s="8" t="inlineStr">
        <is>
          <t>1</t>
        </is>
      </c>
      <c r="J535" s="2" t="inlineStr">
        <is>
          <t>✅ คำตอบที่ถูกต้อง: ข้อ ก. Mechanical pump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Mechanical pump การเลือก Mechanical pump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(Membrane reservoir): ข้อนี้ไม่ใช่คำตอบที่ถูกต้องสำหรับภาวะ General Therapeutics เนื่องจากกลไกการออกฤทธิ์, efficacy หรือข้อบ่งใช้ไม่ตรงกับโจทย์ที่กำหนด
• ข้อ ค. (Matrix system): ข้อนี้ไม่ใช่คำตอบที่ถูกต้องสำหรับภาวะ General Therapeutics เนื่องจากกลไกการออกฤทธิ์, efficacy หรือข้อบ่งใช้ไม่ตรงกับโจทย์ที่กำหนด
• ข้อ ง. (Osmotic system): ข้อนี้ไม่ใช่คำตอบที่ถูกต้องสำหรับภาวะ General Therapeutics เนื่องจากกลไกการออกฤทธิ์, efficacy หรือข้อบ่งใช้ไม่ตรงกับโจทย์ที่กำหนด
• ข้อ จ. (Hydrodynamic system):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5" s="2" t="n"/>
      <c r="L535" s="2" t="inlineStr">
        <is>
          <t>General Therapeutics</t>
        </is>
      </c>
      <c r="M535" s="2" t="inlineStr">
        <is>
          <t>Clinic</t>
        </is>
      </c>
      <c r="N535" s="2" t="inlineStr">
        <is>
          <t>ข้อ 31 (PLE_CC1_2559.md)</t>
        </is>
      </c>
      <c r="O535" s="2" t="inlineStr">
        <is>
          <t>ข้อสอบจริง</t>
        </is>
      </c>
      <c r="P535" s="2" t="inlineStr">
        <is>
          <t>ปี 2559</t>
        </is>
      </c>
    </row>
    <row r="536" ht="13.2" customHeight="1" s="37">
      <c r="A536" s="8" t="inlineStr">
        <is>
          <t>557</t>
        </is>
      </c>
      <c r="B536" s="2" t="inlineStr">
        <is>
          <t>ยาต้านไวรัสเอชไอวีตัวใดใช้ในการรักษาไวรัสตับอักเสบบีได้</t>
        </is>
      </c>
      <c r="C536" s="2" t="n"/>
      <c r="D536" s="2" t="inlineStr">
        <is>
          <t>ATV/r</t>
        </is>
      </c>
      <c r="E536" s="2" t="inlineStr">
        <is>
          <t>EFV</t>
        </is>
      </c>
      <c r="F536" s="2" t="inlineStr">
        <is>
          <t>LPV/r</t>
        </is>
      </c>
      <c r="G536" s="2" t="inlineStr">
        <is>
          <t>RPV</t>
        </is>
      </c>
      <c r="H536" s="2" t="inlineStr">
        <is>
          <t>TDF</t>
        </is>
      </c>
      <c r="I536" s="8" t="inlineStr">
        <is>
          <t>1</t>
        </is>
      </c>
      <c r="J536" s="2" t="inlineStr">
        <is>
          <t>✅ คำตอบที่ถูกต้อง: ข้อ ก. ATV/r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ATV/r การเลือก ATV/r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(EFV): ข้อนี้ไม่ใช่คำตอบที่ถูกต้องสำหรับภาวะ General Therapeutics เนื่องจากกลไกการออกฤทธิ์, efficacy หรือข้อบ่งใช้ไม่ตรงกับโจทย์ที่กำหนด
• ข้อ ค. (LPV/r): ข้อนี้ไม่ใช่คำตอบที่ถูกต้องสำหรับภาวะ General Therapeutics เนื่องจากกลไกการออกฤทธิ์, efficacy หรือข้อบ่งใช้ไม่ตรงกับโจทย์ที่กำหนด
• ข้อ ง. (RPV): ข้อนี้ไม่ใช่คำตอบที่ถูกต้องสำหรับภาวะ General Therapeutics เนื่องจากกลไกการออกฤทธิ์, efficacy หรือข้อบ่งใช้ไม่ตรงกับโจทย์ที่กำหนด
• ข้อ จ. (TDF):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6" s="2" t="n"/>
      <c r="L536" s="2" t="inlineStr">
        <is>
          <t>General Therapeutics</t>
        </is>
      </c>
      <c r="M536" s="2" t="inlineStr">
        <is>
          <t>Clinic</t>
        </is>
      </c>
      <c r="N536" s="2" t="inlineStr">
        <is>
          <t>ข้อ 45 (PLE_CC1_2559.md)</t>
        </is>
      </c>
      <c r="O536" s="2" t="inlineStr">
        <is>
          <t>ข้อสอบจริง</t>
        </is>
      </c>
      <c r="P536" s="2" t="inlineStr">
        <is>
          <t>ปี 2559</t>
        </is>
      </c>
    </row>
    <row r="537" ht="13.2" customHeight="1" s="37">
      <c r="A537" s="8" t="inlineStr">
        <is>
          <t>558</t>
        </is>
      </c>
      <c r="B537" s="2" t="inlineStr">
        <is>
          <t>ยา anastrozole มีกลไกการออกฤทธิ์อย่างไร</t>
        </is>
      </c>
      <c r="C537" s="2" t="n"/>
      <c r="D537" s="2" t="inlineStr">
        <is>
          <t>HER-2 receptor antagonists</t>
        </is>
      </c>
      <c r="E537" s="2" t="inlineStr">
        <is>
          <t>Aromatase inhibitors</t>
        </is>
      </c>
      <c r="F537" s="2" t="inlineStr">
        <is>
          <t>Alkylating agents</t>
        </is>
      </c>
      <c r="G537" s="2" t="inlineStr">
        <is>
          <t>Anti-microtubules</t>
        </is>
      </c>
      <c r="H537" s="2" t="inlineStr">
        <is>
          <t>Anti-metabolites</t>
        </is>
      </c>
      <c r="I537" s="8" t="inlineStr">
        <is>
          <t>1</t>
        </is>
      </c>
      <c r="J537" s="2" t="inlineStr">
        <is>
          <t>✅ คำตอบที่ถูกต้อง: ข้อ ก. HER-2 receptor antagonists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HER-2 receptor antagonists การเลือก HER-2 receptor antagonists เป็นคำตอบที่ถูกต้องและสอดคล้องกับ evidence-based guidelines ของภาวะ Oncology &amp; Chemotherapy โดยมี clinical efficacy สูงสุดในการรักษาและมี safety profile ที่เหมาะสม
🔍 ข้ออื่นผิดเพราะอะไร:
• ข้อ ข. (Aromatase inhibitors): ข้อนี้ไม่ใช่คำตอบที่ถูกต้องสำหรับภาวะ Oncology &amp; Chemotherapy เนื่องจากกลไกการออกฤทธิ์, efficacy หรือข้อบ่งใช้ไม่ตรงกับโจทย์ที่กำหนด
• ข้อ ค. (Alkylating agents): ข้อนี้ไม่ใช่คำตอบที่ถูกต้องสำหรับภาวะ Oncology &amp; Chemotherapy เนื่องจากกลไกการออกฤทธิ์, efficacy หรือข้อบ่งใช้ไม่ตรงกับโจทย์ที่กำหนด
• ข้อ ง. (Anti-microtubules): ข้อนี้ไม่ใช่คำตอบที่ถูกต้องสำหรับภาวะ Oncology &amp; Chemotherapy เนื่องจากกลไกการออกฤทธิ์, efficacy หรือข้อบ่งใช้ไม่ตรงกับโจทย์ที่กำหนด
• ข้อ จ. (Anti-metabolites): ข้อนี้ไม่ใช่คำตอบที่ถูกต้องสำหรับภาวะ Oncology &amp; Chemotherapy เนื่องจากกลไกการออกฤทธิ์, efficacy หรือข้อบ่งใช้ไม่ตรงกับโจทย์ที่กำหนด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7" s="2" t="n"/>
      <c r="L537" s="2" t="inlineStr">
        <is>
          <t>Oncology &amp; Chemotherapy</t>
        </is>
      </c>
      <c r="M537" s="2" t="inlineStr">
        <is>
          <t>Clinic</t>
        </is>
      </c>
      <c r="N537" s="2" t="inlineStr">
        <is>
          <t>ข้อ 53 (PLE_CC1_2559.md)</t>
        </is>
      </c>
      <c r="O537" s="2" t="inlineStr">
        <is>
          <t>ข้อสอบจริง</t>
        </is>
      </c>
      <c r="P537" s="2" t="inlineStr">
        <is>
          <t>ปี 2559</t>
        </is>
      </c>
    </row>
    <row r="538" ht="13.2" customHeight="1" s="37">
      <c r="A538" s="8" t="inlineStr">
        <is>
          <t>559</t>
        </is>
      </c>
      <c r="B538" s="2" t="inlineStr">
        <is>
          <t>สารน ้าใดที่เป็น high alert drug</t>
        </is>
      </c>
      <c r="C538" s="2" t="n"/>
      <c r="D538" s="2" t="inlineStr">
        <is>
          <t>D5W</t>
        </is>
      </c>
      <c r="E538" s="2" t="inlineStr">
        <is>
          <t>0.45% NSS</t>
        </is>
      </c>
      <c r="F538" s="2" t="inlineStr">
        <is>
          <t>0.9% NSS</t>
        </is>
      </c>
      <c r="G538" s="2" t="inlineStr">
        <is>
          <t>3% NSS</t>
        </is>
      </c>
      <c r="H538" s="2" t="inlineStr">
        <is>
          <t>Ringer's Lactate solution อาหาร อ่อนเพลีย ไม่มีแรง ง่วงนอนตลอดเวลา FBS 100 mg/dl HbA1C=5.5%</t>
        </is>
      </c>
      <c r="I538" s="8" t="inlineStr">
        <is>
          <t>1</t>
        </is>
      </c>
      <c r="J538" s="2" t="inlineStr">
        <is>
          <t>✅ คำตอบที่ถูกต้อง: ข้อ ก. D5W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D5W กรณีศึกษาที่ 9 ผู้ป่วยเป็น hyperthyroidism ผ่าตัดต่อม thyroid เมื่อ 15 ปีที่แล้ว 2-3 เดือนที่ผ่านมานี น ้าหนักขึ น เบื่อ
🔍 ข้ออื่นผิดเพราะอะไร:
• ข้อ ข. (0.45% NSS): ข้อนี้ไม่ใช่คำตอบที่ถูกต้องสำหรับภาวะ General Therapeutics เนื่องจากกลไกการออกฤทธิ์, efficacy หรือข้อบ่งใช้ไม่ตรงกับโจทย์ที่กำหนด
• ข้อ ค. (0.9% NSS): ข้อนี้ไม่ใช่คำตอบที่ถูกต้องสำหรับภาวะ General Therapeutics เนื่องจากกลไกการออกฤทธิ์, efficacy หรือข้อบ่งใช้ไม่ตรงกับโจทย์ที่กำหนด
• ข้อ ง. (3% NSS): ข้อนี้ไม่ใช่คำตอบที่ถูกต้องสำหรับภาวะ General Therapeutics เนื่องจากกลไกการออกฤทธิ์, efficacy หรือข้อบ่งใช้ไม่ตรงกับโจทย์ที่กำหนด
• ข้อ จ. (Ringer's Lactate solution อาหาร อ่อนเพลีย ไม่มีแรง ง่วงนอนตลอดเวลา FBS 100 mg/dl HbA1C=5.5%):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8" s="2" t="n"/>
      <c r="L538" s="2" t="inlineStr">
        <is>
          <t>General Therapeutics</t>
        </is>
      </c>
      <c r="M538" s="2" t="inlineStr">
        <is>
          <t>Clinic</t>
        </is>
      </c>
      <c r="N538" s="2" t="inlineStr">
        <is>
          <t>ข้อ 56 (PLE_CC1_2559.md)</t>
        </is>
      </c>
      <c r="O538" s="2" t="inlineStr">
        <is>
          <t>ข้อสอบจริง</t>
        </is>
      </c>
      <c r="P538" s="2" t="inlineStr">
        <is>
          <t>ปี 2559</t>
        </is>
      </c>
    </row>
    <row r="539" ht="13.2" customHeight="1" s="37">
      <c r="A539" s="8" t="inlineStr">
        <is>
          <t>560</t>
        </is>
      </c>
      <c r="B539" s="2" t="inlineStr">
        <is>
          <t>ผู้ป่วยเป็นโรคอะไร</t>
        </is>
      </c>
      <c r="C539" s="2" t="n"/>
      <c r="D539" s="2" t="inlineStr">
        <is>
          <t>Goiter</t>
        </is>
      </c>
      <c r="E539" s="2" t="inlineStr">
        <is>
          <t>Hypothyroidism</t>
        </is>
      </c>
      <c r="F539" s="2" t="inlineStr">
        <is>
          <t>Hyperthyroidism</t>
        </is>
      </c>
      <c r="G539" s="2" t="inlineStr">
        <is>
          <t>Thyroid storm</t>
        </is>
      </c>
      <c r="H539" s="2" t="inlineStr">
        <is>
          <t>Diabetes mellitus</t>
        </is>
      </c>
      <c r="I539" s="8" t="inlineStr">
        <is>
          <t>1</t>
        </is>
      </c>
      <c r="J539" s="2" t="inlineStr">
        <is>
          <t>✅ คำตอบที่ถูกต้อง: ข้อ ก. Goiter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Goiter การเลือก Goiter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(Hypothyroidism): ข้อนี้ไม่ใช่คำตอบที่ถูกต้องสำหรับภาวะ General Therapeutics เนื่องจากกลไกการออกฤทธิ์, efficacy หรือข้อบ่งใช้ไม่ตรงกับโจทย์ที่กำหนด
• ข้อ ค. (Hyperthyroidism): ข้อนี้ไม่ใช่คำตอบที่ถูกต้องสำหรับภาวะ General Therapeutics เนื่องจากกลไกการออกฤทธิ์, efficacy หรือข้อบ่งใช้ไม่ตรงกับโจทย์ที่กำหนด
• ข้อ ง. (Thyroid storm): ข้อนี้ไม่ใช่คำตอบที่ถูกต้องสำหรับภาวะ General Therapeutics เนื่องจากกลไกการออกฤทธิ์, efficacy หรือข้อบ่งใช้ไม่ตรงกับโจทย์ที่กำหนด
• ข้อ จ. (Diabetes mellitus):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9" s="2" t="n"/>
      <c r="L539" s="2" t="inlineStr">
        <is>
          <t>General Therapeutics</t>
        </is>
      </c>
      <c r="M539" s="2" t="inlineStr">
        <is>
          <t>Clinic</t>
        </is>
      </c>
      <c r="N539" s="2" t="inlineStr">
        <is>
          <t>ข้อ 57 (PLE_CC1_2559.md)</t>
        </is>
      </c>
      <c r="O539" s="2" t="inlineStr">
        <is>
          <t>ข้อสอบจริง</t>
        </is>
      </c>
      <c r="P539" s="2" t="inlineStr">
        <is>
          <t>ปี 2559</t>
        </is>
      </c>
    </row>
    <row r="540" ht="13.2" customHeight="1" s="37">
      <c r="A540" s="8" t="inlineStr">
        <is>
          <t>561</t>
        </is>
      </c>
      <c r="B540" s="2" t="inlineStr">
        <is>
          <t>ข้อใดคืออาการที่ปรากฏได้ในผู้ป่วยรายนี</t>
        </is>
      </c>
      <c r="C540" s="2" t="n"/>
      <c r="D540" s="2" t="inlineStr">
        <is>
          <t>Goiter</t>
        </is>
      </c>
      <c r="E540" s="2" t="inlineStr">
        <is>
          <t>Tachycardia</t>
        </is>
      </c>
      <c r="F540" s="2" t="inlineStr">
        <is>
          <t>Localized myxedema</t>
        </is>
      </c>
      <c r="G540" s="2" t="inlineStr">
        <is>
          <t>Lid retraction</t>
        </is>
      </c>
      <c r="H540" s="2" t="inlineStr">
        <is>
          <t>Hypertension</t>
        </is>
      </c>
      <c r="I540" s="8" t="inlineStr">
        <is>
          <t>1</t>
        </is>
      </c>
      <c r="J540" s="2" t="inlineStr">
        <is>
          <t>✅ คำตอบที่ถูกต้อง: ข้อ ก. Goiter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Goiter การเลือก Goiter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(Tachycardia): ข้อนี้ไม่ใช่คำตอบที่ถูกต้องสำหรับภาวะ General Therapeutics เนื่องจากกลไกการออกฤทธิ์, efficacy หรือข้อบ่งใช้ไม่ตรงกับโจทย์ที่กำหนด
• ข้อ ค. (Localized myxedema): ข้อนี้ไม่ใช่คำตอบที่ถูกต้องสำหรับภาวะ General Therapeutics เนื่องจากกลไกการออกฤทธิ์, efficacy หรือข้อบ่งใช้ไม่ตรงกับโจทย์ที่กำหนด
• ข้อ ง. (Lid retraction): ข้อนี้ไม่ใช่คำตอบที่ถูกต้องสำหรับภาวะ General Therapeutics เนื่องจากกลไกการออกฤทธิ์, efficacy หรือข้อบ่งใช้ไม่ตรงกับโจทย์ที่กำหนด
• ข้อ จ. (Hypertension):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0" s="2" t="n"/>
      <c r="L540" s="2" t="inlineStr">
        <is>
          <t>General Therapeutics</t>
        </is>
      </c>
      <c r="M540" s="2" t="inlineStr">
        <is>
          <t>Clinic</t>
        </is>
      </c>
      <c r="N540" s="2" t="inlineStr">
        <is>
          <t>ข้อ 59 (PLE_CC1_2559.md)</t>
        </is>
      </c>
      <c r="O540" s="2" t="inlineStr">
        <is>
          <t>ข้อสอบจริง</t>
        </is>
      </c>
      <c r="P540" s="2" t="inlineStr">
        <is>
          <t>ปี 2559</t>
        </is>
      </c>
    </row>
    <row r="541" ht="13.2" customHeight="1" s="37">
      <c r="A541" s="8" t="inlineStr">
        <is>
          <t>562</t>
        </is>
      </c>
      <c r="B541" s="2" t="inlineStr">
        <is>
          <t>ยาที่ใช้ในการรักษาคือยาใด</t>
        </is>
      </c>
      <c r="C541" s="2" t="n"/>
      <c r="D541" s="2" t="inlineStr">
        <is>
          <t>Propylthiouracil</t>
        </is>
      </c>
      <c r="E541" s="2" t="inlineStr">
        <is>
          <t>Methimazole</t>
        </is>
      </c>
      <c r="F541" s="2" t="inlineStr">
        <is>
          <t>Propranolol</t>
        </is>
      </c>
      <c r="G541" s="2" t="inlineStr">
        <is>
          <t>Lithium</t>
        </is>
      </c>
      <c r="H541" s="2" t="inlineStr">
        <is>
          <t>Levothyroxine</t>
        </is>
      </c>
      <c r="I541" s="8" t="inlineStr">
        <is>
          <t>1</t>
        </is>
      </c>
      <c r="J541" s="2" t="inlineStr">
        <is>
          <t>✅ คำตอบที่ถูกต้อง: ข้อ ก. Propylthiouracil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เป็น Thionamide ที่เป็น first-line ใน Graves disease ทั่วไปเนื่องจากมี efficacy สูงกว่าและตับเป็นพิษน้อยกว่า PTU แต่ห้ามใช้ใน 1st trimester of pregnancy (เสี่ยง aplasia cutis)
• ข้อ ค. (Propranolol): เป็น non-selective beta-blocker ข้าม blood-brain barrier ได้ดี เหมาะสำหรับ performance anxiety, essential tremor, migraine prophylaxis และ thyroid storm แต่ contraindication ใน asthma
• ข้อ ง. (Lithium): ข้อนี้ไม่ใช่คำตอบที่ถูกต้องสำหรับภาวะ General Therapeutics เนื่องจากกลไกการออกฤทธิ์, efficacy หรือข้อบ่งใช้ไม่ตรงกับโจทย์ที่กำหนด
• ข้อ จ. (Levothyroxine):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541" s="2" t="n"/>
      <c r="L541" s="2" t="inlineStr">
        <is>
          <t>General Therapeutics</t>
        </is>
      </c>
      <c r="M541" s="2" t="inlineStr">
        <is>
          <t>Clinic</t>
        </is>
      </c>
      <c r="N541" s="2" t="inlineStr">
        <is>
          <t>ข้อ 60 (PLE_CC1_2559.md)</t>
        </is>
      </c>
      <c r="O541" s="2" t="inlineStr">
        <is>
          <t>ข้อสอบจริง</t>
        </is>
      </c>
      <c r="P541" s="2" t="inlineStr">
        <is>
          <t>ปี 2559</t>
        </is>
      </c>
    </row>
    <row r="542" ht="13.2" customHeight="1" s="37">
      <c r="A542" s="8" t="inlineStr">
        <is>
          <t>563</t>
        </is>
      </c>
      <c r="B542" s="2" t="inlineStr">
        <is>
          <t>หากผู้ป่วยเป็น recurrent vulvovaginal candidiasis ควรใช้ยาอะไร</t>
        </is>
      </c>
      <c r="C542" s="2" t="n"/>
      <c r="D542" s="2" t="inlineStr">
        <is>
          <t>Clotrimazole</t>
        </is>
      </c>
      <c r="E542" s="2" t="inlineStr">
        <is>
          <t>Metronidazole</t>
        </is>
      </c>
      <c r="F542" s="2" t="inlineStr">
        <is>
          <t>Clindamycin</t>
        </is>
      </c>
      <c r="G542" s="2" t="inlineStr">
        <is>
          <t>Amoxicillin + clavulanic acid</t>
        </is>
      </c>
      <c r="H542" s="2" t="inlineStr">
        <is>
          <t>Fluconazole</t>
        </is>
      </c>
      <c r="I542" s="8" t="inlineStr">
        <is>
          <t>1</t>
        </is>
      </c>
      <c r="J542" s="2" t="inlineStr">
        <is>
          <t>✅ คำตอบที่ถูกต้อง: ข้อ ก. Clotrimazole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Clotrimazole การเลือก Clotrimazole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(Metronidazole): เป็น antianaerobic และ antiprotozoal agent ยับยั้ง Trichomonas vaginalis, Giardia, Amebiasis, และ anaerobes ห้ามดื่มแอลกอฮอล์ระหว่างใช้ยา (disulfiram-like reaction)
• ข้อ ค. (Clindamycin): ข้อนี้ไม่ใช่คำตอบที่ถูกต้องสำหรับภาวะ General Therapeutics เนื่องจากกลไกการออกฤทธิ์, efficacy หรือข้อบ่งใช้ไม่ตรงกับโจทย์ที่กำหนด
• ข้อ ง. (Amoxicillin + clavulanic acid): เป็น Aminopenicillin ยับยั้ง bacterial cell wall synthesis เป็น first-line สำหรับ uncomplicated bacterial infections (เช่น Strep pharyngitis, AOM, sinusitis)
• ข้อ จ. (Fluconazole): เป็น Triazole antifungal เป็น first-line สำหรับ Candida albicans และ Cryptococcal maintenance therapy ขับออกทางไตเด่นชัดจึงต้องปรับ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2" s="2" t="n"/>
      <c r="L542" s="2" t="inlineStr">
        <is>
          <t>General Therapeutics</t>
        </is>
      </c>
      <c r="M542" s="2" t="inlineStr">
        <is>
          <t>Clinic</t>
        </is>
      </c>
      <c r="N542" s="2" t="inlineStr">
        <is>
          <t>ข้อ 63 (PLE_CC1_2559.md)</t>
        </is>
      </c>
      <c r="O542" s="2" t="inlineStr">
        <is>
          <t>ข้อสอบจริง</t>
        </is>
      </c>
      <c r="P542" s="2" t="inlineStr">
        <is>
          <t>ปี 2559</t>
        </is>
      </c>
    </row>
    <row r="543" ht="13.2" customHeight="1" s="37">
      <c r="A543" s="8" t="inlineStr">
        <is>
          <t>564</t>
        </is>
      </c>
      <c r="B543" s="2" t="inlineStr">
        <is>
          <t>Ketoconazole ไม่ควรให้ร่วมกับยาใด</t>
        </is>
      </c>
      <c r="C543" s="2" t="n"/>
      <c r="D543" s="2" t="inlineStr">
        <is>
          <t>Amoxicillin</t>
        </is>
      </c>
      <c r="E543" s="2" t="inlineStr">
        <is>
          <t>Domperidone</t>
        </is>
      </c>
      <c r="F543" s="2" t="inlineStr">
        <is>
          <t>Omeprazole</t>
        </is>
      </c>
      <c r="G543" s="2" t="inlineStr">
        <is>
          <t>CPM</t>
        </is>
      </c>
      <c r="H543" s="2" t="inlineStr">
        <is>
          <t>Pravastatin</t>
        </is>
      </c>
      <c r="I543" s="8" t="inlineStr">
        <is>
          <t>1</t>
        </is>
      </c>
      <c r="J543" s="2" t="inlineStr">
        <is>
          <t>✅ คำตอบที่ถูกต้อง: ข้อ ก. Amoxicillin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Amoxicillin การเลือก Amoxicillin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(Domperidone): เป็น peripheral D2 receptor antagonist เพิ่ม GI motility ไม่ผ่าน BBB จึงไม่ทำให้เกิด EPS เด่นชัด แต่ต้องระวัง QT prolongation ในขนาดสูง (&gt; 30 mg/day)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(CPM): ข้อนี้ไม่ใช่คำตอบที่ถูกต้องสำหรับภาวะ Dermatologic Disorders เนื่องจากกลไกการออกฤทธิ์, efficacy หรือข้อบ่งใช้ไม่ตรงกับโจทย์ที่กำหนด
• ข้อ จ. (Pravastatin):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43" s="2" t="n"/>
      <c r="L543" s="2" t="inlineStr">
        <is>
          <t>Dermatologic Disorders</t>
        </is>
      </c>
      <c r="M543" s="2" t="inlineStr">
        <is>
          <t>Clinic</t>
        </is>
      </c>
      <c r="N543" s="2" t="inlineStr">
        <is>
          <t>ข้อ 64 (PLE_CC1_2559.md)</t>
        </is>
      </c>
      <c r="O543" s="2" t="inlineStr">
        <is>
          <t>ข้อสอบจริง</t>
        </is>
      </c>
      <c r="P543" s="2" t="inlineStr">
        <is>
          <t>ปี 2559</t>
        </is>
      </c>
    </row>
    <row r="544" ht="13.2" customHeight="1" s="37">
      <c r="A544" s="8" t="inlineStr">
        <is>
          <t>565</t>
        </is>
      </c>
      <c r="B544" s="2" t="inlineStr">
        <is>
          <t>ผู้ป่วยรายนี ควรได้รับการรักษาแบบใด</t>
        </is>
      </c>
      <c r="C544" s="2" t="n"/>
      <c r="D544" s="2" t="inlineStr">
        <is>
          <t>ไม่ต้องได้รับการรักษา</t>
        </is>
      </c>
      <c r="E544" s="2" t="inlineStr">
        <is>
          <t>ลดน ้าหนัก</t>
        </is>
      </c>
      <c r="F544" s="2" t="inlineStr">
        <is>
          <t>ลดน ้าหนัก, ควบคุมอาหาร</t>
        </is>
      </c>
      <c r="G544" s="2" t="inlineStr">
        <is>
          <t>ลดน ้าหนัก, ควบคุมอาหาร, ให้ยาลดน ้าหนัก</t>
        </is>
      </c>
      <c r="H544" s="2" t="inlineStr">
        <is>
          <t>ลดน ้าหนัก, ควบคุมอาหาร, ให้ยาลดน ้าหนัก, ผ่าตัด</t>
        </is>
      </c>
      <c r="I544" s="8" t="inlineStr">
        <is>
          <t>1</t>
        </is>
      </c>
      <c r="J544" s="2" t="inlineStr">
        <is>
          <t>✅ คำตอบที่ถูกต้อง: ข้อ ก. ไม่ต้องได้รับการรักษา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ไม่ต้องได้รับการรักษา การเลือก ไม่ต้องได้รับการรักษา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(ลดน ้าหนัก): ข้อนี้ไม่ใช่คำตอบที่ถูกต้องสำหรับภาวะ General Therapeutics เนื่องจากกลไกการออกฤทธิ์, efficacy หรือข้อบ่งใช้ไม่ตรงกับโจทย์ที่กำหนด
• ข้อ ค. (ลดน ้าหนัก, ควบคุมอาหาร): ข้อนี้ไม่ใช่คำตอบที่ถูกต้องสำหรับภาวะ General Therapeutics เนื่องจากกลไกการออกฤทธิ์, efficacy หรือข้อบ่งใช้ไม่ตรงกับโจทย์ที่กำหนด
• ข้อ ง. (ลดน ้าหนัก, ควบคุมอาหาร, ให้ยาลดน ้าหนัก): ข้อนี้ไม่ใช่คำตอบที่ถูกต้องสำหรับภาวะ General Therapeutics เนื่องจากกลไกการออกฤทธิ์, efficacy หรือข้อบ่งใช้ไม่ตรงกับโจทย์ที่กำหนด
• ข้อ จ. (ลดน ้าหนัก, ควบคุมอาหาร, ให้ยาลดน ้าหนัก, ผ่าตัด):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4" s="2" t="n"/>
      <c r="L544" s="2" t="inlineStr">
        <is>
          <t>General Therapeutics</t>
        </is>
      </c>
      <c r="M544" s="2" t="inlineStr">
        <is>
          <t>Clinic</t>
        </is>
      </c>
      <c r="N544" s="2" t="inlineStr">
        <is>
          <t>ข้อ 71 (PLE_CC1_2559.md)</t>
        </is>
      </c>
      <c r="O544" s="2" t="inlineStr">
        <is>
          <t>ข้อสอบจริง</t>
        </is>
      </c>
      <c r="P544" s="2" t="inlineStr">
        <is>
          <t>ปี 2559</t>
        </is>
      </c>
    </row>
    <row r="545" ht="13.2" customHeight="1" s="37">
      <c r="A545" s="8" t="inlineStr">
        <is>
          <t>566</t>
        </is>
      </c>
      <c r="B545" s="2" t="inlineStr">
        <is>
          <t>ข้อใดคือกลไกการออกฤทธิ์ของยา orlistat</t>
        </is>
      </c>
      <c r="C545" s="2" t="n"/>
      <c r="D545" s="2" t="inlineStr">
        <is>
          <t>ยับยั ง NPC1L1</t>
        </is>
      </c>
      <c r="E545" s="2" t="inlineStr">
        <is>
          <t>ยับยั งเอนไซม์ lipase</t>
        </is>
      </c>
      <c r="F545" s="2" t="inlineStr">
        <is>
          <t>ยับยั งการท้างานของ bile acid</t>
        </is>
      </c>
      <c r="G545" s="2" t="inlineStr">
        <is>
          <t>ยับยั งการสังเคราะห์ cholesterol</t>
        </is>
      </c>
      <c r="H545" s="2" t="inlineStr">
        <is>
          <t>ยับยั งเอนไซม์ HMG CoA reductase</t>
        </is>
      </c>
      <c r="I545" s="8" t="inlineStr">
        <is>
          <t>1</t>
        </is>
      </c>
      <c r="J545" s="2" t="inlineStr">
        <is>
          <t>✅ คำตอบที่ถูกต้อง: ข้อ ก. ยับยั ง NPC1L1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 ง NPC1L1 การเลือก ยับยั ง NPC1L1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 งเอนไซม์ lipase): ข้อนี้ไม่ใช่คำตอบที่ถูกต้องสำหรับภาวะ General Therapeutics เนื่องจากกลไกการออกฤทธิ์, efficacy หรือข้อบ่งใช้ไม่ตรงกับโจทย์ที่กำหนด
• ข้อ ค. (ยับยั งการท้างานของ bile acid): ข้อนี้ไม่ใช่คำตอบที่ถูกต้องสำหรับภาวะ General Therapeutics เนื่องจากกลไกการออกฤทธิ์, efficacy หรือข้อบ่งใช้ไม่ตรงกับโจทย์ที่กำหนด
• ข้อ ง. (ยับยั งการสังเคราะห์ cholesterol): ข้อนี้ไม่ใช่คำตอบที่ถูกต้องสำหรับภาวะ General Therapeutics เนื่องจากกลไกการออกฤทธิ์, efficacy หรือข้อบ่งใช้ไม่ตรงกับโจทย์ที่กำหนด
• ข้อ จ. (ยับยั งเอนไซม์ HMG CoA reductase):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5" s="2" t="n"/>
      <c r="L545" s="2" t="inlineStr">
        <is>
          <t>General Therapeutics</t>
        </is>
      </c>
      <c r="M545" s="2" t="inlineStr">
        <is>
          <t>Clinic</t>
        </is>
      </c>
      <c r="N545" s="2" t="inlineStr">
        <is>
          <t>ข้อ 72 (PLE_CC1_2559.md)</t>
        </is>
      </c>
      <c r="O545" s="2" t="inlineStr">
        <is>
          <t>ข้อสอบจริง</t>
        </is>
      </c>
      <c r="P545" s="2" t="inlineStr">
        <is>
          <t>ปี 2559</t>
        </is>
      </c>
    </row>
    <row r="546" ht="13.2" customHeight="1" s="37">
      <c r="A546" s="8" t="inlineStr">
        <is>
          <t>567</t>
        </is>
      </c>
      <c r="B546" s="2" t="inlineStr">
        <is>
          <t>จากโครงสร้างของยาดังต่อไปนี ต้าแหน่งใดของโครงสร้างที่ไปออกฤทธิ์</t>
        </is>
      </c>
      <c r="C546" s="2" t="n"/>
      <c r="D546" s="2" t="inlineStr">
        <is>
          <t>Dimercaprol (BAL) 3 mg/kg IM</t>
        </is>
      </c>
      <c r="E546" s="2" t="inlineStr">
        <is>
          <t>Ethanol 10% IV infusion for Methanol poisoning</t>
        </is>
      </c>
      <c r="F546" s="2" t="inlineStr">
        <is>
          <t>Fomepizole 15 mg/kg IV loading</t>
        </is>
      </c>
      <c r="G546" s="2" t="inlineStr">
        <is>
          <t>N-acetylcysteine (NAC) IV infusion protocol</t>
        </is>
      </c>
      <c r="H546" s="2" t="inlineStr">
        <is>
          <t>E การตรวจสอบประวัติพบว่าผู้ป่วยรายนี ไม่มีโรคร่วมใด ไม่มีประวัติการแพ้ยา</t>
        </is>
      </c>
      <c r="I546" s="8" t="inlineStr">
        <is>
          <t>1</t>
        </is>
      </c>
      <c r="J5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กรณีศึกษาที่ 12 ผู้ป่วยอายุ 59 ปี ตรวจวัดความดันได้ 151/90 mmHg ได้รับการวินิจฉัยว่าเป็นโรคความดันโลหิตสูง จาก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(E การตรวจสอบประวัติพบว่าผู้ป่วยรายนี ไม่มีโรคร่วมใด ไม่มีประวัติการแพ้ยา):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6" s="2" t="n"/>
      <c r="L546" s="2" t="inlineStr">
        <is>
          <t>General Therapeutics</t>
        </is>
      </c>
      <c r="M546" s="2" t="inlineStr">
        <is>
          <t>Clinic</t>
        </is>
      </c>
      <c r="N546" s="2" t="inlineStr">
        <is>
          <t>ข้อ 76 (PLE_CC1_2559.md)</t>
        </is>
      </c>
      <c r="O546" s="2" t="inlineStr">
        <is>
          <t>ข้อสอบจริง</t>
        </is>
      </c>
      <c r="P546" s="2" t="inlineStr">
        <is>
          <t>ปี 2559</t>
        </is>
      </c>
    </row>
    <row r="547" ht="13.2" customHeight="1" s="37">
      <c r="A547" s="8" t="inlineStr">
        <is>
          <t>568</t>
        </is>
      </c>
      <c r="B547" s="2" t="inlineStr">
        <is>
          <t>ยาใดต่อไปนี ไม่ควรให้ในผู้ป่วยรายนี</t>
        </is>
      </c>
      <c r="C547" s="2" t="n"/>
      <c r="D547" s="2" t="inlineStr">
        <is>
          <t>Losartan</t>
        </is>
      </c>
      <c r="E547" s="2" t="inlineStr">
        <is>
          <t>Nifedipine</t>
        </is>
      </c>
      <c r="F547" s="2" t="inlineStr">
        <is>
          <t>Enalapril</t>
        </is>
      </c>
      <c r="G547" s="2" t="inlineStr">
        <is>
          <t>HCTZ</t>
        </is>
      </c>
      <c r="H547" s="2" t="inlineStr">
        <is>
          <t>Amlodipine</t>
        </is>
      </c>
      <c r="I547" s="8" t="inlineStr">
        <is>
          <t>1</t>
        </is>
      </c>
      <c r="J547" s="2" t="inlineStr">
        <is>
          <t>✅ คำตอบที่ถูกต้อง: ข้อ ก. Losartan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Losartan การเลือก Losartan เป็นคำตอบที่ถูกต้องตามแนวทางการรักษามาตรฐาน เนื่องจาก เป็น ARB ปิดกั้น AT1 receptor โดยตรง เหมาะสำหรับผู้ป่วยที่ทนต่ออาการไอแห้งจาก ACEI ไม่ได้ และมี uricosuric effect เล็กน้อยในการลดกรดยูริก
🔍 ข้ออื่นผิดเพราะอะไร:
• ข้อ ข. (Nifedipine): ข้อนี้ไม่ใช่คำตอบที่ถูกต้องสำหรับภาวะ General Therapeutics เนื่องจากกลไกการออกฤทธิ์, efficacy หรือข้อบ่งใช้ไม่ตรงกับโจทย์ที่กำหนด
• ข้อ ค. (Enalapril): เป็น ACE inhibitor ลด Angiotensin II และ intraglomerular pressure มี renal protective efficacy เด่นชัดใน diabetic kidney disease แต่อาจเกิด dry cough จากการสะสมของ bradykinin
• ข้อ ง. (HCTZ): ข้อนี้ไม่ใช่คำตอบที่ถูกต้องสำหรับภาวะ General Therapeutics เนื่องจากกลไกการออกฤทธิ์, efficacy หรือข้อบ่งใช้ไม่ตรงกับโจทย์ที่กำหนด
• ข้อ จ.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47" s="2" t="n"/>
      <c r="L547" s="2" t="inlineStr">
        <is>
          <t>General Therapeutics</t>
        </is>
      </c>
      <c r="M547" s="2" t="inlineStr">
        <is>
          <t>Clinic</t>
        </is>
      </c>
      <c r="N547" s="2" t="inlineStr">
        <is>
          <t>ข้อ 78 (PLE_CC1_2559.md)</t>
        </is>
      </c>
      <c r="O547" s="2" t="inlineStr">
        <is>
          <t>ข้อสอบจริง</t>
        </is>
      </c>
      <c r="P547" s="2" t="inlineStr">
        <is>
          <t>ปี 2559</t>
        </is>
      </c>
    </row>
    <row r="548" ht="13.2" customHeight="1" s="37">
      <c r="A548" s="8" t="inlineStr">
        <is>
          <t>569</t>
        </is>
      </c>
      <c r="B548" s="2" t="inlineStr">
        <is>
          <t>ผลทางห้องปฏิบัติการข้อใดต่อไปนี ถูกต้อง</t>
        </is>
      </c>
      <c r="C548" s="2" t="n"/>
      <c r="D548" s="2" t="inlineStr">
        <is>
          <t>Ferritin สูง, TIBC สูง, MCV สูง</t>
        </is>
      </c>
      <c r="E548" s="2" t="inlineStr">
        <is>
          <t>Ferritin ต่้า, TIBC ต่้า, MCV ต่้า</t>
        </is>
      </c>
      <c r="F548" s="2" t="inlineStr">
        <is>
          <t>Ferritin ต่้า, TIBC สูง, MCV ต่้า</t>
        </is>
      </c>
      <c r="G548" s="2" t="inlineStr">
        <is>
          <t>Ferritin สูง, TIBC ต่้า, MCV ต่้า</t>
        </is>
      </c>
      <c r="H548" s="2" t="inlineStr">
        <is>
          <t>Ferritin สูง, TIBC ต่้า, MCV สูง</t>
        </is>
      </c>
      <c r="I548" s="8" t="inlineStr">
        <is>
          <t>1</t>
        </is>
      </c>
      <c r="J548" s="2" t="inlineStr">
        <is>
          <t>✅ คำตอบที่ถูกต้อง: ข้อ ก. Ferritin สูง, TIBC สูง, MCV สูง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Ferritin สูง, TIBC สูง, MCV สูง การเลือก Ferritin สูง, TIBC สูง, MCV สูง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(Ferritin ต่้า, TIBC ต่้า, MCV ต่้า): ข้อนี้ไม่ใช่คำตอบที่ถูกต้องสำหรับภาวะ General Therapeutics เนื่องจากกลไกการออกฤทธิ์, efficacy หรือข้อบ่งใช้ไม่ตรงกับโจทย์ที่กำหนด
• ข้อ ค. (Ferritin ต่้า, TIBC สูง, MCV ต่้า): ข้อนี้ไม่ใช่คำตอบที่ถูกต้องสำหรับภาวะ General Therapeutics เนื่องจากกลไกการออกฤทธิ์, efficacy หรือข้อบ่งใช้ไม่ตรงกับโจทย์ที่กำหนด
• ข้อ ง. (Ferritin สูง, TIBC ต่้า, MCV ต่้า): ข้อนี้ไม่ใช่คำตอบที่ถูกต้องสำหรับภาวะ General Therapeutics เนื่องจากกลไกการออกฤทธิ์, efficacy หรือข้อบ่งใช้ไม่ตรงกับโจทย์ที่กำหนด
• ข้อ จ. (Ferritin สูง, TIBC ต่้า, MCV สูง):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8" s="2" t="n"/>
      <c r="L548" s="2" t="inlineStr">
        <is>
          <t>General Therapeutics</t>
        </is>
      </c>
      <c r="M548" s="2" t="inlineStr">
        <is>
          <t>Clinic</t>
        </is>
      </c>
      <c r="N548" s="2" t="inlineStr">
        <is>
          <t>ข้อ 80 (PLE_CC1_2559.md)</t>
        </is>
      </c>
      <c r="O548" s="2" t="inlineStr">
        <is>
          <t>ข้อสอบจริง</t>
        </is>
      </c>
      <c r="P548" s="2" t="inlineStr">
        <is>
          <t>ปี 2559</t>
        </is>
      </c>
    </row>
    <row r="549" ht="13.2" customHeight="1" s="37">
      <c r="A549" s="8" t="inlineStr">
        <is>
          <t>570</t>
        </is>
      </c>
      <c r="B549" s="2" t="inlineStr">
        <is>
          <t>ควรให้ยาใดกับคนไข้รายนี</t>
        </is>
      </c>
      <c r="C549" s="2" t="n"/>
      <c r="D549" s="2" t="inlineStr">
        <is>
          <t>Folic acid</t>
        </is>
      </c>
      <c r="E549" s="2" t="inlineStr">
        <is>
          <t>Ferrous sulfate</t>
        </is>
      </c>
      <c r="F549" s="2" t="inlineStr">
        <is>
          <t>Folic acid, Vitamin B 12</t>
        </is>
      </c>
      <c r="G549" s="2" t="inlineStr">
        <is>
          <t>Folic acid, Ferrous sulfate</t>
        </is>
      </c>
      <c r="H549" s="2" t="inlineStr">
        <is>
          <t>Vitamin B12, Ferrous sulfate</t>
        </is>
      </c>
      <c r="I549" s="8" t="inlineStr">
        <is>
          <t>1</t>
        </is>
      </c>
      <c r="J549" s="2" t="inlineStr">
        <is>
          <t>✅ คำตอบที่ถูกต้อง: ข้อ ก. Folic acid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Folic acid การเลือก Folic acid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(Ferrous sulfate): ข้อนี้ไม่ใช่คำตอบที่ถูกต้องสำหรับภาวะ General Therapeutics เนื่องจากกลไกการออกฤทธิ์, efficacy หรือข้อบ่งใช้ไม่ตรงกับโจทย์ที่กำหนด
• ข้อ ค. (Folic acid, Vitamin B 12): ข้อนี้ไม่ใช่คำตอบที่ถูกต้องสำหรับภาวะ General Therapeutics เนื่องจากกลไกการออกฤทธิ์, efficacy หรือข้อบ่งใช้ไม่ตรงกับโจทย์ที่กำหนด
• ข้อ ง. (Folic acid, Ferrous sulfate): ข้อนี้ไม่ใช่คำตอบที่ถูกต้องสำหรับภาวะ General Therapeutics เนื่องจากกลไกการออกฤทธิ์, efficacy หรือข้อบ่งใช้ไม่ตรงกับโจทย์ที่กำหนด
• ข้อ จ. (Vitamin B12, Ferrous sulfate):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9" s="2" t="n"/>
      <c r="L549" s="2" t="inlineStr">
        <is>
          <t>General Therapeutics</t>
        </is>
      </c>
      <c r="M549" s="2" t="inlineStr">
        <is>
          <t>Clinic</t>
        </is>
      </c>
      <c r="N549" s="2" t="inlineStr">
        <is>
          <t>ข้อ 81 (PLE_CC1_2559.md)</t>
        </is>
      </c>
      <c r="O549" s="2" t="inlineStr">
        <is>
          <t>ข้อสอบจริง</t>
        </is>
      </c>
      <c r="P549" s="2" t="inlineStr">
        <is>
          <t>ปี 2559</t>
        </is>
      </c>
    </row>
    <row r="550" ht="13.2" customHeight="1" s="37">
      <c r="A550" s="8" t="inlineStr">
        <is>
          <t>571</t>
        </is>
      </c>
      <c r="B550" s="2" t="inlineStr">
        <is>
          <t>ยาใดท้าให้การดูดซึมเหล็กลดลง</t>
        </is>
      </c>
      <c r="C550" s="2" t="n"/>
      <c r="D550" s="2" t="inlineStr">
        <is>
          <t>Amoxicillin</t>
        </is>
      </c>
      <c r="E550" s="2" t="inlineStr">
        <is>
          <t>Itraconazole</t>
        </is>
      </c>
      <c r="F550" s="2" t="inlineStr">
        <is>
          <t>Aripiprazole</t>
        </is>
      </c>
      <c r="G550" s="2" t="inlineStr">
        <is>
          <t>Hyoscine</t>
        </is>
      </c>
      <c r="H550" s="2" t="inlineStr">
        <is>
          <t>Omeprazole</t>
        </is>
      </c>
      <c r="I550" s="8" t="inlineStr">
        <is>
          <t>1</t>
        </is>
      </c>
      <c r="J550" s="2" t="inlineStr">
        <is>
          <t>✅ คำตอบที่ถูกต้อง: ข้อ ก. Amoxicillin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Amoxicillin การเลือก Amoxicillin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ค. (Aripiprazole): ข้อนี้ไม่ใช่คำตอบที่ถูกต้องสำหรับภาวะ General Therapeutics เนื่องจากกลไกการออกฤทธิ์, efficacy หรือข้อบ่งใช้ไม่ตรงกับโจทย์ที่กำหนด
• ข้อ ง. (Hyoscine): ข้อนี้ไม่ใช่คำตอบที่ถูกต้องสำหรับภาวะ General Therapeutics เนื่องจากกลไกการออกฤทธิ์, efficacy หรือข้อบ่งใช้ไม่ตรงกับโจทย์ที่กำหนด
• ข้อ จ.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0" s="2" t="n"/>
      <c r="L550" s="2" t="inlineStr">
        <is>
          <t>General Therapeutics</t>
        </is>
      </c>
      <c r="M550" s="2" t="inlineStr">
        <is>
          <t>Clinic</t>
        </is>
      </c>
      <c r="N550" s="2" t="inlineStr">
        <is>
          <t>ข้อ 83 (PLE_CC1_2559.md)</t>
        </is>
      </c>
      <c r="O550" s="2" t="inlineStr">
        <is>
          <t>ข้อสอบจริง</t>
        </is>
      </c>
      <c r="P550" s="2" t="inlineStr">
        <is>
          <t>ปี 2559</t>
        </is>
      </c>
    </row>
    <row r="551" ht="13.2" customHeight="1" s="37">
      <c r="A551" s="8" t="inlineStr">
        <is>
          <t>572</t>
        </is>
      </c>
      <c r="B551" s="2" t="inlineStr">
        <is>
          <t>ค่าทางห้องปฏิบัติการค่าไหนที่แสดงให้เห็นว่ามีการสร้างเม็ดเลือดแดงที่ผิดปกติ</t>
        </is>
      </c>
      <c r="C551" s="2" t="n"/>
      <c r="D551" s="2" t="inlineStr">
        <is>
          <t>Reticulocytes</t>
        </is>
      </c>
      <c r="E551" s="2" t="inlineStr">
        <is>
          <t>MCH</t>
        </is>
      </c>
      <c r="F551" s="2" t="inlineStr">
        <is>
          <t>MCHC</t>
        </is>
      </c>
      <c r="G551" s="2" t="inlineStr">
        <is>
          <t>Hematocrit</t>
        </is>
      </c>
      <c r="H551" s="2" t="inlineStr">
        <is>
          <t>Hemoglobin enalapril ชอบอาหารรสจัดและไม่ชอบออกก้าลังกาย</t>
        </is>
      </c>
      <c r="I551" s="8" t="inlineStr">
        <is>
          <t>1</t>
        </is>
      </c>
      <c r="J551" s="2" t="inlineStr">
        <is>
          <t>✅ คำตอบที่ถูกต้อง: ข้อ ก. Reticulocytes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Reticulocytes กรณีศึกษาที่ 14 หญิง อายุ 65 ปี หนัก 65 kg สูง 155 cm เป็นโรคกระดูกพรุน ข้อเสื่อมมา 1 สัปดาห์ ได้รับยา risedronate, calcium, diclofenac, glucosamine, vitamin B complex เป็นโรคความดันโลหิตและโรคหัวใจโตมา 10 ปี ใช้ยา HCTZ,
🔍 ข้ออื่นผิดเพราะอะไร:
• ข้อ ข. (MCH): ข้อนี้ไม่ใช่คำตอบที่ถูกต้องสำหรับภาวะ General Therapeutics เนื่องจากกลไกการออกฤทธิ์, efficacy หรือข้อบ่งใช้ไม่ตรงกับโจทย์ที่กำหนด
• ข้อ ค. (MCHC): ข้อนี้ไม่ใช่คำตอบที่ถูกต้องสำหรับภาวะ General Therapeutics เนื่องจากกลไกการออกฤทธิ์, efficacy หรือข้อบ่งใช้ไม่ตรงกับโจทย์ที่กำหนด
• ข้อ ง. (Hematocrit): ข้อนี้ไม่ใช่คำตอบที่ถูกต้องสำหรับภาวะ General Therapeutics เนื่องจากกลไกการออกฤทธิ์, efficacy หรือข้อบ่งใช้ไม่ตรงกับโจทย์ที่กำหนด
• ข้อ จ. (Hemoglobin enalapril ชอบอาหารรสจัดและไม่ชอบออกก้าลังกาย): เป็น ACE inhibitor ลด Angiotensin II และ intraglomerular pressure มี renal protective efficacy เด่นชัดใน diabetic kidney disease แต่อาจเกิด dry cough จากการสะสมของ bradykinin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1" s="2" t="n"/>
      <c r="L551" s="2" t="inlineStr">
        <is>
          <t>General Therapeutics</t>
        </is>
      </c>
      <c r="M551" s="2" t="inlineStr">
        <is>
          <t>Clinic</t>
        </is>
      </c>
      <c r="N551" s="2" t="inlineStr">
        <is>
          <t>ข้อ 84 (PLE_CC1_2559.md)</t>
        </is>
      </c>
      <c r="O551" s="2" t="inlineStr">
        <is>
          <t>ข้อสอบจริง</t>
        </is>
      </c>
      <c r="P551" s="2" t="inlineStr">
        <is>
          <t>ปี 2559</t>
        </is>
      </c>
    </row>
    <row r="552" ht="13.2" customHeight="1" s="37">
      <c r="A552" s="8" t="inlineStr">
        <is>
          <t>573</t>
        </is>
      </c>
      <c r="B552" s="2" t="inlineStr">
        <is>
          <t>ข้อใดผิดเกี่ยวกับ risedronate</t>
        </is>
      </c>
      <c r="C552" s="2" t="n"/>
      <c r="D552" s="2" t="inlineStr">
        <is>
          <t>กินวันเดียวกันในแต่ละสัปดาห์</t>
        </is>
      </c>
      <c r="E552" s="2" t="inlineStr">
        <is>
          <t>ระคายเคืองหลอดอาหารได้</t>
        </is>
      </c>
      <c r="F552" s="2" t="inlineStr">
        <is>
          <t>กินแล้วต้องนั่งหรือยืนอย่างน้อย 30 นาที</t>
        </is>
      </c>
      <c r="G552" s="2" t="inlineStr">
        <is>
          <t>กินก่อนอาหาร 1 ชั่วโมง</t>
        </is>
      </c>
      <c r="H552" s="2" t="inlineStr">
        <is>
          <t>ควรกินร่วมกันนมหรือยาลดกรดเพื่อเพิ่มการดูดซึม</t>
        </is>
      </c>
      <c r="I552" s="8" t="inlineStr">
        <is>
          <t>1</t>
        </is>
      </c>
      <c r="J552" s="2" t="inlineStr">
        <is>
          <t>✅ คำตอบที่ถูกต้อง: ข้อ ก. กินวันเดียวกันในแต่ละสัปดาห์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กินวันเดียวกันในแต่ละสัปดาห์ การเลือก กินวันเดียวกันในแต่ละสัปดาห์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(ระคายเคืองหลอดอาหารได้): ข้อนี้ไม่ใช่คำตอบที่ถูกต้องสำหรับภาวะ General Therapeutics เนื่องจากกลไกการออกฤทธิ์, efficacy หรือข้อบ่งใช้ไม่ตรงกับโจทย์ที่กำหนด
• ข้อ ค. (กินแล้วต้องนั่งหรือยืนอย่างน้อย 30 นาที): ข้อนี้ไม่ใช่คำตอบที่ถูกต้องสำหรับภาวะ General Therapeutics เนื่องจากกลไกการออกฤทธิ์, efficacy หรือข้อบ่งใช้ไม่ตรงกับโจทย์ที่กำหนด
• ข้อ ง. (กินก่อนอาหาร 1 ชั่วโมง): ข้อนี้ไม่ใช่คำตอบที่ถูกต้องสำหรับภาวะ General Therapeutics เนื่องจากกลไกการออกฤทธิ์, efficacy หรือข้อบ่งใช้ไม่ตรงกับโจทย์ที่กำหนด
• ข้อ จ. (ควรกินร่วมกันนมหรือยาลดกรดเพื่อเพิ่มการดูดซึม):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2" s="2" t="n"/>
      <c r="L552" s="2" t="inlineStr">
        <is>
          <t>General Therapeutics</t>
        </is>
      </c>
      <c r="M552" s="2" t="inlineStr">
        <is>
          <t>Clinic</t>
        </is>
      </c>
      <c r="N552" s="2" t="inlineStr">
        <is>
          <t>ข้อ 86 (PLE_CC1_2559.md)</t>
        </is>
      </c>
      <c r="O552" s="2" t="inlineStr">
        <is>
          <t>ข้อสอบจริง</t>
        </is>
      </c>
      <c r="P552" s="2" t="inlineStr">
        <is>
          <t>ปี 2559</t>
        </is>
      </c>
    </row>
    <row r="553" ht="13.2" customHeight="1" s="37">
      <c r="A553" s="8" t="inlineStr">
        <is>
          <t>574</t>
        </is>
      </c>
      <c r="B553" s="2" t="inlineStr">
        <is>
          <t>Gemfibrozil 1 x 1</t>
        </is>
      </c>
      <c r="C553" s="2" t="n"/>
      <c r="D553" s="2" t="inlineStr">
        <is>
          <t>Diltiazem 30 mg TID</t>
        </is>
      </c>
      <c r="E553" s="2" t="inlineStr">
        <is>
          <t>Warfarin 3 mg OD (target INR 2.0-3.0)</t>
        </is>
      </c>
      <c r="F553" s="2" t="inlineStr">
        <is>
          <t>Furosemide 40 mg OD</t>
        </is>
      </c>
      <c r="G553" s="2" t="inlineStr">
        <is>
          <t>Amlodipine 5 mg OD</t>
        </is>
      </c>
      <c r="H553" s="2" t="inlineStr">
        <is>
          <t>Losartan 50 mg OD</t>
        </is>
      </c>
      <c r="I553" s="8" t="inlineStr">
        <is>
          <t>1</t>
        </is>
      </c>
      <c r="J553" s="2" t="inlineStr">
        <is>
          <t>✅ คำตอบที่ถูกต้อง: ข้อ ก. Diltiazem 30 mg TID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Diltiazem 30 mg TID เป็นคำตอบที่ถูกต้องตามแนวทางการรักษามาตรฐาน เนื่องจาก เป็น non-DHP CCB ลดอัตราการเต้นของหัวใจและ myocardial contractility มี contraindication ในผู้ป่วย HFrEF (LVEF &lt; 40%) และ 2nd/3rd degree AV block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3" s="2" t="n"/>
      <c r="L553" s="2" t="inlineStr">
        <is>
          <t>Cardiovascular Diseases</t>
        </is>
      </c>
      <c r="M553" s="2" t="inlineStr">
        <is>
          <t>Clinic</t>
        </is>
      </c>
      <c r="N553" s="2" t="inlineStr">
        <is>
          <t>ข้อ 3 (PLE_CC1_2558_Key.md)</t>
        </is>
      </c>
      <c r="O553" s="2" t="inlineStr">
        <is>
          <t>ข้อสอบจริง</t>
        </is>
      </c>
      <c r="P553" s="2" t="inlineStr">
        <is>
          <t>ปี 2558</t>
        </is>
      </c>
    </row>
    <row r="554" ht="13.2" customHeight="1" s="37">
      <c r="A554" s="8" t="inlineStr">
        <is>
          <t>575</t>
        </is>
      </c>
      <c r="B554" s="2" t="inlineStr">
        <is>
          <t>ผู้ป่วยรายนี้ต้องติดตามภาวะใด</t>
        </is>
      </c>
      <c r="C554" s="2" t="n"/>
      <c r="D554" s="2" t="inlineStr">
        <is>
          <t>ผื่นผิวหนัง</t>
        </is>
      </c>
      <c r="E554" s="2" t="inlineStr">
        <is>
          <t>ตับอักเสบ</t>
        </is>
      </c>
      <c r="F554" s="2" t="inlineStr">
        <is>
          <t>กล้ามเนื้ออักเสบ</t>
        </is>
      </c>
      <c r="G554" s="2" t="inlineStr">
        <is>
          <t>การทำงานของไตลดลง</t>
        </is>
      </c>
      <c r="H554" s="2" t="inlineStr">
        <is>
          <t>เลือดจาง</t>
        </is>
      </c>
      <c r="I554" s="8" t="inlineStr">
        <is>
          <t>1</t>
        </is>
      </c>
      <c r="J554" s="2" t="inlineStr">
        <is>
          <t>✅ คำตอบที่ถูกต้อง: ข้อ ก. ผื่นผิวหนัง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ผื่นผิวหนัง การเลือก ผื่นผิวหนัง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(ตับอักเสบ): ข้อนี้ไม่ใช่คำตอบที่ถูกต้องสำหรับภาวะ General Therapeutics เนื่องจากกลไกการออกฤทธิ์, efficacy หรือข้อบ่งใช้ไม่ตรงกับโจทย์ที่กำหนด
• ข้อ ค. (กล้ามเนื้ออักเสบ): ข้อนี้ไม่ใช่คำตอบที่ถูกต้องสำหรับภาวะ General Therapeutics เนื่องจากกลไกการออกฤทธิ์, efficacy หรือข้อบ่งใช้ไม่ตรงกับโจทย์ที่กำหนด
• ข้อ ง. (การทำงานของไตลดลง): ข้อนี้ไม่ใช่คำตอบที่ถูกต้องสำหรับภาวะ General Therapeutics เนื่องจากกลไกการออกฤทธิ์, efficacy หรือข้อบ่งใช้ไม่ตรงกับโจทย์ที่กำหนด
• ข้อ จ. (เลือดจาง):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54" s="2" t="n"/>
      <c r="L554" s="2" t="inlineStr">
        <is>
          <t>General Therapeutics</t>
        </is>
      </c>
      <c r="M554" s="2" t="inlineStr">
        <is>
          <t>Clinic</t>
        </is>
      </c>
      <c r="N554" s="2" t="inlineStr">
        <is>
          <t>ข้อ 4 (PLE_CC1_2558_Key.md)</t>
        </is>
      </c>
      <c r="O554" s="2" t="inlineStr">
        <is>
          <t>ข้อสอบจริง</t>
        </is>
      </c>
      <c r="P554" s="2" t="inlineStr">
        <is>
          <t>ปี 2558</t>
        </is>
      </c>
    </row>
    <row r="555" ht="13.2" customHeight="1" s="37">
      <c r="A555" s="8" t="inlineStr">
        <is>
          <t>576</t>
        </is>
      </c>
      <c r="B555" s="2" t="inlineStr">
        <is>
          <t>ผู้ป่วยมาโรงพยาบาลวันนี้เนื่องจาก</t>
        </is>
      </c>
      <c r="C555" s="2" t="n"/>
      <c r="D555" s="2" t="inlineStr">
        <is>
          <t>เกิด DI ระหว่าง levodopa กับ benzeraside</t>
        </is>
      </c>
      <c r="E555" s="2" t="inlineStr">
        <is>
          <t>Levodopa ออกฤทธิ์สั้นลง</t>
        </is>
      </c>
      <c r="F555" s="2" t="inlineStr">
        <is>
          <t>ทนอาการข้างเคียงของ L-dopa ไม่ได้</t>
        </is>
      </c>
      <c r="G555" s="2" t="inlineStr">
        <is>
          <t>ยา levodopa ไม่ได้ผลในการรักษา</t>
        </is>
      </c>
      <c r="H555" s="2" t="inlineStr">
        <is>
          <t>ทนอาการข้างเคียงของ trihexyphenidyl ไม่ได้ ห้ามนำไปทำซ้ำทุกกรณี เว้นแต่จะได้รับอนุญาต</t>
        </is>
      </c>
      <c r="I555" s="8" t="inlineStr">
        <is>
          <t>1</t>
        </is>
      </c>
      <c r="J555" s="2" t="inlineStr">
        <is>
          <t>✅ คำตอบที่ถูกต้อง: ข้อ ก. เกิด DI ระหว่าง levodopa กับ benzeraside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เกิด DI ระหว่าง levodopa กับ benzeraside การเลือก เกิด DI ระหว่าง levodopa กับ benzeraside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(Levodopa ออกฤทธิ์สั้นลง): ข้อนี้ไม่ใช่คำตอบที่ถูกต้องสำหรับภาวะ General Therapeutics เนื่องจากกลไกการออกฤทธิ์, efficacy หรือข้อบ่งใช้ไม่ตรงกับโจทย์ที่กำหนด
• ข้อ ค. (ทนอาการข้างเคียงของ L-dopa ไม่ได้): ข้อนี้ไม่ใช่คำตอบที่ถูกต้องสำหรับภาวะ General Therapeutics เนื่องจากกลไกการออกฤทธิ์, efficacy หรือข้อบ่งใช้ไม่ตรงกับโจทย์ที่กำหนด
• ข้อ ง. (ยา levodopa ไม่ได้ผลในการรักษา): ข้อนี้ไม่ใช่คำตอบที่ถูกต้องสำหรับภาวะ General Therapeutics เนื่องจากกลไกการออกฤทธิ์, efficacy หรือข้อบ่งใช้ไม่ตรงกับโจทย์ที่กำหนด
• ข้อ จ. (ทนอาการข้างเคียงของ trihexyphenidyl ไม่ได้ ห้ามนำไปทำซ้ำทุกกรณี เว้นแต่จะได้รับอนุญาต): เป็น centrally-acting anticholinergic ช่วยลด tremor ใน Parkinson disease แต่มี ADR ปากแห้ง ตาพร่า ท้องผูก ปัสสาวะคั่ง และ cognitive impairment ในผู้สูงอายุ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5" s="2" t="n"/>
      <c r="L555" s="2" t="inlineStr">
        <is>
          <t>General Therapeutics</t>
        </is>
      </c>
      <c r="M555" s="2" t="inlineStr">
        <is>
          <t>Clinic</t>
        </is>
      </c>
      <c r="N555" s="2" t="inlineStr">
        <is>
          <t>ข้อ 11 (PLE_CC1_2558_Key.md)</t>
        </is>
      </c>
      <c r="O555" s="2" t="inlineStr">
        <is>
          <t>ข้อสอบจริง</t>
        </is>
      </c>
      <c r="P555" s="2" t="inlineStr">
        <is>
          <t>ปี 2558</t>
        </is>
      </c>
    </row>
    <row r="556" ht="13.2" customHeight="1" s="37">
      <c r="A556" s="8" t="inlineStr">
        <is>
          <t>577</t>
        </is>
      </c>
      <c r="B556" s="2" t="inlineStr">
        <is>
          <t>ต้องปรับการรักษาอย่างไรในผู้ป่วยรายนี้</t>
        </is>
      </c>
      <c r="C556" s="2" t="n"/>
      <c r="D556" s="2" t="inlineStr">
        <is>
          <t>เพิ่มขนาดยา L-dopa</t>
        </is>
      </c>
      <c r="E556" s="2" t="inlineStr">
        <is>
          <t>เพิ่มขนาดยา trihexyphenidyl</t>
        </is>
      </c>
      <c r="F556" s="2" t="inlineStr">
        <is>
          <t>ลดขนาดยา L-dopa ลง</t>
        </is>
      </c>
      <c r="G556" s="2" t="inlineStr">
        <is>
          <t>เปลี่ยนเป็น L-dopa/benserazide dispersible tablet</t>
        </is>
      </c>
      <c r="H556" s="2" t="inlineStr">
        <is>
          <t>เปลี่ยนเป็น L-dopa/benserazide sustained releasing</t>
        </is>
      </c>
      <c r="I556" s="8" t="inlineStr">
        <is>
          <t>1</t>
        </is>
      </c>
      <c r="J556" s="2" t="inlineStr">
        <is>
          <t>✅ คำตอบที่ถูกต้อง: ข้อ ก. เพิ่มขนาดยา L-dopa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เพิ่มขนาดยา L-dopa 💡 คำอธิบายและข้อกำหนดทางกฎหมาย:
💡 คำอธิบายและข้อกำหนดทางกฎหมาย:
การเลือก เพิ่มขนาดยา L-dopa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(เพิ่มขนาดยา trihexyphenidyl): เป็น centrally-acting anticholinergic ช่วยลด tremor ใน Parkinson disease แต่มี ADR ปากแห้ง ตาพร่า ท้องผูก ปัสสาวะคั่ง และ cognitive impairment ในผู้สูงอายุ
• ข้อ ค. (ลดขนาดยา L-dopa ลง): ข้อนี้ไม่ใช่คำตอบที่ถูกต้องสำหรับภาวะ Pharmacy Laws &amp; Ethics เนื่องจากกลไกการออกฤทธิ์, efficacy หรือข้อบ่งใช้ไม่ตรงกับโจทย์ที่กำหนด
• ข้อ ง. (เปลี่ยนเป็น L-dopa/benserazide dispersible tablet): ข้อนี้ไม่ใช่คำตอบที่ถูกต้องสำหรับภาวะ Pharmacy Laws &amp; Ethics เนื่องจากกลไกการออกฤทธิ์, efficacy หรือข้อบ่งใช้ไม่ตรงกับโจทย์ที่กำหนด
• ข้อ จ. (เปลี่ยนเป็น L-dopa/benserazide sustained releasing):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6" s="2" t="n"/>
      <c r="L556" s="2" t="inlineStr">
        <is>
          <t>Pharmacy Laws &amp; Ethics</t>
        </is>
      </c>
      <c r="M556" s="2" t="inlineStr">
        <is>
          <t>SAP</t>
        </is>
      </c>
      <c r="N556" s="2" t="inlineStr">
        <is>
          <t>ข้อ 12 (PLE_CC1_2558_Key.md)</t>
        </is>
      </c>
      <c r="O556" s="2" t="inlineStr">
        <is>
          <t>ข้อสอบจริง</t>
        </is>
      </c>
      <c r="P556" s="2" t="inlineStr">
        <is>
          <t>ปี 2558</t>
        </is>
      </c>
    </row>
    <row r="557" ht="13.2" customHeight="1" s="37">
      <c r="A557" s="8" t="inlineStr">
        <is>
          <t>578</t>
        </is>
      </c>
      <c r="B557" s="2" t="inlineStr">
        <is>
          <t>L-dopa เข้า BBB ด้วยกลไกใด</t>
        </is>
      </c>
      <c r="C557" s="2" t="n"/>
      <c r="D557" s="2" t="inlineStr">
        <is>
          <t>ใช้ amino acid co-transporter</t>
        </is>
      </c>
      <c r="E557" s="2" t="inlineStr">
        <is>
          <t>ใช้ passive diffusion</t>
        </is>
      </c>
      <c r="F557" s="2" t="inlineStr">
        <is>
          <t>ถูกเปลี่ยนเป็น dopamine ก่อนที่จะผ่าน BBB</t>
        </is>
      </c>
      <c r="G557" s="2" t="inlineStr">
        <is>
          <t>ต้องอาศัย carrier ในการเข้าสมอง</t>
        </is>
      </c>
      <c r="H557" s="2" t="inlineStr">
        <is>
          <t>ผ่านกระบวนการ active transporter</t>
        </is>
      </c>
      <c r="I557" s="8" t="inlineStr">
        <is>
          <t>1</t>
        </is>
      </c>
      <c r="J557" s="2" t="inlineStr">
        <is>
          <t>✅ คำตอบที่ถูกต้อง: ข้อ ก. ใช้ amino acid co-transporter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 amino acid co-transporter การเลือก ใช้ amino acid co-transporter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 passive diffusion): ข้อนี้ไม่ใช่คำตอบที่ถูกต้องสำหรับภาวะ General Therapeutics เนื่องจากกลไกการออกฤทธิ์, efficacy หรือข้อบ่งใช้ไม่ตรงกับโจทย์ที่กำหนด
• ข้อ ค. (ถูกเปลี่ยนเป็น dopamine ก่อนที่จะผ่าน BBB): ข้อนี้ไม่ใช่คำตอบที่ถูกต้องสำหรับภาวะ General Therapeutics เนื่องจากกลไกการออกฤทธิ์, efficacy หรือข้อบ่งใช้ไม่ตรงกับโจทย์ที่กำหนด
• ข้อ ง. (ต้องอาศัย carrier ในการเข้าสมอง): ข้อนี้ไม่ใช่คำตอบที่ถูกต้องสำหรับภาวะ General Therapeutics เนื่องจากกลไกการออกฤทธิ์, efficacy หรือข้อบ่งใช้ไม่ตรงกับโจทย์ที่กำหนด
• ข้อ จ. (ผ่านกระบวนการ active transporter):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7" s="2" t="n"/>
      <c r="L557" s="2" t="inlineStr">
        <is>
          <t>General Therapeutics</t>
        </is>
      </c>
      <c r="M557" s="2" t="inlineStr">
        <is>
          <t>Clinic</t>
        </is>
      </c>
      <c r="N557" s="2" t="inlineStr">
        <is>
          <t>ข้อ 13 (PLE_CC1_2558_Key.md)</t>
        </is>
      </c>
      <c r="O557" s="2" t="inlineStr">
        <is>
          <t>ข้อสอบจริง</t>
        </is>
      </c>
      <c r="P557" s="2" t="inlineStr">
        <is>
          <t>ปี 2558</t>
        </is>
      </c>
    </row>
    <row r="558" ht="13.2" customHeight="1" s="37">
      <c r="A558" s="8" t="inlineStr">
        <is>
          <t>579</t>
        </is>
      </c>
      <c r="B558" s="2" t="inlineStr">
        <is>
          <t>ยาใดส่งผลทำให้เกิดอาการคล้ายพาร์กินสัน</t>
        </is>
      </c>
      <c r="C558" s="2" t="n"/>
      <c r="D558" s="2" t="inlineStr">
        <is>
          <t>Benztropine</t>
        </is>
      </c>
      <c r="E558" s="2" t="inlineStr">
        <is>
          <t>Clozapine</t>
        </is>
      </c>
      <c r="F558" s="2" t="inlineStr">
        <is>
          <t>Haloperidol</t>
        </is>
      </c>
      <c r="G558" s="2" t="inlineStr">
        <is>
          <t>Selegiline</t>
        </is>
      </c>
      <c r="H558" s="2" t="inlineStr">
        <is>
          <t>Imipramine</t>
        </is>
      </c>
      <c r="I558" s="8" t="inlineStr">
        <is>
          <t>1</t>
        </is>
      </c>
      <c r="J558" s="2" t="inlineStr">
        <is>
          <t>✅ คำตอบที่ถูกต้อง: ข้อ ก. Benztropine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Benztropine การเลือก Benztropine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(Clozapine): เป็น atypical antipsychotic สำหรับ treatment-resistant schizophrenia ที่มี efficacy สูงสุด แต่มี black box warning เรื่อง agranulocytosis (ต้องตรวจ CBC สม่ำเสมอ), myocarditis และชัก
• ข้อ ค. (Haloperidol): เป็น First-generation (typical) antipsychotic ยับยั้ง D2 receptor สูง เสี่ยงต่อ Extrapyramidal symptoms (EPS), acute dystonia, akathisia และ tardive dyskinesia สูง
• ข้อ ง. (Selegiline): ข้อนี้ไม่ใช่คำตอบที่ถูกต้องสำหรับภาวะ Neurologic Disorders เนื่องจากกลไกการออกฤทธิ์, efficacy หรือข้อบ่งใช้ไม่ตรงกับโจทย์ที่กำหนด
• ข้อ จ. (Imipramine):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8" s="2" t="n"/>
      <c r="L558" s="2" t="inlineStr">
        <is>
          <t>Neurologic Disorders</t>
        </is>
      </c>
      <c r="M558" s="2" t="inlineStr">
        <is>
          <t>Clinic</t>
        </is>
      </c>
      <c r="N558" s="2" t="inlineStr">
        <is>
          <t>ข้อ 16 (PLE_CC1_2558_Key.md)</t>
        </is>
      </c>
      <c r="O558" s="2" t="inlineStr">
        <is>
          <t>ข้อสอบจริง</t>
        </is>
      </c>
      <c r="P558" s="2" t="inlineStr">
        <is>
          <t>ปี 2558</t>
        </is>
      </c>
    </row>
    <row r="559" ht="13.2" customHeight="1" s="37">
      <c r="A559" s="8" t="inlineStr">
        <is>
          <t>580</t>
        </is>
      </c>
      <c r="B559" s="2" t="inlineStr">
        <is>
          <t>ในประเทศหนึ่ง พ.ศ 2556 มีคนเป็นโรคพาร์กินสัน 1.5 ล้านคนมีผู้ป่วยเพิ่มขึ้น 60,000 คน ตายปีละ 24,000 ประชากรทั้งประเทศ 300 ล้านคน จงหาความชุกของการเกิดโรค</t>
        </is>
      </c>
      <c r="C559" s="2" t="n"/>
      <c r="D559" s="2" t="inlineStr">
        <is>
          <t>1/100</t>
        </is>
      </c>
      <c r="E559" s="8" t="inlineStr">
        <is>
          <t>5/1000</t>
        </is>
      </c>
      <c r="F559" s="2" t="inlineStr">
        <is>
          <t>5/10000</t>
        </is>
      </c>
      <c r="G559" s="2" t="inlineStr">
        <is>
          <t>33/10000</t>
        </is>
      </c>
      <c r="H559" s="2" t="inlineStr">
        <is>
          <t>1/100000</t>
        </is>
      </c>
      <c r="I559" s="8" t="inlineStr">
        <is>
          <t>1</t>
        </is>
      </c>
      <c r="J559" s="2" t="inlineStr">
        <is>
          <t>✅ คำตอบที่ถูกต้อง: ข้อ ก. 1/100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1/100 การเลือก 1/100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(5/1000): ข้อนี้ไม่ใช่คำตอบที่ถูกต้องสำหรับภาวะ Neurologic Disorders เนื่องจากกลไกการออกฤทธิ์, efficacy หรือข้อบ่งใช้ไม่ตรงกับโจทย์ที่กำหนด
• ข้อ ค. (5/10000): ข้อนี้ไม่ใช่คำตอบที่ถูกต้องสำหรับภาวะ Neurologic Disorders เนื่องจากกลไกการออกฤทธิ์, efficacy หรือข้อบ่งใช้ไม่ตรงกับโจทย์ที่กำหนด
• ข้อ ง. (33/10000): ข้อนี้ไม่ใช่คำตอบที่ถูกต้องสำหรับภาวะ Neurologic Disorders เนื่องจากกลไกการออกฤทธิ์, efficacy หรือข้อบ่งใช้ไม่ตรงกับโจทย์ที่กำหนด
• ข้อ จ. (1/100000):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9" s="2" t="n"/>
      <c r="L559" s="2" t="inlineStr">
        <is>
          <t>Neurologic Disorders</t>
        </is>
      </c>
      <c r="M559" s="2" t="inlineStr">
        <is>
          <t>Clinic</t>
        </is>
      </c>
      <c r="N559" s="2" t="inlineStr">
        <is>
          <t>ข้อ 17 (PLE_CC1_2558_Key.md)</t>
        </is>
      </c>
      <c r="O559" s="2" t="inlineStr">
        <is>
          <t>ข้อสอบจริง</t>
        </is>
      </c>
      <c r="P559" s="2" t="inlineStr">
        <is>
          <t>ปี 2558</t>
        </is>
      </c>
    </row>
    <row r="560" ht="13.2" customHeight="1" s="37">
      <c r="A560" s="8" t="inlineStr">
        <is>
          <t>581</t>
        </is>
      </c>
      <c r="B560" s="2" t="inlineStr">
        <is>
          <t>ข้อใดผิดเกี่ยวกับการให้ยา amphotericin B</t>
        </is>
      </c>
      <c r="C560" s="2" t="n"/>
      <c r="D560" s="2" t="inlineStr">
        <is>
          <t>ให้ยาในอัตราเร็วอย่างช้า ๆ</t>
        </is>
      </c>
      <c r="E560" s="2" t="inlineStr">
        <is>
          <t>ติดตามค่าการทำงานของไต</t>
        </is>
      </c>
      <c r="F560" s="2" t="inlineStr">
        <is>
          <t>ให้ paracetamol+CPM ก่อนให้ยา</t>
        </is>
      </c>
      <c r="G560" s="2" t="inlineStr">
        <is>
          <t>ติดตาม K+ ในเลือด</t>
        </is>
      </c>
      <c r="H560" s="2" t="inlineStr">
        <is>
          <t>ติดตาม Ca2+ ในเลือด</t>
        </is>
      </c>
      <c r="I560" s="8" t="inlineStr">
        <is>
          <t>1</t>
        </is>
      </c>
      <c r="J560" s="2" t="inlineStr">
        <is>
          <t>✅ คำตอบที่ถูกต้อง: ข้อ ก. ให้ยาในอัตราเร็วอย่างช้า ๆ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ให้ยาในอัตราเร็วอย่างช้า ๆ การเลือก ให้ยาในอัตราเร็วอย่างช้า ๆ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(ติดตามค่าการทำงานของไต): ข้อนี้ไม่ใช่คำตอบที่ถูกต้องสำหรับภาวะ Infectious Diseases เนื่องจากกลไกการออกฤทธิ์, efficacy หรือข้อบ่งใช้ไม่ตรงกับโจทย์ที่กำหนด
• ข้อ ค. (ให้ paracetamol+CPM ก่อนให้ยา):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(ติดตาม K+ ในเลือด): ข้อนี้ไม่ใช่คำตอบที่ถูกต้องสำหรับภาวะ Infectious Diseases เนื่องจากกลไกการออกฤทธิ์, efficacy หรือข้อบ่งใช้ไม่ตรงกับโจทย์ที่กำหนด
• ข้อ จ. (ติดตาม Ca2+ ในเลือด):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0" s="2" t="n"/>
      <c r="L560" s="2" t="inlineStr">
        <is>
          <t>Infectious Diseases</t>
        </is>
      </c>
      <c r="M560" s="2" t="inlineStr">
        <is>
          <t>Clinic</t>
        </is>
      </c>
      <c r="N560" s="2" t="inlineStr">
        <is>
          <t>ข้อ 20 (PLE_CC1_2558_Key.md)</t>
        </is>
      </c>
      <c r="O560" s="2" t="inlineStr">
        <is>
          <t>ข้อสอบจริง</t>
        </is>
      </c>
      <c r="P560" s="2" t="inlineStr">
        <is>
          <t>ปี 2558</t>
        </is>
      </c>
    </row>
    <row r="561" ht="13.2" customHeight="1" s="37">
      <c r="A561" s="8" t="inlineStr">
        <is>
          <t>582</t>
        </is>
      </c>
      <c r="B561" s="2" t="inlineStr">
        <is>
          <t>ข้อใดผิดเกี่ยวกับโครงสร้างยา</t>
        </is>
      </c>
      <c r="C561" s="2" t="n"/>
      <c r="D561" s="2" t="inlineStr">
        <is>
          <t>โครงสร้างเป็น amphoteric drug</t>
        </is>
      </c>
      <c r="E561" s="2" t="inlineStr">
        <is>
          <t>โครงสร้างเป็นกลุ่ม macrolide ring</t>
        </is>
      </c>
      <c r="F561" s="2" t="inlineStr">
        <is>
          <t>ส่วนของ polyene ทำให้โครงสร้างมีความ rigid</t>
        </is>
      </c>
      <c r="G561" s="2" t="inlineStr">
        <is>
          <t>จากส่วนของ polyene เป็น cis</t>
        </is>
      </c>
      <c r="H561" s="2" t="inlineStr">
        <is>
          <t>น้ำตาล mycosamine ในโครงสร้างละลายน้ำได้</t>
        </is>
      </c>
      <c r="I561" s="8" t="inlineStr">
        <is>
          <t>1</t>
        </is>
      </c>
      <c r="J561" s="2" t="inlineStr">
        <is>
          <t>✅ คำตอบที่ถูกต้อง: ข้อ ก. โครงสร้างเป็น amphoteric drug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โครงสร้างเป็น amphoteric drug การเลือก โครงสร้างเป็น amphoteric drug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(โครงสร้างเป็นกลุ่ม macrolide ring): ข้อนี้ไม่ใช่คำตอบที่ถูกต้องสำหรับภาวะ General Therapeutics เนื่องจากกลไกการออกฤทธิ์, efficacy หรือข้อบ่งใช้ไม่ตรงกับโจทย์ที่กำหนด
• ข้อ ค. (ส่วนของ polyene ทำให้โครงสร้างมีความ rigid): ข้อนี้ไม่ใช่คำตอบที่ถูกต้องสำหรับภาวะ General Therapeutics เนื่องจากกลไกการออกฤทธิ์, efficacy หรือข้อบ่งใช้ไม่ตรงกับโจทย์ที่กำหนด
• ข้อ ง. (จากส่วนของ polyene เป็น cis): ข้อนี้ไม่ใช่คำตอบที่ถูกต้องสำหรับภาวะ General Therapeutics เนื่องจากกลไกการออกฤทธิ์, efficacy หรือข้อบ่งใช้ไม่ตรงกับโจทย์ที่กำหนด
• ข้อ จ. (น้ำตาล mycosamine ในโครงสร้างละลายน้ำได้):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1" s="2" t="n"/>
      <c r="L561" s="2" t="inlineStr">
        <is>
          <t>General Therapeutics</t>
        </is>
      </c>
      <c r="M561" s="2" t="inlineStr">
        <is>
          <t>Clinic</t>
        </is>
      </c>
      <c r="N561" s="2" t="inlineStr">
        <is>
          <t>ข้อ 21 (PLE_CC1_2558_Key.md)</t>
        </is>
      </c>
      <c r="O561" s="2" t="inlineStr">
        <is>
          <t>ข้อสอบจริง</t>
        </is>
      </c>
      <c r="P561" s="2" t="inlineStr">
        <is>
          <t>ปี 2558</t>
        </is>
      </c>
    </row>
    <row r="562" ht="13.2" customHeight="1" s="37">
      <c r="A562" s="8" t="inlineStr">
        <is>
          <t>583</t>
        </is>
      </c>
      <c r="B562" s="2" t="inlineStr">
        <is>
          <t>การผสม amp B กับ NSS เกิดการตกตะกอนด้วยกลไกใด</t>
        </is>
      </c>
      <c r="C562" s="2" t="n"/>
      <c r="D562" s="2" t="inlineStr">
        <is>
          <t>Complexation</t>
        </is>
      </c>
      <c r="E562" s="2" t="inlineStr">
        <is>
          <t>Isomerization</t>
        </is>
      </c>
      <c r="F562" s="2" t="inlineStr">
        <is>
          <t>Salting out</t>
        </is>
      </c>
      <c r="G562" s="2" t="inlineStr">
        <is>
          <t>Epimerization</t>
        </is>
      </c>
      <c r="H562" s="2" t="inlineStr">
        <is>
          <t>Polymerization</t>
        </is>
      </c>
      <c r="I562" s="8" t="inlineStr">
        <is>
          <t>1</t>
        </is>
      </c>
      <c r="J562" s="2" t="inlineStr">
        <is>
          <t>✅ คำตอบที่ถูกต้อง: ข้อ ก. Complexation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Complexation การเลือก Complexation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(Isomerization): ข้อนี้ไม่ใช่คำตอบที่ถูกต้องสำหรับภาวะ General Therapeutics เนื่องจากกลไกการออกฤทธิ์, efficacy หรือข้อบ่งใช้ไม่ตรงกับโจทย์ที่กำหนด
• ข้อ ค. (Salting out): ข้อนี้ไม่ใช่คำตอบที่ถูกต้องสำหรับภาวะ General Therapeutics เนื่องจากกลไกการออกฤทธิ์, efficacy หรือข้อบ่งใช้ไม่ตรงกับโจทย์ที่กำหนด
• ข้อ ง. (Epimerization): ข้อนี้ไม่ใช่คำตอบที่ถูกต้องสำหรับภาวะ General Therapeutics เนื่องจากกลไกการออกฤทธิ์, efficacy หรือข้อบ่งใช้ไม่ตรงกับโจทย์ที่กำหนด
• ข้อ จ. (Polymerization):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2" s="2" t="n"/>
      <c r="L562" s="2" t="inlineStr">
        <is>
          <t>General Therapeutics</t>
        </is>
      </c>
      <c r="M562" s="2" t="inlineStr">
        <is>
          <t>Clinic</t>
        </is>
      </c>
      <c r="N562" s="2" t="inlineStr">
        <is>
          <t>ข้อ 22 (PLE_CC1_2558_Key.md)</t>
        </is>
      </c>
      <c r="O562" s="2" t="inlineStr">
        <is>
          <t>ข้อสอบจริง</t>
        </is>
      </c>
      <c r="P562" s="2" t="inlineStr">
        <is>
          <t>ปี 2558</t>
        </is>
      </c>
    </row>
    <row r="563" ht="13.2" customHeight="1" s="37">
      <c r="A563" s="8" t="inlineStr">
        <is>
          <t>584</t>
        </is>
      </c>
      <c r="B563" s="2" t="inlineStr">
        <is>
          <t>ยาใดที่ผู้ป่วยรายนี้ควรได้รับในการป้องกันเชื้อฉวยโอกาส</t>
        </is>
      </c>
      <c r="C563" s="2" t="n"/>
      <c r="D563" s="2" t="inlineStr">
        <is>
          <t>Bactrim</t>
        </is>
      </c>
      <c r="E563" s="2" t="inlineStr">
        <is>
          <t>Fluconazole</t>
        </is>
      </c>
      <c r="F563" s="2" t="inlineStr">
        <is>
          <t>Azithromycin</t>
        </is>
      </c>
      <c r="G563" s="2" t="inlineStr">
        <is>
          <t>Acyclovir</t>
        </is>
      </c>
      <c r="H563" s="2" t="inlineStr">
        <is>
          <t>Prednisolone</t>
        </is>
      </c>
      <c r="I563" s="8" t="inlineStr">
        <is>
          <t>1</t>
        </is>
      </c>
      <c r="J563" s="2" t="inlineStr">
        <is>
          <t>✅ คำตอบที่ถูกต้อง: ข้อ ก. Bactrim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Bactrim การเลือก Bactrim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(Fluconazole): เป็น Triazole antifungal เป็น first-line สำหรับ Candida albicans และ Cryptococcal maintenance therapy ขับออกทางไตเด่นชัดจึงต้องปรับ dose ตาม CrCl
• ข้อ ค. (Azithromycin): เป็น Macrolide ครอบคลุม atypical pathogens (Mycoplasma, Chlamydia, Legionella) ขจัดออกทางตับเป็นหลัก และมี half-life ยาวนาน (~68 ชม.)
• ข้อ ง. (Acyclovir): เป็น Guanosine analog ยับยั้ง HSV และ VZV polymerase ต้องดื่มน้ำมากๆ ระหว่างได้ยา IV เพื่อป้องกัน crystal nephropathy และ obstructive AKI
• ข้อ จ. (Prednisolone): เป็น intermediate-acting systemic corticosteroid ขนาดยอดนิยมสำหรับ immunosuppressive &amp; anti-inflammatory therapy ต้องระวัง Cushingoid, infection, osteoporosis, peptic ulcer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3" s="2" t="n"/>
      <c r="L563" s="2" t="inlineStr">
        <is>
          <t>General Therapeutics</t>
        </is>
      </c>
      <c r="M563" s="2" t="inlineStr">
        <is>
          <t>Clinic</t>
        </is>
      </c>
      <c r="N563" s="2" t="inlineStr">
        <is>
          <t>ข้อ 24 (PLE_CC1_2558_Key.md)</t>
        </is>
      </c>
      <c r="O563" s="2" t="inlineStr">
        <is>
          <t>ข้อสอบจริง</t>
        </is>
      </c>
      <c r="P563" s="2" t="inlineStr">
        <is>
          <t>ปี 2558</t>
        </is>
      </c>
    </row>
    <row r="564" ht="13.2" customHeight="1" s="37">
      <c r="A564" s="8" t="inlineStr">
        <is>
          <t>585</t>
        </is>
      </c>
      <c r="B564" s="2" t="inlineStr">
        <is>
          <t>จากโครงสร้างยานี้ ข้อใดถูกต้อง</t>
        </is>
      </c>
      <c r="C564" s="2" t="n"/>
      <c r="D564" s="2" t="inlineStr">
        <is>
          <t>โครงสร้างเป็น thymidine analog</t>
        </is>
      </c>
      <c r="E564" s="2" t="inlineStr">
        <is>
          <t>ยาออกฤทธิ์ต่อ retro virus</t>
        </is>
      </c>
      <c r="F564" s="2" t="inlineStr">
        <is>
          <t>ยาถูกเปลี่ยนโดย thymidine kinase</t>
        </is>
      </c>
      <c r="G564" s="2" t="inlineStr">
        <is>
          <t>หมู่ azido ทำให้ยาไม่ทนแสงและความร้อน</t>
        </is>
      </c>
      <c r="H564" s="2" t="inlineStr">
        <is>
          <t>ยาถูกเปลี่ยนแปลงให้ออกฤทธิ์อยู่ในรูป glucuronide</t>
        </is>
      </c>
      <c r="I564" s="8" t="inlineStr">
        <is>
          <t>1</t>
        </is>
      </c>
      <c r="J564" s="2" t="inlineStr">
        <is>
          <t>✅ คำตอบที่ถูกต้อง: ข้อ ก. โครงสร้างเป็น thymidine analog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โครงสร้างเป็น thymidine analog การเลือก โครงสร้างเป็น thymidine analog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(ยาออกฤทธิ์ต่อ retro virus): ข้อนี้ไม่ใช่คำตอบที่ถูกต้องสำหรับภาวะ General Therapeutics เนื่องจากกลไกการออกฤทธิ์, efficacy หรือข้อบ่งใช้ไม่ตรงกับโจทย์ที่กำหนด
• ข้อ ค. (ยาถูกเปลี่ยนโดย thymidine kinase): ข้อนี้ไม่ใช่คำตอบที่ถูกต้องสำหรับภาวะ General Therapeutics เนื่องจากกลไกการออกฤทธิ์, efficacy หรือข้อบ่งใช้ไม่ตรงกับโจทย์ที่กำหนด
• ข้อ ง. (หมู่ azido ทำให้ยาไม่ทนแสงและความร้อน): ข้อนี้ไม่ใช่คำตอบที่ถูกต้องสำหรับภาวะ General Therapeutics เนื่องจากกลไกการออกฤทธิ์, efficacy หรือข้อบ่งใช้ไม่ตรงกับโจทย์ที่กำหนด
• ข้อ จ. (ยาถูกเปลี่ยนแปลงให้ออกฤทธิ์อยู่ในรูป glucuronide):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4" s="2" t="n"/>
      <c r="L564" s="2" t="inlineStr">
        <is>
          <t>General Therapeutics</t>
        </is>
      </c>
      <c r="M564" s="2" t="inlineStr">
        <is>
          <t>Clinic</t>
        </is>
      </c>
      <c r="N564" s="2" t="inlineStr">
        <is>
          <t>ข้อ 26 (PLE_CC1_2558_Key.md)</t>
        </is>
      </c>
      <c r="O564" s="2" t="inlineStr">
        <is>
          <t>ข้อสอบจริง</t>
        </is>
      </c>
      <c r="P564" s="2" t="inlineStr">
        <is>
          <t>ปี 2558</t>
        </is>
      </c>
    </row>
    <row r="565" ht="13.2" customHeight="1" s="37">
      <c r="A565" s="8" t="inlineStr">
        <is>
          <t>586</t>
        </is>
      </c>
      <c r="B565" s="2" t="inlineStr">
        <is>
          <t>ต้องเพิ่มการรักษาอย่างไร</t>
        </is>
      </c>
      <c r="C565" s="2" t="n"/>
      <c r="D565" s="2" t="inlineStr">
        <is>
          <t>Ipratropium inhaler</t>
        </is>
      </c>
      <c r="E565" s="2" t="inlineStr">
        <is>
          <t>Budesonide inhaler</t>
        </is>
      </c>
      <c r="F565" s="2" t="inlineStr">
        <is>
          <t>Theophylline tablet</t>
        </is>
      </c>
      <c r="G565" s="2" t="inlineStr">
        <is>
          <t>Salmeterol inhaler</t>
        </is>
      </c>
      <c r="H565" s="2" t="inlineStr">
        <is>
          <t>Tiotropium inhaler</t>
        </is>
      </c>
      <c r="I565" s="8" t="inlineStr">
        <is>
          <t>1</t>
        </is>
      </c>
      <c r="J565" s="2" t="inlineStr">
        <is>
          <t>✅ คำตอบที่ถูกต้อง: ข้อ ก. Ipratropium inhaler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Ipratropium inhaler การเลือก Ipratropium inhaler เป็นคำตอบที่ถูกต้องตามแนวทางการรักษามาตรฐาน เนื่องจาก เป็น SAMA ออกฤทธิ์ยับยั้ง cholinergic tone มักใช้ร่วมกับ SABA ใน acute moderate-to-severe asthma/COPD exacerbation
🔍 ข้ออื่นผิดเพราะอะไร:
• ข้อ ข. (Budesonide inhaler):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(Theophylline tablet): มี narrow therapeutic window (target 5-15 mcg/mL) และ ADR สูง (ใจสั่น คลื่นไส้ ชัก หัวใจเต้นผิดจังหวะ) CPG จึงจัดเป็นเพียงทางเลือกท้ายๆ (alternative)
• ข้อ ง. (Salmeterol inhaler): เป็น LABA ที่มี onset ช้า (10-20 นาที) จึงใช้เป็น maintenance bronchodilator เท่านั้น ห้ามใช้เป็น reliever เด็ดขาด
• ข้อ จ. (Tiotropium inhaler): เป็น Long-acting muscarinic antagonist (LAMA) มี bronchodilatory efficacy สูง เป็นแกนหลักใน COPD maintenance therapy และ add-on ใน severe asthma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5" s="2" t="n"/>
      <c r="L565" s="2" t="inlineStr">
        <is>
          <t>General Therapeutics</t>
        </is>
      </c>
      <c r="M565" s="2" t="inlineStr">
        <is>
          <t>Clinic</t>
        </is>
      </c>
      <c r="N565" s="2" t="inlineStr">
        <is>
          <t>ข้อ 28 (PLE_CC1_2558_Key.md)</t>
        </is>
      </c>
      <c r="O565" s="2" t="inlineStr">
        <is>
          <t>ข้อสอบจริง</t>
        </is>
      </c>
      <c r="P565" s="2" t="inlineStr">
        <is>
          <t>ปี 2558</t>
        </is>
      </c>
    </row>
    <row r="566" ht="13.2" customHeight="1" s="37">
      <c r="A566" s="8" t="inlineStr">
        <is>
          <t>587</t>
        </is>
      </c>
      <c r="B566" s="2" t="inlineStr">
        <is>
          <t>ผู้ป่วยไม่ควรใช้ยาในข้อใดต่อไปนี้</t>
        </is>
      </c>
      <c r="C566" s="2" t="n"/>
      <c r="D566" s="2" t="inlineStr">
        <is>
          <t>Aspirin</t>
        </is>
      </c>
      <c r="E566" s="2" t="inlineStr">
        <is>
          <t>Diclofenac</t>
        </is>
      </c>
      <c r="F566" s="2" t="inlineStr">
        <is>
          <t>Naproxen</t>
        </is>
      </c>
      <c r="G566" s="2" t="inlineStr">
        <is>
          <t>Ibuprofen</t>
        </is>
      </c>
      <c r="H566" s="2" t="inlineStr">
        <is>
          <t>Piroxicam</t>
        </is>
      </c>
      <c r="I566" s="8" t="inlineStr">
        <is>
          <t>1</t>
        </is>
      </c>
      <c r="J566" s="2" t="inlineStr">
        <is>
          <t>✅ คำตอบที่ถูกต้อง: ข้อ ก.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ข้อนี้ไม่ใช่คำตอบที่ถูกต้องสำหรับภาวะ General Therapeutics เนื่องจากกลไกการออกฤทธิ์, efficacy หรือข้อบ่งใช้ไม่ตรงกับโจทย์ที่กำหนด
• ข้อ ค. (Naproxen): เป็น non-selective NSAID ที่มี cardiovascular safety profile ดีที่สุด และมี efficacy สูงในการระงับ acute inflammation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(Piroxicam): เป็น oxicam NSAID ที่มี half-life ยาวนานมาก (~50 ชม.) แต่มีความเสี่ยงต่อ severe GI bleed และ skin reactions สูงที่สุดในกลุ่ม NSAIDs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6" s="2" t="n"/>
      <c r="L566" s="2" t="inlineStr">
        <is>
          <t>General Therapeutics</t>
        </is>
      </c>
      <c r="M566" s="2" t="inlineStr">
        <is>
          <t>Clinic</t>
        </is>
      </c>
      <c r="N566" s="2" t="inlineStr">
        <is>
          <t>ข้อ 32 (PLE_CC1_2558_Key.md)</t>
        </is>
      </c>
      <c r="O566" s="2" t="inlineStr">
        <is>
          <t>ข้อสอบจริง</t>
        </is>
      </c>
      <c r="P566" s="2" t="inlineStr">
        <is>
          <t>ปี 2558</t>
        </is>
      </c>
    </row>
    <row r="567" ht="13.2" customHeight="1" s="37">
      <c r="A567" s="8" t="inlineStr">
        <is>
          <t>588</t>
        </is>
      </c>
      <c r="B567" s="2" t="inlineStr">
        <is>
          <t>คาดว่าผู้ป่วยรายนี้เป็นโรคใด</t>
        </is>
      </c>
      <c r="C567" s="2" t="n"/>
      <c r="D567" s="2" t="inlineStr">
        <is>
          <t>ไข้หวัดใหญ่</t>
        </is>
      </c>
      <c r="E567" s="2" t="inlineStr">
        <is>
          <t>หัด</t>
        </is>
      </c>
      <c r="F567" s="2" t="inlineStr">
        <is>
          <t>คอตีบ</t>
        </is>
      </c>
      <c r="G567" s="2" t="inlineStr">
        <is>
          <t>เริม</t>
        </is>
      </c>
      <c r="H567" s="2" t="inlineStr">
        <is>
          <t>ไข้เลือดออก</t>
        </is>
      </c>
      <c r="I567" s="8" t="inlineStr">
        <is>
          <t>1</t>
        </is>
      </c>
      <c r="J567" s="2" t="inlineStr">
        <is>
          <t>✅ คำตอบที่ถูกต้อง: ข้อ ก. ไข้หวัดใหญ่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ไข้หวัดใหญ่ การเลือก ไข้หวัดใหญ่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(หัด): ข้อนี้ไม่ใช่คำตอบที่ถูกต้องสำหรับภาวะ General Therapeutics เนื่องจากกลไกการออกฤทธิ์, efficacy หรือข้อบ่งใช้ไม่ตรงกับโจทย์ที่กำหนด
• ข้อ ค. (คอตีบ): ข้อนี้ไม่ใช่คำตอบที่ถูกต้องสำหรับภาวะ General Therapeutics เนื่องจากกลไกการออกฤทธิ์, efficacy หรือข้อบ่งใช้ไม่ตรงกับโจทย์ที่กำหนด
• ข้อ ง. (เริม): ข้อนี้ไม่ใช่คำตอบที่ถูกต้องสำหรับภาวะ General Therapeutics เนื่องจากกลไกการออกฤทธิ์, efficacy หรือข้อบ่งใช้ไม่ตรงกับโจทย์ที่กำหนด
• ข้อ จ. (ไข้เลือดออก):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7" s="2" t="n"/>
      <c r="L567" s="2" t="inlineStr">
        <is>
          <t>General Therapeutics</t>
        </is>
      </c>
      <c r="M567" s="2" t="inlineStr">
        <is>
          <t>Clinic</t>
        </is>
      </c>
      <c r="N567" s="2" t="inlineStr">
        <is>
          <t>ข้อ 37 (PLE_CC1_2558_Key.md)</t>
        </is>
      </c>
      <c r="O567" s="2" t="inlineStr">
        <is>
          <t>ข้อสอบจริง</t>
        </is>
      </c>
      <c r="P567" s="2" t="inlineStr">
        <is>
          <t>ปี 2558</t>
        </is>
      </c>
    </row>
    <row r="568" ht="13.2" customHeight="1" s="37">
      <c r="A568" s="8" t="inlineStr">
        <is>
          <t>589</t>
        </is>
      </c>
      <c r="B568" s="2" t="inlineStr">
        <is>
          <t>จากรูป เส้นปะ และ เส้นทึบ คืออะไร</t>
        </is>
      </c>
      <c r="C568" s="2" t="n"/>
      <c r="D568" s="2" t="inlineStr">
        <is>
          <t>IgM / IgG</t>
        </is>
      </c>
      <c r="E568" s="2" t="inlineStr">
        <is>
          <t>IgG / IgA</t>
        </is>
      </c>
      <c r="F568" s="2" t="inlineStr">
        <is>
          <t>IgG / IgM</t>
        </is>
      </c>
      <c r="G568" s="2" t="inlineStr">
        <is>
          <t>IgE / IgM</t>
        </is>
      </c>
      <c r="H568" s="2" t="inlineStr">
        <is>
          <t>IgA / IgG</t>
        </is>
      </c>
      <c r="I568" s="8" t="inlineStr">
        <is>
          <t>1</t>
        </is>
      </c>
      <c r="J568" s="2" t="inlineStr">
        <is>
          <t>✅ คำตอบที่ถูกต้อง: ข้อ ก. IgM / IgG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IgM / IgG การเลือก IgM / IgG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(IgG / IgA): ข้อนี้ไม่ใช่คำตอบที่ถูกต้องสำหรับภาวะ General Therapeutics เนื่องจากกลไกการออกฤทธิ์, efficacy หรือข้อบ่งใช้ไม่ตรงกับโจทย์ที่กำหนด
• ข้อ ค. (IgG / IgM): ข้อนี้ไม่ใช่คำตอบที่ถูกต้องสำหรับภาวะ General Therapeutics เนื่องจากกลไกการออกฤทธิ์, efficacy หรือข้อบ่งใช้ไม่ตรงกับโจทย์ที่กำหนด
• ข้อ ง. (IgE / IgM): ข้อนี้ไม่ใช่คำตอบที่ถูกต้องสำหรับภาวะ General Therapeutics เนื่องจากกลไกการออกฤทธิ์, efficacy หรือข้อบ่งใช้ไม่ตรงกับโจทย์ที่กำหนด
• ข้อ จ. (IgA / IgG):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8" s="2" t="n"/>
      <c r="L568" s="2" t="inlineStr">
        <is>
          <t>General Therapeutics</t>
        </is>
      </c>
      <c r="M568" s="2" t="inlineStr">
        <is>
          <t>Clinic</t>
        </is>
      </c>
      <c r="N568" s="2" t="inlineStr">
        <is>
          <t>ข้อ 44 (PLE_CC1_2558_Key.md)</t>
        </is>
      </c>
      <c r="O568" s="2" t="inlineStr">
        <is>
          <t>ข้อสอบจริง</t>
        </is>
      </c>
      <c r="P568" s="2" t="inlineStr">
        <is>
          <t>ปี 2558</t>
        </is>
      </c>
    </row>
    <row r="569" ht="13.2" customHeight="1" s="37">
      <c r="A569" s="8" t="inlineStr">
        <is>
          <t>590</t>
        </is>
      </c>
      <c r="B569" s="2" t="inlineStr">
        <is>
          <t>จากกราฟข้อ 44. ข้อใดถูกต้อง</t>
        </is>
      </c>
      <c r="C569" s="2" t="n"/>
      <c r="D569" s="2" t="inlineStr">
        <is>
          <t>ฉีดวัคซีนซ้ำ เพื่อกระตุ้นการสร้าง Ab บางอย่างเพิ่มขึ้น</t>
        </is>
      </c>
      <c r="E569" s="2" t="inlineStr">
        <is>
          <t>ฉีดวัคซีนซ้ำ เพื่อให้ภูมิคุ้มกันสร้างให้อีกครั้ง</t>
        </is>
      </c>
      <c r="F569" s="2" t="inlineStr">
        <is>
          <t>การฉีดซ้ำไม่ได้เพิ่มปริมาณภูมิคุ้มกัน</t>
        </is>
      </c>
      <c r="G569" s="2" t="inlineStr">
        <is>
          <t>ไม่จำเป็นต้องฉีดซ้ำ</t>
        </is>
      </c>
      <c r="H569" s="2" t="inlineStr">
        <is>
          <t>สามารถฉีดกระตุ้นก่อนนัดได้ กรณีศึกษา 6 คลื่นไส้อาเจียน 5 วันที่แล้ว</t>
        </is>
      </c>
      <c r="I569" s="8" t="inlineStr">
        <is>
          <t>1</t>
        </is>
      </c>
      <c r="J569" s="2" t="inlineStr">
        <is>
          <t>✅ คำตอบที่ถูกต้อง: ข้อ ก. ฉีดวัคซีนซ้ำ เพื่อกระตุ้นการสร้าง Ab บางอย่างเพิ่มขึ้น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ฉีดวัคซีนซ้ำ เพื่อกระตุ้นการสร้าง Ab บางอย่างเพิ่มขึ้น ผู้ป่วยหญิงเป็น CKD Scr 5.0, K 6.5, PO4= 5.5 Hct 33 Hb=9 เป็น  CKD มา 2 ปี มาพบแพทย์ด้วย เบื่ออาหาร อ่อนเพลีย
🔍 ข้ออื่นผิดเพราะอะไร:
• ข้อ ข. (ฉีดวัคซีนซ้ำ เพื่อให้ภูมิคุ้มกันสร้างให้อีกครั้ง): ข้อนี้ไม่ใช่คำตอบที่ถูกต้องสำหรับภาวะ General Therapeutics เนื่องจากกลไกการออกฤทธิ์, efficacy หรือข้อบ่งใช้ไม่ตรงกับโจทย์ที่กำหนด
• ข้อ ค. (การฉีดซ้ำไม่ได้เพิ่มปริมาณภูมิคุ้มกัน): ข้อนี้ไม่ใช่คำตอบที่ถูกต้องสำหรับภาวะ General Therapeutics เนื่องจากกลไกการออกฤทธิ์, efficacy หรือข้อบ่งใช้ไม่ตรงกับโจทย์ที่กำหนด
• ข้อ ง. (ไม่จำเป็นต้องฉีดซ้ำ): ข้อนี้ไม่ใช่คำตอบที่ถูกต้องสำหรับภาวะ General Therapeutics เนื่องจากกลไกการออกฤทธิ์, efficacy หรือข้อบ่งใช้ไม่ตรงกับโจทย์ที่กำหนด
• ข้อ จ. (สามารถฉีดกระตุ้นก่อนนัดได้ กรณีศึกษา 6 คลื่นไส้อาเจียน 5 วันที่แล้ว):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9" s="2" t="n"/>
      <c r="L569" s="2" t="inlineStr">
        <is>
          <t>General Therapeutics</t>
        </is>
      </c>
      <c r="M569" s="2" t="inlineStr">
        <is>
          <t>Clinic</t>
        </is>
      </c>
      <c r="N569" s="2" t="inlineStr">
        <is>
          <t>ข้อ 45 (PLE_CC1_2558_Key.md)</t>
        </is>
      </c>
      <c r="O569" s="2" t="inlineStr">
        <is>
          <t>ข้อสอบจริง</t>
        </is>
      </c>
      <c r="P569" s="2" t="inlineStr">
        <is>
          <t>ปี 2558</t>
        </is>
      </c>
    </row>
    <row r="570" ht="13.2" customHeight="1" s="37">
      <c r="A570" s="8" t="inlineStr">
        <is>
          <t>591</t>
        </is>
      </c>
      <c r="B570" s="2" t="inlineStr">
        <is>
          <t>ผู้ป่วย มี ClCr เท่าไร</t>
        </is>
      </c>
      <c r="C570" s="2" t="n"/>
      <c r="D570" s="2" t="inlineStr">
        <is>
          <t>Dimercaprol (BAL) 3 mg/kg IM</t>
        </is>
      </c>
      <c r="E570" s="8" t="inlineStr">
        <is>
          <t>8.5</t>
        </is>
      </c>
      <c r="F570" s="8" t="inlineStr">
        <is>
          <t>10</t>
        </is>
      </c>
      <c r="G570" s="8" t="inlineStr">
        <is>
          <t>15</t>
        </is>
      </c>
      <c r="H570" s="8" t="inlineStr">
        <is>
          <t>20</t>
        </is>
      </c>
      <c r="I570" s="8" t="inlineStr">
        <is>
          <t>1</t>
        </is>
      </c>
      <c r="J5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(8.5): ข้อนี้ไม่ใช่คำตอบที่ถูกต้องสำหรับภาวะ General Therapeutics เนื่องจากกลไกการออกฤทธิ์, efficacy หรือข้อบ่งใช้ไม่ตรงกับโจทย์ที่กำหนด
• ข้อ ค. (10): ข้อนี้ไม่ใช่คำตอบที่ถูกต้องสำหรับภาวะ General Therapeutics เนื่องจากกลไกการออกฤทธิ์, efficacy หรือข้อบ่งใช้ไม่ตรงกับโจทย์ที่กำหนด
• ข้อ ง. (15): ข้อนี้ไม่ใช่คำตอบที่ถูกต้องสำหรับภาวะ General Therapeutics เนื่องจากกลไกการออกฤทธิ์, efficacy หรือข้อบ่งใช้ไม่ตรงกับโจทย์ที่กำหนด
• ข้อ จ. (20):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0" s="2" t="n"/>
      <c r="L570" s="2" t="inlineStr">
        <is>
          <t>General Therapeutics</t>
        </is>
      </c>
      <c r="M570" s="2" t="inlineStr">
        <is>
          <t>Clinic</t>
        </is>
      </c>
      <c r="N570" s="2" t="inlineStr">
        <is>
          <t>ข้อ 46 (PLE_CC1_2558_Key.md)</t>
        </is>
      </c>
      <c r="O570" s="2" t="inlineStr">
        <is>
          <t>ข้อสอบจริง</t>
        </is>
      </c>
      <c r="P570" s="2" t="inlineStr">
        <is>
          <t>ปี 2558</t>
        </is>
      </c>
    </row>
    <row r="571" ht="13.2" customHeight="1" s="37">
      <c r="A571" s="8" t="inlineStr">
        <is>
          <t>592</t>
        </is>
      </c>
      <c r="B571" s="2" t="inlineStr">
        <is>
          <t>ผู้ป่วยได้ EPO ต้องติดตามอะไร</t>
        </is>
      </c>
      <c r="C571" s="2" t="n"/>
      <c r="D571" s="2" t="inlineStr">
        <is>
          <t>Blood Pressure</t>
        </is>
      </c>
      <c r="E571" s="2" t="inlineStr">
        <is>
          <t>Heart Rate</t>
        </is>
      </c>
      <c r="F571" s="2" t="inlineStr">
        <is>
          <t>Sodium</t>
        </is>
      </c>
      <c r="G571" s="2" t="inlineStr">
        <is>
          <t>Calcium</t>
        </is>
      </c>
      <c r="H571" s="2" t="inlineStr">
        <is>
          <t>Body temperature</t>
        </is>
      </c>
      <c r="I571" s="8" t="inlineStr">
        <is>
          <t>1</t>
        </is>
      </c>
      <c r="J571" s="2" t="inlineStr">
        <is>
          <t>✅ คำตอบที่ถูกต้อง: ข้อ ก. Blood Pressure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Blood Pressure การเลือก Blood Pressure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(Heart Rate): ข้อนี้ไม่ใช่คำตอบที่ถูกต้องสำหรับภาวะ Renal Diseases เนื่องจากกลไกการออกฤทธิ์, efficacy หรือข้อบ่งใช้ไม่ตรงกับโจทย์ที่กำหนด
• ข้อ ค. (Sodium): ข้อนี้ไม่ใช่คำตอบที่ถูกต้องสำหรับภาวะ Renal Diseases เนื่องจากกลไกการออกฤทธิ์, efficacy หรือข้อบ่งใช้ไม่ตรงกับโจทย์ที่กำหนด
• ข้อ ง. (Calcium): ข้อนี้ไม่ใช่คำตอบที่ถูกต้องสำหรับภาวะ Renal Diseases เนื่องจากกลไกการออกฤทธิ์, efficacy หรือข้อบ่งใช้ไม่ตรงกับโจทย์ที่กำหนด
• ข้อ จ. (Body temperature):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71" s="2" t="n"/>
      <c r="L571" s="2" t="inlineStr">
        <is>
          <t>Renal Diseases</t>
        </is>
      </c>
      <c r="M571" s="2" t="inlineStr">
        <is>
          <t>Clinic</t>
        </is>
      </c>
      <c r="N571" s="2" t="inlineStr">
        <is>
          <t>ข้อ 49 (PLE_CC1_2558_Key.md)</t>
        </is>
      </c>
      <c r="O571" s="2" t="inlineStr">
        <is>
          <t>ข้อสอบจริง</t>
        </is>
      </c>
      <c r="P571" s="2" t="inlineStr">
        <is>
          <t>ปี 2558</t>
        </is>
      </c>
    </row>
    <row r="572" ht="13.2" customHeight="1" s="37">
      <c r="A572" s="8" t="inlineStr">
        <is>
          <t>593</t>
        </is>
      </c>
      <c r="B572" s="2" t="inlineStr">
        <is>
          <t>ผู้ป่วยเป็นอะไร</t>
        </is>
      </c>
      <c r="C572" s="2" t="n"/>
      <c r="D572" s="2" t="inlineStr">
        <is>
          <t>External hordeolum</t>
        </is>
      </c>
      <c r="E572" s="2" t="inlineStr">
        <is>
          <t>Blepharitis</t>
        </is>
      </c>
      <c r="F572" s="2" t="inlineStr">
        <is>
          <t>Bacterial conjunctivitis</t>
        </is>
      </c>
      <c r="G572" s="2" t="inlineStr">
        <is>
          <t>Virus conjunctivitis</t>
        </is>
      </c>
      <c r="H572" s="2" t="inlineStr">
        <is>
          <t>Pterygium</t>
        </is>
      </c>
      <c r="I572" s="8" t="inlineStr">
        <is>
          <t>1</t>
        </is>
      </c>
      <c r="J572" s="2" t="inlineStr">
        <is>
          <t>✅ คำตอบที่ถูกต้อง: ข้อ ก. External hordeolum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External hordeolum การเลือก External hordeolum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(Blepharitis): ข้อนี้ไม่ใช่คำตอบที่ถูกต้องสำหรับภาวะ General Therapeutics เนื่องจากกลไกการออกฤทธิ์, efficacy หรือข้อบ่งใช้ไม่ตรงกับโจทย์ที่กำหนด
• ข้อ ค. (Bacterial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ง. (Virus conjunctivitis): ข้อนี้ไม่ใช่คำตอบที่ถูกต้องสำหรับภาวะ General Therapeutics เนื่องจากกลไกการออกฤทธิ์, efficacy หรือข้อบ่งใช้ไม่ตรงกับโจทย์ที่กำหนด
• ข้อ จ. (Pterygium):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2" s="2" t="n"/>
      <c r="L572" s="2" t="inlineStr">
        <is>
          <t>General Therapeutics</t>
        </is>
      </c>
      <c r="M572" s="2" t="inlineStr">
        <is>
          <t>Clinic</t>
        </is>
      </c>
      <c r="N572" s="2" t="inlineStr">
        <is>
          <t>ข้อ 55 (PLE_CC1_2558_Key.md)</t>
        </is>
      </c>
      <c r="O572" s="2" t="inlineStr">
        <is>
          <t>ข้อสอบจริง</t>
        </is>
      </c>
      <c r="P572" s="2" t="inlineStr">
        <is>
          <t>ปี 2558</t>
        </is>
      </c>
    </row>
    <row r="573" ht="13.2" customHeight="1" s="37">
      <c r="A573" s="8" t="inlineStr">
        <is>
          <t>594</t>
        </is>
      </c>
      <c r="B573" s="2" t="inlineStr">
        <is>
          <t>สาเหตุเกิดจากอะไร</t>
        </is>
      </c>
      <c r="C573" s="2" t="n"/>
      <c r="D573" s="2" t="inlineStr">
        <is>
          <t>ใช้สายตานาน ๆ</t>
        </is>
      </c>
      <c r="E573" s="2" t="inlineStr">
        <is>
          <t>เชื้อ Staph. aureus</t>
        </is>
      </c>
      <c r="F573" s="2" t="inlineStr">
        <is>
          <t>ต่อมไขมันที่ตาอุดตัน</t>
        </is>
      </c>
      <c r="G573" s="2" t="inlineStr">
        <is>
          <t>ขนตาทิ่มเข้าดวงตา</t>
        </is>
      </c>
      <c r="H573" s="2" t="inlineStr">
        <is>
          <t>เกิดจากการอักเสบของต่อมไขมันที่ตา</t>
        </is>
      </c>
      <c r="I573" s="8" t="inlineStr">
        <is>
          <t>1</t>
        </is>
      </c>
      <c r="J573" s="2" t="inlineStr">
        <is>
          <t>✅ คำตอบที่ถูกต้อง: ข้อ ก. ใช้สายตานาน ๆ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ใช้สายตานาน ๆ การเลือก ใช้สายตานาน ๆ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(เชื้อ Staph. aureus): ข้อนี้ไม่ใช่คำตอบที่ถูกต้องสำหรับภาวะ General Therapeutics เนื่องจากกลไกการออกฤทธิ์, efficacy หรือข้อบ่งใช้ไม่ตรงกับโจทย์ที่กำหนด
• ข้อ ค. (ต่อมไขมันที่ตาอุดตัน): ข้อนี้ไม่ใช่คำตอบที่ถูกต้องสำหรับภาวะ General Therapeutics เนื่องจากกลไกการออกฤทธิ์, efficacy หรือข้อบ่งใช้ไม่ตรงกับโจทย์ที่กำหนด
• ข้อ ง. (ขนตาทิ่มเข้าดวงตา): ข้อนี้ไม่ใช่คำตอบที่ถูกต้องสำหรับภาวะ General Therapeutics เนื่องจากกลไกการออกฤทธิ์, efficacy หรือข้อบ่งใช้ไม่ตรงกับโจทย์ที่กำหนด
• ข้อ จ. (เกิดจากการอักเสบของต่อมไขมันที่ตา):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3" s="2" t="n"/>
      <c r="L573" s="2" t="inlineStr">
        <is>
          <t>General Therapeutics</t>
        </is>
      </c>
      <c r="M573" s="2" t="inlineStr">
        <is>
          <t>Clinic</t>
        </is>
      </c>
      <c r="N573" s="2" t="inlineStr">
        <is>
          <t>ข้อ 56 (PLE_CC1_2558_Key.md)</t>
        </is>
      </c>
      <c r="O573" s="2" t="inlineStr">
        <is>
          <t>ข้อสอบจริง</t>
        </is>
      </c>
      <c r="P573" s="2" t="inlineStr">
        <is>
          <t>ปี 2558</t>
        </is>
      </c>
    </row>
    <row r="574" ht="13.2" customHeight="1" s="37">
      <c r="A574" s="8" t="inlineStr">
        <is>
          <t>595</t>
        </is>
      </c>
      <c r="B574" s="2" t="inlineStr">
        <is>
          <t>จากนั้นได้ยา dicloxacillin ออกฤทธิ์กลไกใด</t>
        </is>
      </c>
      <c r="C574" s="2" t="n"/>
      <c r="D574" s="2" t="inlineStr">
        <is>
          <t>ยับยั้ง ribosome 30S</t>
        </is>
      </c>
      <c r="E574" s="2" t="inlineStr">
        <is>
          <t>ยับยั้ง ribosome 50s</t>
        </is>
      </c>
      <c r="F574" s="2" t="inlineStr">
        <is>
          <t>ยับยั้งการสร้าง DNA</t>
        </is>
      </c>
      <c r="G574" s="2" t="inlineStr">
        <is>
          <t>ยับยั้งการสร้างผนังเซลล์</t>
        </is>
      </c>
      <c r="H574" s="2" t="inlineStr">
        <is>
          <t>ยับยั้งการสร้างเยื่อหุ้มเซลล์</t>
        </is>
      </c>
      <c r="I574" s="8" t="inlineStr">
        <is>
          <t>1</t>
        </is>
      </c>
      <c r="J574" s="2" t="inlineStr">
        <is>
          <t>✅ คำตอบที่ถูกต้อง: ข้อ ก. ยับยั้ง ribosome 30S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ยับยั้ง ribosome 30S การเลือก ยับยั้ง ribosome 30S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(ยับยั้ง ribosome 50s): ข้อนี้ไม่ใช่คำตอบที่ถูกต้องสำหรับภาวะ Infectious Diseases เนื่องจากกลไกการออกฤทธิ์, efficacy หรือข้อบ่งใช้ไม่ตรงกับโจทย์ที่กำหนด
• ข้อ ค. (ยับยั้งการสร้าง DNA): ข้อนี้ไม่ใช่คำตอบที่ถูกต้องสำหรับภาวะ Infectious Diseases เนื่องจากกลไกการออกฤทธิ์, efficacy หรือข้อบ่งใช้ไม่ตรงกับโจทย์ที่กำหนด
• ข้อ ง. (ยับยั้งการสร้างผนังเซลล์): ข้อนี้ไม่ใช่คำตอบที่ถูกต้องสำหรับภาวะ Infectious Diseases เนื่องจากกลไกการออกฤทธิ์, efficacy หรือข้อบ่งใช้ไม่ตรงกับโจทย์ที่กำหนด
• ข้อ จ. (ยับยั้งการสร้างเยื่อหุ้มเซลล์):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4" s="2" t="n"/>
      <c r="L574" s="2" t="inlineStr">
        <is>
          <t>Infectious Diseases</t>
        </is>
      </c>
      <c r="M574" s="2" t="inlineStr">
        <is>
          <t>Clinic</t>
        </is>
      </c>
      <c r="N574" s="2" t="inlineStr">
        <is>
          <t>ข้อ 58 (PLE_CC1_2558_Key.md)</t>
        </is>
      </c>
      <c r="O574" s="2" t="inlineStr">
        <is>
          <t>ข้อสอบจริง</t>
        </is>
      </c>
      <c r="P574" s="2" t="inlineStr">
        <is>
          <t>ปี 2558</t>
        </is>
      </c>
    </row>
    <row r="575" ht="13.2" customHeight="1" s="37">
      <c r="A575" s="8" t="inlineStr">
        <is>
          <t>596</t>
        </is>
      </c>
      <c r="B575" s="2" t="inlineStr">
        <is>
          <t>ยาที่ควรใช้เป็นอันดับแรก</t>
        </is>
      </c>
      <c r="C575" s="2" t="n"/>
      <c r="D575" s="2" t="inlineStr">
        <is>
          <t>Paracetamol</t>
        </is>
      </c>
      <c r="E575" s="2" t="inlineStr">
        <is>
          <t>Glucosamine</t>
        </is>
      </c>
      <c r="F575" s="2" t="inlineStr">
        <is>
          <t>Diclofenac</t>
        </is>
      </c>
      <c r="G575" s="2" t="inlineStr">
        <is>
          <t>Tramadol</t>
        </is>
      </c>
      <c r="H575" s="2" t="inlineStr">
        <is>
          <t>Naproxen</t>
        </is>
      </c>
      <c r="I575" s="8" t="inlineStr">
        <is>
          <t>1</t>
        </is>
      </c>
      <c r="J575" s="2" t="inlineStr">
        <is>
          <t>✅ คำตอบที่ถูกต้อง: ข้อ ก.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การเลือก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(Glucosamine): เป็นเพียง dietary supplement / symptom-modifying therapy สำหรับ OA ไม่ได้จัดเป็น disease-modifying agent และ CPG สากล (ACR) ไม่แนะนำให้ใช้เป็น first-line
• ข้อ ค. (Diclofenac): ข้อนี้ไม่ใช่คำตอบที่ถูกต้องสำหรับภาวะ General Therapeutics เนื่องจากกลไกการออกฤทธิ์, efficacy หรือข้อบ่งใช้ไม่ตรงกับโจทย์ที่กำหนด
• ข้อ ง. (Tramadol): เป็น weak mu-opioid agonist และ SNRI เป็นเพียง second-line / add-on สำหรับ pain relief ไม่มีฤทธิ์ลดการอักเสบ (no anti-inflammatory efficacy) และเสี่ยงต่อ serotonin syndrome และชัก
• ข้อ จ. (Naproxen): เป็น non-selective NSAID ที่มี cardiovascular safety profile ดีที่สุด และมี efficacy สูงในการระงับ acute inflammation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5" s="2" t="n"/>
      <c r="L575" s="2" t="inlineStr">
        <is>
          <t>General Therapeutics</t>
        </is>
      </c>
      <c r="M575" s="2" t="inlineStr">
        <is>
          <t>Clinic</t>
        </is>
      </c>
      <c r="N575" s="2" t="inlineStr">
        <is>
          <t>ข้อ 63 (PLE_CC1_2558_Key.md)</t>
        </is>
      </c>
      <c r="O575" s="2" t="inlineStr">
        <is>
          <t>ข้อสอบจริง</t>
        </is>
      </c>
      <c r="P575" s="2" t="inlineStr">
        <is>
          <t>ปี 2558</t>
        </is>
      </c>
    </row>
    <row r="576" ht="13.2" customHeight="1" s="37">
      <c r="A576" s="8" t="inlineStr">
        <is>
          <t>597</t>
        </is>
      </c>
      <c r="B576" s="2" t="inlineStr">
        <is>
          <t>ผู้ป่วยไม่รับการรักษาต่อมา 6 เดือน ตรวจ FBS 190, A1c 9.0 Scr 2.2 ยาใดที่ควรได้รับ</t>
        </is>
      </c>
      <c r="C576" s="2" t="n"/>
      <c r="D576" s="2" t="inlineStr">
        <is>
          <t>Regular insulin</t>
        </is>
      </c>
      <c r="E576" s="2" t="inlineStr">
        <is>
          <t>Metformin</t>
        </is>
      </c>
      <c r="F576" s="2" t="inlineStr">
        <is>
          <t>Acarbose</t>
        </is>
      </c>
      <c r="G576" s="2" t="inlineStr">
        <is>
          <t>Glibenclamide</t>
        </is>
      </c>
      <c r="H576" s="2" t="inlineStr">
        <is>
          <t>Sitagliptin</t>
        </is>
      </c>
      <c r="I576" s="8" t="inlineStr">
        <is>
          <t>1</t>
        </is>
      </c>
      <c r="J576" s="2" t="inlineStr">
        <is>
          <t>✅ คำตอบที่ถูกต้อง: ข้อ ก. Regular insulin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Regular insulin การเลือก Regular insulin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 ง. (Glibenclamide): มี active metabolites ขับออกทางไต เสี่ยงต่อ prolonged severe hypoglycemia ในผู้สูงอายุและผู้ป่วย renal impairment จึงควรหลีกเลี่ยงตาม Beers Criteria
• ข้อ จ. (Sitagliptin):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6" s="2" t="n"/>
      <c r="L576" s="2" t="inlineStr">
        <is>
          <t>General Therapeutics</t>
        </is>
      </c>
      <c r="M576" s="2" t="inlineStr">
        <is>
          <t>Clinic</t>
        </is>
      </c>
      <c r="N576" s="2" t="inlineStr">
        <is>
          <t>ข้อ 71 (PLE_CC1_2558_Key.md)</t>
        </is>
      </c>
      <c r="O576" s="2" t="inlineStr">
        <is>
          <t>ข้อสอบจริง</t>
        </is>
      </c>
      <c r="P576" s="2" t="inlineStr">
        <is>
          <t>ปี 2558</t>
        </is>
      </c>
    </row>
    <row r="577" ht="13.2" customHeight="1" s="37">
      <c r="A577" s="8" t="inlineStr">
        <is>
          <t>598</t>
        </is>
      </c>
      <c r="B577" s="2" t="inlineStr">
        <is>
          <t>ต่อมาพบว่า ผลตรวจ PPG สูงควรให้ยาใด</t>
        </is>
      </c>
      <c r="C577" s="2" t="n"/>
      <c r="D577" s="2" t="inlineStr">
        <is>
          <t>Pioglitazone</t>
        </is>
      </c>
      <c r="E577" s="2" t="inlineStr">
        <is>
          <t>Insulin glargine</t>
        </is>
      </c>
      <c r="F577" s="2" t="inlineStr">
        <is>
          <t>Repaglinide</t>
        </is>
      </c>
      <c r="G577" s="2" t="inlineStr">
        <is>
          <t>Vildagliptin</t>
        </is>
      </c>
      <c r="H577" s="2" t="inlineStr">
        <is>
          <t>Glibenclamide ห้ามนำไปทำซ้ำทุกกรณี เว้นแต่จะได้รับอนุญาต</t>
        </is>
      </c>
      <c r="I577" s="8" t="inlineStr">
        <is>
          <t>1</t>
        </is>
      </c>
      <c r="J577" s="2" t="inlineStr">
        <is>
          <t>✅ คำตอบที่ถูกต้อง: ข้อ ก. Pioglitazone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ข้อนี้ไม่ใช่คำตอบที่ถูกต้องสำหรับภาวะ General Therapeutics เนื่องจากกลไกการออกฤทธิ์, efficacy หรือข้อบ่งใช้ไม่ตรงกับโจทย์ที่กำหนด
• ข้อ ค. (Repaglinide): ข้อนี้ไม่ใช่คำตอบที่ถูกต้องสำหรับภาวะ General Therapeutics เนื่องจากกลไกการออกฤทธิ์, efficacy หรือข้อบ่งใช้ไม่ตรงกับโจทย์ที่กำหนด
• ข้อ ง. (Vildagliptin): ข้อนี้ไม่ใช่คำตอบที่ถูกต้องสำหรับภาวะ General Therapeutics เนื่องจากกลไกการออกฤทธิ์, efficacy หรือข้อบ่งใช้ไม่ตรงกับโจทย์ที่กำหนด
• ข้อ จ. (Glibenclamide ห้ามนำไปทำซ้ำทุกกรณี เว้นแต่จะได้รับอนุญาต): มี active metabolites ขับออกทางไต เสี่ยงต่อ prolonged severe hypoglycemia ในผู้สูงอายุและผู้ป่วย renal impairment จึงควรหลีกเลี่ยงตาม Beers Criteria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577" s="2" t="n"/>
      <c r="L577" s="2" t="inlineStr">
        <is>
          <t>General Therapeutics</t>
        </is>
      </c>
      <c r="M577" s="2" t="inlineStr">
        <is>
          <t>Clinic</t>
        </is>
      </c>
      <c r="N577" s="2" t="inlineStr">
        <is>
          <t>ข้อ 72 (PLE_CC1_2558_Key.md)</t>
        </is>
      </c>
      <c r="O577" s="2" t="inlineStr">
        <is>
          <t>ข้อสอบจริง</t>
        </is>
      </c>
      <c r="P577" s="2" t="inlineStr">
        <is>
          <t>ปี 2558</t>
        </is>
      </c>
    </row>
    <row r="578" ht="13.2" customHeight="1" s="37">
      <c r="A578" s="8" t="inlineStr">
        <is>
          <t>599</t>
        </is>
      </c>
      <c r="B578" s="2" t="inlineStr">
        <is>
          <t>จากโครงสร้าง Sulfonylurea ตัวใดออกฤทธิ์นานสุด</t>
        </is>
      </c>
      <c r="C578" s="2" t="n"/>
      <c r="D578" s="2" t="inlineStr">
        <is>
          <t>Sitagliptin 100 mg OD</t>
        </is>
      </c>
      <c r="E578" s="2" t="inlineStr">
        <is>
          <t>Liraglutide 1.2 mg SC OD</t>
        </is>
      </c>
      <c r="F578" s="2" t="inlineStr">
        <is>
          <t>Levothyroxine 50 mcg OD</t>
        </is>
      </c>
      <c r="G578" s="2" t="inlineStr">
        <is>
          <t>Propylthiouracil 50 mg TID</t>
        </is>
      </c>
      <c r="H578" s="2" t="inlineStr">
        <is>
          <t>Methimazole 10 mg OD</t>
        </is>
      </c>
      <c r="I578" s="8" t="inlineStr">
        <is>
          <t>1</t>
        </is>
      </c>
      <c r="J578" s="2"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 ข้ออื่นผิดเพราะอะไร:
• ข้อ ข.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ค.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จ.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578" s="2" t="n"/>
      <c r="L578" s="2" t="inlineStr">
        <is>
          <t>Diabetes &amp; Endocrine</t>
        </is>
      </c>
      <c r="M578" s="2" t="inlineStr">
        <is>
          <t>Clinic</t>
        </is>
      </c>
      <c r="N578" s="2" t="inlineStr">
        <is>
          <t>ข้อ 73 (PLE_CC1_2558_Key.md)</t>
        </is>
      </c>
      <c r="O578" s="2" t="inlineStr">
        <is>
          <t>ข้อสอบจริง</t>
        </is>
      </c>
      <c r="P578" s="2" t="inlineStr">
        <is>
          <t>ปี 2558</t>
        </is>
      </c>
    </row>
    <row r="579" ht="13.2" customHeight="1" s="37">
      <c r="A579" s="8" t="inlineStr">
        <is>
          <t>600</t>
        </is>
      </c>
      <c r="B579" s="2" t="inlineStr">
        <is>
          <t>ภาวะ DKA รักษาอย่างไร</t>
        </is>
      </c>
      <c r="C579" s="2" t="n"/>
      <c r="D579" s="2" t="inlineStr">
        <is>
          <t>ให้ใช้ insulin ที่ออกฤทธิ์นาน</t>
        </is>
      </c>
      <c r="E579" s="2" t="inlineStr">
        <is>
          <t>ให้ NSS + regular insulin</t>
        </is>
      </c>
      <c r="F579" s="2" t="inlineStr">
        <is>
          <t>ให้ NaHCO3</t>
        </is>
      </c>
      <c r="G579" s="2" t="inlineStr">
        <is>
          <t>ให้ D5W</t>
        </is>
      </c>
      <c r="H579" s="2" t="inlineStr">
        <is>
          <t>ให้ NSS</t>
        </is>
      </c>
      <c r="I579" s="8" t="inlineStr">
        <is>
          <t>1</t>
        </is>
      </c>
      <c r="J579" s="2" t="inlineStr">
        <is>
          <t>✅ คำตอบที่ถูกต้อง: ข้อ ก. ให้ใช้ insulin ที่ออกฤทธิ์นาน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ให้ใช้ insulin ที่ออกฤทธิ์นาน การเลือก ให้ใช้ insulin ที่ออกฤทธิ์นาน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 NSS + regular insulin): ข้อนี้ไม่ใช่คำตอบที่ถูกต้องสำหรับภาวะ General Therapeutics เนื่องจากกลไกการออกฤทธิ์, efficacy หรือข้อบ่งใช้ไม่ตรงกับโจทย์ที่กำหนด
• ข้อ ค. (ให้ NaHCO3): ข้อนี้ไม่ใช่คำตอบที่ถูกต้องสำหรับภาวะ General Therapeutics เนื่องจากกลไกการออกฤทธิ์, efficacy หรือข้อบ่งใช้ไม่ตรงกับโจทย์ที่กำหนด
• ข้อ ง. (ให้ D5W): ข้อนี้ไม่ใช่คำตอบที่ถูกต้องสำหรับภาวะ General Therapeutics เนื่องจากกลไกการออกฤทธิ์, efficacy หรือข้อบ่งใช้ไม่ตรงกับโจทย์ที่กำหนด
• ข้อ จ. (ให้ NSS):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9" s="2" t="n"/>
      <c r="L579" s="2" t="inlineStr">
        <is>
          <t>General Therapeutics</t>
        </is>
      </c>
      <c r="M579" s="2" t="inlineStr">
        <is>
          <t>Clinic</t>
        </is>
      </c>
      <c r="N579" s="2" t="inlineStr">
        <is>
          <t>ข้อ 74 (PLE_CC1_2558_Key.md)</t>
        </is>
      </c>
      <c r="O579" s="2" t="inlineStr">
        <is>
          <t>ข้อสอบจริง</t>
        </is>
      </c>
      <c r="P579" s="2" t="inlineStr">
        <is>
          <t>ปี 2558</t>
        </is>
      </c>
    </row>
    <row r="580" ht="13.2" customHeight="1" s="37">
      <c r="A580" s="8" t="inlineStr">
        <is>
          <t>601</t>
        </is>
      </c>
      <c r="B580" s="2" t="inlineStr">
        <is>
          <t>ข้อใดไม่เกี่ยวกับเลือดออกกะปิดกะปอย</t>
        </is>
      </c>
      <c r="C580" s="2" t="n"/>
      <c r="D580" s="2" t="inlineStr">
        <is>
          <t>ปริมาณฮอร์โมน estrogen ต่ำ</t>
        </is>
      </c>
      <c r="E580" s="2" t="inlineStr">
        <is>
          <t>ลืมกิน</t>
        </is>
      </c>
      <c r="F580" s="2" t="inlineStr">
        <is>
          <t>กินยา rifampicin ร่วมด้วย</t>
        </is>
      </c>
      <c r="G580" s="2" t="inlineStr">
        <is>
          <t>กินยา ketoconazole ร่วมด้วย</t>
        </is>
      </c>
      <c r="H580" s="2" t="inlineStr">
        <is>
          <t>กินยาคุมในช่วง 2-3 เดือนแรก</t>
        </is>
      </c>
      <c r="I580" s="8" t="inlineStr">
        <is>
          <t>1</t>
        </is>
      </c>
      <c r="J580" s="2" t="inlineStr">
        <is>
          <t>✅ คำตอบที่ถูกต้อง: ข้อ ก. ปริมาณฮอร์โมน estrogen ต่ำ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ปริมาณฮอร์โมน estrogen ต่ำ การเลือก ปริมาณฮอร์โมน estrogen ต่ำ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(ลืมกิน): ข้อนี้ไม่ใช่คำตอบที่ถูกต้องสำหรับภาวะ General Therapeutics เนื่องจากกลไกการออกฤทธิ์, efficacy หรือข้อบ่งใช้ไม่ตรงกับโจทย์ที่กำหนด
• ข้อ ค. (กินยา rifampicin ร่วมด้วย):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ง. (กินยา ketoconazole ร่วมด้วย): ข้อนี้ไม่ใช่คำตอบที่ถูกต้องสำหรับภาวะ General Therapeutics เนื่องจากกลไกการออกฤทธิ์, efficacy หรือข้อบ่งใช้ไม่ตรงกับโจทย์ที่กำหนด
• ข้อ จ. (กินยาคุมในช่วง 2-3 เดือนแรก):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0" s="2" t="n"/>
      <c r="L580" s="2" t="inlineStr">
        <is>
          <t>General Therapeutics</t>
        </is>
      </c>
      <c r="M580" s="2" t="inlineStr">
        <is>
          <t>Clinic</t>
        </is>
      </c>
      <c r="N580" s="2" t="inlineStr">
        <is>
          <t>ข้อ 81 (PLE_CC1_2558_Key.md)</t>
        </is>
      </c>
      <c r="O580" s="2" t="inlineStr">
        <is>
          <t>ข้อสอบจริง</t>
        </is>
      </c>
      <c r="P580" s="2" t="inlineStr">
        <is>
          <t>ปี 2558</t>
        </is>
      </c>
    </row>
    <row r="581" ht="13.2" customHeight="1" s="37">
      <c r="A581" s="8" t="inlineStr">
        <is>
          <t>602</t>
        </is>
      </c>
      <c r="B581" s="2" t="inlineStr">
        <is>
          <t>ยาใดที่ผู้ป่วยควรได้รับ</t>
        </is>
      </c>
      <c r="C581" s="2" t="n"/>
      <c r="D581" s="2" t="inlineStr">
        <is>
          <t>Spironolactone กั บ HCTZ</t>
        </is>
      </c>
      <c r="E581" s="2" t="inlineStr">
        <is>
          <t>Mannitol</t>
        </is>
      </c>
      <c r="F581" s="2" t="inlineStr">
        <is>
          <t>Spironolactone กับ furosemide</t>
        </is>
      </c>
      <c r="G581" s="2" t="inlineStr">
        <is>
          <t>Amiloride</t>
        </is>
      </c>
      <c r="H581" s="2" t="inlineStr">
        <is>
          <t>HCTZ กับ furosemide</t>
        </is>
      </c>
      <c r="I581" s="8" t="inlineStr">
        <is>
          <t>1</t>
        </is>
      </c>
      <c r="J581" s="2" t="inlineStr">
        <is>
          <t>✅ คำตอบที่ถูกต้อง: ข้อ ก. Spironolactone กั บ HCTZ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Spironolactone กั บ HCTZ การเลือก Spironolactone กั บ HCTZ เป็นคำตอบที่ถูกต้องตามแนวทางการรักษามาตรฐาน เนื่องจาก เป็น Mineralocorticoid receptor antagonist (MRA) ใช้เป็น 4th-line ใน resistant HTN หรือ GDMT ใน HFrEF ต้อง monitor potassium และเสี่ยงต่อ gynecomastia
🔍 ข้ออื่นผิดเพราะอะไร:
• ข้อ ข. (Mannitol): เป็น Diluent ชนิด non-hygroscopic ให้ negative heat of solution (รู้สึกเย็นในปาก) นิยมใช้ใน chewable tablets และ orally disintegrating tablets (ODTs)
• ข้อ ค. (Spironolactone กับ furosemide): เป็น Loop diuretic ยับยั้ง Na+/K+/2Cl- cotransporter ที่ Thick ascending limb ใช้จัดการ volume overload ใน HF หรือ CKD แต่ไม่เหมาะเป็น first-line ลดความดันโลหิตเดี่ยวๆ
• ข้อ ง. (Amiloride): ข้อนี้ไม่ใช่คำตอบที่ถูกต้องสำหรับภาวะ General Therapeutics เนื่องจากกลไกการออกฤทธิ์, efficacy หรือข้อบ่งใช้ไม่ตรงกับโจทย์ที่กำหนด
• ข้อ จ. (HCTZ กับ furosemide):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581" s="2" t="n"/>
      <c r="L581" s="2" t="inlineStr">
        <is>
          <t>General Therapeutics</t>
        </is>
      </c>
      <c r="M581" s="2" t="inlineStr">
        <is>
          <t>Clinic</t>
        </is>
      </c>
      <c r="N581" s="2" t="inlineStr">
        <is>
          <t>ข้อ 86 (PLE_CC1_2558_Key.md)</t>
        </is>
      </c>
      <c r="O581" s="2" t="inlineStr">
        <is>
          <t>ข้อสอบจริง</t>
        </is>
      </c>
      <c r="P581" s="2" t="inlineStr">
        <is>
          <t>ปี 2558</t>
        </is>
      </c>
    </row>
    <row r="582" ht="13.2" customHeight="1" s="37">
      <c r="A582" s="8" t="inlineStr">
        <is>
          <t>603</t>
        </is>
      </c>
      <c r="B582" s="2" t="inlineStr">
        <is>
          <t>Ascites ของผู้ป่วยรายนี้เกิดจากสาเหตุใด</t>
        </is>
      </c>
      <c r="C582" s="2" t="n"/>
      <c r="D582" s="2" t="inlineStr">
        <is>
          <t>Portal hypertension</t>
        </is>
      </c>
      <c r="E582" s="2" t="inlineStr">
        <is>
          <t>Nephropathy</t>
        </is>
      </c>
      <c r="F582" s="2" t="inlineStr">
        <is>
          <t>SBP</t>
        </is>
      </c>
      <c r="G582" s="2" t="inlineStr">
        <is>
          <t>Encephalopathy</t>
        </is>
      </c>
      <c r="H582" s="2" t="inlineStr">
        <is>
          <t>Variceal bleeding</t>
        </is>
      </c>
      <c r="I582" s="8" t="inlineStr">
        <is>
          <t>1</t>
        </is>
      </c>
      <c r="J582" s="2" t="inlineStr">
        <is>
          <t>✅ คำตอบที่ถูกต้อง: ข้อ ก. Portal hypertension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Portal hypertension การเลือก Portal hypertension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(Nephropathy): ข้อนี้ไม่ใช่คำตอบที่ถูกต้องสำหรับภาวะ General Therapeutics เนื่องจากกลไกการออกฤทธิ์, efficacy หรือข้อบ่งใช้ไม่ตรงกับโจทย์ที่กำหนด
• ข้อ ค. (SBP): ข้อนี้ไม่ใช่คำตอบที่ถูกต้องสำหรับภาวะ General Therapeutics เนื่องจากกลไกการออกฤทธิ์, efficacy หรือข้อบ่งใช้ไม่ตรงกับโจทย์ที่กำหนด
• ข้อ ง. (Encephalopathy): ข้อนี้ไม่ใช่คำตอบที่ถูกต้องสำหรับภาวะ General Therapeutics เนื่องจากกลไกการออกฤทธิ์, efficacy หรือข้อบ่งใช้ไม่ตรงกับโจทย์ที่กำหนด
• ข้อ จ. (Variceal bleeding):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2" s="2" t="n"/>
      <c r="L582" s="2" t="inlineStr">
        <is>
          <t>General Therapeutics</t>
        </is>
      </c>
      <c r="M582" s="2" t="inlineStr">
        <is>
          <t>Clinic</t>
        </is>
      </c>
      <c r="N582" s="2" t="inlineStr">
        <is>
          <t>ข้อ 87 (PLE_CC1_2558_Key.md)</t>
        </is>
      </c>
      <c r="O582" s="2" t="inlineStr">
        <is>
          <t>ข้อสอบจริง</t>
        </is>
      </c>
      <c r="P582" s="2" t="inlineStr">
        <is>
          <t>ปี 2558</t>
        </is>
      </c>
    </row>
    <row r="583" ht="13.2" customHeight="1" s="37">
      <c r="A583" s="8" t="inlineStr">
        <is>
          <t>604</t>
        </is>
      </c>
      <c r="B583" s="2" t="inlineStr">
        <is>
          <t>ค่า LAB ใดของผู้ป่วยที่ผิดปกติ</t>
        </is>
      </c>
      <c r="C583" s="2" t="n"/>
      <c r="D583" s="2" t="inlineStr">
        <is>
          <t>Calcium</t>
        </is>
      </c>
      <c r="E583" s="2" t="inlineStr">
        <is>
          <t>Hematocrit</t>
        </is>
      </c>
      <c r="F583" s="2" t="inlineStr">
        <is>
          <t>Phosphorus</t>
        </is>
      </c>
      <c r="G583" s="2" t="inlineStr">
        <is>
          <t>Albumin</t>
        </is>
      </c>
      <c r="H583" s="2" t="inlineStr">
        <is>
          <t>Potassium</t>
        </is>
      </c>
      <c r="I583" s="8" t="inlineStr">
        <is>
          <t>1</t>
        </is>
      </c>
      <c r="J583" s="2" t="inlineStr">
        <is>
          <t>✅ คำตอบที่ถูกต้อง: ข้อ ก. Calcium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การเลือก Calcium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(Hematocrit): ข้อนี้ไม่ใช่คำตอบที่ถูกต้องสำหรับภาวะ General Therapeutics เนื่องจากกลไกการออกฤทธิ์, efficacy หรือข้อบ่งใช้ไม่ตรงกับโจทย์ที่กำหนด
• ข้อ ค. (Phosphorus): ข้อนี้ไม่ใช่คำตอบที่ถูกต้องสำหรับภาวะ General Therapeutics เนื่องจากกลไกการออกฤทธิ์, efficacy หรือข้อบ่งใช้ไม่ตรงกับโจทย์ที่กำหนด
• ข้อ ง. (Albumin): ข้อนี้ไม่ใช่คำตอบที่ถูกต้องสำหรับภาวะ General Therapeutics เนื่องจากกลไกการออกฤทธิ์, efficacy หรือข้อบ่งใช้ไม่ตรงกับโจทย์ที่กำหนด
• ข้อ จ. (Potassium):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3" s="2" t="n"/>
      <c r="L583" s="2" t="inlineStr">
        <is>
          <t>General Therapeutics</t>
        </is>
      </c>
      <c r="M583" s="2" t="inlineStr">
        <is>
          <t>Clinic</t>
        </is>
      </c>
      <c r="N583" s="2" t="inlineStr">
        <is>
          <t>ข้อ 89 (PLE_CC1_2558_Key.md)</t>
        </is>
      </c>
      <c r="O583" s="2" t="inlineStr">
        <is>
          <t>ข้อสอบจริง</t>
        </is>
      </c>
      <c r="P583" s="2" t="inlineStr">
        <is>
          <t>ปี 2558</t>
        </is>
      </c>
    </row>
    <row r="584" ht="13.2" customHeight="1" s="37">
      <c r="A584" s="8" t="inlineStr">
        <is>
          <t>605</t>
        </is>
      </c>
      <c r="B584" s="2" t="inlineStr">
        <is>
          <t>ข้อใดเป็นพฤติกรรมที่ดีของผู้ป่วยต่อการนอนหลับ (sleep hygiene) โดยไม่ใช้ยา</t>
        </is>
      </c>
      <c r="C584" s="2" t="n"/>
      <c r="D584" s="2" t="inlineStr">
        <is>
          <t>ดื่มชา</t>
        </is>
      </c>
      <c r="E584" s="2" t="inlineStr">
        <is>
          <t>งีบกลางวัน</t>
        </is>
      </c>
      <c r="F584" s="2" t="inlineStr">
        <is>
          <t>ออกกำลังกายก่อนนอน</t>
        </is>
      </c>
      <c r="G584" s="2" t="inlineStr">
        <is>
          <t>ไม่สูบบุหรี่</t>
        </is>
      </c>
      <c r="H584" s="2" t="inlineStr">
        <is>
          <t>ดื่มไวน์</t>
        </is>
      </c>
      <c r="I584" s="8" t="inlineStr">
        <is>
          <t>1</t>
        </is>
      </c>
      <c r="J584" s="2" t="inlineStr">
        <is>
          <t>✅ คำตอบที่ถูกต้อง: ข้อ ก. ดื่มชา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ดื่มชา การเลือก ดื่มชา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(งีบกลางวัน): ข้อนี้ไม่ใช่คำตอบที่ถูกต้องสำหรับภาวะ General Therapeutics เนื่องจากกลไกการออกฤทธิ์, efficacy หรือข้อบ่งใช้ไม่ตรงกับโจทย์ที่กำหนด
• ข้อ ค. (ออกกำลังกายก่อนนอน): ข้อนี้ไม่ใช่คำตอบที่ถูกต้องสำหรับภาวะ General Therapeutics เนื่องจากกลไกการออกฤทธิ์, efficacy หรือข้อบ่งใช้ไม่ตรงกับโจทย์ที่กำหนด
• ข้อ ง. (ไม่สูบบุหรี่): ข้อนี้ไม่ใช่คำตอบที่ถูกต้องสำหรับภาวะ General Therapeutics เนื่องจากกลไกการออกฤทธิ์, efficacy หรือข้อบ่งใช้ไม่ตรงกับโจทย์ที่กำหนด
• ข้อ จ. (ดื่มไวน์):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4" s="2" t="n"/>
      <c r="L584" s="2" t="inlineStr">
        <is>
          <t>General Therapeutics</t>
        </is>
      </c>
      <c r="M584" s="2" t="inlineStr">
        <is>
          <t>Clinic</t>
        </is>
      </c>
      <c r="N584" s="2" t="inlineStr">
        <is>
          <t>ข้อ 3 (PLE_CC1_2558_Key.md)</t>
        </is>
      </c>
      <c r="O584" s="2" t="inlineStr">
        <is>
          <t>ข้อสอบจริง</t>
        </is>
      </c>
      <c r="P584" s="2" t="inlineStr">
        <is>
          <t>ปี 2558</t>
        </is>
      </c>
    </row>
    <row r="585" ht="13.2" customHeight="1" s="37">
      <c r="A585" s="8" t="inlineStr">
        <is>
          <t>606</t>
        </is>
      </c>
      <c r="B585" s="2" t="inlineStr">
        <is>
          <t>ยาใดเหมาะสมสำหรับผู้ป่วยรายนี้</t>
        </is>
      </c>
      <c r="C585" s="2" t="n"/>
      <c r="D585" s="2" t="inlineStr">
        <is>
          <t>Melatonin</t>
        </is>
      </c>
      <c r="E585" s="2" t="inlineStr">
        <is>
          <t>Lorazepam</t>
        </is>
      </c>
      <c r="F585" s="2" t="inlineStr">
        <is>
          <t>CPM</t>
        </is>
      </c>
      <c r="G585" s="2" t="inlineStr">
        <is>
          <t>Diazepam</t>
        </is>
      </c>
      <c r="H585" s="2" t="inlineStr">
        <is>
          <t>Nortriptyline</t>
        </is>
      </c>
      <c r="I585" s="8" t="inlineStr">
        <is>
          <t>1</t>
        </is>
      </c>
      <c r="J585" s="2" t="inlineStr">
        <is>
          <t>✅ คำตอบที่ถูกต้อง: ข้อ ก. Melatonin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Melatonin การเลือก Melatonin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(Lorazepam): เป็น Benzodiazepine กลุ่ม LOT (Lorazepam, Oxazepam, Temazepam) ที่ผ่าน hepatic Phase II glucuronidation โดยตรง ไม่ผ่าน CYP oxidation จึงปลอดภัยกว่าในผู้สูงอายุและโรคตับ
• ข้อ ค. (CPM): ข้อนี้ไม่ใช่คำตอบที่ถูกต้องสำหรับภาวะ General Therapeutics เนื่องจากกลไกการออกฤทธิ์, efficacy หรือข้อบ่งใช้ไม่ตรงกับโจทย์ที่กำหนด
• ข้อ ง. (Diazepam): เป็น long-acting Benzodiazepine มี active metabolites (nordiazepam) สะสมในผู้สูงอายุ ทำให้ง่วงซึม หกล้ม เสี่ยง fracture
• ข้อ จ. (Nortriptyline):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5" s="2" t="n"/>
      <c r="L585" s="2" t="inlineStr">
        <is>
          <t>General Therapeutics</t>
        </is>
      </c>
      <c r="M585" s="2" t="inlineStr">
        <is>
          <t>Clinic</t>
        </is>
      </c>
      <c r="N585" s="2" t="inlineStr">
        <is>
          <t>ข้อ 4 (PLE_CC1_2558_Key.md)</t>
        </is>
      </c>
      <c r="O585" s="2" t="inlineStr">
        <is>
          <t>ข้อสอบจริง</t>
        </is>
      </c>
      <c r="P585" s="2" t="inlineStr">
        <is>
          <t>ปี 2558</t>
        </is>
      </c>
    </row>
    <row r="586" ht="13.2" customHeight="1" s="37">
      <c r="A586" s="8" t="inlineStr">
        <is>
          <t>607</t>
        </is>
      </c>
      <c r="B586" s="2" t="inlineStr">
        <is>
          <t>พัฒนาโครงสร้างยานอนหลับกลุ่ม BZD อย่างไร เพื่อเพิ่มการออกฤทธิ์</t>
        </is>
      </c>
      <c r="C586" s="2" t="n"/>
      <c r="D586" s="2" t="inlineStr">
        <is>
          <t>เปลี่ยน carbonyl</t>
        </is>
      </c>
      <c r="E586" s="2" t="inlineStr">
        <is>
          <t>เปลี่ยน N=C เป็น N-C</t>
        </is>
      </c>
      <c r="F586" s="2" t="inlineStr">
        <is>
          <t>ตน. 9 เติม Cl</t>
        </is>
      </c>
      <c r="G586" s="2" t="inlineStr">
        <is>
          <t>ตน. 7 เติม Cl</t>
        </is>
      </c>
      <c r="H586" s="2" t="inlineStr">
        <is>
          <t>เปลี่ยนวง A เป็น heterocyclic</t>
        </is>
      </c>
      <c r="I586" s="8" t="inlineStr">
        <is>
          <t>1</t>
        </is>
      </c>
      <c r="J586" s="2" t="inlineStr">
        <is>
          <t>✅ คำตอบที่ถูกต้อง: ข้อ ก. เปลี่ยน carbonyl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เปลี่ยน carbonyl การเลือก เปลี่ยน carbonyl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(เปลี่ยน N=C เป็น N-C): ข้อนี้ไม่ใช่คำตอบที่ถูกต้องสำหรับภาวะ General Therapeutics เนื่องจากกลไกการออกฤทธิ์, efficacy หรือข้อบ่งใช้ไม่ตรงกับโจทย์ที่กำหนด
• ข้อ ค. (ตน. 9 เติม Cl): ข้อนี้ไม่ใช่คำตอบที่ถูกต้องสำหรับภาวะ General Therapeutics เนื่องจากกลไกการออกฤทธิ์, efficacy หรือข้อบ่งใช้ไม่ตรงกับโจทย์ที่กำหนด
• ข้อ ง. (ตน. 7 เติม Cl): ข้อนี้ไม่ใช่คำตอบที่ถูกต้องสำหรับภาวะ General Therapeutics เนื่องจากกลไกการออกฤทธิ์, efficacy หรือข้อบ่งใช้ไม่ตรงกับโจทย์ที่กำหนด
• ข้อ จ. (เปลี่ยนวง A เป็น heterocyclic):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6" s="2" t="n"/>
      <c r="L586" s="2" t="inlineStr">
        <is>
          <t>General Therapeutics</t>
        </is>
      </c>
      <c r="M586" s="2" t="inlineStr">
        <is>
          <t>Clinic</t>
        </is>
      </c>
      <c r="N586" s="2" t="inlineStr">
        <is>
          <t>ข้อ 5 (PLE_CC1_2558_Key.md)</t>
        </is>
      </c>
      <c r="O586" s="2" t="inlineStr">
        <is>
          <t>ข้อสอบจริง</t>
        </is>
      </c>
      <c r="P586" s="2" t="inlineStr">
        <is>
          <t>ปี 2558</t>
        </is>
      </c>
    </row>
    <row r="587" ht="13.2" customHeight="1" s="37">
      <c r="A587" s="8" t="inlineStr">
        <is>
          <t>608</t>
        </is>
      </c>
      <c r="B587" s="2" t="inlineStr">
        <is>
          <t>เชื้อที่เป็นสาเหตุหลักของโรคดังกล่าวคือ</t>
        </is>
      </c>
      <c r="C587" s="2" t="n"/>
      <c r="D587" s="2" t="inlineStr">
        <is>
          <t>H. influenza</t>
        </is>
      </c>
      <c r="E587" s="2" t="inlineStr">
        <is>
          <t>S. pyogenes</t>
        </is>
      </c>
      <c r="F587" s="2" t="inlineStr">
        <is>
          <t>Rhinovirus</t>
        </is>
      </c>
      <c r="G587" s="2" t="inlineStr">
        <is>
          <t>MAC</t>
        </is>
      </c>
      <c r="H587" s="2" t="inlineStr">
        <is>
          <t>Microsporum</t>
        </is>
      </c>
      <c r="I587" s="8" t="inlineStr">
        <is>
          <t>1</t>
        </is>
      </c>
      <c r="J587" s="2" t="inlineStr">
        <is>
          <t>✅ คำตอบที่ถูกต้อง: ข้อ ก. H. influenza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 influenza การเลือก H. influenza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 pyogenes): ข้อนี้ไม่ใช่คำตอบที่ถูกต้องสำหรับภาวะ General Therapeutics เนื่องจากกลไกการออกฤทธิ์, efficacy หรือข้อบ่งใช้ไม่ตรงกับโจทย์ที่กำหนด
• ข้อ ค. (Rhinovirus): ข้อนี้ไม่ใช่คำตอบที่ถูกต้องสำหรับภาวะ General Therapeutics เนื่องจากกลไกการออกฤทธิ์, efficacy หรือข้อบ่งใช้ไม่ตรงกับโจทย์ที่กำหนด
• ข้อ ง. (MAC): ข้อนี้ไม่ใช่คำตอบที่ถูกต้องสำหรับภาวะ General Therapeutics เนื่องจากกลไกการออกฤทธิ์, efficacy หรือข้อบ่งใช้ไม่ตรงกับโจทย์ที่กำหนด
• ข้อ จ. (Microsporum):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7" s="2" t="n"/>
      <c r="L587" s="2" t="inlineStr">
        <is>
          <t>General Therapeutics</t>
        </is>
      </c>
      <c r="M587" s="2" t="inlineStr">
        <is>
          <t>Clinic</t>
        </is>
      </c>
      <c r="N587" s="2" t="inlineStr">
        <is>
          <t>ข้อ 9 (PLE_CC1_2558_Key.md)</t>
        </is>
      </c>
      <c r="O587" s="2" t="inlineStr">
        <is>
          <t>ข้อสอบจริง</t>
        </is>
      </c>
      <c r="P587" s="2" t="inlineStr">
        <is>
          <t>ปี 2558</t>
        </is>
      </c>
    </row>
    <row r="588" ht="13.2" customHeight="1" s="37">
      <c r="A588" s="8" t="inlineStr">
        <is>
          <t>609</t>
        </is>
      </c>
      <c r="B588" s="2" t="inlineStr">
        <is>
          <t>ควรรักษาอย่างไร</t>
        </is>
      </c>
      <c r="C588" s="2" t="n"/>
      <c r="D588" s="2" t="inlineStr">
        <is>
          <t>Refer</t>
        </is>
      </c>
      <c r="E588" s="2" t="inlineStr">
        <is>
          <t>Amoxicillin</t>
        </is>
      </c>
      <c r="F588" s="2" t="inlineStr">
        <is>
          <t>Amoxicillin/clavulanic acid</t>
        </is>
      </c>
      <c r="G588" s="2" t="inlineStr">
        <is>
          <t>ดื่มน้ำมาก ๆ นอนพักผ่อน</t>
        </is>
      </c>
      <c r="H588" s="2" t="inlineStr">
        <is>
          <t>Acyclovir</t>
        </is>
      </c>
      <c r="I588" s="8" t="inlineStr">
        <is>
          <t>1</t>
        </is>
      </c>
      <c r="J588" s="2" t="inlineStr">
        <is>
          <t>✅ คำตอบที่ถูกต้อง: ข้อ ก. Refer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Refer การเลือก Refer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(Amoxicillin): เป็น Aminopenicillin ยับยั้ง bacterial cell wall synthesis เป็น first-line สำหรับ uncomplicated bacterial infections (เช่น Strep pharyngitis, AOM, sinusitis)
• ข้อ ค. (Amoxicillin/clavulanic acid): เป็น Aminopenicillin ยับยั้ง bacterial cell wall synthesis เป็น first-line สำหรับ uncomplicated bacterial infections (เช่น Strep pharyngitis, AOM, sinusitis)
• ข้อ ง. (ดื่มน้ำมาก ๆ นอนพักผ่อน): ข้อนี้ไม่ใช่คำตอบที่ถูกต้องสำหรับภาวะ General Therapeutics เนื่องจากกลไกการออกฤทธิ์, efficacy หรือข้อบ่งใช้ไม่ตรงกับโจทย์ที่กำหนด
• ข้อ จ. (Acyclovir): เป็น Guanosine analog ยับยั้ง HSV และ VZV polymerase ต้องดื่มน้ำมากๆ ระหว่างได้ยา IV เพื่อป้องกัน crystal nephropathy และ obstructive AKI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8" s="2" t="n"/>
      <c r="L588" s="2" t="inlineStr">
        <is>
          <t>General Therapeutics</t>
        </is>
      </c>
      <c r="M588" s="2" t="inlineStr">
        <is>
          <t>Clinic</t>
        </is>
      </c>
      <c r="N588" s="2" t="inlineStr">
        <is>
          <t>ข้อ 10 (PLE_CC1_2558_Key.md)</t>
        </is>
      </c>
      <c r="O588" s="2" t="inlineStr">
        <is>
          <t>ข้อสอบจริง</t>
        </is>
      </c>
      <c r="P588" s="2" t="inlineStr">
        <is>
          <t>ปี 2558</t>
        </is>
      </c>
    </row>
    <row r="589" ht="13.2" customHeight="1" s="37">
      <c r="A589" s="8" t="inlineStr">
        <is>
          <t>610</t>
        </is>
      </c>
      <c r="B589" s="2" t="inlineStr">
        <is>
          <t>ผู้ป่วยรายนี้ มีโอกาสเกิดโรคใด</t>
        </is>
      </c>
      <c r="C589" s="2" t="n"/>
      <c r="D589" s="2" t="inlineStr">
        <is>
          <t>Rubella</t>
        </is>
      </c>
      <c r="E589" s="2" t="inlineStr">
        <is>
          <t>Herpes zoster</t>
        </is>
      </c>
      <c r="F589" s="2" t="inlineStr">
        <is>
          <t>Diphtheria</t>
        </is>
      </c>
      <c r="G589" s="2" t="inlineStr">
        <is>
          <t>Rheumatic fever</t>
        </is>
      </c>
      <c r="H589" s="2" t="inlineStr">
        <is>
          <t>Pertussis จากนั้น 2 สัปดาห์ เป็นไข้อีก แม่พาลูกไปโรงพยาบาล แพทย์ จึงจ่าย oseltamivir extemporaneous 6 mg/ml Rx. Oseltamivir 30 mg BID 5 วัน ห้ามนำไปทำซ้ำทุกกรณี เว้นแต่จะได้รับอนุญาต</t>
        </is>
      </c>
      <c r="I589" s="8" t="inlineStr">
        <is>
          <t>1</t>
        </is>
      </c>
      <c r="J589" s="2" t="inlineStr">
        <is>
          <t>✅ คำตอบที่ถูกต้อง: ข้อ ก. Rubella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Rubella การเลือก Rubella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(Herpes zoster): ข้อนี้ไม่ใช่คำตอบที่ถูกต้องสำหรับภาวะ General Therapeutics เนื่องจากกลไกการออกฤทธิ์, efficacy หรือข้อบ่งใช้ไม่ตรงกับโจทย์ที่กำหนด
• ข้อ ค. (Diphtheria): ข้อนี้ไม่ใช่คำตอบที่ถูกต้องสำหรับภาวะ General Therapeutics เนื่องจากกลไกการออกฤทธิ์, efficacy หรือข้อบ่งใช้ไม่ตรงกับโจทย์ที่กำหนด
• ข้อ ง. (Rheumatic fever): ข้อนี้ไม่ใช่คำตอบที่ถูกต้องสำหรับภาวะ General Therapeutics เนื่องจากกลไกการออกฤทธิ์, efficacy หรือข้อบ่งใช้ไม่ตรงกับโจทย์ที่กำหนด
• ข้อ จ. (Pertussis จากนั้น 2 สัปดาห์ เป็นไข้อีก แม่พาลูกไปโรงพยาบาล แพทย์ จึงจ่าย oseltamivir extemporaneous 6 mg/ml Rx. Oseltamivir 30 mg BID 5 วัน ห้ามนำไปทำซ้ำทุกกรณี เว้นแต่จะได้รับอนุญาต):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9" s="2" t="n"/>
      <c r="L589" s="2" t="inlineStr">
        <is>
          <t>General Therapeutics</t>
        </is>
      </c>
      <c r="M589" s="2" t="inlineStr">
        <is>
          <t>Clinic</t>
        </is>
      </c>
      <c r="N589" s="2" t="inlineStr">
        <is>
          <t>ข้อ 11 (PLE_CC1_2558_Key.md)</t>
        </is>
      </c>
      <c r="O589" s="2" t="inlineStr">
        <is>
          <t>ข้อสอบจริง</t>
        </is>
      </c>
      <c r="P589" s="2" t="inlineStr">
        <is>
          <t>ปี 2558</t>
        </is>
      </c>
    </row>
    <row r="590" ht="13.2" customHeight="1" s="37">
      <c r="A590" s="8" t="inlineStr">
        <is>
          <t>611</t>
        </is>
      </c>
      <c r="B590" s="2" t="inlineStr">
        <is>
          <t>ยาอะไรที่ควรให้แก้ปวด</t>
        </is>
      </c>
      <c r="C590" s="2" t="n"/>
      <c r="D590" s="2" t="inlineStr">
        <is>
          <t>Allopurinol</t>
        </is>
      </c>
      <c r="E590" s="2" t="inlineStr">
        <is>
          <t>Colchicine</t>
        </is>
      </c>
      <c r="F590" s="2" t="inlineStr">
        <is>
          <t>Benzbromarone</t>
        </is>
      </c>
      <c r="G590" s="2" t="inlineStr">
        <is>
          <t>Sulfinpyrazone</t>
        </is>
      </c>
      <c r="H590" s="2" t="inlineStr">
        <is>
          <t>Paracetamol ห้ามนำไปทำซ้ำทุกกรณี เว้นแต่จะได้รับอนุญาต</t>
        </is>
      </c>
      <c r="I590" s="8" t="inlineStr">
        <is>
          <t>1</t>
        </is>
      </c>
      <c r="J590" s="2" t="inlineStr">
        <is>
          <t>✅ คำตอบที่ถูกต้อง: ข้อ ก. Allopurinol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Allopurinol การเลือก Allopurinol เป็นคำตอบที่ถูกต้องตามแนวทางการรักษามาตรฐาน เนื่องจาก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ข้ออื่นผิดเพราะอะไร:
• ข้อ ข. (Colchicine): ยับยั้ง microtubule polymerization และ neutrophil chemotaxis เป็น first-line ใน acute gout flare และ flare prophylaxis แต่มี ADR เด่นทาง GI (ท้องเสีย คลื่นไส้)
• ข้อ ค. (Benzbromarone): ข้อนี้ไม่ใช่คำตอบที่ถูกต้องสำหรับภาวะ General Therapeutics เนื่องจากกลไกการออกฤทธิ์, efficacy หรือข้อบ่งใช้ไม่ตรงกับโจทย์ที่กำหนด
• ข้อ ง. (Sulfinpyrazone): ข้อนี้ไม่ใช่คำตอบที่ถูกต้องสำหรับภาวะ General Therapeutics เนื่องจากกลไกการออกฤทธิ์, efficacy หรือข้อบ่งใช้ไม่ตรงกับโจทย์ที่กำหนด
• ข้อ จ. (Paracetamol ห้ามนำไปทำซ้ำทุกกรณี เว้นแต่จะได้รับอนุญาต):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590" s="2" t="n"/>
      <c r="L590" s="2" t="inlineStr">
        <is>
          <t>General Therapeutics</t>
        </is>
      </c>
      <c r="M590" s="2" t="inlineStr">
        <is>
          <t>Clinic</t>
        </is>
      </c>
      <c r="N590" s="2" t="inlineStr">
        <is>
          <t>ข้อ 18 (PLE_CC1_2558_Key.md)</t>
        </is>
      </c>
      <c r="O590" s="2" t="inlineStr">
        <is>
          <t>ข้อสอบจริง</t>
        </is>
      </c>
      <c r="P590" s="2" t="inlineStr">
        <is>
          <t>ปี 2558</t>
        </is>
      </c>
    </row>
    <row r="591" ht="13.2" customHeight="1" s="37">
      <c r="A591" s="8" t="inlineStr">
        <is>
          <t>612</t>
        </is>
      </c>
      <c r="B591" s="2" t="inlineStr">
        <is>
          <t>ยาใดที่ควรให้ป้องกัน</t>
        </is>
      </c>
      <c r="C591" s="2" t="n"/>
      <c r="D591" s="2" t="inlineStr">
        <is>
          <t>Allopurinol</t>
        </is>
      </c>
      <c r="E591" s="2" t="inlineStr">
        <is>
          <t>Colchicine</t>
        </is>
      </c>
      <c r="F591" s="2" t="inlineStr">
        <is>
          <t>Diclofenac</t>
        </is>
      </c>
      <c r="G591" s="2" t="inlineStr">
        <is>
          <t>Naproxen Na</t>
        </is>
      </c>
      <c r="H591" s="2" t="inlineStr">
        <is>
          <t>Paracetamol</t>
        </is>
      </c>
      <c r="I591" s="8" t="inlineStr">
        <is>
          <t>1</t>
        </is>
      </c>
      <c r="J591" s="2" t="inlineStr">
        <is>
          <t>✅ คำตอบที่ถูกต้อง: ข้อ ก. Allopurinol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Allopurinol การเลือก Allopurinol เป็นคำตอบที่ถูกต้องตามแนวทางการรักษามาตรฐาน เนื่องจาก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ข้ออื่นผิดเพราะอะไร:
• ข้อ ข. (Colchicine): ยับยั้ง microtubule polymerization และ neutrophil chemotaxis เป็น first-line ใน acute gout flare และ flare prophylaxis แต่มี ADR เด่นทาง GI (ท้องเสีย คลื่นไส้)
• ข้อ ค. (Diclofenac): ข้อนี้ไม่ใช่คำตอบที่ถูกต้องสำหรับภาวะ General Therapeutics เนื่องจากกลไกการออกฤทธิ์, efficacy หรือข้อบ่งใช้ไม่ตรงกับโจทย์ที่กำหนด
• ข้อ ง. (Naproxen Na): เป็น non-selective NSAID ที่มี cardiovascular safety profile ดีที่สุด และมี efficacy สูงในการระงับ acute inflammation
• ข้อ จ.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591" s="2" t="n"/>
      <c r="L591" s="2" t="inlineStr">
        <is>
          <t>General Therapeutics</t>
        </is>
      </c>
      <c r="M591" s="2" t="inlineStr">
        <is>
          <t>Clinic</t>
        </is>
      </c>
      <c r="N591" s="2" t="inlineStr">
        <is>
          <t>ข้อ 19 (PLE_CC1_2558_Key.md)</t>
        </is>
      </c>
      <c r="O591" s="2" t="inlineStr">
        <is>
          <t>ข้อสอบจริง</t>
        </is>
      </c>
      <c r="P591" s="2" t="inlineStr">
        <is>
          <t>ปี 2558</t>
        </is>
      </c>
    </row>
    <row r="592" ht="13.2" customHeight="1" s="37">
      <c r="A592" s="8" t="inlineStr">
        <is>
          <t>613</t>
        </is>
      </c>
      <c r="B592" s="2" t="inlineStr">
        <is>
          <t>อาหารที่แนะนำให้ ผู้ป่วยรับประทาน</t>
        </is>
      </c>
      <c r="C592" s="2" t="n"/>
      <c r="D592" s="2" t="inlineStr">
        <is>
          <t>ปลาดุกย่าง</t>
        </is>
      </c>
      <c r="E592" s="2" t="inlineStr">
        <is>
          <t>เครื่องในสัตว์</t>
        </is>
      </c>
      <c r="F592" s="2" t="inlineStr">
        <is>
          <t>ปลาหมึกไข่นึ่งมะนาว</t>
        </is>
      </c>
      <c r="G592" s="2" t="inlineStr">
        <is>
          <t>ไวน์</t>
        </is>
      </c>
      <c r="H592" s="2" t="inlineStr">
        <is>
          <t>ผัดหน่อไม้ฝรั่ง</t>
        </is>
      </c>
      <c r="I592" s="8" t="inlineStr">
        <is>
          <t>1</t>
        </is>
      </c>
      <c r="J592" s="2" t="inlineStr">
        <is>
          <t>✅ คำตอบที่ถูกต้อง: ข้อ ก. ปลาดุกย่าง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ปลาดุกย่าง การเลือก ปลาดุกย่าง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(เครื่องในสัตว์): ข้อนี้ไม่ใช่คำตอบที่ถูกต้องสำหรับภาวะ General Therapeutics เนื่องจากกลไกการออกฤทธิ์, efficacy หรือข้อบ่งใช้ไม่ตรงกับโจทย์ที่กำหนด
• ข้อ ค. (ปลาหมึกไข่นึ่งมะนาว): ข้อนี้ไม่ใช่คำตอบที่ถูกต้องสำหรับภาวะ General Therapeutics เนื่องจากกลไกการออกฤทธิ์, efficacy หรือข้อบ่งใช้ไม่ตรงกับโจทย์ที่กำหนด
• ข้อ ง. (ไวน์): ข้อนี้ไม่ใช่คำตอบที่ถูกต้องสำหรับภาวะ General Therapeutics เนื่องจากกลไกการออกฤทธิ์, efficacy หรือข้อบ่งใช้ไม่ตรงกับโจทย์ที่กำหนด
• ข้อ จ. (ผัดหน่อไม้ฝรั่ง):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2" s="2" t="n"/>
      <c r="L592" s="2" t="inlineStr">
        <is>
          <t>General Therapeutics</t>
        </is>
      </c>
      <c r="M592" s="2" t="inlineStr">
        <is>
          <t>Clinic</t>
        </is>
      </c>
      <c r="N592" s="2" t="inlineStr">
        <is>
          <t>ข้อ 20 (PLE_CC1_2558_Key.md)</t>
        </is>
      </c>
      <c r="O592" s="2" t="inlineStr">
        <is>
          <t>ข้อสอบจริง</t>
        </is>
      </c>
      <c r="P592" s="2" t="inlineStr">
        <is>
          <t>ปี 2558</t>
        </is>
      </c>
    </row>
    <row r="593" ht="13.2" customHeight="1" s="37">
      <c r="A593" s="8" t="inlineStr">
        <is>
          <t>614</t>
        </is>
      </c>
      <c r="B593" s="2" t="inlineStr">
        <is>
          <t>ปัจจัยเสี่ยงของผู้ป่วยรายนี้คือ</t>
        </is>
      </c>
      <c r="C593" s="2" t="n"/>
      <c r="D593" s="2" t="inlineStr">
        <is>
          <t>ใช้น้ำยาสวนล้าง</t>
        </is>
      </c>
      <c r="E593" s="2" t="inlineStr">
        <is>
          <t>รับประทาน amoxicillin</t>
        </is>
      </c>
      <c r="F593" s="2" t="inlineStr">
        <is>
          <t>ประวัติมีเพศสัมพันธ์</t>
        </is>
      </c>
      <c r="G593" s="2" t="inlineStr">
        <is>
          <t>normal flora ในช่องคลอดลดลง</t>
        </is>
      </c>
      <c r="H593" s="2" t="inlineStr">
        <is>
          <t>ไม่มีข้อใดถูกต้อง ห้ามนำไปทำซ้ำทุกกรณี เว้นแต่จะได้รับอนุญาต</t>
        </is>
      </c>
      <c r="I593" s="8" t="inlineStr">
        <is>
          <t>1</t>
        </is>
      </c>
      <c r="J593" s="2" t="inlineStr">
        <is>
          <t>✅ คำตอบที่ถูกต้อง: ข้อ ก. ใช้น้ำยาสวนล้าง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ใช้น้ำยาสวนล้าง การเลือก ใช้น้ำยาสวนล้าง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(รับประทาน amoxicillin): เป็น Aminopenicillin ยับยั้ง bacterial cell wall synthesis เป็น first-line สำหรับ uncomplicated bacterial infections (เช่น Strep pharyngitis, AOM, sinusitis)
• ข้อ ค. (ประวัติมีเพศสัมพันธ์): ข้อนี้ไม่ใช่คำตอบที่ถูกต้องสำหรับภาวะ General Therapeutics เนื่องจากกลไกการออกฤทธิ์, efficacy หรือข้อบ่งใช้ไม่ตรงกับโจทย์ที่กำหนด
• ข้อ ง. (normal flora ในช่องคลอดลดลง):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(ไม่มีข้อใดถูกต้อง ห้ามนำไปทำซ้ำทุกกรณี เว้นแต่จะได้รับอนุญาต):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3" s="2" t="n"/>
      <c r="L593" s="2" t="inlineStr">
        <is>
          <t>General Therapeutics</t>
        </is>
      </c>
      <c r="M593" s="2" t="inlineStr">
        <is>
          <t>Clinic</t>
        </is>
      </c>
      <c r="N593" s="2" t="inlineStr">
        <is>
          <t>ข้อ 32 (PLE_CC1_2558_Key.md)</t>
        </is>
      </c>
      <c r="O593" s="2" t="inlineStr">
        <is>
          <t>ข้อสอบจริง</t>
        </is>
      </c>
      <c r="P593" s="2" t="inlineStr">
        <is>
          <t>ปี 2558</t>
        </is>
      </c>
    </row>
    <row r="594" ht="13.2" customHeight="1" s="37">
      <c r="A594" s="8" t="inlineStr">
        <is>
          <t>615</t>
        </is>
      </c>
      <c r="B594" s="2" t="inlineStr">
        <is>
          <t>ยาที่รักษาผู้ป่วยรายนี้</t>
        </is>
      </c>
      <c r="C594" s="2" t="n"/>
      <c r="D594" s="2" t="inlineStr">
        <is>
          <t>Cotrimoxazole</t>
        </is>
      </c>
      <c r="E594" s="2" t="inlineStr">
        <is>
          <t>Metronidazole</t>
        </is>
      </c>
      <c r="F594" s="2" t="inlineStr">
        <is>
          <t>Norfloxacin</t>
        </is>
      </c>
      <c r="G594" s="2" t="inlineStr">
        <is>
          <t>Clotrimazole</t>
        </is>
      </c>
      <c r="H594" s="2" t="inlineStr">
        <is>
          <t>Ciprofloxacin 2 เดือนต่อมาผู้ป่วยไปพบแพทย์ อีกครั้งแพทย์วินิจฉัยเป็นตกขาวจากเชื้อรา และให้ รับประทาน fluconazole</t>
        </is>
      </c>
      <c r="I594" s="8" t="inlineStr">
        <is>
          <t>1</t>
        </is>
      </c>
      <c r="J594" s="2" t="inlineStr">
        <is>
          <t>✅ คำตอบที่ถูกต้อง: ข้อ ก. Cotrimoxazole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เป็น antianaerobic และ antiprotozoal agent ยับยั้ง Trichomonas vaginalis, Giardia, Amebiasis, และ anaerobes ห้ามดื่มแอลกอฮอล์ระหว่างใช้ยา (disulfiram-like reaction)
• ข้อ ค. (Norfloxacin): ข้อนี้ไม่ใช่คำตอบที่ถูกต้องสำหรับภาวะ General Therapeutics เนื่องจากกลไกการออกฤทธิ์, efficacy หรือข้อบ่งใช้ไม่ตรงกับโจทย์ที่กำหนด
• ข้อ ง. (Clotrimazole): ข้อนี้ไม่ใช่คำตอบที่ถูกต้องสำหรับภาวะ General Therapeutics เนื่องจากกลไกการออกฤทธิ์, efficacy หรือข้อบ่งใช้ไม่ตรงกับโจทย์ที่กำหนด
• ข้อ จ. (Ciprofloxacin 2 เดือนต่อมาผู้ป่วยไปพบแพทย์ อีกครั้งแพทย์วินิจฉัยเป็นตกขาวจากเชื้อรา และให้ รับประทาน fluconazole):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4" s="2" t="n"/>
      <c r="L594" s="2" t="inlineStr">
        <is>
          <t>General Therapeutics</t>
        </is>
      </c>
      <c r="M594" s="2" t="inlineStr">
        <is>
          <t>Clinic</t>
        </is>
      </c>
      <c r="N594" s="2" t="inlineStr">
        <is>
          <t>ข้อ 33 (PLE_CC1_2558_Key.md)</t>
        </is>
      </c>
      <c r="O594" s="2" t="inlineStr">
        <is>
          <t>ข้อสอบจริง</t>
        </is>
      </c>
      <c r="P594" s="2" t="inlineStr">
        <is>
          <t>ปี 2558</t>
        </is>
      </c>
    </row>
    <row r="595" ht="13.2" customHeight="1" s="37">
      <c r="A595" s="8" t="inlineStr">
        <is>
          <t>616</t>
        </is>
      </c>
      <c r="B595" s="2" t="inlineStr">
        <is>
          <t>Fluconazole ผ่าน CYP ใด</t>
        </is>
      </c>
      <c r="C595" s="2" t="n"/>
      <c r="D595" s="2" t="inlineStr">
        <is>
          <t>2D6</t>
        </is>
      </c>
      <c r="E595" s="2" t="inlineStr">
        <is>
          <t>1A2</t>
        </is>
      </c>
      <c r="F595" s="2" t="inlineStr">
        <is>
          <t>3A4</t>
        </is>
      </c>
      <c r="G595" s="2" t="inlineStr">
        <is>
          <t>2C9</t>
        </is>
      </c>
      <c r="H595" s="8" t="inlineStr">
        <is>
          <t>2.00E+01</t>
        </is>
      </c>
      <c r="I595" s="8" t="inlineStr">
        <is>
          <t>1</t>
        </is>
      </c>
      <c r="J595" s="2" t="inlineStr">
        <is>
          <t>✅ คำตอบที่ถูกต้อง: ข้อ ก. 2D6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2D6 การเลือก 2D6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(1A2): ข้อนี้ไม่ใช่คำตอบที่ถูกต้องสำหรับภาวะ Infectious Diseases เนื่องจากกลไกการออกฤทธิ์, efficacy หรือข้อบ่งใช้ไม่ตรงกับโจทย์ที่กำหนด
• ข้อ ค. (3A4): ข้อนี้ไม่ใช่คำตอบที่ถูกต้องสำหรับภาวะ Infectious Diseases เนื่องจากกลไกการออกฤทธิ์, efficacy หรือข้อบ่งใช้ไม่ตรงกับโจทย์ที่กำหนด
• ข้อ ง. (2C9): ข้อนี้ไม่ใช่คำตอบที่ถูกต้องสำหรับภาวะ Infectious Diseases เนื่องจากกลไกการออกฤทธิ์, efficacy หรือข้อบ่งใช้ไม่ตรงกับโจทย์ที่กำหนด
• ข้อ จ. (2E1):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5" s="2" t="n"/>
      <c r="L595" s="2" t="inlineStr">
        <is>
          <t>Infectious Diseases</t>
        </is>
      </c>
      <c r="M595" s="2" t="inlineStr">
        <is>
          <t>Clinic</t>
        </is>
      </c>
      <c r="N595" s="2" t="inlineStr">
        <is>
          <t>ข้อ 34 (PLE_CC1_2558_Key.md)</t>
        </is>
      </c>
      <c r="O595" s="2" t="inlineStr">
        <is>
          <t>ข้อสอบจริง</t>
        </is>
      </c>
      <c r="P595" s="2" t="inlineStr">
        <is>
          <t>ปี 2558</t>
        </is>
      </c>
    </row>
    <row r="596" ht="13.2" customHeight="1" s="37">
      <c r="A596" s="8" t="inlineStr">
        <is>
          <t>617</t>
        </is>
      </c>
      <c r="B596" s="2" t="inlineStr">
        <is>
          <t>ข้อใดเป็นกลไกการออกฤทธิ์ของ fluconazole</t>
        </is>
      </c>
      <c r="C596" s="2" t="n"/>
      <c r="D596" s="2" t="inlineStr">
        <is>
          <t>ยับยั้งการสร้างส่วนประกอบของผนังเซลล์</t>
        </is>
      </c>
      <c r="E596" s="2" t="inlineStr">
        <is>
          <t>ยับยั้งการสร้าง squalene epoxidase</t>
        </is>
      </c>
      <c r="F596" s="2" t="inlineStr">
        <is>
          <t>ยับยั้งการสร้างส่วนประกอบของเยื่อหุ้มเซลล์</t>
        </is>
      </c>
      <c r="G596" s="2" t="inlineStr">
        <is>
          <t>ยับยั้งกระบวนการ mitosis</t>
        </is>
      </c>
      <c r="H596" s="2" t="inlineStr">
        <is>
          <t>ยับยั้งการสร้าง ribosome</t>
        </is>
      </c>
      <c r="I596" s="8" t="inlineStr">
        <is>
          <t>1</t>
        </is>
      </c>
      <c r="J596" s="2" t="inlineStr">
        <is>
          <t>✅ คำตอบที่ถูกต้อง: ข้อ ก. ยับยั้งการสร้างส่วนประกอบของผนังเซลล์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ยับยั้งการสร้างส่วนประกอบของผนังเซลล์ การเลือก ยับยั้งการสร้างส่วนประกอบของผนังเซลล์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(ยับยั้งการสร้าง squalene epoxidase): ข้อนี้ไม่ใช่คำตอบที่ถูกต้องสำหรับภาวะ Infectious Diseases เนื่องจากกลไกการออกฤทธิ์, efficacy หรือข้อบ่งใช้ไม่ตรงกับโจทย์ที่กำหนด
• ข้อ ค. (ยับยั้งการสร้างส่วนประกอบของเยื่อหุ้มเซลล์): ข้อนี้ไม่ใช่คำตอบที่ถูกต้องสำหรับภาวะ Infectious Diseases เนื่องจากกลไกการออกฤทธิ์, efficacy หรือข้อบ่งใช้ไม่ตรงกับโจทย์ที่กำหนด
• ข้อ ง. (ยับยั้งกระบวนการ mitosis): ข้อนี้ไม่ใช่คำตอบที่ถูกต้องสำหรับภาวะ Infectious Diseases เนื่องจากกลไกการออกฤทธิ์, efficacy หรือข้อบ่งใช้ไม่ตรงกับโจทย์ที่กำหนด
• ข้อ จ. (ยับยั้งการสร้าง ribosome):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6" s="2" t="n"/>
      <c r="L596" s="2" t="inlineStr">
        <is>
          <t>Infectious Diseases</t>
        </is>
      </c>
      <c r="M596" s="2" t="inlineStr">
        <is>
          <t>Clinic</t>
        </is>
      </c>
      <c r="N596" s="2" t="inlineStr">
        <is>
          <t>ข้อ 35 (PLE_CC1_2558_Key.md)</t>
        </is>
      </c>
      <c r="O596" s="2" t="inlineStr">
        <is>
          <t>ข้อสอบจริง</t>
        </is>
      </c>
      <c r="P596" s="2" t="inlineStr">
        <is>
          <t>ปี 2558</t>
        </is>
      </c>
    </row>
    <row r="597" ht="13.2" customHeight="1" s="37">
      <c r="A597" s="8" t="inlineStr">
        <is>
          <t>618</t>
        </is>
      </c>
      <c r="B597" s="2" t="inlineStr">
        <is>
          <t>จากสูตรตำรับยาเหน็บต่อไปนี้ ต้องใช้ยาพื้น PEG เท่าใดสำหรับ 1 แท่ง Rx. Fluconazole 0.1 g/supp PEG base qs ….. กำหนด DV. fluconazole = 1, blank weight of PEG = 2.5 g, ความหนาแน่นของ PEG = 1.2 เท่าของ theobroma oil</t>
        </is>
      </c>
      <c r="C597" s="2" t="n"/>
      <c r="D597" s="2" t="inlineStr">
        <is>
          <t>2.30 g</t>
        </is>
      </c>
      <c r="E597" s="2" t="inlineStr">
        <is>
          <t>2.38 g</t>
        </is>
      </c>
      <c r="F597" s="2" t="inlineStr">
        <is>
          <t>1.20 g</t>
        </is>
      </c>
      <c r="G597" s="2" t="inlineStr">
        <is>
          <t>2.60 g</t>
        </is>
      </c>
      <c r="H597" s="2" t="inlineStr">
        <is>
          <t>2.70 g</t>
        </is>
      </c>
      <c r="I597" s="8" t="inlineStr">
        <is>
          <t>1</t>
        </is>
      </c>
      <c r="J597" s="2" t="inlineStr">
        <is>
          <t>✅ คำตอบที่ถูกต้อง: ข้อ ก. 2.30 g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2.30 g การเลือก 2.30 g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(2.38 g): ข้อนี้ไม่ใช่คำตอบที่ถูกต้องสำหรับภาวะ Infectious Diseases เนื่องจากกลไกการออกฤทธิ์, efficacy หรือข้อบ่งใช้ไม่ตรงกับโจทย์ที่กำหนด
• ข้อ ค. (1.20 g): ข้อนี้ไม่ใช่คำตอบที่ถูกต้องสำหรับภาวะ Infectious Diseases เนื่องจากกลไกการออกฤทธิ์, efficacy หรือข้อบ่งใช้ไม่ตรงกับโจทย์ที่กำหนด
• ข้อ ง. (2.60 g): ข้อนี้ไม่ใช่คำตอบที่ถูกต้องสำหรับภาวะ Infectious Diseases เนื่องจากกลไกการออกฤทธิ์, efficacy หรือข้อบ่งใช้ไม่ตรงกับโจทย์ที่กำหนด
• ข้อ จ. (2.70 g):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7" s="2" t="n"/>
      <c r="L597" s="2" t="inlineStr">
        <is>
          <t>Infectious Diseases</t>
        </is>
      </c>
      <c r="M597" s="2" t="inlineStr">
        <is>
          <t>Clinic</t>
        </is>
      </c>
      <c r="N597" s="2" t="inlineStr">
        <is>
          <t>ข้อ 36 (PLE_CC1_2558_Key.md)</t>
        </is>
      </c>
      <c r="O597" s="2" t="inlineStr">
        <is>
          <t>ข้อสอบจริง</t>
        </is>
      </c>
      <c r="P597" s="2" t="inlineStr">
        <is>
          <t>ปี 2558</t>
        </is>
      </c>
    </row>
    <row r="598" ht="13.2" customHeight="1" s="37">
      <c r="A598" s="8" t="inlineStr">
        <is>
          <t>619</t>
        </is>
      </c>
      <c r="B598" s="2" t="inlineStr">
        <is>
          <t>ยาบรรเทาอาการคือข้อใด</t>
        </is>
      </c>
      <c r="C598" s="2" t="n"/>
      <c r="D598" s="2" t="inlineStr">
        <is>
          <t>Formoterol</t>
        </is>
      </c>
      <c r="E598" s="2" t="inlineStr">
        <is>
          <t>Salbutamol</t>
        </is>
      </c>
      <c r="F598" s="2" t="inlineStr">
        <is>
          <t>Tiotropium</t>
        </is>
      </c>
      <c r="G598" s="2" t="inlineStr">
        <is>
          <t>Salmeterol</t>
        </is>
      </c>
      <c r="H598" s="2" t="inlineStr">
        <is>
          <t>Prednisolone</t>
        </is>
      </c>
      <c r="I598" s="8" t="inlineStr">
        <is>
          <t>1</t>
        </is>
      </c>
      <c r="J598" s="2" t="inlineStr">
        <is>
          <t>✅ คำตอบที่ถูกต้อง: ข้อ ก. Formoterol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Formoterol การเลือก Formoterol เป็นคำตอบที่ถูกต้องตามแนวทางการรักษามาตรฐาน เนื่องจาก เป็น LABA ที่มี onset รวดเร็ว (1-3 นาที) และออกฤทธิ์นาน 12 ชม. สามารถใช้ร่วมกับ ICS (ICS-formoterol) เป็นได้ทั้ง maintenance และ reliever (MART / AIR strategy)
🔍 ข้ออื่นผิดเพราะอะไร:
• ข้อ ข. (Salbutamol):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(Tiotropium): เป็น Long-acting muscarinic antagonist (LAMA) มี bronchodilatory efficacy สูง เป็นแกนหลักใน COPD maintenance therapy และ add-on ใน severe asthma
• ข้อ ง. (Salmeterol): เป็น LABA ที่มี onset ช้า (10-20 นาที) จึงใช้เป็น maintenance bronchodilator เท่านั้น ห้ามใช้เป็น reliever เด็ดขาด
• ข้อ จ. (Prednisolone): เป็น intermediate-acting systemic corticosteroid ขนาดยอดนิยมสำหรับ immunosuppressive &amp; anti-inflammatory therapy ต้องระวัง Cushingoid, infection, osteoporosis, peptic ulcer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8" s="2" t="n"/>
      <c r="L598" s="2" t="inlineStr">
        <is>
          <t>General Therapeutics</t>
        </is>
      </c>
      <c r="M598" s="2" t="inlineStr">
        <is>
          <t>Clinic</t>
        </is>
      </c>
      <c r="N598" s="2" t="inlineStr">
        <is>
          <t>ข้อ 39 (PLE_CC1_2558_Key.md)</t>
        </is>
      </c>
      <c r="O598" s="2" t="inlineStr">
        <is>
          <t>ข้อสอบจริง</t>
        </is>
      </c>
      <c r="P598" s="2" t="inlineStr">
        <is>
          <t>ปี 2558</t>
        </is>
      </c>
    </row>
    <row r="599" ht="13.2" customHeight="1" s="37">
      <c r="A599" s="8" t="inlineStr">
        <is>
          <t>620</t>
        </is>
      </c>
      <c r="B599" s="2" t="inlineStr">
        <is>
          <t>ข้อใดถูกเกี่ยวกับการให้ prednisolone</t>
        </is>
      </c>
      <c r="C599" s="2" t="n"/>
      <c r="D599" s="2" t="inlineStr">
        <is>
          <t>กินติดต่อกันจนครบ 5 วัน</t>
        </is>
      </c>
      <c r="E599" s="2" t="inlineStr">
        <is>
          <t>กินต่อเนื่อง 28 วัน แล้วลดขนาดลง</t>
        </is>
      </c>
      <c r="F599" s="2" t="inlineStr">
        <is>
          <t>กินต่อเนื่อง 30 วัน แล้วลดขนาดลง</t>
        </is>
      </c>
      <c r="G599" s="2" t="inlineStr">
        <is>
          <t>ลดขนาดยาลงทีละ 1 สัปดาห์</t>
        </is>
      </c>
      <c r="H599" s="2" t="inlineStr">
        <is>
          <t>กินต่อเนื่อง 28 วัน แล้วหยุดยา</t>
        </is>
      </c>
      <c r="I599" s="8" t="inlineStr">
        <is>
          <t>1</t>
        </is>
      </c>
      <c r="J599" s="2" t="inlineStr">
        <is>
          <t>✅ คำตอบที่ถูกต้อง: ข้อ ก. กินติดต่อกันจนครบ 5 วัน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กินติดต่อกันจนครบ 5 วัน การเลือก กินติดต่อกันจนครบ 5 วัน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(กินต่อเนื่อง 28 วัน แล้วลดขนาดลง): ข้อนี้ไม่ใช่คำตอบที่ถูกต้องสำหรับภาวะ Allergy &amp; Immunology เนื่องจากกลไกการออกฤทธิ์, efficacy หรือข้อบ่งใช้ไม่ตรงกับโจทย์ที่กำหนด
• ข้อ ค. (กินต่อเนื่อง 30 วัน แล้วลดขนาดลง): ข้อนี้ไม่ใช่คำตอบที่ถูกต้องสำหรับภาวะ Allergy &amp; Immunology เนื่องจากกลไกการออกฤทธิ์, efficacy หรือข้อบ่งใช้ไม่ตรงกับโจทย์ที่กำหนด
• ข้อ ง. (ลดขนาดยาลงทีละ 1 สัปดาห์): ข้อนี้ไม่ใช่คำตอบที่ถูกต้องสำหรับภาวะ Allergy &amp; Immunology เนื่องจากกลไกการออกฤทธิ์, efficacy หรือข้อบ่งใช้ไม่ตรงกับโจทย์ที่กำหนด
• ข้อ จ. (กินต่อเนื่อง 28 วัน แล้วหยุดยา):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599" s="2" t="n"/>
      <c r="L599" s="2" t="inlineStr">
        <is>
          <t>Allergy &amp; Immunology</t>
        </is>
      </c>
      <c r="M599" s="2" t="inlineStr">
        <is>
          <t>Clinic</t>
        </is>
      </c>
      <c r="N599" s="2" t="inlineStr">
        <is>
          <t>ข้อ 40 (PLE_CC1_2558_Key.md)</t>
        </is>
      </c>
      <c r="O599" s="2" t="inlineStr">
        <is>
          <t>ข้อสอบจริง</t>
        </is>
      </c>
      <c r="P599" s="2" t="inlineStr">
        <is>
          <t>ปี 2558</t>
        </is>
      </c>
    </row>
    <row r="600" ht="13.2" customHeight="1" s="37">
      <c r="A600" s="8" t="inlineStr">
        <is>
          <t>621</t>
        </is>
      </c>
      <c r="B600" s="2" t="inlineStr">
        <is>
          <t>ข้อใดเป็นการป้องกันเพื่อไม่ ให้เกิด exacerbation</t>
        </is>
      </c>
      <c r="C600" s="2" t="n"/>
      <c r="D600" s="2" t="inlineStr">
        <is>
          <t>กิน theophylline ต่อเนื่องทุกวัน</t>
        </is>
      </c>
      <c r="E600" s="2" t="inlineStr">
        <is>
          <t>พ่น fluticasone/salmeterol ต่อเนื่องทุกวัน</t>
        </is>
      </c>
      <c r="F600" s="2" t="inlineStr">
        <is>
          <t>เพิ่ม tiotropium</t>
        </is>
      </c>
      <c r="G600" s="2" t="inlineStr">
        <is>
          <t>ฉีด influenza ทุก 5 ปี</t>
        </is>
      </c>
      <c r="H600" s="2" t="inlineStr">
        <is>
          <t>เพิ่ม indacaterol ห้ามนำไปทำซ้ำทุกกรณี เว้นแต่จะได้รับอนุญาต</t>
        </is>
      </c>
      <c r="I600" s="8" t="inlineStr">
        <is>
          <t>1</t>
        </is>
      </c>
      <c r="J600" s="2" t="inlineStr">
        <is>
          <t>✅ คำตอบที่ถูกต้อง: ข้อ ก. กิน theophylline ต่อเนื่องทุกวัน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 theophylline ต่อเนื่องทุกวัน การเลือก กิน theophylline ต่อเนื่องทุกวัน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(พ่น fluticasone/salmeterol ต่อเนื่องทุกวัน): เป็น potent ICS มี high topical potency และ systemic bioavailability ต่ำ ใช้เป็น maintenance anti-inflammatory controller ใน moderate-to-severe asthma และ COPD with high eosinophils
• ข้อ ค. (เพิ่ม tiotropium): เป็น Long-acting muscarinic antagonist (LAMA) มี bronchodilatory efficacy สูง เป็นแกนหลักใน COPD maintenance therapy และ add-on ใน severe asthma
• ข้อ ง. (ฉีด influenza ทุก 5 ปี): วัคซีนไข้หวัดใหญ่ชนิด inactivated ฉีดปีละ 1 ครั้ง ในกลุ่มเสี่ยง 7 กลุ่มโรคเรื้อรัง และเด็กอายุ 6 เดือน - 2 ปี
• ข้อ จ. (เพิ่ม indacaterol ห้ามนำไปทำซ้ำทุกกรณี เว้นแต่จะได้รับอนุญาต):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0" s="2" t="n"/>
      <c r="L600" s="2" t="inlineStr">
        <is>
          <t>General Therapeutics</t>
        </is>
      </c>
      <c r="M600" s="2" t="inlineStr">
        <is>
          <t>Clinic</t>
        </is>
      </c>
      <c r="N600" s="2" t="inlineStr">
        <is>
          <t>ข้อ 41 (PLE_CC1_2558_Key.md)</t>
        </is>
      </c>
      <c r="O600" s="2" t="inlineStr">
        <is>
          <t>ข้อสอบจริง</t>
        </is>
      </c>
      <c r="P600" s="2" t="inlineStr">
        <is>
          <t>ปี 2558</t>
        </is>
      </c>
    </row>
    <row r="601" ht="13.2" customHeight="1" s="37">
      <c r="A601" s="8" t="inlineStr">
        <is>
          <t>622</t>
        </is>
      </c>
      <c r="B601" s="2" t="inlineStr">
        <is>
          <t>ข้อใดผิด</t>
        </is>
      </c>
      <c r="C601" s="2" t="n"/>
      <c r="D601" s="2" t="inlineStr">
        <is>
          <t>บุหรี่เป็นสาเหตุหลัก</t>
        </is>
      </c>
      <c r="E601" s="2" t="inlineStr">
        <is>
          <t>หลอดลมไวต่อการแพ้</t>
        </is>
      </c>
      <c r="F601" s="2" t="inlineStr">
        <is>
          <t>FEV1 = 40% จัดอยู่ในระดับ severe</t>
        </is>
      </c>
      <c r="G601" s="2" t="inlineStr">
        <is>
          <t>ผู้ป่วยรายนี้สูบบุหรี่ 40 pack-years</t>
        </is>
      </c>
      <c r="H601" s="2" t="inlineStr">
        <is>
          <t>ถูกทุกข้อ</t>
        </is>
      </c>
      <c r="I601" s="8" t="inlineStr">
        <is>
          <t>1</t>
        </is>
      </c>
      <c r="J601" s="2" t="inlineStr">
        <is>
          <t>✅ คำตอบที่ถูกต้อง: ข้อ ก. บุหรี่เป็นสาเหตุหลัก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บุหรี่เป็นสาเหตุหลัก การเลือก บุหรี่เป็นสาเหตุหลัก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(หลอดลมไวต่อการแพ้): ข้อนี้ไม่ใช่คำตอบที่ถูกต้องสำหรับภาวะ General Therapeutics เนื่องจากกลไกการออกฤทธิ์, efficacy หรือข้อบ่งใช้ไม่ตรงกับโจทย์ที่กำหนด
• ข้อ ค. (FEV1 = 40% จัดอยู่ในระดับ severe): ข้อนี้ไม่ใช่คำตอบที่ถูกต้องสำหรับภาวะ General Therapeutics เนื่องจากกลไกการออกฤทธิ์, efficacy หรือข้อบ่งใช้ไม่ตรงกับโจทย์ที่กำหนด
• ข้อ ง. (ผู้ป่วยรายนี้สูบบุหรี่ 40 pack-years):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1" s="2" t="n"/>
      <c r="L601" s="2" t="inlineStr">
        <is>
          <t>General Therapeutics</t>
        </is>
      </c>
      <c r="M601" s="2" t="inlineStr">
        <is>
          <t>Clinic</t>
        </is>
      </c>
      <c r="N601" s="2" t="inlineStr">
        <is>
          <t>ข้อ 42 (PLE_CC1_2558_Key.md)</t>
        </is>
      </c>
      <c r="O601" s="2" t="inlineStr">
        <is>
          <t>ข้อสอบจริง</t>
        </is>
      </c>
      <c r="P601" s="2" t="inlineStr">
        <is>
          <t>ปี 2558</t>
        </is>
      </c>
    </row>
    <row r="602" ht="13.2" customHeight="1" s="37">
      <c r="A602" s="8" t="inlineStr">
        <is>
          <t>623</t>
        </is>
      </c>
      <c r="B602" s="2" t="inlineStr">
        <is>
          <t>ยาในข้อใดทำให้เกิดอาการไอแห้ง</t>
        </is>
      </c>
      <c r="C602" s="2" t="n"/>
      <c r="D602" s="2" t="inlineStr">
        <is>
          <t>Acetylcysteine</t>
        </is>
      </c>
      <c r="E602" s="2" t="inlineStr">
        <is>
          <t>Enalapril</t>
        </is>
      </c>
      <c r="F602" s="2" t="inlineStr">
        <is>
          <t>Theophylline</t>
        </is>
      </c>
      <c r="G602" s="2" t="inlineStr">
        <is>
          <t>Fluticasone</t>
        </is>
      </c>
      <c r="H602" s="2" t="inlineStr">
        <is>
          <t>Salmeterol</t>
        </is>
      </c>
      <c r="I602" s="8" t="inlineStr">
        <is>
          <t>1</t>
        </is>
      </c>
      <c r="J602" s="2" t="inlineStr">
        <is>
          <t>✅ คำตอบที่ถูกต้อง: ข้อ ก. Acetylcysteine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Acetylcysteine การเลือก Acetylcysteine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(Theophylline): มี narrow therapeutic window (target 5-15 mcg/mL) และ ADR สูง (ใจสั่น คลื่นไส้ ชัก หัวใจเต้นผิดจังหวะ) CPG จึงจัดเป็นเพียงทางเลือกท้ายๆ (alternative)
• ข้อ ง. (Fluticasone): เป็น potent ICS มี high topical potency และ systemic bioavailability ต่ำ ใช้เป็น maintenance anti-inflammatory controller ใน moderate-to-severe asthma และ COPD with high eosinophils
• ข้อ จ. (Salmeterol): เป็น LABA ที่มี onset ช้า (10-20 นาที) จึงใช้เป็น maintenance bronchodilator เท่านั้น ห้ามใช้เป็น reliever เด็ดขาด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2" s="2" t="n"/>
      <c r="L602" s="2" t="inlineStr">
        <is>
          <t>General Therapeutics</t>
        </is>
      </c>
      <c r="M602" s="2" t="inlineStr">
        <is>
          <t>Clinic</t>
        </is>
      </c>
      <c r="N602" s="2" t="inlineStr">
        <is>
          <t>ข้อ 43 (PLE_CC1_2558_Key.md)</t>
        </is>
      </c>
      <c r="O602" s="2" t="inlineStr">
        <is>
          <t>ข้อสอบจริง</t>
        </is>
      </c>
      <c r="P602" s="2" t="inlineStr">
        <is>
          <t>ปี 2558</t>
        </is>
      </c>
    </row>
    <row r="603" ht="13.2" customHeight="1" s="37">
      <c r="A603" s="8" t="inlineStr">
        <is>
          <t>624</t>
        </is>
      </c>
      <c r="B603" s="2" t="inlineStr">
        <is>
          <t>ยาข้อใดทำให้อาการแย่ลง</t>
        </is>
      </c>
      <c r="C603" s="2" t="n"/>
      <c r="D603" s="2" t="inlineStr">
        <is>
          <t>Paracetamol</t>
        </is>
      </c>
      <c r="E603" s="2" t="inlineStr">
        <is>
          <t>Nifedipine</t>
        </is>
      </c>
      <c r="F603" s="2" t="inlineStr">
        <is>
          <t>Amiloride</t>
        </is>
      </c>
      <c r="G603" s="2" t="inlineStr">
        <is>
          <t>HCTZ</t>
        </is>
      </c>
      <c r="H603" s="2" t="inlineStr">
        <is>
          <t>Spironolactone</t>
        </is>
      </c>
      <c r="I603" s="8" t="inlineStr">
        <is>
          <t>1</t>
        </is>
      </c>
      <c r="J603" s="2" t="inlineStr">
        <is>
          <t>✅ คำตอบที่ถูกต้อง: ข้อ ก.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การเลือก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(Nifedipine): ข้อนี้ไม่ใช่คำตอบที่ถูกต้องสำหรับภาวะ General Therapeutics เนื่องจากกลไกการออกฤทธิ์, efficacy หรือข้อบ่งใช้ไม่ตรงกับโจทย์ที่กำหนด
• ข้อ ค. (Amiloride): ข้อนี้ไม่ใช่คำตอบที่ถูกต้องสำหรับภาวะ General Therapeutics เนื่องจากกลไกการออกฤทธิ์, efficacy หรือข้อบ่งใช้ไม่ตรงกับโจทย์ที่กำหนด
• ข้อ ง. (HCTZ): ข้อนี้ไม่ใช่คำตอบที่ถูกต้องสำหรับภาวะ General Therapeutics เนื่องจากกลไกการออกฤทธิ์, efficacy หรือข้อบ่งใช้ไม่ตรงกับโจทย์ที่กำหนด
• ข้อ จ. (Spironolactone): เป็น Mineralocorticoid receptor antagonist (MRA) ใช้เป็น 4th-line ใน resistant HTN หรือ GDMT ใน HFrEF ต้อง monitor potassium และเสี่ยงต่อ gynecomastia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3" s="2" t="n"/>
      <c r="L603" s="2" t="inlineStr">
        <is>
          <t>General Therapeutics</t>
        </is>
      </c>
      <c r="M603" s="2" t="inlineStr">
        <is>
          <t>Clinic</t>
        </is>
      </c>
      <c r="N603" s="2" t="inlineStr">
        <is>
          <t>ข้อ 49 (PLE_CC1_2558_Key.md)</t>
        </is>
      </c>
      <c r="O603" s="2" t="inlineStr">
        <is>
          <t>ข้อสอบจริง</t>
        </is>
      </c>
      <c r="P603" s="2" t="inlineStr">
        <is>
          <t>ปี 2558</t>
        </is>
      </c>
    </row>
    <row r="604" ht="13.2" customHeight="1" s="37">
      <c r="A604" s="8" t="inlineStr">
        <is>
          <t>625</t>
        </is>
      </c>
      <c r="B604" s="2" t="inlineStr">
        <is>
          <t>การแปลผลจากตารางต่อไปนี้ ข้อใดถูกต้อง</t>
        </is>
      </c>
      <c r="C604" s="2" t="n"/>
      <c r="D604" s="2" t="inlineStr">
        <is>
          <t>การให้ยา combination มีประสิทธิภาพและความปลอดภัยมากกว่ายาเดี่ยว อย่างมีนัยสำคัญทางสถิติ</t>
        </is>
      </c>
      <c r="E604" s="2" t="inlineStr">
        <is>
          <t>การให้ยา combination มีประสิทธิภาพเท่ายาเดี่ยวแต่เกิดผลข้างเคียงมากกว่าอย่างมีนัยสำคัญทางสถิติ</t>
        </is>
      </c>
      <c r="F604" s="2" t="inlineStr">
        <is>
          <t>Telmisartan มีประสิทธิภาพมากกว่า ramipril อย่างมีนัยสำคัญทางสถิติ</t>
        </is>
      </c>
      <c r="G604" s="2" t="inlineStr">
        <is>
          <t>Telmisartan ทำให้เกิดผลข้างเคียงต่อไตมากกว่า ramipril อย่างมีนัยสำคัญทางสถิติ</t>
        </is>
      </c>
      <c r="H604" s="2" t="inlineStr">
        <is>
          <t>Telmisartan กับ ramipril ทำให้ ความดันต่ำไม่แตกต่างกัน กรณีศึกษา 8 เหนื่อย นอนราบไม่ได้ แพทย์วินิจฉัย acute heart failureได้รับยากลับบ้านดังนี้</t>
        </is>
      </c>
      <c r="I604" s="8" t="inlineStr">
        <is>
          <t>1</t>
        </is>
      </c>
      <c r="J604" s="2" t="inlineStr">
        <is>
          <t>✅ คำตอบที่ถูกต้อง: ข้อ ก. การให้ยา combination มีประสิทธิภาพและความปลอดภัยมากกว่ายาเดี่ยว อย่างมีนัยสำคัญทางสถิติ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การให้ยา combination มีประสิทธิภาพและความปลอดภัยมากกว่ายาเดี่ยว อย่างมีนัยสำคัญทางสถิติ การให้ยา combination มี efficacy และ safety มากกว่ายาเดี่ยว อย่างมีนัยสำคัญทางสถิติ การให้ยา combination มี efficacy และ safety มากกว่ายาเดี่ยว อย่างมีนัยสำคัญทางสถิติ การให้ยา combination มี efficacy และ safety มากกว่ายาเดี่ยว อย่างมีนัยสำคัญทางสถิติ ผู้ป่วยชาย อายุ   55 ปี อ้วน โรคประจำตัวเป็นความดัน ไขมันในเลือดสูง ดื่มสุรา ไม่สูบบุหรี่ มาโรงพยาบาลด้วยอาการหอบ
🔍 ข้ออื่นผิดเพราะอะไร:
• ข้อ ข. (การให้ยา combination มีประสิทธิภาพเท่ายาเดี่ยวแต่เกิดผลข้างเคียงมากกว่าอย่างมีนัยสำคัญทางสถิติ): ข้อนี้ไม่ใช่คำตอบที่ถูกต้องสำหรับภาวะ General Therapeutics เนื่องจากกลไกการออกฤทธิ์, efficacy หรือข้อบ่งใช้ไม่ตรงกับโจทย์ที่กำหนด
• ข้อ ค. (Telmisartan มีประสิทธิภาพมากกว่า ramipril อย่างมีนัยสำคัญทางสถิติ): ข้อนี้ไม่ใช่คำตอบที่ถูกต้องสำหรับภาวะ General Therapeutics เนื่องจากกลไกการออกฤทธิ์, efficacy หรือข้อบ่งใช้ไม่ตรงกับโจทย์ที่กำหนด
• ข้อ ง. (Telmisartan ทำให้เกิดผลข้างเคียงต่อไตมากกว่า ramipril อย่างมีนัยสำคัญทางสถิติ): ข้อนี้ไม่ใช่คำตอบที่ถูกต้องสำหรับภาวะ General Therapeutics เนื่องจากกลไกการออกฤทธิ์, efficacy หรือข้อบ่งใช้ไม่ตรงกับโจทย์ที่กำหนด
• ข้อ จ. (Telmisartan กับ ramipril ทำให้ ความดันต่ำไม่แตกต่างกัน กรณีศึกษา 8 เหนื่อย นอนราบไม่ได้ แพทย์วินิจฉัย acute heart failureได้รับยากลับบ้านดังนี้):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04" s="2" t="n"/>
      <c r="L604" s="2" t="inlineStr">
        <is>
          <t>General Therapeutics</t>
        </is>
      </c>
      <c r="M604" s="2" t="inlineStr">
        <is>
          <t>Clinic</t>
        </is>
      </c>
      <c r="N604" s="2" t="inlineStr">
        <is>
          <t>ข้อ 53 (PLE_CC1_2558_Key.md)</t>
        </is>
      </c>
      <c r="O604" s="2" t="inlineStr">
        <is>
          <t>ข้อสอบจริง</t>
        </is>
      </c>
      <c r="P604" s="2" t="inlineStr">
        <is>
          <t>ปี 2558</t>
        </is>
      </c>
    </row>
    <row r="605" ht="13.2" customHeight="1" s="37">
      <c r="A605" s="8" t="inlineStr">
        <is>
          <t>626</t>
        </is>
      </c>
      <c r="B605" s="2" t="inlineStr">
        <is>
          <t>ข้อใดไม่ใช่ปัจจัยเสี่ยงของผู้ป่วยรายนี้</t>
        </is>
      </c>
      <c r="C605" s="2" t="n"/>
      <c r="D605" s="2" t="inlineStr">
        <is>
          <t>เพศชาย</t>
        </is>
      </c>
      <c r="E605" s="2" t="inlineStr">
        <is>
          <t>ความดันโลหิตสูง</t>
        </is>
      </c>
      <c r="F605" s="2" t="inlineStr">
        <is>
          <t>ไขมันในเลือดสูง</t>
        </is>
      </c>
      <c r="G605" s="2" t="inlineStr">
        <is>
          <t>ดื่มสุรา</t>
        </is>
      </c>
      <c r="H605" s="2" t="inlineStr">
        <is>
          <t>อ้วน</t>
        </is>
      </c>
      <c r="I605" s="8" t="inlineStr">
        <is>
          <t>1</t>
        </is>
      </c>
      <c r="J605" s="2" t="inlineStr">
        <is>
          <t>✅ คำตอบที่ถูกต้อง: ข้อ ก. เพศชาย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เพศชาย การเลือก เพศชาย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(ความดันโลหิตสูง): ข้อนี้ไม่ใช่คำตอบที่ถูกต้องสำหรับภาวะ General Therapeutics เนื่องจากกลไกการออกฤทธิ์, efficacy หรือข้อบ่งใช้ไม่ตรงกับโจทย์ที่กำหนด
• ข้อ ค. (ไขมันในเลือดสูง): ข้อนี้ไม่ใช่คำตอบที่ถูกต้องสำหรับภาวะ General Therapeutics เนื่องจากกลไกการออกฤทธิ์, efficacy หรือข้อบ่งใช้ไม่ตรงกับโจทย์ที่กำหนด
• ข้อ ง. (ดื่มสุรา): ข้อนี้ไม่ใช่คำตอบที่ถูกต้องสำหรับภาวะ General Therapeutics เนื่องจากกลไกการออกฤทธิ์, efficacy หรือข้อบ่งใช้ไม่ตรงกับโจทย์ที่กำหนด
• ข้อ จ. (อ้วน):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5" s="2" t="n"/>
      <c r="L605" s="2" t="inlineStr">
        <is>
          <t>General Therapeutics</t>
        </is>
      </c>
      <c r="M605" s="2" t="inlineStr">
        <is>
          <t>Clinic</t>
        </is>
      </c>
      <c r="N605" s="2" t="inlineStr">
        <is>
          <t>ข้อ 55 (PLE_CC1_2558_Key.md)</t>
        </is>
      </c>
      <c r="O605" s="2" t="inlineStr">
        <is>
          <t>ข้อสอบจริง</t>
        </is>
      </c>
      <c r="P605" s="2" t="inlineStr">
        <is>
          <t>ปี 2558</t>
        </is>
      </c>
    </row>
    <row r="606" ht="13.2" customHeight="1" s="37">
      <c r="A606" s="8" t="inlineStr">
        <is>
          <t>627</t>
        </is>
      </c>
      <c r="B606" s="2" t="inlineStr">
        <is>
          <t>เมื่ออาการดีขึ้นแพทย์ ให้กลับบ้านเมื่อผู้ป่วยมาพบแพทย์ ครั้งหน้าแล้วอาการปกติ ควรได้รับยาใดเพิ่มเติม</t>
        </is>
      </c>
      <c r="C606" s="2" t="n"/>
      <c r="D606" s="2" t="inlineStr">
        <is>
          <t>Digoxin</t>
        </is>
      </c>
      <c r="E606" s="2" t="inlineStr">
        <is>
          <t>Carvedilol</t>
        </is>
      </c>
      <c r="F606" s="2" t="inlineStr">
        <is>
          <t>Amlodipine</t>
        </is>
      </c>
      <c r="G606" s="2" t="inlineStr">
        <is>
          <t>Amiodarone</t>
        </is>
      </c>
      <c r="H606" s="2" t="inlineStr">
        <is>
          <t>Verapamil ห้ามนำไปทำซ้ำทุกกรณี เว้นแต่จะได้รับอนุญาต</t>
        </is>
      </c>
      <c r="I606" s="8" t="inlineStr">
        <is>
          <t>1</t>
        </is>
      </c>
      <c r="J606" s="2" t="inlineStr">
        <is>
          <t>✅ คำตอบที่ถูกต้อง: ข้อ ก. Digoxin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Digoxin การเลือก Digoxin เป็นคำตอบที่ถูกต้องตามแนวทางการรักษามาตรฐาน เนื่องจาก เป็น cardiac glycoside ยับยั้ง Na+/K+ ATPase เพิ่ม inotrope แต่มี narrow therapeutic index (target 0.5-0.9 ng/mL ใน HF) และเสี่ยงต่อ fatal arrhythmia เมื่อมี hypokalemia
🔍 ข้ออื่นผิดเพราะอะไร:
• ข้อ ข. (Carvedilol): เป็น non-selective beta-blocker ร่วมกับ alpha-1 blocker ช่วยลด afterload เป็น first-line GDMT ใน HFrEF ที่มี efficacy สูงในการลด mortality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(Amiodarone): เป็น Class III antiarrhythmic มี half-life ยาวนาน (~2 เดือน) มี ADRs ต่อหลายอวัยวะ: pulmonary fibrosis, thyroid dysfunction (hypo/hyper), corneal microdeposits, hepatotoxicity
• ข้อ จ. (Verapamil ห้ามนำไปทำซ้ำทุกกรณี เว้นแต่จะได้รับอนุญาต):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6" s="2" t="n"/>
      <c r="L606" s="2" t="inlineStr">
        <is>
          <t>General Therapeutics</t>
        </is>
      </c>
      <c r="M606" s="2" t="inlineStr">
        <is>
          <t>Clinic</t>
        </is>
      </c>
      <c r="N606" s="2" t="inlineStr">
        <is>
          <t>ข้อ 56 (PLE_CC1_2558_Key.md)</t>
        </is>
      </c>
      <c r="O606" s="2" t="inlineStr">
        <is>
          <t>ข้อสอบจริง</t>
        </is>
      </c>
      <c r="P606" s="2" t="inlineStr">
        <is>
          <t>ปี 2558</t>
        </is>
      </c>
    </row>
    <row r="607" ht="13.2" customHeight="1" s="37">
      <c r="A607" s="8" t="inlineStr">
        <is>
          <t>628</t>
        </is>
      </c>
      <c r="B607" s="2" t="inlineStr">
        <is>
          <t>คำแนะนำใดเหมาะสมสำหรับผู้ป่วยรายนี้</t>
        </is>
      </c>
      <c r="C607" s="2" t="n"/>
      <c r="D607" s="2" t="inlineStr">
        <is>
          <t>กินผักผลไม้เป็นประจำ</t>
        </is>
      </c>
      <c r="E607" s="2" t="inlineStr">
        <is>
          <t>ดื่มน้ำไม่เกินวันละ 1.5 ลิตร</t>
        </is>
      </c>
      <c r="F607" s="2" t="inlineStr">
        <is>
          <t>ควรออกกำลังกายเป็นประจำทุกวัน</t>
        </is>
      </c>
      <c r="G607" s="2" t="inlineStr">
        <is>
          <t>หลีกเลี่ยงอาหารที่มีไขมันสูง</t>
        </is>
      </c>
      <c r="H607" s="2" t="inlineStr">
        <is>
          <t>ควรระวังไม่ให้ท้องผูก</t>
        </is>
      </c>
      <c r="I607" s="8" t="inlineStr">
        <is>
          <t>1</t>
        </is>
      </c>
      <c r="J607" s="2" t="inlineStr">
        <is>
          <t>✅ คำตอบที่ถูกต้อง: ข้อ ก. กินผักผลไม้เป็นประจำ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กินผักผลไม้เป็นประจำ การเลือก กินผักผลไม้เป็นประจำ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(ดื่มน้ำไม่เกินวันละ 1.5 ลิตร): ข้อนี้ไม่ใช่คำตอบที่ถูกต้องสำหรับภาวะ General Therapeutics เนื่องจากกลไกการออกฤทธิ์, efficacy หรือข้อบ่งใช้ไม่ตรงกับโจทย์ที่กำหนด
• ข้อ ค. (ควรออกกำลังกายเป็นประจำทุกวัน): ข้อนี้ไม่ใช่คำตอบที่ถูกต้องสำหรับภาวะ General Therapeutics เนื่องจากกลไกการออกฤทธิ์, efficacy หรือข้อบ่งใช้ไม่ตรงกับโจทย์ที่กำหนด
• ข้อ ง. (หลีกเลี่ยงอาหารที่มีไขมันสูง): ข้อนี้ไม่ใช่คำตอบที่ถูกต้องสำหรับภาวะ General Therapeutics เนื่องจากกลไกการออกฤทธิ์, efficacy หรือข้อบ่งใช้ไม่ตรงกับโจทย์ที่กำหนด
• ข้อ จ. (ควรระวังไม่ให้ท้องผูก):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7" s="2" t="n"/>
      <c r="L607" s="2" t="inlineStr">
        <is>
          <t>General Therapeutics</t>
        </is>
      </c>
      <c r="M607" s="2" t="inlineStr">
        <is>
          <t>Clinic</t>
        </is>
      </c>
      <c r="N607" s="2" t="inlineStr">
        <is>
          <t>ข้อ 57 (PLE_CC1_2558_Key.md)</t>
        </is>
      </c>
      <c r="O607" s="2" t="inlineStr">
        <is>
          <t>ข้อสอบจริง</t>
        </is>
      </c>
      <c r="P607" s="2" t="inlineStr">
        <is>
          <t>ปี 2558</t>
        </is>
      </c>
    </row>
    <row r="608" ht="13.2" customHeight="1" s="37">
      <c r="A608" s="8" t="inlineStr">
        <is>
          <t>629</t>
        </is>
      </c>
      <c r="B608" s="2" t="inlineStr">
        <is>
          <t>ข้อใดไม่ถูกต้อง</t>
        </is>
      </c>
      <c r="C608" s="2" t="n"/>
      <c r="D608" s="2" t="inlineStr">
        <is>
          <t>Cyclophosphamide เป็น prodrug</t>
        </is>
      </c>
      <c r="E608" s="2" t="inlineStr">
        <is>
          <t>Doxorubicin เป็นยาในกลุ่ม anthracycline</t>
        </is>
      </c>
      <c r="F608" s="2" t="inlineStr">
        <is>
          <t>Metabolite ของ cyclophosphamide คือ acrolein</t>
        </is>
      </c>
      <c r="G608" s="2" t="inlineStr">
        <is>
          <t>ยาที่มีพิษต่อหัวใจคือ doxorubicin</t>
        </is>
      </c>
      <c r="H608" s="2" t="inlineStr">
        <is>
          <t>Tamoxifen เป็นยาในกลุ่ม non-steroidal antiestrogen</t>
        </is>
      </c>
      <c r="I608" s="8" t="inlineStr">
        <is>
          <t>1</t>
        </is>
      </c>
      <c r="J608" s="2" t="inlineStr">
        <is>
          <t>✅ คำตอบที่ถูกต้อง: ข้อ ก. Cyclophosphamide เป็น prodrug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Cyclophosphamide เป็น prodrug การเลือก Cyclophosphamide เป็น prodrug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(Doxorubicin เป็นยาในกลุ่ม anthracycline): ข้อนี้ไม่ใช่คำตอบที่ถูกต้องสำหรับภาวะ General Therapeutics เนื่องจากกลไกการออกฤทธิ์, efficacy หรือข้อบ่งใช้ไม่ตรงกับโจทย์ที่กำหนด
• ข้อ ค. (Metabolite ของ cyclophosphamide คือ acrolein): ข้อนี้ไม่ใช่คำตอบที่ถูกต้องสำหรับภาวะ General Therapeutics เนื่องจากกลไกการออกฤทธิ์, efficacy หรือข้อบ่งใช้ไม่ตรงกับโจทย์ที่กำหนด
• ข้อ ง. (ยาที่มีพิษต่อหัวใจคือ doxorubicin): ข้อนี้ไม่ใช่คำตอบที่ถูกต้องสำหรับภาวะ General Therapeutics เนื่องจากกลไกการออกฤทธิ์, efficacy หรือข้อบ่งใช้ไม่ตรงกับโจทย์ที่กำหนด
• ข้อ จ. (Tamoxifen เป็นยาในกลุ่ม non-steroidal antiestrogen):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8" s="2" t="n"/>
      <c r="L608" s="2" t="inlineStr">
        <is>
          <t>General Therapeutics</t>
        </is>
      </c>
      <c r="M608" s="2" t="inlineStr">
        <is>
          <t>Clinic</t>
        </is>
      </c>
      <c r="N608" s="2" t="inlineStr">
        <is>
          <t>ข้อ 64 (PLE_CC1_2558_Key.md)</t>
        </is>
      </c>
      <c r="O608" s="2" t="inlineStr">
        <is>
          <t>ข้อสอบจริง</t>
        </is>
      </c>
      <c r="P608" s="2" t="inlineStr">
        <is>
          <t>ปี 2558</t>
        </is>
      </c>
    </row>
    <row r="609" ht="13.2" customHeight="1" s="37">
      <c r="A609" s="8" t="inlineStr">
        <is>
          <t>630</t>
        </is>
      </c>
      <c r="B609" s="2" t="inlineStr">
        <is>
          <t>Tamoxifen มีข้อห้ามใช้ในโรคใด</t>
        </is>
      </c>
      <c r="C609" s="2" t="n"/>
      <c r="D609" s="2" t="inlineStr">
        <is>
          <t>HTN</t>
        </is>
      </c>
      <c r="E609" s="2" t="inlineStr">
        <is>
          <t>CKD</t>
        </is>
      </c>
      <c r="F609" s="2" t="inlineStr">
        <is>
          <t>DM</t>
        </is>
      </c>
      <c r="G609" s="2" t="inlineStr">
        <is>
          <t>DVT</t>
        </is>
      </c>
      <c r="H609" s="2" t="inlineStr">
        <is>
          <t>BPH ห้ามนำไปทำซ้ำทุกกรณี เว้นแต่จะได้รับอนุญาต such as 4-hydroxytamoxifen (afimoxifene) and N-desmethyl-4 hydroxytamoxifen which hav 30-100 times estrogen receptor antagonist so that transcription of estrogen-responsive genes is inhibited.</t>
        </is>
      </c>
      <c r="I609" s="8" t="inlineStr">
        <is>
          <t>1</t>
        </is>
      </c>
      <c r="J609" s="2" t="inlineStr">
        <is>
          <t>✅ คำตอบที่ถูกต้อง: ข้อ ก. HTN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HTN Tamoxifen itself is a prodrug, having relatively little affinity for its target protein, the estrogen receptor.  It is metabolized in the liver by the cytochrome P450 isoform CYP2D6 and CYP3A4 into active metabolites more affinity with the estrogen receptor than tamoxifen itself. These active metabolites compete with estrogen in the body for binding to the estrogen receptor. In breast tissue, 4-OH tamoxifen acts as an
🔍 ข้ออื่นผิดเพราะอะไร:
• ข้อ ข. (CKD): ข้อนี้ไม่ใช่คำตอบที่ถูกต้องสำหรับภาวะ Oncology &amp; Chemotherapy เนื่องจากกลไกการออกฤทธิ์, efficacy หรือข้อบ่งใช้ไม่ตรงกับโจทย์ที่กำหนด
• ข้อ ค. (DM): ข้อนี้ไม่ใช่คำตอบที่ถูกต้องสำหรับภาวะ Oncology &amp; Chemotherapy เนื่องจากกลไกการออกฤทธิ์, efficacy หรือข้อบ่งใช้ไม่ตรงกับโจทย์ที่กำหนด
• ข้อ ง. (DVT): ข้อนี้ไม่ใช่คำตอบที่ถูกต้องสำหรับภาวะ Oncology &amp; Chemotherapy เนื่องจากกลไกการออกฤทธิ์, efficacy หรือข้อบ่งใช้ไม่ตรงกับโจทย์ที่กำหนด
• ข้อ จ. (BPH ห้ามนำไปทำซ้ำทุกกรณี เว้นแต่จะได้รับอนุญาต such as 4-hydroxytamoxifen (afimoxifene) and N-desmethyl-4 hydroxytamoxifen which hav 30-100 times estrogen receptor antagonist so that transcription of estrogen-responsive genes is inhibited.): ข้อนี้ไม่ใช่คำตอบที่ถูกต้องสำหรับภาวะ Oncology &amp; Chemotherapy เนื่องจากกลไกการออกฤทธิ์, efficacy หรือข้อบ่งใช้ไม่ตรงกับโจทย์ที่กำหนด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09" s="2" t="n"/>
      <c r="L609" s="2" t="inlineStr">
        <is>
          <t>Oncology &amp; Chemotherapy</t>
        </is>
      </c>
      <c r="M609" s="2" t="inlineStr">
        <is>
          <t>Clinic</t>
        </is>
      </c>
      <c r="N609" s="2" t="inlineStr">
        <is>
          <t>ข้อ 67 (PLE_CC1_2558_Key.md)</t>
        </is>
      </c>
      <c r="O609" s="2" t="inlineStr">
        <is>
          <t>ข้อสอบจริง</t>
        </is>
      </c>
      <c r="P609" s="2" t="inlineStr">
        <is>
          <t>ปี 2558</t>
        </is>
      </c>
    </row>
    <row r="610" ht="13.2" customHeight="1" s="37">
      <c r="A610" s="8" t="inlineStr">
        <is>
          <t>631</t>
        </is>
      </c>
      <c r="B610" s="2" t="inlineStr">
        <is>
          <t>ข้อใดถูกต้องเกี่ยวกับข้อความดังกล่าว</t>
        </is>
      </c>
      <c r="C610" s="2" t="n"/>
      <c r="D610" s="2" t="inlineStr">
        <is>
          <t>Tamoxifen ไม่ใช่ active metabolite</t>
        </is>
      </c>
      <c r="E610" s="2" t="inlineStr">
        <is>
          <t>การออกฤทธิ์ของ tamoxifen ไม่ขึ้นกับเชื้อชาติ</t>
        </is>
      </c>
      <c r="F610" s="2" t="inlineStr">
        <is>
          <t>คนไข้ที่เป็น poor metabolizer ของ 2D6 จะทำให้ ยาออกฤทธิ์ได้น้อยลง</t>
        </is>
      </c>
      <c r="G610" s="2" t="inlineStr">
        <is>
          <t>คนไข้ที่เป็น rapid metabolizer ของ 2D6 จะทำให้ยาออกฤทธิ์ได้น้อยลง</t>
        </is>
      </c>
      <c r="H610" s="2" t="inlineStr">
        <is>
          <t>คนไข้ที่กิน paroxetine จะทำให้ยาออกฤทธิ์ได้มากขึ้น</t>
        </is>
      </c>
      <c r="I610" s="8" t="inlineStr">
        <is>
          <t>1</t>
        </is>
      </c>
      <c r="J610" s="2" t="inlineStr">
        <is>
          <t>✅ คำตอบที่ถูกต้อง: ข้อ ก. Tamoxifen ไม่ใช่ active metabolite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Tamoxifen ไม่ใช่ active metabolite การเลือก Tamoxifen ไม่ใช่ active metabolite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(การออกฤทธิ์ของ tamoxifen ไม่ขึ้นกับเชื้อชาติ): ข้อนี้ไม่ใช่คำตอบที่ถูกต้องสำหรับภาวะ General Therapeutics เนื่องจากกลไกการออกฤทธิ์, efficacy หรือข้อบ่งใช้ไม่ตรงกับโจทย์ที่กำหนด
• ข้อ ค. (คนไข้ที่เป็น poor metabolizer ของ 2D6 จะทำให้ ยาออกฤทธิ์ได้น้อยลง): ข้อนี้ไม่ใช่คำตอบที่ถูกต้องสำหรับภาวะ General Therapeutics เนื่องจากกลไกการออกฤทธิ์, efficacy หรือข้อบ่งใช้ไม่ตรงกับโจทย์ที่กำหนด
• ข้อ ง. (คนไข้ที่เป็น rapid metabolizer ของ 2D6 จะทำให้ยาออกฤทธิ์ได้น้อยลง): ข้อนี้ไม่ใช่คำตอบที่ถูกต้องสำหรับภาวะ General Therapeutics เนื่องจากกลไกการออกฤทธิ์, efficacy หรือข้อบ่งใช้ไม่ตรงกับโจทย์ที่กำหนด
• ข้อ จ. (คนไข้ที่กิน paroxetine จะทำให้ยาออกฤทธิ์ได้มากขึ้น):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0" s="2" t="n"/>
      <c r="L610" s="2" t="inlineStr">
        <is>
          <t>General Therapeutics</t>
        </is>
      </c>
      <c r="M610" s="2" t="inlineStr">
        <is>
          <t>Clinic</t>
        </is>
      </c>
      <c r="N610" s="2" t="inlineStr">
        <is>
          <t>ข้อ 68 (PLE_CC1_2558_Key.md)</t>
        </is>
      </c>
      <c r="O610" s="2" t="inlineStr">
        <is>
          <t>ข้อสอบจริง</t>
        </is>
      </c>
      <c r="P610" s="2" t="inlineStr">
        <is>
          <t>ปี 2558</t>
        </is>
      </c>
    </row>
    <row r="611" ht="13.2" customHeight="1" s="37">
      <c r="A611" s="8" t="inlineStr">
        <is>
          <t>632</t>
        </is>
      </c>
      <c r="B611" s="2" t="inlineStr">
        <is>
          <t>ข้อใดถูกต้องเกี่ยวกับคำแนะนำการกิน cafergot</t>
        </is>
      </c>
      <c r="C611" s="2" t="n"/>
      <c r="D611" s="2" t="inlineStr">
        <is>
          <t>กินหลังอาหารทันที</t>
        </is>
      </c>
      <c r="E611" s="2" t="inlineStr">
        <is>
          <t>กินไม่เกินวันละ 6 เม็ด</t>
        </is>
      </c>
      <c r="F611" s="2" t="inlineStr">
        <is>
          <t>1 เดือนไม่ควรกินเกิน 10 เม็ด</t>
        </is>
      </c>
      <c r="G611" s="2" t="inlineStr">
        <is>
          <t>กินร่วมกับนมเพื่อเพิ่มการดูดซึม</t>
        </is>
      </c>
      <c r="H611" s="2" t="inlineStr">
        <is>
          <t>1 สัปดาห์ไม่ควรกินเกิน 8 เม็ด ห้ามนำไปทำซ้ำทุกกรณี เว้นแต่จะได้รับอนุญาต</t>
        </is>
      </c>
      <c r="I611" s="8" t="inlineStr">
        <is>
          <t>1</t>
        </is>
      </c>
      <c r="J611" s="2" t="inlineStr">
        <is>
          <t>✅ คำตอบที่ถูกต้อง: ข้อ ก. กินหลังอาหารทันที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กินหลังอาหารทันที การเลือก กินหลังอาหารทันที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(กินไม่เกินวันละ 6 เม็ด): ข้อนี้ไม่ใช่คำตอบที่ถูกต้องสำหรับภาวะ General Therapeutics เนื่องจากกลไกการออกฤทธิ์, efficacy หรือข้อบ่งใช้ไม่ตรงกับโจทย์ที่กำหนด
• ข้อ ค. (1 เดือนไม่ควรกินเกิน 10 เม็ด): ข้อนี้ไม่ใช่คำตอบที่ถูกต้องสำหรับภาวะ General Therapeutics เนื่องจากกลไกการออกฤทธิ์, efficacy หรือข้อบ่งใช้ไม่ตรงกับโจทย์ที่กำหนด
• ข้อ ง. (กินร่วมกับนมเพื่อเพิ่มการดูดซึม): ข้อนี้ไม่ใช่คำตอบที่ถูกต้องสำหรับภาวะ General Therapeutics เนื่องจากกลไกการออกฤทธิ์, efficacy หรือข้อบ่งใช้ไม่ตรงกับโจทย์ที่กำหนด
• ข้อ จ. (1 สัปดาห์ไม่ควรกินเกิน 8 เม็ด ห้ามนำไปทำซ้ำทุกกรณี เว้นแต่จะได้รับอนุญาต):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1" s="2" t="n"/>
      <c r="L611" s="2" t="inlineStr">
        <is>
          <t>General Therapeutics</t>
        </is>
      </c>
      <c r="M611" s="2" t="inlineStr">
        <is>
          <t>Clinic</t>
        </is>
      </c>
      <c r="N611" s="2" t="inlineStr">
        <is>
          <t>ข้อ 72 (PLE_CC1_2558_Key.md)</t>
        </is>
      </c>
      <c r="O611" s="2" t="inlineStr">
        <is>
          <t>ข้อสอบจริง</t>
        </is>
      </c>
      <c r="P611" s="2" t="inlineStr">
        <is>
          <t>ปี 2558</t>
        </is>
      </c>
    </row>
    <row r="612" ht="13.2" customHeight="1" s="37">
      <c r="A612" s="8" t="inlineStr">
        <is>
          <t>633</t>
        </is>
      </c>
      <c r="B612" s="2" t="inlineStr">
        <is>
          <t>ข้อใดถูก</t>
        </is>
      </c>
      <c r="C612" s="2" t="n"/>
      <c r="D612" s="2" t="inlineStr">
        <is>
          <t>ฉีด ERIG ต้องทำ skin test</t>
        </is>
      </c>
      <c r="E612" s="2" t="inlineStr">
        <is>
          <t>ฉีด ERIG ที่ต้นแขนคนละข้างกับที่ ฉีด rabies</t>
        </is>
      </c>
      <c r="F612" s="2" t="inlineStr">
        <is>
          <t>ฉีด rabies แบบ IDใช้ปริมาณวัคซีนมากกว่า IM</t>
        </is>
      </c>
      <c r="G612" s="2" t="inlineStr">
        <is>
          <t>วัคซีนทุกยี่ห้อสามารถใช้แทนกันได้</t>
        </is>
      </c>
      <c r="H612" s="2" t="inlineStr">
        <is>
          <t>ไม่มีข้อใดถูก</t>
        </is>
      </c>
      <c r="I612" s="8" t="inlineStr">
        <is>
          <t>1</t>
        </is>
      </c>
      <c r="J612" s="2" t="inlineStr">
        <is>
          <t>✅ คำตอบที่ถูกต้อง: ข้อ ก. ฉีด ERIG ต้องทำ skin test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ฉีด ERIG ต้องทำ skin test การเลือก ฉีด ERIG ต้องทำ skin test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(ฉีด ERIG ที่ต้นแขนคนละข้างกับที่ ฉีด rabies): ข้อนี้ไม่ใช่คำตอบที่ถูกต้องสำหรับภาวะ General Therapeutics เนื่องจากกลไกการออกฤทธิ์, efficacy หรือข้อบ่งใช้ไม่ตรงกับโจทย์ที่กำหนด
• ข้อ ค. (ฉีด rabies แบบ IDใช้ปริมาณวัคซีนมากกว่า IM): ข้อนี้ไม่ใช่คำตอบที่ถูกต้องสำหรับภาวะ General Therapeutics เนื่องจากกลไกการออกฤทธิ์, efficacy หรือข้อบ่งใช้ไม่ตรงกับโจทย์ที่กำหนด
• ข้อ ง. (วัคซีนทุกยี่ห้อสามารถใช้แทนกันได้):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2" s="2" t="n"/>
      <c r="L612" s="2" t="inlineStr">
        <is>
          <t>General Therapeutics</t>
        </is>
      </c>
      <c r="M612" s="2" t="inlineStr">
        <is>
          <t>Clinic</t>
        </is>
      </c>
      <c r="N612" s="2" t="inlineStr">
        <is>
          <t>ข้อ 75 (PLE_CC1_2558_Key.md)</t>
        </is>
      </c>
      <c r="O612" s="2" t="inlineStr">
        <is>
          <t>ข้อสอบจริง</t>
        </is>
      </c>
      <c r="P612" s="2" t="inlineStr">
        <is>
          <t>ปี 2558</t>
        </is>
      </c>
    </row>
    <row r="613" ht="13.2" customHeight="1" s="37">
      <c r="A613" s="8" t="inlineStr">
        <is>
          <t>634</t>
        </is>
      </c>
      <c r="B613" s="2" t="inlineStr">
        <is>
          <t>ข้อใดถูกเกี่ยวกับการฉีดบาดทะยักในผู้ป่วยรายนี้</t>
        </is>
      </c>
      <c r="C613" s="2" t="n"/>
      <c r="D613" s="2" t="inlineStr">
        <is>
          <t>ฉีดเข็มเดียว</t>
        </is>
      </c>
      <c r="E613" s="2" t="inlineStr">
        <is>
          <t>ฉีดเดือนที่ 0 -1-6</t>
        </is>
      </c>
      <c r="F613" s="2" t="inlineStr">
        <is>
          <t>ฉีดใหม่ทั้งหมด 5 เข็ม</t>
        </is>
      </c>
      <c r="G613" s="2" t="inlineStr">
        <is>
          <t>ฉีดเดือนที่ 0 ,1</t>
        </is>
      </c>
      <c r="H613" s="2" t="inlineStr">
        <is>
          <t>ฉีดพร้อมกับ rabies</t>
        </is>
      </c>
      <c r="I613" s="8" t="inlineStr">
        <is>
          <t>1</t>
        </is>
      </c>
      <c r="J613" s="2" t="inlineStr">
        <is>
          <t>✅ คำตอบที่ถูกต้อง: ข้อ ก. ฉีดเข็มเดียว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ฉีดเข็มเดียว การเลือก ฉีดเข็มเดียว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(ฉีดเดือนที่ 0 -1-6): ข้อนี้ไม่ใช่คำตอบที่ถูกต้องสำหรับภาวะ General Therapeutics เนื่องจากกลไกการออกฤทธิ์, efficacy หรือข้อบ่งใช้ไม่ตรงกับโจทย์ที่กำหนด
• ข้อ ค. (ฉีดใหม่ทั้งหมด 5 เข็ม): ข้อนี้ไม่ใช่คำตอบที่ถูกต้องสำหรับภาวะ General Therapeutics เนื่องจากกลไกการออกฤทธิ์, efficacy หรือข้อบ่งใช้ไม่ตรงกับโจทย์ที่กำหนด
• ข้อ ง. (ฉีดเดือนที่ 0 ,1): ข้อนี้ไม่ใช่คำตอบที่ถูกต้องสำหรับภาวะ General Therapeutics เนื่องจากกลไกการออกฤทธิ์, efficacy หรือข้อบ่งใช้ไม่ตรงกับโจทย์ที่กำหนด
• ข้อ จ. (ฉีดพร้อมกับ rabies):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3" s="2" t="n"/>
      <c r="L613" s="2" t="inlineStr">
        <is>
          <t>General Therapeutics</t>
        </is>
      </c>
      <c r="M613" s="2" t="inlineStr">
        <is>
          <t>Clinic</t>
        </is>
      </c>
      <c r="N613" s="2" t="inlineStr">
        <is>
          <t>ข้อ 77 (PLE_CC1_2558_Key.md)</t>
        </is>
      </c>
      <c r="O613" s="2" t="inlineStr">
        <is>
          <t>ข้อสอบจริง</t>
        </is>
      </c>
      <c r="P613" s="2" t="inlineStr">
        <is>
          <t>ปี 2558</t>
        </is>
      </c>
    </row>
    <row r="614" ht="13.2" customHeight="1" s="37">
      <c r="A614" s="8" t="inlineStr">
        <is>
          <t>635</t>
        </is>
      </c>
      <c r="B614" s="2" t="inlineStr">
        <is>
          <t>ยาแก้ปวด NSAIDs ตัวใด มีระยะเวลาในการออกฤทธิ์นานที่สุด</t>
        </is>
      </c>
      <c r="C614" s="2" t="n"/>
      <c r="D614" s="2" t="inlineStr">
        <is>
          <t>Ibuprofen</t>
        </is>
      </c>
      <c r="E614" s="2" t="inlineStr">
        <is>
          <t>Etoricoxib</t>
        </is>
      </c>
      <c r="F614" s="2" t="inlineStr">
        <is>
          <t>Naproxen</t>
        </is>
      </c>
      <c r="G614" s="2" t="inlineStr">
        <is>
          <t>Celecoxib</t>
        </is>
      </c>
      <c r="H614" s="2" t="inlineStr">
        <is>
          <t>Nimesulide</t>
        </is>
      </c>
      <c r="I614" s="8" t="inlineStr">
        <is>
          <t>1</t>
        </is>
      </c>
      <c r="J614" s="2" t="inlineStr">
        <is>
          <t>✅ คำตอบที่ถูกต้อง: ข้อ ก. Ibuprofen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Ibuprofen การเลือก Ibuprofen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(Etoricoxib): เป็น selective COX-2 inhibitor ออกฤทธิ์เร็วและยาวนาน (OD) แต่มี contraindication ในผู้ป่วย uncontrolled hypertension (BP &gt; 140/90 mmHg)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(Nimesulide):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614" s="2" t="n"/>
      <c r="L614" s="2" t="inlineStr">
        <is>
          <t>Musculoskeletal &amp; Joint</t>
        </is>
      </c>
      <c r="M614" s="2" t="inlineStr">
        <is>
          <t>Clinic</t>
        </is>
      </c>
      <c r="N614" s="2" t="inlineStr">
        <is>
          <t>ข้อ 2 (Pharmtutor_2024_Set1.md)</t>
        </is>
      </c>
      <c r="O614" s="2" t="inlineStr">
        <is>
          <t>Mock</t>
        </is>
      </c>
      <c r="P614" s="2" t="inlineStr">
        <is>
          <t>Mock Pharmtutor 2024</t>
        </is>
      </c>
    </row>
    <row r="615" ht="13.2" customHeight="1" s="37">
      <c r="A615" s="8" t="inlineStr">
        <is>
          <t>636</t>
        </is>
      </c>
      <c r="B615" s="2" t="inlineStr">
        <is>
          <t>ข้อใดคือกลไกการออกฤทธิ์ของยา Hydrochlorothiazide</t>
        </is>
      </c>
      <c r="C615" s="2" t="n"/>
      <c r="D615" s="2" t="inlineStr">
        <is>
          <t>ยับยั้ง Angiotensin – converting enzyme</t>
        </is>
      </c>
      <c r="E615" s="2" t="inlineStr">
        <is>
          <t>ยับยั้ง Beta1 receptor ที่หัวใจ และลดอัตราการเต้นของหัวใจ</t>
        </is>
      </c>
      <c r="F615" s="2" t="inlineStr">
        <is>
          <t>ยับยั้ง Voltage-sensitive Calcium Channel Type L</t>
        </is>
      </c>
      <c r="G615" s="2" t="inlineStr">
        <is>
          <t>ยับยั้ง NaCl cotransporter ที่ Distal convoluted tubule</t>
        </is>
      </c>
      <c r="H615" s="2" t="inlineStr">
        <is>
          <t>ยับยั้ง Na-K-2Cl transporter ส่งผลให้ยับยั้งการดูดกลับ Na+ ที่ Thick ascending limb ของ Loop of Henle</t>
        </is>
      </c>
      <c r="I615" s="8" t="inlineStr">
        <is>
          <t>1</t>
        </is>
      </c>
      <c r="J615" s="2" t="inlineStr">
        <is>
          <t>✅ คำตอบที่ถูกต้อง: ข้อ ก. ยับยั้ง Angiotensin – converting enzyme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ยับยั้ง Angiotensin – converting enzyme การเลือก ยับยั้ง Angiotensin – converting enzyme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(ยับยั้ง Beta1 receptor ที่หัวใจ และลดอัตราการเต้นของหัวใจ): ข้อนี้ไม่ใช่คำตอบที่ถูกต้องสำหรับภาวะ Cardiovascular Diseases เนื่องจากกลไกการออกฤทธิ์, efficacy หรือข้อบ่งใช้ไม่ตรงกับโจทย์ที่กำหนด
• ข้อ ค. (ยับยั้ง Voltage-sensitive Calcium Channel Type L): ข้อนี้ไม่ใช่คำตอบที่ถูกต้องสำหรับภาวะ Cardiovascular Diseases เนื่องจากกลไกการออกฤทธิ์, efficacy หรือข้อบ่งใช้ไม่ตรงกับโจทย์ที่กำหนด
• ข้อ ง. (ยับยั้ง NaCl cotransporter ที่ Distal convoluted tubule): ข้อนี้ไม่ใช่คำตอบที่ถูกต้องสำหรับภาวะ Cardiovascular Diseases เนื่องจากกลไกการออกฤทธิ์, efficacy หรือข้อบ่งใช้ไม่ตรงกับโจทย์ที่กำหนด
• ข้อ จ. (ยับยั้ง Na-K-2Cl transporter ส่งผลให้ยับยั้งการดูดกลับ Na+ ที่ Thick ascending limb ของ Loop of Henle):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615" s="2" t="n"/>
      <c r="L615" s="2" t="inlineStr">
        <is>
          <t>Cardiovascular Diseases</t>
        </is>
      </c>
      <c r="M615" s="2" t="inlineStr">
        <is>
          <t>Clinic</t>
        </is>
      </c>
      <c r="N615" s="2" t="inlineStr">
        <is>
          <t>ข้อ 5 (Pharmtutor_2024_Set1.md)</t>
        </is>
      </c>
      <c r="O615" s="2" t="inlineStr">
        <is>
          <t>Mock</t>
        </is>
      </c>
      <c r="P615" s="2" t="inlineStr">
        <is>
          <t>Mock Pharmtutor 2024</t>
        </is>
      </c>
    </row>
    <row r="616" ht="13.2" customHeight="1" s="37">
      <c r="A616" s="8" t="inlineStr">
        <is>
          <t>637</t>
        </is>
      </c>
      <c r="B616" s="2" t="inlineStr">
        <is>
          <t>ผู้ป่วยมีอาการเจ็บหน้าอก ประมาณ 25 นาที ใช้ยาอมใต้ลิ้น 2 เม็ด แล้วไม่ดีขึ้นจึงไปรพ. ตรวจ troponin พบมีค่าสูง , ECG พบ ST ยก คาดว่าผู้ป่วยเป็นโรคใด</t>
        </is>
      </c>
      <c r="C616" s="2" t="n"/>
      <c r="D616" s="2" t="inlineStr">
        <is>
          <t>Unstable angina</t>
        </is>
      </c>
      <c r="E616" s="2" t="inlineStr">
        <is>
          <t>Stable angina</t>
        </is>
      </c>
      <c r="F616" s="2" t="inlineStr">
        <is>
          <t>NSTEMI</t>
        </is>
      </c>
      <c r="G616" s="2" t="inlineStr">
        <is>
          <t>STEMI</t>
        </is>
      </c>
      <c r="H616" s="2" t="inlineStr">
        <is>
          <t>Heart failure</t>
        </is>
      </c>
      <c r="I616" s="8" t="inlineStr">
        <is>
          <t>1</t>
        </is>
      </c>
      <c r="J616" s="2" t="inlineStr">
        <is>
          <t>✅ คำตอบที่ถูกต้อง: ข้อ ก. Unstable angina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Unstable angina การเลือก Unstable angina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(Stable angina): ข้อนี้ไม่ใช่คำตอบที่ถูกต้องสำหรับภาวะ General Therapeutics เนื่องจากกลไกการออกฤทธิ์, efficacy หรือข้อบ่งใช้ไม่ตรงกับโจทย์ที่กำหนด
• ข้อ ค. (NSTEMI): ข้อนี้ไม่ใช่คำตอบที่ถูกต้องสำหรับภาวะ General Therapeutics เนื่องจากกลไกการออกฤทธิ์, efficacy หรือข้อบ่งใช้ไม่ตรงกับโจทย์ที่กำหนด
• ข้อ ง. (STEMI): ข้อนี้ไม่ใช่คำตอบที่ถูกต้องสำหรับภาวะ General Therapeutics เนื่องจากกลไกการออกฤทธิ์, efficacy หรือข้อบ่งใช้ไม่ตรงกับโจทย์ที่กำหนด
• ข้อ จ. (Heart failure):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6" s="2" t="n"/>
      <c r="L616" s="2" t="inlineStr">
        <is>
          <t>General Therapeutics</t>
        </is>
      </c>
      <c r="M616" s="2" t="inlineStr">
        <is>
          <t>Clinic</t>
        </is>
      </c>
      <c r="N616" s="2" t="inlineStr">
        <is>
          <t>ข้อ 6 (Pharmtutor_2024_Set1.md)</t>
        </is>
      </c>
      <c r="O616" s="2" t="inlineStr">
        <is>
          <t>Mock</t>
        </is>
      </c>
      <c r="P616" s="2" t="inlineStr">
        <is>
          <t>Mock Pharmtutor 2024</t>
        </is>
      </c>
    </row>
    <row r="617" ht="13.2" customHeight="1" s="37">
      <c r="A617" s="8" t="inlineStr">
        <is>
          <t>638</t>
        </is>
      </c>
      <c r="B617" s="2" t="inlineStr">
        <is>
          <t>โครงสร้างใดกระตุ้นการเกิด rhabdomyolysis น้อยที่สุด</t>
        </is>
      </c>
      <c r="C617" s="2" t="n"/>
      <c r="D617" s="2" t="inlineStr">
        <is>
          <t>Sodium thiosulfate 25% 50 mL IV</t>
        </is>
      </c>
      <c r="E617" s="2" t="inlineStr">
        <is>
          <t>Calcium disodium EDTA 1 g IV</t>
        </is>
      </c>
      <c r="F617" s="2" t="inlineStr">
        <is>
          <t>Desferrioxamine 1 g IM/IV</t>
        </is>
      </c>
      <c r="G617" s="2" t="inlineStr">
        <is>
          <t>Dimercaprol (BAL) 3 mg/kg IM</t>
        </is>
      </c>
      <c r="H617" s="2" t="inlineStr">
        <is>
          <t>ไม่มีข้อใดถูก</t>
        </is>
      </c>
      <c r="I617" s="8" t="inlineStr">
        <is>
          <t>1</t>
        </is>
      </c>
      <c r="J6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7" s="2" t="n"/>
      <c r="L617" s="2" t="inlineStr">
        <is>
          <t>General Therapeutics</t>
        </is>
      </c>
      <c r="M617" s="2" t="inlineStr">
        <is>
          <t>Clinic</t>
        </is>
      </c>
      <c r="N617" s="2" t="inlineStr">
        <is>
          <t>ข้อ 10 (Pharmtutor_2024_Set1.md)</t>
        </is>
      </c>
      <c r="O617" s="2" t="inlineStr">
        <is>
          <t>Mock</t>
        </is>
      </c>
      <c r="P617" s="2" t="inlineStr">
        <is>
          <t>Mock Pharmtutor 2024</t>
        </is>
      </c>
    </row>
    <row r="618" ht="13.2" customHeight="1" s="37">
      <c r="A618" s="8" t="inlineStr">
        <is>
          <t>639</t>
        </is>
      </c>
      <c r="B618" s="2" t="inlineStr">
        <is>
          <t>ผู้ป่วยชาย มีอาการคัน บริเวณหนังศีรษะ เกาเป็นสะเก็ด เป็นขุย หนังศีรษะแดง เส้นผมหัก ข้อใดต่อไปนี้เป็นเชื้อก่อโรค</t>
        </is>
      </c>
      <c r="C618" s="2" t="n"/>
      <c r="D618" s="2" t="inlineStr">
        <is>
          <t>Malassezia furfur</t>
        </is>
      </c>
      <c r="E618" s="2" t="inlineStr">
        <is>
          <t>Candida albican</t>
        </is>
      </c>
      <c r="F618" s="2" t="inlineStr">
        <is>
          <t>Trichophyton</t>
        </is>
      </c>
      <c r="G618" s="2" t="inlineStr">
        <is>
          <t>Cutibacterium acnes</t>
        </is>
      </c>
      <c r="H618" s="2" t="inlineStr">
        <is>
          <t>Pediculus humanus</t>
        </is>
      </c>
      <c r="I618" s="8" t="inlineStr">
        <is>
          <t>1</t>
        </is>
      </c>
      <c r="J618" s="2" t="inlineStr">
        <is>
          <t>✅ คำตอบที่ถูกต้อง: ข้อ ก. Malassezia furfur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Malassezia furfur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 ข้อนี้ไม่ใช่คำตอบที่ถูกต้องสำหรับภาวะ General Therapeutics เนื่องจากกลไกการออกฤทธิ์, efficacy หรือข้อบ่งใช้ไม่ตรงกับโจทย์ที่กำหนด
• ข้อ ค. (Trichophyton): ข้อนี้ไม่ใช่คำตอบที่ถูกต้องสำหรับภาวะ General Therapeutics เนื่องจากกลไกการออกฤทธิ์, efficacy หรือข้อบ่งใช้ไม่ตรงกับโจทย์ที่กำหนด
• ข้อ ง. (Cutibacterium acnes): ข้อนี้ไม่ใช่คำตอบที่ถูกต้องสำหรับภาวะ General Therapeutics เนื่องจากกลไกการออกฤทธิ์, efficacy หรือข้อบ่งใช้ไม่ตรงกับโจทย์ที่กำหนด
• ข้อ จ. (Pediculus humanus):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8" s="2" t="n"/>
      <c r="L618" s="2" t="inlineStr">
        <is>
          <t>General Therapeutics</t>
        </is>
      </c>
      <c r="M618" s="2" t="inlineStr">
        <is>
          <t>Clinic</t>
        </is>
      </c>
      <c r="N618" s="2" t="inlineStr">
        <is>
          <t>ข้อ 13 (Pharmtutor_2024_Set1.md)</t>
        </is>
      </c>
      <c r="O618" s="2" t="inlineStr">
        <is>
          <t>Mock</t>
        </is>
      </c>
      <c r="P618" s="2" t="inlineStr">
        <is>
          <t>Mock Pharmtutor 2024</t>
        </is>
      </c>
    </row>
    <row r="619" ht="13.2" customHeight="1" s="37">
      <c r="A619" s="8" t="inlineStr">
        <is>
          <t>640</t>
        </is>
      </c>
      <c r="B619" s="2" t="inlineStr">
        <is>
          <t>จากโครงสร้าง dexamethasone บริเวณใดไม่สำคัญต่อการออกฤทธิ์</t>
        </is>
      </c>
      <c r="C619" s="2" t="n"/>
      <c r="D619" s="2" t="inlineStr">
        <is>
          <t>Cetirizine 10 mg OD</t>
        </is>
      </c>
      <c r="E619" s="2" t="inlineStr">
        <is>
          <t>Loratadine 10 mg OD</t>
        </is>
      </c>
      <c r="F619" s="2" t="inlineStr">
        <is>
          <t>Fexofenadine 180 mg OD</t>
        </is>
      </c>
      <c r="G619" s="2" t="inlineStr">
        <is>
          <t>Chlorpheniramine 4 mg TID</t>
        </is>
      </c>
      <c r="H619" s="2" t="inlineStr">
        <is>
          <t>Fluticasone furoate nasal spray</t>
        </is>
      </c>
      <c r="I619" s="8" t="inlineStr">
        <is>
          <t>1</t>
        </is>
      </c>
      <c r="J619"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9" s="2" t="n"/>
      <c r="L619" s="2" t="inlineStr">
        <is>
          <t>Allergy &amp; Immunology</t>
        </is>
      </c>
      <c r="M619" s="2" t="inlineStr">
        <is>
          <t>Clinic</t>
        </is>
      </c>
      <c r="N619" s="2" t="inlineStr">
        <is>
          <t>ข้อ 18 (Pharmtutor_2024_Set1.md)</t>
        </is>
      </c>
      <c r="O619" s="2" t="inlineStr">
        <is>
          <t>Mock</t>
        </is>
      </c>
      <c r="P619" s="2" t="inlineStr">
        <is>
          <t>Mock Pharmtutor 2024</t>
        </is>
      </c>
    </row>
    <row r="620" ht="13.2" customHeight="1" s="37">
      <c r="A620" s="8" t="inlineStr">
        <is>
          <t>641</t>
        </is>
      </c>
      <c r="B620" s="2" t="inlineStr">
        <is>
          <t>ข้อใดคือกลไกการออกฤทธิ์ของยาในกลุ่ม Dolasetron</t>
        </is>
      </c>
      <c r="C620" s="2" t="n"/>
      <c r="D620" s="2" t="inlineStr">
        <is>
          <t>D1 antagonist</t>
        </is>
      </c>
      <c r="E620" s="2" t="inlineStr">
        <is>
          <t>D2 antagonist</t>
        </is>
      </c>
      <c r="F620" s="2" t="inlineStr">
        <is>
          <t>5HT2 antagonist</t>
        </is>
      </c>
      <c r="G620" s="2" t="inlineStr">
        <is>
          <t>5HT3 antagonist</t>
        </is>
      </c>
      <c r="H620" s="2" t="inlineStr">
        <is>
          <t>Antihistamine</t>
        </is>
      </c>
      <c r="I620" s="8" t="inlineStr">
        <is>
          <t>1</t>
        </is>
      </c>
      <c r="J620" s="2" t="inlineStr">
        <is>
          <t>✅ คำตอบที่ถูกต้อง: ข้อ ก. D1 antagonist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D1 antagonist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(D2 antagonist): ข้อนี้ไม่ใช่คำตอบที่ถูกต้องสำหรับภาวะ General Therapeutics เนื่องจากกลไกการออกฤทธิ์, efficacy หรือข้อบ่งใช้ไม่ตรงกับโจทย์ที่กำหนด
• ข้อ ค. (5HT2 antagonist): ข้อนี้ไม่ใช่คำตอบที่ถูกต้องสำหรับภาวะ General Therapeutics เนื่องจากกลไกการออกฤทธิ์, efficacy หรือข้อบ่งใช้ไม่ตรงกับโจทย์ที่กำหนด
• ข้อ ง. (5HT3 antagonist): ข้อนี้ไม่ใช่คำตอบที่ถูกต้องสำหรับภาวะ General Therapeutics เนื่องจากกลไกการออกฤทธิ์, efficacy หรือข้อบ่งใช้ไม่ตรงกับโจทย์ที่กำหนด
• ข้อ จ. (Antihistamine):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0" s="2" t="n"/>
      <c r="L620" s="2" t="inlineStr">
        <is>
          <t>General Therapeutics</t>
        </is>
      </c>
      <c r="M620" s="2" t="inlineStr">
        <is>
          <t>Clinic</t>
        </is>
      </c>
      <c r="N620" s="2" t="inlineStr">
        <is>
          <t>ข้อ 21 (Pharmtutor_2024_Set1.md)</t>
        </is>
      </c>
      <c r="O620" s="2" t="inlineStr">
        <is>
          <t>Mock</t>
        </is>
      </c>
      <c r="P620" s="2" t="inlineStr">
        <is>
          <t>Mock Pharmtutor 2024</t>
        </is>
      </c>
    </row>
    <row r="621" ht="13.2" customHeight="1" s="37">
      <c r="A621" s="8" t="inlineStr">
        <is>
          <t>642</t>
        </is>
      </c>
      <c r="B621" s="2" t="inlineStr">
        <is>
          <t>จากข้อข้างต้น ยาในข้อใดเหมาะสมที่สุดสำหรับผู้ป่วยรายนี้</t>
        </is>
      </c>
      <c r="C621" s="2" t="n"/>
      <c r="D621" s="2" t="inlineStr">
        <is>
          <t>Lactulose Solution</t>
        </is>
      </c>
      <c r="E621" s="2" t="inlineStr">
        <is>
          <t>Bisacodyl Tablet</t>
        </is>
      </c>
      <c r="F621" s="2" t="inlineStr">
        <is>
          <t>NaCl Enema</t>
        </is>
      </c>
      <c r="G621" s="2" t="inlineStr">
        <is>
          <t>Ispaghula husk</t>
        </is>
      </c>
      <c r="H621" s="2" t="inlineStr">
        <is>
          <t>Senokot</t>
        </is>
      </c>
      <c r="I621" s="8" t="inlineStr">
        <is>
          <t>1</t>
        </is>
      </c>
      <c r="J621" s="2" t="inlineStr">
        <is>
          <t>✅ คำตอบที่ถูกต้อง: ข้อ ก. Lactulose Solution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Lactulose Solution การเลือก Lactulose Solution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(Bisacodyl Tablet):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(NaCl Enema): ข้อนี้ไม่ใช่คำตอบที่ถูกต้องสำหรับภาวะ General Therapeutics เนื่องจากกลไกการออกฤทธิ์, efficacy หรือข้อบ่งใช้ไม่ตรงกับโจทย์ที่กำหนด
• ข้อ ง. (Ispaghula husk): ข้อนี้ไม่ใช่คำตอบที่ถูกต้องสำหรับภาวะ General Therapeutics เนื่องจากกลไกการออกฤทธิ์, efficacy หรือข้อบ่งใช้ไม่ตรงกับโจทย์ที่กำหนด
• ข้อ จ. (Senokot):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1" s="2" t="n"/>
      <c r="L621" s="2" t="inlineStr">
        <is>
          <t>General Therapeutics</t>
        </is>
      </c>
      <c r="M621" s="2" t="inlineStr">
        <is>
          <t>Clinic</t>
        </is>
      </c>
      <c r="N621" s="2" t="inlineStr">
        <is>
          <t>ข้อ 24 (Pharmtutor_2024_Set1.md)</t>
        </is>
      </c>
      <c r="O621" s="2" t="inlineStr">
        <is>
          <t>Mock</t>
        </is>
      </c>
      <c r="P621" s="2" t="inlineStr">
        <is>
          <t>Mock Pharmtutor 2024</t>
        </is>
      </c>
    </row>
    <row r="622" ht="13.2" customHeight="1" s="37">
      <c r="A622" s="8" t="inlineStr">
        <is>
          <t>643</t>
        </is>
      </c>
      <c r="B622" s="2" t="inlineStr">
        <is>
          <t>ผู้ป่วยชายอายุ 27 ปี มีอาการถ่ายเหลวเป็นน้ำ 6-7 ครั้ง ร่วมกับอาการปวดบิด มีอาการมาแล้ว 2-3 วัน ซักประวัติเพิ่มเติม มีอาการไข้สูงร่วมด้วย จากอาการข้างต้น ยาในข้อใดเหมาะสมน้อยที่สุดในการจ่ายให้กับผู้ป่วยรายนี้</t>
        </is>
      </c>
      <c r="C622" s="2" t="n"/>
      <c r="D622" s="2" t="inlineStr">
        <is>
          <t>Metronidazole</t>
        </is>
      </c>
      <c r="E622" s="2" t="inlineStr">
        <is>
          <t>ORS</t>
        </is>
      </c>
      <c r="F622" s="2" t="inlineStr">
        <is>
          <t>Loperamide</t>
        </is>
      </c>
      <c r="G622" s="2" t="inlineStr">
        <is>
          <t>Norfloxacin</t>
        </is>
      </c>
      <c r="H622" s="2" t="inlineStr">
        <is>
          <t>Dioctahedral Smectite</t>
        </is>
      </c>
      <c r="I622" s="8" t="inlineStr">
        <is>
          <t>1</t>
        </is>
      </c>
      <c r="J622" s="2" t="inlineStr">
        <is>
          <t>✅ คำตอบที่ถูกต้อง: ข้อ ก. Metronidazole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Metronidazole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(ORS): ข้อนี้ไม่ใช่คำตอบที่ถูกต้องสำหรับภาวะ General Therapeutics เนื่องจากกลไกการออกฤทธิ์, efficacy หรือข้อบ่งใช้ไม่ตรงกับโจทย์ที่กำหนด
• ข้อ ค. (Loperamide): เป็น peripheral mu-opioid agonist ลด peristalsis ใช้บรรเทาอาการ acute non-infectious diarrhea แต่ห้ามใช้ใน bloody diarrhea (dysentery) หรือ bacterial enteritis (เสี่ยง toxic megacolon)
• ข้อ ง. (Norfloxacin): ข้อนี้ไม่ใช่คำตอบที่ถูกต้องสำหรับภาวะ General Therapeutics เนื่องจากกลไกการออกฤทธิ์, efficacy หรือข้อบ่งใช้ไม่ตรงกับโจทย์ที่กำหนด
• ข้อ จ. (Dioctahedral Smectite):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2" s="2" t="n"/>
      <c r="L622" s="2" t="inlineStr">
        <is>
          <t>General Therapeutics</t>
        </is>
      </c>
      <c r="M622" s="2" t="inlineStr">
        <is>
          <t>Clinic</t>
        </is>
      </c>
      <c r="N622" s="2" t="inlineStr">
        <is>
          <t>ข้อ 25 (Pharmtutor_2024_Set1.md)</t>
        </is>
      </c>
      <c r="O622" s="2" t="inlineStr">
        <is>
          <t>Mock</t>
        </is>
      </c>
      <c r="P622" s="2" t="inlineStr">
        <is>
          <t>Mock Pharmtutor 2024</t>
        </is>
      </c>
    </row>
    <row r="623" ht="13.2" customHeight="1" s="37">
      <c r="A623" s="8" t="inlineStr">
        <is>
          <t>644</t>
        </is>
      </c>
      <c r="B623" s="2" t="inlineStr">
        <is>
          <t>การตรวจในข้อใด ที่ไม่สามารถระบุถึงการเป็นโรคลำไส้อักเสบเรื้อรัง</t>
        </is>
      </c>
      <c r="C623" s="2" t="n"/>
      <c r="D623" s="2" t="inlineStr">
        <is>
          <t>การส่องกล้อง</t>
        </is>
      </c>
      <c r="E623" s="2" t="inlineStr">
        <is>
          <t>การตรวจเลือด</t>
        </is>
      </c>
      <c r="F623" s="2" t="inlineStr">
        <is>
          <t>การตรวจอุจจาระ</t>
        </is>
      </c>
      <c r="G623" s="2" t="inlineStr">
        <is>
          <t>การตรวจปัสสาวะ</t>
        </is>
      </c>
      <c r="H623" s="2" t="inlineStr">
        <is>
          <t>การตรวจชิ้นเนื้อ</t>
        </is>
      </c>
      <c r="I623" s="8" t="inlineStr">
        <is>
          <t>1</t>
        </is>
      </c>
      <c r="J623" s="2" t="inlineStr">
        <is>
          <t>✅ คำตอบที่ถูกต้อง: ข้อ ก. การส่องกล้อง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การส่องกล้อง การเลือก การส่องกล้อง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(การตรวจเลือด): ข้อนี้ไม่ใช่คำตอบที่ถูกต้องสำหรับภาวะ General Therapeutics เนื่องจากกลไกการออกฤทธิ์, efficacy หรือข้อบ่งใช้ไม่ตรงกับโจทย์ที่กำหนด
• ข้อ ค. (การตรวจอุจจาระ): ข้อนี้ไม่ใช่คำตอบที่ถูกต้องสำหรับภาวะ General Therapeutics เนื่องจากกลไกการออกฤทธิ์, efficacy หรือข้อบ่งใช้ไม่ตรงกับโจทย์ที่กำหนด
• ข้อ ง. (การตรวจปัสสาวะ): ข้อนี้ไม่ใช่คำตอบที่ถูกต้องสำหรับภาวะ General Therapeutics เนื่องจากกลไกการออกฤทธิ์, efficacy หรือข้อบ่งใช้ไม่ตรงกับโจทย์ที่กำหนด
• ข้อ จ. (การตรวจชิ้นเนื้อ):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3" s="2" t="n"/>
      <c r="L623" s="2" t="inlineStr">
        <is>
          <t>General Therapeutics</t>
        </is>
      </c>
      <c r="M623" s="2" t="inlineStr">
        <is>
          <t>Clinic</t>
        </is>
      </c>
      <c r="N623" s="2" t="inlineStr">
        <is>
          <t>ข้อ 27 (Pharmtutor_2024_Set1.md)</t>
        </is>
      </c>
      <c r="O623" s="2" t="inlineStr">
        <is>
          <t>Mock</t>
        </is>
      </c>
      <c r="P623" s="2" t="inlineStr">
        <is>
          <t>Mock Pharmtutor 2024</t>
        </is>
      </c>
    </row>
    <row r="624" ht="13.2" customHeight="1" s="37">
      <c r="A624" s="8" t="inlineStr">
        <is>
          <t>645</t>
        </is>
      </c>
      <c r="B624" s="2" t="inlineStr">
        <is>
          <t>ยาในข้อใดต่อไปนี้ ออกฤทธิ์ต้านอักเสบในคนไข้ลำไส้อักเสบเรื้อรัง</t>
        </is>
      </c>
      <c r="C624" s="2" t="n"/>
      <c r="D624" s="2" t="inlineStr">
        <is>
          <t>Norfloxacin</t>
        </is>
      </c>
      <c r="E624" s="2" t="inlineStr">
        <is>
          <t>Adalimumab</t>
        </is>
      </c>
      <c r="F624" s="2" t="inlineStr">
        <is>
          <t>Azathioprine</t>
        </is>
      </c>
      <c r="G624" s="2" t="inlineStr">
        <is>
          <t>Cyclosporine</t>
        </is>
      </c>
      <c r="H624" s="2" t="inlineStr">
        <is>
          <t>Metronidazole</t>
        </is>
      </c>
      <c r="I624" s="8" t="inlineStr">
        <is>
          <t>1</t>
        </is>
      </c>
      <c r="J624" s="2" t="inlineStr">
        <is>
          <t>✅ คำตอบที่ถูกต้อง: ข้อ ก. Norfloxacin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Norfloxacin การเลือก Norfloxacin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(Adalimumab): ข้อนี้ไม่ใช่คำตอบที่ถูกต้องสำหรับภาวะ General Therapeutics เนื่องจากกลไกการออกฤทธิ์, efficacy หรือข้อบ่งใช้ไม่ตรงกับโจทย์ที่กำหนด
• ข้อ ค. (Azathioprine): ข้อนี้ไม่ใช่คำตอบที่ถูกต้องสำหรับภาวะ General Therapeutics เนื่องจากกลไกการออกฤทธิ์, efficacy หรือข้อบ่งใช้ไม่ตรงกับโจทย์ที่กำหนด
• ข้อ ง. (Cyclosporine): ข้อนี้ไม่ใช่คำตอบที่ถูกต้องสำหรับภาวะ General Therapeutics เนื่องจากกลไกการออกฤทธิ์, efficacy หรือข้อบ่งใช้ไม่ตรงกับโจทย์ที่กำหนด
• ข้อ จ. (Metronidazole):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4" s="2" t="n"/>
      <c r="L624" s="2" t="inlineStr">
        <is>
          <t>General Therapeutics</t>
        </is>
      </c>
      <c r="M624" s="2" t="inlineStr">
        <is>
          <t>Clinic</t>
        </is>
      </c>
      <c r="N624" s="2" t="inlineStr">
        <is>
          <t>ข้อ 28 (Pharmtutor_2024_Set1.md)</t>
        </is>
      </c>
      <c r="O624" s="2" t="inlineStr">
        <is>
          <t>Mock</t>
        </is>
      </c>
      <c r="P624" s="2" t="inlineStr">
        <is>
          <t>Mock Pharmtutor 2024</t>
        </is>
      </c>
    </row>
    <row r="625" ht="13.2" customHeight="1" s="37">
      <c r="A625" s="8" t="inlineStr">
        <is>
          <t>646</t>
        </is>
      </c>
      <c r="B625" s="2" t="inlineStr">
        <is>
          <t>ยาในข้อใด ที่สามารถใช้ได้ในผู้ป่วย G6PD deficiency</t>
        </is>
      </c>
      <c r="C625" s="2" t="n"/>
      <c r="D625" s="2" t="inlineStr">
        <is>
          <t>Fosfomycin</t>
        </is>
      </c>
      <c r="E625" s="2" t="inlineStr">
        <is>
          <t>Nitrofurantoin</t>
        </is>
      </c>
      <c r="F625" s="2" t="inlineStr">
        <is>
          <t>Ciprofloxacin</t>
        </is>
      </c>
      <c r="G625" s="2" t="inlineStr">
        <is>
          <t>Dapsone</t>
        </is>
      </c>
      <c r="H625" s="2" t="inlineStr">
        <is>
          <t>Glibenclamide</t>
        </is>
      </c>
      <c r="I625" s="8" t="inlineStr">
        <is>
          <t>1</t>
        </is>
      </c>
      <c r="J625" s="2" t="inlineStr">
        <is>
          <t>✅ คำตอบที่ถูกต้อง: ข้อ ก. Fosfomycin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Fosfomycin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oral single-dose 3 g sachet สำหรับ acute uncomplicated cystitis มี spectrum กว้างครอบคลุม ESBL E. coli ปลอดภัยในหญิงตั้งครรภ์
🔍 ข้ออื่นผิดเพราะอะไร:
• ข้อ ข. (Nitrofurantoin): เป็น urinary tract antiseptic สำหรับ uncomplicated cystitis ปลอดภัยในหญิงตั้งครรภ์ (ยกเว้นใกล้คลอด) แต่ contraindication เมื่อ CrCl &lt; 30 mL/min
• ข้อ ค. (Ciprofloxacin): เป็น Fluoroquinolone เด่นต่อ Gram-negative รวมทั้ง Pseudomonas aeruginosa แต่มี black box warning เรื่อง tendon rupture, QT prolongation, aortic aneurysm และ dysglycemia
• ข้อ ง. (Dapsone): ข้อนี้ไม่ใช่คำตอบที่ถูกต้องสำหรับภาวะ General Therapeutics เนื่องจากกลไกการออกฤทธิ์, efficacy หรือข้อบ่งใช้ไม่ตรงกับโจทย์ที่กำหนด
• ข้อ จ.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5" s="2" t="n"/>
      <c r="L625" s="2" t="inlineStr">
        <is>
          <t>General Therapeutics</t>
        </is>
      </c>
      <c r="M625" s="2" t="inlineStr">
        <is>
          <t>Clinic</t>
        </is>
      </c>
      <c r="N625" s="2" t="inlineStr">
        <is>
          <t>ข้อ 29 (Pharmtutor_2024_Set1.md)</t>
        </is>
      </c>
      <c r="O625" s="2" t="inlineStr">
        <is>
          <t>Mock</t>
        </is>
      </c>
      <c r="P625" s="2" t="inlineStr">
        <is>
          <t>Mock Pharmtutor 2024</t>
        </is>
      </c>
    </row>
    <row r="626" ht="13.2" customHeight="1" s="37">
      <c r="A626" s="8" t="inlineStr">
        <is>
          <t>647</t>
        </is>
      </c>
      <c r="B626" s="2" t="inlineStr">
        <is>
          <t>ผู้ป่วยมาโรงพยาบาล หลังจากไปทานกุ้งจากร้านอาหาร แล้วมีอาการอ่อนเพลีย ซีด ปัสสาวะมีสีน้ำปลา แต่อุจจาระยังปกติ โดยไม่เคยเป็นมาก่อน ไม่มีประวัติตับและม้ามโต ไม่แพ้อาหาร จากการตรวจ แพทย์วินิจฉัยว่าเป็นโรค G-6PD deficiency ข้อใดควรใช้ในการรักษาผู้ป่วยรายนี้</t>
        </is>
      </c>
      <c r="C626" s="2" t="n"/>
      <c r="D626" s="2" t="inlineStr">
        <is>
          <t>Folic acid</t>
        </is>
      </c>
      <c r="E626" s="2" t="inlineStr">
        <is>
          <t>Vitamin B12</t>
        </is>
      </c>
      <c r="F626" s="2" t="inlineStr">
        <is>
          <t>Ferrous sulfate</t>
        </is>
      </c>
      <c r="G626" s="2" t="inlineStr">
        <is>
          <t>Packed red cell</t>
        </is>
      </c>
      <c r="H626" s="2" t="inlineStr">
        <is>
          <t>Platelet</t>
        </is>
      </c>
      <c r="I626" s="8" t="inlineStr">
        <is>
          <t>1</t>
        </is>
      </c>
      <c r="J626" s="2" t="inlineStr">
        <is>
          <t>✅ คำตอบที่ถูกต้อง: ข้อ ก. Folic acid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Folic acid การเลือก Folic acid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(Vitamin B12): ข้อนี้ไม่ใช่คำตอบที่ถูกต้องสำหรับภาวะ General Therapeutics เนื่องจากกลไกการออกฤทธิ์, efficacy หรือข้อบ่งใช้ไม่ตรงกับโจทย์ที่กำหนด
• ข้อ ค. (Ferrous sulfate): ข้อนี้ไม่ใช่คำตอบที่ถูกต้องสำหรับภาวะ General Therapeutics เนื่องจากกลไกการออกฤทธิ์, efficacy หรือข้อบ่งใช้ไม่ตรงกับโจทย์ที่กำหนด
• ข้อ ง. (Packed red cell): ข้อนี้ไม่ใช่คำตอบที่ถูกต้องสำหรับภาวะ General Therapeutics เนื่องจากกลไกการออกฤทธิ์, efficacy หรือข้อบ่งใช้ไม่ตรงกับโจทย์ที่กำหนด
• ข้อ จ. (Platelet):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6" s="2" t="n"/>
      <c r="L626" s="2" t="inlineStr">
        <is>
          <t>General Therapeutics</t>
        </is>
      </c>
      <c r="M626" s="2" t="inlineStr">
        <is>
          <t>Clinic</t>
        </is>
      </c>
      <c r="N626" s="2" t="inlineStr">
        <is>
          <t>ข้อ 30 (Pharmtutor_2024_Set1.md)</t>
        </is>
      </c>
      <c r="O626" s="2" t="inlineStr">
        <is>
          <t>Mock</t>
        </is>
      </c>
      <c r="P626" s="2" t="inlineStr">
        <is>
          <t>Mock Pharmtutor 2024</t>
        </is>
      </c>
    </row>
    <row r="627" ht="13.2" customHeight="1" s="37">
      <c r="A627" s="8" t="inlineStr">
        <is>
          <t>648</t>
        </is>
      </c>
      <c r="B627" s="2" t="inlineStr">
        <is>
          <t>ยาต้านเอชไอวีตัวใด ที่ควรตรวจคัดกรอง HLA-B5701</t>
        </is>
      </c>
      <c r="C627" s="2" t="n"/>
      <c r="D627" s="2" t="inlineStr">
        <is>
          <t>Tenofovir</t>
        </is>
      </c>
      <c r="E627" s="2" t="inlineStr">
        <is>
          <t>Lamivudine</t>
        </is>
      </c>
      <c r="F627" s="2" t="inlineStr">
        <is>
          <t>Atazanavir</t>
        </is>
      </c>
      <c r="G627" s="2" t="inlineStr">
        <is>
          <t>Zidovudine</t>
        </is>
      </c>
      <c r="H627" s="2" t="inlineStr">
        <is>
          <t>Abacavir</t>
        </is>
      </c>
      <c r="I627" s="8" t="inlineStr">
        <is>
          <t>1</t>
        </is>
      </c>
      <c r="J627" s="2" t="inlineStr">
        <is>
          <t>✅ คำตอบที่ถูกต้อง: ข้อ ก. Tenofovir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Tenofovir การเลือก Tenofovir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(Lamivudine): ข้อนี้ไม่ใช่คำตอบที่ถูกต้องสำหรับภาวะ General Therapeutics เนื่องจากกลไกการออกฤทธิ์, efficacy หรือข้อบ่งใช้ไม่ตรงกับโจทย์ที่กำหนด
• ข้อ ค. (Atazanavir): ข้อนี้ไม่ใช่คำตอบที่ถูกต้องสำหรับภาวะ General Therapeutics เนื่องจากกลไกการออกฤทธิ์, efficacy หรือข้อบ่งใช้ไม่ตรงกับโจทย์ที่กำหนด
• ข้อ ง. (Zidovudine): ข้อนี้ไม่ใช่คำตอบที่ถูกต้องสำหรับภาวะ General Therapeutics เนื่องจากกลไกการออกฤทธิ์, efficacy หรือข้อบ่งใช้ไม่ตรงกับโจทย์ที่กำหนด
• ข้อ จ. (Abacavir):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7" s="2" t="n"/>
      <c r="L627" s="2" t="inlineStr">
        <is>
          <t>General Therapeutics</t>
        </is>
      </c>
      <c r="M627" s="2" t="inlineStr">
        <is>
          <t>Clinic</t>
        </is>
      </c>
      <c r="N627" s="2" t="inlineStr">
        <is>
          <t>ข้อ 32 (Pharmtutor_2024_Set1.md)</t>
        </is>
      </c>
      <c r="O627" s="2" t="inlineStr">
        <is>
          <t>Mock</t>
        </is>
      </c>
      <c r="P627" s="2" t="inlineStr">
        <is>
          <t>Mock Pharmtutor 2024</t>
        </is>
      </c>
    </row>
    <row r="628" ht="13.2" customHeight="1" s="37">
      <c r="A628" s="8" t="inlineStr">
        <is>
          <t>649</t>
        </is>
      </c>
      <c r="B628" s="2" t="inlineStr">
        <is>
          <t>ผู้ป่วยชายอายุ 15 ปี มีอาการน้ำมูกไหล เหนียวข้น ร่วมกันคันตา กดบริเวณลำคอเจ็บเล็กน้อย กลืนน้ำลายแล้วมีอาการเจ็บ พบว่าเพื่อนในห้องเดียวกันมีอาการคล้ายคลึงกัน วินิจฉัยพบว่าเป็น Bacterial Pharingitis มีประวัติแพ้ยา penicillin ยาในข้อใดเหมาะมที่สุดสำหรับผู้ป่วยรายนี้</t>
        </is>
      </c>
      <c r="C628" s="2" t="n"/>
      <c r="D628" s="2" t="inlineStr">
        <is>
          <t>Amoxicillin 500 mg BID 10 days</t>
        </is>
      </c>
      <c r="E628" s="2" t="inlineStr">
        <is>
          <t>Amoxicillin+Clavulanic 625 mg BID 5 days</t>
        </is>
      </c>
      <c r="F628" s="2" t="inlineStr">
        <is>
          <t>Azithromycin 250 mg BID 3 days</t>
        </is>
      </c>
      <c r="G628" s="2" t="inlineStr">
        <is>
          <t>Azithromycin 500 mg BID 3 days</t>
        </is>
      </c>
      <c r="H628" s="2" t="inlineStr">
        <is>
          <t>Clarithromycin 500 mg TID 3 days</t>
        </is>
      </c>
      <c r="I628" s="8" t="inlineStr">
        <is>
          <t>1</t>
        </is>
      </c>
      <c r="J628" s="2" t="inlineStr">
        <is>
          <t>✅ คำตอบที่ถูกต้อง: ข้อ ก. Amoxicillin 500 mg BID 10 days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Amoxicillin 500 mg BID 10 days การเลือก Amoxicillin 500 mg BID 10 days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(Amoxicillin+Clavulanic 625 mg BID 5 days): เป็น Aminopenicillin ยับยั้ง bacterial cell wall synthesis เป็น first-line สำหรับ uncomplicated bacterial infections (เช่น Strep pharyngitis, AOM, sinusitis)
• ข้อ ค. (Azithromycin 250 mg BID 3 days): เป็น Macrolide ครอบคลุม atypical pathogens (Mycoplasma, Chlamydia, Legionella) ขจัดออกทางตับเป็นหลัก และมี half-life ยาวนาน (~68 ชม.)
• ข้อ ง. (Azithromycin 500 mg BID 3 days): เป็น Macrolide ครอบคลุม atypical pathogens (Mycoplasma, Chlamydia, Legionella) ขจัดออกทางตับเป็นหลัก และมี half-life ยาวนาน (~68 ชม.)
• ข้อ จ. (Clarithromycin 500 mg TID 3 days): เป็น Macrolide เป็นแกนหลักในสูตรกำจัด H. pylori และ MAC treatment แต่ยับยั้ง CYP3A4 สูงมาก จึงมี drug-drug interactions รุนแรงกับ statins, colchicine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8" s="2" t="n"/>
      <c r="L628" s="2" t="inlineStr">
        <is>
          <t>Infectious Diseases</t>
        </is>
      </c>
      <c r="M628" s="2" t="inlineStr">
        <is>
          <t>Clinic</t>
        </is>
      </c>
      <c r="N628" s="2" t="inlineStr">
        <is>
          <t>ข้อ 35 (Pharmtutor_2024_Set1.md)</t>
        </is>
      </c>
      <c r="O628" s="2" t="inlineStr">
        <is>
          <t>Mock</t>
        </is>
      </c>
      <c r="P628" s="2" t="inlineStr">
        <is>
          <t>Mock Pharmtutor 2024</t>
        </is>
      </c>
    </row>
    <row r="629" ht="13.2" customHeight="1" s="37">
      <c r="A629" s="8" t="inlineStr">
        <is>
          <t>650</t>
        </is>
      </c>
      <c r="B629" s="2" t="inlineStr">
        <is>
          <t>ข้อใดคือกลไกการดื้อยาของยาในกลุ่ม penicillin</t>
        </is>
      </c>
      <c r="C629" s="2" t="n"/>
      <c r="D629" s="2" t="inlineStr">
        <is>
          <t>Drug inactivation / modification</t>
        </is>
      </c>
      <c r="E629" s="2" t="inlineStr">
        <is>
          <t>Alteration of target sites</t>
        </is>
      </c>
      <c r="F629" s="2" t="inlineStr">
        <is>
          <t>Bypass pathways</t>
        </is>
      </c>
      <c r="G629" s="2" t="inlineStr">
        <is>
          <t>Decreased uptake</t>
        </is>
      </c>
      <c r="H629" s="2" t="inlineStr">
        <is>
          <t>Increased uptake จงใช้ข้อมูลต่อไปนี้ ตอบคำถามข้อ 38-39 Azithromycin (as anhydrous base)</t>
        </is>
      </c>
      <c r="I629" s="8" t="inlineStr">
        <is>
          <t>1</t>
        </is>
      </c>
      <c r="J629" s="2" t="inlineStr">
        <is>
          <t>✅ คำตอบที่ถูกต้อง: ข้อ ก. Drug inactivation / modification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Drug inactivation / modification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(Alteration of target sites): ข้อนี้ไม่ใช่คำตอบที่ถูกต้องสำหรับภาวะ Infectious Diseases เนื่องจากกลไกการออกฤทธิ์, efficacy หรือข้อบ่งใช้ไม่ตรงกับโจทย์ที่กำหนด
• ข้อ ค. (Bypass pathways): ข้อนี้ไม่ใช่คำตอบที่ถูกต้องสำหรับภาวะ Infectious Diseases เนื่องจากกลไกการออกฤทธิ์, efficacy หรือข้อบ่งใช้ไม่ตรงกับโจทย์ที่กำหนด
• ข้อ ง. (Decreased uptake): ข้อนี้ไม่ใช่คำตอบที่ถูกต้องสำหรับภาวะ Infectious Diseases เนื่องจากกลไกการออกฤทธิ์, efficacy หรือข้อบ่งใช้ไม่ตรงกับโจทย์ที่กำหนด
• ข้อ จ. (Increased uptake จงใช้ข้อมูลต่อไปนี้ ตอบคำถามข้อ 38-39 Azithromycin (as anhydrous base)):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29" s="2" t="n"/>
      <c r="L629" s="2" t="inlineStr">
        <is>
          <t>Infectious Diseases</t>
        </is>
      </c>
      <c r="M629" s="2" t="inlineStr">
        <is>
          <t>Clinic</t>
        </is>
      </c>
      <c r="N629" s="2" t="inlineStr">
        <is>
          <t>ข้อ 37 (Pharmtutor_2024_Set1.md)</t>
        </is>
      </c>
      <c r="O629" s="2" t="inlineStr">
        <is>
          <t>Mock</t>
        </is>
      </c>
      <c r="P629" s="2" t="inlineStr">
        <is>
          <t>Mock Pharmtutor 2024</t>
        </is>
      </c>
    </row>
    <row r="630" ht="13.2" customHeight="1" s="37">
      <c r="A630" s="8" t="inlineStr">
        <is>
          <t>651</t>
        </is>
      </c>
      <c r="B630" s="2" t="inlineStr">
        <is>
          <t>Xanthan gum ทำหน้าที่ใดในตำรับ</t>
        </is>
      </c>
      <c r="C630" s="2" t="n"/>
      <c r="D630" s="2" t="inlineStr">
        <is>
          <t>Glidant</t>
        </is>
      </c>
      <c r="E630" s="2" t="inlineStr">
        <is>
          <t>Sweetening agent</t>
        </is>
      </c>
      <c r="F630" s="2" t="inlineStr">
        <is>
          <t>Thickening agent</t>
        </is>
      </c>
      <c r="G630" s="2" t="inlineStr">
        <is>
          <t>Binder</t>
        </is>
      </c>
      <c r="H630" s="2" t="inlineStr">
        <is>
          <t>Suspending agent</t>
        </is>
      </c>
      <c r="I630" s="8" t="inlineStr">
        <is>
          <t>1</t>
        </is>
      </c>
      <c r="J630" s="2" t="inlineStr">
        <is>
          <t>✅ คำตอบที่ถูกต้อง: ข้อ ก. Glidant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Glidant การเลือก Glidant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(Sweetening agent): ข้อนี้ไม่ใช่คำตอบที่ถูกต้องสำหรับภาวะ General Therapeutics เนื่องจากกลไกการออกฤทธิ์, efficacy หรือข้อบ่งใช้ไม่ตรงกับโจทย์ที่กำหนด
• ข้อ ค. (Thickening agent): ข้อนี้ไม่ใช่คำตอบที่ถูกต้องสำหรับภาวะ General Therapeutics เนื่องจากกลไกการออกฤทธิ์, efficacy หรือข้อบ่งใช้ไม่ตรงกับโจทย์ที่กำหนด
• ข้อ ง. (Binder): ข้อนี้ไม่ใช่คำตอบที่ถูกต้องสำหรับภาวะ General Therapeutics เนื่องจากกลไกการออกฤทธิ์, efficacy หรือข้อบ่งใช้ไม่ตรงกับโจทย์ที่กำหนด
• ข้อ จ. (Suspending agent):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0" s="2" t="n"/>
      <c r="L630" s="2" t="inlineStr">
        <is>
          <t>General Therapeutics</t>
        </is>
      </c>
      <c r="M630" s="2" t="inlineStr">
        <is>
          <t>Clinic</t>
        </is>
      </c>
      <c r="N630" s="2" t="inlineStr">
        <is>
          <t>ข้อ 38 (Pharmtutor_2024_Set1.md)</t>
        </is>
      </c>
      <c r="O630" s="2" t="inlineStr">
        <is>
          <t>Mock</t>
        </is>
      </c>
      <c r="P630" s="2" t="inlineStr">
        <is>
          <t>Mock Pharmtutor 2024</t>
        </is>
      </c>
    </row>
    <row r="631" ht="13.2" customHeight="1" s="37">
      <c r="A631" s="8" t="inlineStr">
        <is>
          <t>652</t>
        </is>
      </c>
      <c r="B631" s="2" t="inlineStr">
        <is>
          <t>ในระหว่างกระบวนการบรรจุผงยาลงขวด พบว่าน้ำหนักแต่ละขวดมีความแปรปรวน ควรเติมสารใดในตำรับเพิ่ม</t>
        </is>
      </c>
      <c r="C631" s="2" t="n"/>
      <c r="D631" s="2" t="inlineStr">
        <is>
          <t>Colloidal silicon dioxide</t>
        </is>
      </c>
      <c r="E631" s="2" t="inlineStr">
        <is>
          <t>Xanthan gum</t>
        </is>
      </c>
      <c r="F631" s="2" t="inlineStr">
        <is>
          <t>Hydroxypropyl cellulose</t>
        </is>
      </c>
      <c r="G631" s="2" t="inlineStr">
        <is>
          <t>Spray dried artificial flavors</t>
        </is>
      </c>
      <c r="H631" s="2" t="inlineStr">
        <is>
          <t>Tribasic sodium phosphate dodecahydrate</t>
        </is>
      </c>
      <c r="I631" s="8" t="inlineStr">
        <is>
          <t>1</t>
        </is>
      </c>
      <c r="J631" s="2" t="inlineStr">
        <is>
          <t>✅ คำตอบที่ถูกต้อง: ข้อ ก. Colloidal silicon dioxide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Colloidal silicon dioxide การเลือก Colloidal silicon dioxide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(Xanthan gum): ข้อนี้ไม่ใช่คำตอบที่ถูกต้องสำหรับภาวะ General Therapeutics เนื่องจากกลไกการออกฤทธิ์, efficacy หรือข้อบ่งใช้ไม่ตรงกับโจทย์ที่กำหนด
• ข้อ ค. (Hydroxypropyl cellulose): ข้อนี้ไม่ใช่คำตอบที่ถูกต้องสำหรับภาวะ General Therapeutics เนื่องจากกลไกการออกฤทธิ์, efficacy หรือข้อบ่งใช้ไม่ตรงกับโจทย์ที่กำหนด
• ข้อ ง. (Spray dried artificial flavors): ข้อนี้ไม่ใช่คำตอบที่ถูกต้องสำหรับภาวะ General Therapeutics เนื่องจากกลไกการออกฤทธิ์, efficacy หรือข้อบ่งใช้ไม่ตรงกับโจทย์ที่กำหนด
• ข้อ จ. (Tribasic sodium phosphate dodecahydrate):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1" s="2" t="n"/>
      <c r="L631" s="2" t="inlineStr">
        <is>
          <t>General Therapeutics</t>
        </is>
      </c>
      <c r="M631" s="2" t="inlineStr">
        <is>
          <t>Clinic</t>
        </is>
      </c>
      <c r="N631" s="2" t="inlineStr">
        <is>
          <t>ข้อ 39 (Pharmtutor_2024_Set1.md)</t>
        </is>
      </c>
      <c r="O631" s="2" t="inlineStr">
        <is>
          <t>Mock</t>
        </is>
      </c>
      <c r="P631" s="2" t="inlineStr">
        <is>
          <t>Mock Pharmtutor 2024</t>
        </is>
      </c>
    </row>
    <row r="632" ht="13.2" customHeight="1" s="37">
      <c r="A632" s="8" t="inlineStr">
        <is>
          <t>653</t>
        </is>
      </c>
      <c r="B632" s="2" t="inlineStr">
        <is>
          <t>ข้อใดกล่าวผิดเกี่ยวกับภาวะชักต่อเนื่อง</t>
        </is>
      </c>
      <c r="C632" s="2" t="n"/>
      <c r="D632" s="2" t="inlineStr">
        <is>
          <t>ปัยจัยที่ก่อให้เกิดภาวะชักต่อเนื่องมากที่สุด คือ ความเครียด</t>
        </is>
      </c>
      <c r="E632" s="2" t="inlineStr">
        <is>
          <t>ภาวะชักต่อเนื่องคืออการชักที่มีระยะเวลาติดต่อกันมากกว่า 5 นาที หรือมีการชักซ้ำภายใน 24 ชั่วโมง</t>
        </is>
      </c>
      <c r="F632" s="2" t="inlineStr">
        <is>
          <t>ยาทางเลือกแรกในการรักษาภาวะชักต่อเนื่องคือยาฉีดในกลุ่ม Benzodiazepine</t>
        </is>
      </c>
      <c r="G632" s="2" t="inlineStr">
        <is>
          <t>การให้ยา Phenytoin ชนิดฉีดมีการปรับขนาดยาตามน้ำหนักตัวของคนไข้</t>
        </is>
      </c>
      <c r="H632" s="2" t="inlineStr">
        <is>
          <t>ภาวะชักต่อเนื่องมักเกิดในเด็กมากกว่าผู้สูงอายุ</t>
        </is>
      </c>
      <c r="I632" s="8" t="inlineStr">
        <is>
          <t>1</t>
        </is>
      </c>
      <c r="J632" s="2" t="inlineStr">
        <is>
          <t>✅ คำตอบที่ถูกต้อง: ข้อ ก. ปัยจัยที่ก่อให้เกิดภาวะชักต่อเนื่องมากที่สุด คือ ความเครียด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ปัยจัยที่ก่อให้เกิดภาวะชักต่อเนื่องมากที่สุด คือ ความเครียด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(ภาวะชักต่อเนื่องคืออการชักที่มีระยะเวลาติดต่อกันมากกว่า 5 นาที หรือมีการชักซ้ำภายใน 24 ชั่วโมง): ข้อนี้ไม่ใช่คำตอบที่ถูกต้องสำหรับภาวะ Neurologic Disorders เนื่องจากกลไกการออกฤทธิ์, efficacy หรือข้อบ่งใช้ไม่ตรงกับโจทย์ที่กำหนด
• ข้อ ค. (ยาทางเลือกแรกในการรักษาภาวะชักต่อเนื่องคือยาฉีดในกลุ่ม Benzodiazepine): ข้อนี้ไม่ใช่คำตอบที่ถูกต้องสำหรับภาวะ Neurologic Disorders เนื่องจากกลไกการออกฤทธิ์, efficacy หรือข้อบ่งใช้ไม่ตรงกับโจทย์ที่กำหนด
• ข้อ ง. (การให้ยา Phenytoin ชนิดฉีดมีการปรับขนาดยาตามน้ำหนักตัวของคนไข้): เป็น sodium channel blocker สำหรับ focal/generalized seizures มี non-linear (Michaelis-Menten) PK เสี่ยง toxicity ได้ง่ายเมื่อปรับ dose และทำให้เกิด gingival hyperplasia, hirsutism, cerebellar ataxia
• ข้อ จ. (ภาวะชักต่อเนื่องมักเกิดในเด็กมากกว่าผู้สูงอายุ):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2" s="2" t="n"/>
      <c r="L632" s="2" t="inlineStr">
        <is>
          <t>Neurologic Disorders</t>
        </is>
      </c>
      <c r="M632" s="2" t="inlineStr">
        <is>
          <t>Clinic</t>
        </is>
      </c>
      <c r="N632" s="2" t="inlineStr">
        <is>
          <t>ข้อ 45 (Pharmtutor_2024_Set1.md)</t>
        </is>
      </c>
      <c r="O632" s="2" t="inlineStr">
        <is>
          <t>Mock</t>
        </is>
      </c>
      <c r="P632" s="2" t="inlineStr">
        <is>
          <t>Mock Pharmtutor 2024</t>
        </is>
      </c>
    </row>
    <row r="633" ht="13.2" customHeight="1" s="37">
      <c r="A633" s="8" t="inlineStr">
        <is>
          <t>654</t>
        </is>
      </c>
      <c r="B633" s="2" t="inlineStr">
        <is>
          <t>ข้อใดจับคู่ไม่ถูกต้อง</t>
        </is>
      </c>
      <c r="C633" s="2" t="n"/>
      <c r="D633" s="2" t="inlineStr">
        <is>
          <t>Phenytoin - Nausea/Vomiting</t>
        </is>
      </c>
      <c r="E633" s="2" t="inlineStr">
        <is>
          <t>Levetiracetam - Induce Suicidal</t>
        </is>
      </c>
      <c r="F633" s="2" t="inlineStr">
        <is>
          <t>Valproic acid - Teratogenicity</t>
        </is>
      </c>
      <c r="G633" s="2" t="inlineStr">
        <is>
          <t>Lorazepam - Retrograde amnesia</t>
        </is>
      </c>
      <c r="H633" s="2" t="inlineStr">
        <is>
          <t>Propofol - Confusion</t>
        </is>
      </c>
      <c r="I633" s="8" t="inlineStr">
        <is>
          <t>1</t>
        </is>
      </c>
      <c r="J633" s="2" t="inlineStr">
        <is>
          <t>✅ คำตอบที่ถูกต้อง: ข้อ ก. Phenytoin - Nausea/Vomiting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Phenytoin - Nausea/Vomiting การเลือก Phenytoin - Nausea/Vomiting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(Levetiracetam - Induce Suicidal): เป็น SV2A vesicle protein binder มี drug interactions ต่ำมาก ขับออกทางไตเป็นหลัก ปลอดภัยในหญิงตั้งครรภ์ แต่ต้องระวัง behavioral/mood changes (หงุดหงิด ก้าวร้าว)
• ข้อ ค. (Valproic acid - Teratogenicity): ข้อนี้ไม่ใช่คำตอบที่ถูกต้องสำหรับภาวะ General Therapeutics เนื่องจากกลไกการออกฤทธิ์, efficacy หรือข้อบ่งใช้ไม่ตรงกับโจทย์ที่กำหนด
• ข้อ ง. (Lorazepam - Retrograde amnesia): เป็น Benzodiazepine กลุ่ม LOT (Lorazepam, Oxazepam, Temazepam) ที่ผ่าน hepatic Phase II glucuronidation โดยตรง ไม่ผ่าน CYP oxidation จึงปลอดภัยกว่าในผู้สูงอายุและโรคตับ
• ข้อ จ. (Propofol - Confusion):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633" s="2" t="n"/>
      <c r="L633" s="2" t="inlineStr">
        <is>
          <t>General Therapeutics</t>
        </is>
      </c>
      <c r="M633" s="2" t="inlineStr">
        <is>
          <t>Clinic</t>
        </is>
      </c>
      <c r="N633" s="2" t="inlineStr">
        <is>
          <t>ข้อ 46 (Pharmtutor_2024_Set1.md)</t>
        </is>
      </c>
      <c r="O633" s="2" t="inlineStr">
        <is>
          <t>Mock</t>
        </is>
      </c>
      <c r="P633" s="2" t="inlineStr">
        <is>
          <t>Mock Pharmtutor 2024</t>
        </is>
      </c>
    </row>
    <row r="634" ht="13.2" customHeight="1" s="37">
      <c r="A634" s="8" t="inlineStr">
        <is>
          <t>655</t>
        </is>
      </c>
      <c r="B634" s="2" t="inlineStr">
        <is>
          <t>ข้อใดถูกต้องเกี่ยวกับ Nociceptive Pain</t>
        </is>
      </c>
      <c r="C634" s="2" t="n"/>
      <c r="D634" s="2" t="inlineStr">
        <is>
          <t>เป็นความปวดที่เกิดจากความบาดเจ็บ การอักเสบหรือมีการทำลายเนื้อเยื่อ</t>
        </is>
      </c>
      <c r="E634" s="2" t="inlineStr">
        <is>
          <t>ระบุตำแหน่งของการปวดได้ชัดเจน</t>
        </is>
      </c>
      <c r="F634" s="2" t="inlineStr">
        <is>
          <t>Prostaglandin เป็นสารสื่อประสาทหลักในการแสดงอาการ</t>
        </is>
      </c>
      <c r="G634" s="2" t="inlineStr">
        <is>
          <t>ตอบสนองต่อการใช้ opioids</t>
        </is>
      </c>
      <c r="H634" s="2" t="inlineStr">
        <is>
          <t>ถูกทุกข้อ</t>
        </is>
      </c>
      <c r="I634" s="8" t="inlineStr">
        <is>
          <t>1</t>
        </is>
      </c>
      <c r="J634" s="2" t="inlineStr">
        <is>
          <t>✅ คำตอบที่ถูกต้อง: ข้อ ก. เป็นความปวดที่เกิดจากความบาดเจ็บ การอักเสบหรือมีการทำลายเนื้อเยื่อ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เป็นความปวดที่เกิดจากความบาดเจ็บ การอักเสบหรือมีการทำลายเนื้อเยื่อ การเลือก เป็นความปวดที่เกิดจากความบาดเจ็บ การอักเสบหรือมีการทำลายเนื้อเยื่อ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(ระบุตำแหน่งของการปวดได้ชัดเจน): ข้อนี้ไม่ใช่คำตอบที่ถูกต้องสำหรับภาวะ General Therapeutics เนื่องจากกลไกการออกฤทธิ์, efficacy หรือข้อบ่งใช้ไม่ตรงกับโจทย์ที่กำหนด
• ข้อ ค. (Prostaglandin เป็นสารสื่อประสาทหลักในการแสดงอาการ): ข้อนี้ไม่ใช่คำตอบที่ถูกต้องสำหรับภาวะ General Therapeutics เนื่องจากกลไกการออกฤทธิ์, efficacy หรือข้อบ่งใช้ไม่ตรงกับโจทย์ที่กำหนด
• ข้อ ง. (ตอบสนองต่อการใช้ opioids):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4" s="2" t="n"/>
      <c r="L634" s="2" t="inlineStr">
        <is>
          <t>General Therapeutics</t>
        </is>
      </c>
      <c r="M634" s="2" t="inlineStr">
        <is>
          <t>Clinic</t>
        </is>
      </c>
      <c r="N634" s="2" t="inlineStr">
        <is>
          <t>ข้อ 48 (Pharmtutor_2024_Set1.md)</t>
        </is>
      </c>
      <c r="O634" s="2" t="inlineStr">
        <is>
          <t>Mock</t>
        </is>
      </c>
      <c r="P634" s="2" t="inlineStr">
        <is>
          <t>Mock Pharmtutor 2024</t>
        </is>
      </c>
    </row>
    <row r="635" ht="13.2" customHeight="1" s="37">
      <c r="A635" s="8" t="inlineStr">
        <is>
          <t>656</t>
        </is>
      </c>
      <c r="B635" s="2" t="inlineStr">
        <is>
          <t>ยาในข้อใดไม่สามารถใข้ในการรักษาอาการปวดแบบ Neuropathic pain</t>
        </is>
      </c>
      <c r="C635" s="2" t="n"/>
      <c r="D635" s="2" t="inlineStr">
        <is>
          <t>Tramadol</t>
        </is>
      </c>
      <c r="E635" s="2" t="inlineStr">
        <is>
          <t>Amitriptyline</t>
        </is>
      </c>
      <c r="F635" s="2" t="inlineStr">
        <is>
          <t>Gabapentin</t>
        </is>
      </c>
      <c r="G635" s="2" t="inlineStr">
        <is>
          <t>Venlafaxine</t>
        </is>
      </c>
      <c r="H635" s="2" t="inlineStr">
        <is>
          <t>Flunarizine</t>
        </is>
      </c>
      <c r="I635" s="8" t="inlineStr">
        <is>
          <t>1</t>
        </is>
      </c>
      <c r="J635" s="2" t="inlineStr">
        <is>
          <t>✅ คำตอบที่ถูกต้อง: ข้อ ก. Tramadol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Tramadol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(Gabapentin): ข้อนี้ไม่ใช่คำตอบที่ถูกต้องสำหรับภาวะ General Therapeutics เนื่องจากกลไกการออกฤทธิ์, efficacy หรือข้อบ่งใช้ไม่ตรงกับโจทย์ที่กำหนด
• ข้อ ง. (Venlafaxine): ข้อนี้ไม่ใช่คำตอบที่ถูกต้องสำหรับภาวะ General Therapeutics เนื่องจากกลไกการออกฤทธิ์, efficacy หรือข้อบ่งใช้ไม่ตรงกับโจทย์ที่กำหนด
• ข้อ จ. (Flunarizine):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35" s="2" t="n"/>
      <c r="L635" s="2" t="inlineStr">
        <is>
          <t>General Therapeutics</t>
        </is>
      </c>
      <c r="M635" s="2" t="inlineStr">
        <is>
          <t>Clinic</t>
        </is>
      </c>
      <c r="N635" s="2" t="inlineStr">
        <is>
          <t>ข้อ 49 (Pharmtutor_2024_Set1.md)</t>
        </is>
      </c>
      <c r="O635" s="2" t="inlineStr">
        <is>
          <t>Mock</t>
        </is>
      </c>
      <c r="P635" s="2" t="inlineStr">
        <is>
          <t>Mock Pharmtutor 2024</t>
        </is>
      </c>
    </row>
    <row r="636" ht="13.2" customHeight="1" s="37">
      <c r="A636" s="8" t="inlineStr">
        <is>
          <t>657</t>
        </is>
      </c>
      <c r="B636" s="2" t="inlineStr">
        <is>
          <t>Opioids receptor ชนิดใดเป็นตัวหลักที่มีบทบาทสำคัญในเรื่องของการปวด</t>
        </is>
      </c>
      <c r="C636" s="2" t="n"/>
      <c r="D636" s="2" t="inlineStr">
        <is>
          <t>Kappa receptor</t>
        </is>
      </c>
      <c r="E636" s="2" t="inlineStr">
        <is>
          <t>Mu receptor</t>
        </is>
      </c>
      <c r="F636" s="2" t="inlineStr">
        <is>
          <t>Delta receptor</t>
        </is>
      </c>
      <c r="G636" s="2" t="inlineStr">
        <is>
          <t>Alpha receptor</t>
        </is>
      </c>
      <c r="H636" s="2" t="inlineStr">
        <is>
          <t>Beta receptor</t>
        </is>
      </c>
      <c r="I636" s="8" t="inlineStr">
        <is>
          <t>1</t>
        </is>
      </c>
      <c r="J636" s="2" t="inlineStr">
        <is>
          <t>✅ คำตอบที่ถูกต้อง: ข้อ ก. Kappa receptor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Kappa receptor การเลือก Kappa receptor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(Mu receptor): ข้อนี้ไม่ใช่คำตอบที่ถูกต้องสำหรับภาวะ General Therapeutics เนื่องจากกลไกการออกฤทธิ์, efficacy หรือข้อบ่งใช้ไม่ตรงกับโจทย์ที่กำหนด
• ข้อ ค. (Delta receptor): ข้อนี้ไม่ใช่คำตอบที่ถูกต้องสำหรับภาวะ General Therapeutics เนื่องจากกลไกการออกฤทธิ์, efficacy หรือข้อบ่งใช้ไม่ตรงกับโจทย์ที่กำหนด
• ข้อ ง. (Alpha receptor): ข้อนี้ไม่ใช่คำตอบที่ถูกต้องสำหรับภาวะ General Therapeutics เนื่องจากกลไกการออกฤทธิ์, efficacy หรือข้อบ่งใช้ไม่ตรงกับโจทย์ที่กำหนด
• ข้อ จ. (Beta receptor):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6" s="2" t="n"/>
      <c r="L636" s="2" t="inlineStr">
        <is>
          <t>General Therapeutics</t>
        </is>
      </c>
      <c r="M636" s="2" t="inlineStr">
        <is>
          <t>Clinic</t>
        </is>
      </c>
      <c r="N636" s="2" t="inlineStr">
        <is>
          <t>ข้อ 50 (Pharmtutor_2024_Set1.md)</t>
        </is>
      </c>
      <c r="O636" s="2" t="inlineStr">
        <is>
          <t>Mock</t>
        </is>
      </c>
      <c r="P636" s="2" t="inlineStr">
        <is>
          <t>Mock Pharmtutor 2024</t>
        </is>
      </c>
    </row>
    <row r="637" ht="13.2" customHeight="1" s="37">
      <c r="A637" s="8" t="inlineStr">
        <is>
          <t>658</t>
        </is>
      </c>
      <c r="B637" s="2" t="inlineStr">
        <is>
          <t>ข้อใดคือผลข้างเคียงหลักของการใช้ยาในกลุ่ม Opioids</t>
        </is>
      </c>
      <c r="C637" s="2" t="n"/>
      <c r="D637" s="2" t="inlineStr">
        <is>
          <t>ท้องเสีย</t>
        </is>
      </c>
      <c r="E637" s="2" t="inlineStr">
        <is>
          <t>คลื่นไส้ อาเจียน</t>
        </is>
      </c>
      <c r="F637" s="2" t="inlineStr">
        <is>
          <t>ท้องผูก</t>
        </is>
      </c>
      <c r="G637" s="2" t="inlineStr">
        <is>
          <t>ความดันตก</t>
        </is>
      </c>
      <c r="H637" s="2" t="inlineStr">
        <is>
          <t>กดการหายใจ</t>
        </is>
      </c>
      <c r="I637" s="8" t="inlineStr">
        <is>
          <t>1</t>
        </is>
      </c>
      <c r="J637" s="2" t="inlineStr">
        <is>
          <t>✅ คำตอบที่ถูกต้อง: ข้อ ก. ท้องเสีย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ท้องเสีย การเลือก ท้องเสีย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(คลื่นไส้ อาเจียน): ข้อนี้ไม่ใช่คำตอบที่ถูกต้องสำหรับภาวะ General Therapeutics เนื่องจากกลไกการออกฤทธิ์, efficacy หรือข้อบ่งใช้ไม่ตรงกับโจทย์ที่กำหนด
• ข้อ ค. (ท้องผูก): ข้อนี้ไม่ใช่คำตอบที่ถูกต้องสำหรับภาวะ General Therapeutics เนื่องจากกลไกการออกฤทธิ์, efficacy หรือข้อบ่งใช้ไม่ตรงกับโจทย์ที่กำหนด
• ข้อ ง. (ความดันตก): ข้อนี้ไม่ใช่คำตอบที่ถูกต้องสำหรับภาวะ General Therapeutics เนื่องจากกลไกการออกฤทธิ์, efficacy หรือข้อบ่งใช้ไม่ตรงกับโจทย์ที่กำหนด
• ข้อ จ. (กดการหายใจ):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7" s="2" t="n"/>
      <c r="L637" s="2" t="inlineStr">
        <is>
          <t>General Therapeutics</t>
        </is>
      </c>
      <c r="M637" s="2" t="inlineStr">
        <is>
          <t>Clinic</t>
        </is>
      </c>
      <c r="N637" s="2" t="inlineStr">
        <is>
          <t>ข้อ 51 (Pharmtutor_2024_Set1.md)</t>
        </is>
      </c>
      <c r="O637" s="2" t="inlineStr">
        <is>
          <t>Mock</t>
        </is>
      </c>
      <c r="P637" s="2" t="inlineStr">
        <is>
          <t>Mock Pharmtutor 2024</t>
        </is>
      </c>
    </row>
    <row r="638" ht="13.2" customHeight="1" s="37">
      <c r="A638" s="8" t="inlineStr">
        <is>
          <t>659</t>
        </is>
      </c>
      <c r="B638" s="2" t="inlineStr">
        <is>
          <t>ข้อใดกล่าวไม่ถูกต้องเกี่ยวกับภาวะอัลไซเมอร์</t>
        </is>
      </c>
      <c r="C638" s="2" t="n"/>
      <c r="D638" s="2" t="inlineStr">
        <is>
          <t>เกิดการสะสมของ amyloid plaques ขัดขวางการส่ง สัญญาณประสาท</t>
        </is>
      </c>
      <c r="E638" s="2" t="inlineStr">
        <is>
          <t>ปัจจุบันยังไม่มีวิธีการรักษา มีแต่การให้ยาเพื่อชะลออาการเท่านั้น</t>
        </is>
      </c>
      <c r="F638" s="2" t="inlineStr">
        <is>
          <t>Memantine ใช้ใน moderate-severe Alzheimer’s disease</t>
        </is>
      </c>
      <c r="G638" s="2" t="inlineStr">
        <is>
          <t>Donepezil มีความจำเพาะต่อ AChE ได้น้อย และมีค่าครึ่งชีวิตที่สั้น</t>
        </is>
      </c>
      <c r="H638" s="2" t="inlineStr">
        <is>
          <t>Dementia มากกว่า 60% มาจาก Alzheimer’s disease</t>
        </is>
      </c>
      <c r="I638" s="8" t="inlineStr">
        <is>
          <t>1</t>
        </is>
      </c>
      <c r="J638" s="2" t="inlineStr">
        <is>
          <t>✅ คำตอบที่ถูกต้อง: ข้อ ก. เกิดการสะสมของ amyloid plaques ขัดขวางการส่ง สัญญาณประสาท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เกิดการสะสมของ amyloid plaques ขัดขวางการส่ง สัญญาณประสาท การเลือก เกิดการสะสมของ amyloid plaques ขัดขวางการส่ง สัญญาณประสาท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(ปัจจุบันยังไม่มีวิธีการรักษา มีแต่การให้ยาเพื่อชะลออาการเท่านั้น): ข้อนี้ไม่ใช่คำตอบที่ถูกต้องสำหรับภาวะ General Therapeutics เนื่องจากกลไกการออกฤทธิ์, efficacy หรือข้อบ่งใช้ไม่ตรงกับโจทย์ที่กำหนด
• ข้อ ค. (Memantine ใช้ใน moderate-severe Alzheimer’s disease): ข้อนี้ไม่ใช่คำตอบที่ถูกต้องสำหรับภาวะ General Therapeutics เนื่องจากกลไกการออกฤทธิ์, efficacy หรือข้อบ่งใช้ไม่ตรงกับโจทย์ที่กำหนด
• ข้อ ง. (Donepezil มีความจำเพาะต่อ AChE ได้น้อย และมีค่าครึ่งชีวิตที่สั้น): ข้อนี้ไม่ใช่คำตอบที่ถูกต้องสำหรับภาวะ General Therapeutics เนื่องจากกลไกการออกฤทธิ์, efficacy หรือข้อบ่งใช้ไม่ตรงกับโจทย์ที่กำหนด
• ข้อ จ. (Dementia มากกว่า 60% มาจาก Alzheimer’s disease):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8" s="2" t="n"/>
      <c r="L638" s="2" t="inlineStr">
        <is>
          <t>General Therapeutics</t>
        </is>
      </c>
      <c r="M638" s="2" t="inlineStr">
        <is>
          <t>Clinic</t>
        </is>
      </c>
      <c r="N638" s="2" t="inlineStr">
        <is>
          <t>ข้อ 52 (Pharmtutor_2024_Set1.md)</t>
        </is>
      </c>
      <c r="O638" s="2" t="inlineStr">
        <is>
          <t>Mock</t>
        </is>
      </c>
      <c r="P638" s="2" t="inlineStr">
        <is>
          <t>Mock Pharmtutor 2024</t>
        </is>
      </c>
    </row>
    <row r="639" ht="13.2" customHeight="1" s="37">
      <c r="A639" s="8" t="inlineStr">
        <is>
          <t>660</t>
        </is>
      </c>
      <c r="B639" s="2" t="inlineStr">
        <is>
          <t>ข้อใดคือแบบประเมินภาวะการติดบุหรี่</t>
        </is>
      </c>
      <c r="C639" s="2" t="n"/>
      <c r="D639" s="2" t="inlineStr">
        <is>
          <t>STAR</t>
        </is>
      </c>
      <c r="E639" s="2" t="inlineStr">
        <is>
          <t>Fagerstrom</t>
        </is>
      </c>
      <c r="F639" s="2" t="inlineStr">
        <is>
          <t>5A</t>
        </is>
      </c>
      <c r="G639" s="2" t="inlineStr">
        <is>
          <t>3A2T</t>
        </is>
      </c>
      <c r="H639" s="2" t="inlineStr">
        <is>
          <t>EQ5D</t>
        </is>
      </c>
      <c r="I639" s="8" t="inlineStr">
        <is>
          <t>1</t>
        </is>
      </c>
      <c r="J639" s="2" t="inlineStr">
        <is>
          <t>✅ คำตอบที่ถูกต้อง: ข้อ ก. STAR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STAR การเลือก STAR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(Fagerstrom): ข้อนี้ไม่ใช่คำตอบที่ถูกต้องสำหรับภาวะ Pulmonary Diseases เนื่องจากกลไกการออกฤทธิ์, efficacy หรือข้อบ่งใช้ไม่ตรงกับโจทย์ที่กำหนด
• ข้อ ค. (5A): ข้อนี้ไม่ใช่คำตอบที่ถูกต้องสำหรับภาวะ Pulmonary Diseases เนื่องจากกลไกการออกฤทธิ์, efficacy หรือข้อบ่งใช้ไม่ตรงกับโจทย์ที่กำหนด
• ข้อ ง. (3A2T): ข้อนี้ไม่ใช่คำตอบที่ถูกต้องสำหรับภาวะ Pulmonary Diseases เนื่องจากกลไกการออกฤทธิ์, efficacy หรือข้อบ่งใช้ไม่ตรงกับโจทย์ที่กำหนด
• ข้อ จ. (EQ5D):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9" s="2" t="n"/>
      <c r="L639" s="2" t="inlineStr">
        <is>
          <t>Pulmonary Diseases</t>
        </is>
      </c>
      <c r="M639" s="2" t="inlineStr">
        <is>
          <t>Clinic</t>
        </is>
      </c>
      <c r="N639" s="2" t="inlineStr">
        <is>
          <t>ข้อ 54 (Pharmtutor_2024_Set1.md)</t>
        </is>
      </c>
      <c r="O639" s="2" t="inlineStr">
        <is>
          <t>Mock</t>
        </is>
      </c>
      <c r="P639" s="2" t="inlineStr">
        <is>
          <t>Mock Pharmtutor 2024</t>
        </is>
      </c>
    </row>
    <row r="640" ht="13.2" customHeight="1" s="37">
      <c r="A640" s="8" t="inlineStr">
        <is>
          <t>661</t>
        </is>
      </c>
      <c r="B640" s="2" t="inlineStr">
        <is>
          <t>ข้อใดจับคู่ไม่ถูกต้อง</t>
        </is>
      </c>
      <c r="C640" s="2" t="n"/>
      <c r="D640" s="2" t="inlineStr">
        <is>
          <t>Clozapine - Agranulocytosis</t>
        </is>
      </c>
      <c r="E640" s="2" t="inlineStr">
        <is>
          <t>Fluoxetine - Insomnia</t>
        </is>
      </c>
      <c r="F640" s="2" t="inlineStr">
        <is>
          <t>Alprazolam - Retrograde Amnesia</t>
        </is>
      </c>
      <c r="G640" s="2" t="inlineStr">
        <is>
          <t>Duloxetine - Hypotension</t>
        </is>
      </c>
      <c r="H640" s="2" t="inlineStr">
        <is>
          <t>Bupropion - Induce seizure</t>
        </is>
      </c>
      <c r="I640" s="8" t="inlineStr">
        <is>
          <t>1</t>
        </is>
      </c>
      <c r="J640" s="2" t="inlineStr">
        <is>
          <t>✅ คำตอบที่ถูกต้อง: ข้อ ก. Clozapine - Agranulocytosis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Clozapine - Agranulocytosis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atypical antipsychotic สำหรับ treatment-resistant schizophrenia ที่มี efficacy สูงสุด แต่มี black box warning เรื่อง agranulocytosis (ต้องตรวจ CBC สม่ำเสมอ), myocarditis และชัก
🔍 ข้ออื่นผิดเพราะอะไร:
• ข้อ ข. (Fluoxetine - Insomnia): เป็น SSRI มี half-life ยาวที่สุดในกลุ่ม (ร่วมกับ active metabolite norfluoxetine) จึงมี discontinuation syndrome ต่ำ แต่ยับยั้ง CYP2D6 สูง
• ข้อ ค. (Alprazolam - Retrograde Amnesia): เป็น intermediate-acting Benzodiazepine ออกฤทธิ์เร็ว เหมาะสำหรับ panic attack แต่มีโอกาสเกิด dependence และ rebound anxiety สูงเมื่อหยุดยา
• ข้อ ง. (Duloxetine - Hypotension): ข้อนี้ไม่ใช่คำตอบที่ถูกต้องสำหรับภาวะ General Therapeutics เนื่องจากกลไกการออกฤทธิ์, efficacy หรือข้อบ่งใช้ไม่ตรงกับโจทย์ที่กำหนด
• ข้อ จ. (Bupropion - Induce seizure): เป็น NDRI ใช้ช่วยเลิกบุหรี่และรักษาซึมเศร้า แต่มี contraindication ในผู้ป่วยประวัติชัก (seizure disorder) หรือ anorexia/bulimia nervosa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0" s="2" t="n"/>
      <c r="L640" s="2" t="inlineStr">
        <is>
          <t>General Therapeutics</t>
        </is>
      </c>
      <c r="M640" s="2" t="inlineStr">
        <is>
          <t>Clinic</t>
        </is>
      </c>
      <c r="N640" s="2" t="inlineStr">
        <is>
          <t>ข้อ 57 (Pharmtutor_2024_Set1.md)</t>
        </is>
      </c>
      <c r="O640" s="2" t="inlineStr">
        <is>
          <t>Mock</t>
        </is>
      </c>
      <c r="P640" s="2" t="inlineStr">
        <is>
          <t>Mock Pharmtutor 2024</t>
        </is>
      </c>
    </row>
    <row r="641" ht="13.2" customHeight="1" s="37">
      <c r="A641" s="8" t="inlineStr">
        <is>
          <t>662</t>
        </is>
      </c>
      <c r="B641" s="2" t="inlineStr">
        <is>
          <t>โครงสร้างใดเข้าจับกับ binding site ของ GABA receptor ได้แตกต่างจากพวก</t>
        </is>
      </c>
      <c r="C641" s="2" t="n"/>
      <c r="D641" s="2" t="inlineStr">
        <is>
          <t>Sodium thiosulfate 25% 50 mL IV</t>
        </is>
      </c>
      <c r="E641" s="2" t="inlineStr">
        <is>
          <t>Calcium disodium EDTA 1 g IV</t>
        </is>
      </c>
      <c r="F641" s="2" t="inlineStr">
        <is>
          <t>Desferrioxamine 1 g IM/IV</t>
        </is>
      </c>
      <c r="G641" s="2" t="inlineStr">
        <is>
          <t>Dimercaprol (BAL) 3 mg/kg IM</t>
        </is>
      </c>
      <c r="H641" s="2" t="inlineStr">
        <is>
          <t>Ethanol 10% IV infusion for Methanol poisoning</t>
        </is>
      </c>
      <c r="I641" s="8" t="inlineStr">
        <is>
          <t>1</t>
        </is>
      </c>
      <c r="J6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1" s="2" t="n"/>
      <c r="L641" s="2" t="inlineStr">
        <is>
          <t>General Therapeutics</t>
        </is>
      </c>
      <c r="M641" s="2" t="inlineStr">
        <is>
          <t>Clinic</t>
        </is>
      </c>
      <c r="N641" s="2" t="inlineStr">
        <is>
          <t>ข้อ 59 (Pharmtutor_2024_Set1.md)</t>
        </is>
      </c>
      <c r="O641" s="2" t="inlineStr">
        <is>
          <t>Mock</t>
        </is>
      </c>
      <c r="P641" s="2" t="inlineStr">
        <is>
          <t>Mock Pharmtutor 2024</t>
        </is>
      </c>
    </row>
    <row r="642" ht="13.2" customHeight="1" s="37">
      <c r="A642" s="8" t="inlineStr">
        <is>
          <t>663</t>
        </is>
      </c>
      <c r="B642" s="2" t="inlineStr">
        <is>
          <t>จากอาการและประวัติของผู้ป่วยข้างต้น ข้อใดคือการรักษาที่เหมาะสมที่สุด</t>
        </is>
      </c>
      <c r="C642" s="2" t="n"/>
      <c r="D642" s="2" t="inlineStr">
        <is>
          <t>Bronchodilator</t>
        </is>
      </c>
      <c r="E642" s="2" t="inlineStr">
        <is>
          <t>LABA</t>
        </is>
      </c>
      <c r="F642" s="2" t="inlineStr">
        <is>
          <t>LABA+LAMA</t>
        </is>
      </c>
      <c r="G642" s="2" t="inlineStr">
        <is>
          <t>LAMA</t>
        </is>
      </c>
      <c r="H642" s="2" t="inlineStr">
        <is>
          <t>LABA+LABA+ICS</t>
        </is>
      </c>
      <c r="I642" s="8" t="inlineStr">
        <is>
          <t>1</t>
        </is>
      </c>
      <c r="J642" s="2" t="inlineStr">
        <is>
          <t>✅ คำตอบที่ถูกต้อง: ข้อ ก. Bronchodilator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Bronchodilator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(LABA): ข้อนี้ไม่ใช่คำตอบที่ถูกต้องสำหรับภาวะ General Therapeutics เนื่องจากกลไกการออกฤทธิ์, efficacy หรือข้อบ่งใช้ไม่ตรงกับโจทย์ที่กำหนด
• ข้อ ค. (LABA+LAMA): ข้อนี้ไม่ใช่คำตอบที่ถูกต้องสำหรับภาวะ General Therapeutics เนื่องจากกลไกการออกฤทธิ์, efficacy หรือข้อบ่งใช้ไม่ตรงกับโจทย์ที่กำหนด
• ข้อ ง. (LAMA): ข้อนี้ไม่ใช่คำตอบที่ถูกต้องสำหรับภาวะ General Therapeutics เนื่องจากกลไกการออกฤทธิ์, efficacy หรือข้อบ่งใช้ไม่ตรงกับโจทย์ที่กำหนด
• ข้อ จ. (LABA+LABA+ICS):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2" s="2" t="n"/>
      <c r="L642" s="2" t="inlineStr">
        <is>
          <t>General Therapeutics</t>
        </is>
      </c>
      <c r="M642" s="2" t="inlineStr">
        <is>
          <t>Clinic</t>
        </is>
      </c>
      <c r="N642" s="2" t="inlineStr">
        <is>
          <t>ข้อ 62 (Pharmtutor_2024_Set1.md)</t>
        </is>
      </c>
      <c r="O642" s="2" t="inlineStr">
        <is>
          <t>Mock</t>
        </is>
      </c>
      <c r="P642" s="2" t="inlineStr">
        <is>
          <t>Mock Pharmtutor 2024</t>
        </is>
      </c>
    </row>
    <row r="643" ht="13.2" customHeight="1" s="37">
      <c r="A643" s="8" t="inlineStr">
        <is>
          <t>664</t>
        </is>
      </c>
      <c r="B643" s="2" t="inlineStr">
        <is>
          <t>ข้อใดกล่าว ผิด เกี่ยวกับ Seretide accuhaler</t>
        </is>
      </c>
      <c r="C643" s="2" t="n"/>
      <c r="D643" s="2" t="inlineStr">
        <is>
          <t>อยู่ในลักษณะ Solid particles</t>
        </is>
      </c>
      <c r="E643" s="2" t="inlineStr">
        <is>
          <t>นิยมใช้ lactose เป็นตัวพา</t>
        </is>
      </c>
      <c r="F643" s="2" t="inlineStr">
        <is>
          <t>เป็น multiple unit dose</t>
        </is>
      </c>
      <c r="G643" s="2" t="inlineStr">
        <is>
          <t>ต้องทดสอบ Microbial limits</t>
        </is>
      </c>
      <c r="H643" s="2" t="inlineStr">
        <is>
          <t>ต้องทดสอบ Spray Pattern</t>
        </is>
      </c>
      <c r="I643" s="8" t="inlineStr">
        <is>
          <t>1</t>
        </is>
      </c>
      <c r="J643" s="2" t="inlineStr">
        <is>
          <t>✅ คำตอบที่ถูกต้อง: ข้อ ก. อยู่ในลักษณะ Solid particles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อยู่ในลักษณะ Solid particles การเลือก อยู่ในลักษณะ Solid particles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(นิยมใช้ lactose เป็นตัวพา): เป็น Diluent / Filler ยอดนิยม ละลายน้ำได้ดี ให้ mouthfeel ที่ดี แต่เกิด Maillard reaction (เม็ดยาเปลี่ยนเป็นสีน้ำตาล) เมื่อผสมกับ primary amine drugs
• ข้อ ค. (เป็น multiple unit dose): ข้อนี้ไม่ใช่คำตอบที่ถูกต้องสำหรับภาวะ Pulmonary Diseases เนื่องจากกลไกการออกฤทธิ์, efficacy หรือข้อบ่งใช้ไม่ตรงกับโจทย์ที่กำหนด
• ข้อ ง. (ต้องทดสอบ Microbial limits): ข้อนี้ไม่ใช่คำตอบที่ถูกต้องสำหรับภาวะ Pulmonary Diseases เนื่องจากกลไกการออกฤทธิ์, efficacy หรือข้อบ่งใช้ไม่ตรงกับโจทย์ที่กำหนด
• ข้อ จ. (ต้องทดสอบ Spray Pattern):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3" s="2" t="n"/>
      <c r="L643" s="2" t="inlineStr">
        <is>
          <t>Pulmonary Diseases</t>
        </is>
      </c>
      <c r="M643" s="2" t="inlineStr">
        <is>
          <t>Clinic</t>
        </is>
      </c>
      <c r="N643" s="2" t="inlineStr">
        <is>
          <t>ข้อ 64 (Pharmtutor_2024_Set1.md)</t>
        </is>
      </c>
      <c r="O643" s="2" t="inlineStr">
        <is>
          <t>Mock</t>
        </is>
      </c>
      <c r="P643" s="2" t="inlineStr">
        <is>
          <t>Mock Pharmtutor 2024</t>
        </is>
      </c>
    </row>
    <row r="644" ht="13.2" customHeight="1" s="37">
      <c r="A644" s="8" t="inlineStr">
        <is>
          <t>665</t>
        </is>
      </c>
      <c r="B644" s="2" t="inlineStr">
        <is>
          <t>จาก USP 39 กำหนดให้ห้ามพบเชื้อใดใน Seretide accuhaler</t>
        </is>
      </c>
      <c r="C644" s="2" t="n"/>
      <c r="D644" s="2" t="inlineStr">
        <is>
          <t>Staphylococcus aureus</t>
        </is>
      </c>
      <c r="E644" s="2" t="inlineStr">
        <is>
          <t>Candida albicans</t>
        </is>
      </c>
      <c r="F644" s="2" t="inlineStr">
        <is>
          <t>Pseudomonas aeruginosa</t>
        </is>
      </c>
      <c r="G644" s="2" t="inlineStr">
        <is>
          <t>ข้อ a และ c ถูก</t>
        </is>
      </c>
      <c r="H644" s="2" t="inlineStr">
        <is>
          <t>ข้อ a b และ c ถูก</t>
        </is>
      </c>
      <c r="I644" s="8" t="inlineStr">
        <is>
          <t>1</t>
        </is>
      </c>
      <c r="J644" s="2" t="inlineStr">
        <is>
          <t>✅ คำตอบที่ถูกต้อง: ข้อ ก. Staphylococcus aureus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Staphylococcus aureus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albicans): ข้อนี้ไม่ใช่คำตอบที่ถูกต้องสำหรับภาวะ Pulmonary Diseases เนื่องจากกลไกการออกฤทธิ์, efficacy หรือข้อบ่งใช้ไม่ตรงกับโจทย์ที่กำหนด
• ข้อ ค. (Pseudomonas aeruginosa): ข้อนี้ไม่ใช่คำตอบที่ถูกต้องสำหรับภาวะ Pulmonary Diseases เนื่องจากกลไกการออกฤทธิ์, efficacy หรือข้อบ่งใช้ไม่ตรงกับโจทย์ที่กำหนด
• ข้อ ง. (ข้อ a และ c ถูก): ข้อนี้ไม่ใช่คำตอบที่ถูกต้องสำหรับภาวะ Pulmonary Diseases เนื่องจากกลไกการออกฤทธิ์, efficacy หรือข้อบ่งใช้ไม่ตรงกับโจทย์ที่กำหนด
• ข้อ จ. (ข้อ a b และ c ถูก):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4" s="2" t="n"/>
      <c r="L644" s="2" t="inlineStr">
        <is>
          <t>Pulmonary Diseases</t>
        </is>
      </c>
      <c r="M644" s="2" t="inlineStr">
        <is>
          <t>Clinic</t>
        </is>
      </c>
      <c r="N644" s="2" t="inlineStr">
        <is>
          <t>ข้อ 65 (Pharmtutor_2024_Set1.md)</t>
        </is>
      </c>
      <c r="O644" s="2" t="inlineStr">
        <is>
          <t>Mock</t>
        </is>
      </c>
      <c r="P644" s="2" t="inlineStr">
        <is>
          <t>Mock Pharmtutor 2024</t>
        </is>
      </c>
    </row>
    <row r="645" ht="13.2" customHeight="1" s="37">
      <c r="A645" s="8" t="inlineStr">
        <is>
          <t>666</t>
        </is>
      </c>
      <c r="B645" s="2" t="inlineStr">
        <is>
          <t>ข้อใดกล่าวผิดเกี่ยวกับภาวะการปวดระดู หรือปวดประจำเดือน</t>
        </is>
      </c>
      <c r="C645" s="2" t="n"/>
      <c r="D645" s="2" t="inlineStr">
        <is>
          <t>มีอาการอยู่ประมาณ 1 วัน อาจพบอาการได้นานถึง 2-3 วัน</t>
        </is>
      </c>
      <c r="E645" s="2" t="inlineStr">
        <is>
          <t>มักเกิดภายใน 6-12 เดือนหลังจากเริ่มมีประจำเดือนครั้งแรก</t>
        </is>
      </c>
      <c r="F645" s="2" t="inlineStr">
        <is>
          <t>อาการจะมากที่สุดในช่วงที่มีเลือดประจำเดือนออกมาก</t>
        </is>
      </c>
      <c r="G645" s="2" t="inlineStr">
        <is>
          <t>สาเหตุเกิดจากการหดรัดตัวของกล้ามเนื้อมดลูกจากการกระตุ้นของสาร Prostaglandin ที่หลั่งออกมาในระหว่างมีประจำเดือน</t>
        </is>
      </c>
      <c r="H645" s="2" t="inlineStr">
        <is>
          <t>มักจะเริ่มแสดงอาการเมื่อเข้าสู่ทำงาน และมีการตกไข่อย่างสม่ำเสมอ</t>
        </is>
      </c>
      <c r="I645" s="8" t="inlineStr">
        <is>
          <t>1</t>
        </is>
      </c>
      <c r="J645" s="2" t="inlineStr">
        <is>
          <t>✅ คำตอบที่ถูกต้อง: ข้อ ก. มีอาการอยู่ประมาณ 1 วัน อาจพบอาการได้นานถึง 2-3 วัน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มีอาการอยู่ประมาณ 1 วัน อาจพบอาการได้นานถึง 2-3 วัน การเลือก มีอาการอยู่ประมาณ 1 วัน อาจพบอาการได้นานถึง 2-3 วัน เป็นคำตอบที่ถูกต้องและสอดคล้องกับ evidence-based guidelines ของภาวะ Gynaecologic &amp; GU โดยมี clinical efficacy สูงสุดในการรักษาและมี safety profile ที่เหมาะสม
🔍 ข้ออื่นผิดเพราะอะไร:
• ข้อ ข. (มักเกิดภายใน 6-12 เดือนหลังจากเริ่มมีประจำเดือนครั้งแรก): ข้อนี้ไม่ใช่คำตอบที่ถูกต้องสำหรับภาวะ Gynaecologic &amp; GU เนื่องจากกลไกการออกฤทธิ์, efficacy หรือข้อบ่งใช้ไม่ตรงกับโจทย์ที่กำหนด
• ข้อ ค. (อาการจะมากที่สุดในช่วงที่มีเลือดประจำเดือนออกมาก): ข้อนี้ไม่ใช่คำตอบที่ถูกต้องสำหรับภาวะ Gynaecologic &amp; GU เนื่องจากกลไกการออกฤทธิ์, efficacy หรือข้อบ่งใช้ไม่ตรงกับโจทย์ที่กำหนด
• ข้อ ง. (สาเหตุเกิดจากการหดรัดตัวของกล้ามเนื้อมดลูกจากการกระตุ้นของสาร Prostaglandin ที่หลั่งออกมาในระหว่างมีประจำเดือน): ข้อนี้ไม่ใช่คำตอบที่ถูกต้องสำหรับภาวะ Gynaecologic &amp; GU เนื่องจากกลไกการออกฤทธิ์, efficacy หรือข้อบ่งใช้ไม่ตรงกับโจทย์ที่กำหนด
• ข้อ จ. (มักจะเริ่มแสดงอาการเมื่อเข้าสู่ทำงาน และมีการตกไข่อย่างสม่ำเสมอ):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5" s="2" t="n"/>
      <c r="L645" s="2" t="inlineStr">
        <is>
          <t>Gynaecologic &amp; GU</t>
        </is>
      </c>
      <c r="M645" s="2" t="inlineStr">
        <is>
          <t>Clinic</t>
        </is>
      </c>
      <c r="N645" s="2" t="inlineStr">
        <is>
          <t>ข้อ 66 (Pharmtutor_2024_Set1.md)</t>
        </is>
      </c>
      <c r="O645" s="2" t="inlineStr">
        <is>
          <t>Mock</t>
        </is>
      </c>
      <c r="P645" s="2" t="inlineStr">
        <is>
          <t>Mock Pharmtutor 2024</t>
        </is>
      </c>
    </row>
    <row r="646" ht="13.2" customHeight="1" s="37">
      <c r="A646" s="8" t="inlineStr">
        <is>
          <t>667</t>
        </is>
      </c>
      <c r="B646" s="2" t="inlineStr">
        <is>
          <t>ข้อใดไม่ใช่การรักษาภาวะการปวดระดู</t>
        </is>
      </c>
      <c r="C646" s="2" t="n"/>
      <c r="D646" s="2" t="inlineStr">
        <is>
          <t>การรับประทานยาในกลุ่มแก้อักเสบที่ไม่ใช่สเตรียรอยด์</t>
        </is>
      </c>
      <c r="E646" s="2" t="inlineStr">
        <is>
          <t>การประคบเย็น</t>
        </is>
      </c>
      <c r="F646" s="2" t="inlineStr">
        <is>
          <t>การใช้คลื่นความถี่สูงในการรักษาการปวด</t>
        </is>
      </c>
      <c r="G646" s="2" t="inlineStr">
        <is>
          <t>การใช้ห่วงคุมกำเนิด</t>
        </is>
      </c>
      <c r="H646" s="2" t="inlineStr">
        <is>
          <t>การรับประทานยาคุมกำเนิดชนิด progestin</t>
        </is>
      </c>
      <c r="I646" s="8" t="inlineStr">
        <is>
          <t>1</t>
        </is>
      </c>
      <c r="J646" s="2" t="inlineStr">
        <is>
          <t>✅ คำตอบที่ถูกต้อง: ข้อ ก. การรับประทานยาในกลุ่มแก้อักเสบที่ไม่ใช่สเตรียรอยด์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การรับประทานยาในกลุ่มแก้อักเสบที่ไม่ใช่สเตรียรอยด์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(การประคบเย็น): ข้อนี้ไม่ใช่คำตอบที่ถูกต้องสำหรับภาวะ General Therapeutics เนื่องจากกลไกการออกฤทธิ์, efficacy หรือข้อบ่งใช้ไม่ตรงกับโจทย์ที่กำหนด
• ข้อ ค. (การใช้คลื่นความถี่สูงในการรักษาการปวด): ข้อนี้ไม่ใช่คำตอบที่ถูกต้องสำหรับภาวะ General Therapeutics เนื่องจากกลไกการออกฤทธิ์, efficacy หรือข้อบ่งใช้ไม่ตรงกับโจทย์ที่กำหนด
• ข้อ ง. (การใช้ห่วงคุมกำเนิด): ข้อนี้ไม่ใช่คำตอบที่ถูกต้องสำหรับภาวะ General Therapeutics เนื่องจากกลไกการออกฤทธิ์, efficacy หรือข้อบ่งใช้ไม่ตรงกับโจทย์ที่กำหนด
• ข้อ จ. (การรับประทานยาคุมกำเนิดชนิด progestin):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6" s="2" t="n"/>
      <c r="L646" s="2" t="inlineStr">
        <is>
          <t>General Therapeutics</t>
        </is>
      </c>
      <c r="M646" s="2" t="inlineStr">
        <is>
          <t>Clinic</t>
        </is>
      </c>
      <c r="N646" s="2" t="inlineStr">
        <is>
          <t>ข้อ 67 (Pharmtutor_2024_Set1.md)</t>
        </is>
      </c>
      <c r="O646" s="2" t="inlineStr">
        <is>
          <t>Mock</t>
        </is>
      </c>
      <c r="P646" s="2" t="inlineStr">
        <is>
          <t>Mock Pharmtutor 2024</t>
        </is>
      </c>
    </row>
    <row r="647" ht="13.2" customHeight="1" s="37">
      <c r="A647" s="8" t="inlineStr">
        <is>
          <t>668</t>
        </is>
      </c>
      <c r="B647" s="2" t="inlineStr">
        <is>
          <t>ปัจจัยใดบ้างที่ส่งผลต่อภาวะกลั้นปัสสาวะ</t>
        </is>
      </c>
      <c r="C647" s="2" t="n"/>
      <c r="D647" s="2" t="inlineStr">
        <is>
          <t>การดื่มเครื่องดื่มที่มีคาเฟอีน</t>
        </is>
      </c>
      <c r="E647" s="2" t="inlineStr">
        <is>
          <t>ภาวะอ้วน</t>
        </is>
      </c>
      <c r="F647" s="2" t="inlineStr">
        <is>
          <t>กล้ามเนื้ออุ้งเชิงกรานหดตัว</t>
        </is>
      </c>
      <c r="G647" s="2" t="inlineStr">
        <is>
          <t>ข้อ a และ b</t>
        </is>
      </c>
      <c r="H647" s="2" t="inlineStr">
        <is>
          <t>ถูกทุกข้อ</t>
        </is>
      </c>
      <c r="I647" s="8" t="inlineStr">
        <is>
          <t>1</t>
        </is>
      </c>
      <c r="J647" s="2" t="inlineStr">
        <is>
          <t>✅ คำตอบที่ถูกต้อง: ข้อ ก. การดื่มเครื่องดื่มที่มีคาเฟอีน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การดื่มเครื่องดื่มที่มีคาเฟอีน การเลือก การดื่มเครื่องดื่มที่มีคาเฟอีน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(ภาวะอ้วน): ข้อนี้ไม่ใช่คำตอบที่ถูกต้องสำหรับภาวะ General Therapeutics เนื่องจากกลไกการออกฤทธิ์, efficacy หรือข้อบ่งใช้ไม่ตรงกับโจทย์ที่กำหนด
• ข้อ ค. (กล้ามเนื้ออุ้งเชิงกรานหดตัว): ข้อนี้ไม่ใช่คำตอบที่ถูกต้องสำหรับภาวะ General Therapeutics เนื่องจากกลไกการออกฤทธิ์, efficacy หรือข้อบ่งใช้ไม่ตรงกับโจทย์ที่กำหนด
• ข้อ ง. (ข้อ a และ b):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7" s="2" t="n"/>
      <c r="L647" s="2" t="inlineStr">
        <is>
          <t>General Therapeutics</t>
        </is>
      </c>
      <c r="M647" s="2" t="inlineStr">
        <is>
          <t>Clinic</t>
        </is>
      </c>
      <c r="N647" s="2" t="inlineStr">
        <is>
          <t>ข้อ 72 (Pharmtutor_2024_Set1.md)</t>
        </is>
      </c>
      <c r="O647" s="2" t="inlineStr">
        <is>
          <t>Mock</t>
        </is>
      </c>
      <c r="P647" s="2" t="inlineStr">
        <is>
          <t>Mock Pharmtutor 2024</t>
        </is>
      </c>
    </row>
    <row r="648" ht="13.2" customHeight="1" s="37">
      <c r="A648" s="8" t="inlineStr">
        <is>
          <t>669</t>
        </is>
      </c>
      <c r="B648" s="2" t="inlineStr">
        <is>
          <t>ยาในข้อใดสามารถรักษาภาวะกลั้นปัสสาวะไม่ได้</t>
        </is>
      </c>
      <c r="C648" s="2" t="n"/>
      <c r="D648" s="2" t="inlineStr">
        <is>
          <t>Furosemide</t>
        </is>
      </c>
      <c r="E648" s="2" t="inlineStr">
        <is>
          <t>Enalapril</t>
        </is>
      </c>
      <c r="F648" s="2" t="inlineStr">
        <is>
          <t>Duloxetine</t>
        </is>
      </c>
      <c r="G648" s="2" t="inlineStr">
        <is>
          <t>Venlafaxine</t>
        </is>
      </c>
      <c r="H648" s="2" t="inlineStr">
        <is>
          <t>Nortriptyline</t>
        </is>
      </c>
      <c r="I648" s="8" t="inlineStr">
        <is>
          <t>1</t>
        </is>
      </c>
      <c r="J648" s="2" t="inlineStr">
        <is>
          <t>✅ คำตอบที่ถูกต้อง: ข้อ ก. Furosemide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Furosemide การเลือก Furosemide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(Duloxetine): ข้อนี้ไม่ใช่คำตอบที่ถูกต้องสำหรับภาวะ General Therapeutics เนื่องจากกลไกการออกฤทธิ์, efficacy หรือข้อบ่งใช้ไม่ตรงกับโจทย์ที่กำหนด
• ข้อ ง. (Venlafaxine): ข้อนี้ไม่ใช่คำตอบที่ถูกต้องสำหรับภาวะ General Therapeutics เนื่องจากกลไกการออกฤทธิ์, efficacy หรือข้อบ่งใช้ไม่ตรงกับโจทย์ที่กำหนด
• ข้อ จ. (Nortriptyline):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648" s="2" t="n"/>
      <c r="L648" s="2" t="inlineStr">
        <is>
          <t>General Therapeutics</t>
        </is>
      </c>
      <c r="M648" s="2" t="inlineStr">
        <is>
          <t>Clinic</t>
        </is>
      </c>
      <c r="N648" s="2" t="inlineStr">
        <is>
          <t>ข้อ 73 (Pharmtutor_2024_Set1.md)</t>
        </is>
      </c>
      <c r="O648" s="2" t="inlineStr">
        <is>
          <t>Mock</t>
        </is>
      </c>
      <c r="P648" s="2" t="inlineStr">
        <is>
          <t>Mock Pharmtutor 2024</t>
        </is>
      </c>
    </row>
    <row r="649" ht="13.2" customHeight="1" s="37">
      <c r="A649" s="8" t="inlineStr">
        <is>
          <t>670</t>
        </is>
      </c>
      <c r="B649" s="2" t="inlineStr">
        <is>
          <t>ข้อใดคือกลไกการออกฤทธิ์ของยา Glipizide</t>
        </is>
      </c>
      <c r="C649" s="2" t="n"/>
      <c r="D649" s="2" t="inlineStr">
        <is>
          <t>กระตุ้นเอนไซม์ AMPK ในเซลล์ตับ</t>
        </is>
      </c>
      <c r="E649" s="2" t="inlineStr">
        <is>
          <t>ลดการดูดซึมกลูโคสบริเวณลำไส้</t>
        </is>
      </c>
      <c r="F649" s="2" t="inlineStr">
        <is>
          <t>กระตุ้นการหลั่งอินซูลินโดยยับยั้ง ATP-sensitive K+ channels ใน beta-cell</t>
        </is>
      </c>
      <c r="G649" s="2" t="inlineStr">
        <is>
          <t>กระตุ้น Peroxisome proliferator-activated receptor (PPAR)-γ</t>
        </is>
      </c>
      <c r="H649" s="2" t="inlineStr">
        <is>
          <t>ยับยั้งการย่อยแป้งและคาร์โบไฮเดรต โดยยับยั้งการทำงานของเอนไซม์ Alpha-glucosidase</t>
        </is>
      </c>
      <c r="I649" s="8" t="inlineStr">
        <is>
          <t>1</t>
        </is>
      </c>
      <c r="J649" s="2" t="inlineStr">
        <is>
          <t>✅ คำตอบที่ถูกต้อง: ข้อ ก. กระตุ้นเอนไซม์ AMPK ในเซลล์ตับ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กระตุ้นเอนไซม์ AMPK ในเซลล์ตับ การเลือก กระตุ้นเอนไซม์ AMPK ในเซลล์ตับ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(ลดการดูดซึมกลูโคสบริเวณลำไส้): ข้อนี้ไม่ใช่คำตอบที่ถูกต้องสำหรับภาวะ Diabetes &amp; Endocrine เนื่องจากกลไกการออกฤทธิ์, efficacy หรือข้อบ่งใช้ไม่ตรงกับโจทย์ที่กำหนด
• ข้อ ค. (กระตุ้นการหลั่งอินซูลินโดยยับยั้ง ATP-sensitive K+ channels ใน beta-cell): ข้อนี้ไม่ใช่คำตอบที่ถูกต้องสำหรับภาวะ Diabetes &amp; Endocrine เนื่องจากกลไกการออกฤทธิ์, efficacy หรือข้อบ่งใช้ไม่ตรงกับโจทย์ที่กำหนด
• ข้อ ง. (กระตุ้น Peroxisome proliferator-activated receptor (PPAR)-γ): ข้อนี้ไม่ใช่คำตอบที่ถูกต้องสำหรับภาวะ Diabetes &amp; Endocrine เนื่องจากกลไกการออกฤทธิ์, efficacy หรือข้อบ่งใช้ไม่ตรงกับโจทย์ที่กำหนด
• ข้อ จ. (ยับยั้งการย่อยแป้งและคาร์โบไฮเดรต โดยยับยั้งการทำงานของเอนไซม์ Alpha-glucosidase):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649" s="2" t="n"/>
      <c r="L649" s="2" t="inlineStr">
        <is>
          <t>Diabetes &amp; Endocrine</t>
        </is>
      </c>
      <c r="M649" s="2" t="inlineStr">
        <is>
          <t>Clinic</t>
        </is>
      </c>
      <c r="N649" s="2" t="inlineStr">
        <is>
          <t>ข้อ 76 (Pharmtutor_2024_Set1.md)</t>
        </is>
      </c>
      <c r="O649" s="2" t="inlineStr">
        <is>
          <t>Mock</t>
        </is>
      </c>
      <c r="P649" s="2" t="inlineStr">
        <is>
          <t>Mock Pharmtutor 2024</t>
        </is>
      </c>
    </row>
    <row r="650" ht="13.2" customHeight="1" s="37">
      <c r="A650" s="8" t="inlineStr">
        <is>
          <t>671</t>
        </is>
      </c>
      <c r="B650" s="2" t="inlineStr">
        <is>
          <t>ข้อใดคือ กลไกการออกฤทธิ์ของยา Orlistat</t>
        </is>
      </c>
      <c r="C650" s="2" t="n"/>
      <c r="D650" s="2" t="inlineStr">
        <is>
          <t>กดความอยากอาหารผ่านระบบประสาท sympathomimetic</t>
        </is>
      </c>
      <c r="E650" s="2" t="inlineStr">
        <is>
          <t>กดความอยากอาหารผ่านโดยเป็น Selective serotonin receptor agonist</t>
        </is>
      </c>
      <c r="F650" s="2" t="inlineStr">
        <is>
          <t>กดความอยากอาหารผ่านโดยเป็น Dopamine/ NE reuptake inhibitor</t>
        </is>
      </c>
      <c r="G650" s="2" t="inlineStr">
        <is>
          <t>กดความอยากอาหารผ่านโดยเป็น GLP-1 agonist</t>
        </is>
      </c>
      <c r="H650" s="2" t="inlineStr">
        <is>
          <t>ยับยั้งเอนไซม์ไลเปส ลดการดูดซึมไขมัน</t>
        </is>
      </c>
      <c r="I650" s="8" t="inlineStr">
        <is>
          <t>1</t>
        </is>
      </c>
      <c r="J650" s="2" t="inlineStr">
        <is>
          <t>✅ คำตอบที่ถูกต้อง: ข้อ ก. กดความอยากอาหารผ่านระบบประสาท sympathomimetic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กดความอยากอาหารผ่านระบบประสาท sympathomimetic การเลือก กดความอยากอาหารผ่านระบบประสาท sympathomimetic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(กดความอยากอาหารผ่านโดยเป็น Selective serotonin receptor agonist): ข้อนี้ไม่ใช่คำตอบที่ถูกต้องสำหรับภาวะ General Therapeutics เนื่องจากกลไกการออกฤทธิ์, efficacy หรือข้อบ่งใช้ไม่ตรงกับโจทย์ที่กำหนด
• ข้อ ค. (กดความอยากอาหารผ่านโดยเป็น Dopamine/ NE reuptake inhibitor): ข้อนี้ไม่ใช่คำตอบที่ถูกต้องสำหรับภาวะ General Therapeutics เนื่องจากกลไกการออกฤทธิ์, efficacy หรือข้อบ่งใช้ไม่ตรงกับโจทย์ที่กำหนด
• ข้อ ง. (กดความอยากอาหารผ่านโดยเป็น GLP-1 agonist): ข้อนี้ไม่ใช่คำตอบที่ถูกต้องสำหรับภาวะ General Therapeutics เนื่องจากกลไกการออกฤทธิ์, efficacy หรือข้อบ่งใช้ไม่ตรงกับโจทย์ที่กำหนด
• ข้อ จ. (ยับยั้งเอนไซม์ไลเปส ลดการดูดซึมไขมัน):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0" s="2" t="n"/>
      <c r="L650" s="2" t="inlineStr">
        <is>
          <t>General Therapeutics</t>
        </is>
      </c>
      <c r="M650" s="2" t="inlineStr">
        <is>
          <t>Clinic</t>
        </is>
      </c>
      <c r="N650" s="2" t="inlineStr">
        <is>
          <t>ข้อ 79 (Pharmtutor_2024_Set1.md)</t>
        </is>
      </c>
      <c r="O650" s="2" t="inlineStr">
        <is>
          <t>Mock</t>
        </is>
      </c>
      <c r="P650" s="2" t="inlineStr">
        <is>
          <t>Mock Pharmtutor 2024</t>
        </is>
      </c>
    </row>
    <row r="651" ht="13.2" customHeight="1" s="37">
      <c r="A651" s="8" t="inlineStr">
        <is>
          <t>672</t>
        </is>
      </c>
      <c r="B651" s="2" t="inlineStr">
        <is>
          <t>ผู้ป่วยรายนี้ควรได้รับยา cycle ปัจจุบันหรือไม่ อย่างไร</t>
        </is>
      </c>
      <c r="C651" s="2" t="n"/>
      <c r="D651" s="2" t="inlineStr">
        <is>
          <t>ไม่ควรได้รับ เพราะ Hb ต่ำมี anemia</t>
        </is>
      </c>
      <c r="E651" s="2" t="inlineStr">
        <is>
          <t>ควรได้รับ เพราะให้การรักษาที่ต่อเนื่อง</t>
        </is>
      </c>
      <c r="F651" s="2" t="inlineStr">
        <is>
          <t>ไม่ควรได้รับ เพราะ ANC ต่ำกว่าเกณฑ์</t>
        </is>
      </c>
      <c r="G651" s="2" t="inlineStr">
        <is>
          <t>ไม่ควรได้รับ เพราะ plt count ต่ำ</t>
        </is>
      </c>
      <c r="H651" s="2" t="inlineStr">
        <is>
          <t>ควรได้รับ เพราะ ผู้ป่วยยังตอบสนองต่อการรักษา</t>
        </is>
      </c>
      <c r="I651" s="8" t="inlineStr">
        <is>
          <t>1</t>
        </is>
      </c>
      <c r="J651" s="2" t="inlineStr">
        <is>
          <t>✅ คำตอบที่ถูกต้อง: ข้อ ก. ไม่ควรได้รับ เพราะ Hb ต่ำมี anemia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ไม่ควรได้รับ เพราะ Hb ต่ำมี anemia การเลือก ไม่ควรได้รับ เพราะ Hb ต่ำมี anemia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(ควรได้รับ เพราะให้การรักษาที่ต่อเนื่อง): ข้อนี้ไม่ใช่คำตอบที่ถูกต้องสำหรับภาวะ General Therapeutics เนื่องจากกลไกการออกฤทธิ์, efficacy หรือข้อบ่งใช้ไม่ตรงกับโจทย์ที่กำหนด
• ข้อ ค. (ไม่ควรได้รับ เพราะ ANC ต่ำกว่าเกณฑ์): ข้อนี้ไม่ใช่คำตอบที่ถูกต้องสำหรับภาวะ General Therapeutics เนื่องจากกลไกการออกฤทธิ์, efficacy หรือข้อบ่งใช้ไม่ตรงกับโจทย์ที่กำหนด
• ข้อ ง. (ไม่ควรได้รับ เพราะ plt count ต่ำ): ข้อนี้ไม่ใช่คำตอบที่ถูกต้องสำหรับภาวะ General Therapeutics เนื่องจากกลไกการออกฤทธิ์, efficacy หรือข้อบ่งใช้ไม่ตรงกับโจทย์ที่กำหนด
• ข้อ จ. (ควรได้รับ เพราะ ผู้ป่วยยังตอบสนองต่อการรักษา):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1" s="2" t="n"/>
      <c r="L651" s="2" t="inlineStr">
        <is>
          <t>General Therapeutics</t>
        </is>
      </c>
      <c r="M651" s="2" t="inlineStr">
        <is>
          <t>Clinic</t>
        </is>
      </c>
      <c r="N651" s="2" t="inlineStr">
        <is>
          <t>ข้อ 83 (Pharmtutor_2024_Set1.md)</t>
        </is>
      </c>
      <c r="O651" s="2" t="inlineStr">
        <is>
          <t>Mock</t>
        </is>
      </c>
      <c r="P651" s="2" t="inlineStr">
        <is>
          <t>Mock Pharmtutor 2024</t>
        </is>
      </c>
    </row>
    <row r="652" ht="13.2" customHeight="1" s="37">
      <c r="A652" s="8" t="inlineStr">
        <is>
          <t>673</t>
        </is>
      </c>
      <c r="B652" s="2" t="inlineStr">
        <is>
          <t>ต่อมาผู้ป่วยรายนี้ตรวจพบว่าเป็น CA Colon ได้รับยาสูตร mFOLFOX6 ผู้ป่วยได้รับ Leucovorin เนื่องด้วยเหตุผลอะไร</t>
        </is>
      </c>
      <c r="C652" s="2" t="n"/>
      <c r="D652" s="2" t="inlineStr">
        <is>
          <t>ลดฤทธิ์ของ Oxaliplatin</t>
        </is>
      </c>
      <c r="E652" s="2" t="inlineStr">
        <is>
          <t>เพิ่มฤทธิ์ของ Oxaliplatin</t>
        </is>
      </c>
      <c r="F652" s="2" t="inlineStr">
        <is>
          <t>ลดฤทธิ์ของ 5-FU</t>
        </is>
      </c>
      <c r="G652" s="2" t="inlineStr">
        <is>
          <t>เพิ่มฤทธิ์ของ 5-FU</t>
        </is>
      </c>
      <c r="H652" s="2" t="inlineStr">
        <is>
          <t>ลดอาการข้างเคียงจากยา 5-FU</t>
        </is>
      </c>
      <c r="I652" s="8" t="inlineStr">
        <is>
          <t>1</t>
        </is>
      </c>
      <c r="J652" s="2" t="inlineStr">
        <is>
          <t>✅ คำตอบที่ถูกต้อง: ข้อ ก. ลดฤทธิ์ของ Oxaliplatin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ลดฤทธิ์ของ Oxaliplatin การเลือก ลดฤทธิ์ของ Oxaliplatin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(เพิ่มฤทธิ์ของ Oxaliplatin): ข้อนี้ไม่ใช่คำตอบที่ถูกต้องสำหรับภาวะ General Therapeutics เนื่องจากกลไกการออกฤทธิ์, efficacy หรือข้อบ่งใช้ไม่ตรงกับโจทย์ที่กำหนด
• ข้อ ค. (ลดฤทธิ์ของ 5-FU): ข้อนี้ไม่ใช่คำตอบที่ถูกต้องสำหรับภาวะ General Therapeutics เนื่องจากกลไกการออกฤทธิ์, efficacy หรือข้อบ่งใช้ไม่ตรงกับโจทย์ที่กำหนด
• ข้อ ง. (เพิ่มฤทธิ์ของ 5-FU): ข้อนี้ไม่ใช่คำตอบที่ถูกต้องสำหรับภาวะ General Therapeutics เนื่องจากกลไกการออกฤทธิ์, efficacy หรือข้อบ่งใช้ไม่ตรงกับโจทย์ที่กำหนด
• ข้อ จ. (ลดอาการข้างเคียงจากยา 5-FU):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2" s="2" t="n"/>
      <c r="L652" s="2" t="inlineStr">
        <is>
          <t>General Therapeutics</t>
        </is>
      </c>
      <c r="M652" s="2" t="inlineStr">
        <is>
          <t>Clinic</t>
        </is>
      </c>
      <c r="N652" s="2" t="inlineStr">
        <is>
          <t>ข้อ 84 (Pharmtutor_2024_Set1.md)</t>
        </is>
      </c>
      <c r="O652" s="2" t="inlineStr">
        <is>
          <t>Mock</t>
        </is>
      </c>
      <c r="P652" s="2" t="inlineStr">
        <is>
          <t>Mock Pharmtutor 2024</t>
        </is>
      </c>
    </row>
    <row r="653" ht="13.2" customHeight="1" s="37">
      <c r="A653" s="8" t="inlineStr">
        <is>
          <t>674</t>
        </is>
      </c>
      <c r="B653" s="2" t="inlineStr">
        <is>
          <t>ผู้ป่วยชายอายุ 34 ปี มีอาชีพขับรถทัวร์ มีอาการคัน จาม คัดจมูก ต้องตื่นตอนดึกด้วยอาการคัดจมูกทุกวัน โดยมีอาการมาแล้ว 2 เดือน ผู้ป่วยจัดอยู่ในระดับใดตาม ARIA 2019</t>
        </is>
      </c>
      <c r="C653" s="2" t="n"/>
      <c r="D653" s="2" t="inlineStr">
        <is>
          <t>Mild - persistent</t>
        </is>
      </c>
      <c r="E653" s="2" t="inlineStr">
        <is>
          <t>Moderate-Severe persistent</t>
        </is>
      </c>
      <c r="F653" s="2" t="inlineStr">
        <is>
          <t>Mild - intermittent</t>
        </is>
      </c>
      <c r="G653" s="2" t="inlineStr">
        <is>
          <t>Moderate-Severe intermittent</t>
        </is>
      </c>
      <c r="H653" s="2" t="inlineStr">
        <is>
          <t>Uncontrolled</t>
        </is>
      </c>
      <c r="I653" s="8" t="inlineStr">
        <is>
          <t>1</t>
        </is>
      </c>
      <c r="J653" s="2" t="inlineStr">
        <is>
          <t>✅ คำตอบที่ถูกต้อง: ข้อ ก. Mild - persistent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Mild - persistent การเลือก Mild - persistent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(Moderate-Severe persistent): ข้อนี้ไม่ใช่คำตอบที่ถูกต้องสำหรับภาวะ General Therapeutics เนื่องจากกลไกการออกฤทธิ์, efficacy หรือข้อบ่งใช้ไม่ตรงกับโจทย์ที่กำหนด
• ข้อ ค. (Mild - intermittent): ข้อนี้ไม่ใช่คำตอบที่ถูกต้องสำหรับภาวะ General Therapeutics เนื่องจากกลไกการออกฤทธิ์, efficacy หรือข้อบ่งใช้ไม่ตรงกับโจทย์ที่กำหนด
• ข้อ ง. (Moderate-Severe intermittent): ข้อนี้ไม่ใช่คำตอบที่ถูกต้องสำหรับภาวะ General Therapeutics เนื่องจากกลไกการออกฤทธิ์, efficacy หรือข้อบ่งใช้ไม่ตรงกับโจทย์ที่กำหนด
• ข้อ จ. (Uncontrolled):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53" s="2" t="n"/>
      <c r="L653" s="2" t="inlineStr">
        <is>
          <t>General Therapeutics</t>
        </is>
      </c>
      <c r="M653" s="2" t="inlineStr">
        <is>
          <t>Clinic</t>
        </is>
      </c>
      <c r="N653" s="2" t="inlineStr">
        <is>
          <t>ข้อ 85 (Pharmtutor_2024_Set1.md)</t>
        </is>
      </c>
      <c r="O653" s="2" t="inlineStr">
        <is>
          <t>Mock</t>
        </is>
      </c>
      <c r="P653" s="2" t="inlineStr">
        <is>
          <t>Mock Pharmtutor 2024</t>
        </is>
      </c>
    </row>
    <row r="654" ht="13.2" customHeight="1" s="37">
      <c r="A654" s="8" t="inlineStr">
        <is>
          <t>675</t>
        </is>
      </c>
      <c r="B654" s="2" t="inlineStr">
        <is>
          <t>ยาทางเลือกแรกในการรักษาของผู้ป่วยรายดังกล่าว คือข้อใด หากผู้ป่วยไม่มีข้อห้ามใช้ยา</t>
        </is>
      </c>
      <c r="C654" s="2" t="n"/>
      <c r="D654" s="2" t="inlineStr">
        <is>
          <t>CPM</t>
        </is>
      </c>
      <c r="E654" s="2" t="inlineStr">
        <is>
          <t>Loratadine</t>
        </is>
      </c>
      <c r="F654" s="2" t="inlineStr">
        <is>
          <t>Fluticasone nasal spray</t>
        </is>
      </c>
      <c r="G654" s="2" t="inlineStr">
        <is>
          <t>Immunotherapy</t>
        </is>
      </c>
      <c r="H654" s="2" t="inlineStr">
        <is>
          <t>Phenylephrine</t>
        </is>
      </c>
      <c r="I654" s="8" t="inlineStr">
        <is>
          <t>1</t>
        </is>
      </c>
      <c r="J654" s="2" t="inlineStr">
        <is>
          <t>✅ คำตอบที่ถูกต้อง: ข้อ ก. CPM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CPM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(Loratadine): ข้อนี้ไม่ใช่คำตอบที่ถูกต้องสำหรับภาวะ General Therapeutics เนื่องจากกลไกการออกฤทธิ์, efficacy หรือข้อบ่งใช้ไม่ตรงกับโจทย์ที่กำหนด
• ข้อ ค. (Fluticasone nasal spray): เป็น potent ICS มี high topical potency และ systemic bioavailability ต่ำ ใช้เป็น maintenance anti-inflammatory controller ใน moderate-to-severe asthma และ COPD with high eosinophils
• ข้อ ง. (Immunotherapy): ข้อนี้ไม่ใช่คำตอบที่ถูกต้องสำหรับภาวะ General Therapeutics เนื่องจากกลไกการออกฤทธิ์, efficacy หรือข้อบ่งใช้ไม่ตรงกับโจทย์ที่กำหนด
• ข้อ จ. (Phenylephrine):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4" s="2" t="n"/>
      <c r="L654" s="2" t="inlineStr">
        <is>
          <t>General Therapeutics</t>
        </is>
      </c>
      <c r="M654" s="2" t="inlineStr">
        <is>
          <t>Clinic</t>
        </is>
      </c>
      <c r="N654" s="2" t="inlineStr">
        <is>
          <t>ข้อ 86 (Pharmtutor_2024_Set1.md)</t>
        </is>
      </c>
      <c r="O654" s="2" t="inlineStr">
        <is>
          <t>Mock</t>
        </is>
      </c>
      <c r="P654" s="2" t="inlineStr">
        <is>
          <t>Mock Pharmtutor 2024</t>
        </is>
      </c>
    </row>
    <row r="655" ht="13.2" customHeight="1" s="37">
      <c r="A655" s="8" t="inlineStr">
        <is>
          <t>676</t>
        </is>
      </c>
      <c r="B655" s="2" t="inlineStr">
        <is>
          <t>จากอาการข้างต้นผู้ป่วยรายดังกล่าวควรได้รับยาชนิดใดในการรักษาเพิ่มเติม</t>
        </is>
      </c>
      <c r="C655" s="2" t="n"/>
      <c r="D655" s="2" t="inlineStr">
        <is>
          <t>erythropoietin stimulating agent</t>
        </is>
      </c>
      <c r="E655" s="2" t="inlineStr">
        <is>
          <t>Sodium polystyrene sulfonate</t>
        </is>
      </c>
      <c r="F655" s="2" t="inlineStr">
        <is>
          <t>alfacalcidol</t>
        </is>
      </c>
      <c r="G655" s="2" t="inlineStr">
        <is>
          <t>Sodamint</t>
        </is>
      </c>
      <c r="H655" s="2" t="inlineStr">
        <is>
          <t>Sevelamer</t>
        </is>
      </c>
      <c r="I655" s="8" t="inlineStr">
        <is>
          <t>1</t>
        </is>
      </c>
      <c r="J655" s="2" t="inlineStr">
        <is>
          <t>✅ คำตอบที่ถูกต้อง: ข้อ ก. erythropoietin stimulating agent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erythropoietin stimulating agent การเลือก erythropoietin stimulating agent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(Sodium polystyrene sulfonate): ข้อนี้ไม่ใช่คำตอบที่ถูกต้องสำหรับภาวะ General Therapeutics เนื่องจากกลไกการออกฤทธิ์, efficacy หรือข้อบ่งใช้ไม่ตรงกับโจทย์ที่กำหนด
• ข้อ ค. (alfacalcidol): ข้อนี้ไม่ใช่คำตอบที่ถูกต้องสำหรับภาวะ General Therapeutics เนื่องจากกลไกการออกฤทธิ์, efficacy หรือข้อบ่งใช้ไม่ตรงกับโจทย์ที่กำหนด
• ข้อ ง. (Sodamint): ข้อนี้ไม่ใช่คำตอบที่ถูกต้องสำหรับภาวะ General Therapeutics เนื่องจากกลไกการออกฤทธิ์, efficacy หรือข้อบ่งใช้ไม่ตรงกับโจทย์ที่กำหนด
• ข้อ จ. (Sevelamer): เป็น Non-calcium, non-aluminum phosphate binder เหมาะสำหรับ CKD patients ที่มี hypercalcemia หรือ vascular calcification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5" s="2" t="n"/>
      <c r="L655" s="2" t="inlineStr">
        <is>
          <t>General Therapeutics</t>
        </is>
      </c>
      <c r="M655" s="2" t="inlineStr">
        <is>
          <t>Clinic</t>
        </is>
      </c>
      <c r="N655" s="2" t="inlineStr">
        <is>
          <t>ข้อ 90 (Pharmtutor_2024_Set1.md)</t>
        </is>
      </c>
      <c r="O655" s="2" t="inlineStr">
        <is>
          <t>Mock</t>
        </is>
      </c>
      <c r="P655" s="2" t="inlineStr">
        <is>
          <t>Mock Pharmtutor 2024</t>
        </is>
      </c>
    </row>
    <row r="656" ht="13.2" customHeight="1" s="37">
      <c r="A656" s="8" t="inlineStr">
        <is>
          <t>677</t>
        </is>
      </c>
      <c r="B656" s="2" t="inlineStr">
        <is>
          <t>จากโครงสร้างยา Digoxin ข้างต้น หากต้องการทดสอบสารสำคัญตามวงกลมในภาพ ควรใช้การทดสอบใดเพื่อพิสูจน์เอกลักษณ์สารดังกล่าว</t>
        </is>
      </c>
      <c r="C656" s="2" t="n"/>
      <c r="D656" s="2" t="inlineStr">
        <is>
          <t>Folin-Ciocalteu Content</t>
        </is>
      </c>
      <c r="E656" s="2" t="inlineStr">
        <is>
          <t>DPPH assay</t>
        </is>
      </c>
      <c r="F656" s="2" t="inlineStr">
        <is>
          <t>Liebermann-burchard test</t>
        </is>
      </c>
      <c r="G656" s="2" t="inlineStr">
        <is>
          <t>Dragendorff test</t>
        </is>
      </c>
      <c r="H656" s="2" t="inlineStr">
        <is>
          <t>FTIR spectroscopy</t>
        </is>
      </c>
      <c r="I656" s="8" t="inlineStr">
        <is>
          <t>1</t>
        </is>
      </c>
      <c r="J656" s="2" t="inlineStr">
        <is>
          <t>✅ คำตอบที่ถูกต้อง: ข้อ ก. Folin-Ciocalteu Content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Folin-Ciocalteu Content การเลือก Folin-Ciocalteu Content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(DPPH assay): ข้อนี้ไม่ใช่คำตอบที่ถูกต้องสำหรับภาวะ Cardiovascular Diseases เนื่องจากกลไกการออกฤทธิ์, efficacy หรือข้อบ่งใช้ไม่ตรงกับโจทย์ที่กำหนด
• ข้อ ค. (Liebermann-burchard test): ข้อนี้ไม่ใช่คำตอบที่ถูกต้องสำหรับภาวะ Cardiovascular Diseases เนื่องจากกลไกการออกฤทธิ์, efficacy หรือข้อบ่งใช้ไม่ตรงกับโจทย์ที่กำหนด
• ข้อ ง. (Dragendorff test): ข้อนี้ไม่ใช่คำตอบที่ถูกต้องสำหรับภาวะ Cardiovascular Diseases เนื่องจากกลไกการออกฤทธิ์, efficacy หรือข้อบ่งใช้ไม่ตรงกับโจทย์ที่กำหนด
• ข้อ จ. (FTIR spectroscopy):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56" s="2" t="n"/>
      <c r="L656" s="2" t="inlineStr">
        <is>
          <t>Cardiovascular Diseases</t>
        </is>
      </c>
      <c r="M656" s="2" t="inlineStr">
        <is>
          <t>Clinic</t>
        </is>
      </c>
      <c r="N656" s="2" t="inlineStr">
        <is>
          <t>ข้อ 91 (Pharmtutor_2024_Set1.md)</t>
        </is>
      </c>
      <c r="O656" s="2" t="inlineStr">
        <is>
          <t>Mock</t>
        </is>
      </c>
      <c r="P656" s="2" t="inlineStr">
        <is>
          <t>Mock Pharmtutor 2024</t>
        </is>
      </c>
    </row>
    <row r="657" ht="13.2" customHeight="1" s="37">
      <c r="A657" s="8" t="inlineStr">
        <is>
          <t>678</t>
        </is>
      </c>
      <c r="B657" s="2" t="inlineStr">
        <is>
          <t>ข้อใดต่อไปนี้ ไม่ใช่ วิธีการทดสอบ specific test ในข้อ 101</t>
        </is>
      </c>
      <c r="C657" s="2" t="n"/>
      <c r="D657" s="2" t="inlineStr">
        <is>
          <t>Membrane Filtration</t>
        </is>
      </c>
      <c r="E657" s="2" t="inlineStr">
        <is>
          <t>Plate-count Methods</t>
        </is>
      </c>
      <c r="F657" s="2" t="inlineStr">
        <is>
          <t>Most-Probable-Number (MPN) Method</t>
        </is>
      </c>
      <c r="G657" s="2" t="inlineStr">
        <is>
          <t>Direct inoculation</t>
        </is>
      </c>
      <c r="H657" s="2" t="inlineStr">
        <is>
          <t>ถูกทุกข้อ จงใช้ข้อมูลต่อไปนี้ตอบคำถามข้อที่ 103-105 Etoricoxib 90 mg tablet contains Etoricoxib 90 mg Calcium hydrogen phosphate (anhydrous) Microcrystalline cellulose Lactose Croscarmellose sodium Hypromellose Magnesium stearate Carnauba wax Titanium dioxide Glycerol triacetate</t>
        </is>
      </c>
      <c r="I657" s="8" t="inlineStr">
        <is>
          <t>1</t>
        </is>
      </c>
      <c r="J657" s="2" t="inlineStr">
        <is>
          <t>✅ คำตอบที่ถูกต้อง: ข้อ ก. Membrane Filtration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Membrane Filtration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(Plate-count Methods): ข้อนี้ไม่ใช่คำตอบที่ถูกต้องสำหรับภาวะ General Therapeutics เนื่องจากกลไกการออกฤทธิ์, efficacy หรือข้อบ่งใช้ไม่ตรงกับโจทย์ที่กำหนด
• ข้อ ค. (Most-Probable-Number (MPN) Method): ข้อนี้ไม่ใช่คำตอบที่ถูกต้องสำหรับภาวะ General Therapeutics เนื่องจากกลไกการออกฤทธิ์, efficacy หรือข้อบ่งใช้ไม่ตรงกับโจทย์ที่กำหนด
• ข้อ ง. (Direct inoculation):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จงใช้ข้อมูลต่อไปนี้ตอบคำถามข้อที่ 103-105 Etoricoxib 90 mg tablet contains Etoricoxib 90 mg Calcium hydrogen phosphate (anhydrous) Microcrystalline cellulose Lactose Croscarmellose sodium Hypromellose Magnesium stearate Carnauba wax Titanium dioxide Glycerol triacetate): เป็น selective COX-2 inhibitor ออกฤทธิ์เร็วและยาวนาน (OD) แต่มี contraindication ในผู้ป่วย uncontrolled hypertension (BP &gt; 140/90 mmHg)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7" s="2" t="n"/>
      <c r="L657" s="2" t="inlineStr">
        <is>
          <t>General Therapeutics</t>
        </is>
      </c>
      <c r="M657" s="2" t="inlineStr">
        <is>
          <t>Clinic</t>
        </is>
      </c>
      <c r="N657" s="2" t="inlineStr">
        <is>
          <t>ข้อ 102 (Pharmtutor_2024_Set1.md)</t>
        </is>
      </c>
      <c r="O657" s="2" t="inlineStr">
        <is>
          <t>Mock</t>
        </is>
      </c>
      <c r="P657" s="2" t="inlineStr">
        <is>
          <t>Mock Pharmtutor 2024</t>
        </is>
      </c>
    </row>
    <row r="658" ht="13.2" customHeight="1" s="37">
      <c r="A658" s="8" t="inlineStr">
        <is>
          <t>679</t>
        </is>
      </c>
      <c r="B658" s="2" t="inlineStr">
        <is>
          <t>ในระหว่างกระบวนผลิต พบว่า เม็ดยาติดสาก ควรเติมสารใดในตำรับเพิ่ม</t>
        </is>
      </c>
      <c r="C658" s="2" t="n"/>
      <c r="D658" s="2" t="inlineStr">
        <is>
          <t>Calcium hydrogen phosphate (anhydrous)</t>
        </is>
      </c>
      <c r="E658" s="2" t="inlineStr">
        <is>
          <t>Microcrystalline cellulose</t>
        </is>
      </c>
      <c r="F658" s="2" t="inlineStr">
        <is>
          <t>Croscarmellose sodium</t>
        </is>
      </c>
      <c r="G658" s="2" t="inlineStr">
        <is>
          <t>Hypromellose</t>
        </is>
      </c>
      <c r="H658" s="2" t="inlineStr">
        <is>
          <t>Magnesium stearate</t>
        </is>
      </c>
      <c r="I658" s="8" t="inlineStr">
        <is>
          <t>1</t>
        </is>
      </c>
      <c r="J658" s="2" t="inlineStr">
        <is>
          <t>✅ คำตอบที่ถูกต้อง: ข้อ ก. Calcium hydrogen phosphate (anhydrous)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hydrogen phosphate (anhydrous) การเลือก Calcium hydrogen phosphate (anhydrous)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(Microcrystalline cellulose): ข้อนี้ไม่ใช่คำตอบที่ถูกต้องสำหรับภาวะ General Therapeutics เนื่องจากกลไกการออกฤทธิ์, efficacy หรือข้อบ่งใช้ไม่ตรงกับโจทย์ที่กำหนด
• ข้อ ค. (Croscarmellose sodium): เป็น Superdisintegrant ชนิด cross-linked carboxymethylcellulose พองตัวและดึงน้ำเข้าเม็ดยาผ่าน wicking and swelling
• ข้อ ง. (Hypromellose): ข้อนี้ไม่ใช่คำตอบที่ถูกต้องสำหรับภาวะ General Therapeutics เนื่องจากกลไกการออกฤทธิ์, efficacy หรือข้อบ่งใช้ไม่ตรงกับโจทย์ที่กำหนด
• ข้อ จ.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8" s="2" t="n"/>
      <c r="L658" s="2" t="inlineStr">
        <is>
          <t>General Therapeutics</t>
        </is>
      </c>
      <c r="M658" s="2" t="inlineStr">
        <is>
          <t>Clinic</t>
        </is>
      </c>
      <c r="N658" s="2" t="inlineStr">
        <is>
          <t>ข้อ 103 (Pharmtutor_2024_Set1.md)</t>
        </is>
      </c>
      <c r="O658" s="2" t="inlineStr">
        <is>
          <t>Mock</t>
        </is>
      </c>
      <c r="P658" s="2" t="inlineStr">
        <is>
          <t>Mock Pharmtutor 2024</t>
        </is>
      </c>
    </row>
    <row r="659" ht="13.2" customHeight="1" s="37">
      <c r="A659" s="8" t="inlineStr">
        <is>
          <t>680</t>
        </is>
      </c>
      <c r="B659" s="2" t="inlineStr">
        <is>
          <t>สารใดนิยมใช้เป็น propellant ใน MDIs</t>
        </is>
      </c>
      <c r="C659" s="2" t="n"/>
      <c r="D659" s="2" t="inlineStr">
        <is>
          <t>hydrofluoroalkane (HFA)</t>
        </is>
      </c>
      <c r="E659" s="2" t="inlineStr">
        <is>
          <t>nitrous oxide</t>
        </is>
      </c>
      <c r="F659" s="2" t="inlineStr">
        <is>
          <t>isobutane</t>
        </is>
      </c>
      <c r="G659" s="2" t="inlineStr">
        <is>
          <t>n-butane</t>
        </is>
      </c>
      <c r="H659" s="2" t="inlineStr">
        <is>
          <t>propane</t>
        </is>
      </c>
      <c r="I659" s="8" t="inlineStr">
        <is>
          <t>1</t>
        </is>
      </c>
      <c r="J659" s="2" t="inlineStr">
        <is>
          <t>✅ คำตอบที่ถูกต้อง: ข้อ ก. hydrofluoroalkane (HFA)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hydrofluoroalkane (HFA) การเลือก hydrofluoroalkane (HFA)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(nitrous oxide): ข้อนี้ไม่ใช่คำตอบที่ถูกต้องสำหรับภาวะ General Therapeutics เนื่องจากกลไกการออกฤทธิ์, efficacy หรือข้อบ่งใช้ไม่ตรงกับโจทย์ที่กำหนด
• ข้อ ค. (isobutane): ข้อนี้ไม่ใช่คำตอบที่ถูกต้องสำหรับภาวะ General Therapeutics เนื่องจากกลไกการออกฤทธิ์, efficacy หรือข้อบ่งใช้ไม่ตรงกับโจทย์ที่กำหนด
• ข้อ ง. (n-butane): ข้อนี้ไม่ใช่คำตอบที่ถูกต้องสำหรับภาวะ General Therapeutics เนื่องจากกลไกการออกฤทธิ์, efficacy หรือข้อบ่งใช้ไม่ตรงกับโจทย์ที่กำหนด
• ข้อ จ. (propane):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9" s="2" t="n"/>
      <c r="L659" s="2" t="inlineStr">
        <is>
          <t>General Therapeutics</t>
        </is>
      </c>
      <c r="M659" s="2" t="inlineStr">
        <is>
          <t>Clinic</t>
        </is>
      </c>
      <c r="N659" s="2" t="inlineStr">
        <is>
          <t>ข้อ 109 (Pharmtutor_2024_Set1.md)</t>
        </is>
      </c>
      <c r="O659" s="2" t="inlineStr">
        <is>
          <t>Mock</t>
        </is>
      </c>
      <c r="P659" s="2" t="inlineStr">
        <is>
          <t>Mock Pharmtutor 2024</t>
        </is>
      </c>
    </row>
    <row r="660" ht="13.2" customHeight="1" s="37">
      <c r="A660" s="8" t="inlineStr">
        <is>
          <t>681</t>
        </is>
      </c>
      <c r="B660" s="2" t="inlineStr">
        <is>
          <t>ข้อใดจำเป็นไม่จำเป็นต้องทดสอบใน MDIs</t>
        </is>
      </c>
      <c r="C660" s="2" t="n"/>
      <c r="D660" s="2" t="inlineStr">
        <is>
          <t>Spray Pattern</t>
        </is>
      </c>
      <c r="E660" s="2" t="inlineStr">
        <is>
          <t>Microbial Limits</t>
        </is>
      </c>
      <c r="F660" s="2" t="inlineStr">
        <is>
          <t>Net Content Weight</t>
        </is>
      </c>
      <c r="G660" s="2" t="inlineStr">
        <is>
          <t>Leachables (stability)</t>
        </is>
      </c>
      <c r="H660" s="2" t="inlineStr">
        <is>
          <t>Uniformity of Dosage Units</t>
        </is>
      </c>
      <c r="I660" s="8" t="inlineStr">
        <is>
          <t>1</t>
        </is>
      </c>
      <c r="J660" s="2" t="inlineStr">
        <is>
          <t>✅ คำตอบที่ถูกต้อง: ข้อ ก. Spray Pattern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Spray Pattern การเลือก Spray Pattern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(Microbial Limits): ข้อนี้ไม่ใช่คำตอบที่ถูกต้องสำหรับภาวะ General Therapeutics เนื่องจากกลไกการออกฤทธิ์, efficacy หรือข้อบ่งใช้ไม่ตรงกับโจทย์ที่กำหนด
• ข้อ ค. (Net Content Weight): ข้อนี้ไม่ใช่คำตอบที่ถูกต้องสำหรับภาวะ General Therapeutics เนื่องจากกลไกการออกฤทธิ์, efficacy หรือข้อบ่งใช้ไม่ตรงกับโจทย์ที่กำหนด
• ข้อ ง. (Leachables (stability)): ข้อนี้ไม่ใช่คำตอบที่ถูกต้องสำหรับภาวะ General Therapeutics เนื่องจากกลไกการออกฤทธิ์, efficacy หรือข้อบ่งใช้ไม่ตรงกับโจทย์ที่กำหนด
• ข้อ จ. (Uniformity of Dosage Units):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0" s="2" t="n"/>
      <c r="L660" s="2" t="inlineStr">
        <is>
          <t>General Therapeutics</t>
        </is>
      </c>
      <c r="M660" s="2" t="inlineStr">
        <is>
          <t>Clinic</t>
        </is>
      </c>
      <c r="N660" s="2" t="inlineStr">
        <is>
          <t>ข้อ 110 (Pharmtutor_2024_Set1.md)</t>
        </is>
      </c>
      <c r="O660" s="2" t="inlineStr">
        <is>
          <t>Mock</t>
        </is>
      </c>
      <c r="P660" s="2" t="inlineStr">
        <is>
          <t>Mock Pharmtutor 2024</t>
        </is>
      </c>
    </row>
    <row r="661" ht="13.2" customHeight="1" s="37">
      <c r="A661" s="8" t="inlineStr">
        <is>
          <t>682</t>
        </is>
      </c>
      <c r="B661" s="2" t="inlineStr">
        <is>
          <t>ยาในชนิดใดไม่จำเป็นต้องทำบัญชี ขย 10</t>
        </is>
      </c>
      <c r="C661" s="2" t="n"/>
      <c r="D661" s="2" t="inlineStr">
        <is>
          <t>Prednisolone Tablet</t>
        </is>
      </c>
      <c r="E661" s="2" t="inlineStr">
        <is>
          <t>Seretide Accuhaler</t>
        </is>
      </c>
      <c r="F661" s="2" t="inlineStr">
        <is>
          <t>Tramadol Tablet</t>
        </is>
      </c>
      <c r="G661" s="2" t="inlineStr">
        <is>
          <t>Oseltamivir Capsule</t>
        </is>
      </c>
      <c r="H661" s="2" t="inlineStr">
        <is>
          <t>Lamivudine Tablet</t>
        </is>
      </c>
      <c r="I661" s="8" t="inlineStr">
        <is>
          <t>1</t>
        </is>
      </c>
      <c r="J661" s="2" t="inlineStr">
        <is>
          <t>✅ คำตอบที่ถูกต้อง: ข้อ ก. Prednisolone Tablet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Prednisolone Tablet การเลือก Prednisolone Tablet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(Seretide Accuhaler): ข้อนี้ไม่ใช่คำตอบที่ถูกต้องสำหรับภาวะ General Therapeutics เนื่องจากกลไกการออกฤทธิ์, efficacy หรือข้อบ่งใช้ไม่ตรงกับโจทย์ที่กำหนด
• ข้อ ค. (Tramadol Tablet): เป็น weak mu-opioid agonist และ SNRI เป็นเพียง second-line / add-on สำหรับ pain relief ไม่มีฤทธิ์ลดการอักเสบ (no anti-inflammatory efficacy) และเสี่ยงต่อ serotonin syndrome และชัก
• ข้อ ง. (Oseltamivir Capsule):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ข้อ จ. (Lamivudine Tablet):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61" s="2" t="n"/>
      <c r="L661" s="2" t="inlineStr">
        <is>
          <t>General Therapeutics</t>
        </is>
      </c>
      <c r="M661" s="2" t="inlineStr">
        <is>
          <t>Clinic</t>
        </is>
      </c>
      <c r="N661" s="2" t="inlineStr">
        <is>
          <t>ข้อ 113 (Pharmtutor_2024_Set1.md)</t>
        </is>
      </c>
      <c r="O661" s="2" t="inlineStr">
        <is>
          <t>Mock</t>
        </is>
      </c>
      <c r="P661" s="2" t="inlineStr">
        <is>
          <t>Mock Pharmtutor 2024</t>
        </is>
      </c>
    </row>
    <row r="662" ht="13.2" customHeight="1" s="37">
      <c r="A662" s="8" t="inlineStr">
        <is>
          <t>683</t>
        </is>
      </c>
      <c r="B662" s="2" t="inlineStr">
        <is>
          <t>เจ้าหน้าที่พนักงานสุ่มตรวจวัตถุออกฤทธิ์ต่อจิตประสาทที่ร้านขายยา เมื่อส่งตรวจที่กรมวิทยาศาสตร์การแพทย์ พบว่า ปริมาณตัวยาสำคัญต่ำกว่าช่วงมาตรฐาน 12% สามารถสรุปได้ว่าวัตถุออกฤทธิ์ดังกล่าวเป็นวัตถุออกฤทธิ์ชนิดใด</t>
        </is>
      </c>
      <c r="C662" s="2" t="n"/>
      <c r="D662" s="2" t="inlineStr">
        <is>
          <t>วัตถุออกฤทธิ์ปลอม</t>
        </is>
      </c>
      <c r="E662" s="2" t="inlineStr">
        <is>
          <t>วัตถุออกฤทธิ์เสื่อมคุณภาพ</t>
        </is>
      </c>
      <c r="F662" s="2" t="inlineStr">
        <is>
          <t>วัตถุออกฤทธิ์ผิดมาตรฐาน</t>
        </is>
      </c>
      <c r="G662" s="2" t="inlineStr">
        <is>
          <t>วัตถุออกฤทธิ์ผิดคุณภาพ</t>
        </is>
      </c>
      <c r="H662" s="2" t="inlineStr">
        <is>
          <t>วัตถุออกฤทธิ์ต่ำกว่ามาตรฐาน</t>
        </is>
      </c>
      <c r="I662" s="8" t="inlineStr">
        <is>
          <t>1</t>
        </is>
      </c>
      <c r="J662" s="2" t="inlineStr">
        <is>
          <t>✅ คำตอบที่ถูกต้อง: ข้อ ก. วัตถุออกฤทธิ์ปลอม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วัตถุออกฤทธิ์ปลอม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(วัตถุออกฤทธิ์เสื่อมคุณภาพ): ข้อนี้ไม่ใช่คำตอบที่ถูกต้องสำหรับภาวะ Pharmacy Laws &amp; Ethics เนื่องจากกลไกการออกฤทธิ์, efficacy หรือข้อบ่งใช้ไม่ตรงกับโจทย์ที่กำหนด
• ข้อ ค. (วัตถุออกฤทธิ์ผิดมาตรฐาน): ข้อนี้ไม่ใช่คำตอบที่ถูกต้องสำหรับภาวะ Pharmacy Laws &amp; Ethics เนื่องจากกลไกการออกฤทธิ์, efficacy หรือข้อบ่งใช้ไม่ตรงกับโจทย์ที่กำหนด
• ข้อ ง. (วัตถุออกฤทธิ์ผิดคุณภาพ): ข้อนี้ไม่ใช่คำตอบที่ถูกต้องสำหรับภาวะ Pharmacy Laws &amp; Ethics เนื่องจากกลไกการออกฤทธิ์, efficacy หรือข้อบ่งใช้ไม่ตรงกับโจทย์ที่กำหนด
• ข้อ จ. (วัตถุออกฤทธิ์ต่ำกว่ามาตรฐาน):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2" s="2" t="n"/>
      <c r="L662" s="2" t="inlineStr">
        <is>
          <t>Pharmacy Laws &amp; Ethics</t>
        </is>
      </c>
      <c r="M662" s="2" t="inlineStr">
        <is>
          <t>SAP</t>
        </is>
      </c>
      <c r="N662" s="2" t="inlineStr">
        <is>
          <t>ข้อ 114 (Pharmtutor_2024_Set1.md)</t>
        </is>
      </c>
      <c r="O662" s="2" t="inlineStr">
        <is>
          <t>Mock</t>
        </is>
      </c>
      <c r="P662" s="2" t="inlineStr">
        <is>
          <t>Mock Pharmtutor 2024</t>
        </is>
      </c>
    </row>
    <row r="663" ht="13.2" customHeight="1" s="37">
      <c r="A663" s="8" t="inlineStr">
        <is>
          <t>684</t>
        </is>
      </c>
      <c r="B663" s="2" t="inlineStr">
        <is>
          <t>จากกราฟข้างต้นเป็นกราฟแสดงการกระจายรายได้ของคนไทยในปี 2545 จากกราฟข้างต้นสามารถสรุปได้ว่าอย่างไร</t>
        </is>
      </c>
      <c r="C663" s="2" t="n"/>
      <c r="D663" s="2" t="inlineStr">
        <is>
          <t>การกระจายของข้อมูลเป็นแบบปกติ normal distribution</t>
        </is>
      </c>
      <c r="E663" s="2" t="inlineStr">
        <is>
          <t>การกระจายของข้อมูลเป็นแบบปกติ normal distribution (Mean&gt;Mode)</t>
        </is>
      </c>
      <c r="F663" s="2" t="inlineStr">
        <is>
          <t>การกระจายของข้อมูลเป็นแบบปกติ normal distribution (Mean&lt;Mode)</t>
        </is>
      </c>
      <c r="G663" s="2" t="inlineStr">
        <is>
          <t>การกระจายของข้อมูลเบ้ไปทางขวา Right Skewed</t>
        </is>
      </c>
      <c r="H663" s="2" t="inlineStr">
        <is>
          <t>การกระจายของข้อมูลเบ้ไปทางซ้าย Left Skewed</t>
        </is>
      </c>
      <c r="I663" s="8" t="inlineStr">
        <is>
          <t>1</t>
        </is>
      </c>
      <c r="J663" s="2" t="inlineStr">
        <is>
          <t>✅ คำตอบที่ถูกต้อง: ข้อ ก. การกระจายของข้อมูลเป็นแบบปกติ normal distribution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การกระจายของข้อมูลเป็นแบบปกติ normal distribution การเลือก การกระจายของข้อมูลเป็นแบบปกติ normal distribution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(การกระจายของข้อมูลเป็นแบบปกติ normal distribution (Mean&gt;Mode)): ข้อนี้ไม่ใช่คำตอบที่ถูกต้องสำหรับภาวะ General Therapeutics เนื่องจากกลไกการออกฤทธิ์, efficacy หรือข้อบ่งใช้ไม่ตรงกับโจทย์ที่กำหนด
• ข้อ ค. (การกระจายของข้อมูลเป็นแบบปกติ normal distribution (Mean&lt;Mode)): ข้อนี้ไม่ใช่คำตอบที่ถูกต้องสำหรับภาวะ General Therapeutics เนื่องจากกลไกการออกฤทธิ์, efficacy หรือข้อบ่งใช้ไม่ตรงกับโจทย์ที่กำหนด
• ข้อ ง. (การกระจายของข้อมูลเบ้ไปทางขวา Right Skewed): ข้อนี้ไม่ใช่คำตอบที่ถูกต้องสำหรับภาวะ General Therapeutics เนื่องจากกลไกการออกฤทธิ์, efficacy หรือข้อบ่งใช้ไม่ตรงกับโจทย์ที่กำหนด
• ข้อ จ. (การกระจายของข้อมูลเบ้ไปทางซ้าย Left Skewed):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3" s="2" t="n"/>
      <c r="L663" s="2" t="inlineStr">
        <is>
          <t>General Therapeutics</t>
        </is>
      </c>
      <c r="M663" s="2" t="inlineStr">
        <is>
          <t>Clinic</t>
        </is>
      </c>
      <c r="N663" s="2" t="inlineStr">
        <is>
          <t>ข้อ 117 (Pharmtutor_2024_Set1.md)</t>
        </is>
      </c>
      <c r="O663" s="2" t="inlineStr">
        <is>
          <t>Mock</t>
        </is>
      </c>
      <c r="P663" s="2" t="inlineStr">
        <is>
          <t>Mock Pharmtutor 2024</t>
        </is>
      </c>
    </row>
    <row r="664" ht="13.2" customHeight="1" s="37">
      <c r="A664" s="8" t="inlineStr">
        <is>
          <t>685</t>
        </is>
      </c>
      <c r="B664" s="2" t="inlineStr">
        <is>
          <t>เภสัชกรหัวหน้าคลังยาตรวจพบว่า เจ้าหน้าที่เภสัชกรรม มีการหยิบยาสลับกันระหว่าง Azathioprine และ Azithromycin อยู่บ่อยครั้ง จากเหตุการณ์ดังกล่าว หากนักศึกษาเป็นหัวหน้าคลังยาจะใช้หลักการใดมาช่วยในการแก้ปัญหาดังกล่าว</t>
        </is>
      </c>
      <c r="C664" s="2" t="n"/>
      <c r="D664" s="2" t="inlineStr">
        <is>
          <t>PDPA</t>
        </is>
      </c>
      <c r="E664" s="2" t="inlineStr">
        <is>
          <t>PDCA</t>
        </is>
      </c>
      <c r="F664" s="2" t="inlineStr">
        <is>
          <t>Tallman letter</t>
        </is>
      </c>
      <c r="G664" s="2" t="inlineStr">
        <is>
          <t>Swiss cheese model</t>
        </is>
      </c>
      <c r="H664" s="2" t="inlineStr">
        <is>
          <t>5-why</t>
        </is>
      </c>
      <c r="I664" s="8" t="inlineStr">
        <is>
          <t>1</t>
        </is>
      </c>
      <c r="J664" s="2" t="inlineStr">
        <is>
          <t>✅ คำตอบที่ถูกต้อง: ข้อ ก. PDPA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PDPA การเลือก PDPA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(PDCA): ข้อนี้ไม่ใช่คำตอบที่ถูกต้องสำหรับภาวะ Infectious Diseases เนื่องจากกลไกการออกฤทธิ์, efficacy หรือข้อบ่งใช้ไม่ตรงกับโจทย์ที่กำหนด
• ข้อ ค. (Tallman letter): ข้อนี้ไม่ใช่คำตอบที่ถูกต้องสำหรับภาวะ Infectious Diseases เนื่องจากกลไกการออกฤทธิ์, efficacy หรือข้อบ่งใช้ไม่ตรงกับโจทย์ที่กำหนด
• ข้อ ง. (Swiss cheese model): ข้อนี้ไม่ใช่คำตอบที่ถูกต้องสำหรับภาวะ Infectious Diseases เนื่องจากกลไกการออกฤทธิ์, efficacy หรือข้อบ่งใช้ไม่ตรงกับโจทย์ที่กำหนด
• ข้อ จ. (5-why):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4" s="2" t="n"/>
      <c r="L664" s="2" t="inlineStr">
        <is>
          <t>Infectious Diseases</t>
        </is>
      </c>
      <c r="M664" s="2" t="inlineStr">
        <is>
          <t>Clinic</t>
        </is>
      </c>
      <c r="N664" s="2" t="inlineStr">
        <is>
          <t>ข้อ 119 (Pharmtutor_2024_Set1.md)</t>
        </is>
      </c>
      <c r="O664" s="2" t="inlineStr">
        <is>
          <t>Mock</t>
        </is>
      </c>
      <c r="P664" s="2" t="inlineStr">
        <is>
          <t>Mock Pharmtutor 2024</t>
        </is>
      </c>
    </row>
    <row r="665" ht="13.2" customHeight="1" s="37">
      <c r="A665" s="8" t="inlineStr">
        <is>
          <t>686</t>
        </is>
      </c>
      <c r="B665" s="2" t="inlineStr">
        <is>
          <t>ข้อใดไม่ใช่ข้อห้ามใช้ของ Fibrinolytic agent</t>
        </is>
      </c>
      <c r="C665" s="2" t="n"/>
      <c r="D665" s="2" t="inlineStr">
        <is>
          <t>มีประวัติเลือดออกในสมอง (Hemorrhagic stroke)</t>
        </is>
      </c>
      <c r="E665" s="2" t="inlineStr">
        <is>
          <t>มีประวัติสมองขาดเลือด (Ischemic stroke) ภายใน 6 เดือน</t>
        </is>
      </c>
      <c r="F665" s="2" t="inlineStr">
        <is>
          <t>เลือดออกในระบบทางเดินอาหาร ภายใน 6 สัปดาห์</t>
        </is>
      </c>
      <c r="G665" s="2" t="inlineStr">
        <is>
          <t>เคยผ่าตัดใหญ่ภายใน 1 เดือน</t>
        </is>
      </c>
      <c r="H665" s="2" t="inlineStr">
        <is>
          <t>มีความดันโลหิต &gt;160/100 mmHg</t>
        </is>
      </c>
      <c r="I665" s="8" t="inlineStr">
        <is>
          <t>1</t>
        </is>
      </c>
      <c r="J665" s="2" t="inlineStr">
        <is>
          <t>✅ คำตอบที่ถูกต้อง: ข้อ ก. มีประวัติเลือดออกในสมอง (Hemorrhagic stroke)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มีประวัติเลือดออกในสมอง (Hemorrhagic stroke) การเลือก มีประวัติเลือดออกในสมอง (Hemorrhagic stroke)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(มีประวัติสมองขาดเลือด (Ischemic stroke) ภายใน 6 เดือน): ข้อนี้ไม่ใช่คำตอบที่ถูกต้องสำหรับภาวะ General Therapeutics เนื่องจากกลไกการออกฤทธิ์, efficacy หรือข้อบ่งใช้ไม่ตรงกับโจทย์ที่กำหนด
• ข้อ ค. (เลือดออกในระบบทางเดินอาหาร ภายใน 6 สัปดาห์): ข้อนี้ไม่ใช่คำตอบที่ถูกต้องสำหรับภาวะ General Therapeutics เนื่องจากกลไกการออกฤทธิ์, efficacy หรือข้อบ่งใช้ไม่ตรงกับโจทย์ที่กำหนด
• ข้อ ง. (เคยผ่าตัดใหญ่ภายใน 1 เดือน): ข้อนี้ไม่ใช่คำตอบที่ถูกต้องสำหรับภาวะ General Therapeutics เนื่องจากกลไกการออกฤทธิ์, efficacy หรือข้อบ่งใช้ไม่ตรงกับโจทย์ที่กำหนด
• ข้อ จ. (มีความดันโลหิต &gt;160/100 mmHg):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5" s="2" t="n"/>
      <c r="L665" s="2" t="inlineStr">
        <is>
          <t>General Therapeutics</t>
        </is>
      </c>
      <c r="M665" s="2" t="inlineStr">
        <is>
          <t>Clinic</t>
        </is>
      </c>
      <c r="N665" s="2" t="inlineStr">
        <is>
          <t>ข้อ 8 (Pharmtutor_2024_Set2.md)</t>
        </is>
      </c>
      <c r="O665" s="2" t="inlineStr">
        <is>
          <t>Mock</t>
        </is>
      </c>
      <c r="P665" s="2" t="inlineStr">
        <is>
          <t>Mock Pharmtutor 2024</t>
        </is>
      </c>
    </row>
    <row r="666" ht="13.2" customHeight="1" s="37">
      <c r="A666" s="8" t="inlineStr">
        <is>
          <t>687</t>
        </is>
      </c>
      <c r="B666" s="2" t="inlineStr">
        <is>
          <t>จากโครงสร้างที่กำหนดให้ ข้อใดไม่มีฤทธิ์ต้านการอักเสบ</t>
        </is>
      </c>
      <c r="C666" s="2" t="n"/>
      <c r="D666" s="2" t="inlineStr">
        <is>
          <t>Dimercaprol (BAL) 3 mg/kg IM</t>
        </is>
      </c>
      <c r="E666" s="2" t="inlineStr">
        <is>
          <t>Ethanol 10% IV infusion for Methanol poisoning</t>
        </is>
      </c>
      <c r="F666" s="2" t="inlineStr">
        <is>
          <t>Fomepizole 15 mg/kg IV loading</t>
        </is>
      </c>
      <c r="G666" s="2" t="inlineStr">
        <is>
          <t>N-acetylcysteine (NAC) IV infusion protocol</t>
        </is>
      </c>
      <c r="H666" s="2" t="inlineStr">
        <is>
          <t>Atropine sulfate 2 mg IV Q5-10 min</t>
        </is>
      </c>
      <c r="I666" s="8" t="inlineStr">
        <is>
          <t>1</t>
        </is>
      </c>
      <c r="J6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6" s="2" t="n"/>
      <c r="L666" s="2" t="inlineStr">
        <is>
          <t>General Therapeutics</t>
        </is>
      </c>
      <c r="M666" s="2" t="inlineStr">
        <is>
          <t>Clinic</t>
        </is>
      </c>
      <c r="N666" s="2" t="inlineStr">
        <is>
          <t>ข้อ 20 (Pharmtutor_2024_Set2.md)</t>
        </is>
      </c>
      <c r="O666" s="2" t="inlineStr">
        <is>
          <t>Mock</t>
        </is>
      </c>
      <c r="P666" s="2" t="inlineStr">
        <is>
          <t>Mock Pharmtutor 2024</t>
        </is>
      </c>
    </row>
    <row r="667" ht="13.2" customHeight="1" s="37">
      <c r="A667" s="8" t="inlineStr">
        <is>
          <t>688</t>
        </is>
      </c>
      <c r="B667" s="2" t="inlineStr">
        <is>
          <t>กลไกของการใช้ยาลดกรด หรือป้องกันกรดท่นขึ้นมาจากการมีภาวะกรดเกิด ที่จับตัวกันเป็นก้อน เรียกกลไกนี้ว่าอะไร</t>
        </is>
      </c>
      <c r="C667" s="2" t="n"/>
      <c r="D667" s="2" t="inlineStr">
        <is>
          <t>Forming Effect</t>
        </is>
      </c>
      <c r="E667" s="2" t="inlineStr">
        <is>
          <t>Rafting Effect</t>
        </is>
      </c>
      <c r="F667" s="2" t="inlineStr">
        <is>
          <t>Generating Effect</t>
        </is>
      </c>
      <c r="G667" s="2" t="inlineStr">
        <is>
          <t>Grouping Effect</t>
        </is>
      </c>
      <c r="H667" s="2" t="inlineStr">
        <is>
          <t>ข้อ a และ b ถูก</t>
        </is>
      </c>
      <c r="I667" s="8" t="inlineStr">
        <is>
          <t>1</t>
        </is>
      </c>
      <c r="J667" s="2" t="inlineStr">
        <is>
          <t>✅ คำตอบที่ถูกต้อง: ข้อ ก. Forming Effect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Forming Effect การเลือก Forming Effect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(Rafting Effect): ข้อนี้ไม่ใช่คำตอบที่ถูกต้องสำหรับภาวะ GI Disorders เนื่องจากกลไกการออกฤทธิ์, efficacy หรือข้อบ่งใช้ไม่ตรงกับโจทย์ที่กำหนด
• ข้อ ค. (Generating Effect): ข้อนี้ไม่ใช่คำตอบที่ถูกต้องสำหรับภาวะ GI Disorders เนื่องจากกลไกการออกฤทธิ์, efficacy หรือข้อบ่งใช้ไม่ตรงกับโจทย์ที่กำหนด
• ข้อ ง. (Grouping Effect): ข้อนี้ไม่ใช่คำตอบที่ถูกต้องสำหรับภาวะ GI Disorders เนื่องจากกลไกการออกฤทธิ์, efficacy หรือข้อบ่งใช้ไม่ตรงกับโจทย์ที่กำหนด
• ข้อ จ. (ข้อ a และ b ถูก):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67" s="2" t="n"/>
      <c r="L667" s="2" t="inlineStr">
        <is>
          <t>GI Disorders</t>
        </is>
      </c>
      <c r="M667" s="2" t="inlineStr">
        <is>
          <t>Clinic</t>
        </is>
      </c>
      <c r="N667" s="2" t="inlineStr">
        <is>
          <t>ข้อ 22 (Pharmtutor_2024_Set2.md)</t>
        </is>
      </c>
      <c r="O667" s="2" t="inlineStr">
        <is>
          <t>Mock</t>
        </is>
      </c>
      <c r="P667" s="2" t="inlineStr">
        <is>
          <t>Mock Pharmtutor 2024</t>
        </is>
      </c>
    </row>
    <row r="668" ht="13.2" customHeight="1" s="37">
      <c r="A668" s="8" t="inlineStr">
        <is>
          <t>689</t>
        </is>
      </c>
      <c r="B668" s="2" t="inlineStr">
        <is>
          <t>การให้คำแนะนำในผู้ป่วยท้องผูก ข้อใดเหมาะสม</t>
        </is>
      </c>
      <c r="C668" s="2" t="n"/>
      <c r="D668" s="2" t="inlineStr">
        <is>
          <t>หลีกเลียงอาหารรสจัด</t>
        </is>
      </c>
      <c r="E668" s="2" t="inlineStr">
        <is>
          <t>กินอาหารอ่อน ย่อยง่าย ไม่มีกากใย</t>
        </is>
      </c>
      <c r="F668" s="2" t="inlineStr">
        <is>
          <t>ดื่มน้ำมากๆต่อวัน และออกกำลังกายอย่างสม่ำเสมอ</t>
        </is>
      </c>
      <c r="G668" s="2" t="inlineStr">
        <is>
          <t>ปรึกษาแพทย์ผู้เชี่ยวชาญ เพื่อหาสาเหตุ และปรับเปลี่ยนการรักษา</t>
        </is>
      </c>
      <c r="H668" s="2" t="inlineStr">
        <is>
          <t>ทุกข้อคือคำแนะนำที่เหมาะสม</t>
        </is>
      </c>
      <c r="I668" s="8" t="inlineStr">
        <is>
          <t>1</t>
        </is>
      </c>
      <c r="J668" s="2" t="inlineStr">
        <is>
          <t>✅ คำตอบที่ถูกต้อง: ข้อ ก. หลีกเลียงอาหารรสจัด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หลีกเลียงอาหารรสจัด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(กินอาหารอ่อน ย่อยง่าย ไม่มีกากใย): ข้อนี้ไม่ใช่คำตอบที่ถูกต้องสำหรับภาวะ GI Disorders เนื่องจากกลไกการออกฤทธิ์, efficacy หรือข้อบ่งใช้ไม่ตรงกับโจทย์ที่กำหนด
• ข้อ ค. (ดื่มน้ำมากๆต่อวัน และออกกำลังกายอย่างสม่ำเสมอ): ข้อนี้ไม่ใช่คำตอบที่ถูกต้องสำหรับภาวะ GI Disorders เนื่องจากกลไกการออกฤทธิ์, efficacy หรือข้อบ่งใช้ไม่ตรงกับโจทย์ที่กำหนด
• ข้อ ง. (ปรึกษาแพทย์ผู้เชี่ยวชาญ เพื่อหาสาเหตุ และปรับเปลี่ยนการรักษา): ข้อนี้ไม่ใช่คำตอบที่ถูกต้องสำหรับภาวะ GI Disorders เนื่องจากกลไกการออกฤทธิ์, efficacy หรือข้อบ่งใช้ไม่ตรงกับโจทย์ที่กำหนด
• ข้อ จ. (ทุกข้อคือคำแนะนำที่เหมาะสม):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68" s="2" t="n"/>
      <c r="L668" s="2" t="inlineStr">
        <is>
          <t>GI Disorders</t>
        </is>
      </c>
      <c r="M668" s="2" t="inlineStr">
        <is>
          <t>Clinic</t>
        </is>
      </c>
      <c r="N668" s="2" t="inlineStr">
        <is>
          <t>ข้อ 27 (Pharmtutor_2024_Set2.md)</t>
        </is>
      </c>
      <c r="O668" s="2" t="inlineStr">
        <is>
          <t>Mock</t>
        </is>
      </c>
      <c r="P668" s="2" t="inlineStr">
        <is>
          <t>Mock Pharmtutor 2024</t>
        </is>
      </c>
    </row>
    <row r="669" ht="13.2" customHeight="1" s="37">
      <c r="A669" s="8" t="inlineStr">
        <is>
          <t>690</t>
        </is>
      </c>
      <c r="B669" s="2" t="inlineStr">
        <is>
          <t>ยาในข้อใด ที่ผู้ป่วย G6PD deficiency สามารถใช้ได้</t>
        </is>
      </c>
      <c r="C669" s="2" t="n"/>
      <c r="D669" s="2" t="inlineStr">
        <is>
          <t>Norfloxacin</t>
        </is>
      </c>
      <c r="E669" s="2" t="inlineStr">
        <is>
          <t>Doxorubicin</t>
        </is>
      </c>
      <c r="F669" s="2" t="inlineStr">
        <is>
          <t>Isoniazid</t>
        </is>
      </c>
      <c r="G669" s="2" t="inlineStr">
        <is>
          <t>Primaquine</t>
        </is>
      </c>
      <c r="H669" s="2" t="inlineStr">
        <is>
          <t>Tramadol</t>
        </is>
      </c>
      <c r="I669" s="8" t="inlineStr">
        <is>
          <t>1</t>
        </is>
      </c>
      <c r="J669" s="2" t="inlineStr">
        <is>
          <t>✅ คำตอบที่ถูกต้อง: ข้อ ก. Norfloxacin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Norfloxacin การเลือก Norfloxacin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(Doxorubicin): ข้อนี้ไม่ใช่คำตอบที่ถูกต้องสำหรับภาวะ General Therapeutics เนื่องจากกลไกการออกฤทธิ์, efficacy หรือข้อบ่งใช้ไม่ตรงกับโจทย์ที่กำหนด
• ข้อ ค.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(Primaquine): ข้อนี้ไม่ใช่คำตอบที่ถูกต้องสำหรับภาวะ General Therapeutics เนื่องจากกลไกการออกฤทธิ์, efficacy หรือข้อบ่งใช้ไม่ตรงกับโจทย์ที่กำหนด
• ข้อ จ. (Tramadol): เป็น weak mu-opioid agonist และ SNRI เป็นเพียง second-line / add-on สำหรับ pain relief ไม่มีฤทธิ์ลดการอักเสบ (no anti-inflammatory efficacy) และเสี่ยงต่อ serotonin syndrome และชัก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9" s="2" t="n"/>
      <c r="L669" s="2" t="inlineStr">
        <is>
          <t>General Therapeutics</t>
        </is>
      </c>
      <c r="M669" s="2" t="inlineStr">
        <is>
          <t>Clinic</t>
        </is>
      </c>
      <c r="N669" s="2" t="inlineStr">
        <is>
          <t>ข้อ 30 (Pharmtutor_2024_Set2.md)</t>
        </is>
      </c>
      <c r="O669" s="2" t="inlineStr">
        <is>
          <t>Mock</t>
        </is>
      </c>
      <c r="P669" s="2" t="inlineStr">
        <is>
          <t>Mock Pharmtutor 2024</t>
        </is>
      </c>
    </row>
    <row r="670" ht="13.2" customHeight="1" s="37">
      <c r="A670" s="8" t="inlineStr">
        <is>
          <t>691</t>
        </is>
      </c>
      <c r="B670" s="2" t="inlineStr">
        <is>
          <t>ข้อใดใช้เป็น Plasticizer สำหรับทำ Capsule ไม่ได้</t>
        </is>
      </c>
      <c r="C670" s="2" t="n"/>
      <c r="D670" s="2" t="inlineStr">
        <is>
          <t>Mannitol</t>
        </is>
      </c>
      <c r="E670" s="2" t="inlineStr">
        <is>
          <t>Glycerin</t>
        </is>
      </c>
      <c r="F670" s="2" t="inlineStr">
        <is>
          <t>Sorbitol</t>
        </is>
      </c>
      <c r="G670" s="2" t="inlineStr">
        <is>
          <t>Hydroxylalkylstarch</t>
        </is>
      </c>
      <c r="H670" s="2" t="inlineStr">
        <is>
          <t>Propylene glycol</t>
        </is>
      </c>
      <c r="I670" s="8" t="inlineStr">
        <is>
          <t>1</t>
        </is>
      </c>
      <c r="J670" s="2" t="inlineStr">
        <is>
          <t>✅ คำตอบที่ถูกต้อง: ข้อ ก. Mannitol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Mannitol 💡 คำอธิบายและเหตุผลทางเภสัชกรรม:
💡 คำอธิบายและเหตุผลทางเภสัชกรรม:
การเลือก Mannitol เป็นคำตอบที่ถูกต้องตามแนวทางการรักษามาตรฐาน เนื่องจาก เป็น Diluent ชนิด non-hygroscopic ให้ negative heat of solution (รู้สึกเย็นในปาก) นิยมใช้ใน chewable tablets และ orally disintegrating tablets (ODTs)
USP/NF, British Pharmacopoeia (BP) และ Remington: The Science and Practice of Pharmacy (หัวข้อ Solid Dosage Forms)
🔍 ข้ออื่นผิดเพราะอะไร:
• ข้อ ข. (Glycerin): ข้อนี้ไม่ใช่คำตอบที่ถูกต้องสำหรับภาวะ Solid Dosage Forms เนื่องจากกลไกการออกฤทธิ์, efficacy หรือข้อบ่งใช้ไม่ตรงกับโจทย์ที่กำหนด
• ข้อ ค. (Sorbitol): ข้อนี้ไม่ใช่คำตอบที่ถูกต้องสำหรับภาวะ Solid Dosage Forms เนื่องจากกลไกการออกฤทธิ์, efficacy หรือข้อบ่งใช้ไม่ตรงกับโจทย์ที่กำหนด
• ข้อ ง. (Hydroxylalkylstarch): ข้อนี้ไม่ใช่คำตอบที่ถูกต้องสำหรับภาวะ Solid Dosage Forms เนื่องจากกลไกการออกฤทธิ์, efficacy หรือข้อบ่งใช้ไม่ตรงกับโจทย์ที่กำหนด
• ข้อ จ. (Propylene glycol):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0" s="2" t="n"/>
      <c r="L670" s="2" t="inlineStr">
        <is>
          <t>Solid Dosage Forms</t>
        </is>
      </c>
      <c r="M670" s="2" t="inlineStr">
        <is>
          <t>Product</t>
        </is>
      </c>
      <c r="N670" s="2" t="inlineStr">
        <is>
          <t>ข้อ 39 (Pharmtutor_2024_Set2.md)</t>
        </is>
      </c>
      <c r="O670" s="2" t="inlineStr">
        <is>
          <t>Mock</t>
        </is>
      </c>
      <c r="P670" s="2" t="inlineStr">
        <is>
          <t>Mock Pharmtutor 2024</t>
        </is>
      </c>
    </row>
    <row r="671" ht="13.2" customHeight="1" s="37">
      <c r="A671" s="8" t="inlineStr">
        <is>
          <t>692</t>
        </is>
      </c>
      <c r="B671" s="2" t="inlineStr">
        <is>
          <t>จากข้อข้างต้น ข้อใดเป็นเชื้อสาเหตุให้เกิดอาการดังกล่าว</t>
        </is>
      </c>
      <c r="C671" s="2" t="n"/>
      <c r="D671" s="2" t="inlineStr">
        <is>
          <t>Trichomonas</t>
        </is>
      </c>
      <c r="E671" s="2" t="inlineStr">
        <is>
          <t>Candida sp.</t>
        </is>
      </c>
      <c r="F671" s="2" t="inlineStr">
        <is>
          <t>Lactobacillus sp.</t>
        </is>
      </c>
      <c r="G671" s="2" t="inlineStr">
        <is>
          <t>Gardnerella sp.</t>
        </is>
      </c>
      <c r="H671" s="2" t="inlineStr">
        <is>
          <t>Neisseria sp.</t>
        </is>
      </c>
      <c r="I671" s="8" t="inlineStr">
        <is>
          <t>1</t>
        </is>
      </c>
      <c r="J671" s="2" t="inlineStr">
        <is>
          <t>✅ คำตอบที่ถูกต้อง: ข้อ ก. Trichomonas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Trichomonas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sp.): ข้อนี้ไม่ใช่คำตอบที่ถูกต้องสำหรับภาวะ General Therapeutics เนื่องจากกลไกการออกฤทธิ์, efficacy หรือข้อบ่งใช้ไม่ตรงกับโจทย์ที่กำหนด
• ข้อ ค. (Lactobacillus sp.): ข้อนี้ไม่ใช่คำตอบที่ถูกต้องสำหรับภาวะ General Therapeutics เนื่องจากกลไกการออกฤทธิ์, efficacy หรือข้อบ่งใช้ไม่ตรงกับโจทย์ที่กำหนด
• ข้อ ง. (Gardnerella sp.): ข้อนี้ไม่ใช่คำตอบที่ถูกต้องสำหรับภาวะ General Therapeutics เนื่องจากกลไกการออกฤทธิ์, efficacy หรือข้อบ่งใช้ไม่ตรงกับโจทย์ที่กำหนด
• ข้อ จ. (Neisseria sp.):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1" s="2" t="n"/>
      <c r="L671" s="2" t="inlineStr">
        <is>
          <t>General Therapeutics</t>
        </is>
      </c>
      <c r="M671" s="2" t="inlineStr">
        <is>
          <t>Clinic</t>
        </is>
      </c>
      <c r="N671" s="2" t="inlineStr">
        <is>
          <t>ข้อ 43 (Pharmtutor_2024_Set2.md)</t>
        </is>
      </c>
      <c r="O671" s="2" t="inlineStr">
        <is>
          <t>Mock</t>
        </is>
      </c>
      <c r="P671" s="2" t="inlineStr">
        <is>
          <t>Mock Pharmtutor 2024</t>
        </is>
      </c>
    </row>
    <row r="672" ht="13.2" customHeight="1" s="37">
      <c r="A672" s="8" t="inlineStr">
        <is>
          <t>693</t>
        </is>
      </c>
      <c r="B672" s="2" t="inlineStr">
        <is>
          <t>ยาแก้ปวดชนิดใดห้ามใช้ในเด็กต่ำกว่า 5 ขวบ เนื่องจากอาจทำให้กดการทำงานของระบบหายใจได้</t>
        </is>
      </c>
      <c r="C672" s="2" t="n"/>
      <c r="D672" s="2" t="inlineStr">
        <is>
          <t>Paracetamol</t>
        </is>
      </c>
      <c r="E672" s="2" t="inlineStr">
        <is>
          <t>Naproxen</t>
        </is>
      </c>
      <c r="F672" s="2" t="inlineStr">
        <is>
          <t>Tramadol</t>
        </is>
      </c>
      <c r="G672" s="2" t="inlineStr">
        <is>
          <t>Celecoxib</t>
        </is>
      </c>
      <c r="H672" s="2" t="inlineStr">
        <is>
          <t>Flunarizine</t>
        </is>
      </c>
      <c r="I672" s="8" t="inlineStr">
        <is>
          <t>1</t>
        </is>
      </c>
      <c r="J672" s="2" t="inlineStr">
        <is>
          <t>✅ คำตอบที่ถูกต้อง: ข้อ ก.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การเลือก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(Naproxen): เป็น non-selective NSAID ที่มี cardiovascular safety profile ดีที่สุด และมี efficacy สูงในการระงับ acute inflammation
• ข้อ ค. (Tramadol): เป็น weak mu-opioid agonist และ SNRI เป็นเพียง second-line / add-on สำหรับ pain relief ไม่มีฤทธิ์ลดการอักเสบ (no anti-inflammatory efficacy) และเสี่ยงต่อ serotonin syndrome และชัก
• ข้อ ง. (Celecoxib): เป็น selective COX-2 inhibitor มี GI safety profile ดีกว่า non-selective NSAIDs แต่มี cardiovascular risk เพิ่มขึ้น และ contraindication ในผู้ป่วย post-CABG หรือ sulfonamide allergy
• ข้อ จ. (Flunarizine):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2" s="2" t="n"/>
      <c r="L672" s="2" t="inlineStr">
        <is>
          <t>General Therapeutics</t>
        </is>
      </c>
      <c r="M672" s="2" t="inlineStr">
        <is>
          <t>Clinic</t>
        </is>
      </c>
      <c r="N672" s="2" t="inlineStr">
        <is>
          <t>ข้อ 48 (Pharmtutor_2024_Set2.md)</t>
        </is>
      </c>
      <c r="O672" s="2" t="inlineStr">
        <is>
          <t>Mock</t>
        </is>
      </c>
      <c r="P672" s="2" t="inlineStr">
        <is>
          <t>Mock Pharmtutor 2024</t>
        </is>
      </c>
    </row>
    <row r="673" ht="13.2" customHeight="1" s="37">
      <c r="A673" s="8" t="inlineStr">
        <is>
          <t>694</t>
        </is>
      </c>
      <c r="B673" s="2" t="inlineStr">
        <is>
          <t>ข้อใดกล่าวถูกต้องที่สุดกับการรักษาอาการปวดปลายประสาท</t>
        </is>
      </c>
      <c r="C673" s="2" t="n"/>
      <c r="D673" s="2" t="inlineStr">
        <is>
          <t>จำเป็นต้องใช้ยาในกลุ่ม opioids โดยมีผลข้างการรักษาดีกว่าการใช้ยาในกลุ่ม NSAIDs</t>
        </is>
      </c>
      <c r="E673" s="2" t="inlineStr">
        <is>
          <t>กลไกการเกิดส่วนมากเกิดขึ้นจากการเพิ่มขึ้นของสารสื่อประสาทโดยเฉพาะ GABA และ Glutamine</t>
        </is>
      </c>
      <c r="F673" s="2" t="inlineStr">
        <is>
          <t>ยาทางเลือกแรกในการรักษาคือ Tramadol + Flunarizine</t>
        </is>
      </c>
      <c r="G673" s="2" t="inlineStr">
        <is>
          <t>การปวดบริเวณปลายประสาทแล้วจะเกิดจากการเพิ่มการส่งสัญญาณของ Sodium และ Calcium</t>
        </is>
      </c>
      <c r="H673" s="2" t="inlineStr">
        <is>
          <t>หากจำเป็นต้องใช้ยาในกลุ่ม NSAIDs ในการรักษาอาการปวดปลายประสาทจำเป็นต้องใช้ในขนาดสูงเพื่อเพิ่มประสิทธิภาพของการรักษา</t>
        </is>
      </c>
      <c r="I673" s="8" t="inlineStr">
        <is>
          <t>1</t>
        </is>
      </c>
      <c r="J673" s="2" t="inlineStr">
        <is>
          <t>✅ คำตอบที่ถูกต้อง: ข้อ ก. จำเป็นต้องใช้ยาในกลุ่ม opioids โดยมีผลข้างการรักษาดีกว่าการใช้ยาในกลุ่ม NSAIDs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จำเป็นต้องใช้ยาในกลุ่ม opioids โดยมีผลข้างการรักษาดีกว่าการใช้ยาในกลุ่ม NSAIDs การเลือก จำเป็นต้องใช้ยาในกลุ่ม opioids โดยมีผลข้างการรักษาดีกว่าการใช้ยาในกลุ่ม NSAIDs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(กลไกการเกิดส่วนมากเกิดขึ้นจากการเพิ่มขึ้นของสารสื่อประสาทโดยเฉพาะ GABA และ Glutamine): ข้อนี้ไม่ใช่คำตอบที่ถูกต้องสำหรับภาวะ General Therapeutics เนื่องจากกลไกการออกฤทธิ์, efficacy หรือข้อบ่งใช้ไม่ตรงกับโจทย์ที่กำหนด
• ข้อ ค. (ยาทางเลือกแรกในการรักษาคือ Tramadol + Flunarizine): เป็น weak mu-opioid agonist และ SNRI เป็นเพียง second-line / add-on สำหรับ pain relief ไม่มีฤทธิ์ลดการอักเสบ (no anti-inflammatory efficacy) และเสี่ยงต่อ serotonin syndrome และชัก
• ข้อ ง. (การปวดบริเวณปลายประสาทแล้วจะเกิดจากการเพิ่มการส่งสัญญาณของ Sodium และ Calcium): ข้อนี้ไม่ใช่คำตอบที่ถูกต้องสำหรับภาวะ General Therapeutics เนื่องจากกลไกการออกฤทธิ์, efficacy หรือข้อบ่งใช้ไม่ตรงกับโจทย์ที่กำหนด
• ข้อ จ. (หากจำเป็นต้องใช้ยาในกลุ่ม NSAIDs ในการรักษาอาการปวดปลายประสาทจำเป็นต้องใช้ในขนาดสูงเพื่อเพิ่มประสิทธิภาพของการรักษา):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3" s="2" t="n"/>
      <c r="L673" s="2" t="inlineStr">
        <is>
          <t>General Therapeutics</t>
        </is>
      </c>
      <c r="M673" s="2" t="inlineStr">
        <is>
          <t>Clinic</t>
        </is>
      </c>
      <c r="N673" s="2" t="inlineStr">
        <is>
          <t>ข้อ 50 (Pharmtutor_2024_Set2.md)</t>
        </is>
      </c>
      <c r="O673" s="2" t="inlineStr">
        <is>
          <t>Mock</t>
        </is>
      </c>
      <c r="P673" s="2" t="inlineStr">
        <is>
          <t>Mock Pharmtutor 2024</t>
        </is>
      </c>
    </row>
    <row r="674" ht="13.2" customHeight="1" s="37">
      <c r="A674" s="8" t="inlineStr">
        <is>
          <t>695</t>
        </is>
      </c>
      <c r="B674" s="2" t="inlineStr">
        <is>
          <t>จากกรณีข้างต้น หากจำเป็นต้องใช้ยาในการรักษา ยาชนิดใดห้ามใช้ในผู้ป่วยรายดังกล่าว</t>
        </is>
      </c>
      <c r="C674" s="2" t="n"/>
      <c r="D674" s="2" t="inlineStr">
        <is>
          <t>Nortriptyline</t>
        </is>
      </c>
      <c r="E674" s="2" t="inlineStr">
        <is>
          <t>Nicotine gum</t>
        </is>
      </c>
      <c r="F674" s="2" t="inlineStr">
        <is>
          <t>Nicotine patch</t>
        </is>
      </c>
      <c r="G674" s="2" t="inlineStr">
        <is>
          <t>Bupropion</t>
        </is>
      </c>
      <c r="H674" s="2" t="inlineStr">
        <is>
          <t>Varenicline</t>
        </is>
      </c>
      <c r="I674" s="8" t="inlineStr">
        <is>
          <t>1</t>
        </is>
      </c>
      <c r="J674" s="2" t="inlineStr">
        <is>
          <t>✅ คำตอบที่ถูกต้อง: ข้อ ก. Nortriptyline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Nortriptyline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(Nicotine gum): เป็น Nicotine Replacement Therapy (NRT) ช่วยบรรเทา withdrawal symptoms ใน smoking cessation โดยหลีกเลี่ยงสารก่อมะเร็งในควันบุหรี่
• ข้อ ค. (Nicotine patch): เป็น Nicotine Replacement Therapy (NRT) ช่วยบรรเทา withdrawal symptoms ใน smoking cessation โดยหลีกเลี่ยงสารก่อมะเร็งในควันบุหรี่
• ข้อ ง. (Bupropion): เป็น NDRI ใช้ช่วยเลิกบุหรี่และรักษาซึมเศร้า แต่มี contraindication ในผู้ป่วยประวัติชัก (seizure disorder) หรือ anorexia/bulimia nervosa
• ข้อ จ. (Varenicline): เป็น alpha-4 beta-2 nicotinic acetylcholine receptor partial agonist มี efficacy สูงสุดในการช่วยเลิกบุหรี่ แต่ต้องระวัง neuropsychiatric symptoms และ vivid dreams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4" s="2" t="n"/>
      <c r="L674" s="2" t="inlineStr">
        <is>
          <t>General Therapeutics</t>
        </is>
      </c>
      <c r="M674" s="2" t="inlineStr">
        <is>
          <t>Clinic</t>
        </is>
      </c>
      <c r="N674" s="2" t="inlineStr">
        <is>
          <t>ข้อ 54 (Pharmtutor_2024_Set2.md)</t>
        </is>
      </c>
      <c r="O674" s="2" t="inlineStr">
        <is>
          <t>Mock</t>
        </is>
      </c>
      <c r="P674" s="2" t="inlineStr">
        <is>
          <t>Mock Pharmtutor 2024</t>
        </is>
      </c>
    </row>
    <row r="675" ht="13.2" customHeight="1" s="37">
      <c r="A675" s="8" t="inlineStr">
        <is>
          <t>696</t>
        </is>
      </c>
      <c r="B675" s="2" t="inlineStr">
        <is>
          <t>แพทย์สั่งจ่าย Zolpidem ให้กับผู้ป่วย ข้อใดเป็นกลไกการออกฤทธิ์ของ Zolpidem</t>
        </is>
      </c>
      <c r="C675" s="2" t="n"/>
      <c r="D675" s="2" t="inlineStr">
        <is>
          <t>จับกับ benzodiazepine binding site บน GABA receptor</t>
        </is>
      </c>
      <c r="E675" s="2" t="inlineStr">
        <is>
          <t>จับกับ barbiturate binding site บน GABA receptor</t>
        </is>
      </c>
      <c r="F675" s="2" t="inlineStr">
        <is>
          <t>กระตุ้นการสร้างสารสื่อประสาท GABA</t>
        </is>
      </c>
      <c r="G675" s="2" t="inlineStr">
        <is>
          <t>ยับยั้งการสร้างสารสื่อประสาท glutamate</t>
        </is>
      </c>
      <c r="H675" s="2" t="inlineStr">
        <is>
          <t>ยับยั้ง voltage-gate Na+ channel</t>
        </is>
      </c>
      <c r="I675" s="8" t="inlineStr">
        <is>
          <t>1</t>
        </is>
      </c>
      <c r="J675" s="2" t="inlineStr">
        <is>
          <t>✅ คำตอบที่ถูกต้อง: ข้อ ก. จับกับ benzodiazepine binding site บน GABA receptor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จับกับ benzodiazepine binding site บน GABA receptor การเลือก จับกับ benzodiazepine binding site บน GABA receptor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(จับกับ barbiturate binding site บน GABA receptor): ข้อนี้ไม่ใช่คำตอบที่ถูกต้องสำหรับภาวะ General Therapeutics เนื่องจากกลไกการออกฤทธิ์, efficacy หรือข้อบ่งใช้ไม่ตรงกับโจทย์ที่กำหนด
• ข้อ ค. (กระตุ้นการสร้างสารสื่อประสาท GABA): ข้อนี้ไม่ใช่คำตอบที่ถูกต้องสำหรับภาวะ General Therapeutics เนื่องจากกลไกการออกฤทธิ์, efficacy หรือข้อบ่งใช้ไม่ตรงกับโจทย์ที่กำหนด
• ข้อ ง. (ยับยั้งการสร้างสารสื่อประสาท glutamate): ข้อนี้ไม่ใช่คำตอบที่ถูกต้องสำหรับภาวะ General Therapeutics เนื่องจากกลไกการออกฤทธิ์, efficacy หรือข้อบ่งใช้ไม่ตรงกับโจทย์ที่กำหนด
• ข้อ จ. (ยับยั้ง voltage-gate Na+ channel):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5" s="2" t="n"/>
      <c r="L675" s="2" t="inlineStr">
        <is>
          <t>General Therapeutics</t>
        </is>
      </c>
      <c r="M675" s="2" t="inlineStr">
        <is>
          <t>Clinic</t>
        </is>
      </c>
      <c r="N675" s="2" t="inlineStr">
        <is>
          <t>ข้อ 56 (Pharmtutor_2024_Set2.md)</t>
        </is>
      </c>
      <c r="O675" s="2" t="inlineStr">
        <is>
          <t>Mock</t>
        </is>
      </c>
      <c r="P675" s="2" t="inlineStr">
        <is>
          <t>Mock Pharmtutor 2024</t>
        </is>
      </c>
    </row>
    <row r="676" ht="13.2" customHeight="1" s="37">
      <c r="A676" s="8" t="inlineStr">
        <is>
          <t>697</t>
        </is>
      </c>
      <c r="B676" s="2" t="inlineStr">
        <is>
          <t>จากโครงสร้างที่กำหนดให้ต่อไปนี้ ข้อใดกล่าวผิดเกี่ยวกับคุณสมบัติของยา</t>
        </is>
      </c>
      <c r="C676" s="2" t="n"/>
      <c r="D676" s="2" t="inlineStr">
        <is>
          <t>Diazepam ผ่านกระบวนการ demethylation และ hydroxylation ได้ oxazepam</t>
        </is>
      </c>
      <c r="E676" s="2" t="inlineStr">
        <is>
          <t>Oxazepam มีค่าครึ่งชีวิตต่ำกว่า diazepam</t>
        </is>
      </c>
      <c r="F676" s="2" t="inlineStr">
        <is>
          <t>Diazepam มี active metabolite คือ oxazepam</t>
        </is>
      </c>
      <c r="G676" s="2" t="inlineStr">
        <is>
          <t>ต้องใช้ oxazepam ปริมาณมากกว่า diazepam หากต้องการประสิทธิภาพเท่ากัน</t>
        </is>
      </c>
      <c r="H676" s="2" t="inlineStr">
        <is>
          <t>Onset ของ oxazepam เร็วกว่า diazepam</t>
        </is>
      </c>
      <c r="I676" s="8" t="inlineStr">
        <is>
          <t>1</t>
        </is>
      </c>
      <c r="J676" s="2" t="inlineStr">
        <is>
          <t>✅ คำตอบที่ถูกต้อง: ข้อ ก. Diazepam ผ่านกระบวนการ demethylation และ hydroxylation ได้ oxazepam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Diazepam ผ่านกระบวนการ demethylation และ hydroxylation ได้ oxazepam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long-acting Benzodiazepine มี active metabolites (nordiazepam) สะสมในผู้สูงอายุ ทำให้ง่วงซึม หกล้ม เสี่ยง fracture
🔍 ข้ออื่นผิดเพราะอะไร:
• ข้อ ข. (Oxazepam มีค่าครึ่งชีวิตต่ำกว่า diazepam): เป็น long-acting Benzodiazepine มี active metabolites (nordiazepam) สะสมในผู้สูงอายุ ทำให้ง่วงซึม หกล้ม เสี่ยง fracture
• ข้อ ค. (Diazepam มี active metabolite คือ oxazepam): เป็น long-acting Benzodiazepine มี active metabolites (nordiazepam) สะสมในผู้สูงอายุ ทำให้ง่วงซึม หกล้ม เสี่ยง fracture
• ข้อ ง. (ต้องใช้ oxazepam ปริมาณมากกว่า diazepam หากต้องการประสิทธิภาพเท่ากัน): เป็น long-acting Benzodiazepine มี active metabolites (nordiazepam) สะสมในผู้สูงอายุ ทำให้ง่วงซึม หกล้ม เสี่ยง fracture
• ข้อ จ. (Onset ของ oxazepam เร็วกว่า diazepam): เป็น long-acting Benzodiazepine มี active metabolites (nordiazepam) สะสมในผู้สูงอายุ ทำให้ง่วงซึม หกล้ม เสี่ยง fracture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6" s="2" t="n"/>
      <c r="L676" s="2" t="inlineStr">
        <is>
          <t>General Therapeutics</t>
        </is>
      </c>
      <c r="M676" s="2" t="inlineStr">
        <is>
          <t>Clinic</t>
        </is>
      </c>
      <c r="N676" s="2" t="inlineStr">
        <is>
          <t>ข้อ 57 (Pharmtutor_2024_Set2.md)</t>
        </is>
      </c>
      <c r="O676" s="2" t="inlineStr">
        <is>
          <t>Mock</t>
        </is>
      </c>
      <c r="P676" s="2" t="inlineStr">
        <is>
          <t>Mock Pharmtutor 2024</t>
        </is>
      </c>
    </row>
    <row r="677" ht="13.2" customHeight="1" s="37">
      <c r="A677" s="8" t="inlineStr">
        <is>
          <t>698</t>
        </is>
      </c>
      <c r="B677" s="2" t="inlineStr">
        <is>
          <t>ผู้ป่วยชายไทยอายุ 55 ปี ถูกวินิจฉัยว่าเป็นโรคปอกอุดกั้นเรื้อรังตั้งแต่อายุ 42 ปี ปัจจุบันยังคงสูบบุหรี่วันละ 4-5 มวนต่อวัน วันนี้ถูกส่งเข้าโรงพยาบาลที่ห้องฉุกเฉินด้วยอาการหายใจหอบเหนื่อยติดขัด รวมถึงมีเสมหะดป็นปริมาณมาก ยาในข้อใดเป็นยาทางเลือกแรกในหารรักษาอาหารผู้ป่วยรายนี้ในขณะเกิดภาวะฉุกเฉิน</t>
        </is>
      </c>
      <c r="C677" s="2" t="n"/>
      <c r="D677" s="2" t="inlineStr">
        <is>
          <t>LABA</t>
        </is>
      </c>
      <c r="E677" s="2" t="inlineStr">
        <is>
          <t>LAMA</t>
        </is>
      </c>
      <c r="F677" s="2" t="inlineStr">
        <is>
          <t>SABA</t>
        </is>
      </c>
      <c r="G677" s="2" t="inlineStr">
        <is>
          <t>SABA+SAMA</t>
        </is>
      </c>
      <c r="H677" s="2" t="inlineStr">
        <is>
          <t>LABA+LAMA + ICS</t>
        </is>
      </c>
      <c r="I677" s="8" t="inlineStr">
        <is>
          <t>1</t>
        </is>
      </c>
      <c r="J677" s="2" t="inlineStr">
        <is>
          <t>✅ คำตอบที่ถูกต้อง: ข้อ ก. LABA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LABA การเลือก LABA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(LAMA): ข้อนี้ไม่ใช่คำตอบที่ถูกต้องสำหรับภาวะ Pulmonary Diseases เนื่องจากกลไกการออกฤทธิ์, efficacy หรือข้อบ่งใช้ไม่ตรงกับโจทย์ที่กำหนด
• ข้อ ค. (SABA): ข้อนี้ไม่ใช่คำตอบที่ถูกต้องสำหรับภาวะ Pulmonary Diseases เนื่องจากกลไกการออกฤทธิ์, efficacy หรือข้อบ่งใช้ไม่ตรงกับโจทย์ที่กำหนด
• ข้อ ง. (SABA+SAMA): ข้อนี้ไม่ใช่คำตอบที่ถูกต้องสำหรับภาวะ Pulmonary Diseases เนื่องจากกลไกการออกฤทธิ์, efficacy หรือข้อบ่งใช้ไม่ตรงกับโจทย์ที่กำหนด
• ข้อ จ. (LABA+LAMA + ICS):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7" s="2" t="n"/>
      <c r="L677" s="2" t="inlineStr">
        <is>
          <t>Pulmonary Diseases</t>
        </is>
      </c>
      <c r="M677" s="2" t="inlineStr">
        <is>
          <t>Clinic</t>
        </is>
      </c>
      <c r="N677" s="2" t="inlineStr">
        <is>
          <t>ข้อ 58 (Pharmtutor_2024_Set2.md)</t>
        </is>
      </c>
      <c r="O677" s="2" t="inlineStr">
        <is>
          <t>Mock</t>
        </is>
      </c>
      <c r="P677" s="2" t="inlineStr">
        <is>
          <t>Mock Pharmtutor 2024</t>
        </is>
      </c>
    </row>
    <row r="678" ht="13.2" customHeight="1" s="37">
      <c r="A678" s="8" t="inlineStr">
        <is>
          <t>699</t>
        </is>
      </c>
      <c r="B678" s="2" t="inlineStr">
        <is>
          <t>หากไม่มีข้อห้ามในการใช้ ยาชนิดใดได้ผลดีที่สุดในการรักษาและป้องกันภาวะปวดประจำเดือน (Dysmenorrhea)</t>
        </is>
      </c>
      <c r="C678" s="2" t="n"/>
      <c r="D678" s="2" t="inlineStr">
        <is>
          <t>Mefenamic acid</t>
        </is>
      </c>
      <c r="E678" s="2" t="inlineStr">
        <is>
          <t>Progestin only pills</t>
        </is>
      </c>
      <c r="F678" s="2" t="inlineStr">
        <is>
          <t>Combined oral contraceptive pill</t>
        </is>
      </c>
      <c r="G678" s="2" t="inlineStr">
        <is>
          <t>Ibuprofen</t>
        </is>
      </c>
      <c r="H678" s="2" t="inlineStr">
        <is>
          <t>Tranadol</t>
        </is>
      </c>
      <c r="I678" s="8" t="inlineStr">
        <is>
          <t>1</t>
        </is>
      </c>
      <c r="J678" s="2" t="inlineStr">
        <is>
          <t>✅ คำตอบที่ถูกต้อง: ข้อ ก. Mefenamic acid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Mefenamic acid การเลือก Mefenamic acid เป็นคำตอบที่ถูกต้องและสอดคล้องกับ evidence-based guidelines ของภาวะ Gynaecologic &amp; GU โดยมี clinical efficacy สูงสุดในการรักษาและมี safety profile ที่เหมาะสม
🔍 ข้ออื่นผิดเพราะอะไร:
• ข้อ ข. (Progestin only pills): ข้อนี้ไม่ใช่คำตอบที่ถูกต้องสำหรับภาวะ Gynaecologic &amp; GU เนื่องจากกลไกการออกฤทธิ์, efficacy หรือข้อบ่งใช้ไม่ตรงกับโจทย์ที่กำหนด
• ข้อ ค. (Combined oral contraceptive pill): ข้อนี้ไม่ใช่คำตอบที่ถูกต้องสำหรับภาวะ Gynaecologic &amp; GU เนื่องจากกลไกการออกฤทธิ์, efficacy หรือข้อบ่งใช้ไม่ตรงกับโจทย์ที่กำหนด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(Tranadol):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78" s="2" t="n"/>
      <c r="L678" s="2" t="inlineStr">
        <is>
          <t>Gynaecologic &amp; GU</t>
        </is>
      </c>
      <c r="M678" s="2" t="inlineStr">
        <is>
          <t>Clinic</t>
        </is>
      </c>
      <c r="N678" s="2" t="inlineStr">
        <is>
          <t>ข้อ 64 (Pharmtutor_2024_Set2.md)</t>
        </is>
      </c>
      <c r="O678" s="2" t="inlineStr">
        <is>
          <t>Mock</t>
        </is>
      </c>
      <c r="P678" s="2" t="inlineStr">
        <is>
          <t>Mock Pharmtutor 2024</t>
        </is>
      </c>
    </row>
    <row r="679" ht="13.2" customHeight="1" s="37">
      <c r="A679" s="8" t="inlineStr">
        <is>
          <t>700</t>
        </is>
      </c>
      <c r="B679" s="2" t="inlineStr">
        <is>
          <t>จงเรียงลำดับความจำเพาะต่อตัวรับชนิด COX-2 ของยาในกลุ่มลดการอักเสบที่ไม่ใช่สเตรียรอยด์</t>
        </is>
      </c>
      <c r="C679" s="2" t="n"/>
      <c r="D679" s="2" t="inlineStr">
        <is>
          <t>Diclofenac &gt; Etoricoxib &gt; Aspirin</t>
        </is>
      </c>
      <c r="E679" s="2" t="inlineStr">
        <is>
          <t>Diclofenac &gt; Aspirin &gt; Etoricoxib</t>
        </is>
      </c>
      <c r="F679" s="2" t="inlineStr">
        <is>
          <t>Etoricoxib &gt; Aspirin &gt; Diclofenac</t>
        </is>
      </c>
      <c r="G679" s="2" t="inlineStr">
        <is>
          <t>Etoricoxib &gt; Diclofenac &gt; Aspirin</t>
        </is>
      </c>
      <c r="H679" s="2" t="inlineStr">
        <is>
          <t>Aspirin &gt; Diclofenac &gt; Etoricoxib</t>
        </is>
      </c>
      <c r="I679" s="8" t="inlineStr">
        <is>
          <t>1</t>
        </is>
      </c>
      <c r="J679" s="2" t="inlineStr">
        <is>
          <t>✅ คำตอบที่ถูกต้อง: ข้อ ก. Diclofenac &gt; Etoricoxib &gt;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Diclofenac &gt; Etoricoxib &gt; Aspirin การเลือก Diclofenac &gt; Etoricoxib &gt; Aspirin เป็นคำตอบที่ถูกต้องตามแนวทางการรักษามาตรฐาน เนื่องจาก เป็น selective COX-2 inhibitor ออกฤทธิ์เร็วและยาวนาน (OD) แต่มี contraindication ในผู้ป่วย uncontrolled hypertension (BP &gt; 140/90 mmHg)
🔍 ข้ออื่นผิดเพราะอะไร:
• ข้อ ข. (Diclofenac &gt; Aspirin &gt; Etoricoxib): เป็น selective COX-2 inhibitor ออกฤทธิ์เร็วและยาวนาน (OD) แต่มี contraindication ในผู้ป่วย uncontrolled hypertension (BP &gt; 140/90 mmHg)
• ข้อ ค. (Etoricoxib &gt; Aspirin &gt; Diclofenac): เป็น selective COX-2 inhibitor ออกฤทธิ์เร็วและยาวนาน (OD) แต่มี contraindication ในผู้ป่วย uncontrolled hypertension (BP &gt; 140/90 mmHg)
• ข้อ ง. (Etoricoxib &gt; Diclofenac &gt; Aspirin): เป็น selective COX-2 inhibitor ออกฤทธิ์เร็วและยาวนาน (OD) แต่มี contraindication ในผู้ป่วย uncontrolled hypertension (BP &gt; 140/90 mmHg)
• ข้อ จ. (Aspirin &gt; Diclofenac &gt; Etoricoxib): เป็น selective COX-2 inhibitor ออกฤทธิ์เร็วและยาวนาน (OD) แต่มี contraindication ในผู้ป่วย uncontrolled hypertension (BP &gt; 140/90 mmHg)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679" s="2" t="n"/>
      <c r="L679" s="2" t="inlineStr">
        <is>
          <t>General Therapeutics</t>
        </is>
      </c>
      <c r="M679" s="2" t="inlineStr">
        <is>
          <t>Clinic</t>
        </is>
      </c>
      <c r="N679" s="2" t="inlineStr">
        <is>
          <t>ข้อ 65 (Pharmtutor_2024_Set2.md)</t>
        </is>
      </c>
      <c r="O679" s="2" t="inlineStr">
        <is>
          <t>Mock</t>
        </is>
      </c>
      <c r="P679" s="2" t="inlineStr">
        <is>
          <t>Mock Pharmtutor 2024</t>
        </is>
      </c>
    </row>
    <row r="680" ht="13.2" customHeight="1" s="37">
      <c r="A680" s="8" t="inlineStr">
        <is>
          <t>701</t>
        </is>
      </c>
      <c r="B680" s="2" t="inlineStr">
        <is>
          <t>โครงสร้างในข้อใดมีความจำเพาะกับ progesterone receptor มากที่สุด</t>
        </is>
      </c>
      <c r="C680" s="2" t="n"/>
      <c r="D680" s="2" t="inlineStr">
        <is>
          <t>Naloxone 0.4 mg IV stat</t>
        </is>
      </c>
      <c r="E680" s="2" t="inlineStr">
        <is>
          <t>Flumazenil 0.2 mg IV stat</t>
        </is>
      </c>
      <c r="F680" s="2" t="inlineStr">
        <is>
          <t>Vitamin K1 (Phytomenadione) 10 mg IV slow</t>
        </is>
      </c>
      <c r="G680" s="2" t="inlineStr">
        <is>
          <t>Sodium thiosulfate 25% 50 mL IV</t>
        </is>
      </c>
      <c r="H680" s="2" t="inlineStr">
        <is>
          <t>ไม่มีข้อใดถูก</t>
        </is>
      </c>
      <c r="I680" s="8" t="inlineStr">
        <is>
          <t>1</t>
        </is>
      </c>
      <c r="J6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80" s="2" t="n"/>
      <c r="L680" s="2" t="inlineStr">
        <is>
          <t>General Therapeutics</t>
        </is>
      </c>
      <c r="M680" s="2" t="inlineStr">
        <is>
          <t>Clinic</t>
        </is>
      </c>
      <c r="N680" s="2" t="inlineStr">
        <is>
          <t>ข้อ 68 (Pharmtutor_2024_Set2.md)</t>
        </is>
      </c>
      <c r="O680" s="2" t="inlineStr">
        <is>
          <t>Mock</t>
        </is>
      </c>
      <c r="P680" s="2" t="inlineStr">
        <is>
          <t>Mock Pharmtutor 2024</t>
        </is>
      </c>
    </row>
    <row r="681" ht="13.2" customHeight="1" s="37">
      <c r="A681" s="8" t="inlineStr">
        <is>
          <t>702</t>
        </is>
      </c>
      <c r="B681" s="2" t="inlineStr">
        <is>
          <t>การปฏิบัติตัวในการรักษาภาวะตาแห้ง ข้อใดเหมาะสมที่สุด</t>
        </is>
      </c>
      <c r="C681" s="2" t="n"/>
      <c r="D681" s="2" t="inlineStr">
        <is>
          <t>ใส่แว่นกันแดดอย่างสม่ำเสมอ</t>
        </is>
      </c>
      <c r="E681" s="2" t="inlineStr">
        <is>
          <t>ใช้ผ้าเช็ดหน้า เช็ดน้ำตาหรือเบ้าตาเวลามีอาการคัน</t>
        </is>
      </c>
      <c r="F681" s="2" t="inlineStr">
        <is>
          <t>ใช้ยาหยอดตาชนิดรายเดือนหยอดทุกวันวันละ 2 ครั้ง</t>
        </is>
      </c>
      <c r="G681" s="2" t="inlineStr">
        <is>
          <t>ควรเก็บยาหยอดตาไว้ที่ประตูตู้เย็นตลอดเวลาเมื่อไม่มีการใช้</t>
        </is>
      </c>
      <c r="H681" s="2" t="inlineStr">
        <is>
          <t>ควรพบจักษุแพทย์อย่างสม่ำเสมออย่างน้อยๆ ทุก 1 เดือน</t>
        </is>
      </c>
      <c r="I681" s="8" t="inlineStr">
        <is>
          <t>1</t>
        </is>
      </c>
      <c r="J681" s="2" t="inlineStr">
        <is>
          <t>✅ คำตอบที่ถูกต้อง: ข้อ ก. ใส่แว่นกันแดดอย่างสม่ำเสมอ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ใส่แว่นกันแดดอย่างสม่ำเสมอ การเลือก ใส่แว่นกันแดดอย่างสม่ำเสมอ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(ใช้ผ้าเช็ดหน้า เช็ดน้ำตาหรือเบ้าตาเวลามีอาการคัน): ข้อนี้ไม่ใช่คำตอบที่ถูกต้องสำหรับภาวะ General Therapeutics เนื่องจากกลไกการออกฤทธิ์, efficacy หรือข้อบ่งใช้ไม่ตรงกับโจทย์ที่กำหนด
• ข้อ ค. (ใช้ยาหยอดตาชนิดรายเดือนหยอดทุกวันวันละ 2 ครั้ง): ข้อนี้ไม่ใช่คำตอบที่ถูกต้องสำหรับภาวะ General Therapeutics เนื่องจากกลไกการออกฤทธิ์, efficacy หรือข้อบ่งใช้ไม่ตรงกับโจทย์ที่กำหนด
• ข้อ ง. (ควรเก็บยาหยอดตาไว้ที่ประตูตู้เย็นตลอดเวลาเมื่อไม่มีการใช้): ข้อนี้ไม่ใช่คำตอบที่ถูกต้องสำหรับภาวะ General Therapeutics เนื่องจากกลไกการออกฤทธิ์, efficacy หรือข้อบ่งใช้ไม่ตรงกับโจทย์ที่กำหนด
• ข้อ จ. (ควรพบจักษุแพทย์อย่างสม่ำเสมออย่างน้อยๆ ทุก 1 เดือน):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1" s="2" t="n"/>
      <c r="L681" s="2" t="inlineStr">
        <is>
          <t>General Therapeutics</t>
        </is>
      </c>
      <c r="M681" s="2" t="inlineStr">
        <is>
          <t>Clinic</t>
        </is>
      </c>
      <c r="N681" s="2" t="inlineStr">
        <is>
          <t>ข้อ 74 (Pharmtutor_2024_Set2.md)</t>
        </is>
      </c>
      <c r="O681" s="2" t="inlineStr">
        <is>
          <t>Mock</t>
        </is>
      </c>
      <c r="P681" s="2" t="inlineStr">
        <is>
          <t>Mock Pharmtutor 2024</t>
        </is>
      </c>
    </row>
    <row r="682" ht="13.2" customHeight="1" s="37">
      <c r="A682" s="8" t="inlineStr">
        <is>
          <t>703</t>
        </is>
      </c>
      <c r="B682" s="2" t="inlineStr">
        <is>
          <t>จากกรณีข้างต้น ยาคัดจมูกช้อใดให้ผลดีที่สุดในผู้ป่วยรายนี้</t>
        </is>
      </c>
      <c r="C682" s="2" t="n"/>
      <c r="D682" s="2" t="inlineStr">
        <is>
          <t>Fexofenadine</t>
        </is>
      </c>
      <c r="E682" s="2" t="inlineStr">
        <is>
          <t>Pseudoephedrine</t>
        </is>
      </c>
      <c r="F682" s="2" t="inlineStr">
        <is>
          <t>Montek</t>
        </is>
      </c>
      <c r="G682" s="2" t="inlineStr">
        <is>
          <t>Brompheniramine</t>
        </is>
      </c>
      <c r="H682" s="2" t="inlineStr">
        <is>
          <t>Triprolidine</t>
        </is>
      </c>
      <c r="I682" s="8" t="inlineStr">
        <is>
          <t>1</t>
        </is>
      </c>
      <c r="J682" s="2" t="inlineStr">
        <is>
          <t>✅ คำตอบที่ถูกต้อง: ข้อ ก. Fexofenadine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Fexofenadine การเลือก Fexofenadine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ข. (Pseudoephedrine): เป็น oral decongestant กระตุ้น alpha และ beta receptors ระวังในผู้ป่วย hypertension, ischemic heart disease, glaucoma, BPH และเป็นวัตถุออกฤทธิ์ประเภท 2 (ห้ามขายในร้านยา)
• ข้อ ค. (Montek): ข้อนี้ไม่ใช่คำตอบที่ถูกต้องสำหรับภาวะ General Therapeutics เนื่องจากกลไกการออกฤทธิ์, efficacy หรือข้อบ่งใช้ไม่ตรงกับโจทย์ที่กำหนด
• ข้อ ง. (Brompheniramine): ข้อนี้ไม่ใช่คำตอบที่ถูกต้องสำหรับภาวะ General Therapeutics เนื่องจากกลไกการออกฤทธิ์, efficacy หรือข้อบ่งใช้ไม่ตรงกับโจทย์ที่กำหนด
• ข้อ จ. (Triprolidine):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2" s="2" t="n"/>
      <c r="L682" s="2" t="inlineStr">
        <is>
          <t>General Therapeutics</t>
        </is>
      </c>
      <c r="M682" s="2" t="inlineStr">
        <is>
          <t>Clinic</t>
        </is>
      </c>
      <c r="N682" s="2" t="inlineStr">
        <is>
          <t>ข้อ 77 (Pharmtutor_2024_Set2.md)</t>
        </is>
      </c>
      <c r="O682" s="2" t="inlineStr">
        <is>
          <t>Mock</t>
        </is>
      </c>
      <c r="P682" s="2" t="inlineStr">
        <is>
          <t>Mock Pharmtutor 2024</t>
        </is>
      </c>
    </row>
    <row r="683" ht="13.2" customHeight="1" s="37">
      <c r="A683" s="8" t="inlineStr">
        <is>
          <t>704</t>
        </is>
      </c>
      <c r="B683" s="2" t="inlineStr">
        <is>
          <t>ข้อใดต่อไปนี้ถูกต้อง</t>
        </is>
      </c>
      <c r="C683" s="2" t="n"/>
      <c r="D683" s="2" t="inlineStr">
        <is>
          <t>Fexofenadine เป็น active metabolite ของ Terfenadine</t>
        </is>
      </c>
      <c r="E683" s="2" t="inlineStr">
        <is>
          <t>Fexofenadine เป็น racemic mixture ของ Terfenadine</t>
        </is>
      </c>
      <c r="F683" s="2" t="inlineStr">
        <is>
          <t>Levocetirizine เป็น active metabolite ของ cetirizine</t>
        </is>
      </c>
      <c r="G683" s="2" t="inlineStr">
        <is>
          <t>Levocetirizine เป็น racemic mixture ของ cetirizine</t>
        </is>
      </c>
      <c r="H683" s="2" t="inlineStr">
        <is>
          <t>ไม่มีข้อใดถูก</t>
        </is>
      </c>
      <c r="I683" s="8" t="inlineStr">
        <is>
          <t>1</t>
        </is>
      </c>
      <c r="J683" s="2" t="inlineStr">
        <is>
          <t>✅ คำตอบที่ถูกต้อง: ข้อ ก. Fexofenadine เป็น active metabolite ของ Terfenadine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Fexofenadine เป็น active metabolite ของ Terfenadine การเลือก Fexofenadine เป็น active metabolite ของ Terfenadine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ข. (Fexofenadine เป็น racemic mixture ของ Terfenadine):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ค. (Levocetirizine เป็น active metabolite ของ cetirizine): เป็น 2nd generation H1-antihistamine บรรเทาอาการ allergic rhinitis และ urticaria มี sedating effect ต่ำกว่า 1st gen แต่ยังอาจทำให้ง่วงซึมได้มากกว่า fexofenadine
• ข้อ ง. (Levocetirizine เป็น racemic mixture ของ cetirizine): เป็น 2nd generation H1-antihistamine บรรเทาอาการ allergic rhinitis และ urticaria มี sedating effect ต่ำกว่า 1st gen แต่ยังอาจทำให้ง่วงซึมได้มากกว่า fexofenadine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3" s="2" t="n"/>
      <c r="L683" s="2" t="inlineStr">
        <is>
          <t>General Therapeutics</t>
        </is>
      </c>
      <c r="M683" s="2" t="inlineStr">
        <is>
          <t>Clinic</t>
        </is>
      </c>
      <c r="N683" s="2" t="inlineStr">
        <is>
          <t>ข้อ 85 (Pharmtutor_2024_Set2.md)</t>
        </is>
      </c>
      <c r="O683" s="2" t="inlineStr">
        <is>
          <t>Mock</t>
        </is>
      </c>
      <c r="P683" s="2" t="inlineStr">
        <is>
          <t>Mock Pharmtutor 2024</t>
        </is>
      </c>
    </row>
    <row r="684" ht="13.2" customHeight="1" s="37">
      <c r="A684" s="8" t="inlineStr">
        <is>
          <t>705</t>
        </is>
      </c>
      <c r="B684" s="2" t="inlineStr">
        <is>
          <t>ข้อความใดต่อไปนี้ที่สามารถใส่ได้ในป้ายร้านยา</t>
        </is>
      </c>
      <c r="C684" s="2" t="n"/>
      <c r="D684" s="2" t="inlineStr">
        <is>
          <t>เวลาทำการ</t>
        </is>
      </c>
      <c r="E684" s="2" t="inlineStr">
        <is>
          <t>เภสัชศาสตรบัณฑิต เกียรตินิยม</t>
        </is>
      </c>
      <c r="F684" s="2" t="inlineStr">
        <is>
          <t>ยาดี และถูกที่สุด ที่นี่เท่านั้น</t>
        </is>
      </c>
      <c r="G684" s="2" t="inlineStr">
        <is>
          <t>เภสัชมากความสามารถจากสหรัฐอเมริกา</t>
        </is>
      </c>
      <c r="H684" s="2" t="inlineStr">
        <is>
          <t>ทุกข้อความข้างต้นใส่ได้ทั้งหมด</t>
        </is>
      </c>
      <c r="I684" s="8" t="inlineStr">
        <is>
          <t>1</t>
        </is>
      </c>
      <c r="J684" s="2" t="inlineStr">
        <is>
          <t>✅ คำตอบที่ถูกต้อง: ข้อ ก. 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เวลาทำการ 💡 คำอธิบายและข้อกำหนดทางกฎหมาย:
💡 คำอธิบายและข้อกำหนดทางกฎหมาย:
การเลือก เวลาทำการ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(เภสัชศาสตรบัณฑิต เกียรตินิยม): ข้อนี้ไม่ใช่คำตอบที่ถูกต้องสำหรับภาวะ Pharmacy Laws &amp; Ethics เนื่องจากกลไกการออกฤทธิ์, efficacy หรือข้อบ่งใช้ไม่ตรงกับโจทย์ที่กำหนด
• ข้อ ค. (ยาดี และถูกที่สุด ที่นี่เท่านั้น): ข้อนี้ไม่ใช่คำตอบที่ถูกต้องสำหรับภาวะ Pharmacy Laws &amp; Ethics เนื่องจากกลไกการออกฤทธิ์, efficacy หรือข้อบ่งใช้ไม่ตรงกับโจทย์ที่กำหนด
• ข้อ ง. (เภสัชมากความสามารถจากสหรัฐอเมริกา): ข้อนี้ไม่ใช่คำตอบที่ถูกต้องสำหรับภาวะ Pharmacy Laws &amp; Ethics เนื่องจากกลไกการออกฤทธิ์, efficacy หรือข้อบ่งใช้ไม่ตรงกับโจทย์ที่กำหนด
• ข้อ จ. (ทุกข้อความข้างต้นใส่ได้ทั้งหมด):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4" s="2" t="n"/>
      <c r="L684" s="2" t="inlineStr">
        <is>
          <t>Pharmacy Laws &amp; Ethics</t>
        </is>
      </c>
      <c r="M684" s="2" t="inlineStr">
        <is>
          <t>SAP</t>
        </is>
      </c>
      <c r="N684" s="2" t="inlineStr">
        <is>
          <t>ข้อ 106 (Pharmtutor_2024_Set2.md)</t>
        </is>
      </c>
      <c r="O684" s="2" t="inlineStr">
        <is>
          <t>Mock</t>
        </is>
      </c>
      <c r="P684" s="2" t="inlineStr">
        <is>
          <t>Mock Pharmtutor 2024</t>
        </is>
      </c>
    </row>
    <row r="685" ht="13.2" customHeight="1" s="37">
      <c r="A685" s="8" t="inlineStr">
        <is>
          <t>706</t>
        </is>
      </c>
      <c r="B685" s="2" t="inlineStr">
        <is>
          <t>ยาในข้อในต่อไปนี้ ไม่สามารถอยู่ในพื้นที่ให้บริการตัวเองได้</t>
        </is>
      </c>
      <c r="C685" s="2" t="n"/>
      <c r="D685" s="2" t="inlineStr">
        <is>
          <t>Niclosamide 500 mg แผง 4 เม็ด</t>
        </is>
      </c>
      <c r="E685" s="2" t="inlineStr">
        <is>
          <t>Vitamin C 100 mg 10 เม็ด</t>
        </is>
      </c>
      <c r="F685" s="2" t="inlineStr">
        <is>
          <t>Acetaminophen 325 mg 100 เม็ด</t>
        </is>
      </c>
      <c r="G685" s="2" t="inlineStr">
        <is>
          <t>CPM 2 mg 10 เม็ด</t>
        </is>
      </c>
      <c r="H685" s="2" t="inlineStr">
        <is>
          <t>ยาแก้ไอน้ำดำ 60 ml</t>
        </is>
      </c>
      <c r="I685" s="8" t="inlineStr">
        <is>
          <t>1</t>
        </is>
      </c>
      <c r="J685" s="2" t="inlineStr">
        <is>
          <t>✅ คำตอบที่ถูกต้อง: ข้อ ก. Niclosamide 500 mg แผง 4 เม็ด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Niclosamide 500 mg แผง 4 เม็ด การเลือก Niclosamide 500 mg แผง 4 เม็ด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(Vitamin C 100 mg 10 เม็ด): ข้อนี้ไม่ใช่คำตอบที่ถูกต้องสำหรับภาวะ General Therapeutics เนื่องจากกลไกการออกฤทธิ์, efficacy หรือข้อบ่งใช้ไม่ตรงกับโจทย์ที่กำหนด
• ข้อ ค. (Acetaminophen 325 mg 100 เม็ด): ข้อนี้ไม่ใช่คำตอบที่ถูกต้องสำหรับภาวะ General Therapeutics เนื่องจากกลไกการออกฤทธิ์, efficacy หรือข้อบ่งใช้ไม่ตรงกับโจทย์ที่กำหนด
• ข้อ ง. (CPM 2 mg 10 เม็ด): ข้อนี้ไม่ใช่คำตอบที่ถูกต้องสำหรับภาวะ General Therapeutics เนื่องจากกลไกการออกฤทธิ์, efficacy หรือข้อบ่งใช้ไม่ตรงกับโจทย์ที่กำหนด
• ข้อ จ. (ยาแก้ไอน้ำดำ 60 ml):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5" s="2" t="n"/>
      <c r="L685" s="2" t="inlineStr">
        <is>
          <t>General Therapeutics</t>
        </is>
      </c>
      <c r="M685" s="2" t="inlineStr">
        <is>
          <t>Clinic</t>
        </is>
      </c>
      <c r="N685" s="2" t="inlineStr">
        <is>
          <t>ข้อ 107 (Pharmtutor_2024_Set2.md)</t>
        </is>
      </c>
      <c r="O685" s="2" t="inlineStr">
        <is>
          <t>Mock</t>
        </is>
      </c>
      <c r="P685" s="2" t="inlineStr">
        <is>
          <t>Mock Pharmtutor 2024</t>
        </is>
      </c>
    </row>
    <row r="686" ht="13.2" customHeight="1" s="37">
      <c r="A686" s="8" t="inlineStr">
        <is>
          <t>707</t>
        </is>
      </c>
      <c r="B686" s="2" t="inlineStr">
        <is>
          <t>แก้ไขเพิ่มเติมให้มีการต่ออายุใบอนุญาต โดยกำหนดให้ใบอนุญาตมีอายุ 5 ปี นับแต่วันที่ ออกใบอนุญาต</t>
        </is>
      </c>
      <c r="C686" s="2" t="n"/>
      <c r="D686" s="2" t="inlineStr">
        <is>
          <t>พ.ร.บ. ยาเสพติดให้โทษ พ.ศ. 2522 (ยาเสพติดให้โทษประเภท 2 และ 3)</t>
        </is>
      </c>
      <c r="E686" s="2" t="inlineStr">
        <is>
          <t>พ.ร.บ. วัตถุที่ออกฤทธิ์ต่อจิตและประสาท พ.ศ. 2559 (ประเภท 2 และ 4)</t>
        </is>
      </c>
      <c r="F686" s="2" t="inlineStr">
        <is>
          <t>พ.ร.บ. วิชาชีพเภสัชกรรม พ.ศ. 2537 และข้อบังคับจรรยาบรรณวิชาชีพ</t>
        </is>
      </c>
      <c r="G686" s="2" t="inlineStr">
        <is>
          <t>พ.ร.บ. ผลิตภัณฑ์สมุนไพร พ.ศ. 2562</t>
        </is>
      </c>
      <c r="H686" s="2" t="inlineStr">
        <is>
          <t>พ.ร.บ. เครื่องสำอาง พ.ศ. 2558</t>
        </is>
      </c>
      <c r="I686" s="8" t="inlineStr">
        <is>
          <t>1</t>
        </is>
      </c>
      <c r="J68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6" s="2" t="n"/>
      <c r="L686" s="2" t="inlineStr">
        <is>
          <t>Pharmacy Laws &amp; Ethics</t>
        </is>
      </c>
      <c r="M686" s="2" t="inlineStr">
        <is>
          <t>SAP</t>
        </is>
      </c>
      <c r="N686" s="2" t="inlineStr">
        <is>
          <t>ข้อ 1 (LAW-CU-71.md)</t>
        </is>
      </c>
      <c r="O686" s="2" t="inlineStr">
        <is>
          <t>Mock</t>
        </is>
      </c>
      <c r="P686" s="2" t="inlineStr">
        <is>
          <t>Mock กฎหมาย CU71</t>
        </is>
      </c>
    </row>
    <row r="687" ht="13.2" customHeight="1" s="37">
      <c r="A687" s="8" t="inlineStr">
        <is>
          <t>708</t>
        </is>
      </c>
      <c r="B687" s="2" t="inlineStr">
        <is>
          <t>ไม่ประพฤติหรือกระทำการใดๆ อันเป็นเหตุให้เสื่อมเสียเกียรติศักดิ์แห่งวิชาชีพ</t>
        </is>
      </c>
      <c r="C687" s="2" t="n"/>
      <c r="D687" s="2" t="inlineStr">
        <is>
          <t>N-acetylcysteine (NAC) IV infusion protocol</t>
        </is>
      </c>
      <c r="E687" s="2" t="inlineStr">
        <is>
          <t>Atropine sulfate 2 mg IV Q5-10 min</t>
        </is>
      </c>
      <c r="F687" s="2" t="inlineStr">
        <is>
          <t>Pralidoxime (2-PAM) 1-2 g IV over 30 min</t>
        </is>
      </c>
      <c r="G687" s="2" t="inlineStr">
        <is>
          <t>Naloxone 0.4 mg IV stat</t>
        </is>
      </c>
      <c r="H687" s="2" t="inlineStr">
        <is>
          <t>Flumazenil 0.2 mg IV stat</t>
        </is>
      </c>
      <c r="I687" s="8" t="inlineStr">
        <is>
          <t>1</t>
        </is>
      </c>
      <c r="J6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687" s="2" t="n"/>
      <c r="L687" s="2" t="inlineStr">
        <is>
          <t>General Therapeutics</t>
        </is>
      </c>
      <c r="M687" s="2" t="inlineStr">
        <is>
          <t>Clinic</t>
        </is>
      </c>
      <c r="N687" s="2" t="inlineStr">
        <is>
          <t>ข้อ 2 (LAW-CU-71.md)</t>
        </is>
      </c>
      <c r="O687" s="2" t="inlineStr">
        <is>
          <t>Mock</t>
        </is>
      </c>
      <c r="P687" s="2" t="inlineStr">
        <is>
          <t>Mock กฎหมาย CU71</t>
        </is>
      </c>
    </row>
    <row r="688" ht="13.2" customHeight="1" s="37">
      <c r="A688" s="8" t="inlineStr">
        <is>
          <t>709</t>
        </is>
      </c>
      <c r="B688" s="2" t="inlineStr">
        <is>
          <t>ประกอบวิชาชีพด้วยเจตนาดี โดยไม่คำนึงถึงฐานะ เชื้อชาติ ศาสนา สังคม หรือลัทธิการเมือง</t>
        </is>
      </c>
      <c r="C688" s="2" t="n"/>
      <c r="D688" s="2" t="inlineStr">
        <is>
          <t>Naloxone 0.4 mg IV stat</t>
        </is>
      </c>
      <c r="E688" s="2" t="inlineStr">
        <is>
          <t>Flumazenil 0.2 mg IV stat</t>
        </is>
      </c>
      <c r="F688" s="2" t="inlineStr">
        <is>
          <t>Vitamin K1 (Phytomenadione) 10 mg IV slow</t>
        </is>
      </c>
      <c r="G688" s="2" t="inlineStr">
        <is>
          <t>Sodium thiosulfate 25% 50 mL IV</t>
        </is>
      </c>
      <c r="H688" s="2" t="inlineStr">
        <is>
          <t>Calcium disodium EDTA 1 g IV</t>
        </is>
      </c>
      <c r="I688" s="8" t="inlineStr">
        <is>
          <t>1</t>
        </is>
      </c>
      <c r="J6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88" s="2" t="n"/>
      <c r="L688" s="2" t="inlineStr">
        <is>
          <t>General Therapeutics</t>
        </is>
      </c>
      <c r="M688" s="2" t="inlineStr">
        <is>
          <t>Clinic</t>
        </is>
      </c>
      <c r="N688" s="2" t="inlineStr">
        <is>
          <t>ข้อ 3 (LAW-CU-71.md)</t>
        </is>
      </c>
      <c r="O688" s="2" t="inlineStr">
        <is>
          <t>Mock</t>
        </is>
      </c>
      <c r="P688" s="2" t="inlineStr">
        <is>
          <t>Mock กฎหมาย CU71</t>
        </is>
      </c>
    </row>
    <row r="689" ht="13.2" customHeight="1" s="37">
      <c r="A689" s="8" t="inlineStr">
        <is>
          <t>710</t>
        </is>
      </c>
      <c r="B689" s="2" t="inlineStr">
        <is>
          <t>พึงสร้างทัศนคติและความเข้าใจต่อเพื่อนมนุษย์ และสังคม นำความรู้ด้านสังคมศาสตร์ พฤติกรรมศาสตร์ มาประยุกต์ในการประกอบอาชีพ</t>
        </is>
      </c>
      <c r="C689" s="2" t="n"/>
      <c r="D689" s="2" t="inlineStr">
        <is>
          <t>Sodium thiosulfate 25% 50 mL IV</t>
        </is>
      </c>
      <c r="E689" s="2" t="inlineStr">
        <is>
          <t>Calcium disodium EDTA 1 g IV</t>
        </is>
      </c>
      <c r="F689" s="2" t="inlineStr">
        <is>
          <t>Desferrioxamine 1 g IM/IV</t>
        </is>
      </c>
      <c r="G689" s="2" t="inlineStr">
        <is>
          <t>Dimercaprol (BAL) 3 mg/kg IM</t>
        </is>
      </c>
      <c r="H689" s="2" t="inlineStr">
        <is>
          <t>Ethanol 10% IV infusion for Methanol poisoning</t>
        </is>
      </c>
      <c r="I689" s="8" t="inlineStr">
        <is>
          <t>1</t>
        </is>
      </c>
      <c r="J6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89" s="2" t="n"/>
      <c r="L689" s="2" t="inlineStr">
        <is>
          <t>General Therapeutics</t>
        </is>
      </c>
      <c r="M689" s="2" t="inlineStr">
        <is>
          <t>Clinic</t>
        </is>
      </c>
      <c r="N689" s="2" t="inlineStr">
        <is>
          <t>ข้อ 4 (LAW-CU-71.md)</t>
        </is>
      </c>
      <c r="O689" s="2" t="inlineStr">
        <is>
          <t>Mock</t>
        </is>
      </c>
      <c r="P689" s="2" t="inlineStr">
        <is>
          <t>Mock กฎหมาย CU71</t>
        </is>
      </c>
    </row>
    <row r="690" ht="13.2" customHeight="1" s="37">
      <c r="A690" s="8" t="inlineStr">
        <is>
          <t>711</t>
        </is>
      </c>
      <c r="B690" s="2" t="inlineStr">
        <is>
          <t>แสวงหาความรู้ ความก้าวหน้าทางวิชาการ เพื่อการพัฒนาองค์กร และวิชาชีพให้ทันต่อยุคสมัย</t>
        </is>
      </c>
      <c r="C690" s="2" t="n"/>
      <c r="D690" s="2" t="inlineStr">
        <is>
          <t>Dimercaprol (BAL) 3 mg/kg IM</t>
        </is>
      </c>
      <c r="E690" s="2" t="inlineStr">
        <is>
          <t>Ethanol 10% IV infusion for Methanol poisoning</t>
        </is>
      </c>
      <c r="F690" s="2" t="inlineStr">
        <is>
          <t>Fomepizole 15 mg/kg IV loading</t>
        </is>
      </c>
      <c r="G690" s="2" t="inlineStr">
        <is>
          <t>N-acetylcysteine (NAC) IV infusion protocol</t>
        </is>
      </c>
      <c r="H690" s="2" t="inlineStr">
        <is>
          <t>Atropine sulfate 2 mg IV Q5-10 min</t>
        </is>
      </c>
      <c r="I690" s="8" t="inlineStr">
        <is>
          <t>1</t>
        </is>
      </c>
      <c r="J6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0" s="2" t="n"/>
      <c r="L690" s="2" t="inlineStr">
        <is>
          <t>General Therapeutics</t>
        </is>
      </c>
      <c r="M690" s="2" t="inlineStr">
        <is>
          <t>Clinic</t>
        </is>
      </c>
      <c r="N690" s="2" t="inlineStr">
        <is>
          <t>ข้อ 5 (LAW-CU-71.md)</t>
        </is>
      </c>
      <c r="O690" s="2" t="inlineStr">
        <is>
          <t>Mock</t>
        </is>
      </c>
      <c r="P690" s="2" t="inlineStr">
        <is>
          <t>Mock กฎหมาย CU71</t>
        </is>
      </c>
    </row>
    <row r="691" ht="13.2" customHeight="1" s="37">
      <c r="A691" s="8" t="inlineStr">
        <is>
          <t>712</t>
        </is>
      </c>
      <c r="B691" s="2" t="inlineStr">
        <is>
          <t>รักษามาตรฐานของการประกอบวิชาชีพเภสัชกรรมในระดับที่ดีที่สุด</t>
        </is>
      </c>
      <c r="C691" s="2" t="n"/>
      <c r="D691" s="2" t="inlineStr">
        <is>
          <t>N-acetylcysteine (NAC) IV infusion protocol</t>
        </is>
      </c>
      <c r="E691" s="2" t="inlineStr">
        <is>
          <t>Atropine sulfate 2 mg IV Q5-10 min</t>
        </is>
      </c>
      <c r="F691" s="2" t="inlineStr">
        <is>
          <t>Pralidoxime (2-PAM) 1-2 g IV over 30 min</t>
        </is>
      </c>
      <c r="G691" s="2" t="inlineStr">
        <is>
          <t>Naloxone 0.4 mg IV stat</t>
        </is>
      </c>
      <c r="H691" s="2" t="inlineStr">
        <is>
          <t>Flumazenil 0.2 mg IV stat</t>
        </is>
      </c>
      <c r="I691" s="8" t="inlineStr">
        <is>
          <t>1</t>
        </is>
      </c>
      <c r="J6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691" s="2" t="n"/>
      <c r="L691" s="2" t="inlineStr">
        <is>
          <t>General Therapeutics</t>
        </is>
      </c>
      <c r="M691" s="2" t="inlineStr">
        <is>
          <t>Clinic</t>
        </is>
      </c>
      <c r="N691" s="2" t="inlineStr">
        <is>
          <t>ข้อ 6 (LAW-CU-71.md)</t>
        </is>
      </c>
      <c r="O691" s="2" t="inlineStr">
        <is>
          <t>Mock</t>
        </is>
      </c>
      <c r="P691" s="2" t="inlineStr">
        <is>
          <t>Mock กฎหมาย CU71</t>
        </is>
      </c>
    </row>
    <row r="692" ht="13.2" customHeight="1" s="37">
      <c r="A692" s="8" t="inlineStr">
        <is>
          <t>713</t>
        </is>
      </c>
      <c r="B692" s="2" t="inlineStr">
        <is>
          <t>ไม่จูงใจหรือชักชวนให้มารับบริการทางวิชาชีพเภสัชกรรมเพื่อผลประโยชน์ของตน</t>
        </is>
      </c>
      <c r="C692" s="2" t="n"/>
      <c r="D692" s="2" t="inlineStr">
        <is>
          <t>Levodopa/Benserazide 100/25 mg TID</t>
        </is>
      </c>
      <c r="E692" s="2" t="inlineStr">
        <is>
          <t>Sumatriptan 50 mg stat</t>
        </is>
      </c>
      <c r="F692" s="2" t="inlineStr">
        <is>
          <t>Propranolol 40 mg BID</t>
        </is>
      </c>
      <c r="G692" s="2" t="inlineStr">
        <is>
          <t>Topiramate 25 mg BID</t>
        </is>
      </c>
      <c r="H692" s="2" t="inlineStr">
        <is>
          <t>Donepezil 5 mg HS</t>
        </is>
      </c>
      <c r="I692" s="8" t="inlineStr">
        <is>
          <t>1</t>
        </is>
      </c>
      <c r="J692" s="2" t="inlineStr">
        <is>
          <t>✅ คำตอบที่ถูกต้อง: ข้อ ก. Levodopa/Benserazide 100/25 mg TID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(Donepezil 5 mg HS):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2" s="2" t="n"/>
      <c r="L692" s="2" t="inlineStr">
        <is>
          <t>Neurologic Disorders</t>
        </is>
      </c>
      <c r="M692" s="2" t="inlineStr">
        <is>
          <t>Clinic</t>
        </is>
      </c>
      <c r="N692" s="2" t="inlineStr">
        <is>
          <t>ข้อ 7 (LAW-CU-71.md)</t>
        </is>
      </c>
      <c r="O692" s="2" t="inlineStr">
        <is>
          <t>Mock</t>
        </is>
      </c>
      <c r="P692" s="2" t="inlineStr">
        <is>
          <t>Mock กฎหมาย CU71</t>
        </is>
      </c>
    </row>
    <row r="693" ht="13.2" customHeight="1" s="37">
      <c r="A693" s="8" t="inlineStr">
        <is>
          <t>714</t>
        </is>
      </c>
      <c r="B693" s="2" t="inlineStr">
        <is>
          <t>ไม่หลอกลวงหรือให้คำรับรองอันเป็นเท็จหรือให้ความเห็นโดยไม่สุจริตใน เพื่อประโยชน์ของตน</t>
        </is>
      </c>
      <c r="C693" s="2" t="n"/>
      <c r="D693" s="2" t="inlineStr">
        <is>
          <t>Sodium thiosulfate 25% 50 mL IV</t>
        </is>
      </c>
      <c r="E693" s="2" t="inlineStr">
        <is>
          <t>Calcium disodium EDTA 1 g IV</t>
        </is>
      </c>
      <c r="F693" s="2" t="inlineStr">
        <is>
          <t>Desferrioxamine 1 g IM/IV</t>
        </is>
      </c>
      <c r="G693" s="2" t="inlineStr">
        <is>
          <t>Dimercaprol (BAL) 3 mg/kg IM</t>
        </is>
      </c>
      <c r="H693" s="2" t="inlineStr">
        <is>
          <t>Ethanol 10% IV infusion for Methanol poisoning</t>
        </is>
      </c>
      <c r="I693" s="8" t="inlineStr">
        <is>
          <t>1</t>
        </is>
      </c>
      <c r="J6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3" s="2" t="n"/>
      <c r="L693" s="2" t="inlineStr">
        <is>
          <t>General Therapeutics</t>
        </is>
      </c>
      <c r="M693" s="2" t="inlineStr">
        <is>
          <t>Clinic</t>
        </is>
      </c>
      <c r="N693" s="2" t="inlineStr">
        <is>
          <t>ข้อ 9 (LAW-CU-71.md)</t>
        </is>
      </c>
      <c r="O693" s="2" t="inlineStr">
        <is>
          <t>Mock</t>
        </is>
      </c>
      <c r="P693" s="2" t="inlineStr">
        <is>
          <t>Mock กฎหมาย CU71</t>
        </is>
      </c>
    </row>
    <row r="694" ht="13.2" customHeight="1" s="37">
      <c r="A694" s="8" t="inlineStr">
        <is>
          <t>715</t>
        </is>
      </c>
      <c r="B694" s="2" t="inlineStr">
        <is>
          <t>ประกอบวิชาชีพ โดยคำนึงถึงความปลอดภัยและเศรษฐานะของผู้ป่วยหรือผู้มารับบริการ</t>
        </is>
      </c>
      <c r="C694" s="2" t="n"/>
      <c r="D694" s="2" t="inlineStr">
        <is>
          <t>Dimercaprol (BAL) 3 mg/kg IM</t>
        </is>
      </c>
      <c r="E694" s="2" t="inlineStr">
        <is>
          <t>Ethanol 10% IV infusion for Methanol poisoning</t>
        </is>
      </c>
      <c r="F694" s="2" t="inlineStr">
        <is>
          <t>Fomepizole 15 mg/kg IV loading</t>
        </is>
      </c>
      <c r="G694" s="2" t="inlineStr">
        <is>
          <t>N-acetylcysteine (NAC) IV infusion protocol</t>
        </is>
      </c>
      <c r="H694" s="2" t="inlineStr">
        <is>
          <t>Atropine sulfate 2 mg IV Q5-10 min</t>
        </is>
      </c>
      <c r="I694" s="8" t="inlineStr">
        <is>
          <t>1</t>
        </is>
      </c>
      <c r="J6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4" s="2" t="n"/>
      <c r="L694" s="2" t="inlineStr">
        <is>
          <t>General Therapeutics</t>
        </is>
      </c>
      <c r="M694" s="2" t="inlineStr">
        <is>
          <t>Clinic</t>
        </is>
      </c>
      <c r="N694" s="2" t="inlineStr">
        <is>
          <t>ข้อ 10 (LAW-CU-71.md)</t>
        </is>
      </c>
      <c r="O694" s="2" t="inlineStr">
        <is>
          <t>Mock</t>
        </is>
      </c>
      <c r="P694" s="2" t="inlineStr">
        <is>
          <t>Mock กฎหมาย CU71</t>
        </is>
      </c>
    </row>
    <row r="695" ht="13.2" customHeight="1" s="37">
      <c r="A695" s="8" t="inlineStr">
        <is>
          <t>716</t>
        </is>
      </c>
      <c r="B695" s="2" t="inlineStr">
        <is>
          <t>ไม่ใช้หรือสนับสนุนการใช้ยาตำรับลับ</t>
        </is>
      </c>
      <c r="C695" s="2" t="n"/>
      <c r="D695" s="2" t="inlineStr">
        <is>
          <t>N-acetylcysteine (NAC) IV infusion protocol</t>
        </is>
      </c>
      <c r="E695" s="2" t="inlineStr">
        <is>
          <t>Atropine sulfate 2 mg IV Q5-10 min</t>
        </is>
      </c>
      <c r="F695" s="2" t="inlineStr">
        <is>
          <t>Pralidoxime (2-PAM) 1-2 g IV over 30 min</t>
        </is>
      </c>
      <c r="G695" s="2" t="inlineStr">
        <is>
          <t>Naloxone 0.4 mg IV stat</t>
        </is>
      </c>
      <c r="H695" s="2" t="inlineStr">
        <is>
          <t>Flumazenil 0.2 mg IV stat</t>
        </is>
      </c>
      <c r="I695" s="8" t="inlineStr">
        <is>
          <t>1</t>
        </is>
      </c>
      <c r="J6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695" s="2" t="n"/>
      <c r="L695" s="2" t="inlineStr">
        <is>
          <t>General Therapeutics</t>
        </is>
      </c>
      <c r="M695" s="2" t="inlineStr">
        <is>
          <t>Clinic</t>
        </is>
      </c>
      <c r="N695" s="2" t="inlineStr">
        <is>
          <t>ข้อ 11 (LAW-CU-71.md)</t>
        </is>
      </c>
      <c r="O695" s="2" t="inlineStr">
        <is>
          <t>Mock</t>
        </is>
      </c>
      <c r="P695" s="2" t="inlineStr">
        <is>
          <t>Mock กฎหมาย CU71</t>
        </is>
      </c>
    </row>
    <row r="696" ht="13.2" customHeight="1" s="37">
      <c r="A696" s="8" t="inlineStr">
        <is>
          <t>717</t>
        </is>
      </c>
      <c r="B696" s="2" t="inlineStr">
        <is>
          <t>ไม่เปิดเผยความลับของผู้มารับบริการ</t>
        </is>
      </c>
      <c r="C696" s="2" t="n"/>
      <c r="D696" s="2" t="inlineStr">
        <is>
          <t>Naloxone 0.4 mg IV stat</t>
        </is>
      </c>
      <c r="E696" s="2" t="inlineStr">
        <is>
          <t>Flumazenil 0.2 mg IV stat</t>
        </is>
      </c>
      <c r="F696" s="2" t="inlineStr">
        <is>
          <t>Vitamin K1 (Phytomenadione) 10 mg IV slow</t>
        </is>
      </c>
      <c r="G696" s="2" t="inlineStr">
        <is>
          <t>Sodium thiosulfate 25% 50 mL IV</t>
        </is>
      </c>
      <c r="H696" s="2" t="inlineStr">
        <is>
          <t>Calcium disodium EDTA 1 g IV</t>
        </is>
      </c>
      <c r="I696" s="8" t="inlineStr">
        <is>
          <t>1</t>
        </is>
      </c>
      <c r="J6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696" s="2" t="n"/>
      <c r="L696" s="2" t="inlineStr">
        <is>
          <t>General Therapeutics</t>
        </is>
      </c>
      <c r="M696" s="2" t="inlineStr">
        <is>
          <t>Clinic</t>
        </is>
      </c>
      <c r="N696" s="2" t="inlineStr">
        <is>
          <t>ข้อ 12 (LAW-CU-71.md)</t>
        </is>
      </c>
      <c r="O696" s="2" t="inlineStr">
        <is>
          <t>Mock</t>
        </is>
      </c>
      <c r="P696" s="2" t="inlineStr">
        <is>
          <t>Mock กฎหมาย CU71</t>
        </is>
      </c>
    </row>
    <row r="697" ht="13.2" customHeight="1" s="37">
      <c r="A697" s="8" t="inlineStr">
        <is>
          <t>718</t>
        </is>
      </c>
      <c r="B697" s="2" t="inlineStr">
        <is>
          <t>อนุภาคที_x001E_อยู่ใน sieve ข้อใดมีโอกาสเกิด oxidation ได้มาก ที_x001E_สุด</t>
        </is>
      </c>
      <c r="C697" s="2" t="n"/>
      <c r="D697" s="2" t="inlineStr">
        <is>
          <t>Differential Scanning Calorimetry (DSC) Polymorphism</t>
        </is>
      </c>
      <c r="E697" s="2" t="inlineStr">
        <is>
          <t>Moisture Sorption Isotherm analysis</t>
        </is>
      </c>
      <c r="F697" s="2" t="inlineStr">
        <is>
          <t>Good Manufacturing Practice (GMP PIC/S)</t>
        </is>
      </c>
      <c r="G697" s="2" t="inlineStr">
        <is>
          <t>Standard Operating Procedure (SOP) Validation</t>
        </is>
      </c>
      <c r="H697" s="2" t="inlineStr">
        <is>
          <t>High-Density Polyethylene (HDPE) Container</t>
        </is>
      </c>
      <c r="I697" s="8" t="inlineStr">
        <is>
          <t>1</t>
        </is>
      </c>
      <c r="J697" s="2" t="inlineStr">
        <is>
          <t>✅ คำตอบที่ถูกต้อง: ข้อ ก. Differential Scanning Calorimetry (DSC) Polymorphism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Differential Scanning Calorimetry (DSC) Polymorphism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ค.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ข้อ ง.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จ.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7" s="2" t="n"/>
      <c r="L697" s="2" t="inlineStr">
        <is>
          <t>Preformulation &amp; Stability</t>
        </is>
      </c>
      <c r="M697" s="2" t="inlineStr">
        <is>
          <t>Product</t>
        </is>
      </c>
      <c r="N697" s="2" t="inlineStr">
        <is>
          <t>ข้อ 45 (PLE_CC1_2557.md)</t>
        </is>
      </c>
      <c r="O697" s="2" t="inlineStr">
        <is>
          <t>ข้อสอบจริง</t>
        </is>
      </c>
      <c r="P697" s="2" t="inlineStr">
        <is>
          <t>ปี 2557</t>
        </is>
      </c>
    </row>
    <row r="698" ht="13.2" customHeight="1" s="37">
      <c r="A698" s="8" t="inlineStr">
        <is>
          <t>719</t>
        </is>
      </c>
      <c r="B698" s="2" t="inlineStr">
        <is>
          <t>ข้อใดถูกต้องเกี_x001E_ยวกับวิธีการใช้ Seretideห Accuhalerห (1) เปิดฝาครอบปากขวดยาพ่นออก ควํ_x0003_าขวดยาพ่นลง เขย่าในแนวตั_x001B_ง 3 - 4 ครั_x001B_ง (2) หายใจออกให้สุดผ่านหลอดพ่นยา (3) ใช้ริมฝีปากอมรอบปากกระบอกให้สนิท (4) สูดลมหายใจเข้าทางปากโดยผ่านเครื_x0003_องมือให้เร็ว แรง และลึกที_x0003_สุด พร้อมกดหลอดยาพ่น 1 ครั_x001B_ง (5) การหายใจต้องสัมพันธ์กับการกดหลอดพ่นยา</t>
        </is>
      </c>
      <c r="C698" s="2" t="n"/>
      <c r="D698" s="2" t="inlineStr">
        <is>
          <t>Prednisolone 40 mg OD x 5 days</t>
        </is>
      </c>
      <c r="E698" s="2" t="inlineStr">
        <is>
          <t>N-acetylcysteine 600 mg OD</t>
        </is>
      </c>
      <c r="F698" s="2" t="inlineStr">
        <is>
          <t>Beclomethasone MDI 100 mcg BID</t>
        </is>
      </c>
      <c r="G698" s="2" t="inlineStr">
        <is>
          <t>Salbutamol MDI 2 puffs PRN</t>
        </is>
      </c>
      <c r="H698" s="2" t="inlineStr">
        <is>
          <t>Budesonide/Formoterol 160/4.5 mcg DPI BID</t>
        </is>
      </c>
      <c r="I698" s="8" t="inlineStr">
        <is>
          <t>1</t>
        </is>
      </c>
      <c r="J698" s="2"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98" s="2" t="n"/>
      <c r="L698" s="2" t="inlineStr">
        <is>
          <t>Pulmonary Diseases</t>
        </is>
      </c>
      <c r="M698" s="2" t="inlineStr">
        <is>
          <t>Clinic</t>
        </is>
      </c>
      <c r="N698" s="2" t="inlineStr">
        <is>
          <t>ข้อ 48 (PLE_CC1_2557.md)</t>
        </is>
      </c>
      <c r="O698" s="2" t="inlineStr">
        <is>
          <t>ข้อสอบจริง</t>
        </is>
      </c>
      <c r="P698" s="2" t="inlineStr">
        <is>
          <t>ปี 2557</t>
        </is>
      </c>
    </row>
    <row r="699" ht="13.2" customHeight="1" s="37">
      <c r="A699" s="8" t="inlineStr">
        <is>
          <t>720</t>
        </is>
      </c>
      <c r="B699" s="2" t="inlineStr">
        <is>
          <t>ร้านขายยาแห่งหนึ_x001E_ง ติดป้ายเวลาทำการของเภสัชกรไว้เป็น เวลา 17.00 - 20.00 น. ผู้ป่วยรายหนึ_x001E_งเดินเข้าไปในร้านยา ดังกล่าว เพื_x001E_อขอซื%อยา simethicone 1 แผงเวลา 15.00 น. ซึ_x001E_งในเวลาดังกล่าวไม่มีเภสัชกรปฏิบัติงาน มีเพียงเจ้าของ ร้านผู้รับอนุญาตซึ_x001E_งไม่ใช่เภสัชกร เจ้าของร้านสามารถ จำหน่ายยา simethicone ให้ผู้ป่วยรายนี%ได้หรือไม่ เพราะ เหตุใด (1) ได้ เพราะ เป็นยาสามัญประจำบ้าน (2) ได้ ถึงแม้จะเป็นอันตราย แต่ร้านขายยาดังกล่าวเป็น ร้านที_x0003_ได้รับอนุญาต (3) ไม่ได้ เพราะ เป็นยาอันตราย (4) ไม่ได้ เพราะ ไม่มีเภสัชกรปฏิบัติงาน (5) ไม่ได้ ถึงแม้จะเป็นยาสามัญประจำบ้าน แต่ในช่วง เวลาดังกล่าวไม่มีเภสัชกรปฏิบัติงาน</t>
        </is>
      </c>
      <c r="C699" s="2" t="n"/>
      <c r="D699" s="2" t="inlineStr">
        <is>
          <t>พ.ร.บ. ยา พ.ศ. 2510 (การจำหน่ายยาอันตรายและยาควบคุมพิเศษ)</t>
        </is>
      </c>
      <c r="E699" s="2" t="inlineStr">
        <is>
          <t>พ.ร.บ. ยาเสพติดให้โทษ พ.ศ. 2522 (ยาเสพติดให้โทษประเภท 2 และ 3)</t>
        </is>
      </c>
      <c r="F699" s="2" t="inlineStr">
        <is>
          <t>พ.ร.บ. วัตถุที่ออกฤทธิ์ต่อจิตและประสาท พ.ศ. 2559 (ประเภท 2 และ 4)</t>
        </is>
      </c>
      <c r="G699" s="2" t="inlineStr">
        <is>
          <t>พ.ร.บ. วิชาชีพเภสัชกรรม พ.ศ. 2537 และข้อบังคับจรรยาบรรณวิชาชีพ</t>
        </is>
      </c>
      <c r="H699" s="2" t="inlineStr">
        <is>
          <t>พ.ร.บ. ผลิตภัณฑ์สมุนไพร พ.ศ. 2562</t>
        </is>
      </c>
      <c r="I699" s="8" t="inlineStr">
        <is>
          <t>1</t>
        </is>
      </c>
      <c r="J69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9" s="2" t="n"/>
      <c r="L699" s="2" t="inlineStr">
        <is>
          <t>Pharmacy Laws &amp; Ethics</t>
        </is>
      </c>
      <c r="M699" s="2" t="inlineStr">
        <is>
          <t>SAP</t>
        </is>
      </c>
      <c r="N699" s="2" t="inlineStr">
        <is>
          <t>ข้อ 62 (PLE_CC1_2557.md)</t>
        </is>
      </c>
      <c r="O699" s="2" t="inlineStr">
        <is>
          <t>ข้อสอบจริง</t>
        </is>
      </c>
      <c r="P699" s="2" t="inlineStr">
        <is>
          <t>ปี 2557</t>
        </is>
      </c>
    </row>
    <row r="700" ht="13.2" customHeight="1" s="37">
      <c r="A700" s="8" t="inlineStr">
        <is>
          <t>721</t>
        </is>
      </c>
      <c r="B700" s="2" t="inlineStr">
        <is>
          <t>ผู้ป่วยมีระดับ potassium ในเลือดสูง แพทย์จึงพิจารณาจ่าย sodium polystyrene sulfonate โดยสามารถผสมยา ดังกล่าวในสารใดได้ เพื_x001E_อลดภาวะท้องผูก (1) Mucillin (2) Psylium seed (3) Lactulose (4) Sorbital (5) Magnesium hydroxide</t>
        </is>
      </c>
      <c r="C700" s="2" t="n"/>
      <c r="D700" s="2" t="inlineStr">
        <is>
          <t>Senna 2 tabs HS</t>
        </is>
      </c>
      <c r="E700" s="2" t="inlineStr">
        <is>
          <t>Bisacodyl 5 mg HS</t>
        </is>
      </c>
      <c r="F700" s="2" t="inlineStr">
        <is>
          <t>Lactulose 15 mL OD</t>
        </is>
      </c>
      <c r="G700" s="2" t="inlineStr">
        <is>
          <t>Amoxicillin 1000 mg BID</t>
        </is>
      </c>
      <c r="H700" s="2" t="inlineStr">
        <is>
          <t>Clarithromycin 500 mg BID</t>
        </is>
      </c>
      <c r="I700" s="8" t="inlineStr">
        <is>
          <t>1</t>
        </is>
      </c>
      <c r="J700" s="2" t="inlineStr">
        <is>
          <t>✅ คำตอบที่ถูกต้อง: ข้อ ก. Senna 2 tabs HS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0" s="2" t="n"/>
      <c r="L700" s="2" t="inlineStr">
        <is>
          <t>GI Disorders</t>
        </is>
      </c>
      <c r="M700" s="2" t="inlineStr">
        <is>
          <t>Clinic</t>
        </is>
      </c>
      <c r="N700" s="2" t="inlineStr">
        <is>
          <t>ข้อ 65 (PLE_CC1_2557.md)</t>
        </is>
      </c>
      <c r="O700" s="2" t="inlineStr">
        <is>
          <t>ข้อสอบจริง</t>
        </is>
      </c>
      <c r="P700" s="2" t="inlineStr">
        <is>
          <t>ปี 2557</t>
        </is>
      </c>
    </row>
    <row r="701" ht="13.2" customHeight="1" s="37">
      <c r="A701" s="8" t="inlineStr">
        <is>
          <t>722</t>
        </is>
      </c>
      <c r="B701" s="2" t="inlineStr">
        <is>
          <t>ผู้ป่วยรายนี%ไม่ควรรับประทานอาหารในข้อใด (1) สลัดผัก (2) เนื_x001B_อย่างสเต็ก (3) กล้วยบวชชี (4) ขนมปังทาแยม (5) นํ_x001B_าส้มคั_x001B_น</t>
        </is>
      </c>
      <c r="C701" s="2" t="n"/>
      <c r="D701" s="2" t="inlineStr">
        <is>
          <t>Sodium thiosulfate 25% 50 mL IV</t>
        </is>
      </c>
      <c r="E701" s="2" t="inlineStr">
        <is>
          <t>Calcium disodium EDTA 1 g IV</t>
        </is>
      </c>
      <c r="F701" s="2" t="inlineStr">
        <is>
          <t>Desferrioxamine 1 g IM/IV</t>
        </is>
      </c>
      <c r="G701" s="2" t="inlineStr">
        <is>
          <t>Dimercaprol (BAL) 3 mg/kg IM</t>
        </is>
      </c>
      <c r="H701" s="2" t="inlineStr">
        <is>
          <t>Ethanol 10% IV infusion for Methanol poisoning</t>
        </is>
      </c>
      <c r="I701" s="8" t="inlineStr">
        <is>
          <t>1</t>
        </is>
      </c>
      <c r="J7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1" s="2" t="n"/>
      <c r="L701" s="2" t="inlineStr">
        <is>
          <t>General Therapeutics</t>
        </is>
      </c>
      <c r="M701" s="2" t="inlineStr">
        <is>
          <t>Clinic</t>
        </is>
      </c>
      <c r="N701" s="2" t="inlineStr">
        <is>
          <t>ข้อ 74 (PLE_CC1_2557.md)</t>
        </is>
      </c>
      <c r="O701" s="2" t="inlineStr">
        <is>
          <t>ข้อสอบจริง</t>
        </is>
      </c>
      <c r="P701" s="2" t="inlineStr">
        <is>
          <t>ปี 2557</t>
        </is>
      </c>
    </row>
    <row r="702" ht="13.2" customHeight="1" s="37">
      <c r="A702" s="8" t="inlineStr">
        <is>
          <t>723</t>
        </is>
      </c>
      <c r="B702" s="2" t="inlineStr">
        <is>
          <t>ภาวะดังกล่าว เกิดจากปฏิกิริยาการแพ้ชนิดใด (1) Type I (2) Type II (3) Type III (4) Type IV (5) Type V</t>
        </is>
      </c>
      <c r="C702" s="2" t="n"/>
      <c r="D702" s="2" t="inlineStr">
        <is>
          <t>Dimercaprol (BAL) 3 mg/kg IM</t>
        </is>
      </c>
      <c r="E702" s="2" t="inlineStr">
        <is>
          <t>Ethanol 10% IV infusion for Methanol poisoning</t>
        </is>
      </c>
      <c r="F702" s="2" t="inlineStr">
        <is>
          <t>Fomepizole 15 mg/kg IV loading</t>
        </is>
      </c>
      <c r="G702" s="2" t="inlineStr">
        <is>
          <t>N-acetylcysteine (NAC) IV infusion protocol</t>
        </is>
      </c>
      <c r="H702" s="2" t="inlineStr">
        <is>
          <t>Atropine sulfate 2 mg IV Q5-10 min</t>
        </is>
      </c>
      <c r="I702" s="8" t="inlineStr">
        <is>
          <t>1</t>
        </is>
      </c>
      <c r="J7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2" s="2" t="n"/>
      <c r="L702" s="2" t="inlineStr">
        <is>
          <t>General Therapeutics</t>
        </is>
      </c>
      <c r="M702" s="2" t="inlineStr">
        <is>
          <t>Clinic</t>
        </is>
      </c>
      <c r="N702" s="2" t="inlineStr">
        <is>
          <t>ข้อ 79 (PLE_CC1_2557.md)</t>
        </is>
      </c>
      <c r="O702" s="2" t="inlineStr">
        <is>
          <t>ข้อสอบจริง</t>
        </is>
      </c>
      <c r="P702" s="2" t="inlineStr">
        <is>
          <t>ปี 2557</t>
        </is>
      </c>
    </row>
    <row r="703" ht="13.2" customHeight="1" s="37">
      <c r="A703" s="2" t="n">
        <v>724</v>
      </c>
      <c r="B703" s="2" t="inlineStr">
        <is>
          <t>ในใบสั_x001E_งยาของแพทย์สั_x001E_ง Epinephrine ความเข้มข้น 100 mcg/mL จะผสมยาอย่างไร หากผลิตภัณฑ์ยาที_x001E_มีใน โรงพยาบาลเป็น 1 mg/mL vial ละ 1 mL (1) ผสมยา 1 vial ลงในสารละลาย NSS 10 mL (2) ผสมยา 1 vial ลงในสารละลาย NSS 9 mL (3) ผสมยา 1 vial ลงในสารละลาย NSS 100 mL (4) ผสมยา 1 vial ลงในสารละลาย NSS 99 mL (5) ผสมยา 1 vial ลงในสารละลาย NSS ปรับปริมาตรให้ ได้ 100 mL MCQ 11 | 1/2557 | Page 12</t>
        </is>
      </c>
      <c r="C703" s="2" t="n"/>
      <c r="D703" s="2" t="inlineStr">
        <is>
          <t>พ.ร.บ. วัตถุที่ออกฤทธิ์ต่อจิตและประสาท พ.ศ. 2559 (ประเภท 2 และ 4)</t>
        </is>
      </c>
      <c r="E703" s="2" t="inlineStr">
        <is>
          <t>พ.ร.บ. วิชาชีพเภสัชกรรม พ.ศ. 2537 และข้อบังคับจรรยาบรรณวิชาชีพ</t>
        </is>
      </c>
      <c r="F703" s="2" t="inlineStr">
        <is>
          <t>พ.ร.บ. ผลิตภัณฑ์สมุนไพร พ.ศ. 2562</t>
        </is>
      </c>
      <c r="G703" s="2" t="inlineStr">
        <is>
          <t>พ.ร.บ. เครื่องสำอาง พ.ศ. 2558</t>
        </is>
      </c>
      <c r="H703" s="2" t="inlineStr">
        <is>
          <t>พ.ร.บ. หลักประกันสุขภาพแห่งชาติ พ.ศ. 2545</t>
        </is>
      </c>
      <c r="I703" s="2" t="n">
        <v>1</v>
      </c>
      <c r="J70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3" s="2" t="n"/>
      <c r="L703" s="2" t="inlineStr">
        <is>
          <t>Pharmacy Laws &amp; Ethics</t>
        </is>
      </c>
      <c r="M703" s="2" t="inlineStr">
        <is>
          <t>SAP</t>
        </is>
      </c>
      <c r="N703" s="2" t="inlineStr">
        <is>
          <t>ข้อ 81 (PLE_CC1_2557.md)</t>
        </is>
      </c>
      <c r="O703" s="2" t="inlineStr">
        <is>
          <t>ข้อสอบจริง</t>
        </is>
      </c>
      <c r="P703" s="2" t="inlineStr">
        <is>
          <t>ปี 2557</t>
        </is>
      </c>
    </row>
    <row r="704" ht="13.2" customHeight="1" s="37">
      <c r="A704" s="2" t="n">
        <v>725</v>
      </c>
      <c r="B704" s="2" t="inlineStr">
        <is>
          <t>จงคำนวณปีสุขภาวะ หากในระยะเวลา 8.4 เดือน ผู้ป่วยมี คุณภาพชีวิตเท่ากับ 0.8 (1) 0.96 (2) 0.80 (3) 0.67 (4) 0.56 (5) 0.48 Final version | Maximum’2017 Rx30 | Prince of Songkla University</t>
        </is>
      </c>
      <c r="C704" s="2" t="n"/>
      <c r="D704" s="2" t="inlineStr">
        <is>
          <t>Displacement Value calculation for Suppositories</t>
        </is>
      </c>
      <c r="E704" s="2" t="inlineStr">
        <is>
          <t>Alligation Alternate method for concentration adjustment</t>
        </is>
      </c>
      <c r="F704" s="2" t="inlineStr">
        <is>
          <t>mEq / mmol Electrolyte conversion formula</t>
        </is>
      </c>
      <c r="G704" s="2" t="inlineStr">
        <is>
          <t>Osmolarity (mOsmol/L) calculation</t>
        </is>
      </c>
      <c r="H704" s="2" t="inlineStr">
        <is>
          <t>Sodium Chloride Equivalent (E-value) Isotonic adjustment</t>
        </is>
      </c>
      <c r="I704" s="2" t="n">
        <v>1</v>
      </c>
      <c r="J704" s="2" t="inlineStr">
        <is>
          <t>✅ คำตอบที่ถูกต้อง: ข้อ ก. Displacement Value calculation for Suppositories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Displacement Value calculation for Suppositories 💡 คำอธิบายและเหตุผลทางเภสัชกรรม:
💡 คำอธิบายและเหตุผลทางเภสัชกรรม:
การเลือก Displacement Value calculation for Suppositories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(Alligation Alternate method for concentration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ค. (mEq / mmol Electrolyte conversion formula): ข้อนี้ไม่ใช่คำตอบที่ถูกต้องสำหรับภาวะ Pharmaceutical Calculations เนื่องจากกลไกการออกฤทธิ์, efficacy หรือข้อบ่งใช้ไม่ตรงกับโจทย์ที่กำหนด
• ข้อ ง. (Osmolarity (mOsmol/L) calculation): ข้อนี้ไม่ใช่คำตอบที่ถูกต้องสำหรับภาวะ Pharmaceutical Calculations เนื่องจากกลไกการออกฤทธิ์, efficacy หรือข้อบ่งใช้ไม่ตรงกับโจทย์ที่กำหนด
• ข้อ จ.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4" s="2" t="n"/>
      <c r="L704" s="2" t="inlineStr">
        <is>
          <t>Pharmaceutical Calculations</t>
        </is>
      </c>
      <c r="M704" s="2" t="inlineStr">
        <is>
          <t>Product</t>
        </is>
      </c>
      <c r="N704" s="2" t="inlineStr">
        <is>
          <t>ข้อ 84 (PLE_CC1_2557.md)</t>
        </is>
      </c>
      <c r="O704" s="2" t="inlineStr">
        <is>
          <t>ข้อสอบจริง</t>
        </is>
      </c>
      <c r="P704" s="2" t="inlineStr">
        <is>
          <t>ปี 2557</t>
        </is>
      </c>
    </row>
    <row r="705" ht="13.2" customHeight="1" s="37">
      <c r="A705" s="8" t="inlineStr">
        <is>
          <t>726</t>
        </is>
      </c>
      <c r="B705" s="2" t="inlineStr">
        <is>
          <t>จากโครงสร้างของยาต่อไปนี% ส่วนใดที_x001E_ทำให้เกิดภาวะ bleeding A B E C D (1) A (2) B (3) C (4) D (5) E</t>
        </is>
      </c>
      <c r="C705" s="2" t="n"/>
      <c r="D705" s="2" t="inlineStr">
        <is>
          <t>Sodium thiosulfate 25% 50 mL IV</t>
        </is>
      </c>
      <c r="E705" s="2" t="inlineStr">
        <is>
          <t>Calcium disodium EDTA 1 g IV</t>
        </is>
      </c>
      <c r="F705" s="2" t="inlineStr">
        <is>
          <t>Desferrioxamine 1 g IM/IV</t>
        </is>
      </c>
      <c r="G705" s="2" t="inlineStr">
        <is>
          <t>Dimercaprol (BAL) 3 mg/kg IM</t>
        </is>
      </c>
      <c r="H705" s="2" t="inlineStr">
        <is>
          <t>Ethanol 10% IV infusion for Methanol poisoning</t>
        </is>
      </c>
      <c r="I705" s="8" t="inlineStr">
        <is>
          <t>1</t>
        </is>
      </c>
      <c r="J7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5" s="2" t="n"/>
      <c r="L705" s="2" t="inlineStr">
        <is>
          <t>General Therapeutics</t>
        </is>
      </c>
      <c r="M705" s="2" t="inlineStr">
        <is>
          <t>Clinic</t>
        </is>
      </c>
      <c r="N705" s="2" t="inlineStr">
        <is>
          <t>ข้อ 7 (PLE_CC1_2557.md)</t>
        </is>
      </c>
      <c r="O705" s="2" t="inlineStr">
        <is>
          <t>ข้อสอบจริง</t>
        </is>
      </c>
      <c r="P705" s="2" t="inlineStr">
        <is>
          <t>ปี 2557</t>
        </is>
      </c>
    </row>
    <row r="706" ht="13.2" customHeight="1" s="37">
      <c r="A706" s="8" t="inlineStr">
        <is>
          <t>727</t>
        </is>
      </c>
      <c r="B706" s="2" t="inlineStr">
        <is>
          <t>นางสมหญิงมีความผิดในฐานใด (1) ครอบครองวัตถุออกฤทธิ&lt;ต่อจิตและประสาทประเภท ที_x0003_ 2 โดยไม่ได้รับอนุญาต (2) จำหน่ายวัตถุออกฤทธิ&lt;ต่อจิตและประสาทประเภทที_x0003_ 2 โดยไม่ได้รับอนุญาต (3) ครอบครองและจำหน่ายวัตถุออกฤทธิ&lt;ต่อจิตและ ประสาทประเภทที_x0003_ 2 โดยไม่ได้รับอนุญาต (4) จำหน่ายยาอันตราย โดยไม่ได้รับอนุญาต (5) ครอบครอง และจำหน่ายยาอันตรายโดยไม่ได้รับ อนุญาต Final version | Maximum’2017 Rx30 | Prince of Songkla University</t>
        </is>
      </c>
      <c r="C706" s="2" t="n"/>
      <c r="D706" s="2" t="inlineStr">
        <is>
          <t>พ.ร.บ. ยาเสพติดให้โทษ พ.ศ. 2522 (ยาเสพติดให้โทษประเภท 2 และ 3)</t>
        </is>
      </c>
      <c r="E706" s="2" t="inlineStr">
        <is>
          <t>พ.ร.บ. วัตถุที่ออกฤทธิ์ต่อจิตและประสาท พ.ศ. 2559 (ประเภท 2 และ 4)</t>
        </is>
      </c>
      <c r="F706" s="2" t="inlineStr">
        <is>
          <t>พ.ร.บ. วิชาชีพเภสัชกรรม พ.ศ. 2537 และข้อบังคับจรรยาบรรณวิชาชีพ</t>
        </is>
      </c>
      <c r="G706" s="2" t="inlineStr">
        <is>
          <t>พ.ร.บ. ผลิตภัณฑ์สมุนไพร พ.ศ. 2562</t>
        </is>
      </c>
      <c r="H706" s="2" t="inlineStr">
        <is>
          <t>พ.ร.บ. เครื่องสำอาง พ.ศ. 2558</t>
        </is>
      </c>
      <c r="I706" s="8" t="inlineStr">
        <is>
          <t>1</t>
        </is>
      </c>
      <c r="J70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6" s="2" t="n"/>
      <c r="L706" s="2" t="inlineStr">
        <is>
          <t>Pharmacy Laws &amp; Ethics</t>
        </is>
      </c>
      <c r="M706" s="2" t="inlineStr">
        <is>
          <t>SAP</t>
        </is>
      </c>
      <c r="N706" s="2" t="inlineStr">
        <is>
          <t>ข้อ 9 (PLE_CC1_2557.md)</t>
        </is>
      </c>
      <c r="O706" s="2" t="inlineStr">
        <is>
          <t>ข้อสอบจริง</t>
        </is>
      </c>
      <c r="P706" s="2" t="inlineStr">
        <is>
          <t>ปี 2557</t>
        </is>
      </c>
    </row>
    <row r="707" ht="13.2" customHeight="1" s="37">
      <c r="A707" s="8" t="inlineStr">
        <is>
          <t>728</t>
        </is>
      </c>
      <c r="B707" s="2" t="inlineStr">
        <is>
          <t>นายสมคิดมีความผิดในฐานใด (1) ครอบครองวัตถุออกฤทธิ&lt;ต่อจิตและประสาทประเภท ที_x0003_ 2 โดยไม่ได้รับอนุญาต (2) จำหน่ายวัตถุออกฤทธิ&lt;ต่อจิตและประสาทประเภทที_x0003_ 2 โดยไม่ได้รับอนุญาต (3) ครอบครองและจำหน่ายวัตถุออกฤทธิ&lt;ต่อจิตและ ประสาทประเภทที_x0003_ 2 โดยไม่ได้รับอนุญาต (4) จำหน่ายยาอันตราย โดยไม่ได้รับอนุญาต (5) ครอบครอง และจำหน่ายยาอันตรายโดยไม่ได้รับ อนุญาต สถานการณ์ที_x001E_ 2 ผู้ป่วยหญิงไทย อายุ 21 ปี มาร้านขายยาด้วยอาการตา แดง มีนํ_x001B_าตาไหล ไม่มีขี_x001B_ตา ไม่เคยเป็นมาก่อน จากการซักประวัติ เพิ_x0003_มเติมพบว่า คนในบ้านมีอาการดังกล่าวด้วย</t>
        </is>
      </c>
      <c r="C707" s="2" t="n"/>
      <c r="D707" s="2" t="inlineStr">
        <is>
          <t>พ.ร.บ. ผลิตภัณฑ์สมุนไพร พ.ศ. 2562</t>
        </is>
      </c>
      <c r="E707" s="2" t="inlineStr">
        <is>
          <t>พ.ร.บ. เครื่องสำอาง พ.ศ. 2558</t>
        </is>
      </c>
      <c r="F707" s="2" t="inlineStr">
        <is>
          <t>พ.ร.บ. หลักประกันสุขภาพแห่งชาติ พ.ศ. 2545</t>
        </is>
      </c>
      <c r="G707" s="2" t="inlineStr">
        <is>
          <t>การปฏิบัติทางเภสัชกรรมชุมชน (Good Pharmacy Practice: GPP)</t>
        </is>
      </c>
      <c r="H707" s="2" t="inlineStr">
        <is>
          <t>บัญชียาหลักแห่งชาติ (National List of Essential Medicines: NLEM)</t>
        </is>
      </c>
      <c r="I707" s="8" t="inlineStr">
        <is>
          <t>1</t>
        </is>
      </c>
      <c r="J70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7" s="2" t="n"/>
      <c r="L707" s="2" t="inlineStr">
        <is>
          <t>Pharmacy Laws &amp; Ethics</t>
        </is>
      </c>
      <c r="M707" s="2" t="inlineStr">
        <is>
          <t>SAP</t>
        </is>
      </c>
      <c r="N707" s="2" t="inlineStr">
        <is>
          <t>ข้อ 10 (PLE_CC1_2557.md)</t>
        </is>
      </c>
      <c r="O707" s="2" t="inlineStr">
        <is>
          <t>ข้อสอบจริง</t>
        </is>
      </c>
      <c r="P707" s="2" t="inlineStr">
        <is>
          <t>ปี 2557</t>
        </is>
      </c>
    </row>
    <row r="708" ht="13.2" customHeight="1" s="37">
      <c r="A708" s="8" t="inlineStr">
        <is>
          <t>729</t>
        </is>
      </c>
      <c r="B708" s="2" t="inlineStr">
        <is>
          <t>ในครั%งนี% ผู้ป่วยควรได้รับการรักษาด้วยสูตรยาใด (1) 2HRZE / 4HR (2) 2HRZES / 1HRZE / 5HRE (3) 2SHRE / 6HR (4) 2SHE / 10HE (5) 2SEO / 16-22EO</t>
        </is>
      </c>
      <c r="C708" s="2" t="n"/>
      <c r="D708" s="2" t="inlineStr">
        <is>
          <t>Naloxone 0.4 mg IV stat</t>
        </is>
      </c>
      <c r="E708" s="2" t="inlineStr">
        <is>
          <t>Flumazenil 0.2 mg IV stat</t>
        </is>
      </c>
      <c r="F708" s="2" t="inlineStr">
        <is>
          <t>Vitamin K1 (Phytomenadione) 10 mg IV slow</t>
        </is>
      </c>
      <c r="G708" s="2" t="inlineStr">
        <is>
          <t>Sodium thiosulfate 25% 50 mL IV</t>
        </is>
      </c>
      <c r="H708" s="2" t="inlineStr">
        <is>
          <t>Calcium disodium EDTA 1 g IV</t>
        </is>
      </c>
      <c r="I708" s="8" t="inlineStr">
        <is>
          <t>1</t>
        </is>
      </c>
      <c r="J7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08" s="2" t="n"/>
      <c r="L708" s="2" t="inlineStr">
        <is>
          <t>General Therapeutics</t>
        </is>
      </c>
      <c r="M708" s="2" t="inlineStr">
        <is>
          <t>Clinic</t>
        </is>
      </c>
      <c r="N708" s="2" t="inlineStr">
        <is>
          <t>ข้อ 17 (PLE_CC1_2557.md)</t>
        </is>
      </c>
      <c r="O708" s="2" t="inlineStr">
        <is>
          <t>ข้อสอบจริง</t>
        </is>
      </c>
      <c r="P708" s="2" t="inlineStr">
        <is>
          <t>ปี 2557</t>
        </is>
      </c>
    </row>
    <row r="709" ht="13.2" customHeight="1" s="37">
      <c r="A709" s="8" t="inlineStr">
        <is>
          <t>730</t>
        </is>
      </c>
      <c r="B709" s="2" t="inlineStr">
        <is>
          <t>สารในข้อใด มีฤทธิA Anti-androgen (1) (2) (3) (4) (5)</t>
        </is>
      </c>
      <c r="C709" s="2" t="n"/>
      <c r="D709" s="2" t="inlineStr">
        <is>
          <t>Sodium thiosulfate 25% 50 mL IV</t>
        </is>
      </c>
      <c r="E709" s="2" t="inlineStr">
        <is>
          <t>Calcium disodium EDTA 1 g IV</t>
        </is>
      </c>
      <c r="F709" s="2" t="inlineStr">
        <is>
          <t>Desferrioxamine 1 g IM/IV</t>
        </is>
      </c>
      <c r="G709" s="2" t="inlineStr">
        <is>
          <t>Dimercaprol (BAL) 3 mg/kg IM</t>
        </is>
      </c>
      <c r="H709" s="2" t="inlineStr">
        <is>
          <t>Ethanol 10% IV infusion for Methanol poisoning</t>
        </is>
      </c>
      <c r="I709" s="8" t="inlineStr">
        <is>
          <t>1</t>
        </is>
      </c>
      <c r="J7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9" s="2" t="n"/>
      <c r="L709" s="2" t="inlineStr">
        <is>
          <t>General Therapeutics</t>
        </is>
      </c>
      <c r="M709" s="2" t="inlineStr">
        <is>
          <t>Clinic</t>
        </is>
      </c>
      <c r="N709" s="2" t="inlineStr">
        <is>
          <t>ข้อ 41 (PLE_CC1_2557.md)</t>
        </is>
      </c>
      <c r="O709" s="2" t="inlineStr">
        <is>
          <t>ข้อสอบจริง</t>
        </is>
      </c>
      <c r="P709" s="2" t="inlineStr">
        <is>
          <t>ปี 2557</t>
        </is>
      </c>
    </row>
    <row r="710" ht="13.2" customHeight="1" s="37">
      <c r="A710" s="8" t="inlineStr">
        <is>
          <t>731</t>
        </is>
      </c>
      <c r="B710" s="2" t="inlineStr">
        <is>
          <t>Calcium carbonate 2 g ให้ elemental calcium เท่าใด (1) 200 mg (2) 400 mg (3) 500 mg (4) 800 mg (5) 1000 mg</t>
        </is>
      </c>
      <c r="C710" s="2" t="n"/>
      <c r="D710" s="2" t="inlineStr">
        <is>
          <t>Sodium bicarbonate 650 mg TID</t>
        </is>
      </c>
      <c r="E710" s="2" t="inlineStr">
        <is>
          <t>Kayexalate (Sodium polystyrene sulfonate) 15 g TID</t>
        </is>
      </c>
      <c r="F710" s="2" t="inlineStr">
        <is>
          <t>Calcium gluconate 10% 10 mL IV over 5 min</t>
        </is>
      </c>
      <c r="G710" s="2" t="inlineStr">
        <is>
          <t>Furosemide 40 mg IV/PO OD</t>
        </is>
      </c>
      <c r="H710" s="2" t="inlineStr">
        <is>
          <t>Erythropoietin (EPO) 4000 units SC weekly</t>
        </is>
      </c>
      <c r="I710" s="8" t="inlineStr">
        <is>
          <t>1</t>
        </is>
      </c>
      <c r="J710" s="2" t="inlineStr">
        <is>
          <t>✅ คำตอบที่ถูกต้อง: ข้อ ก. Sodium bicarbonate 650 mg TID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Sodium bicarbonate 650 mg TID
🔍 ข้ออื่นผิดเพราะอะไร:
• ข้อ ข. (Kayexalate (Sodium polystyrene sulfonate) 15 g TID): ข้อนี้ไม่ใช่คำตอบที่ถูกต้องสำหรับภาวะ Renal Diseases เนื่องจากกลไกการออกฤทธิ์, efficacy หรือข้อบ่งใช้ไม่ตรงกับโจทย์ที่กำหนด
• ข้อ ค. (Calcium gluconate 10% 10 mL IV over 5 min): ข้อนี้ไม่ใช่คำตอบที่ถูกต้องสำหรับภาวะ Renal Diseases เนื่องจากกลไกการออกฤทธิ์, efficacy หรือข้อบ่งใช้ไม่ตรงกับโจทย์ที่กำหนด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710" s="2" t="n"/>
      <c r="L710" s="2" t="inlineStr">
        <is>
          <t>Renal Diseases</t>
        </is>
      </c>
      <c r="M710" s="2" t="inlineStr">
        <is>
          <t>Clinic</t>
        </is>
      </c>
      <c r="N710" s="2" t="inlineStr">
        <is>
          <t>ข้อ 45 (PLE_CC1_2557.md)</t>
        </is>
      </c>
      <c r="O710" s="2" t="inlineStr">
        <is>
          <t>ข้อสอบจริง</t>
        </is>
      </c>
      <c r="P710" s="2" t="inlineStr">
        <is>
          <t>ปี 2557</t>
        </is>
      </c>
    </row>
    <row r="711" ht="13.2" customHeight="1" s="37">
      <c r="A711" s="8" t="inlineStr">
        <is>
          <t>732</t>
        </is>
      </c>
      <c r="B711" s="2" t="inlineStr">
        <is>
          <t>Calcium carbonate มีผลลดการดูดซึมยาในข้อใด (1) Azithromycin (2) Dicloxacillin (3) Clindamycin (4) Cephalexin (5) Norfloxacin Final version | Maximum’2017 Rx30 | Prince of Songkla University</t>
        </is>
      </c>
      <c r="C711" s="2" t="n"/>
      <c r="D711" s="2" t="inlineStr">
        <is>
          <t>Cefazolin 1 g IV Q8H</t>
        </is>
      </c>
      <c r="E711" s="2" t="inlineStr">
        <is>
          <t>Amoxicillin/Clavulanate 1 g BID</t>
        </is>
      </c>
      <c r="F711" s="2" t="inlineStr">
        <is>
          <t>Ceftriaxone 1 g IV OD</t>
        </is>
      </c>
      <c r="G711" s="2" t="inlineStr">
        <is>
          <t>Ciprofloxacin 500 mg BID</t>
        </is>
      </c>
      <c r="H711" s="2" t="inlineStr">
        <is>
          <t>Azithromycin 500 mg OD</t>
        </is>
      </c>
      <c r="I711" s="8" t="inlineStr">
        <is>
          <t>1</t>
        </is>
      </c>
      <c r="J711" s="2" t="inlineStr">
        <is>
          <t>✅ คำตอบที่ถูกต้อง: ข้อ ก. Cefazolin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1" s="2" t="n"/>
      <c r="L711" s="2" t="inlineStr">
        <is>
          <t>Infectious Diseases</t>
        </is>
      </c>
      <c r="M711" s="2" t="inlineStr">
        <is>
          <t>Clinic</t>
        </is>
      </c>
      <c r="N711" s="2" t="inlineStr">
        <is>
          <t>ข้อ 46 (PLE_CC1_2557.md)</t>
        </is>
      </c>
      <c r="O711" s="2" t="inlineStr">
        <is>
          <t>ข้อสอบจริง</t>
        </is>
      </c>
      <c r="P711" s="2" t="inlineStr">
        <is>
          <t>ปี 2557</t>
        </is>
      </c>
    </row>
    <row r="712" ht="13.2" customHeight="1" s="37">
      <c r="A712" s="8" t="inlineStr">
        <is>
          <t>733</t>
        </is>
      </c>
      <c r="B712" s="2" t="inlineStr">
        <is>
          <t>ผงเกลือแร่ ORS ที_x001E_เหมาะสมสำหรับผู้ป่วยรายนี% ควรมี ปริมาณ sodium และ glucose เท่าใด (1) Sodium 45 mEq, glucose 60 mEq (2) Sodium 75 mEq, glucose 60 mEq (3) Sodium 75 mEq, glucose 90 mEq (4) Sodium 90 mEq, glucose 90 mEq (5) Sodium 90 mEq, glucose 120 mEq Final version | Maximum’2017 Rx30 | Prince of Songkla University</t>
        </is>
      </c>
      <c r="C712" s="2" t="n"/>
      <c r="D712" s="2" t="inlineStr">
        <is>
          <t>Empagliflozin 10 mg OD</t>
        </is>
      </c>
      <c r="E712" s="2" t="inlineStr">
        <is>
          <t>Sitagliptin 100 mg OD</t>
        </is>
      </c>
      <c r="F712" s="2" t="inlineStr">
        <is>
          <t>Liraglutide 1.2 mg SC OD</t>
        </is>
      </c>
      <c r="G712" s="2" t="inlineStr">
        <is>
          <t>Levothyroxine 50 mcg OD</t>
        </is>
      </c>
      <c r="H712" s="2" t="inlineStr">
        <is>
          <t>Propylthiouracil 50 mg TID</t>
        </is>
      </c>
      <c r="I712" s="8" t="inlineStr">
        <is>
          <t>1</t>
        </is>
      </c>
      <c r="J712" s="2"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เป็น DPP-4 inhibitor เพิ่ม active GLP-1 แบบ glucose-dependent มี neutral effect ต่อน้ำหนักตัว และความเสี่ยงต่อ hypoglycemia ต่ำมาก แต่ต้องปรับ dose ตาม CrCl
• ข้อ ค.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ง.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จ.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712" s="2" t="n"/>
      <c r="L712" s="2" t="inlineStr">
        <is>
          <t>Diabetes &amp; Endocrine</t>
        </is>
      </c>
      <c r="M712" s="2" t="inlineStr">
        <is>
          <t>Clinic</t>
        </is>
      </c>
      <c r="N712" s="2" t="inlineStr">
        <is>
          <t>ข้อ 60 (PLE_CC1_2557.md)</t>
        </is>
      </c>
      <c r="O712" s="2" t="inlineStr">
        <is>
          <t>ข้อสอบจริง</t>
        </is>
      </c>
      <c r="P712" s="2" t="inlineStr">
        <is>
          <t>ปี 2557</t>
        </is>
      </c>
    </row>
    <row r="713" ht="13.2" customHeight="1" s="37">
      <c r="A713" s="8" t="inlineStr">
        <is>
          <t>734</t>
        </is>
      </c>
      <c r="B713" s="2" t="inlineStr">
        <is>
          <t>เพิ่มการ metabolite ที่ตับ</t>
        </is>
      </c>
      <c r="C713" s="2" t="n"/>
      <c r="D713" s="2" t="inlineStr">
        <is>
          <t>Sodium thiosulfate 25% 50 mL IV</t>
        </is>
      </c>
      <c r="E713" s="2" t="inlineStr">
        <is>
          <t>Calcium disodium EDTA 1 g IV</t>
        </is>
      </c>
      <c r="F713" s="2" t="inlineStr">
        <is>
          <t>Desferrioxamine 1 g IM/IV</t>
        </is>
      </c>
      <c r="G713" s="2" t="inlineStr">
        <is>
          <t>Dimercaprol (BAL) 3 mg/kg IM</t>
        </is>
      </c>
      <c r="H713" s="2" t="inlineStr">
        <is>
          <t>Ethanol 10% IV infusion for Methanol poisoning</t>
        </is>
      </c>
      <c r="I713" s="8" t="inlineStr">
        <is>
          <t>1</t>
        </is>
      </c>
      <c r="J7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3" s="2" t="n"/>
      <c r="L713" s="2" t="inlineStr">
        <is>
          <t>General Therapeutics</t>
        </is>
      </c>
      <c r="M713" s="2" t="inlineStr">
        <is>
          <t>Clinic</t>
        </is>
      </c>
      <c r="N713" s="2" t="inlineStr">
        <is>
          <t>ข้อ 1 (PLE_CC1_2556.md)</t>
        </is>
      </c>
      <c r="O713" s="2" t="inlineStr">
        <is>
          <t>ข้อสอบจริง</t>
        </is>
      </c>
      <c r="P713" s="2" t="inlineStr">
        <is>
          <t>ปี 2556</t>
        </is>
      </c>
    </row>
    <row r="714" ht="13.2" customHeight="1" s="37">
      <c r="A714" s="8" t="inlineStr">
        <is>
          <t>735</t>
        </is>
      </c>
      <c r="B714" s="2" t="inlineStr">
        <is>
          <t>กดการทำงานของระบบประสาทมากขึ้น</t>
        </is>
      </c>
      <c r="C714" s="2" t="n"/>
      <c r="D714" s="2" t="inlineStr">
        <is>
          <t>Dimercaprol (BAL) 3 mg/kg IM</t>
        </is>
      </c>
      <c r="E714" s="2" t="inlineStr">
        <is>
          <t>Ethanol 10% IV infusion for Methanol poisoning</t>
        </is>
      </c>
      <c r="F714" s="2" t="inlineStr">
        <is>
          <t>Fomepizole 15 mg/kg IV loading</t>
        </is>
      </c>
      <c r="G714" s="2" t="inlineStr">
        <is>
          <t>N-acetylcysteine (NAC) IV infusion protocol</t>
        </is>
      </c>
      <c r="H714" s="2" t="inlineStr">
        <is>
          <t>Atropine sulfate 2 mg IV Q5-10 min</t>
        </is>
      </c>
      <c r="I714" s="8" t="inlineStr">
        <is>
          <t>1</t>
        </is>
      </c>
      <c r="J7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14" s="2" t="n"/>
      <c r="L714" s="2" t="inlineStr">
        <is>
          <t>General Therapeutics</t>
        </is>
      </c>
      <c r="M714" s="2" t="inlineStr">
        <is>
          <t>Clinic</t>
        </is>
      </c>
      <c r="N714" s="2" t="inlineStr">
        <is>
          <t>ข้อ 2 (PLE_CC1_2556.md)</t>
        </is>
      </c>
      <c r="O714" s="2" t="inlineStr">
        <is>
          <t>ข้อสอบจริง</t>
        </is>
      </c>
      <c r="P714" s="2" t="inlineStr">
        <is>
          <t>ปี 2556</t>
        </is>
      </c>
    </row>
    <row r="715" ht="13.2" customHeight="1" s="37">
      <c r="A715" s="8" t="inlineStr">
        <is>
          <t>736</t>
        </is>
      </c>
      <c r="B715" s="2" t="inlineStr">
        <is>
          <t>เปลี่ยนการให้เป็นแบบiv pushจะดีกว่า</t>
        </is>
      </c>
      <c r="C715" s="2" t="n"/>
      <c r="D715" s="2" t="inlineStr">
        <is>
          <t>N-acetylcysteine (NAC) IV infusion protocol</t>
        </is>
      </c>
      <c r="E715" s="2" t="inlineStr">
        <is>
          <t>Atropine sulfate 2 mg IV Q5-10 min</t>
        </is>
      </c>
      <c r="F715" s="2" t="inlineStr">
        <is>
          <t>Pralidoxime (2-PAM) 1-2 g IV over 30 min</t>
        </is>
      </c>
      <c r="G715" s="2" t="inlineStr">
        <is>
          <t>Naloxone 0.4 mg IV stat</t>
        </is>
      </c>
      <c r="H715" s="2" t="inlineStr">
        <is>
          <t>Flumazenil 0.2 mg IV stat</t>
        </is>
      </c>
      <c r="I715" s="8" t="inlineStr">
        <is>
          <t>1</t>
        </is>
      </c>
      <c r="J7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15" s="2" t="n"/>
      <c r="L715" s="2" t="inlineStr">
        <is>
          <t>General Therapeutics</t>
        </is>
      </c>
      <c r="M715" s="2" t="inlineStr">
        <is>
          <t>Clinic</t>
        </is>
      </c>
      <c r="N715" s="2" t="inlineStr">
        <is>
          <t>ข้อ 1 (PLE_CC1_2556.md)</t>
        </is>
      </c>
      <c r="O715" s="2" t="inlineStr">
        <is>
          <t>ข้อสอบจริง</t>
        </is>
      </c>
      <c r="P715" s="2" t="inlineStr">
        <is>
          <t>ปี 2556</t>
        </is>
      </c>
    </row>
    <row r="716" ht="13.2" customHeight="1" s="37">
      <c r="A716" s="8" t="inlineStr">
        <is>
          <t>737</t>
        </is>
      </c>
      <c r="B716" s="2" t="inlineStr">
        <is>
          <t>ละลายในกรดอ่อนได้</t>
        </is>
      </c>
      <c r="C716" s="2" t="n"/>
      <c r="D716" s="2" t="inlineStr">
        <is>
          <t>Naloxone 0.4 mg IV stat</t>
        </is>
      </c>
      <c r="E716" s="2" t="inlineStr">
        <is>
          <t>Flumazenil 0.2 mg IV stat</t>
        </is>
      </c>
      <c r="F716" s="2" t="inlineStr">
        <is>
          <t>Vitamin K1 (Phytomenadione) 10 mg IV slow</t>
        </is>
      </c>
      <c r="G716" s="2" t="inlineStr">
        <is>
          <t>Sodium thiosulfate 25% 50 mL IV</t>
        </is>
      </c>
      <c r="H716" s="2" t="inlineStr">
        <is>
          <t>Calcium disodium EDTA 1 g IV</t>
        </is>
      </c>
      <c r="I716" s="8" t="inlineStr">
        <is>
          <t>1</t>
        </is>
      </c>
      <c r="J7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16" s="2" t="n"/>
      <c r="L716" s="2" t="inlineStr">
        <is>
          <t>General Therapeutics</t>
        </is>
      </c>
      <c r="M716" s="2" t="inlineStr">
        <is>
          <t>Clinic</t>
        </is>
      </c>
      <c r="N716" s="2" t="inlineStr">
        <is>
          <t>ข้อ 2 (PLE_CC1_2556.md)</t>
        </is>
      </c>
      <c r="O716" s="2" t="inlineStr">
        <is>
          <t>ข้อสอบจริง</t>
        </is>
      </c>
      <c r="P716" s="2" t="inlineStr">
        <is>
          <t>ปี 2556</t>
        </is>
      </c>
    </row>
    <row r="717" ht="13.2" customHeight="1" s="37">
      <c r="A717" s="8" t="inlineStr">
        <is>
          <t>738</t>
        </is>
      </c>
      <c r="B717" s="2" t="inlineStr">
        <is>
          <t>แพทย์ให้ผู้ป่วยใช้ยาเดิมต่อ แต่ผู้ป่วยรับประทานผลิตภัณฑ์เสริมอาหาร แล้วมีอาการใจสั่น เหงื่อออก อ่อนเพลีย ปาก ชา .....หลายสิ่ง น่าจะเกิดจากข้อใด</t>
        </is>
      </c>
      <c r="C717" s="2" t="n"/>
      <c r="D717" s="2" t="inlineStr">
        <is>
          <t>Sodium thiosulfate 25% 50 mL IV</t>
        </is>
      </c>
      <c r="E717" s="2" t="inlineStr">
        <is>
          <t>Calcium disodium EDTA 1 g IV</t>
        </is>
      </c>
      <c r="F717" s="2" t="inlineStr">
        <is>
          <t>Desferrioxamine 1 g IM/IV</t>
        </is>
      </c>
      <c r="G717" s="2" t="inlineStr">
        <is>
          <t>Dimercaprol (BAL) 3 mg/kg IM</t>
        </is>
      </c>
      <c r="H717" s="2" t="inlineStr">
        <is>
          <t>Ethanol 10% IV infusion for Methanol poisoning</t>
        </is>
      </c>
      <c r="I717" s="8" t="inlineStr">
        <is>
          <t>1</t>
        </is>
      </c>
      <c r="J7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7" s="2" t="n"/>
      <c r="L717" s="2" t="inlineStr">
        <is>
          <t>General Therapeutics</t>
        </is>
      </c>
      <c r="M717" s="2" t="inlineStr">
        <is>
          <t>Clinic</t>
        </is>
      </c>
      <c r="N717" s="2" t="inlineStr">
        <is>
          <t>ข้อ 5 (PLE_CC1_2556.md)</t>
        </is>
      </c>
      <c r="O717" s="2" t="inlineStr">
        <is>
          <t>ข้อสอบจริง</t>
        </is>
      </c>
      <c r="P717" s="2" t="inlineStr">
        <is>
          <t>ปี 2556</t>
        </is>
      </c>
    </row>
    <row r="718" ht="13.2" customHeight="1" s="37">
      <c r="A718" s="8" t="inlineStr">
        <is>
          <t>739</t>
        </is>
      </c>
      <c r="B718" s="2" t="inlineStr">
        <is>
          <t>มะระขี้นกปั่น 100 mL อาหารเที่ยง</t>
        </is>
      </c>
      <c r="C718" s="2" t="n"/>
      <c r="D718" s="2" t="inlineStr">
        <is>
          <t>Dimercaprol (BAL) 3 mg/kg IM</t>
        </is>
      </c>
      <c r="E718" s="2" t="inlineStr">
        <is>
          <t>Ethanol 10% IV infusion for Methanol poisoning</t>
        </is>
      </c>
      <c r="F718" s="2" t="inlineStr">
        <is>
          <t>Fomepizole 15 mg/kg IV loading</t>
        </is>
      </c>
      <c r="G718" s="2" t="inlineStr">
        <is>
          <t>N-acetylcysteine (NAC) IV infusion protocol</t>
        </is>
      </c>
      <c r="H718" s="2" t="inlineStr">
        <is>
          <t>Atropine sulfate 2 mg IV Q5-10 min</t>
        </is>
      </c>
      <c r="I718" s="8" t="inlineStr">
        <is>
          <t>1</t>
        </is>
      </c>
      <c r="J7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18" s="2" t="n"/>
      <c r="L718" s="2" t="inlineStr">
        <is>
          <t>General Therapeutics</t>
        </is>
      </c>
      <c r="M718" s="2" t="inlineStr">
        <is>
          <t>Clinic</t>
        </is>
      </c>
      <c r="N718" s="2" t="inlineStr">
        <is>
          <t>ข้อ 1 (PLE_CC1_2556.md)</t>
        </is>
      </c>
      <c r="O718" s="2" t="inlineStr">
        <is>
          <t>ข้อสอบจริง</t>
        </is>
      </c>
      <c r="P718" s="2" t="inlineStr">
        <is>
          <t>ปี 2556</t>
        </is>
      </c>
    </row>
    <row r="719" ht="13.2" customHeight="1" s="37">
      <c r="A719" s="8" t="inlineStr">
        <is>
          <t>740</t>
        </is>
      </c>
      <c r="B719" s="2" t="inlineStr">
        <is>
          <t>บริวเวอร์ยีสต์ 1 tab OD</t>
        </is>
      </c>
      <c r="C719" s="2" t="n"/>
      <c r="D719" s="2" t="inlineStr">
        <is>
          <t>N-acetylcysteine (NAC) IV infusion protocol</t>
        </is>
      </c>
      <c r="E719" s="2" t="inlineStr">
        <is>
          <t>Atropine sulfate 2 mg IV Q5-10 min</t>
        </is>
      </c>
      <c r="F719" s="2" t="inlineStr">
        <is>
          <t>Pralidoxime (2-PAM) 1-2 g IV over 30 min</t>
        </is>
      </c>
      <c r="G719" s="2" t="inlineStr">
        <is>
          <t>Naloxone 0.4 mg IV stat</t>
        </is>
      </c>
      <c r="H719" s="2" t="inlineStr">
        <is>
          <t>Flumazenil 0.2 mg IV stat</t>
        </is>
      </c>
      <c r="I719" s="8" t="inlineStr">
        <is>
          <t>1</t>
        </is>
      </c>
      <c r="J7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19" s="2" t="n"/>
      <c r="L719" s="2" t="inlineStr">
        <is>
          <t>General Therapeutics</t>
        </is>
      </c>
      <c r="M719" s="2" t="inlineStr">
        <is>
          <t>Clinic</t>
        </is>
      </c>
      <c r="N719" s="2" t="inlineStr">
        <is>
          <t>ข้อ 2 (PLE_CC1_2556.md)</t>
        </is>
      </c>
      <c r="O719" s="2" t="inlineStr">
        <is>
          <t>ข้อสอบจริง</t>
        </is>
      </c>
      <c r="P719" s="2" t="inlineStr">
        <is>
          <t>ปี 2556</t>
        </is>
      </c>
    </row>
    <row r="720" ht="13.2" customHeight="1" s="37">
      <c r="A720" s="8" t="inlineStr">
        <is>
          <t>741</t>
        </is>
      </c>
      <c r="B720" s="2" t="inlineStr">
        <is>
          <t>แนะนำให้ผู้ป่วยเก็บในตู้เย็น แต่ห้ามแช่แข็ง</t>
        </is>
      </c>
      <c r="C720" s="2" t="n"/>
      <c r="D720" s="2" t="inlineStr">
        <is>
          <t>Naloxone 0.4 mg IV stat</t>
        </is>
      </c>
      <c r="E720" s="2" t="inlineStr">
        <is>
          <t>Flumazenil 0.2 mg IV stat</t>
        </is>
      </c>
      <c r="F720" s="2" t="inlineStr">
        <is>
          <t>Vitamin K1 (Phytomenadione) 10 mg IV slow</t>
        </is>
      </c>
      <c r="G720" s="2" t="inlineStr">
        <is>
          <t>Sodium thiosulfate 25% 50 mL IV</t>
        </is>
      </c>
      <c r="H720" s="2" t="inlineStr">
        <is>
          <t>Calcium disodium EDTA 1 g IV</t>
        </is>
      </c>
      <c r="I720" s="8" t="inlineStr">
        <is>
          <t>1</t>
        </is>
      </c>
      <c r="J7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20" s="2" t="n"/>
      <c r="L720" s="2" t="inlineStr">
        <is>
          <t>General Therapeutics</t>
        </is>
      </c>
      <c r="M720" s="2" t="inlineStr">
        <is>
          <t>Clinic</t>
        </is>
      </c>
      <c r="N720" s="2" t="inlineStr">
        <is>
          <t>ข้อ 1 (PLE_CC1_2556.md)</t>
        </is>
      </c>
      <c r="O720" s="2" t="inlineStr">
        <is>
          <t>ข้อสอบจริง</t>
        </is>
      </c>
      <c r="P720" s="2" t="inlineStr">
        <is>
          <t>ปี 2556</t>
        </is>
      </c>
    </row>
    <row r="721" ht="13.2" customHeight="1" s="37">
      <c r="A721" s="8" t="inlineStr">
        <is>
          <t>742</t>
        </is>
      </c>
      <c r="B721" s="2" t="inlineStr">
        <is>
          <t>ไม่จำเป็นต้องจัดการใด ๆ เพิ่ม</t>
        </is>
      </c>
      <c r="C721" s="2" t="n"/>
      <c r="D721" s="2" t="inlineStr">
        <is>
          <t>สาเหตุใดที่ทำให้ผู้ป่วยเกิดภาวะ anemia ของผู้ป่วยรายนี้</t>
        </is>
      </c>
      <c r="E721" s="2" t="inlineStr">
        <is>
          <t>Calcium disodium EDTA 1 g IV</t>
        </is>
      </c>
      <c r="F721" s="2" t="inlineStr">
        <is>
          <t>Desferrioxamine 1 g IM/IV</t>
        </is>
      </c>
      <c r="G721" s="2" t="inlineStr">
        <is>
          <t>Dimercaprol (BAL) 3 mg/kg IM</t>
        </is>
      </c>
      <c r="H721" s="2" t="inlineStr">
        <is>
          <t>Ethanol 10% IV infusion for Methanol poisoning</t>
        </is>
      </c>
      <c r="I721" s="8" t="inlineStr">
        <is>
          <t>1</t>
        </is>
      </c>
      <c r="J721" s="2" t="inlineStr">
        <is>
          <t>✅ คำตอบที่ถูกต้อง: ข้อ ก. สาเหตุใดที่ทำให้ผู้ป่วยเกิดภาวะ anemia ของผู้ป่วยรายนี้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สาเหตุใดที่ทำให้ผู้ป่วยเกิดภาวะ anemia ของผู้ป่วยรายนี้ การเลือก สาเหตุใดที่ทำให้ผู้ป่วยเกิดภาวะ anemia ของผู้ป่วยรายนี้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1" s="2" t="n"/>
      <c r="L721" s="2" t="inlineStr">
        <is>
          <t>General Therapeutics</t>
        </is>
      </c>
      <c r="M721" s="2" t="inlineStr">
        <is>
          <t>Clinic</t>
        </is>
      </c>
      <c r="N721" s="2" t="inlineStr">
        <is>
          <t>ข้อ 5 (PLE_CC1_2556.md)</t>
        </is>
      </c>
      <c r="O721" s="2" t="inlineStr">
        <is>
          <t>ข้อสอบจริง</t>
        </is>
      </c>
      <c r="P721" s="2" t="inlineStr">
        <is>
          <t>ปี 2556</t>
        </is>
      </c>
    </row>
    <row r="722" ht="13.2" customHeight="1" s="37">
      <c r="A722" s="8" t="inlineStr">
        <is>
          <t>743</t>
        </is>
      </c>
      <c r="B722" s="2" t="inlineStr">
        <is>
          <t>Erythropoietin</t>
        </is>
      </c>
      <c r="C722" s="2" t="n"/>
      <c r="D722" s="2" t="inlineStr">
        <is>
          <t>สมุนไพรอะไรที่มีผลรบกวนการดูดซึมเหล็กอะ</t>
        </is>
      </c>
      <c r="E722" s="2" t="inlineStr">
        <is>
          <t>) Alkaloid 2,) Antrahquinone</t>
        </is>
      </c>
      <c r="F722" s="2" t="inlineStr">
        <is>
          <t>) flavonoid</t>
        </is>
      </c>
      <c r="G722" s="2" t="inlineStr">
        <is>
          <t>) Tannin 6.เรียงลำดับยาลดความดัน ตอบ Furosemide &gt; HCTZ &gt;Amiodalone 7.ยา HCTZ จัดอยู่ใน class III ตาม BSC ข้อใดถูก</t>
        </is>
      </c>
      <c r="H722" s="2" t="inlineStr">
        <is>
          <t>Atropine sulfate 2 mg IV Q5-10 min</t>
        </is>
      </c>
      <c r="I722" s="8" t="inlineStr">
        <is>
          <t>1</t>
        </is>
      </c>
      <c r="J722" s="2" t="inlineStr">
        <is>
          <t>✅ คำตอบที่ถูกต้อง: ข้อ ก. สมุนไพรอะไรที่มีผลรบกวนการดูดซึมเหล็กอะ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สมุนไพรอะไรที่มีผลรบกวนการดูดซึมเหล็กอะ การเลือก สมุนไพรอะไรที่มีผลรบกวนการดูดซึมเหล็กอะ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 Alkaloid 2,) Antrahquinone): ข้อนี้ไม่ใช่คำตอบที่ถูกต้องสำหรับภาวะ Renal Diseases เนื่องจากกลไกการออกฤทธิ์, efficacy หรือข้อบ่งใช้ไม่ตรงกับโจทย์ที่กำหนด
• ข้อ ค. () flavonoid): ข้อนี้ไม่ใช่คำตอบที่ถูกต้องสำหรับภาวะ Renal Diseases เนื่องจากกลไกการออกฤทธิ์, efficacy หรือข้อบ่งใช้ไม่ตรงกับโจทย์ที่กำหนด
• ข้อ ง. () Tannin 6.เรียงลำดับยาลดความดัน ตอบ Furosemide &gt; HCTZ &gt;Amiodalone 7.ยา HCTZ จัดอยู่ใน class III ตาม BSC ข้อใดถูก): เป็น Loop diuretic ยับยั้ง Na+/K+/2Cl- cotransporter ที่ Thick ascending limb ใช้จัดการ volume overload ใน HF หรือ CKD แต่ไม่เหมาะเป็น first-line ลดความดันโลหิตเดี่ยวๆ
• ข้อ จ. (Atropine sulfate 2 mg IV Q5-10 min):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722" s="2" t="n"/>
      <c r="L722" s="2" t="inlineStr">
        <is>
          <t>Renal Diseases</t>
        </is>
      </c>
      <c r="M722" s="2" t="inlineStr">
        <is>
          <t>Clinic</t>
        </is>
      </c>
      <c r="N722" s="2" t="inlineStr">
        <is>
          <t>ข้อ 5 (PLE_CC1_2556.md)</t>
        </is>
      </c>
      <c r="O722" s="2" t="inlineStr">
        <is>
          <t>ข้อสอบจริง</t>
        </is>
      </c>
      <c r="P722" s="2" t="inlineStr">
        <is>
          <t>ปี 2556</t>
        </is>
      </c>
    </row>
    <row r="723" ht="13.2" customHeight="1" s="37">
      <c r="A723" s="8" t="inlineStr">
        <is>
          <t>744</t>
        </is>
      </c>
      <c r="B723" s="2" t="inlineStr">
        <is>
          <t>ให้สวนล้างช่องคลอดด้วยด่าง เพื่อปรับสมดุล</t>
        </is>
      </c>
      <c r="C723" s="2" t="n"/>
      <c r="D723" s="2" t="inlineStr">
        <is>
          <t>พ.ร.บ. วัตถุที่ออกฤทธิ์ต่อจิตและประสาท พ.ศ. 2559 (ประเภท 2 และ 4)</t>
        </is>
      </c>
      <c r="E723" s="2" t="inlineStr">
        <is>
          <t>พ.ร.บ. วิชาชีพเภสัชกรรม พ.ศ. 2537 และข้อบังคับจรรยาบรรณวิชาชีพ</t>
        </is>
      </c>
      <c r="F723" s="2" t="inlineStr">
        <is>
          <t>พ.ร.บ. ผลิตภัณฑ์สมุนไพร พ.ศ. 2562</t>
        </is>
      </c>
      <c r="G723" s="2" t="inlineStr">
        <is>
          <t>พ.ร.บ. เครื่องสำอาง พ.ศ. 2558</t>
        </is>
      </c>
      <c r="H723" s="2" t="inlineStr">
        <is>
          <t>พ.ร.บ. หลักประกันสุขภาพแห่งชาติ พ.ศ. 2545</t>
        </is>
      </c>
      <c r="I723" s="8" t="inlineStr">
        <is>
          <t>1</t>
        </is>
      </c>
      <c r="J72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3" s="2" t="n"/>
      <c r="L723" s="2" t="inlineStr">
        <is>
          <t>Pharmacy Laws &amp; Ethics</t>
        </is>
      </c>
      <c r="M723" s="2" t="inlineStr">
        <is>
          <t>SAP</t>
        </is>
      </c>
      <c r="N723" s="2" t="inlineStr">
        <is>
          <t>ข้อ 1 (PLE_CC1_2556.md)</t>
        </is>
      </c>
      <c r="O723" s="2" t="inlineStr">
        <is>
          <t>ข้อสอบจริง</t>
        </is>
      </c>
      <c r="P723" s="2" t="inlineStr">
        <is>
          <t>ปี 2556</t>
        </is>
      </c>
    </row>
    <row r="724" ht="13.2" customHeight="1" s="37">
      <c r="A724" s="8" t="inlineStr">
        <is>
          <t>745</t>
        </is>
      </c>
      <c r="B724" s="2" t="inlineStr">
        <is>
          <t>แนะนำให้คู่นอนรักษาด้วย</t>
        </is>
      </c>
      <c r="C724" s="2" t="n"/>
      <c r="D724" s="2" t="inlineStr">
        <is>
          <t>Naloxone 0.4 mg IV stat</t>
        </is>
      </c>
      <c r="E724" s="2" t="inlineStr">
        <is>
          <t>Flumazenil 0.2 mg IV stat</t>
        </is>
      </c>
      <c r="F724" s="2" t="inlineStr">
        <is>
          <t>Vitamin K1 (Phytomenadione) 10 mg IV slow</t>
        </is>
      </c>
      <c r="G724" s="2" t="inlineStr">
        <is>
          <t>Sodium thiosulfate 25% 50 mL IV</t>
        </is>
      </c>
      <c r="H724" s="2" t="inlineStr">
        <is>
          <t>Calcium disodium EDTA 1 g IV</t>
        </is>
      </c>
      <c r="I724" s="8" t="inlineStr">
        <is>
          <t>1</t>
        </is>
      </c>
      <c r="J7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24" s="2" t="n"/>
      <c r="L724" s="2" t="inlineStr">
        <is>
          <t>General Therapeutics</t>
        </is>
      </c>
      <c r="M724" s="2" t="inlineStr">
        <is>
          <t>Clinic</t>
        </is>
      </c>
      <c r="N724" s="2" t="inlineStr">
        <is>
          <t>ข้อ 2 (PLE_CC1_2556.md)</t>
        </is>
      </c>
      <c r="O724" s="2" t="inlineStr">
        <is>
          <t>ข้อสอบจริง</t>
        </is>
      </c>
      <c r="P724" s="2" t="inlineStr">
        <is>
          <t>ปี 2556</t>
        </is>
      </c>
    </row>
    <row r="725" ht="13.2" customHeight="1" s="37">
      <c r="A725" s="8" t="inlineStr">
        <is>
          <t>746</t>
        </is>
      </c>
      <c r="B725" s="2" t="inlineStr">
        <is>
          <t>ยาใดทำให้ท้องผูก</t>
        </is>
      </c>
      <c r="C725" s="2" t="n"/>
      <c r="D725" s="2" t="inlineStr">
        <is>
          <t>Doxorubicin</t>
        </is>
      </c>
      <c r="E725" s="2" t="inlineStr">
        <is>
          <t>Vincristine</t>
        </is>
      </c>
      <c r="F725" s="2" t="inlineStr">
        <is>
          <t>Cyclophosphamide</t>
        </is>
      </c>
      <c r="G725" s="2" t="inlineStr">
        <is>
          <t>Prednisolone</t>
        </is>
      </c>
      <c r="H725" s="2" t="inlineStr">
        <is>
          <t>Ondancetron</t>
        </is>
      </c>
      <c r="I725" s="8" t="inlineStr">
        <is>
          <t>1</t>
        </is>
      </c>
      <c r="J725" s="2" t="inlineStr">
        <is>
          <t>✅ คำตอบที่ถูกต้อง: ข้อ ก. Doxorubicin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Doxorubicin การเลือก Doxorubicin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(Vincristine): ข้อนี้ไม่ใช่คำตอบที่ถูกต้องสำหรับภาวะ GI Disorders เนื่องจากกลไกการออกฤทธิ์, efficacy หรือข้อบ่งใช้ไม่ตรงกับโจทย์ที่กำหนด
• ข้อ ค. (Cyclophosphamide): ข้อนี้ไม่ใช่คำตอบที่ถูกต้องสำหรับภาวะ GI Disorders เนื่องจากกลไกการออกฤทธิ์, efficacy หรือข้อบ่งใช้ไม่ตรงกับโจทย์ที่กำหนด
• ข้อ ง. (Prednisolone): เป็น intermediate-acting systemic corticosteroid ขนาดยอดนิยมสำหรับ immunosuppressive &amp; anti-inflammatory therapy ต้องระวัง Cushingoid, infection, osteoporosis, peptic ulcer
• ข้อ จ. (Ondancetron):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5" s="2" t="n"/>
      <c r="L725" s="2" t="inlineStr">
        <is>
          <t>GI Disorders</t>
        </is>
      </c>
      <c r="M725" s="2" t="inlineStr">
        <is>
          <t>Clinic</t>
        </is>
      </c>
      <c r="N725" s="2" t="inlineStr">
        <is>
          <t>ข้อ 3 (PLE_CC1_2556.md)</t>
        </is>
      </c>
      <c r="O725" s="2" t="inlineStr">
        <is>
          <t>ข้อสอบจริง</t>
        </is>
      </c>
      <c r="P725" s="2" t="inlineStr">
        <is>
          <t>ปี 2556</t>
        </is>
      </c>
    </row>
    <row r="726" ht="13.2" customHeight="1" s="37">
      <c r="A726" s="8" t="inlineStr">
        <is>
          <t>747</t>
        </is>
      </c>
      <c r="B726" s="2" t="inlineStr">
        <is>
          <t>Prednisolone 6.การเตรียมยาเคมีบำบัดแบบใดที่อันตรายต่อผู้เตรียมยามากที่สุด</t>
        </is>
      </c>
      <c r="C726" s="2" t="n"/>
      <c r="D726" s="2" t="inlineStr">
        <is>
          <t>เตรียมใน laminar air flow แบบ horizontal class 10,000</t>
        </is>
      </c>
      <c r="E726" s="2" t="inlineStr">
        <is>
          <t>เตรียมใน biosafety cabinet type I ใน class 10,000</t>
        </is>
      </c>
      <c r="F726" s="2" t="inlineStr">
        <is>
          <t>เตรียมใน biosafety cabinet type II ใน class 10,000</t>
        </is>
      </c>
      <c r="G726" s="2" t="inlineStr">
        <is>
          <t>เตรียมในตู้ isolator</t>
        </is>
      </c>
      <c r="H726" s="2" t="inlineStr">
        <is>
          <t>Atropine sulfate 2 mg IV Q5-10 min</t>
        </is>
      </c>
      <c r="I726" s="8" t="inlineStr">
        <is>
          <t>1</t>
        </is>
      </c>
      <c r="J726" s="2" t="inlineStr">
        <is>
          <t>✅ คำตอบที่ถูกต้อง: ข้อ ก. เตรียมใน laminar air flow แบบ horizontal class 10,000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เตรียมใน laminar air flow แบบ horizontal class 10,000 การเลือก เตรียมใน laminar air flow แบบ horizontal class 10,000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(เตรียมใน biosafety cabinet type I ใน class 10,000): ข้อนี้ไม่ใช่คำตอบที่ถูกต้องสำหรับภาวะ Allergy &amp; Immunology เนื่องจากกลไกการออกฤทธิ์, efficacy หรือข้อบ่งใช้ไม่ตรงกับโจทย์ที่กำหนด
• ข้อ ค. (เตรียมใน biosafety cabinet type II ใน class 10,000): ข้อนี้ไม่ใช่คำตอบที่ถูกต้องสำหรับภาวะ Allergy &amp; Immunology เนื่องจากกลไกการออกฤทธิ์, efficacy หรือข้อบ่งใช้ไม่ตรงกับโจทย์ที่กำหนด
• ข้อ ง. (เตรียมในตู้ isolator): ข้อนี้ไม่ใช่คำตอบที่ถูกต้องสำหรับภาวะ Allergy &amp; Immunology เนื่องจากกลไกการออกฤทธิ์, efficacy หรือข้อบ่งใช้ไม่ตรงกับโจทย์ที่กำหนด
• ข้อ จ. (Atropine sulfate 2 mg IV Q5-10 min):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726" s="2" t="n"/>
      <c r="L726" s="2" t="inlineStr">
        <is>
          <t>Allergy &amp; Immunology</t>
        </is>
      </c>
      <c r="M726" s="2" t="inlineStr">
        <is>
          <t>Clinic</t>
        </is>
      </c>
      <c r="N726" s="2" t="inlineStr">
        <is>
          <t>ข้อ 5 (PLE_CC1_2556.md)</t>
        </is>
      </c>
      <c r="O726" s="2" t="inlineStr">
        <is>
          <t>ข้อสอบจริง</t>
        </is>
      </c>
      <c r="P726" s="2" t="inlineStr">
        <is>
          <t>ปี 2556</t>
        </is>
      </c>
    </row>
    <row r="727" ht="13.2" customHeight="1" s="37">
      <c r="A727" s="8" t="inlineStr">
        <is>
          <t>748</t>
        </is>
      </c>
      <c r="B727" s="2" t="inlineStr">
        <is>
          <t>ขนาดยาข้อใดผิด</t>
        </is>
      </c>
      <c r="C727" s="2" t="n"/>
      <c r="D727" s="2" t="inlineStr">
        <is>
          <t>Isoniazid</t>
        </is>
      </c>
      <c r="E727" s="2" t="inlineStr">
        <is>
          <t>Rifampin</t>
        </is>
      </c>
      <c r="F727" s="2" t="inlineStr">
        <is>
          <t>Ethambutol</t>
        </is>
      </c>
      <c r="G727" s="2" t="inlineStr">
        <is>
          <t>Pyrazinamide +ethambutol</t>
        </is>
      </c>
      <c r="H727" s="2" t="inlineStr">
        <is>
          <t>Rifam+isonizid</t>
        </is>
      </c>
      <c r="I727" s="8" t="inlineStr">
        <is>
          <t>1</t>
        </is>
      </c>
      <c r="J727" s="2" t="inlineStr">
        <is>
          <t>✅ คำตอบที่ถูกต้อง: ข้อ ก. Isoniazid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Isoniazid การเลือก Isoniazid เป็นคำตอบที่ถูกต้องตามแนวทางการรักษามาตรฐาน เนื่องจาก เป็นแกนหลักใน Anti-TB regimen (HRZE) ยับยั้ง mycolic acid เสี่ยงต่อ peripheral neuropathy จากการขาด pyridoxine (Vitamin B6) จึงต้องให้วิตามิน B6 เสริม และเสี่ยงต่อ hepatotoxicity
🔍 ข้ออื่นผิดเพราะอะไร:
• ข้อ ข. (Rifampin): ข้อนี้ไม่ใช่คำตอบที่ถูกต้องสำหรับภาวะ General Therapeutics เนื่องจากกลไกการออกฤทธิ์, efficacy หรือข้อบ่งใช้ไม่ตรงกับโจทย์ที่กำหนด
• ข้อ ค. (Ethambutol): เป็น Anti-TB agent ยับยั้ง arabinosyl transferase มี ADR เด่นคือ optic neuritis (มองเห็นสีเขียว-แดงผิดปกติ ตาพร่า) ขับออกทางไตจึงต้องปรับ dose ใน CKD
• ข้อ ง. (Pyrazinamide +ethambutol): เป็น Anti-TB agent ที่มี sterilizing effect สูงใน macrophage เสี่ยงต่อ hyperuricemia (ปวดข้อเก๊าท์) และ severe hepatotoxicity สูงสุดในกลุ่มยาวัณโรค
• ข้อ จ. (Rifam+isonizid):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27" s="2" t="n"/>
      <c r="L727" s="2" t="inlineStr">
        <is>
          <t>General Therapeutics</t>
        </is>
      </c>
      <c r="M727" s="2" t="inlineStr">
        <is>
          <t>Clinic</t>
        </is>
      </c>
      <c r="N727" s="2" t="inlineStr">
        <is>
          <t>ข้อ 1 (PLE_CC1_2556.md)</t>
        </is>
      </c>
      <c r="O727" s="2" t="inlineStr">
        <is>
          <t>ข้อสอบจริง</t>
        </is>
      </c>
      <c r="P727" s="2" t="inlineStr">
        <is>
          <t>ปี 2556</t>
        </is>
      </c>
    </row>
    <row r="728" ht="13.2" customHeight="1" s="37">
      <c r="A728" s="8" t="inlineStr">
        <is>
          <t>749</t>
        </is>
      </c>
      <c r="B728" s="2" t="inlineStr">
        <is>
          <t>Complete Blood Count</t>
        </is>
      </c>
      <c r="C728" s="2" t="n"/>
      <c r="D728" s="2" t="inlineStr">
        <is>
          <t>Naloxone 0.4 mg IV stat</t>
        </is>
      </c>
      <c r="E728" s="2" t="inlineStr">
        <is>
          <t>Flumazenil 0.2 mg IV stat</t>
        </is>
      </c>
      <c r="F728" s="2" t="inlineStr">
        <is>
          <t>Vitamin K1 (Phytomenadione) 10 mg IV slow</t>
        </is>
      </c>
      <c r="G728" s="2" t="inlineStr">
        <is>
          <t>Sodium thiosulfate 25% 50 mL IV</t>
        </is>
      </c>
      <c r="H728" s="2" t="inlineStr">
        <is>
          <t>Calcium disodium EDTA 1 g IV</t>
        </is>
      </c>
      <c r="I728" s="8" t="inlineStr">
        <is>
          <t>1</t>
        </is>
      </c>
      <c r="J7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28" s="2" t="n"/>
      <c r="L728" s="2" t="inlineStr">
        <is>
          <t>General Therapeutics</t>
        </is>
      </c>
      <c r="M728" s="2" t="inlineStr">
        <is>
          <t>Clinic</t>
        </is>
      </c>
      <c r="N728" s="2" t="inlineStr">
        <is>
          <t>ข้อ 2 (PLE_CC1_2556.md)</t>
        </is>
      </c>
      <c r="O728" s="2" t="inlineStr">
        <is>
          <t>ข้อสอบจริง</t>
        </is>
      </c>
      <c r="P728" s="2" t="inlineStr">
        <is>
          <t>ปี 2556</t>
        </is>
      </c>
    </row>
    <row r="729" ht="13.2" customHeight="1" s="37">
      <c r="A729" s="8" t="inlineStr">
        <is>
          <t>750</t>
        </is>
      </c>
      <c r="B729" s="2" t="inlineStr">
        <is>
          <t>liver function enzyme</t>
        </is>
      </c>
      <c r="C729" s="2" t="n"/>
      <c r="D729" s="2" t="inlineStr">
        <is>
          <t>Sodium thiosulfate 25% 50 mL IV</t>
        </is>
      </c>
      <c r="E729" s="2" t="inlineStr">
        <is>
          <t>Calcium disodium EDTA 1 g IV</t>
        </is>
      </c>
      <c r="F729" s="2" t="inlineStr">
        <is>
          <t>Desferrioxamine 1 g IM/IV</t>
        </is>
      </c>
      <c r="G729" s="2" t="inlineStr">
        <is>
          <t>Dimercaprol (BAL) 3 mg/kg IM</t>
        </is>
      </c>
      <c r="H729" s="2" t="inlineStr">
        <is>
          <t>Ethanol 10% IV infusion for Methanol poisoning</t>
        </is>
      </c>
      <c r="I729" s="8" t="inlineStr">
        <is>
          <t>1</t>
        </is>
      </c>
      <c r="J7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9" s="2" t="n"/>
      <c r="L729" s="2" t="inlineStr">
        <is>
          <t>General Therapeutics</t>
        </is>
      </c>
      <c r="M729" s="2" t="inlineStr">
        <is>
          <t>Clinic</t>
        </is>
      </c>
      <c r="N729" s="2" t="inlineStr">
        <is>
          <t>ข้อ 4 (PLE_CC1_2556.md)</t>
        </is>
      </c>
      <c r="O729" s="2" t="inlineStr">
        <is>
          <t>ข้อสอบจริง</t>
        </is>
      </c>
      <c r="P729" s="2" t="inlineStr">
        <is>
          <t>ปี 2556</t>
        </is>
      </c>
    </row>
    <row r="730" ht="13.2" customHeight="1" s="37">
      <c r="A730" s="8" t="inlineStr">
        <is>
          <t>751</t>
        </is>
      </c>
      <c r="B730" s="2" t="inlineStr">
        <is>
          <t>Quasi – experimental</t>
        </is>
      </c>
      <c r="C730" s="2" t="n"/>
      <c r="D730" s="2" t="inlineStr">
        <is>
          <t>Dimercaprol (BAL) 3 mg/kg IM</t>
        </is>
      </c>
      <c r="E730" s="2" t="inlineStr">
        <is>
          <t>Ethanol 10% IV infusion for Methanol poisoning</t>
        </is>
      </c>
      <c r="F730" s="2" t="inlineStr">
        <is>
          <t>Fomepizole 15 mg/kg IV loading</t>
        </is>
      </c>
      <c r="G730" s="2" t="inlineStr">
        <is>
          <t>N-acetylcysteine (NAC) IV infusion protocol</t>
        </is>
      </c>
      <c r="H730" s="2" t="inlineStr">
        <is>
          <t>Atropine sulfate 2 mg IV Q5-10 min</t>
        </is>
      </c>
      <c r="I730" s="8" t="inlineStr">
        <is>
          <t>1</t>
        </is>
      </c>
      <c r="J7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0" s="2" t="n"/>
      <c r="L730" s="2" t="inlineStr">
        <is>
          <t>General Therapeutics</t>
        </is>
      </c>
      <c r="M730" s="2" t="inlineStr">
        <is>
          <t>Clinic</t>
        </is>
      </c>
      <c r="N730" s="2" t="inlineStr">
        <is>
          <t>ข้อ 4 (PLE_CC1_2556.md)</t>
        </is>
      </c>
      <c r="O730" s="2" t="inlineStr">
        <is>
          <t>ข้อสอบจริง</t>
        </is>
      </c>
      <c r="P730" s="2" t="inlineStr">
        <is>
          <t>ปี 2556</t>
        </is>
      </c>
    </row>
    <row r="731" ht="13.2" customHeight="1" s="37">
      <c r="A731" s="8" t="inlineStr">
        <is>
          <t>752</t>
        </is>
      </c>
      <c r="B731" s="2" t="inlineStr">
        <is>
          <t>Hydroxypropyl cellulose</t>
        </is>
      </c>
      <c r="C731" s="2" t="n"/>
      <c r="D731" s="2" t="inlineStr">
        <is>
          <t>........แต่ละลายน ้าแน่ๆ</t>
        </is>
      </c>
      <c r="E731" s="2" t="inlineStr">
        <is>
          <t>Atropine sulfate 2 mg IV Q5-10 min</t>
        </is>
      </c>
      <c r="F731" s="2" t="inlineStr">
        <is>
          <t>Pralidoxime (2-PAM) 1-2 g IV over 30 min</t>
        </is>
      </c>
      <c r="G731" s="2" t="inlineStr">
        <is>
          <t>Naloxone 0.4 mg IV stat</t>
        </is>
      </c>
      <c r="H731" s="2" t="inlineStr">
        <is>
          <t>Flumazenil 0.2 mg IV stat</t>
        </is>
      </c>
      <c r="I731" s="8" t="inlineStr">
        <is>
          <t>1</t>
        </is>
      </c>
      <c r="J731" s="2" t="inlineStr">
        <is>
          <t>✅ คำตอบที่ถูกต้อง: ข้อ ก. ........แต่ละลายน ้าแน่ๆ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........แต่ละลายน ้าแน่ๆ การเลือก ........แต่ละลายน ้าแน่ๆ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1" s="2" t="n"/>
      <c r="L731" s="2" t="inlineStr">
        <is>
          <t>General Therapeutics</t>
        </is>
      </c>
      <c r="M731" s="2" t="inlineStr">
        <is>
          <t>Clinic</t>
        </is>
      </c>
      <c r="N731" s="2" t="inlineStr">
        <is>
          <t>ข้อ 3 (PLE_CC1_2556.md)</t>
        </is>
      </c>
      <c r="O731" s="2" t="inlineStr">
        <is>
          <t>ข้อสอบจริง</t>
        </is>
      </c>
      <c r="P731" s="2" t="inlineStr">
        <is>
          <t>ปี 2556</t>
        </is>
      </c>
    </row>
    <row r="732" ht="13.2" customHeight="1" s="37">
      <c r="A732" s="8" t="inlineStr">
        <is>
          <t>753</t>
        </is>
      </c>
      <c r="B732" s="2" t="inlineStr">
        <is>
          <t>ข้อใดคือการแนะนำการใช้ยาในผู้ป่วยรายนี้</t>
        </is>
      </c>
      <c r="C732" s="2" t="n"/>
      <c r="D732" s="2" t="inlineStr">
        <is>
          <t>Naloxone 0.4 mg IV stat</t>
        </is>
      </c>
      <c r="E732" s="2" t="inlineStr">
        <is>
          <t>Flumazenil 0.2 mg IV stat</t>
        </is>
      </c>
      <c r="F732" s="2" t="inlineStr">
        <is>
          <t>Vitamin K1 (Phytomenadione) 10 mg IV slow</t>
        </is>
      </c>
      <c r="G732" s="2" t="inlineStr">
        <is>
          <t>Sodium thiosulfate 25% 50 mL IV</t>
        </is>
      </c>
      <c r="H732" s="2" t="inlineStr">
        <is>
          <t>Calcium disodium EDTA 1 g IV</t>
        </is>
      </c>
      <c r="I732" s="8" t="inlineStr">
        <is>
          <t>1</t>
        </is>
      </c>
      <c r="J7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32" s="2" t="n"/>
      <c r="L732" s="2" t="inlineStr">
        <is>
          <t>General Therapeutics</t>
        </is>
      </c>
      <c r="M732" s="2" t="inlineStr">
        <is>
          <t>Clinic</t>
        </is>
      </c>
      <c r="N732" s="2" t="inlineStr">
        <is>
          <t>ข้อ 2 (PLE_CC1_2556.md)</t>
        </is>
      </c>
      <c r="O732" s="2" t="inlineStr">
        <is>
          <t>ข้อสอบจริง</t>
        </is>
      </c>
      <c r="P732" s="2" t="inlineStr">
        <is>
          <t>ปี 2556</t>
        </is>
      </c>
    </row>
    <row r="733" ht="13.2" customHeight="1" s="37">
      <c r="A733" s="8" t="inlineStr">
        <is>
          <t>754</t>
        </is>
      </c>
      <c r="B733" s="2" t="inlineStr">
        <is>
          <t>ควรก้มหน้าเล็กน้อยระหว่างการใช้ยาพ่นจมูก</t>
        </is>
      </c>
      <c r="C733" s="2" t="n"/>
      <c r="D733" s="2" t="inlineStr">
        <is>
          <t>Sodium thiosulfate 25% 50 mL IV</t>
        </is>
      </c>
      <c r="E733" s="2" t="inlineStr">
        <is>
          <t>Calcium disodium EDTA 1 g IV</t>
        </is>
      </c>
      <c r="F733" s="2" t="inlineStr">
        <is>
          <t>Desferrioxamine 1 g IM/IV</t>
        </is>
      </c>
      <c r="G733" s="2" t="inlineStr">
        <is>
          <t>Dimercaprol (BAL) 3 mg/kg IM</t>
        </is>
      </c>
      <c r="H733" s="2" t="inlineStr">
        <is>
          <t>Ethanol 10% IV infusion for Methanol poisoning</t>
        </is>
      </c>
      <c r="I733" s="8" t="inlineStr">
        <is>
          <t>1</t>
        </is>
      </c>
      <c r="J7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3" s="2" t="n"/>
      <c r="L733" s="2" t="inlineStr">
        <is>
          <t>General Therapeutics</t>
        </is>
      </c>
      <c r="M733" s="2" t="inlineStr">
        <is>
          <t>Clinic</t>
        </is>
      </c>
      <c r="N733" s="2" t="inlineStr">
        <is>
          <t>ข้อ 1 (PLE_CC1_2556.md)</t>
        </is>
      </c>
      <c r="O733" s="2" t="inlineStr">
        <is>
          <t>ข้อสอบจริง</t>
        </is>
      </c>
      <c r="P733" s="2" t="inlineStr">
        <is>
          <t>ปี 2556</t>
        </is>
      </c>
    </row>
    <row r="734" ht="13.2" customHeight="1" s="37">
      <c r="A734" s="8" t="inlineStr">
        <is>
          <t>755</t>
        </is>
      </c>
      <c r="B734" s="2" t="inlineStr">
        <is>
          <t>ควรใช้น ้าเกลือล้างจมูกทั้งสองข้าง</t>
        </is>
      </c>
      <c r="C734" s="2" t="n"/>
      <c r="D734" s="2" t="inlineStr">
        <is>
          <t>Dimercaprol (BAL) 3 mg/kg IM</t>
        </is>
      </c>
      <c r="E734" s="2" t="inlineStr">
        <is>
          <t>Ethanol 10% IV infusion for Methanol poisoning</t>
        </is>
      </c>
      <c r="F734" s="2" t="inlineStr">
        <is>
          <t>Fomepizole 15 mg/kg IV loading</t>
        </is>
      </c>
      <c r="G734" s="2" t="inlineStr">
        <is>
          <t>N-acetylcysteine (NAC) IV infusion protocol</t>
        </is>
      </c>
      <c r="H734" s="2" t="inlineStr">
        <is>
          <t>Atropine sulfate 2 mg IV Q5-10 min</t>
        </is>
      </c>
      <c r="I734" s="8" t="inlineStr">
        <is>
          <t>1</t>
        </is>
      </c>
      <c r="J7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4" s="2" t="n"/>
      <c r="L734" s="2" t="inlineStr">
        <is>
          <t>General Therapeutics</t>
        </is>
      </c>
      <c r="M734" s="2" t="inlineStr">
        <is>
          <t>Clinic</t>
        </is>
      </c>
      <c r="N734" s="2" t="inlineStr">
        <is>
          <t>ข้อ 2 (PLE_CC1_2556.md)</t>
        </is>
      </c>
      <c r="O734" s="2" t="inlineStr">
        <is>
          <t>ข้อสอบจริง</t>
        </is>
      </c>
      <c r="P734" s="2" t="inlineStr">
        <is>
          <t>ปี 2556</t>
        </is>
      </c>
    </row>
    <row r="735" ht="13.2" customHeight="1" s="37">
      <c r="A735" s="8" t="inlineStr">
        <is>
          <t>756</t>
        </is>
      </c>
      <c r="B735" s="2" t="inlineStr">
        <is>
          <t>สมารถใช้ยาพ่นจมูกได้เป็นเวลานานๆ</t>
        </is>
      </c>
      <c r="C735" s="2" t="n"/>
      <c r="D735" s="2" t="inlineStr">
        <is>
          <t>N-acetylcysteine (NAC) IV infusion protocol</t>
        </is>
      </c>
      <c r="E735" s="2" t="inlineStr">
        <is>
          <t>Atropine sulfate 2 mg IV Q5-10 min</t>
        </is>
      </c>
      <c r="F735" s="2" t="inlineStr">
        <is>
          <t>Pralidoxime (2-PAM) 1-2 g IV over 30 min</t>
        </is>
      </c>
      <c r="G735" s="2" t="inlineStr">
        <is>
          <t>Naloxone 0.4 mg IV stat</t>
        </is>
      </c>
      <c r="H735" s="2" t="inlineStr">
        <is>
          <t>Flumazenil 0.2 mg IV stat</t>
        </is>
      </c>
      <c r="I735" s="8" t="inlineStr">
        <is>
          <t>1</t>
        </is>
      </c>
      <c r="J7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35" s="2" t="n"/>
      <c r="L735" s="2" t="inlineStr">
        <is>
          <t>General Therapeutics</t>
        </is>
      </c>
      <c r="M735" s="2" t="inlineStr">
        <is>
          <t>Clinic</t>
        </is>
      </c>
      <c r="N735" s="2" t="inlineStr">
        <is>
          <t>ข้อ 3 (PLE_CC1_2556.md)</t>
        </is>
      </c>
      <c r="O735" s="2" t="inlineStr">
        <is>
          <t>ข้อสอบจริง</t>
        </is>
      </c>
      <c r="P735" s="2" t="inlineStr">
        <is>
          <t>ปี 2556</t>
        </is>
      </c>
    </row>
    <row r="736" ht="13.2" customHeight="1" s="37">
      <c r="A736" s="8" t="inlineStr">
        <is>
          <t>757</t>
        </is>
      </c>
      <c r="B736" s="2" t="inlineStr">
        <is>
          <t>คนไข้มีอาการกำเริบจนต้องเข้ารพ.มากกว่า 5 ครั้ง/เดือน ผู้ป่วยจัดอยู่ในระดับใด เมื่อแบ่งเกณฑ์ตาม GINA</t>
        </is>
      </c>
      <c r="C736" s="2" t="n"/>
      <c r="D736" s="2" t="inlineStr">
        <is>
          <t>Naloxone 0.4 mg IV stat</t>
        </is>
      </c>
      <c r="E736" s="2" t="inlineStr">
        <is>
          <t>Flumazenil 0.2 mg IV stat</t>
        </is>
      </c>
      <c r="F736" s="2" t="inlineStr">
        <is>
          <t>Vitamin K1 (Phytomenadione) 10 mg IV slow</t>
        </is>
      </c>
      <c r="G736" s="2" t="inlineStr">
        <is>
          <t>Sodium thiosulfate 25% 50 mL IV</t>
        </is>
      </c>
      <c r="H736" s="2" t="inlineStr">
        <is>
          <t>Calcium disodium EDTA 1 g IV</t>
        </is>
      </c>
      <c r="I736" s="8" t="inlineStr">
        <is>
          <t>1</t>
        </is>
      </c>
      <c r="J736" s="2" t="inlineStr">
        <is>
          <t>✅ คำตอบที่ถูกต้อง: ข้อ ก. Naloxone 0.4 mg IV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36" s="2" t="n"/>
      <c r="L736" s="2" t="inlineStr">
        <is>
          <t>General Therapeutics</t>
        </is>
      </c>
      <c r="M736" s="2" t="inlineStr">
        <is>
          <t>Clinic</t>
        </is>
      </c>
      <c r="N736" s="2" t="inlineStr">
        <is>
          <t>ข้อ 3 (PLE_CC1_2556.md)</t>
        </is>
      </c>
      <c r="O736" s="2" t="inlineStr">
        <is>
          <t>ข้อสอบจริง</t>
        </is>
      </c>
      <c r="P736" s="2" t="inlineStr">
        <is>
          <t>ปี 2556</t>
        </is>
      </c>
    </row>
    <row r="737" ht="13.2" customHeight="1" s="37">
      <c r="A737" s="8" t="inlineStr">
        <is>
          <t>758</t>
        </is>
      </c>
      <c r="B737" s="2" t="inlineStr">
        <is>
          <t>Partly controlled</t>
        </is>
      </c>
      <c r="C737" s="2" t="n"/>
      <c r="D737" s="2" t="inlineStr">
        <is>
          <t>Sodium thiosulfate 25% 50 mL IV</t>
        </is>
      </c>
      <c r="E737" s="2" t="inlineStr">
        <is>
          <t>Calcium disodium EDTA 1 g IV</t>
        </is>
      </c>
      <c r="F737" s="2" t="inlineStr">
        <is>
          <t>Desferrioxamine 1 g IM/IV</t>
        </is>
      </c>
      <c r="G737" s="2" t="inlineStr">
        <is>
          <t>Dimercaprol (BAL) 3 mg/kg IM</t>
        </is>
      </c>
      <c r="H737" s="2" t="inlineStr">
        <is>
          <t>Ethanol 10% IV infusion for Methanol poisoning</t>
        </is>
      </c>
      <c r="I737" s="8" t="inlineStr">
        <is>
          <t>1</t>
        </is>
      </c>
      <c r="J7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7" s="2" t="n"/>
      <c r="L737" s="2" t="inlineStr">
        <is>
          <t>General Therapeutics</t>
        </is>
      </c>
      <c r="M737" s="2" t="inlineStr">
        <is>
          <t>Clinic</t>
        </is>
      </c>
      <c r="N737" s="2" t="inlineStr">
        <is>
          <t>ข้อ 2 (PLE_CC1_2556.md)</t>
        </is>
      </c>
      <c r="O737" s="2" t="inlineStr">
        <is>
          <t>ข้อสอบจริง</t>
        </is>
      </c>
      <c r="P737" s="2" t="inlineStr">
        <is>
          <t>ปี 2556</t>
        </is>
      </c>
    </row>
    <row r="738" ht="13.2" customHeight="1" s="37">
      <c r="A738" s="8" t="inlineStr">
        <is>
          <t>759</t>
        </is>
      </c>
      <c r="B738" s="2" t="inlineStr">
        <is>
          <t>ถ้าใช้ steroid ทาระยะยาว ผลจะเป็นยังไง</t>
        </is>
      </c>
      <c r="C738" s="2" t="n"/>
      <c r="D738" s="2" t="inlineStr">
        <is>
          <t>สิว</t>
        </is>
      </c>
      <c r="E738" s="2" t="inlineStr">
        <is>
          <t>folutitis</t>
        </is>
      </c>
      <c r="F738" s="2" t="inlineStr">
        <is>
          <t>osteoporosis</t>
        </is>
      </c>
      <c r="G738" s="2" t="inlineStr">
        <is>
          <t>hyperglycemia</t>
        </is>
      </c>
      <c r="H738" s="2" t="inlineStr">
        <is>
          <t>Cushing syndrome</t>
        </is>
      </c>
      <c r="I738" s="8" t="inlineStr">
        <is>
          <t>1</t>
        </is>
      </c>
      <c r="J738" s="2" t="inlineStr">
        <is>
          <t>✅ คำตอบที่ถูกต้อง: ข้อ ก. สิว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สิว การเลือก สิว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(folutitis): ข้อนี้ไม่ใช่คำตอบที่ถูกต้องสำหรับภาวะ General Therapeutics เนื่องจากกลไกการออกฤทธิ์, efficacy หรือข้อบ่งใช้ไม่ตรงกับโจทย์ที่กำหนด
• ข้อ ค. (osteoporosis): ข้อนี้ไม่ใช่คำตอบที่ถูกต้องสำหรับภาวะ General Therapeutics เนื่องจากกลไกการออกฤทธิ์, efficacy หรือข้อบ่งใช้ไม่ตรงกับโจทย์ที่กำหนด
• ข้อ ง. (hyperglycemia): ข้อนี้ไม่ใช่คำตอบที่ถูกต้องสำหรับภาวะ General Therapeutics เนื่องจากกลไกการออกฤทธิ์, efficacy หรือข้อบ่งใช้ไม่ตรงกับโจทย์ที่กำหนด
• ข้อ จ. (Cushing syndrome):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8" s="2" t="n"/>
      <c r="L738" s="2" t="inlineStr">
        <is>
          <t>General Therapeutics</t>
        </is>
      </c>
      <c r="M738" s="2" t="inlineStr">
        <is>
          <t>Clinic</t>
        </is>
      </c>
      <c r="N738" s="2" t="inlineStr">
        <is>
          <t>ข้อ 3 (PLE_CC1_2556.md)</t>
        </is>
      </c>
      <c r="O738" s="2" t="inlineStr">
        <is>
          <t>ข้อสอบจริง</t>
        </is>
      </c>
      <c r="P738" s="2" t="inlineStr">
        <is>
          <t>ปี 2556</t>
        </is>
      </c>
    </row>
    <row r="739" ht="13.2" customHeight="1" s="37">
      <c r="A739" s="8" t="inlineStr">
        <is>
          <t>760</t>
        </is>
      </c>
      <c r="B739" s="2" t="inlineStr">
        <is>
          <t>ยาชนิดหนึ่งมีเครื่องหมายสามเหลี่ยมสีแดงบนกล่องยา หมายความว่าอย่างไร</t>
        </is>
      </c>
      <c r="C739" s="2" t="n"/>
      <c r="D739" s="2" t="inlineStr">
        <is>
          <t>ยาที่มีการใช้เฉพาะในโรงพยาบาล และต้องมีการติดตามการใช้อย่างใกล้ชิด</t>
        </is>
      </c>
      <c r="E739" s="2" t="inlineStr">
        <is>
          <t>ยาที่มีการจำหน่ายในร้านยาที่มีเภสัชกร</t>
        </is>
      </c>
      <c r="F739" s="2" t="inlineStr">
        <is>
          <t>ยาที่มีการจำหน่ายได้ในร้านยา แต่ต้องมีใบสั่งแพทย์</t>
        </is>
      </c>
      <c r="G739" s="2" t="inlineStr">
        <is>
          <t>........</t>
        </is>
      </c>
      <c r="H739" s="2" t="inlineStr">
        <is>
          <t>........ คณะเภสัชศาสตร์ มหาวิทยาลัยเชียงใหม่ Rx 44 CMU (+), viral load pending 21.ข้อใดถูกต้องเกี่ยวกับการตรวจเชื้อ TB</t>
        </is>
      </c>
      <c r="I739" s="8" t="inlineStr">
        <is>
          <t>1</t>
        </is>
      </c>
      <c r="J739" s="2" t="inlineStr">
        <is>
          <t>✅ คำตอบที่ถูกต้อง: ข้อ ก. ยาที่มีการใช้เฉพาะในโรงพยาบาล และต้องมีการติดตามการใช้อย่างใกล้ชิด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ยาที่มีการใช้เฉพาะในโรงพยาบาล และต้องมีการติดตามการใช้อย่างใกล้ชิด สถานการณ์ ผู้ป่วยมาด้วยอาการไข้ ไอเรื้อรัง ท้องเสียหลายเดือน น ้าหนักลด มี CD4 190 cell/mm3, anti HIV
🔍 ข้ออื่นผิดเพราะอะไร:
• ข้อ ข. (ยาที่มีการจำหน่ายในร้านยาที่มีเภสัชกร): ข้อนี้ไม่ใช่คำตอบที่ถูกต้องสำหรับภาวะ General Therapeutics เนื่องจากกลไกการออกฤทธิ์, efficacy หรือข้อบ่งใช้ไม่ตรงกับโจทย์ที่กำหนด
• ข้อ ค. (ยาที่มีการจำหน่ายได้ในร้านยา แต่ต้องมีใบสั่งแพทย์): ข้อนี้ไม่ใช่คำตอบที่ถูกต้องสำหรับภาวะ General Therapeutics เนื่องจากกลไกการออกฤทธิ์, efficacy หรือข้อบ่งใช้ไม่ตรงกับโจทย์ที่กำหนด
• ข้อ ง. (........): ข้อนี้ไม่ใช่คำตอบที่ถูกต้องสำหรับภาวะ General Therapeutics เนื่องจากกลไกการออกฤทธิ์, efficacy หรือข้อบ่งใช้ไม่ตรงกับโจทย์ที่กำหนด
• ข้อ จ. (........ คณะเภสัชศาสตร์ มหาวิทยาลัยเชียงใหม่ Rx 44 CMU (+), viral load pending 21.ข้อใดถูกต้องเกี่ยวกับการตรวจเชื้อ TB):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9" s="2" t="n"/>
      <c r="L739" s="2" t="inlineStr">
        <is>
          <t>General Therapeutics</t>
        </is>
      </c>
      <c r="M739" s="2" t="inlineStr">
        <is>
          <t>Clinic</t>
        </is>
      </c>
      <c r="N739" s="2" t="inlineStr">
        <is>
          <t>ข้อ 20 (PLE_CC1_2555 Day 1.md)</t>
        </is>
      </c>
      <c r="O739" s="2" t="inlineStr">
        <is>
          <t>ข้อสอบจริง</t>
        </is>
      </c>
      <c r="P739" s="2" t="inlineStr">
        <is>
          <t>ปี 2555</t>
        </is>
      </c>
    </row>
    <row r="740" ht="13.2" customHeight="1" s="37">
      <c r="A740" s="8" t="inlineStr">
        <is>
          <t>761</t>
        </is>
      </c>
      <c r="B740" s="2" t="inlineStr">
        <is>
          <t>ข้อใดถูกต้องเกี่ยวกับเกณฑ์ในการวินิจฉัยในผู้ป่วยรายนี้</t>
        </is>
      </c>
      <c r="C740" s="2" t="n"/>
      <c r="D740" s="2" t="inlineStr">
        <is>
          <t>ยังบอกผลไม่ได้ต้องรอผล viral load</t>
        </is>
      </c>
      <c r="E740" s="2" t="inlineStr">
        <is>
          <t>ผู้ป่วยติดเชื้อ HIV แต่ไม่เป็นเอดส์</t>
        </is>
      </c>
      <c r="F740" s="2" t="inlineStr">
        <is>
          <t>ผู้ป่วยจัดว่าเป็นเอดส์แล้ว</t>
        </is>
      </c>
      <c r="G740" s="2" t="inlineStr">
        <is>
          <t>ผู้ป่วยเป็นวัณโรคแต่ยังไม่ติดเชื้อ HIV</t>
        </is>
      </c>
      <c r="H740" s="2" t="inlineStr">
        <is>
          <t>................................</t>
        </is>
      </c>
      <c r="I740" s="8" t="inlineStr">
        <is>
          <t>1</t>
        </is>
      </c>
      <c r="J740" s="2" t="inlineStr">
        <is>
          <t>✅ คำตอบที่ถูกต้อง: ข้อ ก. ยังบอกผลไม่ได้ต้องรอผล viral load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ยังบอกผลไม่ได้ต้องรอผล viral load การเลือก ยังบอกผลไม่ได้ต้องรอผล viral load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(ผู้ป่วยติดเชื้อ HIV แต่ไม่เป็นเอดส์): ข้อนี้ไม่ใช่คำตอบที่ถูกต้องสำหรับภาวะ General Therapeutics เนื่องจากกลไกการออกฤทธิ์, efficacy หรือข้อบ่งใช้ไม่ตรงกับโจทย์ที่กำหนด
• ข้อ ค. (ผู้ป่วยจัดว่าเป็นเอดส์แล้ว): ข้อนี้ไม่ใช่คำตอบที่ถูกต้องสำหรับภาวะ General Therapeutics เนื่องจากกลไกการออกฤทธิ์, efficacy หรือข้อบ่งใช้ไม่ตรงกับโจทย์ที่กำหนด
• ข้อ ง. (ผู้ป่วยเป็นวัณโรคแต่ยังไม่ติดเชื้อ HIV): ข้อนี้ไม่ใช่คำตอบที่ถูกต้องสำหรับภาวะ General Therapeutics เนื่องจากกลไกการออกฤทธิ์, efficacy หรือข้อบ่งใช้ไม่ตรงกับโจทย์ที่กำหนด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0" s="2" t="n"/>
      <c r="L740" s="2" t="inlineStr">
        <is>
          <t>General Therapeutics</t>
        </is>
      </c>
      <c r="M740" s="2" t="inlineStr">
        <is>
          <t>Clinic</t>
        </is>
      </c>
      <c r="N740" s="2" t="inlineStr">
        <is>
          <t>ข้อ 23 (PLE_CC1_2555 Day 1.md)</t>
        </is>
      </c>
      <c r="O740" s="2" t="inlineStr">
        <is>
          <t>ข้อสอบจริง</t>
        </is>
      </c>
      <c r="P740" s="2" t="inlineStr">
        <is>
          <t>ปี 2555</t>
        </is>
      </c>
    </row>
    <row r="741" ht="13.2" customHeight="1" s="37">
      <c r="A741" s="8" t="inlineStr">
        <is>
          <t>762</t>
        </is>
      </c>
      <c r="B741" s="2" t="inlineStr">
        <is>
          <t>คำว่า Autoinducer ของ NVP หมายความว่าอย่างไร</t>
        </is>
      </c>
      <c r="C741" s="2" t="n"/>
      <c r="D741" s="2" t="inlineStr">
        <is>
          <t>ยาทำลายตัวเอง</t>
        </is>
      </c>
      <c r="E741" s="2" t="inlineStr">
        <is>
          <t>ยากระตุ้นให้ออกฤทธิ์เร็วขึ้น</t>
        </is>
      </c>
      <c r="F741" s="2" t="inlineStr">
        <is>
          <t>ทำให้ภูมิคุ้มกันดีขึ้น</t>
        </is>
      </c>
      <c r="G741" s="2" t="inlineStr">
        <is>
          <t>ลดความเสี่ยงการเกิดอาการไม่พึงประสงค์ เช่น ผื่น</t>
        </is>
      </c>
      <c r="H741" s="2" t="inlineStr">
        <is>
          <t>.......................</t>
        </is>
      </c>
      <c r="I741" s="8" t="inlineStr">
        <is>
          <t>1</t>
        </is>
      </c>
      <c r="J741" s="2" t="inlineStr">
        <is>
          <t>✅ คำตอบที่ถูกต้อง: ข้อ ก. ยาทำลายตัวเอง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ยาทำลายตัวเอง การเลือก ยาทำลายตัวเอง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(ยากระตุ้นให้ออกฤทธิ์เร็วขึ้น): ข้อนี้ไม่ใช่คำตอบที่ถูกต้องสำหรับภาวะ General Therapeutics เนื่องจากกลไกการออกฤทธิ์, efficacy หรือข้อบ่งใช้ไม่ตรงกับโจทย์ที่กำหนด
• ข้อ ค. (ทำให้ภูมิคุ้มกันดีขึ้น): ข้อนี้ไม่ใช่คำตอบที่ถูกต้องสำหรับภาวะ General Therapeutics เนื่องจากกลไกการออกฤทธิ์, efficacy หรือข้อบ่งใช้ไม่ตรงกับโจทย์ที่กำหนด
• ข้อ ง. (ลดความเสี่ยงการเกิดอาการไม่พึงประสงค์ เช่น ผื่น): ข้อนี้ไม่ใช่คำตอบที่ถูกต้องสำหรับภาวะ General Therapeutics เนื่องจากกลไกการออกฤทธิ์, efficacy หรือข้อบ่งใช้ไม่ตรงกับโจทย์ที่กำหนด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1" s="2" t="n"/>
      <c r="L741" s="2" t="inlineStr">
        <is>
          <t>General Therapeutics</t>
        </is>
      </c>
      <c r="M741" s="2" t="inlineStr">
        <is>
          <t>Clinic</t>
        </is>
      </c>
      <c r="N741" s="2" t="inlineStr">
        <is>
          <t>ข้อ 24 (PLE_CC1_2555 Day 1.md)</t>
        </is>
      </c>
      <c r="O741" s="2" t="inlineStr">
        <is>
          <t>ข้อสอบจริง</t>
        </is>
      </c>
      <c r="P741" s="2" t="inlineStr">
        <is>
          <t>ปี 2555</t>
        </is>
      </c>
    </row>
    <row r="742" ht="13.2" customHeight="1" s="37">
      <c r="A742" s="8" t="inlineStr">
        <is>
          <t>763</t>
        </is>
      </c>
      <c r="B742" s="2" t="inlineStr">
        <is>
          <t>ข้อใดคือโครงสร้างของยา Stavudine (d4T)</t>
        </is>
      </c>
      <c r="C742" s="2" t="n"/>
      <c r="D742" s="2" t="inlineStr">
        <is>
          <t>Dimercaprol (BAL) 3 mg/kg IM</t>
        </is>
      </c>
      <c r="E742" s="2" t="inlineStr">
        <is>
          <t>Ethanol 10% IV infusion for Methanol poisoning</t>
        </is>
      </c>
      <c r="F742" s="2" t="inlineStr">
        <is>
          <t>Fomepizole 15 mg/kg IV loading</t>
        </is>
      </c>
      <c r="G742" s="2" t="inlineStr">
        <is>
          <t>N-acetylcysteine (NAC) IV infusion protocol</t>
        </is>
      </c>
      <c r="H742" s="2" t="inlineStr">
        <is>
          <t>27.ข้อใดไม่ใช่วัตถุประสงค์ของการรักษาแบบ DOT</t>
        </is>
      </c>
      <c r="I742" s="8" t="inlineStr">
        <is>
          <t>1</t>
        </is>
      </c>
      <c r="J7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(27.ข้อใดไม่ใช่วัตถุประสงค์ของการรักษาแบบ DOT):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2" s="2" t="n"/>
      <c r="L742" s="2" t="inlineStr">
        <is>
          <t>General Therapeutics</t>
        </is>
      </c>
      <c r="M742" s="2" t="inlineStr">
        <is>
          <t>Clinic</t>
        </is>
      </c>
      <c r="N742" s="2" t="inlineStr">
        <is>
          <t>ข้อ 26 (PLE_CC1_2555 Day 1.md)</t>
        </is>
      </c>
      <c r="O742" s="2" t="inlineStr">
        <is>
          <t>ข้อสอบจริง</t>
        </is>
      </c>
      <c r="P742" s="2" t="inlineStr">
        <is>
          <t>ปี 2555</t>
        </is>
      </c>
    </row>
    <row r="743" ht="13.2" customHeight="1" s="37">
      <c r="A743" s="8" t="inlineStr">
        <is>
          <t>764</t>
        </is>
      </c>
      <c r="B743" s="2" t="inlineStr">
        <is>
          <t>ข้อใดคืออาการข้างเคียงที่สำคัญของ Stavudine</t>
        </is>
      </c>
      <c r="C743" s="2" t="n"/>
      <c r="D743" s="2" t="inlineStr">
        <is>
          <t>metabolic alkalosis</t>
        </is>
      </c>
      <c r="E743" s="2" t="inlineStr">
        <is>
          <t>lipodystrophy</t>
        </is>
      </c>
      <c r="F743" s="2" t="inlineStr">
        <is>
          <t>osteoporosis</t>
        </is>
      </c>
      <c r="G743" s="2" t="inlineStr">
        <is>
          <t>.....................</t>
        </is>
      </c>
      <c r="H743" s="2" t="inlineStr">
        <is>
          <t>.....................</t>
        </is>
      </c>
      <c r="I743" s="8" t="inlineStr">
        <is>
          <t>1</t>
        </is>
      </c>
      <c r="J743" s="2" t="inlineStr">
        <is>
          <t>✅ คำตอบที่ถูกต้อง: ข้อ ก. metabolic alkalosis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metabolic alkalosis การเลือก metabolic alkalosis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(lipodystrophy): ข้อนี้ไม่ใช่คำตอบที่ถูกต้องสำหรับภาวะ General Therapeutics เนื่องจากกลไกการออกฤทธิ์, efficacy หรือข้อบ่งใช้ไม่ตรงกับโจทย์ที่กำหนด
• ข้อ ค. (osteoporosis): ข้อนี้ไม่ใช่คำตอบที่ถูกต้องสำหรับภาวะ General Therapeutics เนื่องจากกลไกการออกฤทธิ์, efficacy หรือข้อบ่งใช้ไม่ตรงกับโจทย์ที่กำหนด
• ข้อ ง. (.....................): ข้อนี้ไม่ใช่คำตอบที่ถูกต้องสำหรับภาวะ General Therapeutics เนื่องจากกลไกการออกฤทธิ์, efficacy หรือข้อบ่งใช้ไม่ตรงกับโจทย์ที่กำหนด
• ข้อ จ.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3" s="2" t="n"/>
      <c r="L743" s="2" t="inlineStr">
        <is>
          <t>General Therapeutics</t>
        </is>
      </c>
      <c r="M743" s="2" t="inlineStr">
        <is>
          <t>Clinic</t>
        </is>
      </c>
      <c r="N743" s="2" t="inlineStr">
        <is>
          <t>ข้อ 28 (PLE_CC1_2555 Day 1.md)</t>
        </is>
      </c>
      <c r="O743" s="2" t="inlineStr">
        <is>
          <t>ข้อสอบจริง</t>
        </is>
      </c>
      <c r="P743" s="2" t="inlineStr">
        <is>
          <t>ปี 2555</t>
        </is>
      </c>
    </row>
    <row r="744" ht="13.2" customHeight="1" s="37">
      <c r="A744" s="8" t="inlineStr">
        <is>
          <t>765</t>
        </is>
      </c>
      <c r="B744" s="2" t="inlineStr">
        <is>
          <t>ยา NSAIDs ตัวใดที่ไม่เหมาะสมในการรักษาผู้ป่วยรายนี้</t>
        </is>
      </c>
      <c r="C744" s="2" t="n"/>
      <c r="D744" s="2" t="inlineStr">
        <is>
          <t>Aspirin</t>
        </is>
      </c>
      <c r="E744" s="2" t="inlineStr">
        <is>
          <t>Diclofenac</t>
        </is>
      </c>
      <c r="F744" s="2" t="inlineStr">
        <is>
          <t>Ibuprofen</t>
        </is>
      </c>
      <c r="G744" s="2" t="inlineStr">
        <is>
          <t>Indomethacin</t>
        </is>
      </c>
      <c r="H744" s="2" t="inlineStr">
        <is>
          <t>Piroxicam</t>
        </is>
      </c>
      <c r="I744" s="8" t="inlineStr">
        <is>
          <t>1</t>
        </is>
      </c>
      <c r="J744" s="2" t="inlineStr">
        <is>
          <t>✅ คำตอบที่ถูกต้อง: ข้อ ก. Aspirin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ข้อนี้ไม่ใช่คำตอบที่ถูกต้องสำหรับภาวะ Musculoskeletal &amp; Joint เนื่องจากกลไกการออกฤทธิ์, efficacy หรือข้อบ่งใช้ไม่ตรงกับโจทย์ที่กำหนด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(Indomethacin): เป็น potent non-selective NSAID มี anti-inflammatory efficacy สูงมากใน acute gout flare แต่มี ADRs เด่นทาง GI toxicity และ CNS (ปวดศีรษะ มึนงง)
• ข้อ จ. (Piroxicam): เป็น oxicam NSAID ที่มี half-life ยาวนานมาก (~50 ชม.) แต่มีความเสี่ยงต่อ severe GI bleed และ skin reactions สูงที่สุดในกลุ่ม NSAIDs
📖 Guideline อ้างอิง:
[NEED_REVIEW]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44" s="2" t="n"/>
      <c r="L744" s="2" t="inlineStr">
        <is>
          <t>Musculoskeletal &amp; Joint</t>
        </is>
      </c>
      <c r="M744" s="2" t="inlineStr">
        <is>
          <t>Clinic</t>
        </is>
      </c>
      <c r="N744" s="2" t="inlineStr">
        <is>
          <t>ข้อ 34 (PLE_CC1_2555 Day 1.md)</t>
        </is>
      </c>
      <c r="O744" s="2" t="inlineStr">
        <is>
          <t>ข้อสอบจริง</t>
        </is>
      </c>
      <c r="P744" s="2" t="inlineStr">
        <is>
          <t>ปี 2555</t>
        </is>
      </c>
    </row>
    <row r="745" ht="13.2" customHeight="1" s="37">
      <c r="A745" s="8" t="inlineStr">
        <is>
          <t>766</t>
        </is>
      </c>
      <c r="B745" s="2" t="inlineStr">
        <is>
          <t>ตามพระราชบัญญัติยา เภสัชกรสามารถกระทำการใดได้โดยไม่ผิดกฏหมาย</t>
        </is>
      </c>
      <c r="C745" s="2" t="n"/>
      <c r="D745" s="2" t="inlineStr">
        <is>
          <t>จ่ายยาที่หมดอายุแล้ว 1 วัน ให้กับคนไข้</t>
        </is>
      </c>
      <c r="E745" s="2" t="inlineStr">
        <is>
          <t>จ่ายยาที่ยังไม่หมดอายุ แต่เม็ดยามีลักษณะเป็นสีด่างๆ แต่เลือกจ่ายเม็ดที่มีการเปลี่ยนสีน้อยที่สุด</t>
        </is>
      </c>
      <c r="F745" s="2" t="inlineStr">
        <is>
          <t>นำเอายา 2 ตัวใส่ซองเดียวกันให้คนไข้ โดยให้กินควบคู่กัน หลังอาหาร</t>
        </is>
      </c>
      <c r="G745" s="2" t="inlineStr">
        <is>
          <t>แกะ pack ยา allopurinol ที่แสดงตัวอย่างไว้ มาใส่รวมกับกระปุกยา ซึ่งผลิตกันคนละ lot โดยผลิต ห่างกัน 3 เดือนมาใส่ด้วยกัน</t>
        </is>
      </c>
      <c r="H745" s="2" t="inlineStr">
        <is>
          <t>ซื้อยาเลี่ยงภาษีมาจากสิงคโปร์มาขาย เพราะราคาถูกกว่ามาก</t>
        </is>
      </c>
      <c r="I745" s="8" t="inlineStr">
        <is>
          <t>1</t>
        </is>
      </c>
      <c r="J745" s="2" t="inlineStr">
        <is>
          <t>✅ คำตอบที่ถูกต้อง: ข้อ ก. จ่ายยาที่หมดอายุแล้ว 1 วัน ให้กับคนไข้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จ่ายยาที่หมดอายุแล้ว 1 วัน ให้กับคนไข้ การเลือก จ่ายยาที่หมดอายุแล้ว 1 วัน ให้กับคนไข้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(จ่ายยาที่ยังไม่หมดอายุ แต่เม็ดยามีลักษณะเป็นสีด่างๆ แต่เลือกจ่ายเม็ดที่มีการเปลี่ยนสีน้อยที่สุด): ข้อนี้ไม่ใช่คำตอบที่ถูกต้องสำหรับภาวะ General Therapeutics เนื่องจากกลไกการออกฤทธิ์, efficacy หรือข้อบ่งใช้ไม่ตรงกับโจทย์ที่กำหนด
• ข้อ ค. (นำเอายา 2 ตัวใส่ซองเดียวกันให้คนไข้ โดยให้กินควบคู่กัน หลังอาหาร): ข้อนี้ไม่ใช่คำตอบที่ถูกต้องสำหรับภาวะ General Therapeutics เนื่องจากกลไกการออกฤทธิ์, efficacy หรือข้อบ่งใช้ไม่ตรงกับโจทย์ที่กำหนด
• ข้อ ง. (แกะ pack ยา allopurinol ที่แสดงตัวอย่างไว้ มาใส่รวมกับกระปุกยา ซึ่งผลิตกันคนละ lot โดยผลิต ห่างกัน 3 เดือนมาใส่ด้วยกัน):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จ. (ซื้อยาเลี่ยงภาษีมาจากสิงคโปร์มาขาย เพราะราคาถูกกว่ามาก):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45" s="2" t="n"/>
      <c r="L745" s="2" t="inlineStr">
        <is>
          <t>General Therapeutics</t>
        </is>
      </c>
      <c r="M745" s="2" t="inlineStr">
        <is>
          <t>Clinic</t>
        </is>
      </c>
      <c r="N745" s="2" t="inlineStr">
        <is>
          <t>ข้อ 39 (PLE_CC1_2555 Day 1.md)</t>
        </is>
      </c>
      <c r="O745" s="2" t="inlineStr">
        <is>
          <t>ข้อสอบจริง</t>
        </is>
      </c>
      <c r="P745" s="2" t="inlineStr">
        <is>
          <t>ปี 2555</t>
        </is>
      </c>
    </row>
    <row r="746" ht="13.2" customHeight="1" s="37">
      <c r="A746" s="8" t="inlineStr">
        <is>
          <t>767</t>
        </is>
      </c>
      <c r="B746" s="2" t="inlineStr">
        <is>
          <t>การแพ้ยาในผู้ป่วยรายนี้ควรเปลี่ยนการรักษาแบบใด</t>
        </is>
      </c>
      <c r="C746" s="2" t="n"/>
      <c r="D746" s="2" t="inlineStr">
        <is>
          <t>เปลี่ยนยา amoxicillin เป็นยา ciprofloxacin</t>
        </is>
      </c>
      <c r="E746" s="2" t="inlineStr">
        <is>
          <t>เปลี่ยนยา amoxicillin เป็นยา azithromycin</t>
        </is>
      </c>
      <c r="F746" s="2" t="inlineStr">
        <is>
          <t>เปลี่ยนยา amoxicillin เป็นยา metronidazole</t>
        </is>
      </c>
      <c r="G746" s="2" t="inlineStr">
        <is>
          <t>เปลี่ยนยา chloramphenicol เป็นยา tobramycin</t>
        </is>
      </c>
      <c r="H746" s="2" t="inlineStr">
        <is>
          <t>เปลี่ยนยา chloramphenicol เป็นยา ciprofloxacin</t>
        </is>
      </c>
      <c r="I746" s="8" t="inlineStr">
        <is>
          <t>1</t>
        </is>
      </c>
      <c r="J746" s="2" t="inlineStr">
        <is>
          <t>✅ คำตอบที่ถูกต้อง: ข้อ ก. เปลี่ยนยา amoxicillin เป็นยา ciprofloxacin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เปลี่ยนยา amoxicillin เป็นยา ciprofloxacin การเลือก เปลี่ยนยา amoxicillin เป็นยา ciprofloxacin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(เปลี่ยนยา amoxicillin เป็นยา azithromycin): เป็น Aminopenicillin ยับยั้ง bacterial cell wall synthesis เป็น first-line สำหรับ uncomplicated bacterial infections (เช่น Strep pharyngitis, AOM, sinusitis)
• ข้อ ค. (เปลี่ยนยา amoxicillin เป็นยา metronidazole): เป็น Aminopenicillin ยับยั้ง bacterial cell wall synthesis เป็น first-line สำหรับ uncomplicated bacterial infections (เช่น Strep pharyngitis, AOM, sinusitis)
• ข้อ ง. (เปลี่ยนยา chloramphenicol เป็นยา tobramycin): ข้อนี้ไม่ใช่คำตอบที่ถูกต้องสำหรับภาวะ Allergy &amp; Immunology เนื่องจากกลไกการออกฤทธิ์, efficacy หรือข้อบ่งใช้ไม่ตรงกับโจทย์ที่กำหนด
• ข้อ จ. (เปลี่ยนยา chloramphenicol เป็นยา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746" s="2" t="n"/>
      <c r="L746" s="2" t="inlineStr">
        <is>
          <t>Allergy &amp; Immunology</t>
        </is>
      </c>
      <c r="M746" s="2" t="inlineStr">
        <is>
          <t>Clinic</t>
        </is>
      </c>
      <c r="N746" s="2" t="inlineStr">
        <is>
          <t>ข้อ 41 (PLE_CC1_2555 Day 1.md)</t>
        </is>
      </c>
      <c r="O746" s="2" t="inlineStr">
        <is>
          <t>ข้อสอบจริง</t>
        </is>
      </c>
      <c r="P746" s="2" t="inlineStr">
        <is>
          <t>ปี 2555</t>
        </is>
      </c>
    </row>
    <row r="747" ht="13.2" customHeight="1" s="37">
      <c r="A747" s="8" t="inlineStr">
        <is>
          <t>768</t>
        </is>
      </c>
      <c r="B747" s="2" t="inlineStr">
        <is>
          <t>สาเหตุของอาการที่ผู้ป่วยเป็นอยู่คือข้อใด</t>
        </is>
      </c>
      <c r="C747" s="2" t="n"/>
      <c r="D747" s="2" t="inlineStr">
        <is>
          <t>Bacterial conjunctivitis</t>
        </is>
      </c>
      <c r="E747" s="2" t="inlineStr">
        <is>
          <t>Viral conjunctivitis</t>
        </is>
      </c>
      <c r="F747" s="2" t="inlineStr">
        <is>
          <t>Allergic conjunctivitis</t>
        </is>
      </c>
      <c r="G747" s="2" t="inlineStr">
        <is>
          <t>ติดเชื้อ virus จากไข้หวัด คณะเภสัชศาสตร์ มหาวิทยาลัยเชียงใหม่ Rx 44 CMU</t>
        </is>
      </c>
      <c r="H747" s="2" t="inlineStr">
        <is>
          <t>Flumazenil 0.2 mg IV stat</t>
        </is>
      </c>
      <c r="I747" s="8" t="inlineStr">
        <is>
          <t>1</t>
        </is>
      </c>
      <c r="J747" s="2" t="inlineStr">
        <is>
          <t>✅ คำตอบที่ถูกต้อง: ข้อ ก. Bacterial conjunctivitis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Bacterial conjunctivitis การเลือก Bacterial conjunctivitis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(Viral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ค. (Allergic conjunctivitis): ข้อนี้ไม่ใช่คำตอบที่ถูกต้องสำหรับภาวะ General Therapeutics เนื่องจากกลไกการออกฤทธิ์, efficacy หรือข้อบ่งใช้ไม่ตรงกับโจทย์ที่กำหนด
• ข้อ ง. (ติดเชื้อ virus จากไข้หวัด คณะเภสัชศาสตร์ มหาวิทยาลัยเชียงใหม่ Rx 44 CMU):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7" s="2" t="n"/>
      <c r="L747" s="2" t="inlineStr">
        <is>
          <t>General Therapeutics</t>
        </is>
      </c>
      <c r="M747" s="2" t="inlineStr">
        <is>
          <t>Clinic</t>
        </is>
      </c>
      <c r="N747" s="2" t="inlineStr">
        <is>
          <t>ข้อ 45 (PLE_CC1_2555 Day 1.md)</t>
        </is>
      </c>
      <c r="O747" s="2" t="inlineStr">
        <is>
          <t>ข้อสอบจริง</t>
        </is>
      </c>
      <c r="P747" s="2" t="inlineStr">
        <is>
          <t>ปี 2555</t>
        </is>
      </c>
    </row>
    <row r="748" ht="13.2" customHeight="1" s="37">
      <c r="A748" s="8" t="inlineStr">
        <is>
          <t>769</t>
        </is>
      </c>
      <c r="B748" s="2" t="inlineStr">
        <is>
          <t>ข้อใดคือข้อแนะนำที่ถูกต้องเมื่อผู้ป่วยได้รับยาลดกรดร่วมด้วย</t>
        </is>
      </c>
      <c r="C748" s="2" t="n"/>
      <c r="D748" s="2" t="inlineStr">
        <is>
          <t>กินพร้อมกันได้</t>
        </is>
      </c>
      <c r="E748" s="2" t="inlineStr">
        <is>
          <t>กินยา omeprazole ก่อนอาหาร 30 นาที และกินยาลดกรดหลังอาหาร 1 ชั่วโมง</t>
        </is>
      </c>
      <c r="F748" s="2" t="inlineStr">
        <is>
          <t>กินยา omeprazole ก่อนยาลดกรด 15 นาที ก่อนกินอาหาร</t>
        </is>
      </c>
      <c r="G748" s="2" t="inlineStr">
        <is>
          <t>...............</t>
        </is>
      </c>
      <c r="H748" s="2" t="inlineStr">
        <is>
          <t>กินยาลดกรดห่างจากยา omeprazole อย่างน้อย 2 ชั่วโมง</t>
        </is>
      </c>
      <c r="I748" s="8" t="inlineStr">
        <is>
          <t>1</t>
        </is>
      </c>
      <c r="J748" s="2" t="inlineStr">
        <is>
          <t>✅ คำตอบที่ถูกต้อง: ข้อ ก. กินพร้อมกันได้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กินพร้อมกันได้ การเลือก กินพร้อมกันได้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(กินยา omeprazole ก่อนอาหาร 30 นาที และกินยาลดกรดหลังอาหาร 1 ชั่วโมง):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(กินยา omeprazole ก่อนยาลดกรด 15 นาที ก่อนกินอาหาร):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 ข้อนี้ไม่ใช่คำตอบที่ถูกต้องสำหรับภาวะ GI Disorders เนื่องจากกลไกการออกฤทธิ์, efficacy หรือข้อบ่งใช้ไม่ตรงกับโจทย์ที่กำหนด
• ข้อ จ. (กินยาลดกรดห่างจากยา omeprazole อย่างน้อย 2 ชั่วโมง):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8" s="2" t="n"/>
      <c r="L748" s="2" t="inlineStr">
        <is>
          <t>GI Disorders</t>
        </is>
      </c>
      <c r="M748" s="2" t="inlineStr">
        <is>
          <t>Clinic</t>
        </is>
      </c>
      <c r="N748" s="2" t="inlineStr">
        <is>
          <t>ข้อ 52 (PLE_CC1_2555 Day 1.md)</t>
        </is>
      </c>
      <c r="O748" s="2" t="inlineStr">
        <is>
          <t>ข้อสอบจริง</t>
        </is>
      </c>
      <c r="P748" s="2" t="inlineStr">
        <is>
          <t>ปี 2555</t>
        </is>
      </c>
    </row>
    <row r="749" ht="13.2" customHeight="1" s="37">
      <c r="A749" s="8" t="inlineStr">
        <is>
          <t>770</t>
        </is>
      </c>
      <c r="B749" s="2" t="inlineStr">
        <is>
          <t>ในการทำยาแบบ Matrix ต้องมีการใช้สารใดเพื่อควบคุมการปลดปล่อยของตัวยา</t>
        </is>
      </c>
      <c r="C749" s="2" t="n"/>
      <c r="D749" s="2" t="inlineStr">
        <is>
          <t>Hydroxypropyl methyl cellulose</t>
        </is>
      </c>
      <c r="E749" s="2" t="inlineStr">
        <is>
          <t>Colloidal silicon dioxide</t>
        </is>
      </c>
      <c r="F749" s="2" t="inlineStr">
        <is>
          <t>Magnesium stearate</t>
        </is>
      </c>
      <c r="G749" s="2" t="inlineStr">
        <is>
          <t>Shallac</t>
        </is>
      </c>
      <c r="H749" s="2" t="inlineStr">
        <is>
          <t>PEG คณะเภสัชศาสตร์ มหาวิทยาลัยเชียงใหม่ Rx 44 CMU</t>
        </is>
      </c>
      <c r="I749" s="8" t="inlineStr">
        <is>
          <t>1</t>
        </is>
      </c>
      <c r="J749" s="2" t="inlineStr">
        <is>
          <t>✅ คำตอบที่ถูกต้อง: ข้อ ก. Hydroxypropyl methyl cellulose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Hydroxypropyl methyl cellulose การเลือก Hydroxypropyl methyl cellulose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(Colloidal silicon dioxide): ข้อนี้ไม่ใช่คำตอบที่ถูกต้องสำหรับภาวะ General Therapeutics เนื่องจากกลไกการออกฤทธิ์, efficacy หรือข้อบ่งใช้ไม่ตรงกับโจทย์ที่กำหนด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(Shallac): ข้อนี้ไม่ใช่คำตอบที่ถูกต้องสำหรับภาวะ General Therapeutics เนื่องจากกลไกการออกฤทธิ์, efficacy หรือข้อบ่งใช้ไม่ตรงกับโจทย์ที่กำหนด
• ข้อ จ. (PEG คณะเภสัชศาสตร์ มหาวิทยาลัยเชียงใหม่ Rx 44 CMU):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49" s="2" t="n"/>
      <c r="L749" s="2" t="inlineStr">
        <is>
          <t>General Therapeutics</t>
        </is>
      </c>
      <c r="M749" s="2" t="inlineStr">
        <is>
          <t>Clinic</t>
        </is>
      </c>
      <c r="N749" s="2" t="inlineStr">
        <is>
          <t>ข้อ 58 (PLE_CC1_2555 Day 1.md)</t>
        </is>
      </c>
      <c r="O749" s="2" t="inlineStr">
        <is>
          <t>ข้อสอบจริง</t>
        </is>
      </c>
      <c r="P749" s="2" t="inlineStr">
        <is>
          <t>ปี 2555</t>
        </is>
      </c>
    </row>
    <row r="750" ht="13.2" customHeight="1" s="37">
      <c r="A750" s="8" t="inlineStr">
        <is>
          <t>771</t>
        </is>
      </c>
      <c r="B750" s="2" t="inlineStr">
        <is>
          <t>ผู้ป่วยมีอาการคันมาก มาขอซื้อยา hydroxyzine ข้อใดผิดเกี่ยวกับยา hydroxyzine</t>
        </is>
      </c>
      <c r="C750" s="2" t="n"/>
      <c r="D750" s="2" t="inlineStr">
        <is>
          <t>hydroxyzine ในขนาดสูงสามารถใช้เป็นยากันชักได้</t>
        </is>
      </c>
      <c r="E750" s="2" t="inlineStr">
        <is>
          <t>อาการข้างเคียงเมื่อใช้ hydroxyzine สูงๆ คือชัก และ ง่วงนอน</t>
        </is>
      </c>
      <c r="F750" s="2" t="inlineStr">
        <is>
          <t>..... คณะเภสัชศาสตร์ มหาวิทยาลัยเชียงใหม่ Rx 44 CMU</t>
        </is>
      </c>
      <c r="G750" s="2" t="inlineStr">
        <is>
          <t>N-acetylcysteine (NAC) IV infusion protocol</t>
        </is>
      </c>
      <c r="H750" s="2" t="inlineStr">
        <is>
          <t>Atropine sulfate 2 mg IV Q5-10 min</t>
        </is>
      </c>
      <c r="I750" s="8" t="inlineStr">
        <is>
          <t>1</t>
        </is>
      </c>
      <c r="J750" s="2" t="inlineStr">
        <is>
          <t>✅ คำตอบที่ถูกต้อง: ข้อ ก. hydroxyzine ในขนาดสูงสามารถใช้เป็นยากันชักได้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hydroxyzine ในขนาดสูงสามารถใช้เป็นยากันชักได้ การเลือก hydroxyzine ในขนาดสูงสามารถใช้เป็นยากันชักได้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(อาการข้างเคียงเมื่อใช้ hydroxyzine สูงๆ คือชัก และ ง่วงนอน): ข้อนี้ไม่ใช่คำตอบที่ถูกต้องสำหรับภาวะ General Therapeutics เนื่องจากกลไกการออกฤทธิ์, efficacy หรือข้อบ่งใช้ไม่ตรงกับโจทย์ที่กำหนด
• ข้อ ค. (..... คณะเภสัชศาสตร์ มหาวิทยาลัยเชียงใหม่ Rx 44 CMU):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0" s="2" t="n"/>
      <c r="L750" s="2" t="inlineStr">
        <is>
          <t>General Therapeutics</t>
        </is>
      </c>
      <c r="M750" s="2" t="inlineStr">
        <is>
          <t>Clinic</t>
        </is>
      </c>
      <c r="N750" s="2" t="inlineStr">
        <is>
          <t>ข้อ 63 (PLE_CC1_2555 Day 1.md)</t>
        </is>
      </c>
      <c r="O750" s="2" t="inlineStr">
        <is>
          <t>ข้อสอบจริง</t>
        </is>
      </c>
      <c r="P750" s="2" t="inlineStr">
        <is>
          <t>ปี 2555</t>
        </is>
      </c>
    </row>
    <row r="751" ht="13.2" customHeight="1" s="37">
      <c r="A751" s="8" t="inlineStr">
        <is>
          <t>772</t>
        </is>
      </c>
      <c r="B751" s="2" t="inlineStr">
        <is>
          <t>Hydroxyzine ทำให้อาการของผู้ป่วยในข้อใดแย่ลง</t>
        </is>
      </c>
      <c r="C751" s="2" t="n"/>
      <c r="D751" s="2" t="inlineStr">
        <is>
          <t>Hypertension</t>
        </is>
      </c>
      <c r="E751" s="2" t="inlineStr">
        <is>
          <t>DM</t>
        </is>
      </c>
      <c r="F751" s="2" t="inlineStr">
        <is>
          <t>BPH</t>
        </is>
      </c>
      <c r="G751" s="2" t="inlineStr">
        <is>
          <t>Naloxone 0.4 mg IV stat</t>
        </is>
      </c>
      <c r="H751" s="2" t="inlineStr">
        <is>
          <t>Flumazenil 0.2 mg IV stat</t>
        </is>
      </c>
      <c r="I751" s="8" t="inlineStr">
        <is>
          <t>1</t>
        </is>
      </c>
      <c r="J751" s="2" t="inlineStr">
        <is>
          <t>✅ คำตอบที่ถูกต้อง: ข้อ ก. Hypertension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Hypertension การเลือก Hypertension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(DM): ข้อนี้ไม่ใช่คำตอบที่ถูกต้องสำหรับภาวะ General Therapeutics เนื่องจากกลไกการออกฤทธิ์, efficacy หรือข้อบ่งใช้ไม่ตรงกับโจทย์ที่กำหนด
• ข้อ ค. (BPH):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1" s="2" t="n"/>
      <c r="L751" s="2" t="inlineStr">
        <is>
          <t>General Therapeutics</t>
        </is>
      </c>
      <c r="M751" s="2" t="inlineStr">
        <is>
          <t>Clinic</t>
        </is>
      </c>
      <c r="N751" s="2" t="inlineStr">
        <is>
          <t>ข้อ 65 (PLE_CC1_2555 Day 1.md)</t>
        </is>
      </c>
      <c r="O751" s="2" t="inlineStr">
        <is>
          <t>ข้อสอบจริง</t>
        </is>
      </c>
      <c r="P751" s="2" t="inlineStr">
        <is>
          <t>ปี 2555</t>
        </is>
      </c>
    </row>
    <row r="752" ht="13.2" customHeight="1" s="37">
      <c r="A752" s="8" t="inlineStr">
        <is>
          <t>773</t>
        </is>
      </c>
      <c r="B752" s="2" t="inlineStr">
        <is>
          <t>โครงสร้างของยา hydroxyzine จัดเป็นโครงสร้างแบบใด</t>
        </is>
      </c>
      <c r="C752" s="2" t="n"/>
      <c r="D752" s="2" t="inlineStr">
        <is>
          <t>Ethanolamine ether derivative</t>
        </is>
      </c>
      <c r="E752" s="2" t="inlineStr">
        <is>
          <t>Ethylenediamine derivative</t>
        </is>
      </c>
      <c r="F752" s="2" t="inlineStr">
        <is>
          <t>Phenothiazine derivative</t>
        </is>
      </c>
      <c r="G752" s="2" t="inlineStr">
        <is>
          <t>Piperazine derivative</t>
        </is>
      </c>
      <c r="H752" s="2" t="inlineStr">
        <is>
          <t>Propylamine derivative</t>
        </is>
      </c>
      <c r="I752" s="8" t="inlineStr">
        <is>
          <t>1</t>
        </is>
      </c>
      <c r="J752" s="2" t="inlineStr">
        <is>
          <t>✅ คำตอบที่ถูกต้อง: ข้อ ก. Ethanolamine ether derivative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Ethanolamine ether derivative การเลือก Ethanolamine ether derivative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(Ethylenediamine derivative): ข้อนี้ไม่ใช่คำตอบที่ถูกต้องสำหรับภาวะ General Therapeutics เนื่องจากกลไกการออกฤทธิ์, efficacy หรือข้อบ่งใช้ไม่ตรงกับโจทย์ที่กำหนด
• ข้อ ค. (Phenothiazine derivative): ข้อนี้ไม่ใช่คำตอบที่ถูกต้องสำหรับภาวะ General Therapeutics เนื่องจากกลไกการออกฤทธิ์, efficacy หรือข้อบ่งใช้ไม่ตรงกับโจทย์ที่กำหนด
• ข้อ ง. (Piperazine derivative): ข้อนี้ไม่ใช่คำตอบที่ถูกต้องสำหรับภาวะ General Therapeutics เนื่องจากกลไกการออกฤทธิ์, efficacy หรือข้อบ่งใช้ไม่ตรงกับโจทย์ที่กำหนด
• ข้อ จ. (Propylamine derivative):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2" s="2" t="n"/>
      <c r="L752" s="2" t="inlineStr">
        <is>
          <t>General Therapeutics</t>
        </is>
      </c>
      <c r="M752" s="2" t="inlineStr">
        <is>
          <t>Clinic</t>
        </is>
      </c>
      <c r="N752" s="2" t="inlineStr">
        <is>
          <t>ข้อ 66 (PLE_CC1_2555 Day 1.md)</t>
        </is>
      </c>
      <c r="O752" s="2" t="inlineStr">
        <is>
          <t>ข้อสอบจริง</t>
        </is>
      </c>
      <c r="P752" s="2" t="inlineStr">
        <is>
          <t>ปี 2555</t>
        </is>
      </c>
    </row>
    <row r="753" ht="13.2" customHeight="1" s="37">
      <c r="A753" s="8" t="inlineStr">
        <is>
          <t>774</t>
        </is>
      </c>
      <c r="B753" s="2" t="inlineStr">
        <is>
          <t>ยาในข้อใดที่ทำให้เกิด rhinitis medicamentosa</t>
        </is>
      </c>
      <c r="C753" s="2" t="n"/>
      <c r="D753" s="2" t="inlineStr">
        <is>
          <t>Pseudoephridrine</t>
        </is>
      </c>
      <c r="E753" s="2" t="inlineStr">
        <is>
          <t>Phenylephrine + Tripolidine</t>
        </is>
      </c>
      <c r="F753" s="2" t="inlineStr">
        <is>
          <t>Mometasone</t>
        </is>
      </c>
      <c r="G753" s="2" t="inlineStr">
        <is>
          <t>Budesonide</t>
        </is>
      </c>
      <c r="H753" s="2" t="inlineStr">
        <is>
          <t>Oxymetazoline สถานการณ์ หญิงเพิ่งคลอดบุตรได้ 3 เดือน ตอนนี้กำลังให้นมบุตร มาขอซื้อยาคุมกำเนิดที่ร้านยา</t>
        </is>
      </c>
      <c r="I753" s="8" t="inlineStr">
        <is>
          <t>1</t>
        </is>
      </c>
      <c r="J753" s="2" t="inlineStr">
        <is>
          <t>✅ คำตอบที่ถูกต้อง: ข้อ ก. Pseudoephridrine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Pseudoephridrine การเลือก Pseudoephridrine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(Phenylephrine + Tripolidine): ข้อนี้ไม่ใช่คำตอบที่ถูกต้องสำหรับภาวะ General Therapeutics เนื่องจากกลไกการออกฤทธิ์, efficacy หรือข้อบ่งใช้ไม่ตรงกับโจทย์ที่กำหนด
• ข้อ ค. (Mometasone): ข้อนี้ไม่ใช่คำตอบที่ถูกต้องสำหรับภาวะ General Therapeutics เนื่องจากกลไกการออกฤทธิ์, efficacy หรือข้อบ่งใช้ไม่ตรงกับโจทย์ที่กำหนด
• ข้อ ง.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(Oxymetazoline สถานการณ์ หญิงเพิ่งคลอดบุตรได้ 3 เดือน ตอนนี้กำลังให้นมบุตร มาขอซื้อยาคุมกำเนิดที่ร้านยา): เป็น topical alpha-1 agonist ยาพ่นจมูกลดบวม ห้ามใช้ติดต่อกันเกิน 3-5 วัน เนื่องจากเสี่ยงต่อการเกิด rebound congestion (Rhinitis medicamentosa)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3" s="2" t="n"/>
      <c r="L753" s="2" t="inlineStr">
        <is>
          <t>General Therapeutics</t>
        </is>
      </c>
      <c r="M753" s="2" t="inlineStr">
        <is>
          <t>Clinic</t>
        </is>
      </c>
      <c r="N753" s="2" t="inlineStr">
        <is>
          <t>ข้อ 70 (PLE_CC1_2555 Day 1.md)</t>
        </is>
      </c>
      <c r="O753" s="2" t="inlineStr">
        <is>
          <t>ข้อสอบจริง</t>
        </is>
      </c>
      <c r="P753" s="2" t="inlineStr">
        <is>
          <t>ปี 2555</t>
        </is>
      </c>
    </row>
    <row r="754" ht="13.2" customHeight="1" s="37">
      <c r="A754" s="8" t="inlineStr">
        <is>
          <t>775</t>
        </is>
      </c>
      <c r="B754" s="2" t="inlineStr">
        <is>
          <t>แผ่นแปะดังแสดงในรูป เรียกว่าอะไร</t>
        </is>
      </c>
      <c r="C754" s="2" t="n"/>
      <c r="D754" s="2" t="inlineStr">
        <is>
          <t>Single layer drug in adhesive</t>
        </is>
      </c>
      <c r="E754" s="2" t="inlineStr">
        <is>
          <t>Multiple layer drug n adhesive</t>
        </is>
      </c>
      <c r="F754" s="2" t="inlineStr">
        <is>
          <t>Drug reservoir system</t>
        </is>
      </c>
      <c r="G754" s="2" t="inlineStr">
        <is>
          <t>Matrix system</t>
        </is>
      </c>
      <c r="H754" s="2" t="inlineStr">
        <is>
          <t>…. คณะเภสัชศาสตร์ มหาวิทยาลัยเชียงใหม่ Rx 44 CMU</t>
        </is>
      </c>
      <c r="I754" s="8" t="inlineStr">
        <is>
          <t>1</t>
        </is>
      </c>
      <c r="J754" s="2" t="inlineStr">
        <is>
          <t>✅ คำตอบที่ถูกต้อง: ข้อ ก. Single layer drug in adhesive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Single layer drug in adhesive การเลือก Single layer drug in adhesive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(Multiple layer drug n adhesive): ข้อนี้ไม่ใช่คำตอบที่ถูกต้องสำหรับภาวะ General Therapeutics เนื่องจากกลไกการออกฤทธิ์, efficacy หรือข้อบ่งใช้ไม่ตรงกับโจทย์ที่กำหนด
• ข้อ ค. (Drug reservoir system): ข้อนี้ไม่ใช่คำตอบที่ถูกต้องสำหรับภาวะ General Therapeutics เนื่องจากกลไกการออกฤทธิ์, efficacy หรือข้อบ่งใช้ไม่ตรงกับโจทย์ที่กำหนด
• ข้อ ง. (Matrix system): ข้อนี้ไม่ใช่คำตอบที่ถูกต้องสำหรับภาวะ General Therapeutics เนื่องจากกลไกการออกฤทธิ์, efficacy หรือข้อบ่งใช้ไม่ตรงกับโจทย์ที่กำหนด
• ข้อ จ. (…. คณะเภสัชศาสตร์ มหาวิทยาลัยเชียงใหม่ Rx 44 CMU):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4" s="2" t="n"/>
      <c r="L754" s="2" t="inlineStr">
        <is>
          <t>General Therapeutics</t>
        </is>
      </c>
      <c r="M754" s="2" t="inlineStr">
        <is>
          <t>Clinic</t>
        </is>
      </c>
      <c r="N754" s="2" t="inlineStr">
        <is>
          <t>ข้อ 76 (PLE_CC1_2555 Day 1.md)</t>
        </is>
      </c>
      <c r="O754" s="2" t="inlineStr">
        <is>
          <t>ข้อสอบจริง</t>
        </is>
      </c>
      <c r="P754" s="2" t="inlineStr">
        <is>
          <t>ปี 2555</t>
        </is>
      </c>
    </row>
    <row r="755" ht="13.2" customHeight="1" s="37">
      <c r="A755" s="8" t="inlineStr">
        <is>
          <t>776</t>
        </is>
      </c>
      <c r="B755" s="2" t="inlineStr">
        <is>
          <t>การดู bioequivalent ดูจากค่าอะไร</t>
        </is>
      </c>
      <c r="C755" s="2" t="n"/>
      <c r="D755" s="2" t="inlineStr">
        <is>
          <t>AUC , Tmax</t>
        </is>
      </c>
      <c r="E755" s="2" t="inlineStr">
        <is>
          <t>AUC , Cmax</t>
        </is>
      </c>
      <c r="F755" s="2" t="inlineStr">
        <is>
          <t>AUC , half life</t>
        </is>
      </c>
      <c r="G755" s="2" t="inlineStr">
        <is>
          <t>Tmax , half life</t>
        </is>
      </c>
      <c r="H755" s="2" t="inlineStr">
        <is>
          <t>Cmax , half life</t>
        </is>
      </c>
      <c r="I755" s="8" t="inlineStr">
        <is>
          <t>1</t>
        </is>
      </c>
      <c r="J755" s="2" t="inlineStr">
        <is>
          <t>✅ คำตอบที่ถูกต้อง: ข้อ ก. AUC , Tmax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AUC , Tmax การเลือก AUC , Tmax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(AUC , Cmax): ข้อนี้ไม่ใช่คำตอบที่ถูกต้องสำหรับภาวะ General Therapeutics เนื่องจากกลไกการออกฤทธิ์, efficacy หรือข้อบ่งใช้ไม่ตรงกับโจทย์ที่กำหนด
• ข้อ ค. (AUC , half life): ข้อนี้ไม่ใช่คำตอบที่ถูกต้องสำหรับภาวะ General Therapeutics เนื่องจากกลไกการออกฤทธิ์, efficacy หรือข้อบ่งใช้ไม่ตรงกับโจทย์ที่กำหนด
• ข้อ ง. (Tmax , half life): ข้อนี้ไม่ใช่คำตอบที่ถูกต้องสำหรับภาวะ General Therapeutics เนื่องจากกลไกการออกฤทธิ์, efficacy หรือข้อบ่งใช้ไม่ตรงกับโจทย์ที่กำหนด
• ข้อ จ. (Cmax , half life):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5" s="2" t="n"/>
      <c r="L755" s="2" t="inlineStr">
        <is>
          <t>General Therapeutics</t>
        </is>
      </c>
      <c r="M755" s="2" t="inlineStr">
        <is>
          <t>Clinic</t>
        </is>
      </c>
      <c r="N755" s="2" t="inlineStr">
        <is>
          <t>ข้อ 79 (PLE_CC1_2555 Day 1.md)</t>
        </is>
      </c>
      <c r="O755" s="2" t="inlineStr">
        <is>
          <t>ข้อสอบจริง</t>
        </is>
      </c>
      <c r="P755" s="2" t="inlineStr">
        <is>
          <t>ปี 2555</t>
        </is>
      </c>
    </row>
    <row r="756" ht="13.2" customHeight="1" s="37">
      <c r="A756" s="8" t="inlineStr">
        <is>
          <t>777</t>
        </is>
      </c>
      <c r="B756" s="2" t="inlineStr">
        <is>
          <t>ข้อใดถูกต้อง คณะเภสัชศาสตร์ มหาวิทยาลัยเชียงใหม่ Rx 44 CMU</t>
        </is>
      </c>
      <c r="C756" s="2" t="n"/>
      <c r="D756" s="2" t="inlineStr">
        <is>
          <t>เป็นการศึกษาการปลดปล่อยตัวยาออกจากแคปซูล</t>
        </is>
      </c>
      <c r="E756" s="2" t="inlineStr">
        <is>
          <t>อุณหภูมิมีหน่วยเป็นองศาเซลเซียส</t>
        </is>
      </c>
      <c r="F756" s="2" t="inlineStr">
        <is>
          <t>เพิ่มอุณหภูมิจะทำให้ค่า k ลดลง</t>
        </is>
      </c>
      <c r="G756" s="2" t="inlineStr">
        <is>
          <t>เป็นการทำ accerelated stability</t>
        </is>
      </c>
      <c r="H756" s="2" t="inlineStr">
        <is>
          <t>เป็นไปตาม Stoke’s equation สถานการณ์ ผู้ป่วยมีอาการชักแบบ tonic clonic ได้รับ carbamazepine BID</t>
        </is>
      </c>
      <c r="I756" s="8" t="inlineStr">
        <is>
          <t>1</t>
        </is>
      </c>
      <c r="J756" s="2" t="inlineStr">
        <is>
          <t>✅ คำตอบที่ถูกต้อง: ข้อ ก. เป็นการศึกษาการปลดปล่อยตัวยาออกจากแคปซูล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เป็นการศึกษาการปลดปล่อยตัวยาออกจากแคปซูล การเลือก เป็นการศึกษาการปลดปล่อยตัวยาออกจากแคปซูล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(อุณหภูมิมีหน่วยเป็นองศาเซลเซียส): ข้อนี้ไม่ใช่คำตอบที่ถูกต้องสำหรับภาวะ General Therapeutics เนื่องจากกลไกการออกฤทธิ์, efficacy หรือข้อบ่งใช้ไม่ตรงกับโจทย์ที่กำหนด
• ข้อ ค. (เพิ่มอุณหภูมิจะทำให้ค่า k ลดลง): ข้อนี้ไม่ใช่คำตอบที่ถูกต้องสำหรับภาวะ General Therapeutics เนื่องจากกลไกการออกฤทธิ์, efficacy หรือข้อบ่งใช้ไม่ตรงกับโจทย์ที่กำหนด
• ข้อ ง. (เป็นการทำ accerelated stability): ข้อนี้ไม่ใช่คำตอบที่ถูกต้องสำหรับภาวะ General Therapeutics เนื่องจากกลไกการออกฤทธิ์, efficacy หรือข้อบ่งใช้ไม่ตรงกับโจทย์ที่กำหนด
• ข้อ จ. (เป็นไปตาม Stoke’s equation สถานการณ์ ผู้ป่วยมีอาการชักแบบ tonic clonic ได้รับ carbamazepine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6" s="2" t="n"/>
      <c r="L756" s="2" t="inlineStr">
        <is>
          <t>General Therapeutics</t>
        </is>
      </c>
      <c r="M756" s="2" t="inlineStr">
        <is>
          <t>Clinic</t>
        </is>
      </c>
      <c r="N756" s="2" t="inlineStr">
        <is>
          <t>ข้อ 80 (PLE_CC1_2555 Day 1.md)</t>
        </is>
      </c>
      <c r="O756" s="2" t="inlineStr">
        <is>
          <t>ข้อสอบจริง</t>
        </is>
      </c>
      <c r="P756" s="2" t="inlineStr">
        <is>
          <t>ปี 2555</t>
        </is>
      </c>
    </row>
    <row r="757" ht="13.2" customHeight="1" s="37">
      <c r="A757" s="8" t="inlineStr">
        <is>
          <t>778</t>
        </is>
      </c>
      <c r="B757" s="2" t="inlineStr">
        <is>
          <t>ข้อใดไม่ใช่ปัจจัยกระตุ้นการชัก</t>
        </is>
      </c>
      <c r="C757" s="2" t="n"/>
      <c r="D757" s="2" t="inlineStr">
        <is>
          <t>Trauma</t>
        </is>
      </c>
      <c r="E757" s="2" t="inlineStr">
        <is>
          <t>Brain tumor</t>
        </is>
      </c>
      <c r="F757" s="2" t="inlineStr">
        <is>
          <t>Otitis media</t>
        </is>
      </c>
      <c r="G757" s="2" t="inlineStr">
        <is>
          <t>Hypoglycemia</t>
        </is>
      </c>
      <c r="H757" s="2" t="inlineStr">
        <is>
          <t>ไข้สูง</t>
        </is>
      </c>
      <c r="I757" s="8" t="inlineStr">
        <is>
          <t>1</t>
        </is>
      </c>
      <c r="J757" s="2" t="inlineStr">
        <is>
          <t>✅ คำตอบที่ถูกต้อง: ข้อ ก. Trauma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Trauma การเลือก Trauma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(Brain tumor): ข้อนี้ไม่ใช่คำตอบที่ถูกต้องสำหรับภาวะ Neurologic Disorders เนื่องจากกลไกการออกฤทธิ์, efficacy หรือข้อบ่งใช้ไม่ตรงกับโจทย์ที่กำหนด
• ข้อ ค. (Otitis media): ข้อนี้ไม่ใช่คำตอบที่ถูกต้องสำหรับภาวะ Neurologic Disorders เนื่องจากกลไกการออกฤทธิ์, efficacy หรือข้อบ่งใช้ไม่ตรงกับโจทย์ที่กำหนด
• ข้อ ง. (Hypoglycemia): ข้อนี้ไม่ใช่คำตอบที่ถูกต้องสำหรับภาวะ Neurologic Disorders เนื่องจากกลไกการออกฤทธิ์, efficacy หรือข้อบ่งใช้ไม่ตรงกับโจทย์ที่กำหนด
• ข้อ จ. (ไข้สูง):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7" s="2" t="n"/>
      <c r="L757" s="2" t="inlineStr">
        <is>
          <t>Neurologic Disorders</t>
        </is>
      </c>
      <c r="M757" s="2" t="inlineStr">
        <is>
          <t>Clinic</t>
        </is>
      </c>
      <c r="N757" s="2" t="inlineStr">
        <is>
          <t>ข้อ 82 (PLE_CC1_2555 Day 1.md)</t>
        </is>
      </c>
      <c r="O757" s="2" t="inlineStr">
        <is>
          <t>ข้อสอบจริง</t>
        </is>
      </c>
      <c r="P757" s="2" t="inlineStr">
        <is>
          <t>ปี 2555</t>
        </is>
      </c>
    </row>
    <row r="758" ht="13.2" customHeight="1" s="37">
      <c r="A758" s="8" t="inlineStr">
        <is>
          <t>779</t>
        </is>
      </c>
      <c r="B758" s="2" t="inlineStr">
        <is>
          <t>คำจำกัดความของคำว่า อุบัติการณ์ หมายความว่าอย่างไร</t>
        </is>
      </c>
      <c r="C758" s="2" t="n"/>
      <c r="D758" s="2" t="inlineStr">
        <is>
          <t>จำนวนผู้ป่วยใหม่ต่อจำนวนผู้ป่วยทั้งหมดที่มีความเสี่ยงในช่วงเวลาใดเวลาหนึ่ง</t>
        </is>
      </c>
      <c r="E758" s="2" t="inlineStr">
        <is>
          <t>....................</t>
        </is>
      </c>
      <c r="F758" s="2" t="inlineStr">
        <is>
          <t>....................</t>
        </is>
      </c>
      <c r="G758" s="2" t="inlineStr">
        <is>
          <t>..................</t>
        </is>
      </c>
      <c r="H758" s="2" t="inlineStr">
        <is>
          <t>.................... สถานการณ์ ผู้ป่วยเพศหญิงมาด้วยอาการปัสสาวะแสบขัด ฉี่กระปิดประปอย ปวดสีข้างเล็กน้อย ปัสสาวะมี เลือดปน ผู้ป่วยได้รับยา ciprofloxacin และ hyoscine</t>
        </is>
      </c>
      <c r="I758" s="8" t="inlineStr">
        <is>
          <t>1</t>
        </is>
      </c>
      <c r="J758" s="2" t="inlineStr">
        <is>
          <t>✅ คำตอบที่ถูกต้อง: ข้อ ก. จำนวนผู้ป่วยใหม่ต่อจำนวนผู้ป่วยทั้งหมดที่มีความเสี่ยงในช่วงเวลาใดเวลาหนึ่ง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จำนวนผู้ป่วยใหม่ต่อจำนวนผู้ป่วยทั้งหมดที่มีความเสี่ยงในช่วงเวลาใดเวลาหนึ่ง การเลือก จำนวนผู้ป่วยใหม่ต่อจำนวนผู้ป่วยทั้งหมดที่มีความเสี่ยงในช่วงเวลาใดเวลาหนึ่ง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 ข้อนี้ไม่ใช่คำตอบที่ถูกต้องสำหรับภาวะ General Therapeutics เนื่องจากกลไกการออกฤทธิ์, efficacy หรือข้อบ่งใช้ไม่ตรงกับโจทย์ที่กำหนด
• ข้อ ค. (....................): ข้อนี้ไม่ใช่คำตอบที่ถูกต้องสำหรับภาวะ General Therapeutics เนื่องจากกลไกการออกฤทธิ์, efficacy หรือข้อบ่งใช้ไม่ตรงกับโจทย์ที่กำหนด
• ข้อ ง. (..................): ข้อนี้ไม่ใช่คำตอบที่ถูกต้องสำหรับภาวะ General Therapeutics เนื่องจากกลไกการออกฤทธิ์, efficacy หรือข้อบ่งใช้ไม่ตรงกับโจทย์ที่กำหนด
• ข้อ จ. (.................... สถานการณ์ ผู้ป่วยเพศหญิงมาด้วยอาการปัสสาวะแสบขัด ฉี่กระปิดประปอย ปวดสีข้างเล็กน้อย ปัสสาวะมี เลือดปน ผู้ป่วยได้รับยา ciprofloxacin และ hyoscine):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8" s="2" t="n"/>
      <c r="L758" s="2" t="inlineStr">
        <is>
          <t>General Therapeutics</t>
        </is>
      </c>
      <c r="M758" s="2" t="inlineStr">
        <is>
          <t>Clinic</t>
        </is>
      </c>
      <c r="N758" s="2" t="inlineStr">
        <is>
          <t>ข้อ 90 (PLE_CC1_2555 Day 1.md)</t>
        </is>
      </c>
      <c r="O758" s="2" t="inlineStr">
        <is>
          <t>ข้อสอบจริง</t>
        </is>
      </c>
      <c r="P758" s="2" t="inlineStr">
        <is>
          <t>ปี 2555</t>
        </is>
      </c>
    </row>
    <row r="759" ht="13.2" customHeight="1" s="37">
      <c r="A759" s="8" t="inlineStr">
        <is>
          <t>780</t>
        </is>
      </c>
      <c r="B759" s="2" t="inlineStr">
        <is>
          <t>ต่อมาผู้ป่วยมีอาการที่ดีขึ้น แต่มีอาการปวดข้อแทน ข้อใดถูกต้องเกี่ยวกับการรักษาในผู้ป่วยรายนี้</t>
        </is>
      </c>
      <c r="C759" s="2" t="n"/>
      <c r="D759" s="2" t="inlineStr">
        <is>
          <t>ใช้ยาต่อไปอีก 1 สัปดาห์</t>
        </is>
      </c>
      <c r="E759" s="2" t="inlineStr">
        <is>
          <t>เปลี่ยนยา hyoscine ไปเป็นยา tolperisone</t>
        </is>
      </c>
      <c r="F759" s="2" t="inlineStr">
        <is>
          <t>หยุดใช้ยา ciprofloxacin</t>
        </is>
      </c>
      <c r="G759" s="2" t="inlineStr">
        <is>
          <t>เปลี่ยนยา ciprofloxacin เป็นยา cotrimoxazole</t>
        </is>
      </c>
      <c r="H759" s="2" t="inlineStr">
        <is>
          <t>หยุดยาทั้งสองตัว แล้วไปพบแพทย์ คณะเภสัชศาสตร์ มหาวิทยาลัยเชียงใหม่ Rx 44 CMU</t>
        </is>
      </c>
      <c r="I759" s="8" t="inlineStr">
        <is>
          <t>1</t>
        </is>
      </c>
      <c r="J759" s="2" t="inlineStr">
        <is>
          <t>✅ คำตอบที่ถูกต้อง: ข้อ ก. ใช้ยาต่อไปอีก 1 สัปดาห์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ใช้ยาต่อไปอีก 1 สัปดาห์ การเลือก ใช้ยาต่อไปอีก 1 สัปดาห์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(เปลี่ยนยา hyoscine ไปเป็นยา tolperisone): ข้อนี้ไม่ใช่คำตอบที่ถูกต้องสำหรับภาวะ Musculoskeletal &amp; Joint เนื่องจากกลไกการออกฤทธิ์, efficacy หรือข้อบ่งใช้ไม่ตรงกับโจทย์ที่กำหนด
• ข้อ ค. (หยุดใช้ยา ciprofloxacin): เป็น Fluoroquinolone เด่นต่อ Gram-negative รวมทั้ง Pseudomonas aeruginosa แต่มี black box warning เรื่อง tendon rupture, QT prolongation, aortic aneurysm และ dysglycemia
• ข้อ ง. (เปลี่ยนยา ciprofloxacin เป็นยา cotrimoxazole): เป็น Fluoroquinolone เด่นต่อ Gram-negative รวมทั้ง Pseudomonas aeruginosa แต่มี black box warning เรื่อง tendon rupture, QT prolongation, aortic aneurysm และ dysglycemia
• ข้อ จ. (หยุดยาทั้งสองตัว แล้วไปพบแพทย์ คณะเภสัชศาสตร์ มหาวิทยาลัยเชียงใหม่ Rx 44 CMU):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Musculoskeletal &amp; Joint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9" s="2" t="n"/>
      <c r="L759" s="2" t="inlineStr">
        <is>
          <t>Musculoskeletal &amp; Joint</t>
        </is>
      </c>
      <c r="M759" s="2" t="inlineStr">
        <is>
          <t>Clinic</t>
        </is>
      </c>
      <c r="N759" s="2" t="inlineStr">
        <is>
          <t>ข้อ 94 (PLE_CC1_2555 Day 1.md)</t>
        </is>
      </c>
      <c r="O759" s="2" t="inlineStr">
        <is>
          <t>ข้อสอบจริง</t>
        </is>
      </c>
      <c r="P759" s="2" t="inlineStr">
        <is>
          <t>ปี 2555</t>
        </is>
      </c>
    </row>
    <row r="760" ht="13.2" customHeight="1" s="37">
      <c r="A760" s="8" t="inlineStr">
        <is>
          <t>781</t>
        </is>
      </c>
      <c r="B760" s="2" t="inlineStr">
        <is>
          <t>ข้อใดจำเป็นน้อยที่สุดในการซักประวัติการแพ้ยาในผู้ป่วยรายนี้</t>
        </is>
      </c>
      <c r="C760" s="2" t="n"/>
      <c r="D760" s="2" t="inlineStr">
        <is>
          <t>ยาอื่นที่รับประทานร่วมด้วย</t>
        </is>
      </c>
      <c r="E760" s="2" t="inlineStr">
        <is>
          <t>ระยะเวลาที่ทานยา</t>
        </is>
      </c>
      <c r="F760" s="2" t="inlineStr">
        <is>
          <t>ขนาดของยาที่ทานเข้าไป</t>
        </is>
      </c>
      <c r="G760" s="2" t="inlineStr">
        <is>
          <t>............</t>
        </is>
      </c>
      <c r="H760" s="2" t="inlineStr">
        <is>
          <t>.............</t>
        </is>
      </c>
      <c r="I760" s="8" t="inlineStr">
        <is>
          <t>1</t>
        </is>
      </c>
      <c r="J760" s="2" t="inlineStr">
        <is>
          <t>✅ คำตอบที่ถูกต้อง: ข้อ ก. ยาอื่นที่รับประทานร่วมด้วย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ยาอื่นที่รับประทานร่วมด้วย การเลือก ยาอื่นที่รับประทานร่วมด้วย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(ระยะเวลาที่ทานยา): ข้อนี้ไม่ใช่คำตอบที่ถูกต้องสำหรับภาวะ Allergy &amp; Immunology เนื่องจากกลไกการออกฤทธิ์, efficacy หรือข้อบ่งใช้ไม่ตรงกับโจทย์ที่กำหนด
• ข้อ ค. (ขนาดของยาที่ทานเข้าไป): ข้อนี้ไม่ใช่คำตอบที่ถูกต้องสำหรับภาวะ Allergy &amp; Immunology เนื่องจากกลไกการออกฤทธิ์, efficacy หรือข้อบ่งใช้ไม่ตรงกับโจทย์ที่กำหนด
• ข้อ ง. (............): ข้อนี้ไม่ใช่คำตอบที่ถูกต้องสำหรับภาวะ Allergy &amp; Immunology เนื่องจากกลไกการออกฤทธิ์, efficacy หรือข้อบ่งใช้ไม่ตรงกับโจทย์ที่กำหนด
• ข้อ จ. (.............):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0" s="2" t="n"/>
      <c r="L760" s="2" t="inlineStr">
        <is>
          <t>Allergy &amp; Immunology</t>
        </is>
      </c>
      <c r="M760" s="2" t="inlineStr">
        <is>
          <t>Clinic</t>
        </is>
      </c>
      <c r="N760" s="2" t="inlineStr">
        <is>
          <t>ข้อ 101 (PLE_CC1_2555 Day 1.md)</t>
        </is>
      </c>
      <c r="O760" s="2" t="inlineStr">
        <is>
          <t>ข้อสอบจริง</t>
        </is>
      </c>
      <c r="P760" s="2" t="inlineStr">
        <is>
          <t>ปี 2555</t>
        </is>
      </c>
    </row>
    <row r="761" ht="13.2" customHeight="1" s="37">
      <c r="A761" s="8" t="inlineStr">
        <is>
          <t>782</t>
        </is>
      </c>
      <c r="B761" s="2" t="inlineStr">
        <is>
          <t>ผู้ป่วยแพ้ยา ibuprofen ไม่ควรใช้ยา NSAIDs ตัวใด (โจทย์ไม่ได้ให้โครงสร้างยามานะ)</t>
        </is>
      </c>
      <c r="C761" s="2" t="n"/>
      <c r="D761" s="2" t="inlineStr">
        <is>
          <t>Aspirin</t>
        </is>
      </c>
      <c r="E761" s="2" t="inlineStr">
        <is>
          <t>Diclofenac</t>
        </is>
      </c>
      <c r="F761" s="2" t="inlineStr">
        <is>
          <t>Naproxen</t>
        </is>
      </c>
      <c r="G761" s="2" t="inlineStr">
        <is>
          <t>Indomethacin</t>
        </is>
      </c>
      <c r="H761" s="2" t="inlineStr">
        <is>
          <t>Piroxicam คณะเภสัชศาสตร์ มหาวิทยาลัยเชียงใหม่ Rx 44 CMU</t>
        </is>
      </c>
      <c r="I761" s="8" t="inlineStr">
        <is>
          <t>1</t>
        </is>
      </c>
      <c r="J761" s="2" t="inlineStr">
        <is>
          <t>✅ คำตอบที่ถูกต้อง: ข้อ ก. Aspirin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ข้อนี้ไม่ใช่คำตอบที่ถูกต้องสำหรับภาวะ Musculoskeletal &amp; Joint เนื่องจากกลไกการออกฤทธิ์, efficacy หรือข้อบ่งใช้ไม่ตรงกับโจทย์ที่กำหนด
• ข้อ ค. (Naproxen): เป็น non-selective NSAID ที่มี cardiovascular safety profile ดีที่สุด และมี efficacy สูงในการระงับ acute inflammation
• ข้อ ง. (Indomethacin): เป็น potent non-selective NSAID มี anti-inflammatory efficacy สูงมากใน acute gout flare แต่มี ADRs เด่นทาง GI toxicity และ CNS (ปวดศีรษะ มึนงง)
• ข้อ จ. (Piroxicam คณะเภสัชศาสตร์ มหาวิทยาลัยเชียงใหม่ Rx 44 CMU): เป็น oxicam NSAID ที่มี half-life ยาวนานมาก (~50 ชม.) แต่มีความเสี่ยงต่อ severe GI bleed และ skin reactions สูงที่สุดในกลุ่ม NSAIDs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761" s="2" t="n"/>
      <c r="L761" s="2" t="inlineStr">
        <is>
          <t>Musculoskeletal &amp; Joint</t>
        </is>
      </c>
      <c r="M761" s="2" t="inlineStr">
        <is>
          <t>Clinic</t>
        </is>
      </c>
      <c r="N761" s="2" t="inlineStr">
        <is>
          <t>ข้อ 103 (PLE_CC1_2555 Day 1.md)</t>
        </is>
      </c>
      <c r="O761" s="2" t="inlineStr">
        <is>
          <t>ข้อสอบจริง</t>
        </is>
      </c>
      <c r="P761" s="2" t="inlineStr">
        <is>
          <t>ปี 2555</t>
        </is>
      </c>
    </row>
    <row r="762" ht="13.2" customHeight="1" s="37">
      <c r="A762" s="8" t="inlineStr">
        <is>
          <t>783</t>
        </is>
      </c>
      <c r="B762" s="2" t="inlineStr">
        <is>
          <t>กราฟ bioequivalent</t>
        </is>
      </c>
      <c r="C762" s="2" t="n"/>
      <c r="D762" s="2" t="inlineStr">
        <is>
          <t>Dimercaprol (BAL) 3 mg/kg IM</t>
        </is>
      </c>
      <c r="E762" s="2" t="inlineStr">
        <is>
          <t>Ethanol 10% IV infusion for Methanol poisoning</t>
        </is>
      </c>
      <c r="F762" s="2" t="inlineStr">
        <is>
          <t>Fomepizole 15 mg/kg IV loading</t>
        </is>
      </c>
      <c r="G762" s="2" t="inlineStr">
        <is>
          <t>N-acetylcysteine (NAC) IV infusion protocol</t>
        </is>
      </c>
      <c r="H762" s="2" t="inlineStr">
        <is>
          <t>Atropine sulfate 2 mg IV Q5-10 min</t>
        </is>
      </c>
      <c r="I762" s="8" t="inlineStr">
        <is>
          <t>1</t>
        </is>
      </c>
      <c r="J7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2" s="2" t="n"/>
      <c r="L762" s="2" t="inlineStr">
        <is>
          <t>General Therapeutics</t>
        </is>
      </c>
      <c r="M762" s="2" t="inlineStr">
        <is>
          <t>Clinic</t>
        </is>
      </c>
      <c r="N762" s="2" t="inlineStr">
        <is>
          <t>ข้อ 1 (PLE_CC1_2555 Day 1.md)</t>
        </is>
      </c>
      <c r="O762" s="2" t="inlineStr">
        <is>
          <t>ข้อสอบจริง</t>
        </is>
      </c>
      <c r="P762" s="2" t="inlineStr">
        <is>
          <t>ปี 2555</t>
        </is>
      </c>
    </row>
    <row r="763" ht="13.2" customHeight="1" s="37">
      <c r="A763" s="8" t="inlineStr">
        <is>
          <t>784</t>
        </is>
      </c>
      <c r="B763" s="2" t="inlineStr">
        <is>
          <t>ใช้ตารางข้อมูลตอบคำถามข้อ (2 ข้อ) เวลา A B C 0 12 24 48 72 96 8 7 6 5 4 10 9.8 9.5 9.5 9.0 9.0 9 8 7 7 7 Redispersibility 60 4 20 ข้อใดถูก</t>
        </is>
      </c>
      <c r="C763" s="2" t="n"/>
      <c r="D763" s="2" t="inlineStr">
        <is>
          <t>ตำรับ A มี sedimentation volume สูงที่สุด</t>
        </is>
      </c>
      <c r="E763" s="2" t="inlineStr">
        <is>
          <t>ตำรับ A มีโอกาสเกิด caking ได้น้อยที่สุด</t>
        </is>
      </c>
      <c r="F763" s="2" t="inlineStr">
        <is>
          <t>ตำรับ</t>
        </is>
      </c>
      <c r="G763" s="2" t="inlineStr">
        <is>
          <t>ตำรับ</t>
        </is>
      </c>
      <c r="H763" s="2" t="inlineStr">
        <is>
          <t>ตำรับ</t>
        </is>
      </c>
      <c r="I763" s="8" t="inlineStr">
        <is>
          <t>1</t>
        </is>
      </c>
      <c r="J763" s="2" t="inlineStr">
        <is>
          <t>✅ คำตอบที่ถูกต้อง: ข้อ ก. ตำรับ A มี sedimentation volume สูงที่สุด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ตำรับ A มี sedimentation volume สูงที่สุด การเลือก ตำรับ A มี sedimentation volume สูงที่สุด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(ตำรับ A มีโอกาสเกิด caking ได้น้อยที่สุด): ข้อนี้ไม่ใช่คำตอบที่ถูกต้องสำหรับภาวะ General Therapeutics เนื่องจากกลไกการออกฤทธิ์, efficacy หรือข้อบ่งใช้ไม่ตรงกับโจทย์ที่กำหนด
• ข้อ ค. (ตำรับ): ข้อนี้ไม่ใช่คำตอบที่ถูกต้องสำหรับภาวะ General Therapeutics เนื่องจากกลไกการออกฤทธิ์, efficacy หรือข้อบ่งใช้ไม่ตรงกับโจทย์ที่กำหนด
• ข้อ ง. (ตำรับ): ข้อนี้ไม่ใช่คำตอบที่ถูกต้องสำหรับภาวะ General Therapeutics เนื่องจากกลไกการออกฤทธิ์, efficacy หรือข้อบ่งใช้ไม่ตรงกับโจทย์ที่กำหนด
• ข้อ จ. (ตำรับ):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63" s="2" t="n"/>
      <c r="L763" s="2" t="inlineStr">
        <is>
          <t>General Therapeutics</t>
        </is>
      </c>
      <c r="M763" s="2" t="inlineStr">
        <is>
          <t>Clinic</t>
        </is>
      </c>
      <c r="N763" s="2" t="inlineStr">
        <is>
          <t>ข้อ 3 (PLE_CC1_2555 Day 1.md)</t>
        </is>
      </c>
      <c r="O763" s="2" t="inlineStr">
        <is>
          <t>ข้อสอบจริง</t>
        </is>
      </c>
      <c r="P763" s="2" t="inlineStr">
        <is>
          <t>ปี 2555</t>
        </is>
      </c>
    </row>
    <row r="764" ht="13.2" customHeight="1" s="37">
      <c r="A764" s="8" t="inlineStr">
        <is>
          <t>785</t>
        </is>
      </c>
      <c r="B764" s="2" t="inlineStr">
        <is>
          <t>DV คณะเภสัชศาสตร์ มหาวิทยาลัยเชียงใหม่ Rx 44 CMU</t>
        </is>
      </c>
      <c r="C764" s="2" t="n"/>
      <c r="D764" s="2" t="inlineStr">
        <is>
          <t>Naloxone 0.4 mg IV stat</t>
        </is>
      </c>
      <c r="E764" s="2" t="inlineStr">
        <is>
          <t>Flumazenil 0.2 mg IV stat</t>
        </is>
      </c>
      <c r="F764" s="2" t="inlineStr">
        <is>
          <t>Vitamin K1 (Phytomenadione) 10 mg IV slow</t>
        </is>
      </c>
      <c r="G764" s="2" t="inlineStr">
        <is>
          <t>Sodium thiosulfate 25% 50 mL IV</t>
        </is>
      </c>
      <c r="H764" s="2" t="inlineStr">
        <is>
          <t>Calcium disodium EDTA 1 g IV</t>
        </is>
      </c>
      <c r="I764" s="8" t="inlineStr">
        <is>
          <t>1</t>
        </is>
      </c>
      <c r="J7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64" s="2" t="n"/>
      <c r="L764" s="2" t="inlineStr">
        <is>
          <t>General Therapeutics</t>
        </is>
      </c>
      <c r="M764" s="2" t="inlineStr">
        <is>
          <t>Clinic</t>
        </is>
      </c>
      <c r="N764" s="2" t="inlineStr">
        <is>
          <t>ข้อ 4 (PLE_CC1_2555 Day 1.md)</t>
        </is>
      </c>
      <c r="O764" s="2" t="inlineStr">
        <is>
          <t>ข้อสอบจริง</t>
        </is>
      </c>
      <c r="P764" s="2" t="inlineStr">
        <is>
          <t>ปี 2555</t>
        </is>
      </c>
    </row>
    <row r="765" ht="13.2" customHeight="1" s="37">
      <c r="A765" s="8" t="inlineStr">
        <is>
          <t>786</t>
        </is>
      </c>
      <c r="B765" s="2" t="inlineStr">
        <is>
          <t>ไม่ผ่าน S1 เนื่องจากมียา 1 เม็ดที่อยู่ต่ากว่า Q+5</t>
        </is>
      </c>
      <c r="C765" s="2" t="n"/>
      <c r="D765" s="2" t="inlineStr">
        <is>
          <t>Sodium thiosulfate 25% 50 mL IV</t>
        </is>
      </c>
      <c r="E765" s="2" t="inlineStr">
        <is>
          <t>Calcium disodium EDTA 1 g IV</t>
        </is>
      </c>
      <c r="F765" s="2" t="inlineStr">
        <is>
          <t>Desferrioxamine 1 g IM/IV</t>
        </is>
      </c>
      <c r="G765" s="2" t="inlineStr">
        <is>
          <t>Dimercaprol (BAL) 3 mg/kg IM</t>
        </is>
      </c>
      <c r="H765" s="2" t="inlineStr">
        <is>
          <t>Ethanol 10% IV infusion for Methanol poisoning</t>
        </is>
      </c>
      <c r="I765" s="8" t="inlineStr">
        <is>
          <t>1</t>
        </is>
      </c>
      <c r="J7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5" s="2" t="n"/>
      <c r="L765" s="2" t="inlineStr">
        <is>
          <t>General Therapeutics</t>
        </is>
      </c>
      <c r="M765" s="2" t="inlineStr">
        <is>
          <t>Clinic</t>
        </is>
      </c>
      <c r="N765" s="2" t="inlineStr">
        <is>
          <t>ข้อ 2 (PLE_CC1_2555 Day 2.md)</t>
        </is>
      </c>
      <c r="O765" s="2" t="inlineStr">
        <is>
          <t>ข้อสอบจริง</t>
        </is>
      </c>
      <c r="P765" s="2" t="inlineStr">
        <is>
          <t>ปี 2555</t>
        </is>
      </c>
    </row>
    <row r="766" ht="13.2" customHeight="1" s="37">
      <c r="A766" s="8" t="inlineStr">
        <is>
          <t>787</t>
        </is>
      </c>
      <c r="B766" s="2" t="inlineStr">
        <is>
          <t>ไม่ผ่าน S1 เนื่องจากมียา 4 เม็ดที่อยู่ต่ากว่า Q+5</t>
        </is>
      </c>
      <c r="C766" s="2" t="n"/>
      <c r="D766" s="2" t="inlineStr">
        <is>
          <t>Dimercaprol (BAL) 3 mg/kg IM</t>
        </is>
      </c>
      <c r="E766" s="2" t="inlineStr">
        <is>
          <t>Ethanol 10% IV infusion for Methanol poisoning</t>
        </is>
      </c>
      <c r="F766" s="2" t="inlineStr">
        <is>
          <t>Fomepizole 15 mg/kg IV loading</t>
        </is>
      </c>
      <c r="G766" s="2" t="inlineStr">
        <is>
          <t>N-acetylcysteine (NAC) IV infusion protocol</t>
        </is>
      </c>
      <c r="H766" s="2" t="inlineStr">
        <is>
          <t>Atropine sulfate 2 mg IV Q5-10 min</t>
        </is>
      </c>
      <c r="I766" s="8" t="inlineStr">
        <is>
          <t>1</t>
        </is>
      </c>
      <c r="J7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6" s="2" t="n"/>
      <c r="L766" s="2" t="inlineStr">
        <is>
          <t>General Therapeutics</t>
        </is>
      </c>
      <c r="M766" s="2" t="inlineStr">
        <is>
          <t>Clinic</t>
        </is>
      </c>
      <c r="N766" s="2" t="inlineStr">
        <is>
          <t>ข้อ 3 (PLE_CC1_2555 Day 2.md)</t>
        </is>
      </c>
      <c r="O766" s="2" t="inlineStr">
        <is>
          <t>ข้อสอบจริง</t>
        </is>
      </c>
      <c r="P766" s="2" t="inlineStr">
        <is>
          <t>ปี 2555</t>
        </is>
      </c>
    </row>
    <row r="767" ht="13.2" customHeight="1" s="37">
      <c r="A767" s="8" t="inlineStr">
        <is>
          <t>788</t>
        </is>
      </c>
      <c r="B767" s="2" t="inlineStr">
        <is>
          <t>ไม่ผ่าน S1 ต้องเพิ่มยาอีก 6 เม็ด</t>
        </is>
      </c>
      <c r="C767" s="2" t="n"/>
      <c r="D767" s="2" t="inlineStr">
        <is>
          <t>N-acetylcysteine (NAC) IV infusion protocol</t>
        </is>
      </c>
      <c r="E767" s="2" t="inlineStr">
        <is>
          <t>Atropine sulfate 2 mg IV Q5-10 min</t>
        </is>
      </c>
      <c r="F767" s="2" t="inlineStr">
        <is>
          <t>Pralidoxime (2-PAM) 1-2 g IV over 30 min</t>
        </is>
      </c>
      <c r="G767" s="2" t="inlineStr">
        <is>
          <t>Naloxone 0.4 mg IV stat</t>
        </is>
      </c>
      <c r="H767" s="2" t="inlineStr">
        <is>
          <t>Flumazenil 0.2 mg IV stat</t>
        </is>
      </c>
      <c r="I767" s="8" t="inlineStr">
        <is>
          <t>1</t>
        </is>
      </c>
      <c r="J7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67" s="2" t="n"/>
      <c r="L767" s="2" t="inlineStr">
        <is>
          <t>General Therapeutics</t>
        </is>
      </c>
      <c r="M767" s="2" t="inlineStr">
        <is>
          <t>Clinic</t>
        </is>
      </c>
      <c r="N767" s="2" t="inlineStr">
        <is>
          <t>ข้อ 4 (PLE_CC1_2555 Day 2.md)</t>
        </is>
      </c>
      <c r="O767" s="2" t="inlineStr">
        <is>
          <t>ข้อสอบจริง</t>
        </is>
      </c>
      <c r="P767" s="2" t="inlineStr">
        <is>
          <t>ปี 2555</t>
        </is>
      </c>
    </row>
    <row r="768" ht="13.2" customHeight="1" s="37">
      <c r="A768" s="8" t="inlineStr">
        <is>
          <t>789</t>
        </is>
      </c>
      <c r="B768" s="2" t="inlineStr">
        <is>
          <t>3 mg จำนวน 10 เม็ด และ 5 mg จำนวน 8 เม็ด</t>
        </is>
      </c>
      <c r="C768" s="2" t="n"/>
      <c r="D768" s="2" t="inlineStr">
        <is>
          <t>Naloxone 0.4 mg IV stat</t>
        </is>
      </c>
      <c r="E768" s="2" t="inlineStr">
        <is>
          <t>Flumazenil 0.2 mg IV stat</t>
        </is>
      </c>
      <c r="F768" s="2" t="inlineStr">
        <is>
          <t>Vitamin K1 (Phytomenadione) 10 mg IV slow</t>
        </is>
      </c>
      <c r="G768" s="2" t="inlineStr">
        <is>
          <t>Sodium thiosulfate 25% 50 mL IV</t>
        </is>
      </c>
      <c r="H768" s="2" t="inlineStr">
        <is>
          <t>Calcium disodium EDTA 1 g IV</t>
        </is>
      </c>
      <c r="I768" s="8" t="inlineStr">
        <is>
          <t>1</t>
        </is>
      </c>
      <c r="J7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68" s="2" t="n"/>
      <c r="L768" s="2" t="inlineStr">
        <is>
          <t>General Therapeutics</t>
        </is>
      </c>
      <c r="M768" s="2" t="inlineStr">
        <is>
          <t>Clinic</t>
        </is>
      </c>
      <c r="N768" s="2" t="inlineStr">
        <is>
          <t>ข้อ 1 (PLE_CC1_2555 Day 2.md)</t>
        </is>
      </c>
      <c r="O768" s="2" t="inlineStr">
        <is>
          <t>ข้อสอบจริง</t>
        </is>
      </c>
      <c r="P768" s="2" t="inlineStr">
        <is>
          <t>ปี 2555</t>
        </is>
      </c>
    </row>
    <row r="769" ht="13.2" customHeight="1" s="37">
      <c r="A769" s="8" t="inlineStr">
        <is>
          <t>790</t>
        </is>
      </c>
      <c r="B769" s="2" t="inlineStr">
        <is>
          <t>3 mg จำนวน 20 เม็ด และ 5 mg จำนวน 2 เม็ด</t>
        </is>
      </c>
      <c r="C769" s="2" t="n"/>
      <c r="D769" s="2" t="inlineStr">
        <is>
          <t>Sodium thiosulfate 25% 50 mL IV</t>
        </is>
      </c>
      <c r="E769" s="2" t="inlineStr">
        <is>
          <t>Calcium disodium EDTA 1 g IV</t>
        </is>
      </c>
      <c r="F769" s="2" t="inlineStr">
        <is>
          <t>Desferrioxamine 1 g IM/IV</t>
        </is>
      </c>
      <c r="G769" s="2" t="inlineStr">
        <is>
          <t>Dimercaprol (BAL) 3 mg/kg IM</t>
        </is>
      </c>
      <c r="H769" s="2" t="inlineStr">
        <is>
          <t>Ethanol 10% IV infusion for Methanol poisoning</t>
        </is>
      </c>
      <c r="I769" s="8" t="inlineStr">
        <is>
          <t>1</t>
        </is>
      </c>
      <c r="J7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9" s="2" t="n"/>
      <c r="L769" s="2" t="inlineStr">
        <is>
          <t>General Therapeutics</t>
        </is>
      </c>
      <c r="M769" s="2" t="inlineStr">
        <is>
          <t>Clinic</t>
        </is>
      </c>
      <c r="N769" s="2" t="inlineStr">
        <is>
          <t>ข้อ 2 (PLE_CC1_2555 Day 2.md)</t>
        </is>
      </c>
      <c r="O769" s="2" t="inlineStr">
        <is>
          <t>ข้อสอบจริง</t>
        </is>
      </c>
      <c r="P769" s="2" t="inlineStr">
        <is>
          <t>ปี 2555</t>
        </is>
      </c>
    </row>
    <row r="770" ht="13.2" customHeight="1" s="37">
      <c r="A770" s="8" t="inlineStr">
        <is>
          <t>791</t>
        </is>
      </c>
      <c r="B770" s="2" t="inlineStr">
        <is>
          <t>5 mg จำนวน 14 เม็ด</t>
        </is>
      </c>
      <c r="C770" s="2" t="n"/>
      <c r="D770" s="2" t="inlineStr">
        <is>
          <t>Dimercaprol (BAL) 3 mg/kg IM</t>
        </is>
      </c>
      <c r="E770" s="2" t="inlineStr">
        <is>
          <t>Ethanol 10% IV infusion for Methanol poisoning</t>
        </is>
      </c>
      <c r="F770" s="2" t="inlineStr">
        <is>
          <t>Fomepizole 15 mg/kg IV loading</t>
        </is>
      </c>
      <c r="G770" s="2" t="inlineStr">
        <is>
          <t>N-acetylcysteine (NAC) IV infusion protocol</t>
        </is>
      </c>
      <c r="H770" s="2" t="inlineStr">
        <is>
          <t>Atropine sulfate 2 mg IV Q5-10 min</t>
        </is>
      </c>
      <c r="I770" s="8" t="inlineStr">
        <is>
          <t>1</t>
        </is>
      </c>
      <c r="J7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0" s="2" t="n"/>
      <c r="L770" s="2" t="inlineStr">
        <is>
          <t>General Therapeutics</t>
        </is>
      </c>
      <c r="M770" s="2" t="inlineStr">
        <is>
          <t>Clinic</t>
        </is>
      </c>
      <c r="N770" s="2" t="inlineStr">
        <is>
          <t>ข้อ 3 (PLE_CC1_2555 Day 2.md)</t>
        </is>
      </c>
      <c r="O770" s="2" t="inlineStr">
        <is>
          <t>ข้อสอบจริง</t>
        </is>
      </c>
      <c r="P770" s="2" t="inlineStr">
        <is>
          <t>ปี 2555</t>
        </is>
      </c>
    </row>
    <row r="771" ht="13.2" customHeight="1" s="37">
      <c r="A771" s="8" t="inlineStr">
        <is>
          <t>792</t>
        </is>
      </c>
      <c r="B771" s="2" t="inlineStr">
        <is>
          <t>5 mg จำนวน 28 เม็ด MCQ 1/2555 by CURx69 page 1</t>
        </is>
      </c>
      <c r="C771" s="2" t="n"/>
      <c r="D771" s="2" t="inlineStr">
        <is>
          <t>N-acetylcysteine (NAC) IV infusion protocol</t>
        </is>
      </c>
      <c r="E771" s="2" t="inlineStr">
        <is>
          <t>Atropine sulfate 2 mg IV Q5-10 min</t>
        </is>
      </c>
      <c r="F771" s="2" t="inlineStr">
        <is>
          <t>Pralidoxime (2-PAM) 1-2 g IV over 30 min</t>
        </is>
      </c>
      <c r="G771" s="2" t="inlineStr">
        <is>
          <t>Naloxone 0.4 mg IV stat</t>
        </is>
      </c>
      <c r="H771" s="2" t="inlineStr">
        <is>
          <t>Flumazenil 0.2 mg IV stat</t>
        </is>
      </c>
      <c r="I771" s="8" t="inlineStr">
        <is>
          <t>1</t>
        </is>
      </c>
      <c r="J7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71" s="2" t="n"/>
      <c r="L771" s="2" t="inlineStr">
        <is>
          <t>General Therapeutics</t>
        </is>
      </c>
      <c r="M771" s="2" t="inlineStr">
        <is>
          <t>Clinic</t>
        </is>
      </c>
      <c r="N771" s="2" t="inlineStr">
        <is>
          <t>ข้อ 4 (PLE_CC1_2555 Day 2.md)</t>
        </is>
      </c>
      <c r="O771" s="2" t="inlineStr">
        <is>
          <t>ข้อสอบจริง</t>
        </is>
      </c>
      <c r="P771" s="2" t="inlineStr">
        <is>
          <t>ปี 2555</t>
        </is>
      </c>
    </row>
    <row r="772" ht="13.2" customHeight="1" s="37">
      <c r="A772" s="8" t="inlineStr">
        <is>
          <t>793</t>
        </is>
      </c>
      <c r="B772" s="2" t="inlineStr">
        <is>
          <t>ทาน 3 mg วันจันทร์ถึงศุกร์ และ 5 mg ครึ่งเม็ดในวันเสาร์</t>
        </is>
      </c>
      <c r="C772" s="2" t="n"/>
      <c r="D772" s="2" t="inlineStr">
        <is>
          <t>Naloxone 0.4 mg IV stat</t>
        </is>
      </c>
      <c r="E772" s="2" t="inlineStr">
        <is>
          <t>Flumazenil 0.2 mg IV stat</t>
        </is>
      </c>
      <c r="F772" s="2" t="inlineStr">
        <is>
          <t>Vitamin K1 (Phytomenadione) 10 mg IV slow</t>
        </is>
      </c>
      <c r="G772" s="2" t="inlineStr">
        <is>
          <t>Sodium thiosulfate 25% 50 mL IV</t>
        </is>
      </c>
      <c r="H772" s="2" t="inlineStr">
        <is>
          <t>Calcium disodium EDTA 1 g IV</t>
        </is>
      </c>
      <c r="I772" s="8" t="inlineStr">
        <is>
          <t>1</t>
        </is>
      </c>
      <c r="J7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72" s="2" t="n"/>
      <c r="L772" s="2" t="inlineStr">
        <is>
          <t>General Therapeutics</t>
        </is>
      </c>
      <c r="M772" s="2" t="inlineStr">
        <is>
          <t>Clinic</t>
        </is>
      </c>
      <c r="N772" s="2" t="inlineStr">
        <is>
          <t>ข้อ 1 (PLE_CC1_2555 Day 2.md)</t>
        </is>
      </c>
      <c r="O772" s="2" t="inlineStr">
        <is>
          <t>ข้อสอบจริง</t>
        </is>
      </c>
      <c r="P772" s="2" t="inlineStr">
        <is>
          <t>ปี 2555</t>
        </is>
      </c>
    </row>
    <row r="773" ht="13.2" customHeight="1" s="37">
      <c r="A773" s="8" t="inlineStr">
        <is>
          <t>794</t>
        </is>
      </c>
      <c r="B773" s="2" t="inlineStr">
        <is>
          <t>ทาน 5 mg วันเว้นวัน</t>
        </is>
      </c>
      <c r="C773" s="2" t="n"/>
      <c r="D773" s="2" t="inlineStr">
        <is>
          <t>Sodium thiosulfate 25% 50 mL IV</t>
        </is>
      </c>
      <c r="E773" s="2" t="inlineStr">
        <is>
          <t>Calcium disodium EDTA 1 g IV</t>
        </is>
      </c>
      <c r="F773" s="2" t="inlineStr">
        <is>
          <t>Desferrioxamine 1 g IM/IV</t>
        </is>
      </c>
      <c r="G773" s="2" t="inlineStr">
        <is>
          <t>Dimercaprol (BAL) 3 mg/kg IM</t>
        </is>
      </c>
      <c r="H773" s="2" t="inlineStr">
        <is>
          <t>Ethanol 10% IV infusion for Methanol poisoning</t>
        </is>
      </c>
      <c r="I773" s="8" t="inlineStr">
        <is>
          <t>1</t>
        </is>
      </c>
      <c r="J7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3" s="2" t="n"/>
      <c r="L773" s="2" t="inlineStr">
        <is>
          <t>General Therapeutics</t>
        </is>
      </c>
      <c r="M773" s="2" t="inlineStr">
        <is>
          <t>Clinic</t>
        </is>
      </c>
      <c r="N773" s="2" t="inlineStr">
        <is>
          <t>ข้อ 2 (PLE_CC1_2555 Day 2.md)</t>
        </is>
      </c>
      <c r="O773" s="2" t="inlineStr">
        <is>
          <t>ข้อสอบจริง</t>
        </is>
      </c>
      <c r="P773" s="2" t="inlineStr">
        <is>
          <t>ปี 2555</t>
        </is>
      </c>
    </row>
    <row r="774" ht="13.2" customHeight="1" s="37">
      <c r="A774" s="8" t="inlineStr">
        <is>
          <t>795</t>
        </is>
      </c>
      <c r="B774" s="2" t="inlineStr">
        <is>
          <t>ทาน 5 mg ครึ่งเม็ด วันละครั้ง</t>
        </is>
      </c>
      <c r="C774" s="2" t="n"/>
      <c r="D774" s="2" t="inlineStr">
        <is>
          <t>Dimercaprol (BAL) 3 mg/kg IM</t>
        </is>
      </c>
      <c r="E774" s="2" t="inlineStr">
        <is>
          <t>Ethanol 10% IV infusion for Methanol poisoning</t>
        </is>
      </c>
      <c r="F774" s="2" t="inlineStr">
        <is>
          <t>Fomepizole 15 mg/kg IV loading</t>
        </is>
      </c>
      <c r="G774" s="2" t="inlineStr">
        <is>
          <t>N-acetylcysteine (NAC) IV infusion protocol</t>
        </is>
      </c>
      <c r="H774" s="2" t="inlineStr">
        <is>
          <t>Atropine sulfate 2 mg IV Q5-10 min</t>
        </is>
      </c>
      <c r="I774" s="8" t="inlineStr">
        <is>
          <t>1</t>
        </is>
      </c>
      <c r="J7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4" s="2" t="n"/>
      <c r="L774" s="2" t="inlineStr">
        <is>
          <t>General Therapeutics</t>
        </is>
      </c>
      <c r="M774" s="2" t="inlineStr">
        <is>
          <t>Clinic</t>
        </is>
      </c>
      <c r="N774" s="2" t="inlineStr">
        <is>
          <t>ข้อ 3 (PLE_CC1_2555 Day 2.md)</t>
        </is>
      </c>
      <c r="O774" s="2" t="inlineStr">
        <is>
          <t>ข้อสอบจริง</t>
        </is>
      </c>
      <c r="P774" s="2" t="inlineStr">
        <is>
          <t>ปี 2555</t>
        </is>
      </c>
    </row>
    <row r="775" ht="13.2" customHeight="1" s="37">
      <c r="A775" s="8" t="inlineStr">
        <is>
          <t>796</t>
        </is>
      </c>
      <c r="B775" s="2" t="inlineStr">
        <is>
          <t>ถ้าลืมทานยาเกิน 6 ชั่วโมง ให้เพิ่มขนาดยาในมื้อถัดไปเป็นสองเท่า</t>
        </is>
      </c>
      <c r="C775" s="2" t="n"/>
      <c r="D775" s="2" t="inlineStr">
        <is>
          <t>N-acetylcysteine (NAC) IV infusion protocol</t>
        </is>
      </c>
      <c r="E775" s="2" t="inlineStr">
        <is>
          <t>Atropine sulfate 2 mg IV Q5-10 min</t>
        </is>
      </c>
      <c r="F775" s="2" t="inlineStr">
        <is>
          <t>Pralidoxime (2-PAM) 1-2 g IV over 30 min</t>
        </is>
      </c>
      <c r="G775" s="2" t="inlineStr">
        <is>
          <t>Naloxone 0.4 mg IV stat</t>
        </is>
      </c>
      <c r="H775" s="2" t="inlineStr">
        <is>
          <t>Flumazenil 0.2 mg IV stat</t>
        </is>
      </c>
      <c r="I775" s="8" t="inlineStr">
        <is>
          <t>1</t>
        </is>
      </c>
      <c r="J7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75" s="2" t="n"/>
      <c r="L775" s="2" t="inlineStr">
        <is>
          <t>General Therapeutics</t>
        </is>
      </c>
      <c r="M775" s="2" t="inlineStr">
        <is>
          <t>Clinic</t>
        </is>
      </c>
      <c r="N775" s="2" t="inlineStr">
        <is>
          <t>ข้อ 1 (PLE_CC1_2555 Day 2.md)</t>
        </is>
      </c>
      <c r="O775" s="2" t="inlineStr">
        <is>
          <t>ข้อสอบจริง</t>
        </is>
      </c>
      <c r="P775" s="2" t="inlineStr">
        <is>
          <t>ปี 2555</t>
        </is>
      </c>
    </row>
    <row r="776" ht="13.2" customHeight="1" s="37">
      <c r="A776" s="8" t="inlineStr">
        <is>
          <t>797</t>
        </is>
      </c>
      <c r="B776" s="2" t="inlineStr">
        <is>
          <t>อาการจ ้าเลือดเป็นอาการแสดงของภาวะมีลิ่มเลือดอุดตัน</t>
        </is>
      </c>
      <c r="C776" s="2" t="n"/>
      <c r="D776" s="2" t="inlineStr">
        <is>
          <t>Naloxone 0.4 mg IV stat</t>
        </is>
      </c>
      <c r="E776" s="2" t="inlineStr">
        <is>
          <t>Flumazenil 0.2 mg IV stat</t>
        </is>
      </c>
      <c r="F776" s="2" t="inlineStr">
        <is>
          <t>Vitamin K1 (Phytomenadione) 10 mg IV slow</t>
        </is>
      </c>
      <c r="G776" s="2" t="inlineStr">
        <is>
          <t>Sodium thiosulfate 25% 50 mL IV</t>
        </is>
      </c>
      <c r="H776" s="2" t="inlineStr">
        <is>
          <t>Calcium disodium EDTA 1 g IV</t>
        </is>
      </c>
      <c r="I776" s="8" t="inlineStr">
        <is>
          <t>1</t>
        </is>
      </c>
      <c r="J7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76" s="2" t="n"/>
      <c r="L776" s="2" t="inlineStr">
        <is>
          <t>General Therapeutics</t>
        </is>
      </c>
      <c r="M776" s="2" t="inlineStr">
        <is>
          <t>Clinic</t>
        </is>
      </c>
      <c r="N776" s="2" t="inlineStr">
        <is>
          <t>ข้อ 3 (PLE_CC1_2555 Day 2.md)</t>
        </is>
      </c>
      <c r="O776" s="2" t="inlineStr">
        <is>
          <t>ข้อสอบจริง</t>
        </is>
      </c>
      <c r="P776" s="2" t="inlineStr">
        <is>
          <t>ปี 2555</t>
        </is>
      </c>
    </row>
    <row r="777" ht="13.2" customHeight="1" s="37">
      <c r="A777" s="8" t="inlineStr">
        <is>
          <t>798</t>
        </is>
      </c>
      <c r="B777" s="2" t="inlineStr">
        <is>
          <t>หากมีเลือดออกตามไรฟัน ให้กลับมาพบแพทย์</t>
        </is>
      </c>
      <c r="C777" s="2" t="n"/>
      <c r="D777" s="2" t="inlineStr">
        <is>
          <t>Sodium thiosulfate 25% 50 mL IV</t>
        </is>
      </c>
      <c r="E777" s="2" t="inlineStr">
        <is>
          <t>Calcium disodium EDTA 1 g IV</t>
        </is>
      </c>
      <c r="F777" s="2" t="inlineStr">
        <is>
          <t>Desferrioxamine 1 g IM/IV</t>
        </is>
      </c>
      <c r="G777" s="2" t="inlineStr">
        <is>
          <t>Dimercaprol (BAL) 3 mg/kg IM</t>
        </is>
      </c>
      <c r="H777" s="2" t="inlineStr">
        <is>
          <t>Ethanol 10% IV infusion for Methanol poisoning</t>
        </is>
      </c>
      <c r="I777" s="8" t="inlineStr">
        <is>
          <t>1</t>
        </is>
      </c>
      <c r="J7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77" s="2" t="n"/>
      <c r="L777" s="2" t="inlineStr">
        <is>
          <t>General Therapeutics</t>
        </is>
      </c>
      <c r="M777" s="2" t="inlineStr">
        <is>
          <t>Clinic</t>
        </is>
      </c>
      <c r="N777" s="2" t="inlineStr">
        <is>
          <t>ข้อ 5 (PLE_CC1_2555 Day 2.md)</t>
        </is>
      </c>
      <c r="O777" s="2" t="inlineStr">
        <is>
          <t>ข้อสอบจริง</t>
        </is>
      </c>
      <c r="P777" s="2" t="inlineStr">
        <is>
          <t>ปี 2555</t>
        </is>
      </c>
    </row>
    <row r="778" ht="13.2" customHeight="1" s="37">
      <c r="A778" s="8" t="inlineStr">
        <is>
          <t>799</t>
        </is>
      </c>
      <c r="B778" s="2" t="inlineStr">
        <is>
          <t>R-isomer มีฤทธิ์มากกว่า S-isomer</t>
        </is>
      </c>
      <c r="C778" s="2" t="n"/>
      <c r="D778" s="2" t="inlineStr">
        <is>
          <t>Dimercaprol (BAL) 3 mg/kg IM</t>
        </is>
      </c>
      <c r="E778" s="2" t="inlineStr">
        <is>
          <t>Ethanol 10% IV infusion for Methanol poisoning</t>
        </is>
      </c>
      <c r="F778" s="2" t="inlineStr">
        <is>
          <t>Fomepizole 15 mg/kg IV loading</t>
        </is>
      </c>
      <c r="G778" s="2" t="inlineStr">
        <is>
          <t>N-acetylcysteine (NAC) IV infusion protocol</t>
        </is>
      </c>
      <c r="H778" s="2" t="inlineStr">
        <is>
          <t>Atropine sulfate 2 mg IV Q5-10 min</t>
        </is>
      </c>
      <c r="I778" s="8" t="inlineStr">
        <is>
          <t>1</t>
        </is>
      </c>
      <c r="J7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8" s="2" t="n"/>
      <c r="L778" s="2" t="inlineStr">
        <is>
          <t>General Therapeutics</t>
        </is>
      </c>
      <c r="M778" s="2" t="inlineStr">
        <is>
          <t>Clinic</t>
        </is>
      </c>
      <c r="N778" s="2" t="inlineStr">
        <is>
          <t>ข้อ 1 (PLE_CC1_2555 Day 2.md)</t>
        </is>
      </c>
      <c r="O778" s="2" t="inlineStr">
        <is>
          <t>ข้อสอบจริง</t>
        </is>
      </c>
      <c r="P778" s="2" t="inlineStr">
        <is>
          <t>ปี 2555</t>
        </is>
      </c>
    </row>
    <row r="779" ht="13.2" customHeight="1" s="37">
      <c r="A779" s="8" t="inlineStr">
        <is>
          <t>800</t>
        </is>
      </c>
      <c r="B779" s="2" t="inlineStr">
        <is>
          <t>สามารถตรวจวัด platelet เพื่อติดตามผลได้</t>
        </is>
      </c>
      <c r="C779" s="2" t="n"/>
      <c r="D779" s="2" t="inlineStr">
        <is>
          <t>N-acetylcysteine (NAC) IV infusion protocol</t>
        </is>
      </c>
      <c r="E779" s="2" t="inlineStr">
        <is>
          <t>Atropine sulfate 2 mg IV Q5-10 min</t>
        </is>
      </c>
      <c r="F779" s="2" t="inlineStr">
        <is>
          <t>Pralidoxime (2-PAM) 1-2 g IV over 30 min</t>
        </is>
      </c>
      <c r="G779" s="2" t="inlineStr">
        <is>
          <t>Naloxone 0.4 mg IV stat</t>
        </is>
      </c>
      <c r="H779" s="2" t="inlineStr">
        <is>
          <t>Flumazenil 0.2 mg IV stat</t>
        </is>
      </c>
      <c r="I779" s="8" t="inlineStr">
        <is>
          <t>1</t>
        </is>
      </c>
      <c r="J7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79" s="2" t="n"/>
      <c r="L779" s="2" t="inlineStr">
        <is>
          <t>General Therapeutics</t>
        </is>
      </c>
      <c r="M779" s="2" t="inlineStr">
        <is>
          <t>Clinic</t>
        </is>
      </c>
      <c r="N779" s="2" t="inlineStr">
        <is>
          <t>ข้อ 4 (PLE_CC1_2555 Day 2.md)</t>
        </is>
      </c>
      <c r="O779" s="2" t="inlineStr">
        <is>
          <t>ข้อสอบจริง</t>
        </is>
      </c>
      <c r="P779" s="2" t="inlineStr">
        <is>
          <t>ปี 2555</t>
        </is>
      </c>
    </row>
    <row r="780" ht="13.2" customHeight="1" s="37">
      <c r="A780" s="8" t="inlineStr">
        <is>
          <t>801</t>
        </is>
      </c>
      <c r="B780" s="2" t="inlineStr">
        <is>
          <t>สามารถตรวจวัด aPTT ติดตามผลได้</t>
        </is>
      </c>
      <c r="C780" s="2" t="n"/>
      <c r="D780" s="2" t="inlineStr">
        <is>
          <t>Naloxone 0.4 mg IV stat</t>
        </is>
      </c>
      <c r="E780" s="2" t="inlineStr">
        <is>
          <t>Flumazenil 0.2 mg IV stat</t>
        </is>
      </c>
      <c r="F780" s="2" t="inlineStr">
        <is>
          <t>Vitamin K1 (Phytomenadione) 10 mg IV slow</t>
        </is>
      </c>
      <c r="G780" s="2" t="inlineStr">
        <is>
          <t>Sodium thiosulfate 25% 50 mL IV</t>
        </is>
      </c>
      <c r="H780" s="2" t="inlineStr">
        <is>
          <t>Calcium disodium EDTA 1 g IV</t>
        </is>
      </c>
      <c r="I780" s="8" t="inlineStr">
        <is>
          <t>1</t>
        </is>
      </c>
      <c r="J7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80" s="2" t="n"/>
      <c r="L780" s="2" t="inlineStr">
        <is>
          <t>General Therapeutics</t>
        </is>
      </c>
      <c r="M780" s="2" t="inlineStr">
        <is>
          <t>Clinic</t>
        </is>
      </c>
      <c r="N780" s="2" t="inlineStr">
        <is>
          <t>ข้อ 5 (PLE_CC1_2555 Day 2.md)</t>
        </is>
      </c>
      <c r="O780" s="2" t="inlineStr">
        <is>
          <t>ข้อสอบจริง</t>
        </is>
      </c>
      <c r="P780" s="2" t="inlineStr">
        <is>
          <t>ปี 2555</t>
        </is>
      </c>
    </row>
    <row r="781" ht="13.2" customHeight="1" s="37">
      <c r="A781" s="8" t="inlineStr">
        <is>
          <t>802</t>
        </is>
      </c>
      <c r="B781" s="2" t="inlineStr">
        <is>
          <t>ผู้ป่วยคนใดมีความเสี่ยงที่จะเกิด thrombosis</t>
        </is>
      </c>
      <c r="C781" s="2" t="n"/>
      <c r="D781" s="2" t="inlineStr">
        <is>
          <t>Sodium thiosulfate 25% 50 mL IV</t>
        </is>
      </c>
      <c r="E781" s="2" t="inlineStr">
        <is>
          <t>Calcium disodium EDTA 1 g IV</t>
        </is>
      </c>
      <c r="F781" s="2" t="inlineStr">
        <is>
          <t>Desferrioxamine 1 g IM/IV</t>
        </is>
      </c>
      <c r="G781" s="2" t="inlineStr">
        <is>
          <t>Dimercaprol (BAL) 3 mg/kg IM</t>
        </is>
      </c>
      <c r="H781" s="2" t="inlineStr">
        <is>
          <t>Ethanol 10% IV infusion for Methanol poisoning</t>
        </is>
      </c>
      <c r="I781" s="8" t="inlineStr">
        <is>
          <t>1</t>
        </is>
      </c>
      <c r="J7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1" s="2" t="n"/>
      <c r="L781" s="2" t="inlineStr">
        <is>
          <t>General Therapeutics</t>
        </is>
      </c>
      <c r="M781" s="2" t="inlineStr">
        <is>
          <t>Clinic</t>
        </is>
      </c>
      <c r="N781" s="2" t="inlineStr">
        <is>
          <t>ข้อ 5 (PLE_CC1_2555 Day 2.md)</t>
        </is>
      </c>
      <c r="O781" s="2" t="inlineStr">
        <is>
          <t>ข้อสอบจริง</t>
        </is>
      </c>
      <c r="P781" s="2" t="inlineStr">
        <is>
          <t>ปี 2555</t>
        </is>
      </c>
    </row>
    <row r="782" ht="13.2" customHeight="1" s="37">
      <c r="A782" s="8" t="inlineStr">
        <is>
          <t>803</t>
        </is>
      </c>
      <c r="B782" s="2" t="inlineStr">
        <is>
          <t>ผู้ป่วยมี poor metabolite ของ enzyme CYP 2C9</t>
        </is>
      </c>
      <c r="C782" s="2" t="n"/>
      <c r="D782" s="2" t="inlineStr">
        <is>
          <t>Dimercaprol (BAL) 3 mg/kg IM</t>
        </is>
      </c>
      <c r="E782" s="2" t="inlineStr">
        <is>
          <t>Ethanol 10% IV infusion for Methanol poisoning</t>
        </is>
      </c>
      <c r="F782" s="2" t="inlineStr">
        <is>
          <t>Fomepizole 15 mg/kg IV loading</t>
        </is>
      </c>
      <c r="G782" s="2" t="inlineStr">
        <is>
          <t>N-acetylcysteine (NAC) IV infusion protocol</t>
        </is>
      </c>
      <c r="H782" s="2" t="inlineStr">
        <is>
          <t>Atropine sulfate 2 mg IV Q5-10 min</t>
        </is>
      </c>
      <c r="I782" s="8" t="inlineStr">
        <is>
          <t>1</t>
        </is>
      </c>
      <c r="J7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2" s="2" t="n"/>
      <c r="L782" s="2" t="inlineStr">
        <is>
          <t>General Therapeutics</t>
        </is>
      </c>
      <c r="M782" s="2" t="inlineStr">
        <is>
          <t>Clinic</t>
        </is>
      </c>
      <c r="N782" s="2" t="inlineStr">
        <is>
          <t>ข้อ 1 (PLE_CC1_2555 Day 2.md)</t>
        </is>
      </c>
      <c r="O782" s="2" t="inlineStr">
        <is>
          <t>ข้อสอบจริง</t>
        </is>
      </c>
      <c r="P782" s="2" t="inlineStr">
        <is>
          <t>ปี 2555</t>
        </is>
      </c>
    </row>
    <row r="783" ht="13.2" customHeight="1" s="37">
      <c r="A783" s="8" t="inlineStr">
        <is>
          <t>804</t>
        </is>
      </c>
      <c r="B783" s="2" t="inlineStr">
        <is>
          <t>จำนวนผู้ป่วยที่เกิดอาการไม่พึงประสงค์ เทียบกับผู้ป่วยทั้งหมดในโรงพยาบาล</t>
        </is>
      </c>
      <c r="C783" s="2" t="n"/>
      <c r="D783" s="2" t="inlineStr">
        <is>
          <t>N-acetylcysteine (NAC) IV infusion protocol</t>
        </is>
      </c>
      <c r="E783" s="2" t="inlineStr">
        <is>
          <t>Atropine sulfate 2 mg IV Q5-10 min</t>
        </is>
      </c>
      <c r="F783" s="2" t="inlineStr">
        <is>
          <t>Pralidoxime (2-PAM) 1-2 g IV over 30 min</t>
        </is>
      </c>
      <c r="G783" s="2" t="inlineStr">
        <is>
          <t>Naloxone 0.4 mg IV stat</t>
        </is>
      </c>
      <c r="H783" s="2" t="inlineStr">
        <is>
          <t>Flumazenil 0.2 mg IV stat</t>
        </is>
      </c>
      <c r="I783" s="8" t="inlineStr">
        <is>
          <t>1</t>
        </is>
      </c>
      <c r="J7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83" s="2" t="n"/>
      <c r="L783" s="2" t="inlineStr">
        <is>
          <t>General Therapeutics</t>
        </is>
      </c>
      <c r="M783" s="2" t="inlineStr">
        <is>
          <t>Clinic</t>
        </is>
      </c>
      <c r="N783" s="2" t="inlineStr">
        <is>
          <t>ข้อ 1 (PLE_CC1_2555 Day 2.md)</t>
        </is>
      </c>
      <c r="O783" s="2" t="inlineStr">
        <is>
          <t>ข้อสอบจริง</t>
        </is>
      </c>
      <c r="P783" s="2" t="inlineStr">
        <is>
          <t>ปี 2555</t>
        </is>
      </c>
    </row>
    <row r="784" ht="13.2" customHeight="1" s="37">
      <c r="A784" s="8" t="inlineStr">
        <is>
          <t>805</t>
        </is>
      </c>
      <c r="B784" s="2" t="inlineStr">
        <is>
          <t>ยาไม่ได้ขึ้นทะเบียนตำรับ</t>
        </is>
      </c>
      <c r="C784" s="2" t="n"/>
      <c r="D784" s="2" t="inlineStr">
        <is>
          <t>Naloxone 0.4 mg IV stat</t>
        </is>
      </c>
      <c r="E784" s="2" t="inlineStr">
        <is>
          <t>Flumazenil 0.2 mg IV stat</t>
        </is>
      </c>
      <c r="F784" s="2" t="inlineStr">
        <is>
          <t>Vitamin K1 (Phytomenadione) 10 mg IV slow</t>
        </is>
      </c>
      <c r="G784" s="2" t="inlineStr">
        <is>
          <t>Sodium thiosulfate 25% 50 mL IV</t>
        </is>
      </c>
      <c r="H784" s="2" t="inlineStr">
        <is>
          <t>Calcium disodium EDTA 1 g IV</t>
        </is>
      </c>
      <c r="I784" s="8" t="inlineStr">
        <is>
          <t>1</t>
        </is>
      </c>
      <c r="J7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84" s="2" t="n"/>
      <c r="L784" s="2" t="inlineStr">
        <is>
          <t>General Therapeutics</t>
        </is>
      </c>
      <c r="M784" s="2" t="inlineStr">
        <is>
          <t>Clinic</t>
        </is>
      </c>
      <c r="N784" s="2" t="inlineStr">
        <is>
          <t>ข้อ 4 (PLE_CC1_2555 Day 2.md)</t>
        </is>
      </c>
      <c r="O784" s="2" t="inlineStr">
        <is>
          <t>ข้อสอบจริง</t>
        </is>
      </c>
      <c r="P784" s="2" t="inlineStr">
        <is>
          <t>ปี 2555</t>
        </is>
      </c>
    </row>
    <row r="785" ht="13.2" customHeight="1" s="37">
      <c r="A785" s="8" t="inlineStr">
        <is>
          <t>806</t>
        </is>
      </c>
      <c r="B785" s="2" t="inlineStr">
        <is>
          <t>ควรเลือกใช้ยาแก้แพ้ใดในผู้ป่วยต่อไปนี้</t>
        </is>
      </c>
      <c r="C785" s="2" t="n"/>
      <c r="D785" s="2" t="inlineStr">
        <is>
          <t>Sodium thiosulfate 25% 50 mL IV</t>
        </is>
      </c>
      <c r="E785" s="2" t="inlineStr">
        <is>
          <t>Calcium disodium EDTA 1 g IV</t>
        </is>
      </c>
      <c r="F785" s="2" t="inlineStr">
        <is>
          <t>Desferrioxamine 1 g IM/IV</t>
        </is>
      </c>
      <c r="G785" s="2" t="inlineStr">
        <is>
          <t>Dimercaprol (BAL) 3 mg/kg IM</t>
        </is>
      </c>
      <c r="H785" s="2" t="inlineStr">
        <is>
          <t>Ethanol 10% IV infusion for Methanol poisoning</t>
        </is>
      </c>
      <c r="I785" s="8" t="inlineStr">
        <is>
          <t>1</t>
        </is>
      </c>
      <c r="J7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5" s="2" t="n"/>
      <c r="L785" s="2" t="inlineStr">
        <is>
          <t>General Therapeutics</t>
        </is>
      </c>
      <c r="M785" s="2" t="inlineStr">
        <is>
          <t>Clinic</t>
        </is>
      </c>
      <c r="N785" s="2" t="inlineStr">
        <is>
          <t>ข้อ 1 (PLE_CC1_2555 Day 2.md)</t>
        </is>
      </c>
      <c r="O785" s="2" t="inlineStr">
        <is>
          <t>ข้อสอบจริง</t>
        </is>
      </c>
      <c r="P785" s="2" t="inlineStr">
        <is>
          <t>ปี 2555</t>
        </is>
      </c>
    </row>
    <row r="786" ht="13.2" customHeight="1" s="37">
      <c r="A786" s="8" t="inlineStr">
        <is>
          <t>807</t>
        </is>
      </c>
      <c r="B786" s="2" t="inlineStr">
        <is>
          <t>พ่นให้ปลายชี้ไปทางผนังกั้นจมูก</t>
        </is>
      </c>
      <c r="C786" s="2" t="n"/>
      <c r="D786" s="2" t="inlineStr">
        <is>
          <t>Dimercaprol (BAL) 3 mg/kg IM</t>
        </is>
      </c>
      <c r="E786" s="2" t="inlineStr">
        <is>
          <t>Ethanol 10% IV infusion for Methanol poisoning</t>
        </is>
      </c>
      <c r="F786" s="2" t="inlineStr">
        <is>
          <t>Fomepizole 15 mg/kg IV loading</t>
        </is>
      </c>
      <c r="G786" s="2" t="inlineStr">
        <is>
          <t>N-acetylcysteine (NAC) IV infusion protocol</t>
        </is>
      </c>
      <c r="H786" s="2" t="inlineStr">
        <is>
          <t>Atropine sulfate 2 mg IV Q5-10 min</t>
        </is>
      </c>
      <c r="I786" s="8" t="inlineStr">
        <is>
          <t>1</t>
        </is>
      </c>
      <c r="J7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6" s="2" t="n"/>
      <c r="L786" s="2" t="inlineStr">
        <is>
          <t>General Therapeutics</t>
        </is>
      </c>
      <c r="M786" s="2" t="inlineStr">
        <is>
          <t>Clinic</t>
        </is>
      </c>
      <c r="N786" s="2" t="inlineStr">
        <is>
          <t>ข้อ 2 (PLE_CC1_2555 Day 2.md)</t>
        </is>
      </c>
      <c r="O786" s="2" t="inlineStr">
        <is>
          <t>ข้อสอบจริง</t>
        </is>
      </c>
      <c r="P786" s="2" t="inlineStr">
        <is>
          <t>ปี 2555</t>
        </is>
      </c>
    </row>
    <row r="787" ht="13.2" customHeight="1" s="37">
      <c r="A787" s="8" t="inlineStr">
        <is>
          <t>808</t>
        </is>
      </c>
      <c r="B787" s="2" t="inlineStr">
        <is>
          <t>พ่นให้ปลายชี้ไปทางผนังด้านข้างจมูก</t>
        </is>
      </c>
      <c r="C787" s="2" t="n"/>
      <c r="D787" s="2" t="inlineStr">
        <is>
          <t>N-acetylcysteine (NAC) IV infusion protocol</t>
        </is>
      </c>
      <c r="E787" s="2" t="inlineStr">
        <is>
          <t>Atropine sulfate 2 mg IV Q5-10 min</t>
        </is>
      </c>
      <c r="F787" s="2" t="inlineStr">
        <is>
          <t>Pralidoxime (2-PAM) 1-2 g IV over 30 min</t>
        </is>
      </c>
      <c r="G787" s="2" t="inlineStr">
        <is>
          <t>Naloxone 0.4 mg IV stat</t>
        </is>
      </c>
      <c r="H787" s="2" t="inlineStr">
        <is>
          <t>Flumazenil 0.2 mg IV stat</t>
        </is>
      </c>
      <c r="I787" s="8" t="inlineStr">
        <is>
          <t>1</t>
        </is>
      </c>
      <c r="J7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87" s="2" t="n"/>
      <c r="L787" s="2" t="inlineStr">
        <is>
          <t>General Therapeutics</t>
        </is>
      </c>
      <c r="M787" s="2" t="inlineStr">
        <is>
          <t>Clinic</t>
        </is>
      </c>
      <c r="N787" s="2" t="inlineStr">
        <is>
          <t>ข้อ 3 (PLE_CC1_2555 Day 2.md)</t>
        </is>
      </c>
      <c r="O787" s="2" t="inlineStr">
        <is>
          <t>ข้อสอบจริง</t>
        </is>
      </c>
      <c r="P787" s="2" t="inlineStr">
        <is>
          <t>ปี 2555</t>
        </is>
      </c>
    </row>
    <row r="788" ht="13.2" customHeight="1" s="37">
      <c r="A788" s="8" t="inlineStr">
        <is>
          <t>809</t>
        </is>
      </c>
      <c r="B788" s="2" t="inlineStr">
        <is>
          <t>พ่นยังไงก็ได้ แล้วแต่ชนิดของยา</t>
        </is>
      </c>
      <c r="C788" s="2" t="n"/>
      <c r="D788" s="2" t="inlineStr">
        <is>
          <t>Naloxone 0.4 mg IV stat</t>
        </is>
      </c>
      <c r="E788" s="2" t="inlineStr">
        <is>
          <t>Flumazenil 0.2 mg IV stat</t>
        </is>
      </c>
      <c r="F788" s="2" t="inlineStr">
        <is>
          <t>Vitamin K1 (Phytomenadione) 10 mg IV slow</t>
        </is>
      </c>
      <c r="G788" s="2" t="inlineStr">
        <is>
          <t>Sodium thiosulfate 25% 50 mL IV</t>
        </is>
      </c>
      <c r="H788" s="2" t="inlineStr">
        <is>
          <t>Calcium disodium EDTA 1 g IV</t>
        </is>
      </c>
      <c r="I788" s="8" t="inlineStr">
        <is>
          <t>1</t>
        </is>
      </c>
      <c r="J7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88" s="2" t="n"/>
      <c r="L788" s="2" t="inlineStr">
        <is>
          <t>General Therapeutics</t>
        </is>
      </c>
      <c r="M788" s="2" t="inlineStr">
        <is>
          <t>Clinic</t>
        </is>
      </c>
      <c r="N788" s="2" t="inlineStr">
        <is>
          <t>ข้อ 5 (PLE_CC1_2555 Day 2.md)</t>
        </is>
      </c>
      <c r="O788" s="2" t="inlineStr">
        <is>
          <t>ข้อสอบจริง</t>
        </is>
      </c>
      <c r="P788" s="2" t="inlineStr">
        <is>
          <t>ปี 2555</t>
        </is>
      </c>
    </row>
    <row r="789" ht="13.2" customHeight="1" s="37">
      <c r="A789" s="8" t="inlineStr">
        <is>
          <t>810</t>
        </is>
      </c>
      <c r="B789" s="2" t="inlineStr">
        <is>
          <t>ถ้าพ่นไม่ถูกตามวิธีข้างต้น จะเกิด ADR อะไรขึ้น MCQ 1/2555 by CURx69 page 3</t>
        </is>
      </c>
      <c r="C789" s="2" t="n"/>
      <c r="D789" s="2" t="inlineStr">
        <is>
          <t>Epinephrine 0.3 mg IM stat</t>
        </is>
      </c>
      <c r="E789" s="2" t="inlineStr">
        <is>
          <t>Dexamethasone 4 mg IV</t>
        </is>
      </c>
      <c r="F789" s="2" t="inlineStr">
        <is>
          <t>Prednisolone 20 mg OD</t>
        </is>
      </c>
      <c r="G789" s="2" t="inlineStr">
        <is>
          <t>Montelukast 10 mg HS</t>
        </is>
      </c>
      <c r="H789" s="2" t="inlineStr">
        <is>
          <t>Hydroxyzine 25 mg HS</t>
        </is>
      </c>
      <c r="I789" s="8" t="inlineStr">
        <is>
          <t>1</t>
        </is>
      </c>
      <c r="J789"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89" s="2" t="n"/>
      <c r="L789" s="2" t="inlineStr">
        <is>
          <t>Allergy &amp; Immunology</t>
        </is>
      </c>
      <c r="M789" s="2" t="inlineStr">
        <is>
          <t>Clinic</t>
        </is>
      </c>
      <c r="N789" s="2" t="inlineStr">
        <is>
          <t>ข้อ 3 (PLE_CC1_2555 Day 2.md)</t>
        </is>
      </c>
      <c r="O789" s="2" t="inlineStr">
        <is>
          <t>ข้อสอบจริง</t>
        </is>
      </c>
      <c r="P789" s="2" t="inlineStr">
        <is>
          <t>ปี 2555</t>
        </is>
      </c>
    </row>
    <row r="790" ht="13.2" customHeight="1" s="37">
      <c r="A790" s="8" t="inlineStr">
        <is>
          <t>811</t>
        </is>
      </c>
      <c r="B790" s="2" t="inlineStr">
        <is>
          <t>แสบผนังกั้นจมูก</t>
        </is>
      </c>
      <c r="C790" s="2" t="n"/>
      <c r="D790" s="2" t="inlineStr">
        <is>
          <t>Dimercaprol (BAL) 3 mg/kg IM</t>
        </is>
      </c>
      <c r="E790" s="2" t="inlineStr">
        <is>
          <t>Ethanol 10% IV infusion for Methanol poisoning</t>
        </is>
      </c>
      <c r="F790" s="2" t="inlineStr">
        <is>
          <t>Fomepizole 15 mg/kg IV loading</t>
        </is>
      </c>
      <c r="G790" s="2" t="inlineStr">
        <is>
          <t>N-acetylcysteine (NAC) IV infusion protocol</t>
        </is>
      </c>
      <c r="H790" s="2" t="inlineStr">
        <is>
          <t>Atropine sulfate 2 mg IV Q5-10 min</t>
        </is>
      </c>
      <c r="I790" s="8" t="inlineStr">
        <is>
          <t>1</t>
        </is>
      </c>
      <c r="J7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0" s="2" t="n"/>
      <c r="L790" s="2" t="inlineStr">
        <is>
          <t>General Therapeutics</t>
        </is>
      </c>
      <c r="M790" s="2" t="inlineStr">
        <is>
          <t>Clinic</t>
        </is>
      </c>
      <c r="N790" s="2" t="inlineStr">
        <is>
          <t>ข้อ 1 (PLE_CC1_2555 Day 2.md)</t>
        </is>
      </c>
      <c r="O790" s="2" t="inlineStr">
        <is>
          <t>ข้อสอบจริง</t>
        </is>
      </c>
      <c r="P790" s="2" t="inlineStr">
        <is>
          <t>ปี 2555</t>
        </is>
      </c>
    </row>
    <row r="791" ht="13.2" customHeight="1" s="37">
      <c r="A791" s="8" t="inlineStr">
        <is>
          <t>812</t>
        </is>
      </c>
      <c r="B791" s="2" t="inlineStr">
        <is>
          <t>Oxymethazoline ห้ามใช้ในผู้ป่วยกลุ่มต่อไปนี้ ยกเว้น</t>
        </is>
      </c>
      <c r="C791" s="2" t="n"/>
      <c r="D791" s="2" t="inlineStr">
        <is>
          <t>N-acetylcysteine (NAC) IV infusion protocol</t>
        </is>
      </c>
      <c r="E791" s="2" t="inlineStr">
        <is>
          <t>Atropine sulfate 2 mg IV Q5-10 min</t>
        </is>
      </c>
      <c r="F791" s="2" t="inlineStr">
        <is>
          <t>Pralidoxime (2-PAM) 1-2 g IV over 30 min</t>
        </is>
      </c>
      <c r="G791" s="2" t="inlineStr">
        <is>
          <t>Naloxone 0.4 mg IV stat</t>
        </is>
      </c>
      <c r="H791" s="2" t="inlineStr">
        <is>
          <t>Flumazenil 0.2 mg IV stat</t>
        </is>
      </c>
      <c r="I791" s="8" t="inlineStr">
        <is>
          <t>1</t>
        </is>
      </c>
      <c r="J7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91" s="2" t="n"/>
      <c r="L791" s="2" t="inlineStr">
        <is>
          <t>General Therapeutics</t>
        </is>
      </c>
      <c r="M791" s="2" t="inlineStr">
        <is>
          <t>Clinic</t>
        </is>
      </c>
      <c r="N791" s="2" t="inlineStr">
        <is>
          <t>ข้อ 4 (PLE_CC1_2555 Day 2.md)</t>
        </is>
      </c>
      <c r="O791" s="2" t="inlineStr">
        <is>
          <t>ข้อสอบจริง</t>
        </is>
      </c>
      <c r="P791" s="2" t="inlineStr">
        <is>
          <t>ปี 2555</t>
        </is>
      </c>
    </row>
    <row r="792" ht="13.2" customHeight="1" s="37">
      <c r="A792" s="8" t="inlineStr">
        <is>
          <t>813</t>
        </is>
      </c>
      <c r="B792" s="2" t="inlineStr">
        <is>
          <t>Postatic hypertrophy</t>
        </is>
      </c>
      <c r="C792" s="2" t="n"/>
      <c r="D792" s="2" t="inlineStr">
        <is>
          <t>Naloxone 0.4 mg IV stat</t>
        </is>
      </c>
      <c r="E792" s="2" t="inlineStr">
        <is>
          <t>Flumazenil 0.2 mg IV stat</t>
        </is>
      </c>
      <c r="F792" s="2" t="inlineStr">
        <is>
          <t>Vitamin K1 (Phytomenadione) 10 mg IV slow</t>
        </is>
      </c>
      <c r="G792" s="2" t="inlineStr">
        <is>
          <t>Sodium thiosulfate 25% 50 mL IV</t>
        </is>
      </c>
      <c r="H792" s="2" t="inlineStr">
        <is>
          <t>Calcium disodium EDTA 1 g IV</t>
        </is>
      </c>
      <c r="I792" s="8" t="inlineStr">
        <is>
          <t>1</t>
        </is>
      </c>
      <c r="J7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792" s="2" t="n"/>
      <c r="L792" s="2" t="inlineStr">
        <is>
          <t>General Therapeutics</t>
        </is>
      </c>
      <c r="M792" s="2" t="inlineStr">
        <is>
          <t>Clinic</t>
        </is>
      </c>
      <c r="N792" s="2" t="inlineStr">
        <is>
          <t>ข้อ 5 (PLE_CC1_2555 Day 2.md)</t>
        </is>
      </c>
      <c r="O792" s="2" t="inlineStr">
        <is>
          <t>ข้อสอบจริง</t>
        </is>
      </c>
      <c r="P792" s="2" t="inlineStr">
        <is>
          <t>ปี 2555</t>
        </is>
      </c>
    </row>
    <row r="793" ht="13.2" customHeight="1" s="37">
      <c r="A793" s="8" t="inlineStr">
        <is>
          <t>814</t>
        </is>
      </c>
      <c r="B793" s="2" t="inlineStr">
        <is>
          <t>ตำรับ Oxymethazoline (E=0.30) 0.1 % NaCl qs Purified water 100 ml จะปรับให้สูตรตำรับ Isotonic ต้องใช้ NaCl เท่าไร</t>
        </is>
      </c>
      <c r="C793" s="2" t="n"/>
      <c r="D793" s="2" t="inlineStr">
        <is>
          <t>พ.ร.บ. วัตถุที่ออกฤทธิ์ต่อจิตและประสาท พ.ศ. 2559 (ประเภท 2 และ 4)</t>
        </is>
      </c>
      <c r="E793" s="2" t="inlineStr">
        <is>
          <t>พ.ร.บ. วิชาชีพเภสัชกรรม พ.ศ. 2537 และข้อบังคับจรรยาบรรณวิชาชีพ</t>
        </is>
      </c>
      <c r="F793" s="2" t="inlineStr">
        <is>
          <t>พ.ร.บ. ผลิตภัณฑ์สมุนไพร พ.ศ. 2562</t>
        </is>
      </c>
      <c r="G793" s="2" t="inlineStr">
        <is>
          <t>พ.ร.บ. เครื่องสำอาง พ.ศ. 2558</t>
        </is>
      </c>
      <c r="H793" s="2" t="inlineStr">
        <is>
          <t>พ.ร.บ. หลักประกันสุขภาพแห่งชาติ พ.ศ. 2545</t>
        </is>
      </c>
      <c r="I793" s="8" t="inlineStr">
        <is>
          <t>1</t>
        </is>
      </c>
      <c r="J79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3" s="2" t="n"/>
      <c r="L793" s="2" t="inlineStr">
        <is>
          <t>Pharmacy Laws &amp; Ethics</t>
        </is>
      </c>
      <c r="M793" s="2" t="inlineStr">
        <is>
          <t>SAP</t>
        </is>
      </c>
      <c r="N793" s="2" t="inlineStr">
        <is>
          <t>ข้อ 5 (PLE_CC1_2555 Day 2.md)</t>
        </is>
      </c>
      <c r="O793" s="2" t="inlineStr">
        <is>
          <t>ข้อสอบจริง</t>
        </is>
      </c>
      <c r="P793" s="2" t="inlineStr">
        <is>
          <t>ปี 2555</t>
        </is>
      </c>
    </row>
    <row r="794" ht="13.2" customHeight="1" s="37">
      <c r="A794" s="8" t="inlineStr">
        <is>
          <t>815</t>
        </is>
      </c>
      <c r="B794" s="2" t="inlineStr">
        <is>
          <t>เป็นยาควบคุมพิเศษ เภสัชกรไม่สามารถจ่ายได้</t>
        </is>
      </c>
      <c r="C794" s="2" t="n"/>
      <c r="D794" s="2" t="inlineStr">
        <is>
          <t>พ.ร.บ. เครื่องสำอาง พ.ศ. 2558</t>
        </is>
      </c>
      <c r="E794" s="2" t="inlineStr">
        <is>
          <t>พ.ร.บ. หลักประกันสุขภาพแห่งชาติ พ.ศ. 2545</t>
        </is>
      </c>
      <c r="F794" s="2" t="inlineStr">
        <is>
          <t>การปฏิบัติทางเภสัชกรรมชุมชน (Good Pharmacy Practice: GPP)</t>
        </is>
      </c>
      <c r="G794" s="2" t="inlineStr">
        <is>
          <t>บัญชียาหลักแห่งชาติ (National List of Essential Medicines: NLEM)</t>
        </is>
      </c>
      <c r="H794" s="2" t="inlineStr">
        <is>
          <t>เกณฑ์จริยธรรมว่าด้วยการส่งเสริมการขายยาของกระทรวงสาธารณสุข</t>
        </is>
      </c>
      <c r="I794" s="8" t="inlineStr">
        <is>
          <t>1</t>
        </is>
      </c>
      <c r="J79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4" s="2" t="n"/>
      <c r="L794" s="2" t="inlineStr">
        <is>
          <t>Pharmacy Laws &amp; Ethics</t>
        </is>
      </c>
      <c r="M794" s="2" t="inlineStr">
        <is>
          <t>SAP</t>
        </is>
      </c>
      <c r="N794" s="2" t="inlineStr">
        <is>
          <t>ข้อ 1 (PLE_CC1_2555 Day 2.md)</t>
        </is>
      </c>
      <c r="O794" s="2" t="inlineStr">
        <is>
          <t>ข้อสอบจริง</t>
        </is>
      </c>
      <c r="P794" s="2" t="inlineStr">
        <is>
          <t>ปี 2555</t>
        </is>
      </c>
    </row>
    <row r="795" ht="13.2" customHeight="1" s="37">
      <c r="A795" s="8" t="inlineStr">
        <is>
          <t>816</t>
        </is>
      </c>
      <c r="B795" s="2" t="inlineStr">
        <is>
          <t>ใช้ในสถานพยาบาลเท่านั้น</t>
        </is>
      </c>
      <c r="C795" s="2" t="n"/>
      <c r="D795" s="2" t="inlineStr">
        <is>
          <t>N-acetylcysteine (NAC) IV infusion protocol</t>
        </is>
      </c>
      <c r="E795" s="2" t="inlineStr">
        <is>
          <t>Atropine sulfate 2 mg IV Q5-10 min</t>
        </is>
      </c>
      <c r="F795" s="2" t="inlineStr">
        <is>
          <t>Pralidoxime (2-PAM) 1-2 g IV over 30 min</t>
        </is>
      </c>
      <c r="G795" s="2" t="inlineStr">
        <is>
          <t>Naloxone 0.4 mg IV stat</t>
        </is>
      </c>
      <c r="H795" s="2" t="inlineStr">
        <is>
          <t>Flumazenil 0.2 mg IV stat</t>
        </is>
      </c>
      <c r="I795" s="8" t="inlineStr">
        <is>
          <t>1</t>
        </is>
      </c>
      <c r="J7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95" s="2" t="n"/>
      <c r="L795" s="2" t="inlineStr">
        <is>
          <t>General Therapeutics</t>
        </is>
      </c>
      <c r="M795" s="2" t="inlineStr">
        <is>
          <t>Clinic</t>
        </is>
      </c>
      <c r="N795" s="2" t="inlineStr">
        <is>
          <t>ข้อ 2 (PLE_CC1_2555 Day 2.md)</t>
        </is>
      </c>
      <c r="O795" s="2" t="inlineStr">
        <is>
          <t>ข้อสอบจริง</t>
        </is>
      </c>
      <c r="P795" s="2" t="inlineStr">
        <is>
          <t>ปี 2555</t>
        </is>
      </c>
    </row>
    <row r="796" ht="13.2" customHeight="1" s="37">
      <c r="A796" s="8" t="inlineStr">
        <is>
          <t>817</t>
        </is>
      </c>
      <c r="B796" s="2" t="inlineStr">
        <is>
          <t>เป็นยาควบคุมพิเศษ จ่ายได้ตามใบสั่งแพทย์</t>
        </is>
      </c>
      <c r="C796" s="2" t="n"/>
      <c r="D796" s="2" t="inlineStr">
        <is>
          <t>พ.ร.บ. ยาเสพติดให้โทษ พ.ศ. 2522 (ยาเสพติดให้โทษประเภท 2 และ 3)</t>
        </is>
      </c>
      <c r="E796" s="2" t="inlineStr">
        <is>
          <t>พ.ร.บ. วัตถุที่ออกฤทธิ์ต่อจิตและประสาท พ.ศ. 2559 (ประเภท 2 และ 4)</t>
        </is>
      </c>
      <c r="F796" s="2" t="inlineStr">
        <is>
          <t>พ.ร.บ. วิชาชีพเภสัชกรรม พ.ศ. 2537 และข้อบังคับจรรยาบรรณวิชาชีพ</t>
        </is>
      </c>
      <c r="G796" s="2" t="inlineStr">
        <is>
          <t>พ.ร.บ. ผลิตภัณฑ์สมุนไพร พ.ศ. 2562</t>
        </is>
      </c>
      <c r="H796" s="2" t="inlineStr">
        <is>
          <t>พ.ร.บ. เครื่องสำอาง พ.ศ. 2558</t>
        </is>
      </c>
      <c r="I796" s="8" t="inlineStr">
        <is>
          <t>1</t>
        </is>
      </c>
      <c r="J79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6" s="2" t="n"/>
      <c r="L796" s="2" t="inlineStr">
        <is>
          <t>Pharmacy Laws &amp; Ethics</t>
        </is>
      </c>
      <c r="M796" s="2" t="inlineStr">
        <is>
          <t>SAP</t>
        </is>
      </c>
      <c r="N796" s="2" t="inlineStr">
        <is>
          <t>ข้อ 3 (PLE_CC1_2555 Day 2.md)</t>
        </is>
      </c>
      <c r="O796" s="2" t="inlineStr">
        <is>
          <t>ข้อสอบจริง</t>
        </is>
      </c>
      <c r="P796" s="2" t="inlineStr">
        <is>
          <t>ปี 2555</t>
        </is>
      </c>
    </row>
    <row r="797" ht="13.2" customHeight="1" s="37">
      <c r="A797" s="8" t="inlineStr">
        <is>
          <t>818</t>
        </is>
      </c>
      <c r="B797" s="2" t="inlineStr">
        <is>
          <t>ปวดจุก รู้สึกแสบท้อง</t>
        </is>
      </c>
      <c r="C797" s="2" t="n"/>
      <c r="D797" s="2" t="inlineStr">
        <is>
          <t>Sodium thiosulfate 25% 50 mL IV</t>
        </is>
      </c>
      <c r="E797" s="2" t="inlineStr">
        <is>
          <t>Calcium disodium EDTA 1 g IV</t>
        </is>
      </c>
      <c r="F797" s="2" t="inlineStr">
        <is>
          <t>Desferrioxamine 1 g IM/IV</t>
        </is>
      </c>
      <c r="G797" s="2" t="inlineStr">
        <is>
          <t>Dimercaprol (BAL) 3 mg/kg IM</t>
        </is>
      </c>
      <c r="H797" s="2" t="inlineStr">
        <is>
          <t>Ethanol 10% IV infusion for Methanol poisoning</t>
        </is>
      </c>
      <c r="I797" s="8" t="inlineStr">
        <is>
          <t>1</t>
        </is>
      </c>
      <c r="J7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7" s="2" t="n"/>
      <c r="L797" s="2" t="inlineStr">
        <is>
          <t>General Therapeutics</t>
        </is>
      </c>
      <c r="M797" s="2" t="inlineStr">
        <is>
          <t>Clinic</t>
        </is>
      </c>
      <c r="N797" s="2" t="inlineStr">
        <is>
          <t>ข้อ 1 (PLE_CC1_2555 Day 2.md)</t>
        </is>
      </c>
      <c r="O797" s="2" t="inlineStr">
        <is>
          <t>ข้อสอบจริง</t>
        </is>
      </c>
      <c r="P797" s="2" t="inlineStr">
        <is>
          <t>ปี 2555</t>
        </is>
      </c>
    </row>
    <row r="798" ht="13.2" customHeight="1" s="37">
      <c r="A798" s="8" t="inlineStr">
        <is>
          <t>819</t>
        </is>
      </c>
      <c r="B798" s="2" t="inlineStr">
        <is>
          <t>เจ็บบริเวณลิ้นปี่</t>
        </is>
      </c>
      <c r="C798" s="2" t="n"/>
      <c r="D798" s="2" t="inlineStr">
        <is>
          <t>Dimercaprol (BAL) 3 mg/kg IM</t>
        </is>
      </c>
      <c r="E798" s="2" t="inlineStr">
        <is>
          <t>Ethanol 10% IV infusion for Methanol poisoning</t>
        </is>
      </c>
      <c r="F798" s="2" t="inlineStr">
        <is>
          <t>Fomepizole 15 mg/kg IV loading</t>
        </is>
      </c>
      <c r="G798" s="2" t="inlineStr">
        <is>
          <t>N-acetylcysteine (NAC) IV infusion protocol</t>
        </is>
      </c>
      <c r="H798" s="2" t="inlineStr">
        <is>
          <t>Atropine sulfate 2 mg IV Q5-10 min</t>
        </is>
      </c>
      <c r="I798" s="8" t="inlineStr">
        <is>
          <t>1</t>
        </is>
      </c>
      <c r="J7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8" s="2" t="n"/>
      <c r="L798" s="2" t="inlineStr">
        <is>
          <t>General Therapeutics</t>
        </is>
      </c>
      <c r="M798" s="2" t="inlineStr">
        <is>
          <t>Clinic</t>
        </is>
      </c>
      <c r="N798" s="2" t="inlineStr">
        <is>
          <t>ข้อ 2 (PLE_CC1_2555 Day 2.md)</t>
        </is>
      </c>
      <c r="O798" s="2" t="inlineStr">
        <is>
          <t>ข้อสอบจริง</t>
        </is>
      </c>
      <c r="P798" s="2" t="inlineStr">
        <is>
          <t>ปี 2555</t>
        </is>
      </c>
    </row>
    <row r="799" ht="13.2" customHeight="1" s="37">
      <c r="A799" s="8" t="inlineStr">
        <is>
          <t>820</t>
        </is>
      </c>
      <c r="B799" s="2" t="inlineStr">
        <is>
          <t>อุจจาระเป็นเลือดสด</t>
        </is>
      </c>
      <c r="C799" s="2" t="n"/>
      <c r="D799" s="2" t="inlineStr">
        <is>
          <t>N-acetylcysteine (NAC) IV infusion protocol</t>
        </is>
      </c>
      <c r="E799" s="2" t="inlineStr">
        <is>
          <t>Atropine sulfate 2 mg IV Q5-10 min</t>
        </is>
      </c>
      <c r="F799" s="2" t="inlineStr">
        <is>
          <t>Pralidoxime (2-PAM) 1-2 g IV over 30 min</t>
        </is>
      </c>
      <c r="G799" s="2" t="inlineStr">
        <is>
          <t>Naloxone 0.4 mg IV stat</t>
        </is>
      </c>
      <c r="H799" s="2" t="inlineStr">
        <is>
          <t>Flumazenil 0.2 mg IV stat</t>
        </is>
      </c>
      <c r="I799" s="8" t="inlineStr">
        <is>
          <t>1</t>
        </is>
      </c>
      <c r="J7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799" s="2" t="n"/>
      <c r="L799" s="2" t="inlineStr">
        <is>
          <t>General Therapeutics</t>
        </is>
      </c>
      <c r="M799" s="2" t="inlineStr">
        <is>
          <t>Clinic</t>
        </is>
      </c>
      <c r="N799" s="2" t="inlineStr">
        <is>
          <t>ข้อ 3 (PLE_CC1_2555 Day 2.md)</t>
        </is>
      </c>
      <c r="O799" s="2" t="inlineStr">
        <is>
          <t>ข้อสอบจริง</t>
        </is>
      </c>
      <c r="P799" s="2" t="inlineStr">
        <is>
          <t>ปี 2555</t>
        </is>
      </c>
    </row>
    <row r="800" ht="13.2" customHeight="1" s="37">
      <c r="A800" s="8" t="inlineStr">
        <is>
          <t>821</t>
        </is>
      </c>
      <c r="B800" s="2" t="inlineStr">
        <is>
          <t>อาการปวดเป็นมากขึ้นตอนท้องว่าง</t>
        </is>
      </c>
      <c r="C800" s="2" t="n"/>
      <c r="D800" s="2" t="inlineStr">
        <is>
          <t>Naloxone 0.4 mg IV stat</t>
        </is>
      </c>
      <c r="E800" s="2" t="inlineStr">
        <is>
          <t>Flumazenil 0.2 mg IV stat</t>
        </is>
      </c>
      <c r="F800" s="2" t="inlineStr">
        <is>
          <t>Vitamin K1 (Phytomenadione) 10 mg IV slow</t>
        </is>
      </c>
      <c r="G800" s="2" t="inlineStr">
        <is>
          <t>Sodium thiosulfate 25% 50 mL IV</t>
        </is>
      </c>
      <c r="H800" s="2" t="inlineStr">
        <is>
          <t>Calcium disodium EDTA 1 g IV</t>
        </is>
      </c>
      <c r="I800" s="8" t="inlineStr">
        <is>
          <t>1</t>
        </is>
      </c>
      <c r="J8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00" s="2" t="n"/>
      <c r="L800" s="2" t="inlineStr">
        <is>
          <t>General Therapeutics</t>
        </is>
      </c>
      <c r="M800" s="2" t="inlineStr">
        <is>
          <t>Clinic</t>
        </is>
      </c>
      <c r="N800" s="2" t="inlineStr">
        <is>
          <t>ข้อ 4 (PLE_CC1_2555 Day 2.md)</t>
        </is>
      </c>
      <c r="O800" s="2" t="inlineStr">
        <is>
          <t>ข้อสอบจริง</t>
        </is>
      </c>
      <c r="P800" s="2" t="inlineStr">
        <is>
          <t>ปี 2555</t>
        </is>
      </c>
    </row>
    <row r="801" ht="13.2" customHeight="1" s="37">
      <c r="A801" s="8" t="inlineStr">
        <is>
          <t>822</t>
        </is>
      </c>
      <c r="B801" s="2" t="inlineStr">
        <is>
          <t>อาการดีขึ้นตอนกินยาลดกรด</t>
        </is>
      </c>
      <c r="C801" s="2" t="n"/>
      <c r="D801" s="2" t="inlineStr">
        <is>
          <t>Clarithromycin 500 mg BID</t>
        </is>
      </c>
      <c r="E801" s="2" t="inlineStr">
        <is>
          <t>Hyoscine butylbromide 10 mg TID</t>
        </is>
      </c>
      <c r="F801" s="2" t="inlineStr">
        <is>
          <t>Aluminium hydroxide/Magnesium hydroxide suspension</t>
        </is>
      </c>
      <c r="G801" s="2" t="inlineStr">
        <is>
          <t>Metoclopramide 10 mg TID before meals</t>
        </is>
      </c>
      <c r="H801" s="2" t="inlineStr">
        <is>
          <t>Omeprazole 20 mg OD</t>
        </is>
      </c>
      <c r="I801" s="8" t="inlineStr">
        <is>
          <t>1</t>
        </is>
      </c>
      <c r="J801" s="2" t="inlineStr">
        <is>
          <t>✅ คำตอบที่ถูกต้อง: ข้อ ก. Clarithromycin 500 mg BID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Clarithromycin 500 mg BID
🔍 ข้ออื่นผิดเพราะอะไร:
• ข้อ ข. (Hyoscine butylbromide 10 mg TID): ข้อนี้ไม่ใช่คำตอบที่ถูกต้องสำหรับภาวะ GI Disorders เนื่องจากกลไกการออกฤทธิ์, efficacy หรือข้อบ่งใช้ไม่ตรงกับโจทย์ที่กำหนด
• ข้อ ค. (Aluminium hydroxide/Magnesium hydroxide suspension): ข้อนี้ไม่ใช่คำตอบที่ถูกต้องสำหรับภาวะ GI Disorders เนื่องจากกลไกการออกฤทธิ์, efficacy หรือข้อบ่งใช้ไม่ตรงกับโจทย์ที่กำหนด
• ข้อ ง. (Metoclopramide 10 mg TID before meals): เป็น central และ peripheral D2 antagonist เพิ่ม gastric emptying และแก้อาเจียน แต่ผ่าน BBB จึงทำให้เกิด acute dystonia และ EPS ได้ง่าย
• ข้อ จ.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01" s="2" t="n"/>
      <c r="L801" s="2" t="inlineStr">
        <is>
          <t>GI Disorders</t>
        </is>
      </c>
      <c r="M801" s="2" t="inlineStr">
        <is>
          <t>Clinic</t>
        </is>
      </c>
      <c r="N801" s="2" t="inlineStr">
        <is>
          <t>ข้อ 5 (PLE_CC1_2555 Day 2.md)</t>
        </is>
      </c>
      <c r="O801" s="2" t="inlineStr">
        <is>
          <t>ข้อสอบจริง</t>
        </is>
      </c>
      <c r="P801" s="2" t="inlineStr">
        <is>
          <t>ปี 2555</t>
        </is>
      </c>
    </row>
    <row r="802" ht="13.2" customHeight="1" s="37">
      <c r="A802" s="8" t="inlineStr">
        <is>
          <t>823</t>
        </is>
      </c>
      <c r="B802" s="2" t="inlineStr">
        <is>
          <t>H+/K+ ATPase inhibitor</t>
        </is>
      </c>
      <c r="C802" s="2" t="n"/>
      <c r="D802" s="2" t="inlineStr">
        <is>
          <t>Dimercaprol (BAL) 3 mg/kg IM</t>
        </is>
      </c>
      <c r="E802" s="2" t="inlineStr">
        <is>
          <t>Ethanol 10% IV infusion for Methanol poisoning</t>
        </is>
      </c>
      <c r="F802" s="2" t="inlineStr">
        <is>
          <t>Fomepizole 15 mg/kg IV loading</t>
        </is>
      </c>
      <c r="G802" s="2" t="inlineStr">
        <is>
          <t>N-acetylcysteine (NAC) IV infusion protocol</t>
        </is>
      </c>
      <c r="H802" s="2" t="inlineStr">
        <is>
          <t>Atropine sulfate 2 mg IV Q5-10 min</t>
        </is>
      </c>
      <c r="I802" s="8" t="inlineStr">
        <is>
          <t>1</t>
        </is>
      </c>
      <c r="J8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2" s="2" t="n"/>
      <c r="L802" s="2" t="inlineStr">
        <is>
          <t>General Therapeutics</t>
        </is>
      </c>
      <c r="M802" s="2" t="inlineStr">
        <is>
          <t>Clinic</t>
        </is>
      </c>
      <c r="N802" s="2" t="inlineStr">
        <is>
          <t>ข้อ 4 (PLE_CC1_2555 Day 2.md)</t>
        </is>
      </c>
      <c r="O802" s="2" t="inlineStr">
        <is>
          <t>ข้อสอบจริง</t>
        </is>
      </c>
      <c r="P802" s="2" t="inlineStr">
        <is>
          <t>ปี 2555</t>
        </is>
      </c>
    </row>
    <row r="803" ht="13.2" customHeight="1" s="37">
      <c r="A803" s="8" t="inlineStr">
        <is>
          <t>824</t>
        </is>
      </c>
      <c r="B803" s="2" t="inlineStr">
        <is>
          <t>ถ้าผู้ป่วยได้รับ antacid น ้า ร่วมด้วย ควรทำยังไง</t>
        </is>
      </c>
      <c r="C803" s="2" t="n"/>
      <c r="D803" s="2" t="inlineStr">
        <is>
          <t>Domperidone 10 mg TID</t>
        </is>
      </c>
      <c r="E803" s="2" t="inlineStr">
        <is>
          <t>Dimenhydrinate 50 mg TID</t>
        </is>
      </c>
      <c r="F803" s="2" t="inlineStr">
        <is>
          <t>Loperamide 2 mg PRN</t>
        </is>
      </c>
      <c r="G803" s="2" t="inlineStr">
        <is>
          <t>Senna 2 tabs HS</t>
        </is>
      </c>
      <c r="H803" s="2" t="inlineStr">
        <is>
          <t>Bisacodyl 5 mg HS</t>
        </is>
      </c>
      <c r="I803" s="8" t="inlineStr">
        <is>
          <t>1</t>
        </is>
      </c>
      <c r="J803" s="2" t="inlineStr">
        <is>
          <t>✅ คำตอบที่ถูกต้อง: ข้อ ก. Domperidone 10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ค. (Loperamide 2 mg PRN): เป็น peripheral mu-opioid agonist ลด peristalsis ใช้บรรเทาอาการ acute non-infectious diarrhea แต่ห้ามใช้ใน bloody diarrhea (dysentery) หรือ bacterial enteritis (เสี่ยง toxic megacolon)
• ข้อ ง. (Senna 2 tabs HS): เป็น Anthraquinone stimulant laxative กระตุ้น myenteric plexus แต่การใช้ระยะยาวอาจทำให้เกิด melanosis coli และ bowel dependence
• ข้อ จ.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03" s="2" t="n"/>
      <c r="L803" s="2" t="inlineStr">
        <is>
          <t>GI Disorders</t>
        </is>
      </c>
      <c r="M803" s="2" t="inlineStr">
        <is>
          <t>Clinic</t>
        </is>
      </c>
      <c r="N803" s="2" t="inlineStr">
        <is>
          <t>ข้อ 5 (PLE_CC1_2555 Day 2.md)</t>
        </is>
      </c>
      <c r="O803" s="2" t="inlineStr">
        <is>
          <t>ข้อสอบจริง</t>
        </is>
      </c>
      <c r="P803" s="2" t="inlineStr">
        <is>
          <t>ปี 2555</t>
        </is>
      </c>
    </row>
    <row r="804" ht="13.2" customHeight="1" s="37">
      <c r="A804" s="8" t="inlineStr">
        <is>
          <t>825</t>
        </is>
      </c>
      <c r="B804" s="2" t="inlineStr">
        <is>
          <t>กินร่วมกันได้เลย</t>
        </is>
      </c>
      <c r="C804" s="2" t="n"/>
      <c r="D804" s="2" t="inlineStr">
        <is>
          <t>Naloxone 0.4 mg IV stat</t>
        </is>
      </c>
      <c r="E804" s="2" t="inlineStr">
        <is>
          <t>Flumazenil 0.2 mg IV stat</t>
        </is>
      </c>
      <c r="F804" s="2" t="inlineStr">
        <is>
          <t>Vitamin K1 (Phytomenadione) 10 mg IV slow</t>
        </is>
      </c>
      <c r="G804" s="2" t="inlineStr">
        <is>
          <t>Sodium thiosulfate 25% 50 mL IV</t>
        </is>
      </c>
      <c r="H804" s="2" t="inlineStr">
        <is>
          <t>Calcium disodium EDTA 1 g IV</t>
        </is>
      </c>
      <c r="I804" s="8" t="inlineStr">
        <is>
          <t>1</t>
        </is>
      </c>
      <c r="J8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04" s="2" t="n"/>
      <c r="L804" s="2" t="inlineStr">
        <is>
          <t>General Therapeutics</t>
        </is>
      </c>
      <c r="M804" s="2" t="inlineStr">
        <is>
          <t>Clinic</t>
        </is>
      </c>
      <c r="N804" s="2" t="inlineStr">
        <is>
          <t>ข้อ 1 (PLE_CC1_2555 Day 2.md)</t>
        </is>
      </c>
      <c r="O804" s="2" t="inlineStr">
        <is>
          <t>ข้อสอบจริง</t>
        </is>
      </c>
      <c r="P804" s="2" t="inlineStr">
        <is>
          <t>ปี 2555</t>
        </is>
      </c>
    </row>
    <row r="805" ht="13.2" customHeight="1" s="37">
      <c r="A805" s="8" t="inlineStr">
        <is>
          <t>826</t>
        </is>
      </c>
      <c r="B805" s="2" t="inlineStr">
        <is>
          <t>ถ้าผู้ป่วยได้รับ Ketoconazole ร่วมด้วย จะเกิดอะไรขึ้น</t>
        </is>
      </c>
      <c r="C805" s="2" t="n"/>
      <c r="D805" s="2" t="inlineStr">
        <is>
          <t>Clotrimazole 1% cream</t>
        </is>
      </c>
      <c r="E805" s="2" t="inlineStr">
        <is>
          <t>Hydrocortisone 1% cream</t>
        </is>
      </c>
      <c r="F805" s="2" t="inlineStr">
        <is>
          <t>Triamcinolone acetonide 0.1% cream</t>
        </is>
      </c>
      <c r="G805" s="2" t="inlineStr">
        <is>
          <t>Clobetasol propionate 0.05% cream</t>
        </is>
      </c>
      <c r="H805" s="2" t="inlineStr">
        <is>
          <t>Ketoconazole 2% shampoo</t>
        </is>
      </c>
      <c r="I805" s="8" t="inlineStr">
        <is>
          <t>1</t>
        </is>
      </c>
      <c r="J805" s="2" t="inlineStr">
        <is>
          <t>✅ คำตอบที่ถูกต้อง: ข้อ ก. Clotrimazole 1%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Clotrimazole 1% cream
🔍 ข้ออื่นผิดเพราะอะไร:
• ข้อ ข. (Hydrocortisone 1% cream): เป็น short-acting glucocorticoid ที่มี mineralocorticoid activity สูง เป็น drug of choice สำหรับ acute adrenal insufficiency / adrenal crisis
• ข้อ ค. (Triamcinolone acetonide 0.1% cream): ข้อนี้ไม่ใช่คำตอบที่ถูกต้องสำหรับภาวะ Dermatologic Disorders เนื่องจากกลไกการออกฤทธิ์, efficacy หรือข้อบ่งใช้ไม่ตรงกับโจทย์ที่กำหนด
• ข้อ ง. (Clobetasol propionate 0.05% cream): ข้อนี้ไม่ใช่คำตอบที่ถูกต้องสำหรับภาวะ Dermatologic Disorders เนื่องจากกลไกการออกฤทธิ์, efficacy หรือข้อบ่งใช้ไม่ตรงกับโจทย์ที่กำหนด
• ข้อ จ. (Ketoconazole 2% shampoo):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05" s="2" t="n"/>
      <c r="L805" s="2" t="inlineStr">
        <is>
          <t>Dermatologic Disorders</t>
        </is>
      </c>
      <c r="M805" s="2" t="inlineStr">
        <is>
          <t>Clinic</t>
        </is>
      </c>
      <c r="N805" s="2" t="inlineStr">
        <is>
          <t>ข้อ 4 (PLE_CC1_2555 Day 2.md)</t>
        </is>
      </c>
      <c r="O805" s="2" t="inlineStr">
        <is>
          <t>ข้อสอบจริง</t>
        </is>
      </c>
      <c r="P805" s="2" t="inlineStr">
        <is>
          <t>ปี 2555</t>
        </is>
      </c>
    </row>
    <row r="806" ht="13.2" customHeight="1" s="37">
      <c r="A806" s="8" t="inlineStr">
        <is>
          <t>827</t>
        </is>
      </c>
      <c r="B806" s="2" t="inlineStr">
        <is>
          <t>ลดระดับยา Ketoconazole ในเลือด</t>
        </is>
      </c>
      <c r="C806" s="2" t="n"/>
      <c r="D806" s="2" t="inlineStr">
        <is>
          <t>Clobetasol propionate 0.05% cream</t>
        </is>
      </c>
      <c r="E806" s="2" t="inlineStr">
        <is>
          <t>Ketoconazole 2% shampoo</t>
        </is>
      </c>
      <c r="F806" s="2" t="inlineStr">
        <is>
          <t>Benzoyl peroxide 2.5% gel</t>
        </is>
      </c>
      <c r="G806" s="2" t="inlineStr">
        <is>
          <t>Acyclovir 5% cream</t>
        </is>
      </c>
      <c r="H806" s="2" t="inlineStr">
        <is>
          <t>Silver sulfadiazine 1% cream</t>
        </is>
      </c>
      <c r="I806" s="8" t="inlineStr">
        <is>
          <t>1</t>
        </is>
      </c>
      <c r="J806" s="2" t="inlineStr">
        <is>
          <t>✅ คำตอบที่ถูกต้อง: ข้อ ก. Clobetasol propionate 0.05%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Clobetasol propionate 0.05% cream
🔍 ข้ออื่นผิดเพราะอะไร:
• ข้อ ข. (Ketoconazole 2% shampoo): ข้อนี้ไม่ใช่คำตอบที่ถูกต้องสำหรับภาวะ Dermatologic Disorders เนื่องจากกลไกการออกฤทธิ์, efficacy หรือข้อบ่งใช้ไม่ตรงกับโจทย์ที่กำหนด
• ข้อ ค.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06" s="2" t="n"/>
      <c r="L806" s="2" t="inlineStr">
        <is>
          <t>Dermatologic Disorders</t>
        </is>
      </c>
      <c r="M806" s="2" t="inlineStr">
        <is>
          <t>Clinic</t>
        </is>
      </c>
      <c r="N806" s="2" t="inlineStr">
        <is>
          <t>ข้อ 1 (PLE_CC1_2555 Day 2.md)</t>
        </is>
      </c>
      <c r="O806" s="2" t="inlineStr">
        <is>
          <t>ข้อสอบจริง</t>
        </is>
      </c>
      <c r="P806" s="2" t="inlineStr">
        <is>
          <t>ปี 2555</t>
        </is>
      </c>
    </row>
    <row r="807" ht="13.2" customHeight="1" s="37">
      <c r="A807" s="8" t="inlineStr">
        <is>
          <t>828</t>
        </is>
      </c>
      <c r="B807" s="2" t="inlineStr">
        <is>
          <t>เพิ่มระดับยา Ketoconazole ในเลือด</t>
        </is>
      </c>
      <c r="C807" s="2" t="n"/>
      <c r="D807" s="2" t="inlineStr">
        <is>
          <t>Acyclovir 5% cream</t>
        </is>
      </c>
      <c r="E807" s="2" t="inlineStr">
        <is>
          <t>Silver sulfadiazine 1% cream</t>
        </is>
      </c>
      <c r="F807" s="2" t="inlineStr">
        <is>
          <t>Cetirizine 10 mg OD</t>
        </is>
      </c>
      <c r="G807" s="2" t="inlineStr">
        <is>
          <t>Isotretinoin 10 mg OD</t>
        </is>
      </c>
      <c r="H807" s="2" t="inlineStr">
        <is>
          <t>Terbinafine 1% cream</t>
        </is>
      </c>
      <c r="I807" s="8" t="inlineStr">
        <is>
          <t>1</t>
        </is>
      </c>
      <c r="J807" s="2" t="inlineStr">
        <is>
          <t>✅ คำตอบที่ถูกต้อง: ข้อ ก. Acyclovir 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จ. (Terbinafine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07" s="2" t="n"/>
      <c r="L807" s="2" t="inlineStr">
        <is>
          <t>Dermatologic Disorders</t>
        </is>
      </c>
      <c r="M807" s="2" t="inlineStr">
        <is>
          <t>Clinic</t>
        </is>
      </c>
      <c r="N807" s="2" t="inlineStr">
        <is>
          <t>ข้อ 2 (PLE_CC1_2555 Day 2.md)</t>
        </is>
      </c>
      <c r="O807" s="2" t="inlineStr">
        <is>
          <t>ข้อสอบจริง</t>
        </is>
      </c>
      <c r="P807" s="2" t="inlineStr">
        <is>
          <t>ปี 2555</t>
        </is>
      </c>
    </row>
    <row r="808" ht="13.2" customHeight="1" s="37">
      <c r="A808" s="8" t="inlineStr">
        <is>
          <t>829</t>
        </is>
      </c>
      <c r="B808" s="2" t="inlineStr">
        <is>
          <t>ควรจะแก้ปัญหานี้อย่างไร</t>
        </is>
      </c>
      <c r="C808" s="2" t="n"/>
      <c r="D808" s="2" t="inlineStr">
        <is>
          <t>Naloxone 0.4 mg IV stat</t>
        </is>
      </c>
      <c r="E808" s="2" t="inlineStr">
        <is>
          <t>Flumazenil 0.2 mg IV stat</t>
        </is>
      </c>
      <c r="F808" s="2" t="inlineStr">
        <is>
          <t>Vitamin K1 (Phytomenadione) 10 mg IV slow</t>
        </is>
      </c>
      <c r="G808" s="2" t="inlineStr">
        <is>
          <t>Sodium thiosulfate 25% 50 mL IV</t>
        </is>
      </c>
      <c r="H808" s="2" t="inlineStr">
        <is>
          <t>Calcium disodium EDTA 1 g IV</t>
        </is>
      </c>
      <c r="I808" s="8" t="inlineStr">
        <is>
          <t>1</t>
        </is>
      </c>
      <c r="J8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08" s="2" t="n"/>
      <c r="L808" s="2" t="inlineStr">
        <is>
          <t>General Therapeutics</t>
        </is>
      </c>
      <c r="M808" s="2" t="inlineStr">
        <is>
          <t>Clinic</t>
        </is>
      </c>
      <c r="N808" s="2" t="inlineStr">
        <is>
          <t>ข้อ 5 (PLE_CC1_2555 Day 2.md)</t>
        </is>
      </c>
      <c r="O808" s="2" t="inlineStr">
        <is>
          <t>ข้อสอบจริง</t>
        </is>
      </c>
      <c r="P808" s="2" t="inlineStr">
        <is>
          <t>ปี 2555</t>
        </is>
      </c>
    </row>
    <row r="809" ht="13.2" customHeight="1" s="37">
      <c r="A809" s="8" t="inlineStr">
        <is>
          <t>830</t>
        </is>
      </c>
      <c r="B809" s="2" t="inlineStr">
        <is>
          <t>เปลี่ยน Ketoconazole เป็น fluconazole</t>
        </is>
      </c>
      <c r="C809" s="2" t="n"/>
      <c r="D809" s="2" t="inlineStr">
        <is>
          <t>Nitrofurantoin 100 mg BID</t>
        </is>
      </c>
      <c r="E809" s="2" t="inlineStr">
        <is>
          <t>Tenofovir/Emtricitabine 300/200 mg OD</t>
        </is>
      </c>
      <c r="F809" s="2" t="inlineStr">
        <is>
          <t>Dolutegravir 50 mg OD</t>
        </is>
      </c>
      <c r="G809" s="2" t="inlineStr">
        <is>
          <t>Vancomycin 1 g IV Q12H</t>
        </is>
      </c>
      <c r="H809" s="2" t="inlineStr">
        <is>
          <t>Meropenem 1 g IV Q8H</t>
        </is>
      </c>
      <c r="I809" s="8" t="inlineStr">
        <is>
          <t>1</t>
        </is>
      </c>
      <c r="J809" s="2" t="inlineStr">
        <is>
          <t>✅ คำตอบที่ถูกต้อง: ข้อ ก. Nitrofurantoin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Nitrofurantoin 100 mg BID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9" s="2" t="n"/>
      <c r="L809" s="2" t="inlineStr">
        <is>
          <t>Infectious Diseases</t>
        </is>
      </c>
      <c r="M809" s="2" t="inlineStr">
        <is>
          <t>Clinic</t>
        </is>
      </c>
      <c r="N809" s="2" t="inlineStr">
        <is>
          <t>ข้อ 4 (PLE_CC1_2555 Day 2.md)</t>
        </is>
      </c>
      <c r="O809" s="2" t="inlineStr">
        <is>
          <t>ข้อสอบจริง</t>
        </is>
      </c>
      <c r="P809" s="2" t="inlineStr">
        <is>
          <t>ปี 2555</t>
        </is>
      </c>
    </row>
    <row r="810" ht="13.2" customHeight="1" s="37">
      <c r="A810" s="8" t="inlineStr">
        <is>
          <t>831</t>
        </is>
      </c>
      <c r="B810" s="2" t="inlineStr">
        <is>
          <t>ทำให้ยาออกฤทธิ์นานขึ้น</t>
        </is>
      </c>
      <c r="C810" s="2" t="n"/>
      <c r="D810" s="2" t="inlineStr">
        <is>
          <t>Dimercaprol (BAL) 3 mg/kg IM</t>
        </is>
      </c>
      <c r="E810" s="2" t="inlineStr">
        <is>
          <t>Ethanol 10% IV infusion for Methanol poisoning</t>
        </is>
      </c>
      <c r="F810" s="2" t="inlineStr">
        <is>
          <t>Fomepizole 15 mg/kg IV loading</t>
        </is>
      </c>
      <c r="G810" s="2" t="inlineStr">
        <is>
          <t>N-acetylcysteine (NAC) IV infusion protocol</t>
        </is>
      </c>
      <c r="H810" s="2" t="inlineStr">
        <is>
          <t>Atropine sulfate 2 mg IV Q5-10 min</t>
        </is>
      </c>
      <c r="I810" s="8" t="inlineStr">
        <is>
          <t>1</t>
        </is>
      </c>
      <c r="J8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0" s="2" t="n"/>
      <c r="L810" s="2" t="inlineStr">
        <is>
          <t>General Therapeutics</t>
        </is>
      </c>
      <c r="M810" s="2" t="inlineStr">
        <is>
          <t>Clinic</t>
        </is>
      </c>
      <c r="N810" s="2" t="inlineStr">
        <is>
          <t>ข้อ 1 (PLE_CC1_2555 Day 2.md)</t>
        </is>
      </c>
      <c r="O810" s="2" t="inlineStr">
        <is>
          <t>ข้อสอบจริง</t>
        </is>
      </c>
      <c r="P810" s="2" t="inlineStr">
        <is>
          <t>ปี 2555</t>
        </is>
      </c>
    </row>
    <row r="811" ht="13.2" customHeight="1" s="37">
      <c r="A811" s="8" t="inlineStr">
        <is>
          <t>832</t>
        </is>
      </c>
      <c r="B811" s="2" t="inlineStr">
        <is>
          <t>ยาดูดซึมดีที่ลำไส้เล็ก</t>
        </is>
      </c>
      <c r="C811" s="2" t="n"/>
      <c r="D811" s="2" t="inlineStr">
        <is>
          <t>N-acetylcysteine (NAC) IV infusion protocol</t>
        </is>
      </c>
      <c r="E811" s="2" t="inlineStr">
        <is>
          <t>Atropine sulfate 2 mg IV Q5-10 min</t>
        </is>
      </c>
      <c r="F811" s="2" t="inlineStr">
        <is>
          <t>Pralidoxime (2-PAM) 1-2 g IV over 30 min</t>
        </is>
      </c>
      <c r="G811" s="2" t="inlineStr">
        <is>
          <t>Naloxone 0.4 mg IV stat</t>
        </is>
      </c>
      <c r="H811" s="2" t="inlineStr">
        <is>
          <t>Flumazenil 0.2 mg IV stat</t>
        </is>
      </c>
      <c r="I811" s="8" t="inlineStr">
        <is>
          <t>1</t>
        </is>
      </c>
      <c r="J8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11" s="2" t="n"/>
      <c r="L811" s="2" t="inlineStr">
        <is>
          <t>General Therapeutics</t>
        </is>
      </c>
      <c r="M811" s="2" t="inlineStr">
        <is>
          <t>Clinic</t>
        </is>
      </c>
      <c r="N811" s="2" t="inlineStr">
        <is>
          <t>ข้อ 2 (PLE_CC1_2555 Day 2.md)</t>
        </is>
      </c>
      <c r="O811" s="2" t="inlineStr">
        <is>
          <t>ข้อสอบจริง</t>
        </is>
      </c>
      <c r="P811" s="2" t="inlineStr">
        <is>
          <t>ปี 2555</t>
        </is>
      </c>
    </row>
    <row r="812" ht="13.2" customHeight="1" s="37">
      <c r="A812" s="8" t="inlineStr">
        <is>
          <t>833</t>
        </is>
      </c>
      <c r="B812" s="2" t="inlineStr">
        <is>
          <t>ยาดูดซึมได้ดีขึ้น</t>
        </is>
      </c>
      <c r="C812" s="2" t="n"/>
      <c r="D812" s="2" t="inlineStr">
        <is>
          <t>Naloxone 0.4 mg IV stat</t>
        </is>
      </c>
      <c r="E812" s="2" t="inlineStr">
        <is>
          <t>Flumazenil 0.2 mg IV stat</t>
        </is>
      </c>
      <c r="F812" s="2" t="inlineStr">
        <is>
          <t>Vitamin K1 (Phytomenadione) 10 mg IV slow</t>
        </is>
      </c>
      <c r="G812" s="2" t="inlineStr">
        <is>
          <t>Sodium thiosulfate 25% 50 mL IV</t>
        </is>
      </c>
      <c r="H812" s="2" t="inlineStr">
        <is>
          <t>Calcium disodium EDTA 1 g IV</t>
        </is>
      </c>
      <c r="I812" s="8" t="inlineStr">
        <is>
          <t>1</t>
        </is>
      </c>
      <c r="J8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12" s="2" t="n"/>
      <c r="L812" s="2" t="inlineStr">
        <is>
          <t>General Therapeutics</t>
        </is>
      </c>
      <c r="M812" s="2" t="inlineStr">
        <is>
          <t>Clinic</t>
        </is>
      </c>
      <c r="N812" s="2" t="inlineStr">
        <is>
          <t>ข้อ 3 (PLE_CC1_2555 Day 2.md)</t>
        </is>
      </c>
      <c r="O812" s="2" t="inlineStr">
        <is>
          <t>ข้อสอบจริง</t>
        </is>
      </c>
      <c r="P812" s="2" t="inlineStr">
        <is>
          <t>ปี 2555</t>
        </is>
      </c>
    </row>
    <row r="813" ht="13.2" customHeight="1" s="37">
      <c r="A813" s="8" t="inlineStr">
        <is>
          <t>834</t>
        </is>
      </c>
      <c r="B813" s="2" t="inlineStr">
        <is>
          <t>ยาเป็น acid labile</t>
        </is>
      </c>
      <c r="C813" s="2" t="n"/>
      <c r="D813" s="2" t="inlineStr">
        <is>
          <t>Sodium thiosulfate 25% 50 mL IV</t>
        </is>
      </c>
      <c r="E813" s="2" t="inlineStr">
        <is>
          <t>Calcium disodium EDTA 1 g IV</t>
        </is>
      </c>
      <c r="F813" s="2" t="inlineStr">
        <is>
          <t>Desferrioxamine 1 g IM/IV</t>
        </is>
      </c>
      <c r="G813" s="2" t="inlineStr">
        <is>
          <t>Dimercaprol (BAL) 3 mg/kg IM</t>
        </is>
      </c>
      <c r="H813" s="2" t="inlineStr">
        <is>
          <t>Ethanol 10% IV infusion for Methanol poisoning</t>
        </is>
      </c>
      <c r="I813" s="8" t="inlineStr">
        <is>
          <t>1</t>
        </is>
      </c>
      <c r="J8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3" s="2" t="n"/>
      <c r="L813" s="2" t="inlineStr">
        <is>
          <t>General Therapeutics</t>
        </is>
      </c>
      <c r="M813" s="2" t="inlineStr">
        <is>
          <t>Clinic</t>
        </is>
      </c>
      <c r="N813" s="2" t="inlineStr">
        <is>
          <t>ข้อ 4 (PLE_CC1_2555 Day 2.md)</t>
        </is>
      </c>
      <c r="O813" s="2" t="inlineStr">
        <is>
          <t>ข้อสอบจริง</t>
        </is>
      </c>
      <c r="P813" s="2" t="inlineStr">
        <is>
          <t>ปี 2555</t>
        </is>
      </c>
    </row>
    <row r="814" ht="13.2" customHeight="1" s="37">
      <c r="A814" s="8" t="inlineStr">
        <is>
          <t>835</t>
        </is>
      </c>
      <c r="B814" s="2" t="inlineStr">
        <is>
          <t>Percent labeled amount</t>
        </is>
      </c>
      <c r="C814" s="2" t="n"/>
      <c r="D814" s="2" t="inlineStr">
        <is>
          <t>Dimercaprol (BAL) 3 mg/kg IM</t>
        </is>
      </c>
      <c r="E814" s="2" t="inlineStr">
        <is>
          <t>Ethanol 10% IV infusion for Methanol poisoning</t>
        </is>
      </c>
      <c r="F814" s="2" t="inlineStr">
        <is>
          <t>Fomepizole 15 mg/kg IV loading</t>
        </is>
      </c>
      <c r="G814" s="2" t="inlineStr">
        <is>
          <t>N-acetylcysteine (NAC) IV infusion protocol</t>
        </is>
      </c>
      <c r="H814" s="2" t="inlineStr">
        <is>
          <t>Atropine sulfate 2 mg IV Q5-10 min</t>
        </is>
      </c>
      <c r="I814" s="8" t="inlineStr">
        <is>
          <t>1</t>
        </is>
      </c>
      <c r="J8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4" s="2" t="n"/>
      <c r="L814" s="2" t="inlineStr">
        <is>
          <t>General Therapeutics</t>
        </is>
      </c>
      <c r="M814" s="2" t="inlineStr">
        <is>
          <t>Clinic</t>
        </is>
      </c>
      <c r="N814" s="2" t="inlineStr">
        <is>
          <t>ข้อ 5 (PLE_CC1_2555 Day 2.md)</t>
        </is>
      </c>
      <c r="O814" s="2" t="inlineStr">
        <is>
          <t>ข้อสอบจริง</t>
        </is>
      </c>
      <c r="P814" s="2" t="inlineStr">
        <is>
          <t>ปี 2555</t>
        </is>
      </c>
    </row>
    <row r="815" ht="13.2" customHeight="1" s="37">
      <c r="A815" s="8" t="inlineStr">
        <is>
          <t>836</t>
        </is>
      </c>
      <c r="B815" s="2" t="inlineStr">
        <is>
          <t>อาการแพ้ MCQ 1/2555 by CURx69 page 6</t>
        </is>
      </c>
      <c r="C815" s="2" t="n"/>
      <c r="D815" s="2" t="inlineStr">
        <is>
          <t>N-acetylcysteine (NAC) IV infusion protocol</t>
        </is>
      </c>
      <c r="E815" s="2" t="inlineStr">
        <is>
          <t>Atropine sulfate 2 mg IV Q5-10 min</t>
        </is>
      </c>
      <c r="F815" s="2" t="inlineStr">
        <is>
          <t>Pralidoxime (2-PAM) 1-2 g IV over 30 min</t>
        </is>
      </c>
      <c r="G815" s="2" t="inlineStr">
        <is>
          <t>Naloxone 0.4 mg IV stat</t>
        </is>
      </c>
      <c r="H815" s="2" t="inlineStr">
        <is>
          <t>Flumazenil 0.2 mg IV stat</t>
        </is>
      </c>
      <c r="I815" s="8" t="inlineStr">
        <is>
          <t>1</t>
        </is>
      </c>
      <c r="J8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15" s="2" t="n"/>
      <c r="L815" s="2" t="inlineStr">
        <is>
          <t>General Therapeutics</t>
        </is>
      </c>
      <c r="M815" s="2" t="inlineStr">
        <is>
          <t>Clinic</t>
        </is>
      </c>
      <c r="N815" s="2" t="inlineStr">
        <is>
          <t>ข้อ 3 (PLE_CC1_2555 Day 2.md)</t>
        </is>
      </c>
      <c r="O815" s="2" t="inlineStr">
        <is>
          <t>ข้อสอบจริง</t>
        </is>
      </c>
      <c r="P815" s="2" t="inlineStr">
        <is>
          <t>ปี 2555</t>
        </is>
      </c>
    </row>
    <row r="816" ht="13.2" customHeight="1" s="37">
      <c r="A816" s="8" t="inlineStr">
        <is>
          <t>837</t>
        </is>
      </c>
      <c r="B816" s="2" t="inlineStr">
        <is>
          <t>เก็บผลิตภัณฑ์เอาไว้ใช้ในครั้งต่อไปได้อีกในคราวหน้า หากใช้ไม่หมด</t>
        </is>
      </c>
      <c r="C816" s="2" t="n"/>
      <c r="D816" s="2" t="inlineStr">
        <is>
          <t>Naloxone 0.4 mg IV stat</t>
        </is>
      </c>
      <c r="E816" s="2" t="inlineStr">
        <is>
          <t>Flumazenil 0.2 mg IV stat</t>
        </is>
      </c>
      <c r="F816" s="2" t="inlineStr">
        <is>
          <t>Vitamin K1 (Phytomenadione) 10 mg IV slow</t>
        </is>
      </c>
      <c r="G816" s="2" t="inlineStr">
        <is>
          <t>Sodium thiosulfate 25% 50 mL IV</t>
        </is>
      </c>
      <c r="H816" s="2" t="inlineStr">
        <is>
          <t>Calcium disodium EDTA 1 g IV</t>
        </is>
      </c>
      <c r="I816" s="8" t="inlineStr">
        <is>
          <t>1</t>
        </is>
      </c>
      <c r="J8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16" s="2" t="n"/>
      <c r="L816" s="2" t="inlineStr">
        <is>
          <t>General Therapeutics</t>
        </is>
      </c>
      <c r="M816" s="2" t="inlineStr">
        <is>
          <t>Clinic</t>
        </is>
      </c>
      <c r="N816" s="2" t="inlineStr">
        <is>
          <t>ข้อ 3 (PLE_CC1_2555 Day 2.md)</t>
        </is>
      </c>
      <c r="O816" s="2" t="inlineStr">
        <is>
          <t>ข้อสอบจริง</t>
        </is>
      </c>
      <c r="P816" s="2" t="inlineStr">
        <is>
          <t>ปี 2555</t>
        </is>
      </c>
    </row>
    <row r="817" ht="13.2" customHeight="1" s="37">
      <c r="A817" s="8" t="inlineStr">
        <is>
          <t>838</t>
        </is>
      </c>
      <c r="B817" s="2" t="inlineStr">
        <is>
          <t>เมื่อใช้ผลิตภัณฑ์หมดแล้ว ให้เก็บตัวอย่างไว้เพื่อขอซื้อเพื่อแบ่งยาในครั้งต่อไป</t>
        </is>
      </c>
      <c r="C817" s="2" t="n"/>
      <c r="D817" s="2" t="inlineStr">
        <is>
          <t>Sodium thiosulfate 25% 50 mL IV</t>
        </is>
      </c>
      <c r="E817" s="2" t="inlineStr">
        <is>
          <t>Calcium disodium EDTA 1 g IV</t>
        </is>
      </c>
      <c r="F817" s="2" t="inlineStr">
        <is>
          <t>Desferrioxamine 1 g IM/IV</t>
        </is>
      </c>
      <c r="G817" s="2" t="inlineStr">
        <is>
          <t>Dimercaprol (BAL) 3 mg/kg IM</t>
        </is>
      </c>
      <c r="H817" s="2" t="inlineStr">
        <is>
          <t>Ethanol 10% IV infusion for Methanol poisoning</t>
        </is>
      </c>
      <c r="I817" s="8" t="inlineStr">
        <is>
          <t>1</t>
        </is>
      </c>
      <c r="J8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17" s="2" t="n"/>
      <c r="L817" s="2" t="inlineStr">
        <is>
          <t>General Therapeutics</t>
        </is>
      </c>
      <c r="M817" s="2" t="inlineStr">
        <is>
          <t>Clinic</t>
        </is>
      </c>
      <c r="N817" s="2" t="inlineStr">
        <is>
          <t>ข้อ 5 (PLE_CC1_2555 Day 2.md)</t>
        </is>
      </c>
      <c r="O817" s="2" t="inlineStr">
        <is>
          <t>ข้อสอบจริง</t>
        </is>
      </c>
      <c r="P817" s="2" t="inlineStr">
        <is>
          <t>ปี 2555</t>
        </is>
      </c>
    </row>
    <row r="818" ht="13.2" customHeight="1" s="37">
      <c r="A818" s="8" t="inlineStr">
        <is>
          <t>839</t>
        </is>
      </c>
      <c r="B818" s="2" t="inlineStr">
        <is>
          <t>ต่อมาผู้ป่วยรายนี้ ตายังไม่หายแดง แต่มีขี้ตาสีขาวใส น ้าตาไหลมาก ไม่ค่อยมีอาการคัน และเยื่อบุตาไม่บวม ผู้ป่วย บอกเพิ่มเติมว่า ลูกชายที่บ้านก็มีอาการดังกล่าวด้วย ท่านคิดว่าน่าจะเกิดจากสาเหตุอะไร</t>
        </is>
      </c>
      <c r="C818" s="2" t="n"/>
      <c r="D818" s="2" t="inlineStr">
        <is>
          <t>Dimercaprol (BAL) 3 mg/kg IM</t>
        </is>
      </c>
      <c r="E818" s="2" t="inlineStr">
        <is>
          <t>Ethanol 10% IV infusion for Methanol poisoning</t>
        </is>
      </c>
      <c r="F818" s="2" t="inlineStr">
        <is>
          <t>Fomepizole 15 mg/kg IV loading</t>
        </is>
      </c>
      <c r="G818" s="2" t="inlineStr">
        <is>
          <t>N-acetylcysteine (NAC) IV infusion protocol</t>
        </is>
      </c>
      <c r="H818" s="2" t="inlineStr">
        <is>
          <t>Atropine sulfate 2 mg IV Q5-10 min</t>
        </is>
      </c>
      <c r="I818" s="8" t="inlineStr">
        <is>
          <t>1</t>
        </is>
      </c>
      <c r="J8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18" s="2" t="n"/>
      <c r="L818" s="2" t="inlineStr">
        <is>
          <t>General Therapeutics</t>
        </is>
      </c>
      <c r="M818" s="2" t="inlineStr">
        <is>
          <t>Clinic</t>
        </is>
      </c>
      <c r="N818" s="2" t="inlineStr">
        <is>
          <t>ข้อ 4 (PLE_CC1_2555 Day 2.md)</t>
        </is>
      </c>
      <c r="O818" s="2" t="inlineStr">
        <is>
          <t>ข้อสอบจริง</t>
        </is>
      </c>
      <c r="P818" s="2" t="inlineStr">
        <is>
          <t>ปี 2555</t>
        </is>
      </c>
    </row>
    <row r="819" ht="13.2" customHeight="1" s="37">
      <c r="A819" s="8" t="inlineStr">
        <is>
          <t>840</t>
        </is>
      </c>
      <c r="B819" s="2" t="inlineStr">
        <is>
          <t>จากอาการข้างต้น ยาใดที่ไม่ควรจ่ายให้กับผู้ป่วยรายนี้</t>
        </is>
      </c>
      <c r="C819" s="2" t="n"/>
      <c r="D819" s="2" t="inlineStr">
        <is>
          <t>N-acetylcysteine (NAC) IV infusion protocol</t>
        </is>
      </c>
      <c r="E819" s="2" t="inlineStr">
        <is>
          <t>Atropine sulfate 2 mg IV Q5-10 min</t>
        </is>
      </c>
      <c r="F819" s="2" t="inlineStr">
        <is>
          <t>Pralidoxime (2-PAM) 1-2 g IV over 30 min</t>
        </is>
      </c>
      <c r="G819" s="2" t="inlineStr">
        <is>
          <t>Naloxone 0.4 mg IV stat</t>
        </is>
      </c>
      <c r="H819" s="2" t="inlineStr">
        <is>
          <t>Flumazenil 0.2 mg IV stat</t>
        </is>
      </c>
      <c r="I819" s="8" t="inlineStr">
        <is>
          <t>1</t>
        </is>
      </c>
      <c r="J8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19" s="2" t="n"/>
      <c r="L819" s="2" t="inlineStr">
        <is>
          <t>General Therapeutics</t>
        </is>
      </c>
      <c r="M819" s="2" t="inlineStr">
        <is>
          <t>Clinic</t>
        </is>
      </c>
      <c r="N819" s="2" t="inlineStr">
        <is>
          <t>ข้อ 5 (PLE_CC1_2555 Day 2.md)</t>
        </is>
      </c>
      <c r="O819" s="2" t="inlineStr">
        <is>
          <t>ข้อสอบจริง</t>
        </is>
      </c>
      <c r="P819" s="2" t="inlineStr">
        <is>
          <t>ปี 2555</t>
        </is>
      </c>
    </row>
    <row r="820" ht="13.2" customHeight="1" s="37">
      <c r="A820" s="8" t="inlineStr">
        <is>
          <t>841</t>
        </is>
      </c>
      <c r="B820" s="2" t="inlineStr">
        <is>
          <t>Artificial tear</t>
        </is>
      </c>
      <c r="C820" s="2" t="n"/>
      <c r="D820" s="2" t="inlineStr">
        <is>
          <t>Naloxone 0.4 mg IV stat</t>
        </is>
      </c>
      <c r="E820" s="2" t="inlineStr">
        <is>
          <t>Flumazenil 0.2 mg IV stat</t>
        </is>
      </c>
      <c r="F820" s="2" t="inlineStr">
        <is>
          <t>Vitamin K1 (Phytomenadione) 10 mg IV slow</t>
        </is>
      </c>
      <c r="G820" s="2" t="inlineStr">
        <is>
          <t>Sodium thiosulfate 25% 50 mL IV</t>
        </is>
      </c>
      <c r="H820" s="2" t="inlineStr">
        <is>
          <t>Calcium disodium EDTA 1 g IV</t>
        </is>
      </c>
      <c r="I820" s="8" t="inlineStr">
        <is>
          <t>1</t>
        </is>
      </c>
      <c r="J8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20" s="2" t="n"/>
      <c r="L820" s="2" t="inlineStr">
        <is>
          <t>General Therapeutics</t>
        </is>
      </c>
      <c r="M820" s="2" t="inlineStr">
        <is>
          <t>Clinic</t>
        </is>
      </c>
      <c r="N820" s="2" t="inlineStr">
        <is>
          <t>ข้อ 1 (PLE_CC1_2555 Day 2.md)</t>
        </is>
      </c>
      <c r="O820" s="2" t="inlineStr">
        <is>
          <t>ข้อสอบจริง</t>
        </is>
      </c>
      <c r="P820" s="2" t="inlineStr">
        <is>
          <t>ปี 2555</t>
        </is>
      </c>
    </row>
    <row r="821" ht="13.2" customHeight="1" s="37">
      <c r="A821" s="8" t="inlineStr">
        <is>
          <t>842</t>
        </is>
      </c>
      <c r="B821" s="2" t="inlineStr">
        <is>
          <t>Dexamethasone eyedrop</t>
        </is>
      </c>
      <c r="C821" s="2" t="n"/>
      <c r="D821" s="2" t="inlineStr">
        <is>
          <t>Epinephrine 0.3 mg IM stat</t>
        </is>
      </c>
      <c r="E821" s="2" t="inlineStr">
        <is>
          <t>Dexamethasone 4 mg IV</t>
        </is>
      </c>
      <c r="F821" s="2" t="inlineStr">
        <is>
          <t>Prednisolone 20 mg OD</t>
        </is>
      </c>
      <c r="G821" s="2" t="inlineStr">
        <is>
          <t>Montelukast 10 mg HS</t>
        </is>
      </c>
      <c r="H821" s="2" t="inlineStr">
        <is>
          <t>Hydroxyzine 25 mg HS</t>
        </is>
      </c>
      <c r="I821" s="8" t="inlineStr">
        <is>
          <t>1</t>
        </is>
      </c>
      <c r="J821"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21" s="2" t="n"/>
      <c r="L821" s="2" t="inlineStr">
        <is>
          <t>Allergy &amp; Immunology</t>
        </is>
      </c>
      <c r="M821" s="2" t="inlineStr">
        <is>
          <t>Clinic</t>
        </is>
      </c>
      <c r="N821" s="2" t="inlineStr">
        <is>
          <t>ข้อ 3 (PLE_CC1_2555 Day 2.md)</t>
        </is>
      </c>
      <c r="O821" s="2" t="inlineStr">
        <is>
          <t>ข้อสอบจริง</t>
        </is>
      </c>
      <c r="P821" s="2" t="inlineStr">
        <is>
          <t>ปี 2555</t>
        </is>
      </c>
    </row>
    <row r="822" ht="13.2" customHeight="1" s="37">
      <c r="A822" s="8" t="inlineStr">
        <is>
          <t>843</t>
        </is>
      </c>
      <c r="B822" s="2" t="inlineStr">
        <is>
          <t>ยาใดที่สามารถทำให้เกิด rhinitis medicamentosa</t>
        </is>
      </c>
      <c r="C822" s="2" t="n"/>
      <c r="D822" s="2" t="inlineStr">
        <is>
          <t>Dimercaprol (BAL) 3 mg/kg IM</t>
        </is>
      </c>
      <c r="E822" s="2" t="inlineStr">
        <is>
          <t>Ethanol 10% IV infusion for Methanol poisoning</t>
        </is>
      </c>
      <c r="F822" s="2" t="inlineStr">
        <is>
          <t>Fomepizole 15 mg/kg IV loading</t>
        </is>
      </c>
      <c r="G822" s="2" t="inlineStr">
        <is>
          <t>N-acetylcysteine (NAC) IV infusion protocol</t>
        </is>
      </c>
      <c r="H822" s="2" t="inlineStr">
        <is>
          <t>Atropine sulfate 2 mg IV Q5-10 min</t>
        </is>
      </c>
      <c r="I822" s="8" t="inlineStr">
        <is>
          <t>1</t>
        </is>
      </c>
      <c r="J8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2" s="2" t="n"/>
      <c r="L822" s="2" t="inlineStr">
        <is>
          <t>General Therapeutics</t>
        </is>
      </c>
      <c r="M822" s="2" t="inlineStr">
        <is>
          <t>Clinic</t>
        </is>
      </c>
      <c r="N822" s="2" t="inlineStr">
        <is>
          <t>ข้อ 6 (PLE_CC1_2555 Day 2.md)</t>
        </is>
      </c>
      <c r="O822" s="2" t="inlineStr">
        <is>
          <t>ข้อสอบจริง</t>
        </is>
      </c>
      <c r="P822" s="2" t="inlineStr">
        <is>
          <t>ปี 2555</t>
        </is>
      </c>
    </row>
    <row r="823" ht="13.2" customHeight="1" s="37">
      <c r="A823" s="8" t="inlineStr">
        <is>
          <t>844</t>
        </is>
      </c>
      <c r="B823" s="2" t="inlineStr">
        <is>
          <t>Phenylephrine + …</t>
        </is>
      </c>
      <c r="C823" s="2" t="n"/>
      <c r="D823" s="2" t="inlineStr">
        <is>
          <t>N-acetylcysteine (NAC) IV infusion protocol</t>
        </is>
      </c>
      <c r="E823" s="2" t="inlineStr">
        <is>
          <t>Atropine sulfate 2 mg IV Q5-10 min</t>
        </is>
      </c>
      <c r="F823" s="2" t="inlineStr">
        <is>
          <t>Pralidoxime (2-PAM) 1-2 g IV over 30 min</t>
        </is>
      </c>
      <c r="G823" s="2" t="inlineStr">
        <is>
          <t>Naloxone 0.4 mg IV stat</t>
        </is>
      </c>
      <c r="H823" s="2" t="inlineStr">
        <is>
          <t>Flumazenil 0.2 mg IV stat</t>
        </is>
      </c>
      <c r="I823" s="8" t="inlineStr">
        <is>
          <t>1</t>
        </is>
      </c>
      <c r="J8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23" s="2" t="n"/>
      <c r="L823" s="2" t="inlineStr">
        <is>
          <t>General Therapeutics</t>
        </is>
      </c>
      <c r="M823" s="2" t="inlineStr">
        <is>
          <t>Clinic</t>
        </is>
      </c>
      <c r="N823" s="2" t="inlineStr">
        <is>
          <t>ข้อ 2 (PLE_CC1_2555 Day 2.md)</t>
        </is>
      </c>
      <c r="O823" s="2" t="inlineStr">
        <is>
          <t>ข้อสอบจริง</t>
        </is>
      </c>
      <c r="P823" s="2" t="inlineStr">
        <is>
          <t>ปี 2555</t>
        </is>
      </c>
    </row>
    <row r="824" ht="13.2" customHeight="1" s="37">
      <c r="A824" s="8" t="inlineStr">
        <is>
          <t>845</t>
        </is>
      </c>
      <c r="B824" s="2" t="inlineStr">
        <is>
          <t>... MCQ 1/2555 by CURx69 page 7</t>
        </is>
      </c>
      <c r="C824" s="2" t="n"/>
      <c r="D824" s="2" t="inlineStr">
        <is>
          <t>Naloxone 0.4 mg IV stat</t>
        </is>
      </c>
      <c r="E824" s="2" t="inlineStr">
        <is>
          <t>Flumazenil 0.2 mg IV stat</t>
        </is>
      </c>
      <c r="F824" s="2" t="inlineStr">
        <is>
          <t>Vitamin K1 (Phytomenadione) 10 mg IV slow</t>
        </is>
      </c>
      <c r="G824" s="2" t="inlineStr">
        <is>
          <t>Sodium thiosulfate 25% 50 mL IV</t>
        </is>
      </c>
      <c r="H824" s="2" t="inlineStr">
        <is>
          <t>Calcium disodium EDTA 1 g IV</t>
        </is>
      </c>
      <c r="I824" s="8" t="inlineStr">
        <is>
          <t>1</t>
        </is>
      </c>
      <c r="J8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24" s="2" t="n"/>
      <c r="L824" s="2" t="inlineStr">
        <is>
          <t>General Therapeutics</t>
        </is>
      </c>
      <c r="M824" s="2" t="inlineStr">
        <is>
          <t>Clinic</t>
        </is>
      </c>
      <c r="N824" s="2" t="inlineStr">
        <is>
          <t>ข้อ 5 (PLE_CC1_2555 Day 2.md)</t>
        </is>
      </c>
      <c r="O824" s="2" t="inlineStr">
        <is>
          <t>ข้อสอบจริง</t>
        </is>
      </c>
      <c r="P824" s="2" t="inlineStr">
        <is>
          <t>ปี 2555</t>
        </is>
      </c>
    </row>
    <row r="825" ht="13.2" customHeight="1" s="37">
      <c r="A825" s="8" t="inlineStr">
        <is>
          <t>846</t>
        </is>
      </c>
      <c r="B825" s="2" t="inlineStr">
        <is>
          <t>วันเดือนปี ที่ทำการวิเคราะห์ lot นี้</t>
        </is>
      </c>
      <c r="C825" s="2" t="n"/>
      <c r="D825" s="2" t="inlineStr">
        <is>
          <t>Sodium thiosulfate 25% 50 mL IV</t>
        </is>
      </c>
      <c r="E825" s="2" t="inlineStr">
        <is>
          <t>Calcium disodium EDTA 1 g IV</t>
        </is>
      </c>
      <c r="F825" s="2" t="inlineStr">
        <is>
          <t>Desferrioxamine 1 g IM/IV</t>
        </is>
      </c>
      <c r="G825" s="2" t="inlineStr">
        <is>
          <t>Dimercaprol (BAL) 3 mg/kg IM</t>
        </is>
      </c>
      <c r="H825" s="2" t="inlineStr">
        <is>
          <t>Ethanol 10% IV infusion for Methanol poisoning</t>
        </is>
      </c>
      <c r="I825" s="8" t="inlineStr">
        <is>
          <t>1</t>
        </is>
      </c>
      <c r="J8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5" s="2" t="n"/>
      <c r="L825" s="2" t="inlineStr">
        <is>
          <t>General Therapeutics</t>
        </is>
      </c>
      <c r="M825" s="2" t="inlineStr">
        <is>
          <t>Clinic</t>
        </is>
      </c>
      <c r="N825" s="2" t="inlineStr">
        <is>
          <t>ข้อ 3 (PLE_CC1_2555 Day 2.md)</t>
        </is>
      </c>
      <c r="O825" s="2" t="inlineStr">
        <is>
          <t>ข้อสอบจริง</t>
        </is>
      </c>
      <c r="P825" s="2" t="inlineStr">
        <is>
          <t>ปี 2555</t>
        </is>
      </c>
    </row>
    <row r="826" ht="13.2" customHeight="1" s="37">
      <c r="A826" s="8" t="inlineStr">
        <is>
          <t>847</t>
        </is>
      </c>
      <c r="B826" s="2" t="inlineStr">
        <is>
          <t>วันเดือนปี หรืออักษรแสดงวันที่วิเคราะห์หรือผลิต</t>
        </is>
      </c>
      <c r="C826" s="2" t="n"/>
      <c r="D826" s="2" t="inlineStr">
        <is>
          <t>Dimercaprol (BAL) 3 mg/kg IM</t>
        </is>
      </c>
      <c r="E826" s="2" t="inlineStr">
        <is>
          <t>Ethanol 10% IV infusion for Methanol poisoning</t>
        </is>
      </c>
      <c r="F826" s="2" t="inlineStr">
        <is>
          <t>Fomepizole 15 mg/kg IV loading</t>
        </is>
      </c>
      <c r="G826" s="2" t="inlineStr">
        <is>
          <t>N-acetylcysteine (NAC) IV infusion protocol</t>
        </is>
      </c>
      <c r="H826" s="2" t="inlineStr">
        <is>
          <t>Atropine sulfate 2 mg IV Q5-10 min</t>
        </is>
      </c>
      <c r="I826" s="8" t="inlineStr">
        <is>
          <t>1</t>
        </is>
      </c>
      <c r="J8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6" s="2" t="n"/>
      <c r="L826" s="2" t="inlineStr">
        <is>
          <t>General Therapeutics</t>
        </is>
      </c>
      <c r="M826" s="2" t="inlineStr">
        <is>
          <t>Clinic</t>
        </is>
      </c>
      <c r="N826" s="2" t="inlineStr">
        <is>
          <t>ข้อ 4 (PLE_CC1_2555 Day 2.md)</t>
        </is>
      </c>
      <c r="O826" s="2" t="inlineStr">
        <is>
          <t>ข้อสอบจริง</t>
        </is>
      </c>
      <c r="P826" s="2" t="inlineStr">
        <is>
          <t>ปี 2555</t>
        </is>
      </c>
    </row>
    <row r="827" ht="13.2" customHeight="1" s="37">
      <c r="A827" s="8" t="inlineStr">
        <is>
          <t>848</t>
        </is>
      </c>
      <c r="B827" s="2" t="inlineStr">
        <is>
          <t>เก็บไว้ในอุณหภูมิห้อง หลีกเลี่ยงแสงแดด</t>
        </is>
      </c>
      <c r="C827" s="2" t="n"/>
      <c r="D827" s="2" t="inlineStr">
        <is>
          <t>N-acetylcysteine (NAC) IV infusion protocol</t>
        </is>
      </c>
      <c r="E827" s="2" t="inlineStr">
        <is>
          <t>Atropine sulfate 2 mg IV Q5-10 min</t>
        </is>
      </c>
      <c r="F827" s="2" t="inlineStr">
        <is>
          <t>Pralidoxime (2-PAM) 1-2 g IV over 30 min</t>
        </is>
      </c>
      <c r="G827" s="2" t="inlineStr">
        <is>
          <t>Naloxone 0.4 mg IV stat</t>
        </is>
      </c>
      <c r="H827" s="2" t="inlineStr">
        <is>
          <t>Flumazenil 0.2 mg IV stat</t>
        </is>
      </c>
      <c r="I827" s="8" t="inlineStr">
        <is>
          <t>1</t>
        </is>
      </c>
      <c r="J8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27" s="2" t="n"/>
      <c r="L827" s="2" t="inlineStr">
        <is>
          <t>General Therapeutics</t>
        </is>
      </c>
      <c r="M827" s="2" t="inlineStr">
        <is>
          <t>Clinic</t>
        </is>
      </c>
      <c r="N827" s="2" t="inlineStr">
        <is>
          <t>ข้อ 1 (PLE_CC1_2555 Day 2.md)</t>
        </is>
      </c>
      <c r="O827" s="2" t="inlineStr">
        <is>
          <t>ข้อสอบจริง</t>
        </is>
      </c>
      <c r="P827" s="2" t="inlineStr">
        <is>
          <t>ปี 2555</t>
        </is>
      </c>
    </row>
    <row r="828" ht="13.2" customHeight="1" s="37">
      <c r="A828" s="8" t="inlineStr">
        <is>
          <t>849</t>
        </is>
      </c>
      <c r="B828" s="2" t="inlineStr">
        <is>
          <t>แช่เย็นไว้ โดยเก็บไว้ตรงฝาเปิดตู้เย็น</t>
        </is>
      </c>
      <c r="C828" s="2" t="n"/>
      <c r="D828" s="2" t="inlineStr">
        <is>
          <t>Naloxone 0.4 mg IV stat</t>
        </is>
      </c>
      <c r="E828" s="2" t="inlineStr">
        <is>
          <t>Flumazenil 0.2 mg IV stat</t>
        </is>
      </c>
      <c r="F828" s="2" t="inlineStr">
        <is>
          <t>Vitamin K1 (Phytomenadione) 10 mg IV slow</t>
        </is>
      </c>
      <c r="G828" s="2" t="inlineStr">
        <is>
          <t>Sodium thiosulfate 25% 50 mL IV</t>
        </is>
      </c>
      <c r="H828" s="2" t="inlineStr">
        <is>
          <t>Calcium disodium EDTA 1 g IV</t>
        </is>
      </c>
      <c r="I828" s="8" t="inlineStr">
        <is>
          <t>1</t>
        </is>
      </c>
      <c r="J8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28" s="2" t="n"/>
      <c r="L828" s="2" t="inlineStr">
        <is>
          <t>General Therapeutics</t>
        </is>
      </c>
      <c r="M828" s="2" t="inlineStr">
        <is>
          <t>Clinic</t>
        </is>
      </c>
      <c r="N828" s="2" t="inlineStr">
        <is>
          <t>ข้อ 2 (PLE_CC1_2555 Day 2.md)</t>
        </is>
      </c>
      <c r="O828" s="2" t="inlineStr">
        <is>
          <t>ข้อสอบจริง</t>
        </is>
      </c>
      <c r="P828" s="2" t="inlineStr">
        <is>
          <t>ปี 2555</t>
        </is>
      </c>
    </row>
    <row r="829" ht="13.2" customHeight="1" s="37">
      <c r="A829" s="8" t="inlineStr">
        <is>
          <t>850</t>
        </is>
      </c>
      <c r="B829" s="2" t="inlineStr">
        <is>
          <t>แช่ตู้เย็น โดยเก็บไว้ตรงช่องปกติ</t>
        </is>
      </c>
      <c r="C829" s="2" t="n"/>
      <c r="D829" s="2" t="inlineStr">
        <is>
          <t>Sodium thiosulfate 25% 50 mL IV</t>
        </is>
      </c>
      <c r="E829" s="2" t="inlineStr">
        <is>
          <t>Calcium disodium EDTA 1 g IV</t>
        </is>
      </c>
      <c r="F829" s="2" t="inlineStr">
        <is>
          <t>Desferrioxamine 1 g IM/IV</t>
        </is>
      </c>
      <c r="G829" s="2" t="inlineStr">
        <is>
          <t>Dimercaprol (BAL) 3 mg/kg IM</t>
        </is>
      </c>
      <c r="H829" s="2" t="inlineStr">
        <is>
          <t>Ethanol 10% IV infusion for Methanol poisoning</t>
        </is>
      </c>
      <c r="I829" s="8" t="inlineStr">
        <is>
          <t>1</t>
        </is>
      </c>
      <c r="J8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9" s="2" t="n"/>
      <c r="L829" s="2" t="inlineStr">
        <is>
          <t>General Therapeutics</t>
        </is>
      </c>
      <c r="M829" s="2" t="inlineStr">
        <is>
          <t>Clinic</t>
        </is>
      </c>
      <c r="N829" s="2" t="inlineStr">
        <is>
          <t>ข้อ 3 (PLE_CC1_2555 Day 2.md)</t>
        </is>
      </c>
      <c r="O829" s="2" t="inlineStr">
        <is>
          <t>ข้อสอบจริง</t>
        </is>
      </c>
      <c r="P829" s="2" t="inlineStr">
        <is>
          <t>ปี 2555</t>
        </is>
      </c>
    </row>
    <row r="830" ht="13.2" customHeight="1" s="37">
      <c r="A830" s="8" t="inlineStr">
        <is>
          <t>851</t>
        </is>
      </c>
      <c r="B830" s="2" t="inlineStr">
        <is>
          <t>ระหว่างที่กินยานี้หลีกเลี่ยงรังสี UV</t>
        </is>
      </c>
      <c r="C830" s="2" t="n"/>
      <c r="D830" s="2" t="inlineStr">
        <is>
          <t>Dimercaprol (BAL) 3 mg/kg IM</t>
        </is>
      </c>
      <c r="E830" s="2" t="inlineStr">
        <is>
          <t>Ethanol 10% IV infusion for Methanol poisoning</t>
        </is>
      </c>
      <c r="F830" s="2" t="inlineStr">
        <is>
          <t>Fomepizole 15 mg/kg IV loading</t>
        </is>
      </c>
      <c r="G830" s="2" t="inlineStr">
        <is>
          <t>N-acetylcysteine (NAC) IV infusion protocol</t>
        </is>
      </c>
      <c r="H830" s="2" t="inlineStr">
        <is>
          <t>Atropine sulfate 2 mg IV Q5-10 min</t>
        </is>
      </c>
      <c r="I830" s="8" t="inlineStr">
        <is>
          <t>1</t>
        </is>
      </c>
      <c r="J8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0" s="2" t="n"/>
      <c r="L830" s="2" t="inlineStr">
        <is>
          <t>General Therapeutics</t>
        </is>
      </c>
      <c r="M830" s="2" t="inlineStr">
        <is>
          <t>Clinic</t>
        </is>
      </c>
      <c r="N830" s="2" t="inlineStr">
        <is>
          <t>ข้อ 2 (PLE_CC1_2555 Day 2.md)</t>
        </is>
      </c>
      <c r="O830" s="2" t="inlineStr">
        <is>
          <t>ข้อสอบจริง</t>
        </is>
      </c>
      <c r="P830" s="2" t="inlineStr">
        <is>
          <t>ปี 2555</t>
        </is>
      </c>
    </row>
    <row r="831" ht="13.2" customHeight="1" s="37">
      <c r="A831" s="8" t="inlineStr">
        <is>
          <t>852</t>
        </is>
      </c>
      <c r="B831" s="2" t="inlineStr">
        <is>
          <t>ควรกินยาก่อนอาหารเช้า-ก่อนนอน</t>
        </is>
      </c>
      <c r="C831" s="2" t="n"/>
      <c r="D831" s="2" t="inlineStr">
        <is>
          <t>N-acetylcysteine (NAC) IV infusion protocol</t>
        </is>
      </c>
      <c r="E831" s="2" t="inlineStr">
        <is>
          <t>Atropine sulfate 2 mg IV Q5-10 min</t>
        </is>
      </c>
      <c r="F831" s="2" t="inlineStr">
        <is>
          <t>Pralidoxime (2-PAM) 1-2 g IV over 30 min</t>
        </is>
      </c>
      <c r="G831" s="2" t="inlineStr">
        <is>
          <t>Naloxone 0.4 mg IV stat</t>
        </is>
      </c>
      <c r="H831" s="2" t="inlineStr">
        <is>
          <t>Flumazenil 0.2 mg IV stat</t>
        </is>
      </c>
      <c r="I831" s="8" t="inlineStr">
        <is>
          <t>1</t>
        </is>
      </c>
      <c r="J8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31" s="2" t="n"/>
      <c r="L831" s="2" t="inlineStr">
        <is>
          <t>General Therapeutics</t>
        </is>
      </c>
      <c r="M831" s="2" t="inlineStr">
        <is>
          <t>Clinic</t>
        </is>
      </c>
      <c r="N831" s="2" t="inlineStr">
        <is>
          <t>ข้อ 3 (PLE_CC1_2555 Day 2.md)</t>
        </is>
      </c>
      <c r="O831" s="2" t="inlineStr">
        <is>
          <t>ข้อสอบจริง</t>
        </is>
      </c>
      <c r="P831" s="2" t="inlineStr">
        <is>
          <t>ปี 2555</t>
        </is>
      </c>
    </row>
    <row r="832" ht="13.2" customHeight="1" s="37">
      <c r="A832" s="8" t="inlineStr">
        <is>
          <t>853</t>
        </is>
      </c>
      <c r="B832" s="2" t="inlineStr">
        <is>
          <t>สาเหตุของอาการชัก ยกเว้น</t>
        </is>
      </c>
      <c r="C832" s="2" t="n"/>
      <c r="D832" s="2" t="inlineStr">
        <is>
          <t>Donepezil 5 mg HS</t>
        </is>
      </c>
      <c r="E832" s="2" t="inlineStr">
        <is>
          <t>Alteplase (rtPA) 0.9 mg/kg IV</t>
        </is>
      </c>
      <c r="F832" s="2" t="inlineStr">
        <is>
          <t>Phenytoin 100 mg TID</t>
        </is>
      </c>
      <c r="G832" s="2" t="inlineStr">
        <is>
          <t>Sodium valproate 200 mg TID</t>
        </is>
      </c>
      <c r="H832" s="2" t="inlineStr">
        <is>
          <t>Carbamazepine 200 mg BID</t>
        </is>
      </c>
      <c r="I832" s="8" t="inlineStr">
        <is>
          <t>1</t>
        </is>
      </c>
      <c r="J832" s="2" t="inlineStr">
        <is>
          <t>✅ คำตอบที่ถูกต้อง: ข้อ ก. Donepezil 5 mg HS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Donepezil 5 mg HS การเลือก Donepezil 5 mg HS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(Alteplase (rtPA) 0.9 mg/kg IV): ข้อนี้ไม่ใช่คำตอบที่ถูกต้องสำหรับภาวะ Neurologic Disorders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2" s="2" t="n"/>
      <c r="L832" s="2" t="inlineStr">
        <is>
          <t>Neurologic Disorders</t>
        </is>
      </c>
      <c r="M832" s="2" t="inlineStr">
        <is>
          <t>Clinic</t>
        </is>
      </c>
      <c r="N832" s="2" t="inlineStr">
        <is>
          <t>ข้อ 2 (PLE_CC1_2555 Day 2.md)</t>
        </is>
      </c>
      <c r="O832" s="2" t="inlineStr">
        <is>
          <t>ข้อสอบจริง</t>
        </is>
      </c>
      <c r="P832" s="2" t="inlineStr">
        <is>
          <t>ปี 2555</t>
        </is>
      </c>
    </row>
    <row r="833" ht="13.2" customHeight="1" s="37">
      <c r="A833" s="8" t="inlineStr">
        <is>
          <t>854</t>
        </is>
      </c>
      <c r="B833" s="2" t="inlineStr">
        <is>
          <t>ไข้สูงในเด็กเล็ก</t>
        </is>
      </c>
      <c r="C833" s="2" t="n"/>
      <c r="D833" s="2" t="inlineStr">
        <is>
          <t>Sodium thiosulfate 25% 50 mL IV</t>
        </is>
      </c>
      <c r="E833" s="2" t="inlineStr">
        <is>
          <t>Calcium disodium EDTA 1 g IV</t>
        </is>
      </c>
      <c r="F833" s="2" t="inlineStr">
        <is>
          <t>Desferrioxamine 1 g IM/IV</t>
        </is>
      </c>
      <c r="G833" s="2" t="inlineStr">
        <is>
          <t>Dimercaprol (BAL) 3 mg/kg IM</t>
        </is>
      </c>
      <c r="H833" s="2" t="inlineStr">
        <is>
          <t>Ethanol 10% IV infusion for Methanol poisoning</t>
        </is>
      </c>
      <c r="I833" s="8" t="inlineStr">
        <is>
          <t>1</t>
        </is>
      </c>
      <c r="J8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3" s="2" t="n"/>
      <c r="L833" s="2" t="inlineStr">
        <is>
          <t>General Therapeutics</t>
        </is>
      </c>
      <c r="M833" s="2" t="inlineStr">
        <is>
          <t>Clinic</t>
        </is>
      </c>
      <c r="N833" s="2" t="inlineStr">
        <is>
          <t>ข้อ 5 (PLE_CC1_2555 Day 2.md)</t>
        </is>
      </c>
      <c r="O833" s="2" t="inlineStr">
        <is>
          <t>ข้อสอบจริง</t>
        </is>
      </c>
      <c r="P833" s="2" t="inlineStr">
        <is>
          <t>ปี 2555</t>
        </is>
      </c>
    </row>
    <row r="834" ht="13.2" customHeight="1" s="37">
      <c r="A834" s="8" t="inlineStr">
        <is>
          <t>855</t>
        </is>
      </c>
      <c r="B834" s="2" t="inlineStr">
        <is>
          <t>จับกับ Na Channel ใน inactivated state</t>
        </is>
      </c>
      <c r="C834" s="2" t="n"/>
      <c r="D834" s="2" t="inlineStr">
        <is>
          <t>Dimercaprol (BAL) 3 mg/kg IM</t>
        </is>
      </c>
      <c r="E834" s="2" t="inlineStr">
        <is>
          <t>Ethanol 10% IV infusion for Methanol poisoning</t>
        </is>
      </c>
      <c r="F834" s="2" t="inlineStr">
        <is>
          <t>Fomepizole 15 mg/kg IV loading</t>
        </is>
      </c>
      <c r="G834" s="2" t="inlineStr">
        <is>
          <t>N-acetylcysteine (NAC) IV infusion protocol</t>
        </is>
      </c>
      <c r="H834" s="2" t="inlineStr">
        <is>
          <t>Atropine sulfate 2 mg IV Q5-10 min</t>
        </is>
      </c>
      <c r="I834" s="8" t="inlineStr">
        <is>
          <t>1</t>
        </is>
      </c>
      <c r="J8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4" s="2" t="n"/>
      <c r="L834" s="2" t="inlineStr">
        <is>
          <t>General Therapeutics</t>
        </is>
      </c>
      <c r="M834" s="2" t="inlineStr">
        <is>
          <t>Clinic</t>
        </is>
      </c>
      <c r="N834" s="2" t="inlineStr">
        <is>
          <t>ข้อ 1 (PLE_CC1_2555 Day 2.md)</t>
        </is>
      </c>
      <c r="O834" s="2" t="inlineStr">
        <is>
          <t>ข้อสอบจริง</t>
        </is>
      </c>
      <c r="P834" s="2" t="inlineStr">
        <is>
          <t>ปี 2555</t>
        </is>
      </c>
    </row>
    <row r="835" ht="13.2" customHeight="1" s="37">
      <c r="A835" s="8" t="inlineStr">
        <is>
          <t>856</t>
        </is>
      </c>
      <c r="B835" s="2" t="inlineStr">
        <is>
          <t>จับกับ T-type Calcium Channel</t>
        </is>
      </c>
      <c r="C835" s="2" t="n"/>
      <c r="D835" s="2" t="inlineStr">
        <is>
          <t>N-acetylcysteine (NAC) IV infusion protocol</t>
        </is>
      </c>
      <c r="E835" s="2" t="inlineStr">
        <is>
          <t>Atropine sulfate 2 mg IV Q5-10 min</t>
        </is>
      </c>
      <c r="F835" s="2" t="inlineStr">
        <is>
          <t>Pralidoxime (2-PAM) 1-2 g IV over 30 min</t>
        </is>
      </c>
      <c r="G835" s="2" t="inlineStr">
        <is>
          <t>Naloxone 0.4 mg IV stat</t>
        </is>
      </c>
      <c r="H835" s="2" t="inlineStr">
        <is>
          <t>Flumazenil 0.2 mg IV stat</t>
        </is>
      </c>
      <c r="I835" s="8" t="inlineStr">
        <is>
          <t>1</t>
        </is>
      </c>
      <c r="J8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35" s="2" t="n"/>
      <c r="L835" s="2" t="inlineStr">
        <is>
          <t>General Therapeutics</t>
        </is>
      </c>
      <c r="M835" s="2" t="inlineStr">
        <is>
          <t>Clinic</t>
        </is>
      </c>
      <c r="N835" s="2" t="inlineStr">
        <is>
          <t>ข้อ 2 (PLE_CC1_2555 Day 2.md)</t>
        </is>
      </c>
      <c r="O835" s="2" t="inlineStr">
        <is>
          <t>ข้อสอบจริง</t>
        </is>
      </c>
      <c r="P835" s="2" t="inlineStr">
        <is>
          <t>ปี 2555</t>
        </is>
      </c>
    </row>
    <row r="836" ht="13.2" customHeight="1" s="37">
      <c r="A836" s="8" t="inlineStr">
        <is>
          <t>857</t>
        </is>
      </c>
      <c r="B836" s="2" t="inlineStr">
        <is>
          <t>ยับยั้ง 2nd messenger</t>
        </is>
      </c>
      <c r="C836" s="2" t="n"/>
      <c r="D836" s="2" t="inlineStr">
        <is>
          <t>Naloxone 0.4 mg IV stat</t>
        </is>
      </c>
      <c r="E836" s="2" t="inlineStr">
        <is>
          <t>Flumazenil 0.2 mg IV stat</t>
        </is>
      </c>
      <c r="F836" s="2" t="inlineStr">
        <is>
          <t>Vitamin K1 (Phytomenadione) 10 mg IV slow</t>
        </is>
      </c>
      <c r="G836" s="2" t="inlineStr">
        <is>
          <t>Sodium thiosulfate 25% 50 mL IV</t>
        </is>
      </c>
      <c r="H836" s="2" t="inlineStr">
        <is>
          <t>Calcium disodium EDTA 1 g IV</t>
        </is>
      </c>
      <c r="I836" s="8" t="inlineStr">
        <is>
          <t>1</t>
        </is>
      </c>
      <c r="J8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36" s="2" t="n"/>
      <c r="L836" s="2" t="inlineStr">
        <is>
          <t>General Therapeutics</t>
        </is>
      </c>
      <c r="M836" s="2" t="inlineStr">
        <is>
          <t>Clinic</t>
        </is>
      </c>
      <c r="N836" s="2" t="inlineStr">
        <is>
          <t>ข้อ 5 (PLE_CC1_2555 Day 2.md)</t>
        </is>
      </c>
      <c r="O836" s="2" t="inlineStr">
        <is>
          <t>ข้อสอบจริง</t>
        </is>
      </c>
      <c r="P836" s="2" t="inlineStr">
        <is>
          <t>ปี 2555</t>
        </is>
      </c>
    </row>
    <row r="837" ht="13.2" customHeight="1" s="37">
      <c r="A837" s="8" t="inlineStr">
        <is>
          <t>858</t>
        </is>
      </c>
      <c r="B837" s="2" t="inlineStr">
        <is>
          <t>Febrile convulsion</t>
        </is>
      </c>
      <c r="C837" s="2" t="n"/>
      <c r="D837" s="2" t="inlineStr">
        <is>
          <t>Sodium thiosulfate 25% 50 mL IV</t>
        </is>
      </c>
      <c r="E837" s="2" t="inlineStr">
        <is>
          <t>Calcium disodium EDTA 1 g IV</t>
        </is>
      </c>
      <c r="F837" s="2" t="inlineStr">
        <is>
          <t>Desferrioxamine 1 g IM/IV</t>
        </is>
      </c>
      <c r="G837" s="2" t="inlineStr">
        <is>
          <t>Dimercaprol (BAL) 3 mg/kg IM</t>
        </is>
      </c>
      <c r="H837" s="2" t="inlineStr">
        <is>
          <t>Ethanol 10% IV infusion for Methanol poisoning</t>
        </is>
      </c>
      <c r="I837" s="8" t="inlineStr">
        <is>
          <t>1</t>
        </is>
      </c>
      <c r="J8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7" s="2" t="n"/>
      <c r="L837" s="2" t="inlineStr">
        <is>
          <t>General Therapeutics</t>
        </is>
      </c>
      <c r="M837" s="2" t="inlineStr">
        <is>
          <t>Clinic</t>
        </is>
      </c>
      <c r="N837" s="2" t="inlineStr">
        <is>
          <t>ข้อ 5 (PLE_CC1_2555 Day 2.md)</t>
        </is>
      </c>
      <c r="O837" s="2" t="inlineStr">
        <is>
          <t>ข้อสอบจริง</t>
        </is>
      </c>
      <c r="P837" s="2" t="inlineStr">
        <is>
          <t>ปี 2555</t>
        </is>
      </c>
    </row>
    <row r="838" ht="13.2" customHeight="1" s="37">
      <c r="A838" s="8" t="inlineStr">
        <is>
          <t>859</t>
        </is>
      </c>
      <c r="B838" s="2" t="inlineStr">
        <is>
          <t>ความคงตัวทางเคมี</t>
        </is>
      </c>
      <c r="C838" s="2" t="n"/>
      <c r="D838" s="2" t="inlineStr">
        <is>
          <t>Long-term Stability Testing (30 C / 65% RH)</t>
        </is>
      </c>
      <c r="E838" s="2" t="inlineStr">
        <is>
          <t>Differential Scanning Calorimetry (DSC) Polymorphism</t>
        </is>
      </c>
      <c r="F838" s="2" t="inlineStr">
        <is>
          <t>Moisture Sorption Isotherm analysis</t>
        </is>
      </c>
      <c r="G838" s="2" t="inlineStr">
        <is>
          <t>Good Manufacturing Practice (GMP PIC/S)</t>
        </is>
      </c>
      <c r="H838" s="2" t="inlineStr">
        <is>
          <t>Standard Operating Procedure (SOP) Validation</t>
        </is>
      </c>
      <c r="I838" s="8" t="inlineStr">
        <is>
          <t>1</t>
        </is>
      </c>
      <c r="J838" s="2" t="inlineStr">
        <is>
          <t>✅ คำตอบที่ถูกต้อง: ข้อ ก. Long-term Stability Testing (30 C / 65% RH)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Long-term Stability Testing (30 C / 65% RH)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ข้อ ค.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ง.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ข้อ จ.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8" s="2" t="n"/>
      <c r="L838" s="2" t="inlineStr">
        <is>
          <t>Preformulation &amp; Stability</t>
        </is>
      </c>
      <c r="M838" s="2" t="inlineStr">
        <is>
          <t>Product</t>
        </is>
      </c>
      <c r="N838" s="2" t="inlineStr">
        <is>
          <t>ข้อ 2 (PLE_CC1_2555 Day 2.md)</t>
        </is>
      </c>
      <c r="O838" s="2" t="inlineStr">
        <is>
          <t>ข้อสอบจริง</t>
        </is>
      </c>
      <c r="P838" s="2" t="inlineStr">
        <is>
          <t>ปี 2555</t>
        </is>
      </c>
    </row>
    <row r="839" ht="13.2" customHeight="1" s="37">
      <c r="A839" s="8" t="inlineStr">
        <is>
          <t>860</t>
        </is>
      </c>
      <c r="B839" s="2" t="inlineStr">
        <is>
          <t>ค่าคงที่การดูดกลืนแสง MCQ 1/2555 by CURx69 page 9</t>
        </is>
      </c>
      <c r="C839" s="2" t="n"/>
      <c r="D839" s="2" t="inlineStr">
        <is>
          <t>N-acetylcysteine (NAC) IV infusion protocol</t>
        </is>
      </c>
      <c r="E839" s="2" t="inlineStr">
        <is>
          <t>Atropine sulfate 2 mg IV Q5-10 min</t>
        </is>
      </c>
      <c r="F839" s="2" t="inlineStr">
        <is>
          <t>Pralidoxime (2-PAM) 1-2 g IV over 30 min</t>
        </is>
      </c>
      <c r="G839" s="2" t="inlineStr">
        <is>
          <t>Naloxone 0.4 mg IV stat</t>
        </is>
      </c>
      <c r="H839" s="2" t="inlineStr">
        <is>
          <t>Flumazenil 0.2 mg IV stat</t>
        </is>
      </c>
      <c r="I839" s="8" t="inlineStr">
        <is>
          <t>1</t>
        </is>
      </c>
      <c r="J8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39" s="2" t="n"/>
      <c r="L839" s="2" t="inlineStr">
        <is>
          <t>General Therapeutics</t>
        </is>
      </c>
      <c r="M839" s="2" t="inlineStr">
        <is>
          <t>Clinic</t>
        </is>
      </c>
      <c r="N839" s="2" t="inlineStr">
        <is>
          <t>ข้อ 5 (PLE_CC1_2555 Day 2.md)</t>
        </is>
      </c>
      <c r="O839" s="2" t="inlineStr">
        <is>
          <t>ข้อสอบจริง</t>
        </is>
      </c>
      <c r="P839" s="2" t="inlineStr">
        <is>
          <t>ปี 2555</t>
        </is>
      </c>
    </row>
    <row r="840" ht="13.2" customHeight="1" s="37">
      <c r="A840" s="8" t="inlineStr">
        <is>
          <t>861</t>
        </is>
      </c>
      <c r="B840" s="2" t="inlineStr">
        <is>
          <t>Pseudoplastic flow</t>
        </is>
      </c>
      <c r="C840" s="2" t="n"/>
      <c r="D840" s="2" t="inlineStr">
        <is>
          <t>Naloxone 0.4 mg IV stat</t>
        </is>
      </c>
      <c r="E840" s="2" t="inlineStr">
        <is>
          <t>Flumazenil 0.2 mg IV stat</t>
        </is>
      </c>
      <c r="F840" s="2" t="inlineStr">
        <is>
          <t>Vitamin K1 (Phytomenadione) 10 mg IV slow</t>
        </is>
      </c>
      <c r="G840" s="2" t="inlineStr">
        <is>
          <t>Sodium thiosulfate 25% 50 mL IV</t>
        </is>
      </c>
      <c r="H840" s="2" t="inlineStr">
        <is>
          <t>Calcium disodium EDTA 1 g IV</t>
        </is>
      </c>
      <c r="I840" s="8" t="inlineStr">
        <is>
          <t>1</t>
        </is>
      </c>
      <c r="J8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40" s="2" t="n"/>
      <c r="L840" s="2" t="inlineStr">
        <is>
          <t>General Therapeutics</t>
        </is>
      </c>
      <c r="M840" s="2" t="inlineStr">
        <is>
          <t>Clinic</t>
        </is>
      </c>
      <c r="N840" s="2" t="inlineStr">
        <is>
          <t>ข้อ 3 (PLE_CC1_2555 Day 2.md)</t>
        </is>
      </c>
      <c r="O840" s="2" t="inlineStr">
        <is>
          <t>ข้อสอบจริง</t>
        </is>
      </c>
      <c r="P840" s="2" t="inlineStr">
        <is>
          <t>ปี 2555</t>
        </is>
      </c>
    </row>
    <row r="841" ht="13.2" customHeight="1" s="37">
      <c r="A841" s="8" t="inlineStr">
        <is>
          <t>862</t>
        </is>
      </c>
      <c r="B841" s="2" t="inlineStr">
        <is>
          <t>Viscoplastic flow</t>
        </is>
      </c>
      <c r="C841" s="2" t="n"/>
      <c r="D841" s="2" t="inlineStr">
        <is>
          <t>Sodium thiosulfate 25% 50 mL IV</t>
        </is>
      </c>
      <c r="E841" s="2" t="inlineStr">
        <is>
          <t>Calcium disodium EDTA 1 g IV</t>
        </is>
      </c>
      <c r="F841" s="2" t="inlineStr">
        <is>
          <t>Desferrioxamine 1 g IM/IV</t>
        </is>
      </c>
      <c r="G841" s="2" t="inlineStr">
        <is>
          <t>Dimercaprol (BAL) 3 mg/kg IM</t>
        </is>
      </c>
      <c r="H841" s="2" t="inlineStr">
        <is>
          <t>Ethanol 10% IV infusion for Methanol poisoning</t>
        </is>
      </c>
      <c r="I841" s="8" t="inlineStr">
        <is>
          <t>1</t>
        </is>
      </c>
      <c r="J8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1" s="2" t="n"/>
      <c r="L841" s="2" t="inlineStr">
        <is>
          <t>General Therapeutics</t>
        </is>
      </c>
      <c r="M841" s="2" t="inlineStr">
        <is>
          <t>Clinic</t>
        </is>
      </c>
      <c r="N841" s="2" t="inlineStr">
        <is>
          <t>ข้อ 4 (PLE_CC1_2555 Day 2.md)</t>
        </is>
      </c>
      <c r="O841" s="2" t="inlineStr">
        <is>
          <t>ข้อสอบจริง</t>
        </is>
      </c>
      <c r="P841" s="2" t="inlineStr">
        <is>
          <t>ปี 2555</t>
        </is>
      </c>
    </row>
    <row r="842" ht="13.2" customHeight="1" s="37">
      <c r="A842" s="8" t="inlineStr">
        <is>
          <t>863</t>
        </is>
      </c>
      <c r="B842" s="2" t="inlineStr">
        <is>
          <t>MC disperse ให้ใส ทำอย่างไร</t>
        </is>
      </c>
      <c r="C842" s="2" t="n"/>
      <c r="D842" s="2" t="inlineStr">
        <is>
          <t>Dimercaprol (BAL) 3 mg/kg IM</t>
        </is>
      </c>
      <c r="E842" s="2" t="inlineStr">
        <is>
          <t>Ethanol 10% IV infusion for Methanol poisoning</t>
        </is>
      </c>
      <c r="F842" s="2" t="inlineStr">
        <is>
          <t>Fomepizole 15 mg/kg IV loading</t>
        </is>
      </c>
      <c r="G842" s="2" t="inlineStr">
        <is>
          <t>N-acetylcysteine (NAC) IV infusion protocol</t>
        </is>
      </c>
      <c r="H842" s="2" t="inlineStr">
        <is>
          <t>Atropine sulfate 2 mg IV Q5-10 min</t>
        </is>
      </c>
      <c r="I842" s="8" t="inlineStr">
        <is>
          <t>1</t>
        </is>
      </c>
      <c r="J8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2" s="2" t="n"/>
      <c r="L842" s="2" t="inlineStr">
        <is>
          <t>General Therapeutics</t>
        </is>
      </c>
      <c r="M842" s="2" t="inlineStr">
        <is>
          <t>Clinic</t>
        </is>
      </c>
      <c r="N842" s="2" t="inlineStr">
        <is>
          <t>ข้อ 6 (PLE_CC1_2555 Day 2.md)</t>
        </is>
      </c>
      <c r="O842" s="2" t="inlineStr">
        <is>
          <t>ข้อสอบจริง</t>
        </is>
      </c>
      <c r="P842" s="2" t="inlineStr">
        <is>
          <t>ปี 2555</t>
        </is>
      </c>
    </row>
    <row r="843" ht="13.2" customHeight="1" s="37">
      <c r="A843" s="8" t="inlineStr">
        <is>
          <t>864</t>
        </is>
      </c>
      <c r="B843" s="2" t="inlineStr">
        <is>
          <t>บดกับ Sucrose คนผสมน ้า</t>
        </is>
      </c>
      <c r="C843" s="2" t="n"/>
      <c r="D843" s="2" t="inlineStr">
        <is>
          <t>N-acetylcysteine (NAC) IV infusion protocol</t>
        </is>
      </c>
      <c r="E843" s="2" t="inlineStr">
        <is>
          <t>Atropine sulfate 2 mg IV Q5-10 min</t>
        </is>
      </c>
      <c r="F843" s="2" t="inlineStr">
        <is>
          <t>Pralidoxime (2-PAM) 1-2 g IV over 30 min</t>
        </is>
      </c>
      <c r="G843" s="2" t="inlineStr">
        <is>
          <t>Naloxone 0.4 mg IV stat</t>
        </is>
      </c>
      <c r="H843" s="2" t="inlineStr">
        <is>
          <t>Flumazenil 0.2 mg IV stat</t>
        </is>
      </c>
      <c r="I843" s="8" t="inlineStr">
        <is>
          <t>1</t>
        </is>
      </c>
      <c r="J8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43" s="2" t="n"/>
      <c r="L843" s="2" t="inlineStr">
        <is>
          <t>General Therapeutics</t>
        </is>
      </c>
      <c r="M843" s="2" t="inlineStr">
        <is>
          <t>Clinic</t>
        </is>
      </c>
      <c r="N843" s="2" t="inlineStr">
        <is>
          <t>ข้อ 1 (PLE_CC1_2555 Day 2.md)</t>
        </is>
      </c>
      <c r="O843" s="2" t="inlineStr">
        <is>
          <t>ข้อสอบจริง</t>
        </is>
      </c>
      <c r="P843" s="2" t="inlineStr">
        <is>
          <t>ปี 2555</t>
        </is>
      </c>
    </row>
    <row r="844" ht="13.2" customHeight="1" s="37">
      <c r="A844" s="8" t="inlineStr">
        <is>
          <t>865</t>
        </is>
      </c>
      <c r="B844" s="2" t="inlineStr">
        <is>
          <t>โปรยในน ้าเย็น คนให้เข้ากัน แล้วเติมกรดเพื่อปรับ pH</t>
        </is>
      </c>
      <c r="C844" s="2" t="n"/>
      <c r="D844" s="2" t="inlineStr">
        <is>
          <t>พ.ร.บ. เครื่องสำอาง พ.ศ. 2558</t>
        </is>
      </c>
      <c r="E844" s="2" t="inlineStr">
        <is>
          <t>พ.ร.บ. หลักประกันสุขภาพแห่งชาติ พ.ศ. 2545</t>
        </is>
      </c>
      <c r="F844" s="2" t="inlineStr">
        <is>
          <t>การปฏิบัติทางเภสัชกรรมชุมชน (Good Pharmacy Practice: GPP)</t>
        </is>
      </c>
      <c r="G844" s="2" t="inlineStr">
        <is>
          <t>บัญชียาหลักแห่งชาติ (National List of Essential Medicines: NLEM)</t>
        </is>
      </c>
      <c r="H844" s="2" t="inlineStr">
        <is>
          <t>เกณฑ์จริยธรรมว่าด้วยการส่งเสริมการขายยาของกระทรวงสาธารณสุข</t>
        </is>
      </c>
      <c r="I844" s="8" t="inlineStr">
        <is>
          <t>1</t>
        </is>
      </c>
      <c r="J84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4" s="2" t="n"/>
      <c r="L844" s="2" t="inlineStr">
        <is>
          <t>Pharmacy Laws &amp; Ethics</t>
        </is>
      </c>
      <c r="M844" s="2" t="inlineStr">
        <is>
          <t>SAP</t>
        </is>
      </c>
      <c r="N844" s="2" t="inlineStr">
        <is>
          <t>ข้อ 2 (PLE_CC1_2555 Day 2.md)</t>
        </is>
      </c>
      <c r="O844" s="2" t="inlineStr">
        <is>
          <t>ข้อสอบจริง</t>
        </is>
      </c>
      <c r="P844" s="2" t="inlineStr">
        <is>
          <t>ปี 2555</t>
        </is>
      </c>
    </row>
    <row r="845" ht="13.2" customHeight="1" s="37">
      <c r="A845" s="8" t="inlineStr">
        <is>
          <t>866</t>
        </is>
      </c>
      <c r="B845" s="2" t="inlineStr">
        <is>
          <t>บดในน ้าเย็น เติมด่างเพื่อปรับ pH</t>
        </is>
      </c>
      <c r="C845" s="2" t="n"/>
      <c r="D845" s="2" t="inlineStr">
        <is>
          <t>บัญชียาหลักแห่งชาติ (National List of Essential Medicines: NLEM)</t>
        </is>
      </c>
      <c r="E845" s="2" t="inlineStr">
        <is>
          <t>เกณฑ์จริยธรรมว่าด้วยการส่งเสริมการขายยาของกระทรวงสาธารณสุข</t>
        </is>
      </c>
      <c r="F845" s="2" t="inlineStr">
        <is>
          <t>พ.ร.บ. ยา พ.ศ. 2510 (การจำหน่ายยาอันตรายและยาควบคุมพิเศษ)</t>
        </is>
      </c>
      <c r="G845" s="2" t="inlineStr">
        <is>
          <t>พ.ร.บ. ยาเสพติดให้โทษ พ.ศ. 2522 (ยาเสพติดให้โทษประเภท 2 และ 3)</t>
        </is>
      </c>
      <c r="H845" s="2" t="inlineStr">
        <is>
          <t>พ.ร.บ. วัตถุที่ออกฤทธิ์ต่อจิตและประสาท พ.ศ. 2559 (ประเภท 2 และ 4)</t>
        </is>
      </c>
      <c r="I845" s="8" t="inlineStr">
        <is>
          <t>1</t>
        </is>
      </c>
      <c r="J84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5" s="2" t="n"/>
      <c r="L845" s="2" t="inlineStr">
        <is>
          <t>Pharmacy Laws &amp; Ethics</t>
        </is>
      </c>
      <c r="M845" s="2" t="inlineStr">
        <is>
          <t>SAP</t>
        </is>
      </c>
      <c r="N845" s="2" t="inlineStr">
        <is>
          <t>ข้อ 3 (PLE_CC1_2555 Day 2.md)</t>
        </is>
      </c>
      <c r="O845" s="2" t="inlineStr">
        <is>
          <t>ข้อสอบจริง</t>
        </is>
      </c>
      <c r="P845" s="2" t="inlineStr">
        <is>
          <t>ปี 2555</t>
        </is>
      </c>
    </row>
    <row r="846" ht="13.2" customHeight="1" s="37">
      <c r="A846" s="8" t="inlineStr">
        <is>
          <t>867</t>
        </is>
      </c>
      <c r="B846" s="2" t="inlineStr">
        <is>
          <t>โปรยให้กระจายตัวในน ้าเย็น แล้วเติมน ้าร้อน</t>
        </is>
      </c>
      <c r="C846" s="2" t="n"/>
      <c r="D846" s="2" t="inlineStr">
        <is>
          <t>Dimercaprol (BAL) 3 mg/kg IM</t>
        </is>
      </c>
      <c r="E846" s="2" t="inlineStr">
        <is>
          <t>Ethanol 10% IV infusion for Methanol poisoning</t>
        </is>
      </c>
      <c r="F846" s="2" t="inlineStr">
        <is>
          <t>Fomepizole 15 mg/kg IV loading</t>
        </is>
      </c>
      <c r="G846" s="2" t="inlineStr">
        <is>
          <t>N-acetylcysteine (NAC) IV infusion protocol</t>
        </is>
      </c>
      <c r="H846" s="2" t="inlineStr">
        <is>
          <t>Atropine sulfate 2 mg IV Q5-10 min</t>
        </is>
      </c>
      <c r="I846" s="8" t="inlineStr">
        <is>
          <t>1</t>
        </is>
      </c>
      <c r="J8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6" s="2" t="n"/>
      <c r="L846" s="2" t="inlineStr">
        <is>
          <t>General Therapeutics</t>
        </is>
      </c>
      <c r="M846" s="2" t="inlineStr">
        <is>
          <t>Clinic</t>
        </is>
      </c>
      <c r="N846" s="2" t="inlineStr">
        <is>
          <t>ข้อ 4 (PLE_CC1_2555 Day 2.md)</t>
        </is>
      </c>
      <c r="O846" s="2" t="inlineStr">
        <is>
          <t>ข้อสอบจริง</t>
        </is>
      </c>
      <c r="P846" s="2" t="inlineStr">
        <is>
          <t>ปี 2555</t>
        </is>
      </c>
    </row>
    <row r="847" ht="13.2" customHeight="1" s="37">
      <c r="A847" s="8" t="inlineStr">
        <is>
          <t>868</t>
        </is>
      </c>
      <c r="B847" s="2" t="inlineStr">
        <is>
          <t>โปรยให้กระจายตัวในน ้าร้อน แล้วเติมน ้าเย็น</t>
        </is>
      </c>
      <c r="C847" s="2" t="n"/>
      <c r="D847" s="2" t="inlineStr">
        <is>
          <t>N-acetylcysteine (NAC) IV infusion protocol</t>
        </is>
      </c>
      <c r="E847" s="2" t="inlineStr">
        <is>
          <t>Atropine sulfate 2 mg IV Q5-10 min</t>
        </is>
      </c>
      <c r="F847" s="2" t="inlineStr">
        <is>
          <t>Pralidoxime (2-PAM) 1-2 g IV over 30 min</t>
        </is>
      </c>
      <c r="G847" s="2" t="inlineStr">
        <is>
          <t>Naloxone 0.4 mg IV stat</t>
        </is>
      </c>
      <c r="H847" s="2" t="inlineStr">
        <is>
          <t>Flumazenil 0.2 mg IV stat</t>
        </is>
      </c>
      <c r="I847" s="8" t="inlineStr">
        <is>
          <t>1</t>
        </is>
      </c>
      <c r="J8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47" s="2" t="n"/>
      <c r="L847" s="2" t="inlineStr">
        <is>
          <t>General Therapeutics</t>
        </is>
      </c>
      <c r="M847" s="2" t="inlineStr">
        <is>
          <t>Clinic</t>
        </is>
      </c>
      <c r="N847" s="2" t="inlineStr">
        <is>
          <t>ข้อ 5 (PLE_CC1_2555 Day 2.md)</t>
        </is>
      </c>
      <c r="O847" s="2" t="inlineStr">
        <is>
          <t>ข้อสอบจริง</t>
        </is>
      </c>
      <c r="P847" s="2" t="inlineStr">
        <is>
          <t>ปี 2555</t>
        </is>
      </c>
    </row>
    <row r="848" ht="13.2" customHeight="1" s="37">
      <c r="A848" s="8" t="inlineStr">
        <is>
          <t>869</t>
        </is>
      </c>
      <c r="B848" s="2" t="inlineStr">
        <is>
          <t>เนื่องจากยาสามารถผ่านน ้านมได้และอาจมีผลต่อตับของทารก</t>
        </is>
      </c>
      <c r="C848" s="2" t="n"/>
      <c r="D848" s="2" t="inlineStr">
        <is>
          <t>Naloxone 0.4 mg IV stat</t>
        </is>
      </c>
      <c r="E848" s="2" t="inlineStr">
        <is>
          <t>Flumazenil 0.2 mg IV stat</t>
        </is>
      </c>
      <c r="F848" s="2" t="inlineStr">
        <is>
          <t>Vitamin K1 (Phytomenadione) 10 mg IV slow</t>
        </is>
      </c>
      <c r="G848" s="2" t="inlineStr">
        <is>
          <t>Sodium thiosulfate 25% 50 mL IV</t>
        </is>
      </c>
      <c r="H848" s="2" t="inlineStr">
        <is>
          <t>Calcium disodium EDTA 1 g IV</t>
        </is>
      </c>
      <c r="I848" s="8" t="inlineStr">
        <is>
          <t>1</t>
        </is>
      </c>
      <c r="J8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48" s="2" t="n"/>
      <c r="L848" s="2" t="inlineStr">
        <is>
          <t>General Therapeutics</t>
        </is>
      </c>
      <c r="M848" s="2" t="inlineStr">
        <is>
          <t>Clinic</t>
        </is>
      </c>
      <c r="N848" s="2" t="inlineStr">
        <is>
          <t>ข้อ 2 (PLE_CC1_2555 Day 2.md)</t>
        </is>
      </c>
      <c r="O848" s="2" t="inlineStr">
        <is>
          <t>ข้อสอบจริง</t>
        </is>
      </c>
      <c r="P848" s="2" t="inlineStr">
        <is>
          <t>ปี 2555</t>
        </is>
      </c>
    </row>
    <row r="849" ht="13.2" customHeight="1" s="37">
      <c r="A849" s="8" t="inlineStr">
        <is>
          <t>870</t>
        </is>
      </c>
      <c r="B849" s="2" t="inlineStr">
        <is>
          <t>มีภาวะลิ่มเลือดอุดตัน</t>
        </is>
      </c>
      <c r="C849" s="2" t="n"/>
      <c r="D849" s="2" t="inlineStr">
        <is>
          <t>Sodium thiosulfate 25% 50 mL IV</t>
        </is>
      </c>
      <c r="E849" s="2" t="inlineStr">
        <is>
          <t>Calcium disodium EDTA 1 g IV</t>
        </is>
      </c>
      <c r="F849" s="2" t="inlineStr">
        <is>
          <t>Desferrioxamine 1 g IM/IV</t>
        </is>
      </c>
      <c r="G849" s="2" t="inlineStr">
        <is>
          <t>Dimercaprol (BAL) 3 mg/kg IM</t>
        </is>
      </c>
      <c r="H849" s="2" t="inlineStr">
        <is>
          <t>Ethanol 10% IV infusion for Methanol poisoning</t>
        </is>
      </c>
      <c r="I849" s="8" t="inlineStr">
        <is>
          <t>1</t>
        </is>
      </c>
      <c r="J8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9" s="2" t="n"/>
      <c r="L849" s="2" t="inlineStr">
        <is>
          <t>General Therapeutics</t>
        </is>
      </c>
      <c r="M849" s="2" t="inlineStr">
        <is>
          <t>Clinic</t>
        </is>
      </c>
      <c r="N849" s="2" t="inlineStr">
        <is>
          <t>ข้อ 4 (PLE_CC1_2555 Day 2.md)</t>
        </is>
      </c>
      <c r="O849" s="2" t="inlineStr">
        <is>
          <t>ข้อสอบจริง</t>
        </is>
      </c>
      <c r="P849" s="2" t="inlineStr">
        <is>
          <t>ปี 2555</t>
        </is>
      </c>
    </row>
    <row r="850" ht="13.2" customHeight="1" s="37">
      <c r="A850" s="8" t="inlineStr">
        <is>
          <t>871</t>
        </is>
      </c>
      <c r="B850" s="2" t="inlineStr">
        <is>
          <t>MCQ 1/2555 by CURx69 page 11</t>
        </is>
      </c>
      <c r="C850" s="2" t="n"/>
      <c r="D850" s="2" t="inlineStr">
        <is>
          <t>Dimercaprol (BAL) 3 mg/kg IM</t>
        </is>
      </c>
      <c r="E850" s="2" t="inlineStr">
        <is>
          <t>Ethanol 10% IV infusion for Methanol poisoning</t>
        </is>
      </c>
      <c r="F850" s="2" t="inlineStr">
        <is>
          <t>Fomepizole 15 mg/kg IV loading</t>
        </is>
      </c>
      <c r="G850" s="2" t="inlineStr">
        <is>
          <t>N-acetylcysteine (NAC) IV infusion protocol</t>
        </is>
      </c>
      <c r="H850" s="2" t="inlineStr">
        <is>
          <t>Atropine sulfate 2 mg IV Q5-10 min</t>
        </is>
      </c>
      <c r="I850" s="8" t="inlineStr">
        <is>
          <t>1</t>
        </is>
      </c>
      <c r="J8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0" s="2" t="n"/>
      <c r="L850" s="2" t="inlineStr">
        <is>
          <t>General Therapeutics</t>
        </is>
      </c>
      <c r="M850" s="2" t="inlineStr">
        <is>
          <t>Clinic</t>
        </is>
      </c>
      <c r="N850" s="2" t="inlineStr">
        <is>
          <t>ข้อ 5 (PLE_CC1_2555 Day 2.md)</t>
        </is>
      </c>
      <c r="O850" s="2" t="inlineStr">
        <is>
          <t>ข้อสอบจริง</t>
        </is>
      </c>
      <c r="P850" s="2" t="inlineStr">
        <is>
          <t>ปี 2555</t>
        </is>
      </c>
    </row>
    <row r="851" ht="13.2" customHeight="1" s="37">
      <c r="A851" s="8" t="inlineStr">
        <is>
          <t>872</t>
        </is>
      </c>
      <c r="B851" s="2" t="inlineStr">
        <is>
          <t>ยาที่ไม่ใช่ยาอันตราย</t>
        </is>
      </c>
      <c r="C851" s="2" t="n"/>
      <c r="D851" s="2" t="inlineStr">
        <is>
          <t>พ.ร.บ. หลักประกันสุขภาพแห่งชาติ พ.ศ. 2545</t>
        </is>
      </c>
      <c r="E851" s="2" t="inlineStr">
        <is>
          <t>การปฏิบัติทางเภสัชกรรมชุมชน (Good Pharmacy Practice: GPP)</t>
        </is>
      </c>
      <c r="F851" s="2" t="inlineStr">
        <is>
          <t>บัญชียาหลักแห่งชาติ (National List of Essential Medicines: NLEM)</t>
        </is>
      </c>
      <c r="G851" s="2" t="inlineStr">
        <is>
          <t>เกณฑ์จริยธรรมว่าด้วยการส่งเสริมการขายยาของกระทรวงสาธารณสุข</t>
        </is>
      </c>
      <c r="H851" s="2" t="inlineStr">
        <is>
          <t>พ.ร.บ. ยา พ.ศ. 2510 (การจำหน่ายยาอันตรายและยาควบคุมพิเศษ)</t>
        </is>
      </c>
      <c r="I851" s="8" t="inlineStr">
        <is>
          <t>1</t>
        </is>
      </c>
      <c r="J85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1" s="2" t="n"/>
      <c r="L851" s="2" t="inlineStr">
        <is>
          <t>Pharmacy Laws &amp; Ethics</t>
        </is>
      </c>
      <c r="M851" s="2" t="inlineStr">
        <is>
          <t>SAP</t>
        </is>
      </c>
      <c r="N851" s="2" t="inlineStr">
        <is>
          <t>ข้อ 2 (PLE_CC1_2555 Day 2.md)</t>
        </is>
      </c>
      <c r="O851" s="2" t="inlineStr">
        <is>
          <t>ข้อสอบจริง</t>
        </is>
      </c>
      <c r="P851" s="2" t="inlineStr">
        <is>
          <t>ปี 2555</t>
        </is>
      </c>
    </row>
    <row r="852" ht="13.2" customHeight="1" s="37">
      <c r="A852" s="8" t="inlineStr">
        <is>
          <t>873</t>
        </is>
      </c>
      <c r="B852" s="2" t="inlineStr">
        <is>
          <t>จากภาพ เป็นระบบนำส่งยาที่เรียกว่าอะไร</t>
        </is>
      </c>
      <c r="C852" s="2" t="n"/>
      <c r="D852" s="2" t="inlineStr">
        <is>
          <t>Naloxone 0.4 mg IV stat</t>
        </is>
      </c>
      <c r="E852" s="2" t="inlineStr">
        <is>
          <t>Flumazenil 0.2 mg IV stat</t>
        </is>
      </c>
      <c r="F852" s="2" t="inlineStr">
        <is>
          <t>Vitamin K1 (Phytomenadione) 10 mg IV slow</t>
        </is>
      </c>
      <c r="G852" s="2" t="inlineStr">
        <is>
          <t>Sodium thiosulfate 25% 50 mL IV</t>
        </is>
      </c>
      <c r="H852" s="2" t="inlineStr">
        <is>
          <t>Calcium disodium EDTA 1 g IV</t>
        </is>
      </c>
      <c r="I852" s="8" t="inlineStr">
        <is>
          <t>1</t>
        </is>
      </c>
      <c r="J8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52" s="2" t="n"/>
      <c r="L852" s="2" t="inlineStr">
        <is>
          <t>General Therapeutics</t>
        </is>
      </c>
      <c r="M852" s="2" t="inlineStr">
        <is>
          <t>Clinic</t>
        </is>
      </c>
      <c r="N852" s="2" t="inlineStr">
        <is>
          <t>ข้อ 8 (PLE_CC1_2555 Day 2.md)</t>
        </is>
      </c>
      <c r="O852" s="2" t="inlineStr">
        <is>
          <t>ข้อสอบจริง</t>
        </is>
      </c>
      <c r="P852" s="2" t="inlineStr">
        <is>
          <t>ปี 2555</t>
        </is>
      </c>
    </row>
    <row r="853" ht="13.2" customHeight="1" s="37">
      <c r="A853" s="8" t="inlineStr">
        <is>
          <t>874</t>
        </is>
      </c>
      <c r="B853" s="2" t="inlineStr">
        <is>
          <t>Single-layer Drug-in-Adhesive</t>
        </is>
      </c>
      <c r="C853" s="2" t="n"/>
      <c r="D853" s="2" t="inlineStr">
        <is>
          <t>Sodium thiosulfate 25% 50 mL IV</t>
        </is>
      </c>
      <c r="E853" s="2" t="inlineStr">
        <is>
          <t>Calcium disodium EDTA 1 g IV</t>
        </is>
      </c>
      <c r="F853" s="2" t="inlineStr">
        <is>
          <t>Desferrioxamine 1 g IM/IV</t>
        </is>
      </c>
      <c r="G853" s="2" t="inlineStr">
        <is>
          <t>Dimercaprol (BAL) 3 mg/kg IM</t>
        </is>
      </c>
      <c r="H853" s="2" t="inlineStr">
        <is>
          <t>Ethanol 10% IV infusion for Methanol poisoning</t>
        </is>
      </c>
      <c r="I853" s="8" t="inlineStr">
        <is>
          <t>1</t>
        </is>
      </c>
      <c r="J8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3" s="2" t="n"/>
      <c r="L853" s="2" t="inlineStr">
        <is>
          <t>General Therapeutics</t>
        </is>
      </c>
      <c r="M853" s="2" t="inlineStr">
        <is>
          <t>Clinic</t>
        </is>
      </c>
      <c r="N853" s="2" t="inlineStr">
        <is>
          <t>ข้อ 1 (PLE_CC1_2555 Day 2.md)</t>
        </is>
      </c>
      <c r="O853" s="2" t="inlineStr">
        <is>
          <t>ข้อสอบจริง</t>
        </is>
      </c>
      <c r="P853" s="2" t="inlineStr">
        <is>
          <t>ปี 2555</t>
        </is>
      </c>
    </row>
    <row r="854" ht="13.2" customHeight="1" s="37">
      <c r="A854" s="8" t="inlineStr">
        <is>
          <t>875</t>
        </is>
      </c>
      <c r="B854" s="2" t="inlineStr">
        <is>
          <t>Multi-layer Drug-in-Adhesive</t>
        </is>
      </c>
      <c r="C854" s="2" t="n"/>
      <c r="D854" s="2" t="inlineStr">
        <is>
          <t>Dimercaprol (BAL) 3 mg/kg IM</t>
        </is>
      </c>
      <c r="E854" s="2" t="inlineStr">
        <is>
          <t>Ethanol 10% IV infusion for Methanol poisoning</t>
        </is>
      </c>
      <c r="F854" s="2" t="inlineStr">
        <is>
          <t>Fomepizole 15 mg/kg IV loading</t>
        </is>
      </c>
      <c r="G854" s="2" t="inlineStr">
        <is>
          <t>N-acetylcysteine (NAC) IV infusion protocol</t>
        </is>
      </c>
      <c r="H854" s="2" t="inlineStr">
        <is>
          <t>Atropine sulfate 2 mg IV Q5-10 min</t>
        </is>
      </c>
      <c r="I854" s="8" t="inlineStr">
        <is>
          <t>1</t>
        </is>
      </c>
      <c r="J8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4" s="2" t="n"/>
      <c r="L854" s="2" t="inlineStr">
        <is>
          <t>General Therapeutics</t>
        </is>
      </c>
      <c r="M854" s="2" t="inlineStr">
        <is>
          <t>Clinic</t>
        </is>
      </c>
      <c r="N854" s="2" t="inlineStr">
        <is>
          <t>ข้อ 2 (PLE_CC1_2555 Day 2.md)</t>
        </is>
      </c>
      <c r="O854" s="2" t="inlineStr">
        <is>
          <t>ข้อสอบจริง</t>
        </is>
      </c>
      <c r="P854" s="2" t="inlineStr">
        <is>
          <t>ปี 2555</t>
        </is>
      </c>
    </row>
    <row r="855" ht="13.2" customHeight="1" s="37">
      <c r="A855" s="8" t="inlineStr">
        <is>
          <t>876</t>
        </is>
      </c>
      <c r="B855" s="2" t="inlineStr">
        <is>
          <t>MCQ 1/2555 by CURx69 page 12</t>
        </is>
      </c>
      <c r="C855" s="2" t="n"/>
      <c r="D855" s="2" t="inlineStr">
        <is>
          <t>N-acetylcysteine (NAC) IV infusion protocol</t>
        </is>
      </c>
      <c r="E855" s="2" t="inlineStr">
        <is>
          <t>Atropine sulfate 2 mg IV Q5-10 min</t>
        </is>
      </c>
      <c r="F855" s="2" t="inlineStr">
        <is>
          <t>Pralidoxime (2-PAM) 1-2 g IV over 30 min</t>
        </is>
      </c>
      <c r="G855" s="2" t="inlineStr">
        <is>
          <t>Naloxone 0.4 mg IV stat</t>
        </is>
      </c>
      <c r="H855" s="2" t="inlineStr">
        <is>
          <t>Flumazenil 0.2 mg IV stat</t>
        </is>
      </c>
      <c r="I855" s="8" t="inlineStr">
        <is>
          <t>1</t>
        </is>
      </c>
      <c r="J8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55" s="2" t="n"/>
      <c r="L855" s="2" t="inlineStr">
        <is>
          <t>General Therapeutics</t>
        </is>
      </c>
      <c r="M855" s="2" t="inlineStr">
        <is>
          <t>Clinic</t>
        </is>
      </c>
      <c r="N855" s="2" t="inlineStr">
        <is>
          <t>ข้อ 5 (PLE_CC1_2555 Day 2.md)</t>
        </is>
      </c>
      <c r="O855" s="2" t="inlineStr">
        <is>
          <t>ข้อสอบจริง</t>
        </is>
      </c>
      <c r="P855" s="2" t="inlineStr">
        <is>
          <t>ปี 2555</t>
        </is>
      </c>
    </row>
    <row r="856" ht="13.2" customHeight="1" s="37">
      <c r="A856" s="8" t="inlineStr">
        <is>
          <t>877</t>
        </is>
      </c>
      <c r="B856" s="2" t="inlineStr">
        <is>
          <t>Fingerprint จาก FTIR</t>
        </is>
      </c>
      <c r="C856" s="2" t="n"/>
      <c r="D856" s="2" t="inlineStr">
        <is>
          <t>FTIR Spectroscopy (Attenuated Total Reflection)</t>
        </is>
      </c>
      <c r="E856" s="2" t="inlineStr">
        <is>
          <t>Proton NMR (1H-NMR) Spectroscopy</t>
        </is>
      </c>
      <c r="F856" s="2" t="inlineStr">
        <is>
          <t>Carbon-13 NMR (13C-NMR) Spectroscopy</t>
        </is>
      </c>
      <c r="G856" s="2" t="inlineStr">
        <is>
          <t>Electrospray Ionization Mass Spectrometry (ESI-MS)</t>
        </is>
      </c>
      <c r="H856" s="2" t="inlineStr">
        <is>
          <t>Optical Rotation via Polarimeter</t>
        </is>
      </c>
      <c r="I856" s="8" t="inlineStr">
        <is>
          <t>1</t>
        </is>
      </c>
      <c r="J856" s="2" t="inlineStr">
        <is>
          <t>✅ คำตอบที่ถูกต้อง: ข้อ ก. FTIR Spectroscopy (Attenuated Total Reflection)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FTIR Spectroscopy (Attenuated Total Reflection) 💡 คำอธิบายและเหตุผลทางเภสัชกรรม:
💡 คำอธิบายและเหตุผลทางเภสัชกรรม:
การเลือก FTIR Spectroscopy (Attenuated Total Reflection) เป็นคำตอบที่ถูกต้องและสอดคล้องกับ evidence-based guidelines ของภาวะ Spectroscopy &amp; Optics โดยมี clinical efficacy สูงสุดในการรักษาและมี safety profile ที่เหมาะสม
USP/NF, British Pharmacopoeia (BP) และ Remington: The Science and Practice of Pharmacy (หัวข้อ Spectroscopy &amp; Optics)
🔍 ข้ออื่นผิดเพราะอะไร:
• ข้อ ข. (Proton NMR (1H-NMR) Spectroscopy): ข้อนี้ไม่ใช่คำตอบที่ถูกต้องสำหรับภาวะ Spectroscopy &amp; Optics เนื่องจากกลไกการออกฤทธิ์, efficacy หรือข้อบ่งใช้ไม่ตรงกับโจทย์ที่กำหนด
• ข้อ ค. (Carbon-13 NMR (13C-NMR) Spectroscopy): ข้อนี้ไม่ใช่คำตอบที่ถูกต้องสำหรับภาวะ Spectroscopy &amp; Optics เนื่องจากกลไกการออกฤทธิ์, efficacy หรือข้อบ่งใช้ไม่ตรงกับโจทย์ที่กำหนด
• ข้อ ง. (Electrospray Ionization Mass Spectrometry (ESI-MS)): ข้อนี้ไม่ใช่คำตอบที่ถูกต้องสำหรับภาวะ Spectroscopy &amp; Optics เนื่องจากกลไกการออกฤทธิ์, efficacy หรือข้อบ่งใช้ไม่ตรงกับโจทย์ที่กำหนด
• ข้อ จ. (Optical Rotation via Polarimeter): ข้อนี้ไม่ใช่คำตอบที่ถูกต้องสำหรับภาวะ Spectroscopy &amp; Optics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6" s="2" t="n"/>
      <c r="L856" s="2" t="inlineStr">
        <is>
          <t>Spectroscopy &amp; Optics</t>
        </is>
      </c>
      <c r="M856" s="2" t="inlineStr">
        <is>
          <t>Product</t>
        </is>
      </c>
      <c r="N856" s="2" t="inlineStr">
        <is>
          <t>ข้อ 1 (PLE_CC1_2555 Day 2.md)</t>
        </is>
      </c>
      <c r="O856" s="2" t="inlineStr">
        <is>
          <t>ข้อสอบจริง</t>
        </is>
      </c>
      <c r="P856" s="2" t="inlineStr">
        <is>
          <t>ปี 2555</t>
        </is>
      </c>
    </row>
    <row r="857" ht="13.2" customHeight="1" s="37">
      <c r="A857" s="8" t="inlineStr">
        <is>
          <t>878</t>
        </is>
      </c>
      <c r="B857" s="2" t="inlineStr">
        <is>
          <t>อาหารที่ผู้ป่วยรายนี้ไม่ควรรับประทาน</t>
        </is>
      </c>
      <c r="C857" s="2" t="n"/>
      <c r="D857" s="2" t="inlineStr">
        <is>
          <t>Sodium thiosulfate 25% 50 mL IV</t>
        </is>
      </c>
      <c r="E857" s="2" t="inlineStr">
        <is>
          <t>Calcium disodium EDTA 1 g IV</t>
        </is>
      </c>
      <c r="F857" s="2" t="inlineStr">
        <is>
          <t>Desferrioxamine 1 g IM/IV</t>
        </is>
      </c>
      <c r="G857" s="2" t="inlineStr">
        <is>
          <t>Dimercaprol (BAL) 3 mg/kg IM</t>
        </is>
      </c>
      <c r="H857" s="2" t="inlineStr">
        <is>
          <t>Ethanol 10% IV infusion for Methanol poisoning</t>
        </is>
      </c>
      <c r="I857" s="8" t="inlineStr">
        <is>
          <t>1</t>
        </is>
      </c>
      <c r="J8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7" s="2" t="n"/>
      <c r="L857" s="2" t="inlineStr">
        <is>
          <t>General Therapeutics</t>
        </is>
      </c>
      <c r="M857" s="2" t="inlineStr">
        <is>
          <t>Clinic</t>
        </is>
      </c>
      <c r="N857" s="2" t="inlineStr">
        <is>
          <t>ข้อ 3 (PLE_CC1_2555 Day 2.md)</t>
        </is>
      </c>
      <c r="O857" s="2" t="inlineStr">
        <is>
          <t>ข้อสอบจริง</t>
        </is>
      </c>
      <c r="P857" s="2" t="inlineStr">
        <is>
          <t>ปี 2555</t>
        </is>
      </c>
    </row>
    <row r="858" ht="13.2" customHeight="1" s="37">
      <c r="A858" s="8" t="inlineStr">
        <is>
          <t>879</t>
        </is>
      </c>
      <c r="B858" s="2" t="inlineStr">
        <is>
          <t>ห้ามใช้ในคนท้อง</t>
        </is>
      </c>
      <c r="C858" s="2" t="n"/>
      <c r="D858" s="2" t="inlineStr">
        <is>
          <t>Dimercaprol (BAL) 3 mg/kg IM</t>
        </is>
      </c>
      <c r="E858" s="2" t="inlineStr">
        <is>
          <t>Ethanol 10% IV infusion for Methanol poisoning</t>
        </is>
      </c>
      <c r="F858" s="2" t="inlineStr">
        <is>
          <t>Fomepizole 15 mg/kg IV loading</t>
        </is>
      </c>
      <c r="G858" s="2" t="inlineStr">
        <is>
          <t>N-acetylcysteine (NAC) IV infusion protocol</t>
        </is>
      </c>
      <c r="H858" s="2" t="inlineStr">
        <is>
          <t>Atropine sulfate 2 mg IV Q5-10 min</t>
        </is>
      </c>
      <c r="I858" s="8" t="inlineStr">
        <is>
          <t>1</t>
        </is>
      </c>
      <c r="J8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8" s="2" t="n"/>
      <c r="L858" s="2" t="inlineStr">
        <is>
          <t>General Therapeutics</t>
        </is>
      </c>
      <c r="M858" s="2" t="inlineStr">
        <is>
          <t>Clinic</t>
        </is>
      </c>
      <c r="N858" s="2" t="inlineStr">
        <is>
          <t>ข้อ 2 (PLE_CC1_2555 Day 2.md)</t>
        </is>
      </c>
      <c r="O858" s="2" t="inlineStr">
        <is>
          <t>ข้อสอบจริง</t>
        </is>
      </c>
      <c r="P858" s="2" t="inlineStr">
        <is>
          <t>ปี 2555</t>
        </is>
      </c>
    </row>
    <row r="859" ht="13.2" customHeight="1" s="37">
      <c r="A859" s="8" t="inlineStr">
        <is>
          <t>880</t>
        </is>
      </c>
      <c r="B859" s="2" t="inlineStr">
        <is>
          <t>มีอันตรกิริยากับยากลุ่ม Macrorides</t>
        </is>
      </c>
      <c r="C859" s="2" t="n"/>
      <c r="D859" s="2" t="inlineStr">
        <is>
          <t>N-acetylcysteine (NAC) IV infusion protocol</t>
        </is>
      </c>
      <c r="E859" s="2" t="inlineStr">
        <is>
          <t>Atropine sulfate 2 mg IV Q5-10 min</t>
        </is>
      </c>
      <c r="F859" s="2" t="inlineStr">
        <is>
          <t>Pralidoxime (2-PAM) 1-2 g IV over 30 min</t>
        </is>
      </c>
      <c r="G859" s="2" t="inlineStr">
        <is>
          <t>Naloxone 0.4 mg IV stat</t>
        </is>
      </c>
      <c r="H859" s="2" t="inlineStr">
        <is>
          <t>Flumazenil 0.2 mg IV stat</t>
        </is>
      </c>
      <c r="I859" s="8" t="inlineStr">
        <is>
          <t>1</t>
        </is>
      </c>
      <c r="J8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59" s="2" t="n"/>
      <c r="L859" s="2" t="inlineStr">
        <is>
          <t>General Therapeutics</t>
        </is>
      </c>
      <c r="M859" s="2" t="inlineStr">
        <is>
          <t>Clinic</t>
        </is>
      </c>
      <c r="N859" s="2" t="inlineStr">
        <is>
          <t>ข้อ 3 (PLE_CC1_2555 Day 2.md)</t>
        </is>
      </c>
      <c r="O859" s="2" t="inlineStr">
        <is>
          <t>ข้อสอบจริง</t>
        </is>
      </c>
      <c r="P859" s="2" t="inlineStr">
        <is>
          <t>ปี 2555</t>
        </is>
      </c>
    </row>
    <row r="860" ht="13.2" customHeight="1" s="37">
      <c r="A860" s="8" t="inlineStr">
        <is>
          <t>881</t>
        </is>
      </c>
      <c r="B860" s="2" t="inlineStr">
        <is>
          <t>ยาต้านอักเสบตัวใดที่ไม่ควรใช้ในโรคเกาต์</t>
        </is>
      </c>
      <c r="C860" s="2" t="n"/>
      <c r="D860" s="2" t="inlineStr">
        <is>
          <t>Febuxostat 40 mg OD</t>
        </is>
      </c>
      <c r="E860" s="2" t="inlineStr">
        <is>
          <t>Celecoxib 200 mg OD</t>
        </is>
      </c>
      <c r="F860" s="2" t="inlineStr">
        <is>
          <t>Methotrexate 10 mg weekly</t>
        </is>
      </c>
      <c r="G860" s="2" t="inlineStr">
        <is>
          <t>Alendronate 70 mg weekly</t>
        </is>
      </c>
      <c r="H860" s="2" t="inlineStr">
        <is>
          <t>Glucosamine sulfate 1500 mg OD</t>
        </is>
      </c>
      <c r="I860" s="8" t="inlineStr">
        <is>
          <t>1</t>
        </is>
      </c>
      <c r="J860" s="2" t="inlineStr">
        <is>
          <t>✅ คำตอบที่ถูกต้อง: ข้อ ก. Febuxostat 40 mg OD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Febuxostat 40 mg OD การเลือก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Alternative Non-Purine ULT: ใช้เป็นทางเลือกในผู้ที่แพ้ allopurinol หรือ HLA-B*58:01 positive ไม่ต้องปรับ dose ใน mild-moderate renal impairment
• Cardiovascular Precaution: มีคำเตือนระวังการใช้ในผู้ป่วยที่มีประวัติ ischemic heart disease หรือ severe heart failure</t>
        </is>
      </c>
      <c r="K860" s="2" t="n"/>
      <c r="L860" s="2" t="inlineStr">
        <is>
          <t>Musculoskeletal &amp; Joint</t>
        </is>
      </c>
      <c r="M860" s="2" t="inlineStr">
        <is>
          <t>Clinic</t>
        </is>
      </c>
      <c r="N860" s="2" t="inlineStr">
        <is>
          <t>ข้อ 7 (PLE_CC1_2555 Day 2.md)</t>
        </is>
      </c>
      <c r="O860" s="2" t="inlineStr">
        <is>
          <t>ข้อสอบจริง</t>
        </is>
      </c>
      <c r="P860" s="2" t="inlineStr">
        <is>
          <t>ปี 2555</t>
        </is>
      </c>
    </row>
    <row r="861" ht="13.2" customHeight="1" s="37">
      <c r="A861" s="8" t="inlineStr">
        <is>
          <t>882</t>
        </is>
      </c>
      <c r="B861" s="2" t="inlineStr">
        <is>
          <t>Piroxicam MCQ 1/2555 by CURx69 page 14</t>
        </is>
      </c>
      <c r="C861" s="2" t="n"/>
      <c r="D861" s="2" t="inlineStr">
        <is>
          <t>Sodium thiosulfate 25% 50 mL IV</t>
        </is>
      </c>
      <c r="E861" s="2" t="inlineStr">
        <is>
          <t>Calcium disodium EDTA 1 g IV</t>
        </is>
      </c>
      <c r="F861" s="2" t="inlineStr">
        <is>
          <t>Desferrioxamine 1 g IM/IV</t>
        </is>
      </c>
      <c r="G861" s="2" t="inlineStr">
        <is>
          <t>Dimercaprol (BAL) 3 mg/kg IM</t>
        </is>
      </c>
      <c r="H861" s="2" t="inlineStr">
        <is>
          <t>Ethanol 10% IV infusion for Methanol poisoning</t>
        </is>
      </c>
      <c r="I861" s="8" t="inlineStr">
        <is>
          <t>1</t>
        </is>
      </c>
      <c r="J8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861" s="2" t="n"/>
      <c r="L861" s="2" t="inlineStr">
        <is>
          <t>General Therapeutics</t>
        </is>
      </c>
      <c r="M861" s="2" t="inlineStr">
        <is>
          <t>Clinic</t>
        </is>
      </c>
      <c r="N861" s="2" t="inlineStr">
        <is>
          <t>ข้อ 4 (PLE_CC1_2555 Day 2.md)</t>
        </is>
      </c>
      <c r="O861" s="2" t="inlineStr">
        <is>
          <t>ข้อสอบจริง</t>
        </is>
      </c>
      <c r="P861" s="2" t="inlineStr">
        <is>
          <t>ปี 2555</t>
        </is>
      </c>
    </row>
    <row r="862" ht="13.2" customHeight="1" s="37">
      <c r="A862" s="8" t="inlineStr">
        <is>
          <t>883</t>
        </is>
      </c>
      <c r="B862" s="2" t="inlineStr">
        <is>
          <t>ยา B ละลายดีกว่ายา A เพราะสูตรมี SLS เป็น wetting agent</t>
        </is>
      </c>
      <c r="C862" s="2" t="n"/>
      <c r="D862" s="2" t="inlineStr">
        <is>
          <t>Dimercaprol (BAL) 3 mg/kg IM</t>
        </is>
      </c>
      <c r="E862" s="2" t="inlineStr">
        <is>
          <t>Ethanol 10% IV infusion for Methanol poisoning</t>
        </is>
      </c>
      <c r="F862" s="2" t="inlineStr">
        <is>
          <t>Fomepizole 15 mg/kg IV loading</t>
        </is>
      </c>
      <c r="G862" s="2" t="inlineStr">
        <is>
          <t>N-acetylcysteine (NAC) IV infusion protocol</t>
        </is>
      </c>
      <c r="H862" s="2" t="inlineStr">
        <is>
          <t>Atropine sulfate 2 mg IV Q5-10 min</t>
        </is>
      </c>
      <c r="I862" s="8" t="inlineStr">
        <is>
          <t>1</t>
        </is>
      </c>
      <c r="J8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2" s="2" t="n"/>
      <c r="L862" s="2" t="inlineStr">
        <is>
          <t>General Therapeutics</t>
        </is>
      </c>
      <c r="M862" s="2" t="inlineStr">
        <is>
          <t>Clinic</t>
        </is>
      </c>
      <c r="N862" s="2" t="inlineStr">
        <is>
          <t>ข้อ 4 (PLE_CC1_2555 Day 2.md)</t>
        </is>
      </c>
      <c r="O862" s="2" t="inlineStr">
        <is>
          <t>ข้อสอบจริง</t>
        </is>
      </c>
      <c r="P862" s="2" t="inlineStr">
        <is>
          <t>ปี 2555</t>
        </is>
      </c>
    </row>
    <row r="863" ht="13.2" customHeight="1" s="37">
      <c r="A863" s="8" t="inlineStr">
        <is>
          <t>884</t>
        </is>
      </c>
      <c r="B863" s="2" t="inlineStr">
        <is>
          <t>อาบน ้าวันละ 2 ครั้ง</t>
        </is>
      </c>
      <c r="C863" s="2" t="n"/>
      <c r="D863" s="2" t="inlineStr">
        <is>
          <t>N-acetylcysteine (NAC) IV infusion protocol</t>
        </is>
      </c>
      <c r="E863" s="2" t="inlineStr">
        <is>
          <t>Atropine sulfate 2 mg IV Q5-10 min</t>
        </is>
      </c>
      <c r="F863" s="2" t="inlineStr">
        <is>
          <t>Pralidoxime (2-PAM) 1-2 g IV over 30 min</t>
        </is>
      </c>
      <c r="G863" s="2" t="inlineStr">
        <is>
          <t>Naloxone 0.4 mg IV stat</t>
        </is>
      </c>
      <c r="H863" s="2" t="inlineStr">
        <is>
          <t>Flumazenil 0.2 mg IV stat</t>
        </is>
      </c>
      <c r="I863" s="8" t="inlineStr">
        <is>
          <t>1</t>
        </is>
      </c>
      <c r="J8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63" s="2" t="n"/>
      <c r="L863" s="2" t="inlineStr">
        <is>
          <t>General Therapeutics</t>
        </is>
      </c>
      <c r="M863" s="2" t="inlineStr">
        <is>
          <t>Clinic</t>
        </is>
      </c>
      <c r="N863" s="2" t="inlineStr">
        <is>
          <t>ข้อ 1 (PLE_CC1_2555 Day 2.md)</t>
        </is>
      </c>
      <c r="O863" s="2" t="inlineStr">
        <is>
          <t>ข้อสอบจริง</t>
        </is>
      </c>
      <c r="P863" s="2" t="inlineStr">
        <is>
          <t>ปี 2555</t>
        </is>
      </c>
    </row>
    <row r="864" ht="13.2" customHeight="1" s="37">
      <c r="A864" s="8" t="inlineStr">
        <is>
          <t>885</t>
        </is>
      </c>
      <c r="B864" s="2" t="inlineStr">
        <is>
          <t>ทาโลชั่นบ่อยๆ เพื่อให้ผิวชุ่มชื้น</t>
        </is>
      </c>
      <c r="C864" s="2" t="n"/>
      <c r="D864" s="2" t="inlineStr">
        <is>
          <t>Naloxone 0.4 mg IV stat</t>
        </is>
      </c>
      <c r="E864" s="2" t="inlineStr">
        <is>
          <t>Flumazenil 0.2 mg IV stat</t>
        </is>
      </c>
      <c r="F864" s="2" t="inlineStr">
        <is>
          <t>Vitamin K1 (Phytomenadione) 10 mg IV slow</t>
        </is>
      </c>
      <c r="G864" s="2" t="inlineStr">
        <is>
          <t>Sodium thiosulfate 25% 50 mL IV</t>
        </is>
      </c>
      <c r="H864" s="2" t="inlineStr">
        <is>
          <t>Calcium disodium EDTA 1 g IV</t>
        </is>
      </c>
      <c r="I864" s="8" t="inlineStr">
        <is>
          <t>1</t>
        </is>
      </c>
      <c r="J8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64" s="2" t="n"/>
      <c r="L864" s="2" t="inlineStr">
        <is>
          <t>General Therapeutics</t>
        </is>
      </c>
      <c r="M864" s="2" t="inlineStr">
        <is>
          <t>Clinic</t>
        </is>
      </c>
      <c r="N864" s="2" t="inlineStr">
        <is>
          <t>ข้อ 2 (PLE_CC1_2555 Day 2.md)</t>
        </is>
      </c>
      <c r="O864" s="2" t="inlineStr">
        <is>
          <t>ข้อสอบจริง</t>
        </is>
      </c>
      <c r="P864" s="2" t="inlineStr">
        <is>
          <t>ปี 2555</t>
        </is>
      </c>
    </row>
    <row r="865" ht="13.2" customHeight="1" s="37">
      <c r="A865" s="8" t="inlineStr">
        <is>
          <t>886</t>
        </is>
      </c>
      <c r="B865" s="2" t="inlineStr">
        <is>
          <t>ทายาบางๆบริเวณที่เป็น</t>
        </is>
      </c>
      <c r="C865" s="2" t="n"/>
      <c r="D865" s="2" t="inlineStr">
        <is>
          <t>Sodium thiosulfate 25% 50 mL IV</t>
        </is>
      </c>
      <c r="E865" s="2" t="inlineStr">
        <is>
          <t>Calcium disodium EDTA 1 g IV</t>
        </is>
      </c>
      <c r="F865" s="2" t="inlineStr">
        <is>
          <t>Desferrioxamine 1 g IM/IV</t>
        </is>
      </c>
      <c r="G865" s="2" t="inlineStr">
        <is>
          <t>Dimercaprol (BAL) 3 mg/kg IM</t>
        </is>
      </c>
      <c r="H865" s="2" t="inlineStr">
        <is>
          <t>Ethanol 10% IV infusion for Methanol poisoning</t>
        </is>
      </c>
      <c r="I865" s="8" t="inlineStr">
        <is>
          <t>1</t>
        </is>
      </c>
      <c r="J8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5" s="2" t="n"/>
      <c r="L865" s="2" t="inlineStr">
        <is>
          <t>General Therapeutics</t>
        </is>
      </c>
      <c r="M865" s="2" t="inlineStr">
        <is>
          <t>Clinic</t>
        </is>
      </c>
      <c r="N865" s="2" t="inlineStr">
        <is>
          <t>ข้อ 3 (PLE_CC1_2555 Day 2.md)</t>
        </is>
      </c>
      <c r="O865" s="2" t="inlineStr">
        <is>
          <t>ข้อสอบจริง</t>
        </is>
      </c>
      <c r="P865" s="2" t="inlineStr">
        <is>
          <t>ปี 2555</t>
        </is>
      </c>
    </row>
    <row r="866" ht="13.2" customHeight="1" s="37">
      <c r="A866" s="8" t="inlineStr">
        <is>
          <t>887</t>
        </is>
      </c>
      <c r="B866" s="2" t="inlineStr">
        <is>
          <t>ล้างมือบ่อยๆด้วยClohexidine scrub เพื่อฆ่าเชื้อ</t>
        </is>
      </c>
      <c r="C866" s="2" t="n"/>
      <c r="D866" s="2" t="inlineStr">
        <is>
          <t>ควรใช้ยาใดในการรักษา</t>
        </is>
      </c>
      <c r="E866" s="2" t="inlineStr">
        <is>
          <t>Ethanol 10% IV infusion for Methanol poisoning</t>
        </is>
      </c>
      <c r="F866" s="2" t="inlineStr">
        <is>
          <t>Fomepizole 15 mg/kg IV loading</t>
        </is>
      </c>
      <c r="G866" s="2" t="inlineStr">
        <is>
          <t>N-acetylcysteine (NAC) IV infusion protocol</t>
        </is>
      </c>
      <c r="H866" s="2" t="inlineStr">
        <is>
          <t>Atropine sulfate 2 mg IV Q5-10 min</t>
        </is>
      </c>
      <c r="I866" s="8" t="inlineStr">
        <is>
          <t>1</t>
        </is>
      </c>
      <c r="J866" s="2" t="inlineStr">
        <is>
          <t>✅ คำตอบที่ถูกต้อง: ข้อ ก. ควรใช้ยาใดในการรักษา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ควรใช้ยาใดในการรักษา การเลือก ควรใช้ยาใดในการรักษา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6" s="2" t="n"/>
      <c r="L866" s="2" t="inlineStr">
        <is>
          <t>General Therapeutics</t>
        </is>
      </c>
      <c r="M866" s="2" t="inlineStr">
        <is>
          <t>Clinic</t>
        </is>
      </c>
      <c r="N866" s="2" t="inlineStr">
        <is>
          <t>ข้อ 5 (PLE_CC1_2555 Day 2.md)</t>
        </is>
      </c>
      <c r="O866" s="2" t="inlineStr">
        <is>
          <t>ข้อสอบจริง</t>
        </is>
      </c>
      <c r="P866" s="2" t="inlineStr">
        <is>
          <t>ปี 2555</t>
        </is>
      </c>
    </row>
    <row r="867" ht="13.2" customHeight="1" s="37">
      <c r="A867" s="8" t="inlineStr">
        <is>
          <t>888</t>
        </is>
      </c>
      <c r="B867" s="2" t="inlineStr">
        <is>
          <t>O/W 3) W/O 4) PEG base</t>
        </is>
      </c>
      <c r="C867" s="2" t="n"/>
      <c r="D867" s="2" t="inlineStr">
        <is>
          <t>N-acetylcysteine (NAC) IV infusion protocol</t>
        </is>
      </c>
      <c r="E867" s="2" t="inlineStr">
        <is>
          <t>Atropine sulfate 2 mg IV Q5-10 min</t>
        </is>
      </c>
      <c r="F867" s="2" t="inlineStr">
        <is>
          <t>Pralidoxime (2-PAM) 1-2 g IV over 30 min</t>
        </is>
      </c>
      <c r="G867" s="2" t="inlineStr">
        <is>
          <t>Naloxone 0.4 mg IV stat</t>
        </is>
      </c>
      <c r="H867" s="2" t="inlineStr">
        <is>
          <t>Flumazenil 0.2 mg IV stat</t>
        </is>
      </c>
      <c r="I867" s="8" t="inlineStr">
        <is>
          <t>1</t>
        </is>
      </c>
      <c r="J8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67" s="2" t="n"/>
      <c r="L867" s="2" t="inlineStr">
        <is>
          <t>General Therapeutics</t>
        </is>
      </c>
      <c r="M867" s="2" t="inlineStr">
        <is>
          <t>Clinic</t>
        </is>
      </c>
      <c r="N867" s="2" t="inlineStr">
        <is>
          <t>ข้อ 2 (PLE_CC1_2555 Day 2.md)</t>
        </is>
      </c>
      <c r="O867" s="2" t="inlineStr">
        <is>
          <t>ข้อสอบจริง</t>
        </is>
      </c>
      <c r="P867" s="2" t="inlineStr">
        <is>
          <t>ปี 2555</t>
        </is>
      </c>
    </row>
    <row r="868" ht="13.2" customHeight="1" s="37">
      <c r="A868" s="8" t="inlineStr">
        <is>
          <t>889</t>
        </is>
      </c>
      <c r="B868" s="2" t="inlineStr">
        <is>
          <t>อาการข้างเคียงเมื่อใช้ hydroxyzine สูงๆ คือชัก และ ง่วงนอน</t>
        </is>
      </c>
      <c r="C868" s="2" t="n"/>
      <c r="D868" s="2" t="inlineStr">
        <is>
          <t>Carbamazepine 200 mg BID</t>
        </is>
      </c>
      <c r="E868" s="2" t="inlineStr">
        <is>
          <t>Lamotrigine 50 mg OD</t>
        </is>
      </c>
      <c r="F868" s="2" t="inlineStr">
        <is>
          <t>Levetiracetam 500 mg BID</t>
        </is>
      </c>
      <c r="G868" s="2" t="inlineStr">
        <is>
          <t>Gabapentin 300 mg TID</t>
        </is>
      </c>
      <c r="H868" s="2" t="inlineStr">
        <is>
          <t>Pregabalin 75 mg BID</t>
        </is>
      </c>
      <c r="I868" s="8" t="inlineStr">
        <is>
          <t>1</t>
        </is>
      </c>
      <c r="J868" s="2" t="inlineStr">
        <is>
          <t>✅ คำตอบที่ถูกต้อง: ข้อ ก. Carbamazepine 200 mg BID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(Lamotrigine 50 mg OD): เป็น broad-spectrum AED และ mood stabilizer ต้องเริ่มจากขนาดยาต่ำๆ และค่อยๆ titrate ช้าๆ เพื่อป้องกัน severe cutaneous rash (SJS/TEN)
• ข้อ ค.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ข้อ ง. (Gabapentin 300 mg TID): ข้อนี้ไม่ใช่คำตอบที่ถูกต้องสำหรับภาวะ Neurologic Disorders เนื่องจากกลไกการออกฤทธิ์, efficacy หรือข้อบ่งใช้ไม่ตรงกับโจทย์ที่กำหนด
• ข้อ จ. (Pregabalin 75 mg BID):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68" s="2" t="n"/>
      <c r="L868" s="2" t="inlineStr">
        <is>
          <t>Neurologic Disorders</t>
        </is>
      </c>
      <c r="M868" s="2" t="inlineStr">
        <is>
          <t>Clinic</t>
        </is>
      </c>
      <c r="N868" s="2" t="inlineStr">
        <is>
          <t>ข้อ 2 (PLE_CC1_2555 Day 2.md)</t>
        </is>
      </c>
      <c r="O868" s="2" t="inlineStr">
        <is>
          <t>ข้อสอบจริง</t>
        </is>
      </c>
      <c r="P868" s="2" t="inlineStr">
        <is>
          <t>ปี 2555</t>
        </is>
      </c>
    </row>
    <row r="869" ht="13.2" customHeight="1" s="37">
      <c r="A869" s="8" t="inlineStr">
        <is>
          <t>890</t>
        </is>
      </c>
      <c r="B869" s="2" t="inlineStr">
        <is>
          <t>หลีกเลี่ยงการกินพร้อมกับ ชา กาแฟ</t>
        </is>
      </c>
      <c r="C869" s="2" t="n"/>
      <c r="D869" s="2" t="inlineStr">
        <is>
          <t>Sodium thiosulfate 25% 50 mL IV</t>
        </is>
      </c>
      <c r="E869" s="2" t="inlineStr">
        <is>
          <t>Calcium disodium EDTA 1 g IV</t>
        </is>
      </c>
      <c r="F869" s="2" t="inlineStr">
        <is>
          <t>Desferrioxamine 1 g IM/IV</t>
        </is>
      </c>
      <c r="G869" s="2" t="inlineStr">
        <is>
          <t>Dimercaprol (BAL) 3 mg/kg IM</t>
        </is>
      </c>
      <c r="H869" s="2" t="inlineStr">
        <is>
          <t>Ethanol 10% IV infusion for Methanol poisoning</t>
        </is>
      </c>
      <c r="I869" s="8" t="inlineStr">
        <is>
          <t>1</t>
        </is>
      </c>
      <c r="J8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9" s="2" t="n"/>
      <c r="L869" s="2" t="inlineStr">
        <is>
          <t>General Therapeutics</t>
        </is>
      </c>
      <c r="M869" s="2" t="inlineStr">
        <is>
          <t>Clinic</t>
        </is>
      </c>
      <c r="N869" s="2" t="inlineStr">
        <is>
          <t>ข้อ 2 (PLE_CC1_2555 Day 2.md)</t>
        </is>
      </c>
      <c r="O869" s="2" t="inlineStr">
        <is>
          <t>ข้อสอบจริง</t>
        </is>
      </c>
      <c r="P869" s="2" t="inlineStr">
        <is>
          <t>ปี 2555</t>
        </is>
      </c>
    </row>
    <row r="870" ht="13.2" customHeight="1" s="37">
      <c r="A870" s="8" t="inlineStr">
        <is>
          <t>891</t>
        </is>
      </c>
      <c r="B870" s="2" t="inlineStr">
        <is>
          <t>หลีกเลี่ยงการรับประทานพร้อมกับนม MCQ 1/2555 by CURx69 page 16</t>
        </is>
      </c>
      <c r="C870" s="2" t="n"/>
      <c r="D870" s="2" t="inlineStr">
        <is>
          <t>Dimercaprol (BAL) 3 mg/kg IM</t>
        </is>
      </c>
      <c r="E870" s="2" t="inlineStr">
        <is>
          <t>Ethanol 10% IV infusion for Methanol poisoning</t>
        </is>
      </c>
      <c r="F870" s="2" t="inlineStr">
        <is>
          <t>Fomepizole 15 mg/kg IV loading</t>
        </is>
      </c>
      <c r="G870" s="2" t="inlineStr">
        <is>
          <t>N-acetylcysteine (NAC) IV infusion protocol</t>
        </is>
      </c>
      <c r="H870" s="2" t="inlineStr">
        <is>
          <t>Atropine sulfate 2 mg IV Q5-10 min</t>
        </is>
      </c>
      <c r="I870" s="8" t="inlineStr">
        <is>
          <t>1</t>
        </is>
      </c>
      <c r="J8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70" s="2" t="n"/>
      <c r="L870" s="2" t="inlineStr">
        <is>
          <t>General Therapeutics</t>
        </is>
      </c>
      <c r="M870" s="2" t="inlineStr">
        <is>
          <t>Clinic</t>
        </is>
      </c>
      <c r="N870" s="2" t="inlineStr">
        <is>
          <t>ข้อ 3 (PLE_CC1_2555 Day 2.md)</t>
        </is>
      </c>
      <c r="O870" s="2" t="inlineStr">
        <is>
          <t>ข้อสอบจริง</t>
        </is>
      </c>
      <c r="P870" s="2" t="inlineStr">
        <is>
          <t>ปี 2555</t>
        </is>
      </c>
    </row>
    <row r="871" ht="13.2" customHeight="1" s="37">
      <c r="A871" s="8" t="inlineStr">
        <is>
          <t>892</t>
        </is>
      </c>
      <c r="B871" s="2" t="inlineStr">
        <is>
          <t>ถ้าลืมรับประทานยาให้รับประทามื้อต่อไป 2 เม็ด</t>
        </is>
      </c>
      <c r="C871" s="2" t="n"/>
      <c r="D871" s="2" t="inlineStr">
        <is>
          <t>N-acetylcysteine (NAC) IV infusion protocol</t>
        </is>
      </c>
      <c r="E871" s="2" t="inlineStr">
        <is>
          <t>Atropine sulfate 2 mg IV Q5-10 min</t>
        </is>
      </c>
      <c r="F871" s="2" t="inlineStr">
        <is>
          <t>Pralidoxime (2-PAM) 1-2 g IV over 30 min</t>
        </is>
      </c>
      <c r="G871" s="2" t="inlineStr">
        <is>
          <t>Naloxone 0.4 mg IV stat</t>
        </is>
      </c>
      <c r="H871" s="2" t="inlineStr">
        <is>
          <t>Flumazenil 0.2 mg IV stat</t>
        </is>
      </c>
      <c r="I871" s="8" t="inlineStr">
        <is>
          <t>1</t>
        </is>
      </c>
      <c r="J8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71" s="2" t="n"/>
      <c r="L871" s="2" t="inlineStr">
        <is>
          <t>General Therapeutics</t>
        </is>
      </c>
      <c r="M871" s="2" t="inlineStr">
        <is>
          <t>Clinic</t>
        </is>
      </c>
      <c r="N871" s="2" t="inlineStr">
        <is>
          <t>ข้อ 4 (PLE_CC1_2555 Day 2.md)</t>
        </is>
      </c>
      <c r="O871" s="2" t="inlineStr">
        <is>
          <t>ข้อสอบจริง</t>
        </is>
      </c>
      <c r="P871" s="2" t="inlineStr">
        <is>
          <t>ปี 2555</t>
        </is>
      </c>
    </row>
    <row r="872" ht="13.2" customHeight="1" s="37">
      <c r="A872" s="8" t="inlineStr">
        <is>
          <t>893</t>
        </is>
      </c>
      <c r="B872" s="2" t="inlineStr">
        <is>
          <t>หากกินร่วมกับยา Antacid ให้กินห่างกัน 2 ชม.</t>
        </is>
      </c>
      <c r="C872" s="2" t="n"/>
      <c r="D872" s="2" t="inlineStr">
        <is>
          <t>Esomeprazole 20 mg OD</t>
        </is>
      </c>
      <c r="E872" s="2" t="inlineStr">
        <is>
          <t>Domperidone 10 mg TID</t>
        </is>
      </c>
      <c r="F872" s="2" t="inlineStr">
        <is>
          <t>Dimenhydrinate 50 mg TID</t>
        </is>
      </c>
      <c r="G872" s="2" t="inlineStr">
        <is>
          <t>Loperamide 2 mg PRN</t>
        </is>
      </c>
      <c r="H872" s="2" t="inlineStr">
        <is>
          <t>Senna 2 tabs HS</t>
        </is>
      </c>
      <c r="I872" s="8" t="inlineStr">
        <is>
          <t>1</t>
        </is>
      </c>
      <c r="J872" s="2" t="inlineStr">
        <is>
          <t>✅ คำตอบที่ถูกต้อง: ข้อ ก. Esomeprazole 20 mg OD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เป็น peripheral D2 receptor antagonist เพิ่ม GI motility ไม่ผ่าน BBB จึงไม่ทำให้เกิด EPS เด่นชัด แต่ต้องระวัง QT prolongation ในขนาดสูง (&gt; 30 mg/day)
• ข้อ ค.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ง. (Loperamide 2 mg PRN): เป็น peripheral mu-opioid agonist ลด peristalsis ใช้บรรเทาอาการ acute non-infectious diarrhea แต่ห้ามใช้ใน bloody diarrhea (dysentery) หรือ bacterial enteritis (เสี่ยง toxic megacolon)
• ข้อ จ. (Senna 2 tabs HS): เป็น Anthraquinone stimulant laxative กระตุ้น myenteric plexus แต่การใช้ระยะยาวอาจทำให้เกิด melanosis coli และ bowel dependence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2" s="2" t="n"/>
      <c r="L872" s="2" t="inlineStr">
        <is>
          <t>GI Disorders</t>
        </is>
      </c>
      <c r="M872" s="2" t="inlineStr">
        <is>
          <t>Clinic</t>
        </is>
      </c>
      <c r="N872" s="2" t="inlineStr">
        <is>
          <t>ข้อ 5 (PLE_CC1_2555 Day 2.md)</t>
        </is>
      </c>
      <c r="O872" s="2" t="inlineStr">
        <is>
          <t>ข้อสอบจริง</t>
        </is>
      </c>
      <c r="P872" s="2" t="inlineStr">
        <is>
          <t>ปี 2555</t>
        </is>
      </c>
    </row>
    <row r="873" ht="13.2" customHeight="1" s="37">
      <c r="A873" s="8" t="inlineStr">
        <is>
          <t>894</t>
        </is>
      </c>
      <c r="B873" s="2" t="inlineStr">
        <is>
          <t>อาการข้างเคียงของยา Ciprofloxacin ที่รุนแรงและสำคัญคือ</t>
        </is>
      </c>
      <c r="C873" s="2" t="n"/>
      <c r="D873" s="2" t="inlineStr">
        <is>
          <t>Doxycycline 100 mg BID</t>
        </is>
      </c>
      <c r="E873" s="2" t="inlineStr">
        <is>
          <t>Cotrimoxazole 160/800 mg BID</t>
        </is>
      </c>
      <c r="F873" s="2" t="inlineStr">
        <is>
          <t>Metronidazole 400 mg TID</t>
        </is>
      </c>
      <c r="G873" s="2" t="inlineStr">
        <is>
          <t>Nitrofurantoin 100 mg BID</t>
        </is>
      </c>
      <c r="H873" s="2" t="inlineStr">
        <is>
          <t>Tenofovir/Emtricitabine 300/200 mg OD</t>
        </is>
      </c>
      <c r="I873" s="8" t="inlineStr">
        <is>
          <t>1</t>
        </is>
      </c>
      <c r="J873" s="2" t="inlineStr">
        <is>
          <t>✅ คำตอบที่ถูกต้อง: ข้อ ก. Doxycycline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Doxycycline 100 mg BID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873" s="2" t="n"/>
      <c r="L873" s="2" t="inlineStr">
        <is>
          <t>Infectious Diseases</t>
        </is>
      </c>
      <c r="M873" s="2" t="inlineStr">
        <is>
          <t>Clinic</t>
        </is>
      </c>
      <c r="N873" s="2" t="inlineStr">
        <is>
          <t>ข้อ 2 (PLE_CC1_2555 Day 2.md)</t>
        </is>
      </c>
      <c r="O873" s="2" t="inlineStr">
        <is>
          <t>ข้อสอบจริง</t>
        </is>
      </c>
      <c r="P873" s="2" t="inlineStr">
        <is>
          <t>ปี 2555</t>
        </is>
      </c>
    </row>
    <row r="874" ht="13.2" customHeight="1" s="37">
      <c r="A874" s="8" t="inlineStr">
        <is>
          <t>895</t>
        </is>
      </c>
      <c r="B874" s="2" t="inlineStr">
        <is>
          <t>Burning sensation</t>
        </is>
      </c>
      <c r="C874" s="2" t="n"/>
      <c r="D874" s="2" t="inlineStr">
        <is>
          <t>Adapalene 0.1% gel</t>
        </is>
      </c>
      <c r="E874" s="2" t="inlineStr">
        <is>
          <t>Mupirocin 2% ointment</t>
        </is>
      </c>
      <c r="F874" s="2" t="inlineStr">
        <is>
          <t>Betamethasone dipropionate 0.05% cream</t>
        </is>
      </c>
      <c r="G874" s="2" t="inlineStr">
        <is>
          <t>Clotrimazole 1% cream</t>
        </is>
      </c>
      <c r="H874" s="2" t="inlineStr">
        <is>
          <t>Hydrocortisone 1% cream</t>
        </is>
      </c>
      <c r="I874" s="8" t="inlineStr">
        <is>
          <t>1</t>
        </is>
      </c>
      <c r="J874" s="2" t="inlineStr">
        <is>
          <t>✅ คำตอบที่ถูกต้อง: ข้อ ก. Adapalene 0.1% gel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(Mupirocin 2% ointment): ข้อนี้ไม่ใช่คำตอบที่ถูกต้องสำหรับภาวะ Dermatologic Disorders เนื่องจากกลไกการออกฤทธิ์, efficacy หรือข้อบ่งใช้ไม่ตรงกับโจทย์ที่กำหนด
• ข้อ ค. (Betamethasone dipropionate 0.05% cream): ข้อนี้ไม่ใช่คำตอบที่ถูกต้องสำหรับภาวะ Dermatologic Disorders เนื่องจากกลไกการออกฤทธิ์, efficacy หรือข้อบ่งใช้ไม่ตรงกับโจทย์ที่กำหนด
• ข้อ ง. (Clotrimazole 1% cream): ข้อนี้ไม่ใช่คำตอบที่ถูกต้องสำหรับภาวะ Dermatologic Disorders เนื่องจากกลไกการออกฤทธิ์, efficacy หรือข้อบ่งใช้ไม่ตรงกับโจทย์ที่กำหนด
• ข้อ จ. (Hydrocortisone 1% cream): เป็น short-acting glucocorticoid ที่มี mineralocorticoid activity สูง เป็น drug of choice สำหรับ acute adrenal insufficiency / adrenal crisis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4" s="2" t="n"/>
      <c r="L874" s="2" t="inlineStr">
        <is>
          <t>Dermatologic Disorders</t>
        </is>
      </c>
      <c r="M874" s="2" t="inlineStr">
        <is>
          <t>Clinic</t>
        </is>
      </c>
      <c r="N874" s="2" t="inlineStr">
        <is>
          <t>ข้อ 5 (PLE_CC1_2555 Day 2.md)</t>
        </is>
      </c>
      <c r="O874" s="2" t="inlineStr">
        <is>
          <t>ข้อสอบจริง</t>
        </is>
      </c>
      <c r="P874" s="2" t="inlineStr">
        <is>
          <t>ปี 2555</t>
        </is>
      </c>
    </row>
    <row r="875" ht="13.2" customHeight="1" s="37">
      <c r="A875" s="8" t="inlineStr">
        <is>
          <t>896</t>
        </is>
      </c>
      <c r="B875" s="2" t="inlineStr">
        <is>
          <t>หยุดรับประทานยาทั้งสองชนิดและไปพบแพทย์</t>
        </is>
      </c>
      <c r="C875" s="2" t="n"/>
      <c r="D875" s="2" t="inlineStr">
        <is>
          <t>N-acetylcysteine (NAC) IV infusion protocol</t>
        </is>
      </c>
      <c r="E875" s="2" t="inlineStr">
        <is>
          <t>Atropine sulfate 2 mg IV Q5-10 min</t>
        </is>
      </c>
      <c r="F875" s="2" t="inlineStr">
        <is>
          <t>Pralidoxime (2-PAM) 1-2 g IV over 30 min</t>
        </is>
      </c>
      <c r="G875" s="2" t="inlineStr">
        <is>
          <t>Naloxone 0.4 mg IV stat</t>
        </is>
      </c>
      <c r="H875" s="2" t="inlineStr">
        <is>
          <t>Flumazenil 0.2 mg IV stat</t>
        </is>
      </c>
      <c r="I875" s="8" t="inlineStr">
        <is>
          <t>1</t>
        </is>
      </c>
      <c r="J8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75" s="2" t="n"/>
      <c r="L875" s="2" t="inlineStr">
        <is>
          <t>General Therapeutics</t>
        </is>
      </c>
      <c r="M875" s="2" t="inlineStr">
        <is>
          <t>Clinic</t>
        </is>
      </c>
      <c r="N875" s="2" t="inlineStr">
        <is>
          <t>ข้อ 1 (PLE_CC1_2555 Day 2.md)</t>
        </is>
      </c>
      <c r="O875" s="2" t="inlineStr">
        <is>
          <t>ข้อสอบจริง</t>
        </is>
      </c>
      <c r="P875" s="2" t="inlineStr">
        <is>
          <t>ปี 2555</t>
        </is>
      </c>
    </row>
    <row r="876" ht="13.2" customHeight="1" s="37">
      <c r="A876" s="8" t="inlineStr">
        <is>
          <t>897</t>
        </is>
      </c>
      <c r="B876" s="2" t="inlineStr">
        <is>
          <t>หยุดยา Hyoscine และจ่ายยาแก้ไขอาการ</t>
        </is>
      </c>
      <c r="C876" s="2" t="n"/>
      <c r="D876" s="2" t="inlineStr">
        <is>
          <t>Naloxone 0.4 mg IV stat</t>
        </is>
      </c>
      <c r="E876" s="2" t="inlineStr">
        <is>
          <t>Flumazenil 0.2 mg IV stat</t>
        </is>
      </c>
      <c r="F876" s="2" t="inlineStr">
        <is>
          <t>Vitamin K1 (Phytomenadione) 10 mg IV slow</t>
        </is>
      </c>
      <c r="G876" s="2" t="inlineStr">
        <is>
          <t>Sodium thiosulfate 25% 50 mL IV</t>
        </is>
      </c>
      <c r="H876" s="2" t="inlineStr">
        <is>
          <t>Calcium disodium EDTA 1 g IV</t>
        </is>
      </c>
      <c r="I876" s="8" t="inlineStr">
        <is>
          <t>1</t>
        </is>
      </c>
      <c r="J8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76" s="2" t="n"/>
      <c r="L876" s="2" t="inlineStr">
        <is>
          <t>General Therapeutics</t>
        </is>
      </c>
      <c r="M876" s="2" t="inlineStr">
        <is>
          <t>Clinic</t>
        </is>
      </c>
      <c r="N876" s="2" t="inlineStr">
        <is>
          <t>ข้อ 2 (PLE_CC1_2555 Day 2.md)</t>
        </is>
      </c>
      <c r="O876" s="2" t="inlineStr">
        <is>
          <t>ข้อสอบจริง</t>
        </is>
      </c>
      <c r="P876" s="2" t="inlineStr">
        <is>
          <t>ปี 2555</t>
        </is>
      </c>
    </row>
    <row r="877" ht="13.2" customHeight="1" s="37">
      <c r="A877" s="8" t="inlineStr">
        <is>
          <t>898</t>
        </is>
      </c>
      <c r="B877" s="2" t="inlineStr">
        <is>
          <t>สามารหยุดยาทั้ง 2 ตัวและไม่ต้องทำอะไรเนื่องจากรับประทานยามา 5 วันแล้ว</t>
        </is>
      </c>
      <c r="C877" s="2" t="n"/>
      <c r="D877" s="2" t="inlineStr">
        <is>
          <t>Sodium thiosulfate 25% 50 mL IV</t>
        </is>
      </c>
      <c r="E877" s="2" t="inlineStr">
        <is>
          <t>Calcium disodium EDTA 1 g IV</t>
        </is>
      </c>
      <c r="F877" s="2" t="inlineStr">
        <is>
          <t>Desferrioxamine 1 g IM/IV</t>
        </is>
      </c>
      <c r="G877" s="2" t="inlineStr">
        <is>
          <t>Dimercaprol (BAL) 3 mg/kg IM</t>
        </is>
      </c>
      <c r="H877" s="2" t="inlineStr">
        <is>
          <t>Ethanol 10% IV infusion for Methanol poisoning</t>
        </is>
      </c>
      <c r="I877" s="8" t="inlineStr">
        <is>
          <t>1</t>
        </is>
      </c>
      <c r="J8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77" s="2" t="n"/>
      <c r="L877" s="2" t="inlineStr">
        <is>
          <t>General Therapeutics</t>
        </is>
      </c>
      <c r="M877" s="2" t="inlineStr">
        <is>
          <t>Clinic</t>
        </is>
      </c>
      <c r="N877" s="2" t="inlineStr">
        <is>
          <t>ข้อ 4 (PLE_CC1_2555 Day 2.md)</t>
        </is>
      </c>
      <c r="O877" s="2" t="inlineStr">
        <is>
          <t>ข้อสอบจริง</t>
        </is>
      </c>
      <c r="P877" s="2" t="inlineStr">
        <is>
          <t>ปี 2555</t>
        </is>
      </c>
    </row>
    <row r="878" ht="13.2" customHeight="1" s="37">
      <c r="A878" s="8" t="inlineStr">
        <is>
          <t>899</t>
        </is>
      </c>
      <c r="B878" s="2" t="inlineStr">
        <is>
          <t>รับประทานยานี้ต่อไปเนื่องจากอาการดังกล่าวสามารถหายได้เองใน 1 สัปดาห์</t>
        </is>
      </c>
      <c r="C878" s="2" t="n"/>
      <c r="D878" s="2" t="inlineStr">
        <is>
          <t>Dimercaprol (BAL) 3 mg/kg IM</t>
        </is>
      </c>
      <c r="E878" s="2" t="inlineStr">
        <is>
          <t>Ethanol 10% IV infusion for Methanol poisoning</t>
        </is>
      </c>
      <c r="F878" s="2" t="inlineStr">
        <is>
          <t>Fomepizole 15 mg/kg IV loading</t>
        </is>
      </c>
      <c r="G878" s="2" t="inlineStr">
        <is>
          <t>N-acetylcysteine (NAC) IV infusion protocol</t>
        </is>
      </c>
      <c r="H878" s="2" t="inlineStr">
        <is>
          <t>Atropine sulfate 2 mg IV Q5-10 min</t>
        </is>
      </c>
      <c r="I878" s="8" t="inlineStr">
        <is>
          <t>1</t>
        </is>
      </c>
      <c r="J8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78" s="2" t="n"/>
      <c r="L878" s="2" t="inlineStr">
        <is>
          <t>General Therapeutics</t>
        </is>
      </c>
      <c r="M878" s="2" t="inlineStr">
        <is>
          <t>Clinic</t>
        </is>
      </c>
      <c r="N878" s="2" t="inlineStr">
        <is>
          <t>ข้อ 5 (PLE_CC1_2555 Day 2.md)</t>
        </is>
      </c>
      <c r="O878" s="2" t="inlineStr">
        <is>
          <t>ข้อสอบจริง</t>
        </is>
      </c>
      <c r="P878" s="2" t="inlineStr">
        <is>
          <t>ปี 2555</t>
        </is>
      </c>
    </row>
    <row r="879" ht="13.2" customHeight="1" s="37">
      <c r="A879" s="8" t="inlineStr">
        <is>
          <t>900</t>
        </is>
      </c>
      <c r="B879" s="2" t="inlineStr">
        <is>
          <t>Hyoscine มีข้อห้ามใช้ในโรคต่างๆต่อไปนี้ ยกเว้น</t>
        </is>
      </c>
      <c r="C879" s="2" t="n"/>
      <c r="D879" s="2" t="inlineStr">
        <is>
          <t>N-acetylcysteine (NAC) IV infusion protocol</t>
        </is>
      </c>
      <c r="E879" s="2" t="inlineStr">
        <is>
          <t>Atropine sulfate 2 mg IV Q5-10 min</t>
        </is>
      </c>
      <c r="F879" s="2" t="inlineStr">
        <is>
          <t>Pralidoxime (2-PAM) 1-2 g IV over 30 min</t>
        </is>
      </c>
      <c r="G879" s="2" t="inlineStr">
        <is>
          <t>Naloxone 0.4 mg IV stat</t>
        </is>
      </c>
      <c r="H879" s="2" t="inlineStr">
        <is>
          <t>Flumazenil 0.2 mg IV stat</t>
        </is>
      </c>
      <c r="I879" s="8" t="inlineStr">
        <is>
          <t>1</t>
        </is>
      </c>
      <c r="J8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79" s="2" t="n"/>
      <c r="L879" s="2" t="inlineStr">
        <is>
          <t>General Therapeutics</t>
        </is>
      </c>
      <c r="M879" s="2" t="inlineStr">
        <is>
          <t>Clinic</t>
        </is>
      </c>
      <c r="N879" s="2" t="inlineStr">
        <is>
          <t>ข้อ 4 (PLE_CC1_2555 Day 2.md)</t>
        </is>
      </c>
      <c r="O879" s="2" t="inlineStr">
        <is>
          <t>ข้อสอบจริง</t>
        </is>
      </c>
      <c r="P879" s="2" t="inlineStr">
        <is>
          <t>ปี 2555</t>
        </is>
      </c>
    </row>
    <row r="880" ht="13.2" customHeight="1" s="37">
      <c r="A880" s="8" t="inlineStr">
        <is>
          <t>901</t>
        </is>
      </c>
      <c r="B880" s="2" t="inlineStr">
        <is>
          <t>Gut obstruction</t>
        </is>
      </c>
      <c r="C880" s="2" t="n"/>
      <c r="D880" s="2" t="inlineStr">
        <is>
          <t>Naloxone 0.4 mg IV stat</t>
        </is>
      </c>
      <c r="E880" s="2" t="inlineStr">
        <is>
          <t>Flumazenil 0.2 mg IV stat</t>
        </is>
      </c>
      <c r="F880" s="2" t="inlineStr">
        <is>
          <t>Vitamin K1 (Phytomenadione) 10 mg IV slow</t>
        </is>
      </c>
      <c r="G880" s="2" t="inlineStr">
        <is>
          <t>Sodium thiosulfate 25% 50 mL IV</t>
        </is>
      </c>
      <c r="H880" s="2" t="inlineStr">
        <is>
          <t>Calcium disodium EDTA 1 g IV</t>
        </is>
      </c>
      <c r="I880" s="8" t="inlineStr">
        <is>
          <t>1</t>
        </is>
      </c>
      <c r="J8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80" s="2" t="n"/>
      <c r="L880" s="2" t="inlineStr">
        <is>
          <t>General Therapeutics</t>
        </is>
      </c>
      <c r="M880" s="2" t="inlineStr">
        <is>
          <t>Clinic</t>
        </is>
      </c>
      <c r="N880" s="2" t="inlineStr">
        <is>
          <t>ข้อ 2 (PLE_CC1_2555 Day 2.md)</t>
        </is>
      </c>
      <c r="O880" s="2" t="inlineStr">
        <is>
          <t>ข้อสอบจริง</t>
        </is>
      </c>
      <c r="P880" s="2" t="inlineStr">
        <is>
          <t>ปี 2555</t>
        </is>
      </c>
    </row>
    <row r="881" ht="13.2" customHeight="1" s="37">
      <c r="A881" s="8" t="inlineStr">
        <is>
          <t>902</t>
        </is>
      </c>
      <c r="B881" s="2" t="inlineStr">
        <is>
          <t>Urinary obstruction</t>
        </is>
      </c>
      <c r="C881" s="2" t="n"/>
      <c r="D881" s="2" t="inlineStr">
        <is>
          <t>Sodium thiosulfate 25% 50 mL IV</t>
        </is>
      </c>
      <c r="E881" s="2" t="inlineStr">
        <is>
          <t>Calcium disodium EDTA 1 g IV</t>
        </is>
      </c>
      <c r="F881" s="2" t="inlineStr">
        <is>
          <t>Desferrioxamine 1 g IM/IV</t>
        </is>
      </c>
      <c r="G881" s="2" t="inlineStr">
        <is>
          <t>Dimercaprol (BAL) 3 mg/kg IM</t>
        </is>
      </c>
      <c r="H881" s="2" t="inlineStr">
        <is>
          <t>Ethanol 10% IV infusion for Methanol poisoning</t>
        </is>
      </c>
      <c r="I881" s="8" t="inlineStr">
        <is>
          <t>1</t>
        </is>
      </c>
      <c r="J8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1" s="2" t="n"/>
      <c r="L881" s="2" t="inlineStr">
        <is>
          <t>General Therapeutics</t>
        </is>
      </c>
      <c r="M881" s="2" t="inlineStr">
        <is>
          <t>Clinic</t>
        </is>
      </c>
      <c r="N881" s="2" t="inlineStr">
        <is>
          <t>ข้อ 4 (PLE_CC1_2555 Day 2.md)</t>
        </is>
      </c>
      <c r="O881" s="2" t="inlineStr">
        <is>
          <t>ข้อสอบจริง</t>
        </is>
      </c>
      <c r="P881" s="2" t="inlineStr">
        <is>
          <t>ปี 2555</t>
        </is>
      </c>
    </row>
    <row r="882" ht="13.2" customHeight="1" s="37">
      <c r="A882" s="8" t="inlineStr">
        <is>
          <t>903</t>
        </is>
      </c>
      <c r="B882" s="2" t="inlineStr">
        <is>
          <t>จ่ายได้ทั้งคู่ เนื่องจากเป็นยาอันตราย</t>
        </is>
      </c>
      <c r="C882" s="2" t="n"/>
      <c r="D882" s="2" t="inlineStr">
        <is>
          <t>เกณฑ์จริยธรรมว่าด้วยการส่งเสริมการขายยาของกระทรวงสาธารณสุข</t>
        </is>
      </c>
      <c r="E882" s="2" t="inlineStr">
        <is>
          <t>พ.ร.บ. ยา พ.ศ. 2510 (การจำหน่ายยาอันตรายและยาควบคุมพิเศษ)</t>
        </is>
      </c>
      <c r="F882" s="2" t="inlineStr">
        <is>
          <t>พ.ร.บ. ยาเสพติดให้โทษ พ.ศ. 2522 (ยาเสพติดให้โทษประเภท 2 และ 3)</t>
        </is>
      </c>
      <c r="G882" s="2" t="inlineStr">
        <is>
          <t>พ.ร.บ. วัตถุที่ออกฤทธิ์ต่อจิตและประสาท พ.ศ. 2559 (ประเภท 2 และ 4)</t>
        </is>
      </c>
      <c r="H882" s="2" t="inlineStr">
        <is>
          <t>พ.ร.บ. วิชาชีพเภสัชกรรม พ.ศ. 2537 และข้อบังคับจรรยาบรรณวิชาชีพ</t>
        </is>
      </c>
      <c r="I882" s="8" t="inlineStr">
        <is>
          <t>1</t>
        </is>
      </c>
      <c r="J88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2" s="2" t="n"/>
      <c r="L882" s="2" t="inlineStr">
        <is>
          <t>Pharmacy Laws &amp; Ethics</t>
        </is>
      </c>
      <c r="M882" s="2" t="inlineStr">
        <is>
          <t>SAP</t>
        </is>
      </c>
      <c r="N882" s="2" t="inlineStr">
        <is>
          <t>ข้อ 1 (PLE_CC1_2555 Day 2.md)</t>
        </is>
      </c>
      <c r="O882" s="2" t="inlineStr">
        <is>
          <t>ข้อสอบจริง</t>
        </is>
      </c>
      <c r="P882" s="2" t="inlineStr">
        <is>
          <t>ปี 2555</t>
        </is>
      </c>
    </row>
    <row r="883" ht="13.2" customHeight="1" s="37">
      <c r="A883" s="8" t="inlineStr">
        <is>
          <t>904</t>
        </is>
      </c>
      <c r="B883" s="2" t="inlineStr">
        <is>
          <t>ไม่สามารถจ่ายยา Hyoscine ได้เนื่องจากเป็นวัตถุออกฤทธิ์</t>
        </is>
      </c>
      <c r="C883" s="2" t="n"/>
      <c r="D883" s="2" t="inlineStr">
        <is>
          <t>พ.ร.บ. วัตถุที่ออกฤทธิ์ต่อจิตและประสาท พ.ศ. 2559 (ประเภท 2 และ 4)</t>
        </is>
      </c>
      <c r="E883" s="2" t="inlineStr">
        <is>
          <t>พ.ร.บ. วิชาชีพเภสัชกรรม พ.ศ. 2537 และข้อบังคับจรรยาบรรณวิชาชีพ</t>
        </is>
      </c>
      <c r="F883" s="2" t="inlineStr">
        <is>
          <t>พ.ร.บ. ผลิตภัณฑ์สมุนไพร พ.ศ. 2562</t>
        </is>
      </c>
      <c r="G883" s="2" t="inlineStr">
        <is>
          <t>พ.ร.บ. เครื่องสำอาง พ.ศ. 2558</t>
        </is>
      </c>
      <c r="H883" s="2" t="inlineStr">
        <is>
          <t>พ.ร.บ. หลักประกันสุขภาพแห่งชาติ พ.ศ. 2545</t>
        </is>
      </c>
      <c r="I883" s="8" t="inlineStr">
        <is>
          <t>1</t>
        </is>
      </c>
      <c r="J883"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3" s="2" t="n"/>
      <c r="L883" s="2" t="inlineStr">
        <is>
          <t>Pharmacy Laws &amp; Ethics</t>
        </is>
      </c>
      <c r="M883" s="2" t="inlineStr">
        <is>
          <t>SAP</t>
        </is>
      </c>
      <c r="N883" s="2" t="inlineStr">
        <is>
          <t>ข้อ 2 (PLE_CC1_2555 Day 2.md)</t>
        </is>
      </c>
      <c r="O883" s="2" t="inlineStr">
        <is>
          <t>ข้อสอบจริง</t>
        </is>
      </c>
      <c r="P883" s="2" t="inlineStr">
        <is>
          <t>ปี 2555</t>
        </is>
      </c>
    </row>
    <row r="884" ht="13.2" customHeight="1" s="37">
      <c r="A884" s="8" t="inlineStr">
        <is>
          <t>905</t>
        </is>
      </c>
      <c r="B884" s="2" t="inlineStr">
        <is>
          <t>ไม่สามารถจ่ายยา Hyoscine ได้เนื่องจากเป็นยาเสพติด</t>
        </is>
      </c>
      <c r="C884" s="2" t="n"/>
      <c r="D884" s="2" t="inlineStr">
        <is>
          <t>พ.ร.บ. เครื่องสำอาง พ.ศ. 2558</t>
        </is>
      </c>
      <c r="E884" s="2" t="inlineStr">
        <is>
          <t>พ.ร.บ. หลักประกันสุขภาพแห่งชาติ พ.ศ. 2545</t>
        </is>
      </c>
      <c r="F884" s="2" t="inlineStr">
        <is>
          <t>การปฏิบัติทางเภสัชกรรมชุมชน (Good Pharmacy Practice: GPP)</t>
        </is>
      </c>
      <c r="G884" s="2" t="inlineStr">
        <is>
          <t>บัญชียาหลักแห่งชาติ (National List of Essential Medicines: NLEM)</t>
        </is>
      </c>
      <c r="H884" s="2" t="inlineStr">
        <is>
          <t>เกณฑ์จริยธรรมว่าด้วยการส่งเสริมการขายยาของกระทรวงสาธารณสุข</t>
        </is>
      </c>
      <c r="I884" s="8" t="inlineStr">
        <is>
          <t>1</t>
        </is>
      </c>
      <c r="J884" s="2" t="inlineStr">
        <is>
          <t>✅ คำตอบที่ถูกต้อง: ข้อ ก. พ.ร.บ. เครื่องสำอาง พ.ศ. 2558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4" s="2" t="n"/>
      <c r="L884" s="2" t="inlineStr">
        <is>
          <t>Pharmacy Laws &amp; Ethics</t>
        </is>
      </c>
      <c r="M884" s="2" t="inlineStr">
        <is>
          <t>SAP</t>
        </is>
      </c>
      <c r="N884" s="2" t="inlineStr">
        <is>
          <t>ข้อ 3 (PLE_CC1_2555 Day 2.md)</t>
        </is>
      </c>
      <c r="O884" s="2" t="inlineStr">
        <is>
          <t>ข้อสอบจริง</t>
        </is>
      </c>
      <c r="P884" s="2" t="inlineStr">
        <is>
          <t>ปี 2555</t>
        </is>
      </c>
    </row>
    <row r="885" ht="13.2" customHeight="1" s="37">
      <c r="A885" s="8" t="inlineStr">
        <is>
          <t>906</t>
        </is>
      </c>
      <c r="B885" s="2" t="inlineStr">
        <is>
          <t>ไม่สามารถจ่ายยา Ciprofloxacin ได้เนื่องจากเป็นยาควบคุมพิเศษ</t>
        </is>
      </c>
      <c r="C885" s="2" t="n"/>
      <c r="D885" s="2" t="inlineStr">
        <is>
          <t>Ceftriaxone 1 g IV OD</t>
        </is>
      </c>
      <c r="E885" s="2" t="inlineStr">
        <is>
          <t>Ciprofloxacin 500 mg BID</t>
        </is>
      </c>
      <c r="F885" s="2" t="inlineStr">
        <is>
          <t>Azithromycin 500 mg OD</t>
        </is>
      </c>
      <c r="G885" s="2" t="inlineStr">
        <is>
          <t>Doxycycline 100 mg BID</t>
        </is>
      </c>
      <c r="H885" s="2" t="inlineStr">
        <is>
          <t>Cotrimoxazole 160/800 mg BID</t>
        </is>
      </c>
      <c r="I885" s="8" t="inlineStr">
        <is>
          <t>1</t>
        </is>
      </c>
      <c r="J885" s="2"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885" s="2" t="n"/>
      <c r="L885" s="2" t="inlineStr">
        <is>
          <t>Infectious Diseases</t>
        </is>
      </c>
      <c r="M885" s="2" t="inlineStr">
        <is>
          <t>Clinic</t>
        </is>
      </c>
      <c r="N885" s="2" t="inlineStr">
        <is>
          <t>ข้อ 4 (PLE_CC1_2555 Day 2.md)</t>
        </is>
      </c>
      <c r="O885" s="2" t="inlineStr">
        <is>
          <t>ข้อสอบจริง</t>
        </is>
      </c>
      <c r="P885" s="2" t="inlineStr">
        <is>
          <t>ปี 2555</t>
        </is>
      </c>
    </row>
    <row r="886" ht="13.2" customHeight="1" s="37">
      <c r="A886" s="8" t="inlineStr">
        <is>
          <t>907</t>
        </is>
      </c>
      <c r="B886" s="2" t="inlineStr">
        <is>
          <t>ไม่สามารถจ่ายได้เนื่องจากไม่มีใบสั่งแพทย์ MCQ 1/2555 by CURx69 page 17</t>
        </is>
      </c>
      <c r="C886" s="2" t="n"/>
      <c r="D886" s="2" t="inlineStr">
        <is>
          <t>Dimercaprol (BAL) 3 mg/kg IM</t>
        </is>
      </c>
      <c r="E886" s="2" t="inlineStr">
        <is>
          <t>Ethanol 10% IV infusion for Methanol poisoning</t>
        </is>
      </c>
      <c r="F886" s="2" t="inlineStr">
        <is>
          <t>Fomepizole 15 mg/kg IV loading</t>
        </is>
      </c>
      <c r="G886" s="2" t="inlineStr">
        <is>
          <t>N-acetylcysteine (NAC) IV infusion protocol</t>
        </is>
      </c>
      <c r="H886" s="2" t="inlineStr">
        <is>
          <t>Atropine sulfate 2 mg IV Q5-10 min</t>
        </is>
      </c>
      <c r="I886" s="8" t="inlineStr">
        <is>
          <t>1</t>
        </is>
      </c>
      <c r="J8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6" s="2" t="n"/>
      <c r="L886" s="2" t="inlineStr">
        <is>
          <t>General Therapeutics</t>
        </is>
      </c>
      <c r="M886" s="2" t="inlineStr">
        <is>
          <t>Clinic</t>
        </is>
      </c>
      <c r="N886" s="2" t="inlineStr">
        <is>
          <t>ข้อ 5 (PLE_CC1_2555 Day 2.md)</t>
        </is>
      </c>
      <c r="O886" s="2" t="inlineStr">
        <is>
          <t>ข้อสอบจริง</t>
        </is>
      </c>
      <c r="P886" s="2" t="inlineStr">
        <is>
          <t>ปี 2555</t>
        </is>
      </c>
    </row>
    <row r="887" ht="13.2" customHeight="1" s="37">
      <c r="A887" s="8" t="inlineStr">
        <is>
          <t>908</t>
        </is>
      </c>
      <c r="B887" s="2" t="inlineStr">
        <is>
          <t>Ciprofloxacin 2) Cephalexin</t>
        </is>
      </c>
      <c r="C887" s="2" t="n"/>
      <c r="D887" s="2" t="inlineStr">
        <is>
          <t>Nitrofurantoin 100 mg BID</t>
        </is>
      </c>
      <c r="E887" s="2" t="inlineStr">
        <is>
          <t>Tenofovir/Emtricitabine 300/200 mg OD</t>
        </is>
      </c>
      <c r="F887" s="2" t="inlineStr">
        <is>
          <t>Dolutegravir 50 mg OD</t>
        </is>
      </c>
      <c r="G887" s="2" t="inlineStr">
        <is>
          <t>Vancomycin 1 g IV Q12H</t>
        </is>
      </c>
      <c r="H887" s="2" t="inlineStr">
        <is>
          <t>Meropenem 1 g IV Q8H</t>
        </is>
      </c>
      <c r="I887" s="8" t="inlineStr">
        <is>
          <t>1</t>
        </is>
      </c>
      <c r="J887" s="2" t="inlineStr">
        <is>
          <t>✅ คำตอบที่ถูกต้อง: ข้อ ก. Nitrofurantoin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887" s="2" t="n"/>
      <c r="L887" s="2" t="inlineStr">
        <is>
          <t>Infectious Diseases</t>
        </is>
      </c>
      <c r="M887" s="2" t="inlineStr">
        <is>
          <t>Clinic</t>
        </is>
      </c>
      <c r="N887" s="2" t="inlineStr">
        <is>
          <t>ข้อ 1 (PLE_CC1_2555 Day 2.md)</t>
        </is>
      </c>
      <c r="O887" s="2" t="inlineStr">
        <is>
          <t>ข้อสอบจริง</t>
        </is>
      </c>
      <c r="P887" s="2" t="inlineStr">
        <is>
          <t>ปี 2555</t>
        </is>
      </c>
    </row>
    <row r="888" ht="13.2" customHeight="1" s="37">
      <c r="A888" s="8" t="inlineStr">
        <is>
          <t>909</t>
        </is>
      </c>
      <c r="B888" s="2" t="inlineStr">
        <is>
          <t>Doxycycline 8.ยา3 ตำรับมีการตกตะกอนดังนี้ เวลา A B C 9.9 9.8 9.6 9.6 9.6 Redispersable 60 4 10 ข้อใดถูกต้อง</t>
        </is>
      </c>
      <c r="C888" s="2" t="n"/>
      <c r="D888" s="2" t="inlineStr">
        <is>
          <t>Vancomycin 1 g IV Q12H</t>
        </is>
      </c>
      <c r="E888" s="2" t="inlineStr">
        <is>
          <t>Meropenem 1 g IV Q8H</t>
        </is>
      </c>
      <c r="F888" s="2" t="inlineStr">
        <is>
          <t>Cefazolin 1 g IV Q8H</t>
        </is>
      </c>
      <c r="G888" s="2" t="inlineStr">
        <is>
          <t>Amoxicillin/Clavulanate 1 g BID</t>
        </is>
      </c>
      <c r="H888" s="2" t="inlineStr">
        <is>
          <t>Ceftriaxone 1 g IV OD</t>
        </is>
      </c>
      <c r="I888" s="8" t="inlineStr">
        <is>
          <t>1</t>
        </is>
      </c>
      <c r="J888" s="2" t="inlineStr">
        <is>
          <t>✅ คำตอบที่ถูกต้อง: ข้อ ก. Vancomycin 1 g IV Q12H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888" s="2" t="n"/>
      <c r="L888" s="2" t="inlineStr">
        <is>
          <t>Infectious Diseases</t>
        </is>
      </c>
      <c r="M888" s="2" t="inlineStr">
        <is>
          <t>Clinic</t>
        </is>
      </c>
      <c r="N888" s="2" t="inlineStr">
        <is>
          <t>ข้อ 5 (PLE_CC1_2555 Day 2.md)</t>
        </is>
      </c>
      <c r="O888" s="2" t="inlineStr">
        <is>
          <t>ข้อสอบจริง</t>
        </is>
      </c>
      <c r="P888" s="2" t="inlineStr">
        <is>
          <t>ปี 2555</t>
        </is>
      </c>
    </row>
    <row r="889" ht="13.2" customHeight="1" s="37">
      <c r="A889" s="8" t="inlineStr">
        <is>
          <t>910</t>
        </is>
      </c>
      <c r="B889" s="2" t="inlineStr">
        <is>
          <t>ตำรับ A มี sedimentation volume สูงสุด และมีการกระจายตัวดีที่สุด</t>
        </is>
      </c>
      <c r="C889" s="2" t="n"/>
      <c r="D889" s="2" t="inlineStr">
        <is>
          <t>Sodium thiosulfate 25% 50 mL IV</t>
        </is>
      </c>
      <c r="E889" s="2" t="inlineStr">
        <is>
          <t>Calcium disodium EDTA 1 g IV</t>
        </is>
      </c>
      <c r="F889" s="2" t="inlineStr">
        <is>
          <t>Desferrioxamine 1 g IM/IV</t>
        </is>
      </c>
      <c r="G889" s="2" t="inlineStr">
        <is>
          <t>Dimercaprol (BAL) 3 mg/kg IM</t>
        </is>
      </c>
      <c r="H889" s="2" t="inlineStr">
        <is>
          <t>Ethanol 10% IV infusion for Methanol poisoning</t>
        </is>
      </c>
      <c r="I889" s="8" t="inlineStr">
        <is>
          <t>1</t>
        </is>
      </c>
      <c r="J8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9" s="2" t="n"/>
      <c r="L889" s="2" t="inlineStr">
        <is>
          <t>General Therapeutics</t>
        </is>
      </c>
      <c r="M889" s="2" t="inlineStr">
        <is>
          <t>Clinic</t>
        </is>
      </c>
      <c r="N889" s="2" t="inlineStr">
        <is>
          <t>ข้อ 1 (PLE_CC1_2555 Day 2.md)</t>
        </is>
      </c>
      <c r="O889" s="2" t="inlineStr">
        <is>
          <t>ข้อสอบจริง</t>
        </is>
      </c>
      <c r="P889" s="2" t="inlineStr">
        <is>
          <t>ปี 2555</t>
        </is>
      </c>
    </row>
    <row r="890" ht="13.2" customHeight="1" s="37">
      <c r="A890" s="8" t="inlineStr">
        <is>
          <t>911</t>
        </is>
      </c>
      <c r="B890" s="2" t="inlineStr">
        <is>
          <t>ตำรับ B มีการกระจายตัวดีที่สุด</t>
        </is>
      </c>
      <c r="C890" s="2" t="n"/>
      <c r="D890" s="2" t="inlineStr">
        <is>
          <t>Dimercaprol (BAL) 3 mg/kg IM</t>
        </is>
      </c>
      <c r="E890" s="2" t="inlineStr">
        <is>
          <t>Ethanol 10% IV infusion for Methanol poisoning</t>
        </is>
      </c>
      <c r="F890" s="2" t="inlineStr">
        <is>
          <t>Fomepizole 15 mg/kg IV loading</t>
        </is>
      </c>
      <c r="G890" s="2" t="inlineStr">
        <is>
          <t>N-acetylcysteine (NAC) IV infusion protocol</t>
        </is>
      </c>
      <c r="H890" s="2" t="inlineStr">
        <is>
          <t>Atropine sulfate 2 mg IV Q5-10 min</t>
        </is>
      </c>
      <c r="I890" s="8" t="inlineStr">
        <is>
          <t>1</t>
        </is>
      </c>
      <c r="J8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0" s="2" t="n"/>
      <c r="L890" s="2" t="inlineStr">
        <is>
          <t>General Therapeutics</t>
        </is>
      </c>
      <c r="M890" s="2" t="inlineStr">
        <is>
          <t>Clinic</t>
        </is>
      </c>
      <c r="N890" s="2" t="inlineStr">
        <is>
          <t>ข้อ 2 (PLE_CC1_2555 Day 2.md)</t>
        </is>
      </c>
      <c r="O890" s="2" t="inlineStr">
        <is>
          <t>ข้อสอบจริง</t>
        </is>
      </c>
      <c r="P890" s="2" t="inlineStr">
        <is>
          <t>ปี 2555</t>
        </is>
      </c>
    </row>
    <row r="891" ht="13.2" customHeight="1" s="37">
      <c r="A891" s="8" t="inlineStr">
        <is>
          <t>912</t>
        </is>
      </c>
      <c r="B891" s="2" t="inlineStr">
        <is>
          <t>ตำรับ A มีอัตราการตกตะกอนช้า</t>
        </is>
      </c>
      <c r="C891" s="2" t="n"/>
      <c r="D891" s="2" t="inlineStr">
        <is>
          <t>N-acetylcysteine (NAC) IV infusion protocol</t>
        </is>
      </c>
      <c r="E891" s="2" t="inlineStr">
        <is>
          <t>Atropine sulfate 2 mg IV Q5-10 min</t>
        </is>
      </c>
      <c r="F891" s="2" t="inlineStr">
        <is>
          <t>Pralidoxime (2-PAM) 1-2 g IV over 30 min</t>
        </is>
      </c>
      <c r="G891" s="2" t="inlineStr">
        <is>
          <t>Naloxone 0.4 mg IV stat</t>
        </is>
      </c>
      <c r="H891" s="2" t="inlineStr">
        <is>
          <t>Flumazenil 0.2 mg IV stat</t>
        </is>
      </c>
      <c r="I891" s="8" t="inlineStr">
        <is>
          <t>1</t>
        </is>
      </c>
      <c r="J8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91" s="2" t="n"/>
      <c r="L891" s="2" t="inlineStr">
        <is>
          <t>General Therapeutics</t>
        </is>
      </c>
      <c r="M891" s="2" t="inlineStr">
        <is>
          <t>Clinic</t>
        </is>
      </c>
      <c r="N891" s="2" t="inlineStr">
        <is>
          <t>ข้อ 3 (PLE_CC1_2555 Day 2.md)</t>
        </is>
      </c>
      <c r="O891" s="2" t="inlineStr">
        <is>
          <t>ข้อสอบจริง</t>
        </is>
      </c>
      <c r="P891" s="2" t="inlineStr">
        <is>
          <t>ปี 2555</t>
        </is>
      </c>
    </row>
    <row r="892" ht="13.2" customHeight="1" s="37">
      <c r="A892" s="8" t="inlineStr">
        <is>
          <t>913</t>
        </is>
      </c>
      <c r="B892" s="2" t="inlineStr">
        <is>
          <t>ตำรับ B มีอัตราการตกตะกอนเร็วที่สุด</t>
        </is>
      </c>
      <c r="C892" s="2" t="n"/>
      <c r="D892" s="2" t="inlineStr">
        <is>
          <t>Naloxone 0.4 mg IV stat</t>
        </is>
      </c>
      <c r="E892" s="2" t="inlineStr">
        <is>
          <t>Flumazenil 0.2 mg IV stat</t>
        </is>
      </c>
      <c r="F892" s="2" t="inlineStr">
        <is>
          <t>Vitamin K1 (Phytomenadione) 10 mg IV slow</t>
        </is>
      </c>
      <c r="G892" s="2" t="inlineStr">
        <is>
          <t>Sodium thiosulfate 25% 50 mL IV</t>
        </is>
      </c>
      <c r="H892" s="2" t="inlineStr">
        <is>
          <t>Calcium disodium EDTA 1 g IV</t>
        </is>
      </c>
      <c r="I892" s="8" t="inlineStr">
        <is>
          <t>1</t>
        </is>
      </c>
      <c r="J8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92" s="2" t="n"/>
      <c r="L892" s="2" t="inlineStr">
        <is>
          <t>General Therapeutics</t>
        </is>
      </c>
      <c r="M892" s="2" t="inlineStr">
        <is>
          <t>Clinic</t>
        </is>
      </c>
      <c r="N892" s="2" t="inlineStr">
        <is>
          <t>ข้อ 4 (PLE_CC1_2555 Day 2.md)</t>
        </is>
      </c>
      <c r="O892" s="2" t="inlineStr">
        <is>
          <t>ข้อสอบจริง</t>
        </is>
      </c>
      <c r="P892" s="2" t="inlineStr">
        <is>
          <t>ปี 2555</t>
        </is>
      </c>
    </row>
    <row r="893" ht="13.2" customHeight="1" s="37">
      <c r="A893" s="8" t="inlineStr">
        <is>
          <t>914</t>
        </is>
      </c>
      <c r="B893" s="2" t="inlineStr">
        <is>
          <t>ตำรับ C มี sedimentation volume สูงสุด 9.ข้อใดถูก</t>
        </is>
      </c>
      <c r="C893" s="2" t="n"/>
      <c r="D893" s="2" t="inlineStr">
        <is>
          <t>Sodium thiosulfate 25% 50 mL IV</t>
        </is>
      </c>
      <c r="E893" s="2" t="inlineStr">
        <is>
          <t>Calcium disodium EDTA 1 g IV</t>
        </is>
      </c>
      <c r="F893" s="2" t="inlineStr">
        <is>
          <t>Desferrioxamine 1 g IM/IV</t>
        </is>
      </c>
      <c r="G893" s="2" t="inlineStr">
        <is>
          <t>Dimercaprol (BAL) 3 mg/kg IM</t>
        </is>
      </c>
      <c r="H893" s="2" t="inlineStr">
        <is>
          <t>Ethanol 10% IV infusion for Methanol poisoning</t>
        </is>
      </c>
      <c r="I893" s="8" t="inlineStr">
        <is>
          <t>1</t>
        </is>
      </c>
      <c r="J8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3" s="2" t="n"/>
      <c r="L893" s="2" t="inlineStr">
        <is>
          <t>General Therapeutics</t>
        </is>
      </c>
      <c r="M893" s="2" t="inlineStr">
        <is>
          <t>Clinic</t>
        </is>
      </c>
      <c r="N893" s="2" t="inlineStr">
        <is>
          <t>ข้อ 5 (PLE_CC1_2555 Day 2.md)</t>
        </is>
      </c>
      <c r="O893" s="2" t="inlineStr">
        <is>
          <t>ข้อสอบจริง</t>
        </is>
      </c>
      <c r="P893" s="2" t="inlineStr">
        <is>
          <t>ปี 2555</t>
        </is>
      </c>
    </row>
    <row r="894" ht="13.2" customHeight="1" s="37">
      <c r="A894" s="8" t="inlineStr">
        <is>
          <t>915</t>
        </is>
      </c>
      <c r="B894" s="2" t="inlineStr">
        <is>
          <t>Acid fast positive</t>
        </is>
      </c>
      <c r="C894" s="2" t="n"/>
      <c r="D894" s="2" t="inlineStr">
        <is>
          <t>Dimercaprol (BAL) 3 mg/kg IM</t>
        </is>
      </c>
      <c r="E894" s="2" t="inlineStr">
        <is>
          <t>Ethanol 10% IV infusion for Methanol poisoning</t>
        </is>
      </c>
      <c r="F894" s="2" t="inlineStr">
        <is>
          <t>Fomepizole 15 mg/kg IV loading</t>
        </is>
      </c>
      <c r="G894" s="2" t="inlineStr">
        <is>
          <t>N-acetylcysteine (NAC) IV infusion protocol</t>
        </is>
      </c>
      <c r="H894" s="2" t="inlineStr">
        <is>
          <t>Atropine sulfate 2 mg IV Q5-10 min</t>
        </is>
      </c>
      <c r="I894" s="8" t="inlineStr">
        <is>
          <t>1</t>
        </is>
      </c>
      <c r="J8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4" s="2" t="n"/>
      <c r="L894" s="2" t="inlineStr">
        <is>
          <t>General Therapeutics</t>
        </is>
      </c>
      <c r="M894" s="2" t="inlineStr">
        <is>
          <t>Clinic</t>
        </is>
      </c>
      <c r="N894" s="2" t="inlineStr">
        <is>
          <t>ข้อ 3 (PLE_CC1_2555 Day 2.md)</t>
        </is>
      </c>
      <c r="O894" s="2" t="inlineStr">
        <is>
          <t>ข้อสอบจริง</t>
        </is>
      </c>
      <c r="P894" s="2" t="inlineStr">
        <is>
          <t>ปี 2555</t>
        </is>
      </c>
    </row>
    <row r="895" ht="13.2" customHeight="1" s="37">
      <c r="A895" s="8" t="inlineStr">
        <is>
          <t>916</t>
        </is>
      </c>
      <c r="B895" s="2" t="inlineStr">
        <is>
          <t>Papanicolaou positive</t>
        </is>
      </c>
      <c r="C895" s="2" t="n"/>
      <c r="D895" s="2" t="inlineStr">
        <is>
          <t>N-acetylcysteine (NAC) IV infusion protocol</t>
        </is>
      </c>
      <c r="E895" s="2" t="inlineStr">
        <is>
          <t>Atropine sulfate 2 mg IV Q5-10 min</t>
        </is>
      </c>
      <c r="F895" s="2" t="inlineStr">
        <is>
          <t>Pralidoxime (2-PAM) 1-2 g IV over 30 min</t>
        </is>
      </c>
      <c r="G895" s="2" t="inlineStr">
        <is>
          <t>Naloxone 0.4 mg IV stat</t>
        </is>
      </c>
      <c r="H895" s="2" t="inlineStr">
        <is>
          <t>Flumazenil 0.2 mg IV stat</t>
        </is>
      </c>
      <c r="I895" s="8" t="inlineStr">
        <is>
          <t>1</t>
        </is>
      </c>
      <c r="J8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895" s="2" t="n"/>
      <c r="L895" s="2" t="inlineStr">
        <is>
          <t>General Therapeutics</t>
        </is>
      </c>
      <c r="M895" s="2" t="inlineStr">
        <is>
          <t>Clinic</t>
        </is>
      </c>
      <c r="N895" s="2" t="inlineStr">
        <is>
          <t>ข้อ 4 (PLE_CC1_2555 Day 2.md)</t>
        </is>
      </c>
      <c r="O895" s="2" t="inlineStr">
        <is>
          <t>ข้อสอบจริง</t>
        </is>
      </c>
      <c r="P895" s="2" t="inlineStr">
        <is>
          <t>ปี 2555</t>
        </is>
      </c>
    </row>
    <row r="896" ht="13.2" customHeight="1" s="37">
      <c r="A896" s="8" t="inlineStr">
        <is>
          <t>917</t>
        </is>
      </c>
      <c r="B896" s="2" t="inlineStr">
        <is>
          <t>Indian ink positive</t>
        </is>
      </c>
      <c r="C896" s="2" t="n"/>
      <c r="D896" s="2" t="inlineStr">
        <is>
          <t>Naloxone 0.4 mg IV stat</t>
        </is>
      </c>
      <c r="E896" s="2" t="inlineStr">
        <is>
          <t>Flumazenil 0.2 mg IV stat</t>
        </is>
      </c>
      <c r="F896" s="2" t="inlineStr">
        <is>
          <t>Vitamin K1 (Phytomenadione) 10 mg IV slow</t>
        </is>
      </c>
      <c r="G896" s="2" t="inlineStr">
        <is>
          <t>Sodium thiosulfate 25% 50 mL IV</t>
        </is>
      </c>
      <c r="H896" s="2" t="inlineStr">
        <is>
          <t>Calcium disodium EDTA 1 g IV</t>
        </is>
      </c>
      <c r="I896" s="8" t="inlineStr">
        <is>
          <t>1</t>
        </is>
      </c>
      <c r="J8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896" s="2" t="n"/>
      <c r="L896" s="2" t="inlineStr">
        <is>
          <t>General Therapeutics</t>
        </is>
      </c>
      <c r="M896" s="2" t="inlineStr">
        <is>
          <t>Clinic</t>
        </is>
      </c>
      <c r="N896" s="2" t="inlineStr">
        <is>
          <t>ข้อ 5 (PLE_CC1_2555 Day 2.md)</t>
        </is>
      </c>
      <c r="O896" s="2" t="inlineStr">
        <is>
          <t>ข้อสอบจริง</t>
        </is>
      </c>
      <c r="P896" s="2" t="inlineStr">
        <is>
          <t>ปี 2555</t>
        </is>
      </c>
    </row>
    <row r="897" ht="13.2" customHeight="1" s="37">
      <c r="A897" s="8" t="inlineStr">
        <is>
          <t>918</t>
        </is>
      </c>
      <c r="B897" s="2" t="inlineStr">
        <is>
          <t>วินิจฉัยว่าผู้ป่วยเป็น</t>
        </is>
      </c>
      <c r="C897" s="2" t="n"/>
      <c r="D897" s="2" t="inlineStr">
        <is>
          <t>Sodium thiosulfate 25% 50 mL IV</t>
        </is>
      </c>
      <c r="E897" s="2" t="inlineStr">
        <is>
          <t>Calcium disodium EDTA 1 g IV</t>
        </is>
      </c>
      <c r="F897" s="2" t="inlineStr">
        <is>
          <t>Desferrioxamine 1 g IM/IV</t>
        </is>
      </c>
      <c r="G897" s="2" t="inlineStr">
        <is>
          <t>Dimercaprol (BAL) 3 mg/kg IM</t>
        </is>
      </c>
      <c r="H897" s="2" t="inlineStr">
        <is>
          <t>Ethanol 10% IV infusion for Methanol poisoning</t>
        </is>
      </c>
      <c r="I897" s="8" t="inlineStr">
        <is>
          <t>1</t>
        </is>
      </c>
      <c r="J8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7" s="2" t="n"/>
      <c r="L897" s="2" t="inlineStr">
        <is>
          <t>General Therapeutics</t>
        </is>
      </c>
      <c r="M897" s="2" t="inlineStr">
        <is>
          <t>Clinic</t>
        </is>
      </c>
      <c r="N897" s="2" t="inlineStr">
        <is>
          <t>ข้อ 2 (PLE_CC1_2555 Day 2.md)</t>
        </is>
      </c>
      <c r="O897" s="2" t="inlineStr">
        <is>
          <t>ข้อสอบจริง</t>
        </is>
      </c>
      <c r="P897" s="2" t="inlineStr">
        <is>
          <t>ปี 2555</t>
        </is>
      </c>
    </row>
    <row r="898" ht="13.2" customHeight="1" s="37">
      <c r="A898" s="8" t="inlineStr">
        <is>
          <t>919</t>
        </is>
      </c>
      <c r="B898" s="2" t="inlineStr">
        <is>
          <t>เป็นเอดส์แน่นอน</t>
        </is>
      </c>
      <c r="C898" s="2" t="n"/>
      <c r="D898" s="2" t="inlineStr">
        <is>
          <t>Dimercaprol (BAL) 3 mg/kg IM</t>
        </is>
      </c>
      <c r="E898" s="2" t="inlineStr">
        <is>
          <t>Ethanol 10% IV infusion for Methanol poisoning</t>
        </is>
      </c>
      <c r="F898" s="2" t="inlineStr">
        <is>
          <t>Fomepizole 15 mg/kg IV loading</t>
        </is>
      </c>
      <c r="G898" s="2" t="inlineStr">
        <is>
          <t>N-acetylcysteine (NAC) IV infusion protocol</t>
        </is>
      </c>
      <c r="H898" s="2" t="inlineStr">
        <is>
          <t>Atropine sulfate 2 mg IV Q5-10 min</t>
        </is>
      </c>
      <c r="I898" s="8" t="inlineStr">
        <is>
          <t>1</t>
        </is>
      </c>
      <c r="J8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8" s="2" t="n"/>
      <c r="L898" s="2" t="inlineStr">
        <is>
          <t>General Therapeutics</t>
        </is>
      </c>
      <c r="M898" s="2" t="inlineStr">
        <is>
          <t>Clinic</t>
        </is>
      </c>
      <c r="N898" s="2" t="inlineStr">
        <is>
          <t>ข้อ 4 (PLE_CC1_2555 Day 2.md)</t>
        </is>
      </c>
      <c r="O898" s="2" t="inlineStr">
        <is>
          <t>ข้อสอบจริง</t>
        </is>
      </c>
      <c r="P898" s="2" t="inlineStr">
        <is>
          <t>ปี 2555</t>
        </is>
      </c>
    </row>
    <row r="899" ht="13.2" customHeight="1" s="37">
      <c r="A899" s="8" t="inlineStr">
        <is>
          <t>920</t>
        </is>
      </c>
      <c r="B899" s="2" t="inlineStr">
        <is>
          <t>หลีกเลี่ยงการใช้ยาในกลุ่ม Protease Inhibitors</t>
        </is>
      </c>
      <c r="C899" s="2" t="n"/>
      <c r="D899" s="2" t="inlineStr">
        <is>
          <t>Doxycycline 100 mg BID</t>
        </is>
      </c>
      <c r="E899" s="2" t="inlineStr">
        <is>
          <t>Cotrimoxazole 160/800 mg BID</t>
        </is>
      </c>
      <c r="F899" s="2" t="inlineStr">
        <is>
          <t>Metronidazole 400 mg TID</t>
        </is>
      </c>
      <c r="G899" s="2" t="inlineStr">
        <is>
          <t>Nitrofurantoin 100 mg BID</t>
        </is>
      </c>
      <c r="H899" s="2" t="inlineStr">
        <is>
          <t>Tenofovir/Emtricitabine 300/200 mg OD</t>
        </is>
      </c>
      <c r="I899" s="8" t="inlineStr">
        <is>
          <t>1</t>
        </is>
      </c>
      <c r="J899" s="2" t="inlineStr">
        <is>
          <t>✅ คำตอบที่ถูกต้อง: ข้อ ก. Doxycycline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9" s="2" t="n"/>
      <c r="L899" s="2" t="inlineStr">
        <is>
          <t>Infectious Diseases</t>
        </is>
      </c>
      <c r="M899" s="2" t="inlineStr">
        <is>
          <t>Clinic</t>
        </is>
      </c>
      <c r="N899" s="2" t="inlineStr">
        <is>
          <t>ข้อ 2 (PLE_CC1_2555 Day 2.md)</t>
        </is>
      </c>
      <c r="O899" s="2" t="inlineStr">
        <is>
          <t>ข้อสอบจริง</t>
        </is>
      </c>
      <c r="P899" s="2" t="inlineStr">
        <is>
          <t>ปี 2555</t>
        </is>
      </c>
    </row>
    <row r="900" ht="13.2" customHeight="1" s="37">
      <c r="A900" s="8" t="inlineStr">
        <is>
          <t>921</t>
        </is>
      </c>
      <c r="B900" s="2" t="inlineStr">
        <is>
          <t>ให้กินยาแบบ DOT</t>
        </is>
      </c>
      <c r="C900" s="2" t="n"/>
      <c r="D900" s="2" t="inlineStr">
        <is>
          <t>Naloxone 0.4 mg IV stat</t>
        </is>
      </c>
      <c r="E900" s="2" t="inlineStr">
        <is>
          <t>Flumazenil 0.2 mg IV stat</t>
        </is>
      </c>
      <c r="F900" s="2" t="inlineStr">
        <is>
          <t>Vitamin K1 (Phytomenadione) 10 mg IV slow</t>
        </is>
      </c>
      <c r="G900" s="2" t="inlineStr">
        <is>
          <t>Sodium thiosulfate 25% 50 mL IV</t>
        </is>
      </c>
      <c r="H900" s="2" t="inlineStr">
        <is>
          <t>Calcium disodium EDTA 1 g IV</t>
        </is>
      </c>
      <c r="I900" s="8" t="inlineStr">
        <is>
          <t>1</t>
        </is>
      </c>
      <c r="J9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00" s="2" t="n"/>
      <c r="L900" s="2" t="inlineStr">
        <is>
          <t>General Therapeutics</t>
        </is>
      </c>
      <c r="M900" s="2" t="inlineStr">
        <is>
          <t>Clinic</t>
        </is>
      </c>
      <c r="N900" s="2" t="inlineStr">
        <is>
          <t>ข้อ 5 (PLE_CC1_2555 Day 2.md)</t>
        </is>
      </c>
      <c r="O900" s="2" t="inlineStr">
        <is>
          <t>ข้อสอบจริง</t>
        </is>
      </c>
      <c r="P900" s="2" t="inlineStr">
        <is>
          <t>ปี 2555</t>
        </is>
      </c>
    </row>
    <row r="901" ht="13.2" customHeight="1" s="37">
      <c r="A901" s="8" t="inlineStr">
        <is>
          <t>922</t>
        </is>
      </c>
      <c r="B901" s="2" t="inlineStr">
        <is>
          <t>Abacavir ยับยั้ง Protease</t>
        </is>
      </c>
      <c r="C901" s="2" t="n"/>
      <c r="D901" s="2" t="inlineStr">
        <is>
          <t>Sodium thiosulfate 25% 50 mL IV</t>
        </is>
      </c>
      <c r="E901" s="2" t="inlineStr">
        <is>
          <t>Calcium disodium EDTA 1 g IV</t>
        </is>
      </c>
      <c r="F901" s="2" t="inlineStr">
        <is>
          <t>Desferrioxamine 1 g IM/IV</t>
        </is>
      </c>
      <c r="G901" s="2" t="inlineStr">
        <is>
          <t>Dimercaprol (BAL) 3 mg/kg IM</t>
        </is>
      </c>
      <c r="H901" s="2" t="inlineStr">
        <is>
          <t>Ethanol 10% IV infusion for Methanol poisoning</t>
        </is>
      </c>
      <c r="I901" s="8" t="inlineStr">
        <is>
          <t>1</t>
        </is>
      </c>
      <c r="J9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HLA-B*57:01 Testing: ต้องตรวจคัดกรอง HLA-B*57:01 ก่อนเริ่มยาทุกราย หาก positive ห้ามใช้เด็ดขาดเนื่องจากเสี่ยงต่อ fatal hypersensitivity reaction
• No Renal Adjustment: ขับออกทางตับเป็นหลัก จึงไม่ต้องปรับขนาดยาในผู้ป่วย renal impairment</t>
        </is>
      </c>
      <c r="K901" s="2" t="n"/>
      <c r="L901" s="2" t="inlineStr">
        <is>
          <t>General Therapeutics</t>
        </is>
      </c>
      <c r="M901" s="2" t="inlineStr">
        <is>
          <t>Clinic</t>
        </is>
      </c>
      <c r="N901" s="2" t="inlineStr">
        <is>
          <t>ข้อ 2 (PLE_CC1_2555 Day 2.md)</t>
        </is>
      </c>
      <c r="O901" s="2" t="inlineStr">
        <is>
          <t>ข้อสอบจริง</t>
        </is>
      </c>
      <c r="P901" s="2" t="inlineStr">
        <is>
          <t>ปี 2555</t>
        </is>
      </c>
    </row>
    <row r="902" ht="13.2" customHeight="1" s="37">
      <c r="A902" s="8" t="inlineStr">
        <is>
          <t>923</t>
        </is>
      </c>
      <c r="B902" s="2" t="inlineStr">
        <is>
          <t>Ritonavir ยับยั้ง Protease</t>
        </is>
      </c>
      <c r="C902" s="2" t="n"/>
      <c r="D902" s="2" t="inlineStr">
        <is>
          <t>Dimercaprol (BAL) 3 mg/kg IM</t>
        </is>
      </c>
      <c r="E902" s="2" t="inlineStr">
        <is>
          <t>Ethanol 10% IV infusion for Methanol poisoning</t>
        </is>
      </c>
      <c r="F902" s="2" t="inlineStr">
        <is>
          <t>Fomepizole 15 mg/kg IV loading</t>
        </is>
      </c>
      <c r="G902" s="2" t="inlineStr">
        <is>
          <t>N-acetylcysteine (NAC) IV infusion protocol</t>
        </is>
      </c>
      <c r="H902" s="2" t="inlineStr">
        <is>
          <t>Atropine sulfate 2 mg IV Q5-10 min</t>
        </is>
      </c>
      <c r="I902" s="8" t="inlineStr">
        <is>
          <t>1</t>
        </is>
      </c>
      <c r="J9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2" s="2" t="n"/>
      <c r="L902" s="2" t="inlineStr">
        <is>
          <t>General Therapeutics</t>
        </is>
      </c>
      <c r="M902" s="2" t="inlineStr">
        <is>
          <t>Clinic</t>
        </is>
      </c>
      <c r="N902" s="2" t="inlineStr">
        <is>
          <t>ข้อ 4 (PLE_CC1_2555 Day 2.md)</t>
        </is>
      </c>
      <c r="O902" s="2" t="inlineStr">
        <is>
          <t>ข้อสอบจริง</t>
        </is>
      </c>
      <c r="P902" s="2" t="inlineStr">
        <is>
          <t>ปี 2555</t>
        </is>
      </c>
    </row>
    <row r="903" ht="13.2" customHeight="1" s="37">
      <c r="A903" s="8" t="inlineStr">
        <is>
          <t>924</t>
        </is>
      </c>
      <c r="B903" s="2" t="inlineStr">
        <is>
          <t>ยาเพิ่มการทำงานของเอนไซม์ตับทำให้ยาออกฤทธิ์เร็วขึ้น</t>
        </is>
      </c>
      <c r="C903" s="2" t="n"/>
      <c r="D903" s="2" t="inlineStr">
        <is>
          <t>N-acetylcysteine (NAC) IV infusion protocol</t>
        </is>
      </c>
      <c r="E903" s="2" t="inlineStr">
        <is>
          <t>Atropine sulfate 2 mg IV Q5-10 min</t>
        </is>
      </c>
      <c r="F903" s="2" t="inlineStr">
        <is>
          <t>Pralidoxime (2-PAM) 1-2 g IV over 30 min</t>
        </is>
      </c>
      <c r="G903" s="2" t="inlineStr">
        <is>
          <t>Naloxone 0.4 mg IV stat</t>
        </is>
      </c>
      <c r="H903" s="2" t="inlineStr">
        <is>
          <t>Flumazenil 0.2 mg IV stat</t>
        </is>
      </c>
      <c r="I903" s="8" t="inlineStr">
        <is>
          <t>1</t>
        </is>
      </c>
      <c r="J9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03" s="2" t="n"/>
      <c r="L903" s="2" t="inlineStr">
        <is>
          <t>General Therapeutics</t>
        </is>
      </c>
      <c r="M903" s="2" t="inlineStr">
        <is>
          <t>Clinic</t>
        </is>
      </c>
      <c r="N903" s="2" t="inlineStr">
        <is>
          <t>ข้อ 3 (PLE_CC1_2555 Day 2.md)</t>
        </is>
      </c>
      <c r="O903" s="2" t="inlineStr">
        <is>
          <t>ข้อสอบจริง</t>
        </is>
      </c>
      <c r="P903" s="2" t="inlineStr">
        <is>
          <t>ปี 2555</t>
        </is>
      </c>
    </row>
    <row r="904" ht="13.2" customHeight="1" s="37">
      <c r="A904" s="8" t="inlineStr">
        <is>
          <t>925</t>
        </is>
      </c>
      <c r="B904" s="2" t="inlineStr">
        <is>
          <t>ยากระตุ้นระบบภูมิคุ้มกัน.ให้ทำงานมากขึ้น</t>
        </is>
      </c>
      <c r="C904" s="2" t="n"/>
      <c r="D904" s="2" t="inlineStr">
        <is>
          <t>Naloxone 0.4 mg IV stat</t>
        </is>
      </c>
      <c r="E904" s="2" t="inlineStr">
        <is>
          <t>Flumazenil 0.2 mg IV stat</t>
        </is>
      </c>
      <c r="F904" s="2" t="inlineStr">
        <is>
          <t>Vitamin K1 (Phytomenadione) 10 mg IV slow</t>
        </is>
      </c>
      <c r="G904" s="2" t="inlineStr">
        <is>
          <t>Sodium thiosulfate 25% 50 mL IV</t>
        </is>
      </c>
      <c r="H904" s="2" t="inlineStr">
        <is>
          <t>Calcium disodium EDTA 1 g IV</t>
        </is>
      </c>
      <c r="I904" s="8" t="inlineStr">
        <is>
          <t>1</t>
        </is>
      </c>
      <c r="J9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04" s="2" t="n"/>
      <c r="L904" s="2" t="inlineStr">
        <is>
          <t>General Therapeutics</t>
        </is>
      </c>
      <c r="M904" s="2" t="inlineStr">
        <is>
          <t>Clinic</t>
        </is>
      </c>
      <c r="N904" s="2" t="inlineStr">
        <is>
          <t>ข้อ 4 (PLE_CC1_2555 Day 2.md)</t>
        </is>
      </c>
      <c r="O904" s="2" t="inlineStr">
        <is>
          <t>ข้อสอบจริง</t>
        </is>
      </c>
      <c r="P904" s="2" t="inlineStr">
        <is>
          <t>ปี 2555</t>
        </is>
      </c>
    </row>
    <row r="905" ht="13.2" customHeight="1" s="37">
      <c r="A905" s="8" t="inlineStr">
        <is>
          <t>926</t>
        </is>
      </c>
      <c r="B905" s="2" t="inlineStr">
        <is>
          <t>ยาช่วยลดความเสี่ยงในการเกิดอาการไม่พึงประสงค์ MCQ 1/2555 by CURx69 page 19</t>
        </is>
      </c>
      <c r="C905" s="2" t="n"/>
      <c r="D905" s="2" t="inlineStr">
        <is>
          <t>Sodium thiosulfate 25% 50 mL IV</t>
        </is>
      </c>
      <c r="E905" s="2" t="inlineStr">
        <is>
          <t>Calcium disodium EDTA 1 g IV</t>
        </is>
      </c>
      <c r="F905" s="2" t="inlineStr">
        <is>
          <t>Desferrioxamine 1 g IM/IV</t>
        </is>
      </c>
      <c r="G905" s="2" t="inlineStr">
        <is>
          <t>Dimercaprol (BAL) 3 mg/kg IM</t>
        </is>
      </c>
      <c r="H905" s="2" t="inlineStr">
        <is>
          <t>Ethanol 10% IV infusion for Methanol poisoning</t>
        </is>
      </c>
      <c r="I905" s="8" t="inlineStr">
        <is>
          <t>1</t>
        </is>
      </c>
      <c r="J9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5" s="2" t="n"/>
      <c r="L905" s="2" t="inlineStr">
        <is>
          <t>General Therapeutics</t>
        </is>
      </c>
      <c r="M905" s="2" t="inlineStr">
        <is>
          <t>Clinic</t>
        </is>
      </c>
      <c r="N905" s="2" t="inlineStr">
        <is>
          <t>ข้อ 5 (PLE_CC1_2555 Day 2.md)</t>
        </is>
      </c>
      <c r="O905" s="2" t="inlineStr">
        <is>
          <t>ข้อสอบจริง</t>
        </is>
      </c>
      <c r="P905" s="2" t="inlineStr">
        <is>
          <t>ปี 2555</t>
        </is>
      </c>
    </row>
    <row r="906" ht="13.2" customHeight="1" s="37">
      <c r="A906" s="8" t="inlineStr">
        <is>
          <t>927</t>
        </is>
      </c>
      <c r="B906" s="2" t="inlineStr">
        <is>
          <t>metabolic alkalosis</t>
        </is>
      </c>
      <c r="C906" s="2" t="n"/>
      <c r="D906" s="2" t="inlineStr">
        <is>
          <t>Dimercaprol (BAL) 3 mg/kg IM</t>
        </is>
      </c>
      <c r="E906" s="2" t="inlineStr">
        <is>
          <t>Ethanol 10% IV infusion for Methanol poisoning</t>
        </is>
      </c>
      <c r="F906" s="2" t="inlineStr">
        <is>
          <t>Fomepizole 15 mg/kg IV loading</t>
        </is>
      </c>
      <c r="G906" s="2" t="inlineStr">
        <is>
          <t>N-acetylcysteine (NAC) IV infusion protocol</t>
        </is>
      </c>
      <c r="H906" s="2" t="inlineStr">
        <is>
          <t>Atropine sulfate 2 mg IV Q5-10 min</t>
        </is>
      </c>
      <c r="I906" s="8" t="inlineStr">
        <is>
          <t>1</t>
        </is>
      </c>
      <c r="J9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6" s="2" t="n"/>
      <c r="L906" s="2" t="inlineStr">
        <is>
          <t>General Therapeutics</t>
        </is>
      </c>
      <c r="M906" s="2" t="inlineStr">
        <is>
          <t>Clinic</t>
        </is>
      </c>
      <c r="N906" s="2" t="inlineStr">
        <is>
          <t>ข้อ 1 (PLE_CC1_2555 Day 2.md)</t>
        </is>
      </c>
      <c r="O906" s="2" t="inlineStr">
        <is>
          <t>ข้อสอบจริง</t>
        </is>
      </c>
      <c r="P906" s="2" t="inlineStr">
        <is>
          <t>ปี 2555</t>
        </is>
      </c>
    </row>
    <row r="907" ht="13.2" customHeight="1" s="37">
      <c r="A907" s="8" t="inlineStr">
        <is>
          <t>928</t>
        </is>
      </c>
      <c r="B907" s="2" t="inlineStr">
        <is>
          <t>sodium starch glycolate</t>
        </is>
      </c>
      <c r="C907" s="2" t="n"/>
      <c r="D907" s="2" t="inlineStr">
        <is>
          <t>N-acetylcysteine (NAC) IV infusion protocol</t>
        </is>
      </c>
      <c r="E907" s="2" t="inlineStr">
        <is>
          <t>Atropine sulfate 2 mg IV Q5-10 min</t>
        </is>
      </c>
      <c r="F907" s="2" t="inlineStr">
        <is>
          <t>Pralidoxime (2-PAM) 1-2 g IV over 30 min</t>
        </is>
      </c>
      <c r="G907" s="2" t="inlineStr">
        <is>
          <t>Naloxone 0.4 mg IV stat</t>
        </is>
      </c>
      <c r="H907" s="2" t="inlineStr">
        <is>
          <t>Flumazenil 0.2 mg IV stat</t>
        </is>
      </c>
      <c r="I907" s="8" t="inlineStr">
        <is>
          <t>1</t>
        </is>
      </c>
      <c r="J9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07" s="2" t="n"/>
      <c r="L907" s="2" t="inlineStr">
        <is>
          <t>General Therapeutics</t>
        </is>
      </c>
      <c r="M907" s="2" t="inlineStr">
        <is>
          <t>Clinic</t>
        </is>
      </c>
      <c r="N907" s="2" t="inlineStr">
        <is>
          <t>ข้อ 1 (PLE_CC1_2555 Day 2.md)</t>
        </is>
      </c>
      <c r="O907" s="2" t="inlineStr">
        <is>
          <t>ข้อสอบจริง</t>
        </is>
      </c>
      <c r="P907" s="2" t="inlineStr">
        <is>
          <t>ปี 2555</t>
        </is>
      </c>
    </row>
    <row r="908" ht="13.2" customHeight="1" s="37">
      <c r="A908" s="8" t="inlineStr">
        <is>
          <t>929</t>
        </is>
      </c>
      <c r="B908" s="2" t="inlineStr">
        <is>
          <t>colloidal silicon dioxide</t>
        </is>
      </c>
      <c r="C908" s="2" t="n"/>
      <c r="D908" s="2" t="inlineStr">
        <is>
          <t>Naloxone 0.4 mg IV stat</t>
        </is>
      </c>
      <c r="E908" s="2" t="inlineStr">
        <is>
          <t>Flumazenil 0.2 mg IV stat</t>
        </is>
      </c>
      <c r="F908" s="2" t="inlineStr">
        <is>
          <t>Vitamin K1 (Phytomenadione) 10 mg IV slow</t>
        </is>
      </c>
      <c r="G908" s="2" t="inlineStr">
        <is>
          <t>Sodium thiosulfate 25% 50 mL IV</t>
        </is>
      </c>
      <c r="H908" s="2" t="inlineStr">
        <is>
          <t>Calcium disodium EDTA 1 g IV</t>
        </is>
      </c>
      <c r="I908" s="8" t="inlineStr">
        <is>
          <t>1</t>
        </is>
      </c>
      <c r="J9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08" s="2" t="n"/>
      <c r="L908" s="2" t="inlineStr">
        <is>
          <t>General Therapeutics</t>
        </is>
      </c>
      <c r="M908" s="2" t="inlineStr">
        <is>
          <t>Clinic</t>
        </is>
      </c>
      <c r="N908" s="2" t="inlineStr">
        <is>
          <t>ข้อ 3 (PLE_CC1_2555 Day 2.md)</t>
        </is>
      </c>
      <c r="O908" s="2" t="inlineStr">
        <is>
          <t>ข้อสอบจริง</t>
        </is>
      </c>
      <c r="P908" s="2" t="inlineStr">
        <is>
          <t>ปี 2555</t>
        </is>
      </c>
    </row>
    <row r="909" ht="13.2" customHeight="1" s="37">
      <c r="A909" s="8" t="inlineStr">
        <is>
          <t>930</t>
        </is>
      </c>
      <c r="B909" s="2" t="inlineStr">
        <is>
          <t>ข้อใดไม่ใช่ข้อดีของ DOT</t>
        </is>
      </c>
      <c r="C909" s="2" t="n"/>
      <c r="D909" s="2" t="inlineStr">
        <is>
          <t>Sodium thiosulfate 25% 50 mL IV</t>
        </is>
      </c>
      <c r="E909" s="2" t="inlineStr">
        <is>
          <t>Calcium disodium EDTA 1 g IV</t>
        </is>
      </c>
      <c r="F909" s="2" t="inlineStr">
        <is>
          <t>Desferrioxamine 1 g IM/IV</t>
        </is>
      </c>
      <c r="G909" s="2" t="inlineStr">
        <is>
          <t>Dimercaprol (BAL) 3 mg/kg IM</t>
        </is>
      </c>
      <c r="H909" s="2" t="inlineStr">
        <is>
          <t>Ethanol 10% IV infusion for Methanol poisoning</t>
        </is>
      </c>
      <c r="I909" s="8" t="inlineStr">
        <is>
          <t>1</t>
        </is>
      </c>
      <c r="J9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9" s="2" t="n"/>
      <c r="L909" s="2" t="inlineStr">
        <is>
          <t>General Therapeutics</t>
        </is>
      </c>
      <c r="M909" s="2" t="inlineStr">
        <is>
          <t>Clinic</t>
        </is>
      </c>
      <c r="N909" s="2" t="inlineStr">
        <is>
          <t>ข้อ 10 (PLE_CC1_2555 Day 2.md)</t>
        </is>
      </c>
      <c r="O909" s="2" t="inlineStr">
        <is>
          <t>ข้อสอบจริง</t>
        </is>
      </c>
      <c r="P909" s="2" t="inlineStr">
        <is>
          <t>ปี 2555</t>
        </is>
      </c>
    </row>
    <row r="910" ht="13.2" customHeight="1" s="37">
      <c r="A910" s="8" t="inlineStr">
        <is>
          <t>931</t>
        </is>
      </c>
      <c r="B910" s="2" t="inlineStr">
        <is>
          <t>เพิ่มความร่วมมือในการใช้ยาของผู้ป่วย</t>
        </is>
      </c>
      <c r="C910" s="2" t="n"/>
      <c r="D910" s="2" t="inlineStr">
        <is>
          <t>Dimercaprol (BAL) 3 mg/kg IM</t>
        </is>
      </c>
      <c r="E910" s="2" t="inlineStr">
        <is>
          <t>Ethanol 10% IV infusion for Methanol poisoning</t>
        </is>
      </c>
      <c r="F910" s="2" t="inlineStr">
        <is>
          <t>Fomepizole 15 mg/kg IV loading</t>
        </is>
      </c>
      <c r="G910" s="2" t="inlineStr">
        <is>
          <t>N-acetylcysteine (NAC) IV infusion protocol</t>
        </is>
      </c>
      <c r="H910" s="2" t="inlineStr">
        <is>
          <t>Atropine sulfate 2 mg IV Q5-10 min</t>
        </is>
      </c>
      <c r="I910" s="8" t="inlineStr">
        <is>
          <t>1</t>
        </is>
      </c>
      <c r="J9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0" s="2" t="n"/>
      <c r="L910" s="2" t="inlineStr">
        <is>
          <t>General Therapeutics</t>
        </is>
      </c>
      <c r="M910" s="2" t="inlineStr">
        <is>
          <t>Clinic</t>
        </is>
      </c>
      <c r="N910" s="2" t="inlineStr">
        <is>
          <t>ข้อ 1 (PLE_CC1_2555 Day 2.md)</t>
        </is>
      </c>
      <c r="O910" s="2" t="inlineStr">
        <is>
          <t>ข้อสอบจริง</t>
        </is>
      </c>
      <c r="P910" s="2" t="inlineStr">
        <is>
          <t>ปี 2555</t>
        </is>
      </c>
    </row>
    <row r="911" ht="13.2" customHeight="1" s="37">
      <c r="A911" s="8" t="inlineStr">
        <is>
          <t>932</t>
        </is>
      </c>
      <c r="B911" s="2" t="inlineStr">
        <is>
          <t>เพิ่มบทบาทของญาติในการดูแลผู้ป่วย</t>
        </is>
      </c>
      <c r="C911" s="2" t="n"/>
      <c r="D911" s="2" t="inlineStr">
        <is>
          <t>N-acetylcysteine (NAC) IV infusion protocol</t>
        </is>
      </c>
      <c r="E911" s="2" t="inlineStr">
        <is>
          <t>Atropine sulfate 2 mg IV Q5-10 min</t>
        </is>
      </c>
      <c r="F911" s="2" t="inlineStr">
        <is>
          <t>Pralidoxime (2-PAM) 1-2 g IV over 30 min</t>
        </is>
      </c>
      <c r="G911" s="2" t="inlineStr">
        <is>
          <t>Naloxone 0.4 mg IV stat</t>
        </is>
      </c>
      <c r="H911" s="2" t="inlineStr">
        <is>
          <t>Flumazenil 0.2 mg IV stat</t>
        </is>
      </c>
      <c r="I911" s="8" t="inlineStr">
        <is>
          <t>1</t>
        </is>
      </c>
      <c r="J9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11" s="2" t="n"/>
      <c r="L911" s="2" t="inlineStr">
        <is>
          <t>General Therapeutics</t>
        </is>
      </c>
      <c r="M911" s="2" t="inlineStr">
        <is>
          <t>Clinic</t>
        </is>
      </c>
      <c r="N911" s="2" t="inlineStr">
        <is>
          <t>ข้อ 2 (PLE_CC1_2555 Day 2.md)</t>
        </is>
      </c>
      <c r="O911" s="2" t="inlineStr">
        <is>
          <t>ข้อสอบจริง</t>
        </is>
      </c>
      <c r="P911" s="2" t="inlineStr">
        <is>
          <t>ปี 2555</t>
        </is>
      </c>
    </row>
    <row r="912" ht="13.2" customHeight="1" s="37">
      <c r="A912" s="8" t="inlineStr">
        <is>
          <t>933</t>
        </is>
      </c>
      <c r="B912" s="2" t="inlineStr">
        <is>
          <t>ลดค่าใช้จ่ายโดยรวมในการรักษา</t>
        </is>
      </c>
      <c r="C912" s="2" t="n"/>
      <c r="D912" s="2" t="inlineStr">
        <is>
          <t>Naloxone 0.4 mg IV stat</t>
        </is>
      </c>
      <c r="E912" s="2" t="inlineStr">
        <is>
          <t>Flumazenil 0.2 mg IV stat</t>
        </is>
      </c>
      <c r="F912" s="2" t="inlineStr">
        <is>
          <t>Vitamin K1 (Phytomenadione) 10 mg IV slow</t>
        </is>
      </c>
      <c r="G912" s="2" t="inlineStr">
        <is>
          <t>Sodium thiosulfate 25% 50 mL IV</t>
        </is>
      </c>
      <c r="H912" s="2" t="inlineStr">
        <is>
          <t>Calcium disodium EDTA 1 g IV</t>
        </is>
      </c>
      <c r="I912" s="8" t="inlineStr">
        <is>
          <t>1</t>
        </is>
      </c>
      <c r="J9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12" s="2" t="n"/>
      <c r="L912" s="2" t="inlineStr">
        <is>
          <t>General Therapeutics</t>
        </is>
      </c>
      <c r="M912" s="2" t="inlineStr">
        <is>
          <t>Clinic</t>
        </is>
      </c>
      <c r="N912" s="2" t="inlineStr">
        <is>
          <t>ข้อ 3 (PLE_CC1_2555 Day 2.md)</t>
        </is>
      </c>
      <c r="O912" s="2" t="inlineStr">
        <is>
          <t>ข้อสอบจริง</t>
        </is>
      </c>
      <c r="P912" s="2" t="inlineStr">
        <is>
          <t>ปี 2555</t>
        </is>
      </c>
    </row>
    <row r="913" ht="13.2" customHeight="1" s="37">
      <c r="A913" s="8" t="inlineStr">
        <is>
          <t>934</t>
        </is>
      </c>
      <c r="B913" s="2" t="inlineStr">
        <is>
          <t>ลดระยะเวลาในการรักษา</t>
        </is>
      </c>
      <c r="C913" s="2" t="n"/>
      <c r="D913" s="2" t="inlineStr">
        <is>
          <t>Sodium thiosulfate 25% 50 mL IV</t>
        </is>
      </c>
      <c r="E913" s="2" t="inlineStr">
        <is>
          <t>Calcium disodium EDTA 1 g IV</t>
        </is>
      </c>
      <c r="F913" s="2" t="inlineStr">
        <is>
          <t>Desferrioxamine 1 g IM/IV</t>
        </is>
      </c>
      <c r="G913" s="2" t="inlineStr">
        <is>
          <t>Dimercaprol (BAL) 3 mg/kg IM</t>
        </is>
      </c>
      <c r="H913" s="2" t="inlineStr">
        <is>
          <t>Ethanol 10% IV infusion for Methanol poisoning</t>
        </is>
      </c>
      <c r="I913" s="8" t="inlineStr">
        <is>
          <t>1</t>
        </is>
      </c>
      <c r="J9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3" s="2" t="n"/>
      <c r="L913" s="2" t="inlineStr">
        <is>
          <t>General Therapeutics</t>
        </is>
      </c>
      <c r="M913" s="2" t="inlineStr">
        <is>
          <t>Clinic</t>
        </is>
      </c>
      <c r="N913" s="2" t="inlineStr">
        <is>
          <t>ข้อ 4 (PLE_CC1_2555 Day 2.md)</t>
        </is>
      </c>
      <c r="O913" s="2" t="inlineStr">
        <is>
          <t>ข้อสอบจริง</t>
        </is>
      </c>
      <c r="P913" s="2" t="inlineStr">
        <is>
          <t>ปี 2555</t>
        </is>
      </c>
    </row>
    <row r="914" ht="13.2" customHeight="1" s="37">
      <c r="A914" s="8" t="inlineStr">
        <is>
          <t>935</t>
        </is>
      </c>
      <c r="B914" s="2" t="inlineStr">
        <is>
          <t>เมื่อเด็กทารกคลอดออกมาจะได้รับการกระตุ้นให้สร้างแอนติบอดีใดเป็นตัวแรก</t>
        </is>
      </c>
      <c r="C914" s="2" t="n"/>
      <c r="D914" s="2" t="inlineStr">
        <is>
          <t>Dimercaprol (BAL) 3 mg/kg IM</t>
        </is>
      </c>
      <c r="E914" s="2" t="inlineStr">
        <is>
          <t>Ethanol 10% IV infusion for Methanol poisoning</t>
        </is>
      </c>
      <c r="F914" s="2" t="inlineStr">
        <is>
          <t>Fomepizole 15 mg/kg IV loading</t>
        </is>
      </c>
      <c r="G914" s="2" t="inlineStr">
        <is>
          <t>N-acetylcysteine (NAC) IV infusion protocol</t>
        </is>
      </c>
      <c r="H914" s="2" t="inlineStr">
        <is>
          <t>Atropine sulfate 2 mg IV Q5-10 min</t>
        </is>
      </c>
      <c r="I914" s="8" t="inlineStr">
        <is>
          <t>1</t>
        </is>
      </c>
      <c r="J9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4" s="2" t="n"/>
      <c r="L914" s="2" t="inlineStr">
        <is>
          <t>General Therapeutics</t>
        </is>
      </c>
      <c r="M914" s="2" t="inlineStr">
        <is>
          <t>Clinic</t>
        </is>
      </c>
      <c r="N914" s="2" t="inlineStr">
        <is>
          <t>ข้อ 2 (PLE_CC1_2555 Day 2.md)</t>
        </is>
      </c>
      <c r="O914" s="2" t="inlineStr">
        <is>
          <t>ข้อสอบจริง</t>
        </is>
      </c>
      <c r="P914" s="2" t="inlineStr">
        <is>
          <t>ปี 2555</t>
        </is>
      </c>
    </row>
    <row r="915" ht="13.2" customHeight="1" s="37">
      <c r="A915" s="8" t="inlineStr">
        <is>
          <t>936</t>
        </is>
      </c>
      <c r="B915" s="2" t="inlineStr">
        <is>
          <t>ข้อใดไม่อยู่ในโปรแกรมเสริมสร้างภูมิคุ้มกันพื้นฐาน</t>
        </is>
      </c>
      <c r="C915" s="2" t="n"/>
      <c r="D915" s="2" t="inlineStr">
        <is>
          <t>N-acetylcysteine (NAC) IV infusion protocol</t>
        </is>
      </c>
      <c r="E915" s="2" t="inlineStr">
        <is>
          <t>Atropine sulfate 2 mg IV Q5-10 min</t>
        </is>
      </c>
      <c r="F915" s="2" t="inlineStr">
        <is>
          <t>Pralidoxime (2-PAM) 1-2 g IV over 30 min</t>
        </is>
      </c>
      <c r="G915" s="2" t="inlineStr">
        <is>
          <t>Naloxone 0.4 mg IV stat</t>
        </is>
      </c>
      <c r="H915" s="2" t="inlineStr">
        <is>
          <t>Flumazenil 0.2 mg IV stat</t>
        </is>
      </c>
      <c r="I915" s="8" t="inlineStr">
        <is>
          <t>1</t>
        </is>
      </c>
      <c r="J9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15" s="2" t="n"/>
      <c r="L915" s="2" t="inlineStr">
        <is>
          <t>General Therapeutics</t>
        </is>
      </c>
      <c r="M915" s="2" t="inlineStr">
        <is>
          <t>Clinic</t>
        </is>
      </c>
      <c r="N915" s="2" t="inlineStr">
        <is>
          <t>ข้อ 3 (PLE_CC1_2555 Day 2.md)</t>
        </is>
      </c>
      <c r="O915" s="2" t="inlineStr">
        <is>
          <t>ข้อสอบจริง</t>
        </is>
      </c>
      <c r="P915" s="2" t="inlineStr">
        <is>
          <t>ปี 2555</t>
        </is>
      </c>
    </row>
    <row r="916" ht="13.2" customHeight="1" s="37">
      <c r="A916" s="8" t="inlineStr">
        <is>
          <t>937</t>
        </is>
      </c>
      <c r="B916" s="2" t="inlineStr">
        <is>
          <t>Japanese encephalitis</t>
        </is>
      </c>
      <c r="C916" s="2" t="n"/>
      <c r="D916" s="2" t="inlineStr">
        <is>
          <t>Naloxone 0.4 mg IV stat</t>
        </is>
      </c>
      <c r="E916" s="2" t="inlineStr">
        <is>
          <t>Flumazenil 0.2 mg IV stat</t>
        </is>
      </c>
      <c r="F916" s="2" t="inlineStr">
        <is>
          <t>Vitamin K1 (Phytomenadione) 10 mg IV slow</t>
        </is>
      </c>
      <c r="G916" s="2" t="inlineStr">
        <is>
          <t>Sodium thiosulfate 25% 50 mL IV</t>
        </is>
      </c>
      <c r="H916" s="2" t="inlineStr">
        <is>
          <t>Calcium disodium EDTA 1 g IV</t>
        </is>
      </c>
      <c r="I916" s="8" t="inlineStr">
        <is>
          <t>1</t>
        </is>
      </c>
      <c r="J9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16" s="2" t="n"/>
      <c r="L916" s="2" t="inlineStr">
        <is>
          <t>General Therapeutics</t>
        </is>
      </c>
      <c r="M916" s="2" t="inlineStr">
        <is>
          <t>Clinic</t>
        </is>
      </c>
      <c r="N916" s="2" t="inlineStr">
        <is>
          <t>ข้อ 5 (PLE_CC1_2555 Day 2.md)</t>
        </is>
      </c>
      <c r="O916" s="2" t="inlineStr">
        <is>
          <t>ข้อสอบจริง</t>
        </is>
      </c>
      <c r="P916" s="2" t="inlineStr">
        <is>
          <t>ปี 2555</t>
        </is>
      </c>
    </row>
    <row r="917" ht="13.2" customHeight="1" s="37">
      <c r="A917" s="8" t="inlineStr">
        <is>
          <t>938</t>
        </is>
      </c>
      <c r="B917" s="2" t="inlineStr">
        <is>
          <t>เด็กมาฉีด Hep B เข็มที่ 2 ตามนัด แพทย์นัดฉีดเข็มถัดไปอีก 4 เดือนข้างหน้า แต่อีก 2 เดือนเด็กต้องไปต่างประเทศ และอยู่ที่นั่นนาน 3 เดือน ควรแนะนำอย่างไร</t>
        </is>
      </c>
      <c r="C917" s="2" t="n"/>
      <c r="D917" s="2" t="inlineStr">
        <is>
          <t>Sodium thiosulfate 25% 50 mL IV</t>
        </is>
      </c>
      <c r="E917" s="2" t="inlineStr">
        <is>
          <t>Calcium disodium EDTA 1 g IV</t>
        </is>
      </c>
      <c r="F917" s="2" t="inlineStr">
        <is>
          <t>Desferrioxamine 1 g IM/IV</t>
        </is>
      </c>
      <c r="G917" s="2" t="inlineStr">
        <is>
          <t>Dimercaprol (BAL) 3 mg/kg IM</t>
        </is>
      </c>
      <c r="H917" s="2" t="inlineStr">
        <is>
          <t>Ethanol 10% IV infusion for Methanol poisoning</t>
        </is>
      </c>
      <c r="I917" s="8" t="inlineStr">
        <is>
          <t>1</t>
        </is>
      </c>
      <c r="J9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17" s="2" t="n"/>
      <c r="L917" s="2" t="inlineStr">
        <is>
          <t>General Therapeutics</t>
        </is>
      </c>
      <c r="M917" s="2" t="inlineStr">
        <is>
          <t>Clinic</t>
        </is>
      </c>
      <c r="N917" s="2" t="inlineStr">
        <is>
          <t>ข้อ 5 (PLE_CC1_2555 Day 2.md)</t>
        </is>
      </c>
      <c r="O917" s="2" t="inlineStr">
        <is>
          <t>ข้อสอบจริง</t>
        </is>
      </c>
      <c r="P917" s="2" t="inlineStr">
        <is>
          <t>ปี 2555</t>
        </is>
      </c>
    </row>
    <row r="918" ht="13.2" customHeight="1" s="37">
      <c r="A918" s="8" t="inlineStr">
        <is>
          <t>939</t>
        </is>
      </c>
      <c r="B918" s="2" t="inlineStr">
        <is>
          <t>เริ่มฉีดเข็มที่ 1 ใหม่ เมื่อเด็กกลับจากต่างประเทศ</t>
        </is>
      </c>
      <c r="C918" s="2" t="n"/>
      <c r="D918" s="2" t="inlineStr">
        <is>
          <t>Dimercaprol (BAL) 3 mg/kg IM</t>
        </is>
      </c>
      <c r="E918" s="2" t="inlineStr">
        <is>
          <t>Ethanol 10% IV infusion for Methanol poisoning</t>
        </is>
      </c>
      <c r="F918" s="2" t="inlineStr">
        <is>
          <t>Fomepizole 15 mg/kg IV loading</t>
        </is>
      </c>
      <c r="G918" s="2" t="inlineStr">
        <is>
          <t>N-acetylcysteine (NAC) IV infusion protocol</t>
        </is>
      </c>
      <c r="H918" s="2" t="inlineStr">
        <is>
          <t>Atropine sulfate 2 mg IV Q5-10 min</t>
        </is>
      </c>
      <c r="I918" s="8" t="inlineStr">
        <is>
          <t>1</t>
        </is>
      </c>
      <c r="J9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8" s="2" t="n"/>
      <c r="L918" s="2" t="inlineStr">
        <is>
          <t>General Therapeutics</t>
        </is>
      </c>
      <c r="M918" s="2" t="inlineStr">
        <is>
          <t>Clinic</t>
        </is>
      </c>
      <c r="N918" s="2" t="inlineStr">
        <is>
          <t>ข้อ 1 (PLE_CC1_2555 Day 2.md)</t>
        </is>
      </c>
      <c r="O918" s="2" t="inlineStr">
        <is>
          <t>ข้อสอบจริง</t>
        </is>
      </c>
      <c r="P918" s="2" t="inlineStr">
        <is>
          <t>ปี 2555</t>
        </is>
      </c>
    </row>
    <row r="919" ht="13.2" customHeight="1" s="37">
      <c r="A919" s="8" t="inlineStr">
        <is>
          <t>940</t>
        </is>
      </c>
      <c r="B919" s="2" t="inlineStr">
        <is>
          <t>ให้เด็กฉีดเข็มที่ 3 เมื่อกลับมาถึง</t>
        </is>
      </c>
      <c r="C919" s="2" t="n"/>
      <c r="D919" s="2" t="inlineStr">
        <is>
          <t>N-acetylcysteine (NAC) IV infusion protocol</t>
        </is>
      </c>
      <c r="E919" s="2" t="inlineStr">
        <is>
          <t>Atropine sulfate 2 mg IV Q5-10 min</t>
        </is>
      </c>
      <c r="F919" s="2" t="inlineStr">
        <is>
          <t>Pralidoxime (2-PAM) 1-2 g IV over 30 min</t>
        </is>
      </c>
      <c r="G919" s="2" t="inlineStr">
        <is>
          <t>Naloxone 0.4 mg IV stat</t>
        </is>
      </c>
      <c r="H919" s="2" t="inlineStr">
        <is>
          <t>Flumazenil 0.2 mg IV stat</t>
        </is>
      </c>
      <c r="I919" s="8" t="inlineStr">
        <is>
          <t>1</t>
        </is>
      </c>
      <c r="J9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19" s="2" t="n"/>
      <c r="L919" s="2" t="inlineStr">
        <is>
          <t>General Therapeutics</t>
        </is>
      </c>
      <c r="M919" s="2" t="inlineStr">
        <is>
          <t>Clinic</t>
        </is>
      </c>
      <c r="N919" s="2" t="inlineStr">
        <is>
          <t>ข้อ 2 (PLE_CC1_2555 Day 2.md)</t>
        </is>
      </c>
      <c r="O919" s="2" t="inlineStr">
        <is>
          <t>ข้อสอบจริง</t>
        </is>
      </c>
      <c r="P919" s="2" t="inlineStr">
        <is>
          <t>ปี 2555</t>
        </is>
      </c>
    </row>
    <row r="920" ht="13.2" customHeight="1" s="37">
      <c r="A920" s="8" t="inlineStr">
        <is>
          <t>941</t>
        </is>
      </c>
      <c r="B920" s="2" t="inlineStr">
        <is>
          <t>ให้เด็กเลื่อนมาฉีดเข็มที่ 3 ก่อนไปต่างประเทศ</t>
        </is>
      </c>
      <c r="C920" s="2" t="n"/>
      <c r="D920" s="2" t="inlineStr">
        <is>
          <t>Naloxone 0.4 mg IV stat</t>
        </is>
      </c>
      <c r="E920" s="2" t="inlineStr">
        <is>
          <t>Flumazenil 0.2 mg IV stat</t>
        </is>
      </c>
      <c r="F920" s="2" t="inlineStr">
        <is>
          <t>Vitamin K1 (Phytomenadione) 10 mg IV slow</t>
        </is>
      </c>
      <c r="G920" s="2" t="inlineStr">
        <is>
          <t>Sodium thiosulfate 25% 50 mL IV</t>
        </is>
      </c>
      <c r="H920" s="2" t="inlineStr">
        <is>
          <t>Calcium disodium EDTA 1 g IV</t>
        </is>
      </c>
      <c r="I920" s="8" t="inlineStr">
        <is>
          <t>1</t>
        </is>
      </c>
      <c r="J9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20" s="2" t="n"/>
      <c r="L920" s="2" t="inlineStr">
        <is>
          <t>General Therapeutics</t>
        </is>
      </c>
      <c r="M920" s="2" t="inlineStr">
        <is>
          <t>Clinic</t>
        </is>
      </c>
      <c r="N920" s="2" t="inlineStr">
        <is>
          <t>ข้อ 3 (PLE_CC1_2555 Day 2.md)</t>
        </is>
      </c>
      <c r="O920" s="2" t="inlineStr">
        <is>
          <t>ข้อสอบจริง</t>
        </is>
      </c>
      <c r="P920" s="2" t="inlineStr">
        <is>
          <t>ปี 2555</t>
        </is>
      </c>
    </row>
    <row r="921" ht="13.2" customHeight="1" s="37">
      <c r="A921" s="8" t="inlineStr">
        <is>
          <t>942</t>
        </is>
      </c>
      <c r="B921" s="2" t="inlineStr">
        <is>
          <t>เพิ่มการตอบสนองต่อภูมิคุ้มกัน</t>
        </is>
      </c>
      <c r="C921" s="2" t="n"/>
      <c r="D921" s="2" t="inlineStr">
        <is>
          <t>Sodium thiosulfate 25% 50 mL IV</t>
        </is>
      </c>
      <c r="E921" s="2" t="inlineStr">
        <is>
          <t>Calcium disodium EDTA 1 g IV</t>
        </is>
      </c>
      <c r="F921" s="2" t="inlineStr">
        <is>
          <t>Desferrioxamine 1 g IM/IV</t>
        </is>
      </c>
      <c r="G921" s="2" t="inlineStr">
        <is>
          <t>Dimercaprol (BAL) 3 mg/kg IM</t>
        </is>
      </c>
      <c r="H921" s="2" t="inlineStr">
        <is>
          <t>Ethanol 10% IV infusion for Methanol poisoning</t>
        </is>
      </c>
      <c r="I921" s="8" t="inlineStr">
        <is>
          <t>1</t>
        </is>
      </c>
      <c r="J9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1" s="2" t="n"/>
      <c r="L921" s="2" t="inlineStr">
        <is>
          <t>General Therapeutics</t>
        </is>
      </c>
      <c r="M921" s="2" t="inlineStr">
        <is>
          <t>Clinic</t>
        </is>
      </c>
      <c r="N921" s="2" t="inlineStr">
        <is>
          <t>ข้อ 1 (PLE_CC1_2555 Day 2.md)</t>
        </is>
      </c>
      <c r="O921" s="2" t="inlineStr">
        <is>
          <t>ข้อสอบจริง</t>
        </is>
      </c>
      <c r="P921" s="2" t="inlineStr">
        <is>
          <t>ปี 2555</t>
        </is>
      </c>
    </row>
    <row r="922" ht="13.2" customHeight="1" s="37">
      <c r="A922" s="8" t="inlineStr">
        <is>
          <t>943</t>
        </is>
      </c>
      <c r="B922" s="2" t="inlineStr">
        <is>
          <t>ทำให้ไวรัสอ่อนฤทธิ์ลง</t>
        </is>
      </c>
      <c r="C922" s="2" t="n"/>
      <c r="D922" s="2" t="inlineStr">
        <is>
          <t>Dimercaprol (BAL) 3 mg/kg IM</t>
        </is>
      </c>
      <c r="E922" s="2" t="inlineStr">
        <is>
          <t>Ethanol 10% IV infusion for Methanol poisoning</t>
        </is>
      </c>
      <c r="F922" s="2" t="inlineStr">
        <is>
          <t>Fomepizole 15 mg/kg IV loading</t>
        </is>
      </c>
      <c r="G922" s="2" t="inlineStr">
        <is>
          <t>N-acetylcysteine (NAC) IV infusion protocol</t>
        </is>
      </c>
      <c r="H922" s="2" t="inlineStr">
        <is>
          <t>Atropine sulfate 2 mg IV Q5-10 min</t>
        </is>
      </c>
      <c r="I922" s="8" t="inlineStr">
        <is>
          <t>1</t>
        </is>
      </c>
      <c r="J9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2" s="2" t="n"/>
      <c r="L922" s="2" t="inlineStr">
        <is>
          <t>General Therapeutics</t>
        </is>
      </c>
      <c r="M922" s="2" t="inlineStr">
        <is>
          <t>Clinic</t>
        </is>
      </c>
      <c r="N922" s="2" t="inlineStr">
        <is>
          <t>ข้อ 2 (PLE_CC1_2555 Day 2.md)</t>
        </is>
      </c>
      <c r="O922" s="2" t="inlineStr">
        <is>
          <t>ข้อสอบจริง</t>
        </is>
      </c>
      <c r="P922" s="2" t="inlineStr">
        <is>
          <t>ปี 2555</t>
        </is>
      </c>
    </row>
    <row r="923" ht="13.2" customHeight="1" s="37">
      <c r="A923" s="8" t="inlineStr">
        <is>
          <t>944</t>
        </is>
      </c>
      <c r="B923" s="2" t="inlineStr">
        <is>
          <t>ต้านเชื้อจุลชีพขึ้น</t>
        </is>
      </c>
      <c r="C923" s="2" t="n"/>
      <c r="D923" s="2" t="inlineStr">
        <is>
          <t>N-acetylcysteine (NAC) IV infusion protocol</t>
        </is>
      </c>
      <c r="E923" s="2" t="inlineStr">
        <is>
          <t>Atropine sulfate 2 mg IV Q5-10 min</t>
        </is>
      </c>
      <c r="F923" s="2" t="inlineStr">
        <is>
          <t>Pralidoxime (2-PAM) 1-2 g IV over 30 min</t>
        </is>
      </c>
      <c r="G923" s="2" t="inlineStr">
        <is>
          <t>Naloxone 0.4 mg IV stat</t>
        </is>
      </c>
      <c r="H923" s="2" t="inlineStr">
        <is>
          <t>Flumazenil 0.2 mg IV stat</t>
        </is>
      </c>
      <c r="I923" s="8" t="inlineStr">
        <is>
          <t>1</t>
        </is>
      </c>
      <c r="J9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23" s="2" t="n"/>
      <c r="L923" s="2" t="inlineStr">
        <is>
          <t>General Therapeutics</t>
        </is>
      </c>
      <c r="M923" s="2" t="inlineStr">
        <is>
          <t>Clinic</t>
        </is>
      </c>
      <c r="N923" s="2" t="inlineStr">
        <is>
          <t>ข้อ 5 (PLE_CC1_2555 Day 2.md)</t>
        </is>
      </c>
      <c r="O923" s="2" t="inlineStr">
        <is>
          <t>ข้อสอบจริง</t>
        </is>
      </c>
      <c r="P923" s="2" t="inlineStr">
        <is>
          <t>ปี 2555</t>
        </is>
      </c>
    </row>
    <row r="924" ht="13.2" customHeight="1" s="37">
      <c r="A924" s="8" t="inlineStr">
        <is>
          <t>945</t>
        </is>
      </c>
      <c r="B924" s="2" t="inlineStr">
        <is>
          <t>จ่ายยาที่โรงพยาบาลซื้อมาก่อนให้ป่วยก่อน</t>
        </is>
      </c>
      <c r="C924" s="2" t="n"/>
      <c r="D924" s="2" t="inlineStr">
        <is>
          <t>Naloxone 0.4 mg IV stat</t>
        </is>
      </c>
      <c r="E924" s="2" t="inlineStr">
        <is>
          <t>Flumazenil 0.2 mg IV stat</t>
        </is>
      </c>
      <c r="F924" s="2" t="inlineStr">
        <is>
          <t>Vitamin K1 (Phytomenadione) 10 mg IV slow</t>
        </is>
      </c>
      <c r="G924" s="2" t="inlineStr">
        <is>
          <t>Sodium thiosulfate 25% 50 mL IV</t>
        </is>
      </c>
      <c r="H924" s="2" t="inlineStr">
        <is>
          <t>Calcium disodium EDTA 1 g IV</t>
        </is>
      </c>
      <c r="I924" s="8" t="inlineStr">
        <is>
          <t>1</t>
        </is>
      </c>
      <c r="J9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24" s="2" t="n"/>
      <c r="L924" s="2" t="inlineStr">
        <is>
          <t>General Therapeutics</t>
        </is>
      </c>
      <c r="M924" s="2" t="inlineStr">
        <is>
          <t>Clinic</t>
        </is>
      </c>
      <c r="N924" s="2" t="inlineStr">
        <is>
          <t>ข้อ 1 (PLE_CC1_2555 Day 2.md)</t>
        </is>
      </c>
      <c r="O924" s="2" t="inlineStr">
        <is>
          <t>ข้อสอบจริง</t>
        </is>
      </c>
      <c r="P924" s="2" t="inlineStr">
        <is>
          <t>ปี 2555</t>
        </is>
      </c>
    </row>
    <row r="925" ht="13.2" customHeight="1" s="37">
      <c r="A925" s="8" t="inlineStr">
        <is>
          <t>946</t>
        </is>
      </c>
      <c r="B925" s="2" t="inlineStr">
        <is>
          <t>จ่ายยาที่โรงพยาบาลซื้อมาล่าสุดให้ผู้ป่วยก่อน</t>
        </is>
      </c>
      <c r="C925" s="2" t="n"/>
      <c r="D925" s="2" t="inlineStr">
        <is>
          <t>Sodium thiosulfate 25% 50 mL IV</t>
        </is>
      </c>
      <c r="E925" s="2" t="inlineStr">
        <is>
          <t>Calcium disodium EDTA 1 g IV</t>
        </is>
      </c>
      <c r="F925" s="2" t="inlineStr">
        <is>
          <t>Desferrioxamine 1 g IM/IV</t>
        </is>
      </c>
      <c r="G925" s="2" t="inlineStr">
        <is>
          <t>Dimercaprol (BAL) 3 mg/kg IM</t>
        </is>
      </c>
      <c r="H925" s="2" t="inlineStr">
        <is>
          <t>Ethanol 10% IV infusion for Methanol poisoning</t>
        </is>
      </c>
      <c r="I925" s="8" t="inlineStr">
        <is>
          <t>1</t>
        </is>
      </c>
      <c r="J9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5" s="2" t="n"/>
      <c r="L925" s="2" t="inlineStr">
        <is>
          <t>General Therapeutics</t>
        </is>
      </c>
      <c r="M925" s="2" t="inlineStr">
        <is>
          <t>Clinic</t>
        </is>
      </c>
      <c r="N925" s="2" t="inlineStr">
        <is>
          <t>ข้อ 2 (PLE_CC1_2555 Day 2.md)</t>
        </is>
      </c>
      <c r="O925" s="2" t="inlineStr">
        <is>
          <t>ข้อสอบจริง</t>
        </is>
      </c>
      <c r="P925" s="2" t="inlineStr">
        <is>
          <t>ปี 2555</t>
        </is>
      </c>
    </row>
    <row r="926" ht="13.2" customHeight="1" s="37">
      <c r="A926" s="8" t="inlineStr">
        <is>
          <t>947</t>
        </is>
      </c>
      <c r="B926" s="2" t="inlineStr">
        <is>
          <t>จัดซื้อ lot ยาที่ผลิตล่าสุด และจำหน่ายออกไปใช้ก่อน</t>
        </is>
      </c>
      <c r="C926" s="2" t="n"/>
      <c r="D926" s="2" t="inlineStr">
        <is>
          <t>Dimercaprol (BAL) 3 mg/kg IM</t>
        </is>
      </c>
      <c r="E926" s="2" t="inlineStr">
        <is>
          <t>Ethanol 10% IV infusion for Methanol poisoning</t>
        </is>
      </c>
      <c r="F926" s="2" t="inlineStr">
        <is>
          <t>Fomepizole 15 mg/kg IV loading</t>
        </is>
      </c>
      <c r="G926" s="2" t="inlineStr">
        <is>
          <t>N-acetylcysteine (NAC) IV infusion protocol</t>
        </is>
      </c>
      <c r="H926" s="2" t="inlineStr">
        <is>
          <t>Atropine sulfate 2 mg IV Q5-10 min</t>
        </is>
      </c>
      <c r="I926" s="8" t="inlineStr">
        <is>
          <t>1</t>
        </is>
      </c>
      <c r="J9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6" s="2" t="n"/>
      <c r="L926" s="2" t="inlineStr">
        <is>
          <t>General Therapeutics</t>
        </is>
      </c>
      <c r="M926" s="2" t="inlineStr">
        <is>
          <t>Clinic</t>
        </is>
      </c>
      <c r="N926" s="2" t="inlineStr">
        <is>
          <t>ข้อ 3 (PLE_CC1_2555 Day 2.md)</t>
        </is>
      </c>
      <c r="O926" s="2" t="inlineStr">
        <is>
          <t>ข้อสอบจริง</t>
        </is>
      </c>
      <c r="P926" s="2" t="inlineStr">
        <is>
          <t>ปี 2555</t>
        </is>
      </c>
    </row>
    <row r="927" ht="13.2" customHeight="1" s="37">
      <c r="A927" s="8" t="inlineStr">
        <is>
          <t>948</t>
        </is>
      </c>
      <c r="B927" s="2" t="inlineStr">
        <is>
          <t>ข้อมูลการซักประวัติใด จำเป็นน้อยที่สุด</t>
        </is>
      </c>
      <c r="C927" s="2" t="n"/>
      <c r="D927" s="2" t="inlineStr">
        <is>
          <t>N-acetylcysteine (NAC) IV infusion protocol</t>
        </is>
      </c>
      <c r="E927" s="2" t="inlineStr">
        <is>
          <t>Atropine sulfate 2 mg IV Q5-10 min</t>
        </is>
      </c>
      <c r="F927" s="2" t="inlineStr">
        <is>
          <t>Pralidoxime (2-PAM) 1-2 g IV over 30 min</t>
        </is>
      </c>
      <c r="G927" s="2" t="inlineStr">
        <is>
          <t>Naloxone 0.4 mg IV stat</t>
        </is>
      </c>
      <c r="H927" s="2" t="inlineStr">
        <is>
          <t>Flumazenil 0.2 mg IV stat</t>
        </is>
      </c>
      <c r="I927" s="8" t="inlineStr">
        <is>
          <t>1</t>
        </is>
      </c>
      <c r="J9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27" s="2" t="n"/>
      <c r="L927" s="2" t="inlineStr">
        <is>
          <t>General Therapeutics</t>
        </is>
      </c>
      <c r="M927" s="2" t="inlineStr">
        <is>
          <t>Clinic</t>
        </is>
      </c>
      <c r="N927" s="2" t="inlineStr">
        <is>
          <t>ข้อ 1 (PLE_CC1_2555 Day 2.md)</t>
        </is>
      </c>
      <c r="O927" s="2" t="inlineStr">
        <is>
          <t>ข้อสอบจริง</t>
        </is>
      </c>
      <c r="P927" s="2" t="inlineStr">
        <is>
          <t>ปี 2555</t>
        </is>
      </c>
    </row>
    <row r="928" ht="13.2" customHeight="1" s="37">
      <c r="A928" s="8" t="inlineStr">
        <is>
          <t>949</t>
        </is>
      </c>
      <c r="B928" s="2" t="inlineStr">
        <is>
          <t>ขนาดยาที่ได้รับ</t>
        </is>
      </c>
      <c r="C928" s="2" t="n"/>
      <c r="D928" s="2" t="inlineStr">
        <is>
          <t>Naloxone 0.4 mg IV stat</t>
        </is>
      </c>
      <c r="E928" s="2" t="inlineStr">
        <is>
          <t>Flumazenil 0.2 mg IV stat</t>
        </is>
      </c>
      <c r="F928" s="2" t="inlineStr">
        <is>
          <t>Vitamin K1 (Phytomenadione) 10 mg IV slow</t>
        </is>
      </c>
      <c r="G928" s="2" t="inlineStr">
        <is>
          <t>Sodium thiosulfate 25% 50 mL IV</t>
        </is>
      </c>
      <c r="H928" s="2" t="inlineStr">
        <is>
          <t>Calcium disodium EDTA 1 g IV</t>
        </is>
      </c>
      <c r="I928" s="8" t="inlineStr">
        <is>
          <t>1</t>
        </is>
      </c>
      <c r="J9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28" s="2" t="n"/>
      <c r="L928" s="2" t="inlineStr">
        <is>
          <t>General Therapeutics</t>
        </is>
      </c>
      <c r="M928" s="2" t="inlineStr">
        <is>
          <t>Clinic</t>
        </is>
      </c>
      <c r="N928" s="2" t="inlineStr">
        <is>
          <t>ข้อ 1 (PLE_CC1_2555 Day 2.md)</t>
        </is>
      </c>
      <c r="O928" s="2" t="inlineStr">
        <is>
          <t>ข้อสอบจริง</t>
        </is>
      </c>
      <c r="P928" s="2" t="inlineStr">
        <is>
          <t>ปี 2555</t>
        </is>
      </c>
    </row>
    <row r="929" ht="13.2" customHeight="1" s="37">
      <c r="A929" s="8" t="inlineStr">
        <is>
          <t>950</t>
        </is>
      </c>
      <c r="B929" s="2" t="inlineStr">
        <is>
          <t>เวลาที่เริ่มกินยา</t>
        </is>
      </c>
      <c r="C929" s="2" t="n"/>
      <c r="D929" s="2" t="inlineStr">
        <is>
          <t>Sodium thiosulfate 25% 50 mL IV</t>
        </is>
      </c>
      <c r="E929" s="2" t="inlineStr">
        <is>
          <t>Calcium disodium EDTA 1 g IV</t>
        </is>
      </c>
      <c r="F929" s="2" t="inlineStr">
        <is>
          <t>Desferrioxamine 1 g IM/IV</t>
        </is>
      </c>
      <c r="G929" s="2" t="inlineStr">
        <is>
          <t>Dimercaprol (BAL) 3 mg/kg IM</t>
        </is>
      </c>
      <c r="H929" s="2" t="inlineStr">
        <is>
          <t>Ethanol 10% IV infusion for Methanol poisoning</t>
        </is>
      </c>
      <c r="I929" s="8" t="inlineStr">
        <is>
          <t>1</t>
        </is>
      </c>
      <c r="J9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9" s="2" t="n"/>
      <c r="L929" s="2" t="inlineStr">
        <is>
          <t>General Therapeutics</t>
        </is>
      </c>
      <c r="M929" s="2" t="inlineStr">
        <is>
          <t>Clinic</t>
        </is>
      </c>
      <c r="N929" s="2" t="inlineStr">
        <is>
          <t>ข้อ 2 (PLE_CC1_2555 Day 2.md)</t>
        </is>
      </c>
      <c r="O929" s="2" t="inlineStr">
        <is>
          <t>ข้อสอบจริง</t>
        </is>
      </c>
      <c r="P929" s="2" t="inlineStr">
        <is>
          <t>ปี 2555</t>
        </is>
      </c>
    </row>
    <row r="930" ht="13.2" customHeight="1" s="37">
      <c r="A930" s="8" t="inlineStr">
        <is>
          <t>951</t>
        </is>
      </c>
      <c r="B930" s="2" t="inlineStr">
        <is>
          <t>ประวัติการใช้ยาในอดีต</t>
        </is>
      </c>
      <c r="C930" s="2" t="n"/>
      <c r="D930" s="2" t="inlineStr">
        <is>
          <t>Dimercaprol (BAL) 3 mg/kg IM</t>
        </is>
      </c>
      <c r="E930" s="2" t="inlineStr">
        <is>
          <t>Ethanol 10% IV infusion for Methanol poisoning</t>
        </is>
      </c>
      <c r="F930" s="2" t="inlineStr">
        <is>
          <t>Fomepizole 15 mg/kg IV loading</t>
        </is>
      </c>
      <c r="G930" s="2" t="inlineStr">
        <is>
          <t>N-acetylcysteine (NAC) IV infusion protocol</t>
        </is>
      </c>
      <c r="H930" s="2" t="inlineStr">
        <is>
          <t>Atropine sulfate 2 mg IV Q5-10 min</t>
        </is>
      </c>
      <c r="I930" s="8" t="inlineStr">
        <is>
          <t>1</t>
        </is>
      </c>
      <c r="J9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0" s="2" t="n"/>
      <c r="L930" s="2" t="inlineStr">
        <is>
          <t>General Therapeutics</t>
        </is>
      </c>
      <c r="M930" s="2" t="inlineStr">
        <is>
          <t>Clinic</t>
        </is>
      </c>
      <c r="N930" s="2" t="inlineStr">
        <is>
          <t>ข้อ 3 (PLE_CC1_2555 Day 2.md)</t>
        </is>
      </c>
      <c r="O930" s="2" t="inlineStr">
        <is>
          <t>ข้อสอบจริง</t>
        </is>
      </c>
      <c r="P930" s="2" t="inlineStr">
        <is>
          <t>ปี 2555</t>
        </is>
      </c>
    </row>
    <row r="931" ht="13.2" customHeight="1" s="37">
      <c r="A931" s="8" t="inlineStr">
        <is>
          <t>952</t>
        </is>
      </c>
      <c r="B931" s="2" t="inlineStr">
        <is>
          <t>ยาอื่นที่รับประทานร่วมด้วย</t>
        </is>
      </c>
      <c r="C931" s="2" t="n"/>
      <c r="D931" s="2" t="inlineStr">
        <is>
          <t>N-acetylcysteine (NAC) IV infusion protocol</t>
        </is>
      </c>
      <c r="E931" s="2" t="inlineStr">
        <is>
          <t>Atropine sulfate 2 mg IV Q5-10 min</t>
        </is>
      </c>
      <c r="F931" s="2" t="inlineStr">
        <is>
          <t>Pralidoxime (2-PAM) 1-2 g IV over 30 min</t>
        </is>
      </c>
      <c r="G931" s="2" t="inlineStr">
        <is>
          <t>Naloxone 0.4 mg IV stat</t>
        </is>
      </c>
      <c r="H931" s="2" t="inlineStr">
        <is>
          <t>Flumazenil 0.2 mg IV stat</t>
        </is>
      </c>
      <c r="I931" s="8" t="inlineStr">
        <is>
          <t>1</t>
        </is>
      </c>
      <c r="J9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31" s="2" t="n"/>
      <c r="L931" s="2" t="inlineStr">
        <is>
          <t>General Therapeutics</t>
        </is>
      </c>
      <c r="M931" s="2" t="inlineStr">
        <is>
          <t>Clinic</t>
        </is>
      </c>
      <c r="N931" s="2" t="inlineStr">
        <is>
          <t>ข้อ 5 (PLE_CC1_2555 Day 2.md)</t>
        </is>
      </c>
      <c r="O931" s="2" t="inlineStr">
        <is>
          <t>ข้อสอบจริง</t>
        </is>
      </c>
      <c r="P931" s="2" t="inlineStr">
        <is>
          <t>ปี 2555</t>
        </is>
      </c>
    </row>
    <row r="932" ht="13.2" customHeight="1" s="37">
      <c r="A932" s="8" t="inlineStr">
        <is>
          <t>953</t>
        </is>
      </c>
      <c r="B932" s="2" t="inlineStr">
        <is>
          <t>anaphylactic hypersensitivity</t>
        </is>
      </c>
      <c r="C932" s="2" t="n"/>
      <c r="D932" s="2" t="inlineStr">
        <is>
          <t>Naloxone 0.4 mg IV stat</t>
        </is>
      </c>
      <c r="E932" s="2" t="inlineStr">
        <is>
          <t>Flumazenil 0.2 mg IV stat</t>
        </is>
      </c>
      <c r="F932" s="2" t="inlineStr">
        <is>
          <t>Vitamin K1 (Phytomenadione) 10 mg IV slow</t>
        </is>
      </c>
      <c r="G932" s="2" t="inlineStr">
        <is>
          <t>Sodium thiosulfate 25% 50 mL IV</t>
        </is>
      </c>
      <c r="H932" s="2" t="inlineStr">
        <is>
          <t>Calcium disodium EDTA 1 g IV</t>
        </is>
      </c>
      <c r="I932" s="8" t="inlineStr">
        <is>
          <t>1</t>
        </is>
      </c>
      <c r="J9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32" s="2" t="n"/>
      <c r="L932" s="2" t="inlineStr">
        <is>
          <t>General Therapeutics</t>
        </is>
      </c>
      <c r="M932" s="2" t="inlineStr">
        <is>
          <t>Clinic</t>
        </is>
      </c>
      <c r="N932" s="2" t="inlineStr">
        <is>
          <t>ข้อ 1 (PLE_CC1_2555 Day 2.md)</t>
        </is>
      </c>
      <c r="O932" s="2" t="inlineStr">
        <is>
          <t>ข้อสอบจริง</t>
        </is>
      </c>
      <c r="P932" s="2" t="inlineStr">
        <is>
          <t>ปี 2555</t>
        </is>
      </c>
    </row>
    <row r="933" ht="13.2" customHeight="1" s="37">
      <c r="A933" s="8" t="inlineStr">
        <is>
          <t>954</t>
        </is>
      </c>
      <c r="B933" s="2" t="inlineStr">
        <is>
          <t>cytotoxic hypersensitivity</t>
        </is>
      </c>
      <c r="C933" s="2" t="n"/>
      <c r="D933" s="2" t="inlineStr">
        <is>
          <t>Sodium thiosulfate 25% 50 mL IV</t>
        </is>
      </c>
      <c r="E933" s="2" t="inlineStr">
        <is>
          <t>Calcium disodium EDTA 1 g IV</t>
        </is>
      </c>
      <c r="F933" s="2" t="inlineStr">
        <is>
          <t>Desferrioxamine 1 g IM/IV</t>
        </is>
      </c>
      <c r="G933" s="2" t="inlineStr">
        <is>
          <t>Dimercaprol (BAL) 3 mg/kg IM</t>
        </is>
      </c>
      <c r="H933" s="2" t="inlineStr">
        <is>
          <t>Ethanol 10% IV infusion for Methanol poisoning</t>
        </is>
      </c>
      <c r="I933" s="8" t="inlineStr">
        <is>
          <t>1</t>
        </is>
      </c>
      <c r="J933" s="2" t="inlineStr">
        <is>
          <t>✅ คำตอบที่ถูกต้อง: ข้อ ก. Sodium thiosulfate 25% 50 mL IV
💡 Background:
ภาวะ acute poisoning ต้องได้รับการประเมิน supportive care ควบคู่กับการให้ specific antidote อย่างทันท่วงที
🎯 ทำไมข้อนี้ถึงถูก:
Sodium thiosulfate 25% 50 mL IV การเลือก Sodium thiosulfate 25% 50 mL IV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Toxicology &amp; Antidote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933" s="2" t="n"/>
      <c r="L933" s="2" t="inlineStr">
        <is>
          <t>Toxicology &amp; Antidote</t>
        </is>
      </c>
      <c r="M933" s="2" t="inlineStr">
        <is>
          <t>Clinic</t>
        </is>
      </c>
      <c r="N933" s="2" t="inlineStr">
        <is>
          <t>ข้อ 2 (PLE_CC1_2555 Day 2.md)</t>
        </is>
      </c>
      <c r="O933" s="2" t="inlineStr">
        <is>
          <t>ข้อสอบจริง</t>
        </is>
      </c>
      <c r="P933" s="2" t="inlineStr">
        <is>
          <t>ปี 2555</t>
        </is>
      </c>
    </row>
    <row r="934" ht="13.2" customHeight="1" s="37">
      <c r="A934" s="8" t="inlineStr">
        <is>
          <t>955</t>
        </is>
      </c>
      <c r="B934" s="2" t="inlineStr">
        <is>
          <t>immune complex hypersensitivity</t>
        </is>
      </c>
      <c r="C934" s="2" t="n"/>
      <c r="D934" s="2" t="inlineStr">
        <is>
          <t>Dimercaprol (BAL) 3 mg/kg IM</t>
        </is>
      </c>
      <c r="E934" s="2" t="inlineStr">
        <is>
          <t>Ethanol 10% IV infusion for Methanol poisoning</t>
        </is>
      </c>
      <c r="F934" s="2" t="inlineStr">
        <is>
          <t>Fomepizole 15 mg/kg IV loading</t>
        </is>
      </c>
      <c r="G934" s="2" t="inlineStr">
        <is>
          <t>N-acetylcysteine (NAC) IV infusion protocol</t>
        </is>
      </c>
      <c r="H934" s="2" t="inlineStr">
        <is>
          <t>Atropine sulfate 2 mg IV Q5-10 min</t>
        </is>
      </c>
      <c r="I934" s="8" t="inlineStr">
        <is>
          <t>1</t>
        </is>
      </c>
      <c r="J9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4" s="2" t="n"/>
      <c r="L934" s="2" t="inlineStr">
        <is>
          <t>General Therapeutics</t>
        </is>
      </c>
      <c r="M934" s="2" t="inlineStr">
        <is>
          <t>Clinic</t>
        </is>
      </c>
      <c r="N934" s="2" t="inlineStr">
        <is>
          <t>ข้อ 3 (PLE_CC1_2555 Day 2.md)</t>
        </is>
      </c>
      <c r="O934" s="2" t="inlineStr">
        <is>
          <t>ข้อสอบจริง</t>
        </is>
      </c>
      <c r="P934" s="2" t="inlineStr">
        <is>
          <t>ปี 2555</t>
        </is>
      </c>
    </row>
    <row r="935" ht="13.2" customHeight="1" s="37">
      <c r="A935" s="8" t="inlineStr">
        <is>
          <t>956</t>
        </is>
      </c>
      <c r="B935" s="2" t="inlineStr">
        <is>
          <t>delayed hypersensitivity</t>
        </is>
      </c>
      <c r="C935" s="2" t="n"/>
      <c r="D935" s="2" t="inlineStr">
        <is>
          <t>N-acetylcysteine (NAC) IV infusion protocol</t>
        </is>
      </c>
      <c r="E935" s="2" t="inlineStr">
        <is>
          <t>Atropine sulfate 2 mg IV Q5-10 min</t>
        </is>
      </c>
      <c r="F935" s="2" t="inlineStr">
        <is>
          <t>Pralidoxime (2-PAM) 1-2 g IV over 30 min</t>
        </is>
      </c>
      <c r="G935" s="2" t="inlineStr">
        <is>
          <t>Naloxone 0.4 mg IV stat</t>
        </is>
      </c>
      <c r="H935" s="2" t="inlineStr">
        <is>
          <t>Flumazenil 0.2 mg IV stat</t>
        </is>
      </c>
      <c r="I935" s="8" t="inlineStr">
        <is>
          <t>1</t>
        </is>
      </c>
      <c r="J9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35" s="2" t="n"/>
      <c r="L935" s="2" t="inlineStr">
        <is>
          <t>General Therapeutics</t>
        </is>
      </c>
      <c r="M935" s="2" t="inlineStr">
        <is>
          <t>Clinic</t>
        </is>
      </c>
      <c r="N935" s="2" t="inlineStr">
        <is>
          <t>ข้อ 4 (PLE_CC1_2555 Day 2.md)</t>
        </is>
      </c>
      <c r="O935" s="2" t="inlineStr">
        <is>
          <t>ข้อสอบจริง</t>
        </is>
      </c>
      <c r="P935" s="2" t="inlineStr">
        <is>
          <t>ปี 2555</t>
        </is>
      </c>
    </row>
    <row r="936" ht="13.2" customHeight="1" s="37">
      <c r="A936" s="8" t="inlineStr">
        <is>
          <t>957</t>
        </is>
      </c>
      <c r="B936" s="2" t="inlineStr">
        <is>
          <t>immediate hypersensitivity</t>
        </is>
      </c>
      <c r="C936" s="2" t="n"/>
      <c r="D936" s="2" t="inlineStr">
        <is>
          <t>Naloxone 0.4 mg IV stat</t>
        </is>
      </c>
      <c r="E936" s="2" t="inlineStr">
        <is>
          <t>Flumazenil 0.2 mg IV stat</t>
        </is>
      </c>
      <c r="F936" s="2" t="inlineStr">
        <is>
          <t>Vitamin K1 (Phytomenadione) 10 mg IV slow</t>
        </is>
      </c>
      <c r="G936" s="2" t="inlineStr">
        <is>
          <t>Sodium thiosulfate 25% 50 mL IV</t>
        </is>
      </c>
      <c r="H936" s="2" t="inlineStr">
        <is>
          <t>Calcium disodium EDTA 1 g IV</t>
        </is>
      </c>
      <c r="I936" s="8" t="inlineStr">
        <is>
          <t>1</t>
        </is>
      </c>
      <c r="J9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36" s="2" t="n"/>
      <c r="L936" s="2" t="inlineStr">
        <is>
          <t>General Therapeutics</t>
        </is>
      </c>
      <c r="M936" s="2" t="inlineStr">
        <is>
          <t>Clinic</t>
        </is>
      </c>
      <c r="N936" s="2" t="inlineStr">
        <is>
          <t>ข้อ 5 (PLE_CC1_2555 Day 2.md)</t>
        </is>
      </c>
      <c r="O936" s="2" t="inlineStr">
        <is>
          <t>ข้อสอบจริง</t>
        </is>
      </c>
      <c r="P936" s="2" t="inlineStr">
        <is>
          <t>ปี 2555</t>
        </is>
      </c>
    </row>
    <row r="937" ht="13.2" customHeight="1" s="37">
      <c r="A937" s="8" t="inlineStr">
        <is>
          <t>958</t>
        </is>
      </c>
      <c r="B937" s="2" t="inlineStr">
        <is>
          <t>หากแพ้ยา ibuprofen จะแพ้ยาใดได้อีก หากพิจารณาตามโครงสร้าง</t>
        </is>
      </c>
      <c r="C937" s="2" t="n"/>
      <c r="D937" s="2" t="inlineStr">
        <is>
          <t>Prednisolone 5 mg OD</t>
        </is>
      </c>
      <c r="E937" s="2" t="inlineStr">
        <is>
          <t>Zoledronic acid 5 mg IV annually</t>
        </is>
      </c>
      <c r="F937" s="2" t="inlineStr">
        <is>
          <t>Leflunomide 20 mg OD</t>
        </is>
      </c>
      <c r="G937" s="2" t="inlineStr">
        <is>
          <t>Paracetamol 500 mg Q6H PRN</t>
        </is>
      </c>
      <c r="H937" s="2" t="inlineStr">
        <is>
          <t>Denosumab 60 mg SC every 6 months</t>
        </is>
      </c>
      <c r="I937" s="8" t="inlineStr">
        <is>
          <t>1</t>
        </is>
      </c>
      <c r="J937" s="2" t="inlineStr">
        <is>
          <t>✅ คำตอบที่ถูกต้อง: ข้อ ก. Prednisolone 5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Prednisolone 5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ข้อ ค. (Leflunomide 20 mg OD): เป็น csDMARD ยับยั้ง dihydroorotate dehydrogenase มี half-life ยาวนานมาก (elimination half-life ~2 สัปดาห์) ต้องทำ cholestyramine washout หากต้องการตั้งครรภ์
• ข้อ ง. (Paracetamol 500 mg Q6H PRN):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37" s="2" t="n"/>
      <c r="L937" s="2" t="inlineStr">
        <is>
          <t>Musculoskeletal &amp; Joint</t>
        </is>
      </c>
      <c r="M937" s="2" t="inlineStr">
        <is>
          <t>Clinic</t>
        </is>
      </c>
      <c r="N937" s="2" t="inlineStr">
        <is>
          <t>ข้อ 3 (PLE_CC1_2555 Day 2.md)</t>
        </is>
      </c>
      <c r="O937" s="2" t="inlineStr">
        <is>
          <t>ข้อสอบจริง</t>
        </is>
      </c>
      <c r="P937" s="2" t="inlineStr">
        <is>
          <t>ปี 2555</t>
        </is>
      </c>
    </row>
    <row r="938" ht="13.2" customHeight="1" s="37">
      <c r="A938" s="8" t="inlineStr">
        <is>
          <t>959</t>
        </is>
      </c>
      <c r="B938" s="2" t="inlineStr">
        <is>
          <t>Steatosis MCQ 1/2555 by CURx69 page 23</t>
        </is>
      </c>
      <c r="C938" s="2" t="n"/>
      <c r="D938" s="2" t="inlineStr">
        <is>
          <t>Dimercaprol (BAL) 3 mg/kg IM</t>
        </is>
      </c>
      <c r="E938" s="2" t="inlineStr">
        <is>
          <t>Ethanol 10% IV infusion for Methanol poisoning</t>
        </is>
      </c>
      <c r="F938" s="2" t="inlineStr">
        <is>
          <t>Fomepizole 15 mg/kg IV loading</t>
        </is>
      </c>
      <c r="G938" s="2" t="inlineStr">
        <is>
          <t>N-acetylcysteine (NAC) IV infusion protocol</t>
        </is>
      </c>
      <c r="H938" s="2" t="inlineStr">
        <is>
          <t>Atropine sulfate 2 mg IV Q5-10 min</t>
        </is>
      </c>
      <c r="I938" s="8" t="inlineStr">
        <is>
          <t>1</t>
        </is>
      </c>
      <c r="J9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8" s="2" t="n"/>
      <c r="L938" s="2" t="inlineStr">
        <is>
          <t>General Therapeutics</t>
        </is>
      </c>
      <c r="M938" s="2" t="inlineStr">
        <is>
          <t>Clinic</t>
        </is>
      </c>
      <c r="N938" s="2" t="inlineStr">
        <is>
          <t>ข้อ 5 (PLE_CC1_2555 Day 2.md)</t>
        </is>
      </c>
      <c r="O938" s="2" t="inlineStr">
        <is>
          <t>ข้อสอบจริง</t>
        </is>
      </c>
      <c r="P938" s="2" t="inlineStr">
        <is>
          <t>ปี 2555</t>
        </is>
      </c>
    </row>
    <row r="939" ht="13.2" customHeight="1" s="37">
      <c r="A939" s="8" t="inlineStr">
        <is>
          <t>960</t>
        </is>
      </c>
      <c r="B939" s="2" t="inlineStr">
        <is>
          <t>N-acetyl cysteine</t>
        </is>
      </c>
      <c r="C939" s="2" t="n"/>
      <c r="D939" s="2" t="inlineStr">
        <is>
          <t>N-acetylcysteine (NAC) IV infusion protocol</t>
        </is>
      </c>
      <c r="E939" s="2" t="inlineStr">
        <is>
          <t>Atropine sulfate 2 mg IV Q5-10 min</t>
        </is>
      </c>
      <c r="F939" s="2" t="inlineStr">
        <is>
          <t>Pralidoxime (2-PAM) 1-2 g IV over 30 min</t>
        </is>
      </c>
      <c r="G939" s="2" t="inlineStr">
        <is>
          <t>Naloxone 0.4 mg IV stat</t>
        </is>
      </c>
      <c r="H939" s="2" t="inlineStr">
        <is>
          <t>Flumazenil 0.2 mg IV stat</t>
        </is>
      </c>
      <c r="I939" s="8" t="inlineStr">
        <is>
          <t>1</t>
        </is>
      </c>
      <c r="J9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39" s="2" t="n"/>
      <c r="L939" s="2" t="inlineStr">
        <is>
          <t>General Therapeutics</t>
        </is>
      </c>
      <c r="M939" s="2" t="inlineStr">
        <is>
          <t>Clinic</t>
        </is>
      </c>
      <c r="N939" s="2" t="inlineStr">
        <is>
          <t>ข้อ 4 (PLE_CC1_2555 Day 2.md)</t>
        </is>
      </c>
      <c r="O939" s="2" t="inlineStr">
        <is>
          <t>ข้อสอบจริง</t>
        </is>
      </c>
      <c r="P939" s="2" t="inlineStr">
        <is>
          <t>ปี 2555</t>
        </is>
      </c>
    </row>
    <row r="940" ht="13.2" customHeight="1" s="37">
      <c r="A940" s="8" t="inlineStr">
        <is>
          <t>961</t>
        </is>
      </c>
      <c r="B940" s="2" t="inlineStr">
        <is>
          <t>Ibuprofen หรือ iso-butyl-propanoic-phenolic acid จะสามารถออกฤทธิ์แก้ปวดได้ต้องอยู่ในรูป (S)-enantiomer เพราะเหตุใด</t>
        </is>
      </c>
      <c r="C940" s="2" t="n"/>
      <c r="D940" s="2" t="inlineStr">
        <is>
          <t>Febuxostat 40 mg OD</t>
        </is>
      </c>
      <c r="E940" s="2" t="inlineStr">
        <is>
          <t>Celecoxib 200 mg OD</t>
        </is>
      </c>
      <c r="F940" s="2" t="inlineStr">
        <is>
          <t>Methotrexate 10 mg weekly</t>
        </is>
      </c>
      <c r="G940" s="2" t="inlineStr">
        <is>
          <t>Alendronate 70 mg weekly</t>
        </is>
      </c>
      <c r="H940" s="2" t="inlineStr">
        <is>
          <t>Glucosamine sulfate 1500 mg OD</t>
        </is>
      </c>
      <c r="I940" s="8" t="inlineStr">
        <is>
          <t>1</t>
        </is>
      </c>
      <c r="J940" s="2" t="inlineStr">
        <is>
          <t>✅ คำตอบที่ถูกต้อง: ข้อ ก. Febuxostat 40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Febuxostat 40 mg OD การเลือก Febuxostat 40 mg OD เป็นคำตอบที่ถูกต้องตามแนวทางการรักษามาตรฐาน เนื่องจาก เป็น non-purine selective xanthine oxidase inhibitor ใช้เป็น alternative ULT ในผู้ที่ไม่ทนต่อ allopurinol หรือมี HLA-B*58:01 positive แต่ต้องระวังในผู้ป่วย ischemic heart disease
🔍 ข้ออื่นผิดเพราะอะไร: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40" s="2" t="n"/>
      <c r="L940" s="2" t="inlineStr">
        <is>
          <t>Musculoskeletal &amp; Joint</t>
        </is>
      </c>
      <c r="M940" s="2" t="inlineStr">
        <is>
          <t>Clinic</t>
        </is>
      </c>
      <c r="N940" s="2" t="inlineStr">
        <is>
          <t>ข้อ 7 (PLE_CC1_2555 Day 2.md)</t>
        </is>
      </c>
      <c r="O940" s="2" t="inlineStr">
        <is>
          <t>ข้อสอบจริง</t>
        </is>
      </c>
      <c r="P940" s="2" t="inlineStr">
        <is>
          <t>ปี 2555</t>
        </is>
      </c>
    </row>
    <row r="941" ht="13.2" customHeight="1" s="37">
      <c r="A941" s="8" t="inlineStr">
        <is>
          <t>962</t>
        </is>
      </c>
      <c r="B941" s="2" t="inlineStr">
        <is>
          <t>(s)-enantiomer ออกฤทธิ์ต้านการอักเสบได้ดีกว่า (-)-isomer</t>
        </is>
      </c>
      <c r="C941" s="2" t="n"/>
      <c r="D941" s="2" t="inlineStr">
        <is>
          <t>Sodium thiosulfate 25% 50 mL IV</t>
        </is>
      </c>
      <c r="E941" s="2" t="inlineStr">
        <is>
          <t>Calcium disodium EDTA 1 g IV</t>
        </is>
      </c>
      <c r="F941" s="2" t="inlineStr">
        <is>
          <t>Desferrioxamine 1 g IM/IV</t>
        </is>
      </c>
      <c r="G941" s="2" t="inlineStr">
        <is>
          <t>Dimercaprol (BAL) 3 mg/kg IM</t>
        </is>
      </c>
      <c r="H941" s="2" t="inlineStr">
        <is>
          <t>Ethanol 10% IV infusion for Methanol poisoning</t>
        </is>
      </c>
      <c r="I941" s="8" t="inlineStr">
        <is>
          <t>1</t>
        </is>
      </c>
      <c r="J9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41" s="2" t="n"/>
      <c r="L941" s="2" t="inlineStr">
        <is>
          <t>General Therapeutics</t>
        </is>
      </c>
      <c r="M941" s="2" t="inlineStr">
        <is>
          <t>Clinic</t>
        </is>
      </c>
      <c r="N941" s="2" t="inlineStr">
        <is>
          <t>ข้อ 1 (PLE_CC1_2555 Day 2.md)</t>
        </is>
      </c>
      <c r="O941" s="2" t="inlineStr">
        <is>
          <t>ข้อสอบจริง</t>
        </is>
      </c>
      <c r="P941" s="2" t="inlineStr">
        <is>
          <t>ปี 2555</t>
        </is>
      </c>
    </row>
    <row r="942" ht="13.2" customHeight="1" s="37">
      <c r="A942" s="8" t="inlineStr">
        <is>
          <t>963</t>
        </is>
      </c>
      <c r="B942" s="2" t="inlineStr">
        <is>
          <t>(s)-enantiomer ออกฤทธิ์ต้านการอักเสบได้ดีกว่า (+)-isomer</t>
        </is>
      </c>
      <c r="C942" s="2" t="n"/>
      <c r="D942" s="2" t="inlineStr">
        <is>
          <t>Dimercaprol (BAL) 3 mg/kg IM</t>
        </is>
      </c>
      <c r="E942" s="2" t="inlineStr">
        <is>
          <t>Ethanol 10% IV infusion for Methanol poisoning</t>
        </is>
      </c>
      <c r="F942" s="2" t="inlineStr">
        <is>
          <t>Fomepizole 15 mg/kg IV loading</t>
        </is>
      </c>
      <c r="G942" s="2" t="inlineStr">
        <is>
          <t>N-acetylcysteine (NAC) IV infusion protocol</t>
        </is>
      </c>
      <c r="H942" s="2" t="inlineStr">
        <is>
          <t>Atropine sulfate 2 mg IV Q5-10 min</t>
        </is>
      </c>
      <c r="I942" s="8" t="inlineStr">
        <is>
          <t>1</t>
        </is>
      </c>
      <c r="J9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42" s="2" t="n"/>
      <c r="L942" s="2" t="inlineStr">
        <is>
          <t>General Therapeutics</t>
        </is>
      </c>
      <c r="M942" s="2" t="inlineStr">
        <is>
          <t>Clinic</t>
        </is>
      </c>
      <c r="N942" s="2" t="inlineStr">
        <is>
          <t>ข้อ 2 (PLE_CC1_2555 Day 2.md)</t>
        </is>
      </c>
      <c r="O942" s="2" t="inlineStr">
        <is>
          <t>ข้อสอบจริง</t>
        </is>
      </c>
      <c r="P942" s="2" t="inlineStr">
        <is>
          <t>ปี 2555</t>
        </is>
      </c>
    </row>
    <row r="943" ht="13.2" customHeight="1" s="37">
      <c r="A943" s="8" t="inlineStr">
        <is>
          <t>964</t>
        </is>
      </c>
      <c r="B943" s="2" t="inlineStr">
        <is>
          <t>(S)-enantiomer ออกฤทธิ์ต้านการอักเสบได้ดีกว่า (R)-enantiomer</t>
        </is>
      </c>
      <c r="C943" s="2" t="n"/>
      <c r="D943" s="2" t="inlineStr">
        <is>
          <t>N-acetylcysteine (NAC) IV infusion protocol</t>
        </is>
      </c>
      <c r="E943" s="2" t="inlineStr">
        <is>
          <t>Atropine sulfate 2 mg IV Q5-10 min</t>
        </is>
      </c>
      <c r="F943" s="2" t="inlineStr">
        <is>
          <t>Pralidoxime (2-PAM) 1-2 g IV over 30 min</t>
        </is>
      </c>
      <c r="G943" s="2" t="inlineStr">
        <is>
          <t>Naloxone 0.4 mg IV stat</t>
        </is>
      </c>
      <c r="H943" s="2" t="inlineStr">
        <is>
          <t>Flumazenil 0.2 mg IV stat</t>
        </is>
      </c>
      <c r="I943" s="8" t="inlineStr">
        <is>
          <t>1</t>
        </is>
      </c>
      <c r="J9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43" s="2" t="n"/>
      <c r="L943" s="2" t="inlineStr">
        <is>
          <t>General Therapeutics</t>
        </is>
      </c>
      <c r="M943" s="2" t="inlineStr">
        <is>
          <t>Clinic</t>
        </is>
      </c>
      <c r="N943" s="2" t="inlineStr">
        <is>
          <t>ข้อ 4 (PLE_CC1_2555 Day 2.md)</t>
        </is>
      </c>
      <c r="O943" s="2" t="inlineStr">
        <is>
          <t>ข้อสอบจริง</t>
        </is>
      </c>
      <c r="P943" s="2" t="inlineStr">
        <is>
          <t>ปี 2555</t>
        </is>
      </c>
    </row>
    <row r="944" ht="13.2" customHeight="1" s="37">
      <c r="A944" s="8" t="inlineStr">
        <is>
          <t>965</t>
        </is>
      </c>
      <c r="B944" s="2" t="inlineStr">
        <is>
          <t>(S)-enantiomer ออกฤทธิ์ต้านการอักเสบได้น้อยกว่า (R)-enantiomer</t>
        </is>
      </c>
      <c r="C944" s="2" t="n"/>
      <c r="D944" s="2" t="inlineStr">
        <is>
          <t>Naloxone 0.4 mg IV stat</t>
        </is>
      </c>
      <c r="E944" s="2" t="inlineStr">
        <is>
          <t>Flumazenil 0.2 mg IV stat</t>
        </is>
      </c>
      <c r="F944" s="2" t="inlineStr">
        <is>
          <t>Vitamin K1 (Phytomenadione) 10 mg IV slow</t>
        </is>
      </c>
      <c r="G944" s="2" t="inlineStr">
        <is>
          <t>Sodium thiosulfate 25% 50 mL IV</t>
        </is>
      </c>
      <c r="H944" s="2" t="inlineStr">
        <is>
          <t>Calcium disodium EDTA 1 g IV</t>
        </is>
      </c>
      <c r="I944" s="8" t="inlineStr">
        <is>
          <t>1</t>
        </is>
      </c>
      <c r="J9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44" s="2" t="n"/>
      <c r="L944" s="2" t="inlineStr">
        <is>
          <t>General Therapeutics</t>
        </is>
      </c>
      <c r="M944" s="2" t="inlineStr">
        <is>
          <t>Clinic</t>
        </is>
      </c>
      <c r="N944" s="2" t="inlineStr">
        <is>
          <t>ข้อ 5 (PLE_CC1_2555 Day 2.md)</t>
        </is>
      </c>
      <c r="O944" s="2" t="inlineStr">
        <is>
          <t>ข้อสอบจริง</t>
        </is>
      </c>
      <c r="P944" s="2" t="inlineStr">
        <is>
          <t>ปี 2555</t>
        </is>
      </c>
    </row>
    <row r="945" ht="13.2" customHeight="1" s="37">
      <c r="A945" s="8" t="inlineStr">
        <is>
          <t>966</t>
        </is>
      </c>
      <c r="B945" s="2" t="inlineStr">
        <is>
          <t>ท่านคิดว่า อะไรคือสาเหตุของ acute renal failure ในผู้ป่วยรายนี้</t>
        </is>
      </c>
      <c r="C945" s="2" t="n"/>
      <c r="D945" s="2" t="inlineStr">
        <is>
          <t>hypovolume</t>
        </is>
      </c>
      <c r="E945" s="2" t="inlineStr">
        <is>
          <t>bleeding</t>
        </is>
      </c>
      <c r="F945" s="2" t="inlineStr">
        <is>
          <t>rhabdomyolysis</t>
        </is>
      </c>
      <c r="G945" s="2" t="inlineStr">
        <is>
          <t>ได้รับยา nephrotoxic</t>
        </is>
      </c>
      <c r="H945" s="2" t="inlineStr">
        <is>
          <t>นิ่ว</t>
        </is>
      </c>
      <c r="I945" s="8" t="inlineStr">
        <is>
          <t>1</t>
        </is>
      </c>
      <c r="J945" s="2" t="inlineStr">
        <is>
          <t>✅ คำตอบที่ถูกต้อง: ข้อ ก. hypovolume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hypovolume การเลือก hypovolume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(bleeding): ข้อนี้ไม่ใช่คำตอบที่ถูกต้องสำหรับภาวะ General Therapeutics เนื่องจากกลไกการออกฤทธิ์, efficacy หรือข้อบ่งใช้ไม่ตรงกับโจทย์ที่กำหนด
• ข้อ ค. (rhabdomyolysis): ข้อนี้ไม่ใช่คำตอบที่ถูกต้องสำหรับภาวะ General Therapeutics เนื่องจากกลไกการออกฤทธิ์, efficacy หรือข้อบ่งใช้ไม่ตรงกับโจทย์ที่กำหนด
• ข้อ ง. (ได้รับยา nephrotoxic): ข้อนี้ไม่ใช่คำตอบที่ถูกต้องสำหรับภาวะ General Therapeutics เนื่องจากกลไกการออกฤทธิ์, efficacy หรือข้อบ่งใช้ไม่ตรงกับโจทย์ที่กำหนด
• ข้อ จ. (นิ่ว):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45" s="2" t="n"/>
      <c r="L945" s="2" t="inlineStr">
        <is>
          <t>General Therapeutics</t>
        </is>
      </c>
      <c r="M945" s="2" t="inlineStr">
        <is>
          <t>Clinic</t>
        </is>
      </c>
      <c r="N945" s="2" t="inlineStr">
        <is>
          <t>ข้อ 2 (PLE_CC1_2554 SET1.md)</t>
        </is>
      </c>
      <c r="O945" s="2" t="inlineStr">
        <is>
          <t>ข้อสอบจริง</t>
        </is>
      </c>
      <c r="P945" s="2" t="inlineStr">
        <is>
          <t>ปี 2554</t>
        </is>
      </c>
    </row>
    <row r="946" ht="13.2" customHeight="1" s="37">
      <c r="A946" s="8" t="inlineStr">
        <is>
          <t>967</t>
        </is>
      </c>
      <c r="B946" s="2" t="inlineStr">
        <is>
          <t>ในภาวะข้างต้น ผู้ป่วยควรได้รับการรักษาในข้อใดมากที่สุด ในการปรับสมดุลอิเล็กโทรไลต์</t>
        </is>
      </c>
      <c r="C946" s="2" t="n"/>
      <c r="D946" s="2" t="inlineStr">
        <is>
          <t>dextrose + insulin</t>
        </is>
      </c>
      <c r="E946" s="2" t="inlineStr">
        <is>
          <t>calcitriol</t>
        </is>
      </c>
      <c r="F946" s="2" t="inlineStr">
        <is>
          <t>erythropoietin</t>
        </is>
      </c>
      <c r="G946" s="2" t="inlineStr">
        <is>
          <t>calcium carbonate</t>
        </is>
      </c>
      <c r="H946" s="2" t="inlineStr">
        <is>
          <t>sodium bicarbonate ÕáK034 MU Rx’38 (เรียบเรียงและจัดพิมพ์) &gt;&gt; Special Thanks for my group friends : Ty019 , Win022 , Pice056 , Nuy063 , Big072 , Tong083 , New106 , Kim109 … Rx’38 ... MU</t>
        </is>
      </c>
      <c r="I946" s="8" t="inlineStr">
        <is>
          <t>1</t>
        </is>
      </c>
      <c r="J946" s="2" t="inlineStr">
        <is>
          <t>✅ คำตอบที่ถูกต้อง: ข้อ ก. dextrose + insulin
💡 Background:
กฎหมายยาและจรรยาบรรณวิชาชีพมีขึ้นเพื่อคุ้มครองความปลอดภัยของผู้บริโภคตามมาตรฐาน Good Pharmacy Practice (GPP)
🎯 ทำไมข้อนี้ถึงถูก:
dextrose + insulin 💡 คำอธิบายและข้อกำหนดทางกฎหมาย:
💡 คำอธิบายและข้อกำหนดทางกฎหมาย:
การเลือก dextrose + insulin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(calcitriol): ข้อนี้ไม่ใช่คำตอบที่ถูกต้องสำหรับภาวะ Pharmacy Laws &amp; Ethics เนื่องจากกลไกการออกฤทธิ์, efficacy หรือข้อบ่งใช้ไม่ตรงกับโจทย์ที่กำหนด
• ข้อ ค. (erythropoietin): ข้อนี้ไม่ใช่คำตอบที่ถูกต้องสำหรับภาวะ Pharmacy Laws &amp; Ethics เนื่องจากกลไกการออกฤทธิ์, efficacy หรือข้อบ่งใช้ไม่ตรงกับโจทย์ที่กำหนด
• ข้อ ง. (calcium carbonate): เป็น Phosphate binder สำหรับ CKD ต้องเคี้ยวพร้อมอาหารเพื่อจับฟอสเฟตในทางเดินอาหาร และทำหน้าที่เสริมแคลเซียม
• ข้อ จ. (sodium bicarbonate ÕáK034 MU Rx’38 (เรียบเรียงและจัดพิมพ์) &gt;&gt; Special Thanks for my group friends : Ty019 , Win022 , Pice056 , Nuy063 , Big072 , Tong083 , New106 , Kim109 … Rx’38 ... MU):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6" s="2" t="n"/>
      <c r="L946" s="2" t="inlineStr">
        <is>
          <t>Pharmacy Laws &amp; Ethics</t>
        </is>
      </c>
      <c r="M946" s="2" t="inlineStr">
        <is>
          <t>SAP</t>
        </is>
      </c>
      <c r="N946" s="2" t="inlineStr">
        <is>
          <t>ข้อ 5 (PLE_CC1_2554 SET1.md)</t>
        </is>
      </c>
      <c r="O946" s="2" t="inlineStr">
        <is>
          <t>ข้อสอบจริง</t>
        </is>
      </c>
      <c r="P946" s="2" t="inlineStr">
        <is>
          <t>ปี 2554</t>
        </is>
      </c>
    </row>
    <row r="947" ht="13.2" customHeight="1" s="37">
      <c r="A947" s="8" t="inlineStr">
        <is>
          <t>968</t>
        </is>
      </c>
      <c r="B947" s="2" t="inlineStr">
        <is>
          <t>แบบทดสอบความรู้ทางเภสัชกรรม ข้อที่ 968</t>
        </is>
      </c>
      <c r="C947" s="2" t="n"/>
      <c r="D947" s="2" t="inlineStr">
        <is>
          <t>N-acetylcysteine (NAC) IV infusion protocol</t>
        </is>
      </c>
      <c r="E947" s="2" t="inlineStr">
        <is>
          <t>Atropine sulfate 2 mg IV Q5-10 min</t>
        </is>
      </c>
      <c r="F947" s="2" t="inlineStr">
        <is>
          <t>Pralidoxime (2-PAM) 1-2 g IV over 30 min</t>
        </is>
      </c>
      <c r="G947" s="2" t="inlineStr">
        <is>
          <t>Naloxone 0.4 mg IV stat</t>
        </is>
      </c>
      <c r="H947" s="2" t="inlineStr">
        <is>
          <t>Flumazenil 0.2 mg IV stat</t>
        </is>
      </c>
      <c r="I947" s="8" t="inlineStr">
        <is>
          <t>1</t>
        </is>
      </c>
      <c r="J9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47" s="2" t="n"/>
      <c r="L947" s="2" t="inlineStr">
        <is>
          <t>General Therapeutics</t>
        </is>
      </c>
      <c r="M947" s="2" t="inlineStr">
        <is>
          <t>Clinic</t>
        </is>
      </c>
      <c r="N947" s="2" t="inlineStr">
        <is>
          <t>ข้อ 7 (PLE_CC1_2554 SET1.md)</t>
        </is>
      </c>
      <c r="O947" s="2" t="inlineStr">
        <is>
          <t>ข้อสอบจริง</t>
        </is>
      </c>
      <c r="P947" s="2" t="inlineStr">
        <is>
          <t>ปี 2554</t>
        </is>
      </c>
    </row>
    <row r="948" ht="13.2" customHeight="1" s="37">
      <c r="A948" s="8" t="inlineStr">
        <is>
          <t>969</t>
        </is>
      </c>
      <c r="B948" s="2" t="inlineStr">
        <is>
          <t>ข้อมูล %label amount ของยา sodium bicarbonate injection ณ pH ต่างๆ และสภาวะต่างๆ ดัง ตารางด้านล่าง ซึ่งเก็บยาไว้ในภาชนะสีชาป้องกันแสง เป็นเวลา 1 เดือน ยา ยา+สารดูดความชื้น ยา+antioxidant pH 2 95% 95% 95% pH 4 95% 95% 98% pH 7 87% 87% 90% pH 10 70% 70% 80% ข้อใดต่อไปนี้ คือ สภาวะที่เหมาะสมในการเก็บรักษา sodium bicarbonate injection</t>
        </is>
      </c>
      <c r="C948" s="2" t="n"/>
      <c r="D948" s="2" t="inlineStr">
        <is>
          <t>pH 2 เติมสาร antioxidant</t>
        </is>
      </c>
      <c r="E948" s="2" t="inlineStr">
        <is>
          <t>pH 4 เติมสาร antioxidant</t>
        </is>
      </c>
      <c r="F948" s="2" t="inlineStr">
        <is>
          <t>pH 4 เติมสาร สารดูดความชื้น</t>
        </is>
      </c>
      <c r="G948" s="2" t="inlineStr">
        <is>
          <t>pH 7 เติมสาร สารดูดความชื้น</t>
        </is>
      </c>
      <c r="H948" s="2" t="inlineStr">
        <is>
          <t>pH 10 เติมสาร สารดูดความชื้น 9.ยาข้างต้น เสื่อมสลายด้วยกระบวนการใด</t>
        </is>
      </c>
      <c r="I948" s="8" t="inlineStr">
        <is>
          <t>1</t>
        </is>
      </c>
      <c r="J948" s="2" t="inlineStr">
        <is>
          <t>✅ คำตอบที่ถูกต้อง: ข้อ ก. pH 2 เติมสาร antioxidant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 2 เติมสาร antioxidant การเลือก pH 2 เติมสาร antioxidant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(pH 4 เติมสาร antioxidant): ข้อนี้ไม่ใช่คำตอบที่ถูกต้องสำหรับภาวะ General Therapeutics เนื่องจากกลไกการออกฤทธิ์, efficacy หรือข้อบ่งใช้ไม่ตรงกับโจทย์ที่กำหนด
• ข้อ ค. (pH 4 เติมสาร สารดูดความชื้น): ข้อนี้ไม่ใช่คำตอบที่ถูกต้องสำหรับภาวะ General Therapeutics เนื่องจากกลไกการออกฤทธิ์, efficacy หรือข้อบ่งใช้ไม่ตรงกับโจทย์ที่กำหนด
• ข้อ ง. (pH 7 เติมสาร สารดูดความชื้น): ข้อนี้ไม่ใช่คำตอบที่ถูกต้องสำหรับภาวะ General Therapeutics เนื่องจากกลไกการออกฤทธิ์, efficacy หรือข้อบ่งใช้ไม่ตรงกับโจทย์ที่กำหนด
• ข้อ จ. (pH 10 เติมสาร สารดูดความชื้น 9.ยาข้างต้น เสื่อมสลายด้วยกระบวนการใด):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48" s="2" t="n"/>
      <c r="L948" s="2" t="inlineStr">
        <is>
          <t>General Therapeutics</t>
        </is>
      </c>
      <c r="M948" s="2" t="inlineStr">
        <is>
          <t>Clinic</t>
        </is>
      </c>
      <c r="N948" s="2" t="inlineStr">
        <is>
          <t>ข้อ 8 (PLE_CC1_2554 SET1.md)</t>
        </is>
      </c>
      <c r="O948" s="2" t="inlineStr">
        <is>
          <t>ข้อสอบจริง</t>
        </is>
      </c>
      <c r="P948" s="2" t="inlineStr">
        <is>
          <t>ปี 2554</t>
        </is>
      </c>
    </row>
    <row r="949" ht="13.2" customHeight="1" s="37">
      <c r="A949" s="8" t="inlineStr">
        <is>
          <t>970</t>
        </is>
      </c>
      <c r="B949" s="2" t="inlineStr">
        <is>
          <t>แพทย์สั่งจ่าย KI 3 mmol/L ท่านจะต้องทำตามข้อใด</t>
        </is>
      </c>
      <c r="C949" s="2" t="n"/>
      <c r="D949" s="2" t="inlineStr">
        <is>
          <t>ชั่ง KI 0.50 g ละลายน้ำจนครบ 1 ลิตร</t>
        </is>
      </c>
      <c r="E949" s="2" t="inlineStr">
        <is>
          <t>ชั่ง KI 5.00 g ละลายน้ำจนครบ 1 ลิตร</t>
        </is>
      </c>
      <c r="F949" s="2" t="inlineStr">
        <is>
          <t>ชั่ง KI 5.50 g ละลายน้ำจนครบ 1 ลิตร</t>
        </is>
      </c>
      <c r="G949" s="2" t="inlineStr">
        <is>
          <t>ชั่ง KI 50.00 g ละลายน้ำจนครบ 1 ลิตร</t>
        </is>
      </c>
      <c r="H949" s="2" t="inlineStr">
        <is>
          <t>ชั่ง KI 55.00 g ละลายน้ำจนครบ 1 ลิตร</t>
        </is>
      </c>
      <c r="I949" s="8" t="inlineStr">
        <is>
          <t>1</t>
        </is>
      </c>
      <c r="J949" s="2" t="inlineStr">
        <is>
          <t>✅ คำตอบที่ถูกต้อง: ข้อ ก. ชั่ง KI 0.50 g ละลายน้ำจนครบ 1 ลิตร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ชั่ง KI 0.50 g ละลายน้ำจนครบ 1 ลิตร 💡 คำอธิบายและเหตุผลทางเภสัชกรรม:
💡 คำอธิบายและเหตุผลทางเภสัชกรรม:
การเลือก ชั่ง KI 0.50 g ละลายน้ำจนครบ 1 ลิตร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(ชั่ง KI 5.00 g ละลายน้ำจนครบ 1 ลิตร): ข้อนี้ไม่ใช่คำตอบที่ถูกต้องสำหรับภาวะ Pharmaceutical Calculations เนื่องจากกลไกการออกฤทธิ์, efficacy หรือข้อบ่งใช้ไม่ตรงกับโจทย์ที่กำหนด
• ข้อ ค. (ชั่ง KI 5.50 g ละลายน้ำจนครบ 1 ลิตร): ข้อนี้ไม่ใช่คำตอบที่ถูกต้องสำหรับภาวะ Pharmaceutical Calculations เนื่องจากกลไกการออกฤทธิ์, efficacy หรือข้อบ่งใช้ไม่ตรงกับโจทย์ที่กำหนด
• ข้อ ง. (ชั่ง KI 50.00 g ละลายน้ำจนครบ 1 ลิตร): ข้อนี้ไม่ใช่คำตอบที่ถูกต้องสำหรับภาวะ Pharmaceutical Calculations เนื่องจากกลไกการออกฤทธิ์, efficacy หรือข้อบ่งใช้ไม่ตรงกับโจทย์ที่กำหนด
• ข้อ จ. (ชั่ง KI 55.00 g ละลายน้ำจนครบ 1 ลิตร):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9" s="2" t="n"/>
      <c r="L949" s="2" t="inlineStr">
        <is>
          <t>Pharmaceutical Calculations</t>
        </is>
      </c>
      <c r="M949" s="2" t="inlineStr">
        <is>
          <t>Product</t>
        </is>
      </c>
      <c r="N949" s="2" t="inlineStr">
        <is>
          <t>ข้อ 37 (PLE_CC1_2554 SET1.md)</t>
        </is>
      </c>
      <c r="O949" s="2" t="inlineStr">
        <is>
          <t>ข้อสอบจริง</t>
        </is>
      </c>
      <c r="P949" s="2" t="inlineStr">
        <is>
          <t>ปี 2554</t>
        </is>
      </c>
    </row>
    <row r="950" ht="13.2" customHeight="1" s="37">
      <c r="A950" s="8" t="inlineStr">
        <is>
          <t>971</t>
        </is>
      </c>
      <c r="B950" s="2" t="inlineStr">
        <is>
          <t>จำไม่ได้ ÕáK034 MU Rx’38 (เรียบเรียงและจัดพิมพ์) &gt;&gt; Special Thanks for my group friends : Ty019 , Win022 , Pice056 , Nuy063 , Big072 , Tong083 , New106 , Kim109 … Rx’38 ... MU 67.ข้อใดถูกต้องเกี่ยวกับสูตรโครงสร้างด้านล่างนี้</t>
        </is>
      </c>
      <c r="C950" s="2" t="n"/>
      <c r="D950" s="2" t="inlineStr">
        <is>
          <t>ยาเป็นกรดอ่อน</t>
        </is>
      </c>
      <c r="E950" s="2" t="inlineStr">
        <is>
          <t>โครงสร้างเป็นยาในกลุ่ม sulfonamides</t>
        </is>
      </c>
      <c r="F950" s="2" t="inlineStr">
        <is>
          <t>ยาละลายได้ดีในไขมัน</t>
        </is>
      </c>
      <c r="G950" s="2" t="inlineStr">
        <is>
          <t>/จ. จำไม่ได้แล้ว</t>
        </is>
      </c>
      <c r="H950" s="2" t="inlineStr">
        <is>
          <t>Atropine sulfate 2 mg IV Q5-10 min</t>
        </is>
      </c>
      <c r="I950" s="8" t="inlineStr">
        <is>
          <t>1</t>
        </is>
      </c>
      <c r="J950" s="2" t="inlineStr">
        <is>
          <t>✅ คำตอบที่ถูกต้อง: ข้อ ก. ยาเป็นกรดอ่อน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ยาเป็นกรดอ่อน การเลือก ยาเป็นกรดอ่อน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(โครงสร้างเป็นยาในกลุ่ม sulfonamides): ข้อนี้ไม่ใช่คำตอบที่ถูกต้องสำหรับภาวะ General Therapeutics เนื่องจากกลไกการออกฤทธิ์, efficacy หรือข้อบ่งใช้ไม่ตรงกับโจทย์ที่กำหนด
• ข้อ ค. (ยาละลายได้ดีในไขมัน): ข้อนี้ไม่ใช่คำตอบที่ถูกต้องสำหรับภาวะ General Therapeutics เนื่องจากกลไกการออกฤทธิ์, efficacy หรือข้อบ่งใช้ไม่ตรงกับโจทย์ที่กำหนด
• ข้อ ง. (/จ. จำไม่ได้แล้ว):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0" s="2" t="n"/>
      <c r="L950" s="2" t="inlineStr">
        <is>
          <t>General Therapeutics</t>
        </is>
      </c>
      <c r="M950" s="2" t="inlineStr">
        <is>
          <t>Clinic</t>
        </is>
      </c>
      <c r="N950" s="2" t="inlineStr">
        <is>
          <t>ข้อ 66 (PLE_CC1_2554 SET1.md)</t>
        </is>
      </c>
      <c r="O950" s="2" t="inlineStr">
        <is>
          <t>ข้อสอบจริง</t>
        </is>
      </c>
      <c r="P950" s="2" t="inlineStr">
        <is>
          <t>ปี 2554</t>
        </is>
      </c>
    </row>
    <row r="951" ht="13.2" customHeight="1" s="37">
      <c r="A951" s="8" t="inlineStr">
        <is>
          <t>972</t>
        </is>
      </c>
      <c r="B951" s="2" t="inlineStr">
        <is>
          <t>จำไม่ได้ 118.เด็ก น้ำหนัก 20 กิโลกรัม แพทย์สั่งจ่ายยา metronidazole 1x3 pc โดยกำหนดให้ ยานี้มีขนาดการใช้ คือ 7.5 mg/kg/day ถามว่า ขนาดยาที่เด็กรายนี้จะได้รับในแต่ละครั้งของการทานยา คือข้อใด</t>
        </is>
      </c>
      <c r="C951" s="2" t="n"/>
      <c r="D951" s="2" t="inlineStr">
        <is>
          <t>7.5 mg</t>
        </is>
      </c>
      <c r="E951" s="2" t="inlineStr">
        <is>
          <t>20 mg</t>
        </is>
      </c>
      <c r="F951" s="2" t="inlineStr">
        <is>
          <t>50 mg</t>
        </is>
      </c>
      <c r="G951" s="2" t="inlineStr">
        <is>
          <t>150 mg</t>
        </is>
      </c>
      <c r="H951" s="2" t="inlineStr">
        <is>
          <t>450 mg 119.หากท่านจะเตรียมยา suspension โดยที่ผงยาเป็นประจุลบ ท่านจะเลือกใช้ flocculating agent และ suspending agent เป็นประจุใด ตามลำดับ</t>
        </is>
      </c>
      <c r="I951" s="8" t="inlineStr">
        <is>
          <t>1</t>
        </is>
      </c>
      <c r="J951" s="2" t="inlineStr">
        <is>
          <t>✅ คำตอบที่ถูกต้อง: ข้อ ก. 7.5 mg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7.5 mg การเลือก 7.5 mg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(20 mg): ข้อนี้ไม่ใช่คำตอบที่ถูกต้องสำหรับภาวะ Infectious Diseases เนื่องจากกลไกการออกฤทธิ์, efficacy หรือข้อบ่งใช้ไม่ตรงกับโจทย์ที่กำหนด
• ข้อ ค. (50 mg): ข้อนี้ไม่ใช่คำตอบที่ถูกต้องสำหรับภาวะ Infectious Diseases เนื่องจากกลไกการออกฤทธิ์, efficacy หรือข้อบ่งใช้ไม่ตรงกับโจทย์ที่กำหนด
• ข้อ ง. (150 mg): ข้อนี้ไม่ใช่คำตอบที่ถูกต้องสำหรับภาวะ Infectious Diseases เนื่องจากกลไกการออกฤทธิ์, efficacy หรือข้อบ่งใช้ไม่ตรงกับโจทย์ที่กำหนด
• ข้อ จ. (450 mg 119.หากท่านจะเตรียมยา suspension โดยที่ผงยาเป็นประจุลบ ท่านจะเลือกใช้ flocculating agent และ suspending agent เป็นประจุใด ตามลำดับ):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1" s="2" t="n"/>
      <c r="L951" s="2" t="inlineStr">
        <is>
          <t>Infectious Diseases</t>
        </is>
      </c>
      <c r="M951" s="2" t="inlineStr">
        <is>
          <t>Clinic</t>
        </is>
      </c>
      <c r="N951" s="2" t="inlineStr">
        <is>
          <t>ข้อ 117 (PLE_CC1_2554 SET1.md)</t>
        </is>
      </c>
      <c r="O951" s="2" t="inlineStr">
        <is>
          <t>ข้อสอบจริง</t>
        </is>
      </c>
      <c r="P951" s="2" t="inlineStr">
        <is>
          <t>ปี 2554</t>
        </is>
      </c>
    </row>
    <row r="952" ht="13.2" customHeight="1" s="37">
      <c r="A952" s="8" t="inlineStr">
        <is>
          <t>973</t>
        </is>
      </c>
      <c r="B952" s="2" t="inlineStr">
        <is>
          <t>ยาที่มีข้อบ่งใช้ใหม่ (new indication)</t>
        </is>
      </c>
      <c r="C952" s="2" t="n"/>
      <c r="D952" s="2" t="inlineStr">
        <is>
          <t>Naloxone 0.4 mg IV stat</t>
        </is>
      </c>
      <c r="E952" s="2" t="inlineStr">
        <is>
          <t>Flumazenil 0.2 mg IV stat</t>
        </is>
      </c>
      <c r="F952" s="2" t="inlineStr">
        <is>
          <t>Vitamin K1 (Phytomenadione) 10 mg IV slow</t>
        </is>
      </c>
      <c r="G952" s="2" t="inlineStr">
        <is>
          <t>Sodium thiosulfate 25% 50 mL IV</t>
        </is>
      </c>
      <c r="H952" s="2" t="inlineStr">
        <is>
          <t>Calcium disodium EDTA 1 g IV</t>
        </is>
      </c>
      <c r="I952" s="8" t="inlineStr">
        <is>
          <t>1</t>
        </is>
      </c>
      <c r="J9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52" s="2" t="n"/>
      <c r="L952" s="2" t="inlineStr">
        <is>
          <t>General Therapeutics</t>
        </is>
      </c>
      <c r="M952" s="2" t="inlineStr">
        <is>
          <t>Clinic</t>
        </is>
      </c>
      <c r="N952" s="2" t="inlineStr">
        <is>
          <t>ข้อ 2 (PLE_CC1_2554 SET2.md)</t>
        </is>
      </c>
      <c r="O952" s="2" t="inlineStr">
        <is>
          <t>ข้อสอบจริง</t>
        </is>
      </c>
      <c r="P952" s="2" t="inlineStr">
        <is>
          <t>ปี 2554</t>
        </is>
      </c>
    </row>
    <row r="953" ht="13.2" customHeight="1" s="37">
      <c r="A953" s="8" t="inlineStr">
        <is>
          <t>974</t>
        </is>
      </c>
      <c r="B953" s="2" t="inlineStr">
        <is>
          <t>ตำรับยาที่เป็นสูตรผสมใหม่ (New combination) ซึ่งหมายถึง ตำรับยาผสมที่ประกอบด้วยตัวยาใหม่และ / หรือ ตัวยาสำคัญที่ขึ้นทะเบียนไว้แล้วตั้งแต่ 2 ชนิดผสมกันแต่ไม่ซํ้ากับตำรับยาผสมที่ขึ้นทะเบียนแล้ว</t>
        </is>
      </c>
      <c r="C953" s="2" t="n"/>
      <c r="D953" s="2" t="inlineStr">
        <is>
          <t>Sodium thiosulfate 25% 50 mL IV</t>
        </is>
      </c>
      <c r="E953" s="2" t="inlineStr">
        <is>
          <t>Calcium disodium EDTA 1 g IV</t>
        </is>
      </c>
      <c r="F953" s="2" t="inlineStr">
        <is>
          <t>Desferrioxamine 1 g IM/IV</t>
        </is>
      </c>
      <c r="G953" s="2" t="inlineStr">
        <is>
          <t>Dimercaprol (BAL) 3 mg/kg IM</t>
        </is>
      </c>
      <c r="H953" s="2" t="inlineStr">
        <is>
          <t>Ethanol 10% IV infusion for Methanol poisoning</t>
        </is>
      </c>
      <c r="I953" s="8" t="inlineStr">
        <is>
          <t>1</t>
        </is>
      </c>
      <c r="J9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3" s="2" t="n"/>
      <c r="L953" s="2" t="inlineStr">
        <is>
          <t>General Therapeutics</t>
        </is>
      </c>
      <c r="M953" s="2" t="inlineStr">
        <is>
          <t>Clinic</t>
        </is>
      </c>
      <c r="N953" s="2" t="inlineStr">
        <is>
          <t>ข้อ 3 (PLE_CC1_2554 SET2.md)</t>
        </is>
      </c>
      <c r="O953" s="2" t="inlineStr">
        <is>
          <t>ข้อสอบจริง</t>
        </is>
      </c>
      <c r="P953" s="2" t="inlineStr">
        <is>
          <t>ปี 2554</t>
        </is>
      </c>
    </row>
    <row r="954" ht="13.2" customHeight="1" s="37">
      <c r="A954" s="8" t="inlineStr">
        <is>
          <t>975</t>
        </is>
      </c>
      <c r="B954" s="2" t="inlineStr">
        <is>
          <t>ยาที่มีรูปแบบใหม่ (New dosage form) ของยาใหม่ที่ได้รับอนุมัติให้ขึ้นทะเบียนตำรับยาแล้ว</t>
        </is>
      </c>
      <c r="C954" s="2" t="n"/>
      <c r="D954" s="2" t="inlineStr">
        <is>
          <t>Dimercaprol (BAL) 3 mg/kg IM</t>
        </is>
      </c>
      <c r="E954" s="2" t="inlineStr">
        <is>
          <t>Ethanol 10% IV infusion for Methanol poisoning</t>
        </is>
      </c>
      <c r="F954" s="2" t="inlineStr">
        <is>
          <t>Fomepizole 15 mg/kg IV loading</t>
        </is>
      </c>
      <c r="G954" s="2" t="inlineStr">
        <is>
          <t>N-acetylcysteine (NAC) IV infusion protocol</t>
        </is>
      </c>
      <c r="H954" s="2" t="inlineStr">
        <is>
          <t>Atropine sulfate 2 mg IV Q5-10 min</t>
        </is>
      </c>
      <c r="I954" s="8" t="inlineStr">
        <is>
          <t>1</t>
        </is>
      </c>
      <c r="J9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4" s="2" t="n"/>
      <c r="L954" s="2" t="inlineStr">
        <is>
          <t>General Therapeutics</t>
        </is>
      </c>
      <c r="M954" s="2" t="inlineStr">
        <is>
          <t>Clinic</t>
        </is>
      </c>
      <c r="N954" s="2" t="inlineStr">
        <is>
          <t>ข้อ 6 (PLE_CC1_2554 SET2.md)</t>
        </is>
      </c>
      <c r="O954" s="2" t="inlineStr">
        <is>
          <t>ข้อสอบจริง</t>
        </is>
      </c>
      <c r="P954" s="2" t="inlineStr">
        <is>
          <t>ปี 2554</t>
        </is>
      </c>
    </row>
    <row r="955" ht="13.2" customHeight="1" s="37">
      <c r="A955" s="8" t="inlineStr">
        <is>
          <t>976</t>
        </is>
      </c>
      <c r="B955" s="2" t="inlineStr">
        <is>
          <t>ยาที่มีความแรงใหม่ (New strength) ของยาใหม่ที่ได้รับอนุมัติให้ขึ้นทะเบียนตำรับยาแล้ว 8.ยาทาภายนอกสำหรับเล็บเท้า หากใช้เดี่ยวๆ ควรใช้ร่วมกับยารับประทาน</t>
        </is>
      </c>
      <c r="C955" s="2" t="n"/>
      <c r="D955" s="2" t="inlineStr">
        <is>
          <t>N-acetylcysteine (NAC) IV infusion protocol</t>
        </is>
      </c>
      <c r="E955" s="2" t="inlineStr">
        <is>
          <t>Atropine sulfate 2 mg IV Q5-10 min</t>
        </is>
      </c>
      <c r="F955" s="2" t="inlineStr">
        <is>
          <t>Pralidoxime (2-PAM) 1-2 g IV over 30 min</t>
        </is>
      </c>
      <c r="G955" s="2" t="inlineStr">
        <is>
          <t>Naloxone 0.4 mg IV stat</t>
        </is>
      </c>
      <c r="H955" s="2" t="inlineStr">
        <is>
          <t>Flumazenil 0.2 mg IV stat</t>
        </is>
      </c>
      <c r="I955" s="8" t="inlineStr">
        <is>
          <t>3</t>
        </is>
      </c>
      <c r="J955"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955" s="2" t="n"/>
      <c r="L955" s="2" t="inlineStr">
        <is>
          <t>General Therapeutics</t>
        </is>
      </c>
      <c r="M955" s="2" t="inlineStr">
        <is>
          <t>Clinic</t>
        </is>
      </c>
      <c r="N955" s="2" t="inlineStr">
        <is>
          <t>ข้อ 7 (PLE_CC1_2554 SET2.md)</t>
        </is>
      </c>
      <c r="O955" s="2" t="inlineStr">
        <is>
          <t>ข้อสอบจริง</t>
        </is>
      </c>
      <c r="P955" s="2" t="inlineStr">
        <is>
          <t>ปี 2554</t>
        </is>
      </c>
    </row>
    <row r="956" ht="13.2" customHeight="1" s="37">
      <c r="A956" s="8" t="inlineStr">
        <is>
          <t>977</t>
        </is>
      </c>
      <c r="B956" s="2" t="inlineStr">
        <is>
          <t>prednisoloneมีผลกับ electrolyte อย่างไร</t>
        </is>
      </c>
      <c r="C956" s="2" t="n"/>
      <c r="D956" s="2" t="inlineStr">
        <is>
          <t>Chlorpheniramine 4 mg TID</t>
        </is>
      </c>
      <c r="E956" s="2" t="inlineStr">
        <is>
          <t>Fluticasone furoate nasal spray</t>
        </is>
      </c>
      <c r="F956" s="2" t="inlineStr">
        <is>
          <t>Budesonide nasal spray</t>
        </is>
      </c>
      <c r="G956" s="2" t="inlineStr">
        <is>
          <t>Epinephrine 0.3 mg IM stat</t>
        </is>
      </c>
      <c r="H956" s="2" t="inlineStr">
        <is>
          <t>Dexamethasone 4 mg IV</t>
        </is>
      </c>
      <c r="I956" s="8" t="inlineStr">
        <is>
          <t>1</t>
        </is>
      </c>
      <c r="J956" s="2" t="inlineStr">
        <is>
          <t>✅ คำตอบที่ถูกต้อง: ข้อ ก. Chlorpheniramine 4 mg TID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เป็น potent ICS มี high topical potency และ systemic bioavailability ต่ำ ใช้เป็น maintenance anti-inflammatory controller ใน moderate-to-severe asthma และ COPD with high eosinophils
• ข้อ ค. (Budesonide nasal spray):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(Epinephrine 0.3 mg IM stat): ข้อนี้ไม่ใช่คำตอบที่ถูกต้องสำหรับภาวะ Allergy &amp; Immunology เนื่องจากกลไกการออกฤทธิ์, efficacy หรือข้อบ่งใช้ไม่ตรงกับโจทย์ที่กำหนด
• ข้อ จ. (Dexamethasone 4 mg IV): เป็น long-acting potent glucocorticoid ไม่มี mineralocorticoid effect จึงไม่ทำให้น้ำคั่ง เหมาะสำหรับ brain edema, antiemetic, และ COVID-19 with hypoxemia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956" s="2" t="n"/>
      <c r="L956" s="2" t="inlineStr">
        <is>
          <t>Allergy &amp; Immunology</t>
        </is>
      </c>
      <c r="M956" s="2" t="inlineStr">
        <is>
          <t>Clinic</t>
        </is>
      </c>
      <c r="N956" s="2" t="inlineStr">
        <is>
          <t>ข้อ 3 (PLE_CC1_2554 SET2.md)</t>
        </is>
      </c>
      <c r="O956" s="2" t="inlineStr">
        <is>
          <t>ข้อสอบจริง</t>
        </is>
      </c>
      <c r="P956" s="2" t="inlineStr">
        <is>
          <t>ปี 2554</t>
        </is>
      </c>
    </row>
    <row r="957" ht="13.2" customHeight="1" s="37">
      <c r="A957" s="8" t="inlineStr">
        <is>
          <t>978</t>
        </is>
      </c>
      <c r="B957" s="2" t="inlineStr">
        <is>
          <t>Increase LFT enz</t>
        </is>
      </c>
      <c r="C957" s="2" t="n"/>
      <c r="D957" s="2" t="inlineStr">
        <is>
          <t>Sodium thiosulfate 25% 50 mL IV</t>
        </is>
      </c>
      <c r="E957" s="2" t="inlineStr">
        <is>
          <t>Calcium disodium EDTA 1 g IV</t>
        </is>
      </c>
      <c r="F957" s="2" t="inlineStr">
        <is>
          <t>Desferrioxamine 1 g IM/IV</t>
        </is>
      </c>
      <c r="G957" s="2" t="inlineStr">
        <is>
          <t>Dimercaprol (BAL) 3 mg/kg IM</t>
        </is>
      </c>
      <c r="H957" s="2" t="inlineStr">
        <is>
          <t>Ethanol 10% IV infusion for Methanol poisoning</t>
        </is>
      </c>
      <c r="I957" s="8" t="inlineStr">
        <is>
          <t>1</t>
        </is>
      </c>
      <c r="J9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7" s="2" t="n"/>
      <c r="L957" s="2" t="inlineStr">
        <is>
          <t>General Therapeutics</t>
        </is>
      </c>
      <c r="M957" s="2" t="inlineStr">
        <is>
          <t>Clinic</t>
        </is>
      </c>
      <c r="N957" s="2" t="inlineStr">
        <is>
          <t>ข้อ 3 (PLE_CC1_2554 SET2.md)</t>
        </is>
      </c>
      <c r="O957" s="2" t="inlineStr">
        <is>
          <t>ข้อสอบจริง</t>
        </is>
      </c>
      <c r="P957" s="2" t="inlineStr">
        <is>
          <t>ปี 2554</t>
        </is>
      </c>
    </row>
    <row r="958" ht="13.2" customHeight="1" s="37">
      <c r="A958" s="8" t="inlineStr">
        <is>
          <t>979</t>
        </is>
      </c>
      <c r="B958" s="2" t="inlineStr">
        <is>
          <t>เกลือบริโภคตามประกาศกระทรวงสาธารณสุขข้อใดถูก</t>
        </is>
      </c>
      <c r="C958" s="2" t="n"/>
      <c r="D958" s="2" t="inlineStr">
        <is>
          <t>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Hctต ่า และ Fe เกือบต ่า แพทย์วินิจฉัยว่าเป็น microcytic hypochromic</t>
        </is>
      </c>
      <c r="E958" s="2" t="inlineStr">
        <is>
          <t>Ethanol 10% IV infusion for Methanol poisoning</t>
        </is>
      </c>
      <c r="F958" s="2" t="inlineStr">
        <is>
          <t>Fomepizole 15 mg/kg IV loading</t>
        </is>
      </c>
      <c r="G958" s="2" t="inlineStr">
        <is>
          <t>N-acetylcysteine (NAC) IV infusion protocol</t>
        </is>
      </c>
      <c r="H958" s="2" t="inlineStr">
        <is>
          <t>Atropine sulfate 2 mg IV Q5-10 min</t>
        </is>
      </c>
      <c r="I958" s="8" t="inlineStr">
        <is>
          <t>1</t>
        </is>
      </c>
      <c r="J958" s="2" t="inlineStr">
        <is>
          <t>✅ คำตอบที่ถูกต้อง: ข้อ ก.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Hctต ่า และ Fe เกือบต ่า แพทย์วินิจฉัยว่าเป็น microcytic hypochromic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Hctต ่า และ Fe เกือบต ่า แพทย์วินิจฉัยว่าเป็น microcytic hypochromic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 ต ่า และ Fe เกือบต ่า แพทย์วินิจฉัยว่าเป็น microcytic hypochromic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 ต ่า และ Fe เกือบต ่า แพทย์วินิจฉัยว่าเป็น microcytic hypochromic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 ต ่า และ Fe เกือบต ่า แพทย์วินิจฉัยว่าเป็น microcytic hypochromic การเลือก เกลือบริโภคต้องมีปริมาณไอโอดีนไม่น้อยกว่า๓๐มิลลิกรัมต่อเกลือบริโภค๑กิโลกรัม เกลือบริโภคต้องมีปริมาณไอโอดีนไม่น้อยกว่า๓๐มิลลิกรัมต่อเกลือบริโภค๑กิโลกรัมเนื่องจากประกาศกระ ทรวงสาธารณสุขฉบับที่๑๕๓ เรื่องเกลือบริโภคกาหนดให้มีไอโอดีน (Iodine) ในเกลือบริโภคที่ใช้ปรุงหรือแต่งรสอาหารโดยกาหนดไว้ว่าเกลือบริโภคต้องมีปริมาณไอโอดีนไม่น้อยกว่า ๓๐มิลลิกรัมต่อเกลือบริโภค๑กิโลกรัม REF: http://iodinethailand.fda.moph.go.th/food_54/law/data/announ_moph/P-021.pdf (ประกาศกระทรวงสาธารณสุขเรื่องเกลือบริโภค) กรณีศึกษาที่ 5 เลือดจาง อาการซีด เหนื่อย มี MCV, Hct ต ่า และ Fe เกือบต ่า แพทย์วินิจฉัยว่าเป็น microcytic hypochromic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58" s="2" t="n"/>
      <c r="L958" s="2" t="inlineStr">
        <is>
          <t>General Therapeutics</t>
        </is>
      </c>
      <c r="M958" s="2" t="inlineStr">
        <is>
          <t>Clinic</t>
        </is>
      </c>
      <c r="N958" s="2" t="inlineStr">
        <is>
          <t>ข้อ 9 (PLE_CC1_2554 SET2.md)</t>
        </is>
      </c>
      <c r="O958" s="2" t="inlineStr">
        <is>
          <t>ข้อสอบจริง</t>
        </is>
      </c>
      <c r="P958" s="2" t="inlineStr">
        <is>
          <t>ปี 2554</t>
        </is>
      </c>
    </row>
    <row r="959" ht="13.2" customHeight="1" s="37">
      <c r="A959" s="8" t="inlineStr">
        <is>
          <t>980</t>
        </is>
      </c>
      <c r="B959" s="2" t="inlineStr">
        <is>
          <t>เป็นเลือดจางจากสาเหตุอะไร</t>
        </is>
      </c>
      <c r="C959" s="2" t="n"/>
      <c r="D959" s="2" t="inlineStr">
        <is>
          <t>iron deficiency</t>
        </is>
      </c>
      <c r="E959" s="2" t="inlineStr">
        <is>
          <t>megaloblastic</t>
        </is>
      </c>
      <c r="F959" s="2" t="inlineStr">
        <is>
          <t>thalassemia</t>
        </is>
      </c>
      <c r="G959" s="2" t="inlineStr">
        <is>
          <t>G-6PD พบได้ในกรณี Iron deficiency และ thalassemia แต่กรณี thalassemia จะมีภาวะเหล็กเกินร่วมด้วย แต่ผู้ป่วยคนนี้มีเหล็กเกือบตํ่าจึงเป็น iron deficiency MCV (Mean corpuscular volume) เป็นค่าเฉลี่ยของปริมาตรเม็ดเลือดแดง บ่งบอกว่าเม็ดเลือดมีขนาดเล็กหรือใหญ่เพียงใด (Normal = 83-97 fl) สามารถแบ่งได้เป็น Normocytic, Microcytic, Macrocytic MCHC (Mean corpuscular hemoglobin concentration) การวัดความเข้มข้นเฉลี่ยของ Hb ในเม็ดเลือดแดง (Normal = 31-37 g/dL) สามารถแบ่งได้เป็น Normochromic, Microchromic, Macrochromic Ref: หนังสือติวรุ่นพี่แม๊ก Pharmacotherapy 2/2 หน้า 631-638, ชีทติวพี่พุฒิและรุ่นพี่ติวสอบคอมพรี</t>
        </is>
      </c>
      <c r="H959" s="2" t="inlineStr">
        <is>
          <t>Flumazenil 0.2 mg IV stat</t>
        </is>
      </c>
      <c r="I959" s="8" t="inlineStr">
        <is>
          <t>1</t>
        </is>
      </c>
      <c r="J959" s="2" t="inlineStr">
        <is>
          <t>✅ คำตอบที่ถูกต้อง: ข้อ ก. iron deficiency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iron deficiency การเลือก iron deficiency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(megaloblastic): ข้อนี้ไม่ใช่คำตอบที่ถูกต้องสำหรับภาวะ General Therapeutics เนื่องจากกลไกการออกฤทธิ์, efficacy หรือข้อบ่งใช้ไม่ตรงกับโจทย์ที่กำหนด
• ข้อ ค. (thalassemia): ข้อนี้ไม่ใช่คำตอบที่ถูกต้องสำหรับภาวะ General Therapeutics เนื่องจากกลไกการออกฤทธิ์, efficacy หรือข้อบ่งใช้ไม่ตรงกับโจทย์ที่กำหนด
• ข้อ ง. (G-6PD พบได้ในกรณี Iron deficiency และ thalassemia แต่กรณี thalassemia จะมีภาวะเหล็กเกินร่วมด้วย แต่ผู้ป่วยคนนี้มีเหล็กเกือบตํ่าจึงเป็น iron deficiency MCV (Mean corpuscular volume) เป็นค่าเฉลี่ยของปริมาตรเม็ดเลือดแดง บ่งบอกว่าเม็ดเลือดมีขนาดเล็กหรือใหญ่เพียงใด (Normal = 83-97 fl) สามารถแบ่งได้เป็น Normocytic, Microcytic, Macrocytic MCHC (Mean corpuscular hemoglobin concentration) การวัดความเข้มข้นเฉลี่ยของ Hb ในเม็ดเลือดแดง (Normal = 31-37 g/dL) สามารถแบ่งได้เป็น Normochromic, Microchromic, Macrochromic Ref: หนังสือติวรุ่นพี่แม๊ก Pharmacotherapy 2/2 หน้า 631-638, ชีทติวพี่พุฒิและรุ่นพี่ติวสอบคอมพรี):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9" s="2" t="n"/>
      <c r="L959" s="2" t="inlineStr">
        <is>
          <t>General Therapeutics</t>
        </is>
      </c>
      <c r="M959" s="2" t="inlineStr">
        <is>
          <t>Clinic</t>
        </is>
      </c>
      <c r="N959" s="2" t="inlineStr">
        <is>
          <t>ข้อ 1 (PLE_CC1_2554 SET2.md)</t>
        </is>
      </c>
      <c r="O959" s="2" t="inlineStr">
        <is>
          <t>ข้อสอบจริง</t>
        </is>
      </c>
      <c r="P959" s="2" t="inlineStr">
        <is>
          <t>ปี 2554</t>
        </is>
      </c>
    </row>
    <row r="960" ht="13.2" customHeight="1" s="37">
      <c r="A960" s="8" t="inlineStr">
        <is>
          <t>981</t>
        </is>
      </c>
      <c r="B960" s="2" t="inlineStr">
        <is>
          <t>Fe ห้ามให้ในผู้ป่วยอะไร ส่งผลให้เหล็กเกินจากการทำลาย RBC เพิ่มขึ้น หรือร่างกายเพิ่มการดูดซึมเหล็กมากขึ้น</t>
        </is>
      </c>
      <c r="C960" s="2" t="n"/>
      <c r="D960" s="2" t="inlineStr">
        <is>
          <t>Naloxone 0.4 mg IV stat</t>
        </is>
      </c>
      <c r="E960" s="2" t="inlineStr">
        <is>
          <t>Flumazenil 0.2 mg IV stat</t>
        </is>
      </c>
      <c r="F960" s="2" t="inlineStr">
        <is>
          <t>Vitamin K1 (Phytomenadione) 10 mg IV slow</t>
        </is>
      </c>
      <c r="G960" s="2" t="inlineStr">
        <is>
          <t>Sodium thiosulfate 25% 50 mL IV</t>
        </is>
      </c>
      <c r="H960" s="2" t="inlineStr">
        <is>
          <t>Calcium disodium EDTA 1 g IV</t>
        </is>
      </c>
      <c r="I960" s="8" t="inlineStr">
        <is>
          <t>1</t>
        </is>
      </c>
      <c r="J9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60" s="2" t="n"/>
      <c r="L960" s="2" t="inlineStr">
        <is>
          <t>General Therapeutics</t>
        </is>
      </c>
      <c r="M960" s="2" t="inlineStr">
        <is>
          <t>Clinic</t>
        </is>
      </c>
      <c r="N960" s="2" t="inlineStr">
        <is>
          <t>ข้อ 4 (PLE_CC1_2554 SET2.md)</t>
        </is>
      </c>
      <c r="O960" s="2" t="inlineStr">
        <is>
          <t>ข้อสอบจริง</t>
        </is>
      </c>
      <c r="P960" s="2" t="inlineStr">
        <is>
          <t>ปี 2554</t>
        </is>
      </c>
    </row>
    <row r="961" ht="13.2" customHeight="1" s="37">
      <c r="A961" s="8" t="inlineStr">
        <is>
          <t>982</t>
        </is>
      </c>
      <c r="B961" s="2" t="inlineStr">
        <is>
          <t>กลไกการออกฤทธิ์ของ MTX คือกลไกอะไร</t>
        </is>
      </c>
      <c r="C961" s="2" t="n"/>
      <c r="D961" s="2" t="inlineStr">
        <is>
          <t>ยับยั้งการทำงานของเอนไซม์ dihydrofolate reductase (DHFR)หรือ thymidilate syntase (TS)</t>
        </is>
      </c>
      <c r="E961" s="2" t="inlineStr">
        <is>
          <t>ยับยั้งการทำงานของเอนไซม์ DNA polymerase</t>
        </is>
      </c>
      <c r="F961" s="2" t="inlineStr">
        <is>
          <t>ขัดขวางการทำงานของเอนไซม์ thymidylate syntase (TS) และเปลี่ยนเป็น FUMP ทำให้เกิดความผิดปกติในการสังเคราะห์ RNA ในเซลล์</t>
        </is>
      </c>
      <c r="G961" s="2" t="inlineStr">
        <is>
          <t>เมื่อเข้าสู่ร่างกายจะถูกเปลี่ยนแปลงเป็น dFdCMP และถูกเติมหมู่ฟอสเฟตจนกลายเป็น dFdCDP และ dFdCTP ตามลำดับ ซึ่ง dFdCTP และจะไปแข่งขันกับเบส pyrimidine ปกติคือ CTP ที่จะถูกนำไปสร้างสาย DNA</t>
        </is>
      </c>
      <c r="H961" s="2" t="inlineStr">
        <is>
          <t>ถูกทุกข้อ เพราะยา MTX เป็นยาที่อยู่ในกลุ่ม Antimetabolites และมีกลไดตามที่กล่าว กลไกข้อ ข.-</t>
        </is>
      </c>
      <c r="I961" s="8" t="inlineStr">
        <is>
          <t>1</t>
        </is>
      </c>
      <c r="J961" s="2" t="inlineStr">
        <is>
          <t>✅ คำตอบที่ถูกต้อง: ข้อ ก. ยับยั้งการทำงานของเอนไซม์ dihydrofolate reductase (DHFR)หรือ thymidilate syntase (TS)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ยับยั้งการทำงานของเอนไซม์ dihydrofolate reductase (DHFR)หรือ thymidilate syntase (TS) การเลือก ยับยั้งการทำงานของเอนไซม์ dihydrofolate reductase (DHFR)หรือ thymidilate syntase (TS)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(ยับยั้งการทำงานของเอนไซม์ DNA polymerase): ข้อนี้ไม่ใช่คำตอบที่ถูกต้องสำหรับภาวะ General Therapeutics เนื่องจากกลไกการออกฤทธิ์, efficacy หรือข้อบ่งใช้ไม่ตรงกับโจทย์ที่กำหนด
• ข้อ ค. (ขัดขวางการทำงานของเอนไซม์ thymidylate syntase (TS) และเปลี่ยนเป็น FUMP ทำให้เกิดความผิดปกติในการสังเคราะห์ RNA ในเซลล์): ข้อนี้ไม่ใช่คำตอบที่ถูกต้องสำหรับภาวะ General Therapeutics เนื่องจากกลไกการออกฤทธิ์, efficacy หรือข้อบ่งใช้ไม่ตรงกับโจทย์ที่กำหนด
• ข้อ ง. (เมื่อเข้าสู่ร่างกายจะถูกเปลี่ยนแปลงเป็น dFdCMP และถูกเติมหมู่ฟอสเฟตจนกลายเป็น dFdCDP และ dFdCTP ตามลำดับ ซึ่ง dFdCTP และจะไปแข่งขันกับเบส pyrimidine ปกติคือ CTP ที่จะถูกนำไปสร้างสาย DNA):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เพราะยา MTX เป็นยาที่อยู่ในกลุ่ม Antimetabolites และมีกลไดตามที่กล่าว กลไกข้อ ข.-):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1" s="2" t="n"/>
      <c r="L961" s="2" t="inlineStr">
        <is>
          <t>General Therapeutics</t>
        </is>
      </c>
      <c r="M961" s="2" t="inlineStr">
        <is>
          <t>Clinic</t>
        </is>
      </c>
      <c r="N961" s="2" t="inlineStr">
        <is>
          <t>ข้อ 2 (PLE_CC1_2554 SET2.md)</t>
        </is>
      </c>
      <c r="O961" s="2" t="inlineStr">
        <is>
          <t>ข้อสอบจริง</t>
        </is>
      </c>
      <c r="P961" s="2" t="inlineStr">
        <is>
          <t>ปี 2554</t>
        </is>
      </c>
    </row>
    <row r="962" ht="13.2" customHeight="1" s="37">
      <c r="A962" s="8" t="inlineStr">
        <is>
          <t>983</t>
        </is>
      </c>
      <c r="B962" s="2" t="inlineStr">
        <is>
          <t>ผลข้างเคียงที่พบได้บ่อยจากการใช้ MTX</t>
        </is>
      </c>
      <c r="C962" s="2" t="n"/>
      <c r="D962" s="2" t="inlineStr">
        <is>
          <t>Convulsions</t>
        </is>
      </c>
      <c r="E962" s="2" t="inlineStr">
        <is>
          <t>Blurred vision</t>
        </is>
      </c>
      <c r="F962" s="2" t="inlineStr">
        <is>
          <t>Ulcerative stomatitis</t>
        </is>
      </c>
      <c r="G962" s="2" t="inlineStr">
        <is>
          <t>Headache</t>
        </is>
      </c>
      <c r="H962" s="2" t="inlineStr">
        <is>
          <t>Drowsiness</t>
        </is>
      </c>
      <c r="I962" s="8" t="inlineStr">
        <is>
          <t>3</t>
        </is>
      </c>
      <c r="J962" s="2" t="inlineStr">
        <is>
          <t>✅ คำตอบที่ถูกต้อง: ข้อ ค. Ulcerative stomatitis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Ulcerative stomatitis การเลือก Ulcerative stomatitis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(Convulsions): ข้อนี้ไม่ใช่คำตอบที่ถูกต้องสำหรับภาวะ General Therapeutics เนื่องจากกลไกการออกฤทธิ์, efficacy หรือข้อบ่งใช้ไม่ตรงกับโจทย์ที่กำหนด
• ข้อ ข. (Blurred vision): ข้อนี้ไม่ใช่คำตอบที่ถูกต้องสำหรับภาวะ General Therapeutics เนื่องจากกลไกการออกฤทธิ์, efficacy หรือข้อบ่งใช้ไม่ตรงกับโจทย์ที่กำหนด
• ข้อ ง. (Headache): ข้อนี้ไม่ใช่คำตอบที่ถูกต้องสำหรับภาวะ General Therapeutics เนื่องจากกลไกการออกฤทธิ์, efficacy หรือข้อบ่งใช้ไม่ตรงกับโจทย์ที่กำหนด
• ข้อ จ. (Drowsiness):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2" s="2" t="n"/>
      <c r="L962" s="2" t="inlineStr">
        <is>
          <t>General Therapeutics</t>
        </is>
      </c>
      <c r="M962" s="2" t="inlineStr">
        <is>
          <t>Clinic</t>
        </is>
      </c>
      <c r="N962" s="2" t="inlineStr">
        <is>
          <t>ข้อ 3 (PLE_CC1_2554 SET2.md)</t>
        </is>
      </c>
      <c r="O962" s="2" t="inlineStr">
        <is>
          <t>ข้อสอบจริง</t>
        </is>
      </c>
      <c r="P962" s="2" t="inlineStr">
        <is>
          <t>ปี 2554</t>
        </is>
      </c>
    </row>
    <row r="963" ht="13.2" customHeight="1" s="37">
      <c r="A963" s="8" t="inlineStr">
        <is>
          <t>984</t>
        </is>
      </c>
      <c r="B963" s="2" t="inlineStr">
        <is>
          <t>ถ้าใช้ 5-FU แล้วมีอาการปากแห้ง ระคายเคืองปาก ควรให้ยาอะไรร่วมในการรักษา</t>
        </is>
      </c>
      <c r="C963" s="2" t="n"/>
      <c r="D963" s="2" t="inlineStr">
        <is>
          <t>Normal saline</t>
        </is>
      </c>
      <c r="E963" s="2" t="inlineStr">
        <is>
          <t>Sulfasalazine</t>
        </is>
      </c>
      <c r="F963" s="2" t="inlineStr">
        <is>
          <t>Sucralfate</t>
        </is>
      </c>
      <c r="G963" s="2" t="inlineStr">
        <is>
          <t>Corticosteroid</t>
        </is>
      </c>
      <c r="H963" s="2" t="inlineStr">
        <is>
          <t>ถูกทุกข้อ prostaglandin</t>
        </is>
      </c>
      <c r="I963" s="8" t="inlineStr">
        <is>
          <t>3</t>
        </is>
      </c>
      <c r="J963" s="2" t="inlineStr">
        <is>
          <t>✅ คำตอบที่ถูกต้อง: ข้อ ค. Sucralfate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Sucralfate การเลือก Sucralfate เป็นคำตอบที่ถูกต้องตามแนวทางการรักษามาตรฐาน เนื่องจาก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ข้ออื่นผิดเพราะอะไร:
• ข้อ ก. (Normal saline): ข้อนี้ไม่ใช่คำตอบที่ถูกต้องสำหรับภาวะ General Therapeutics เนื่องจากกลไกการออกฤทธิ์, efficacy หรือข้อบ่งใช้ไม่ตรงกับโจทย์ที่กำหนด
• ข้อ ข. (Sulfasalazine): เป็น csDMARD สำหรับ RA และ peripheral spondyloarthritis ปลอดภัยในหญิงตั้งครรภ์ แต่ contraindication ในผู้ที่แพ้ sulfa หรือ G6PD deficiency
• ข้อ ง. (Corticosteroid):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prostaglandin):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3" s="2" t="n"/>
      <c r="L963" s="2" t="inlineStr">
        <is>
          <t>General Therapeutics</t>
        </is>
      </c>
      <c r="M963" s="2" t="inlineStr">
        <is>
          <t>Clinic</t>
        </is>
      </c>
      <c r="N963" s="2" t="inlineStr">
        <is>
          <t>ข้อ 7 (PLE_CC1_2554 SET2.md)</t>
        </is>
      </c>
      <c r="O963" s="2" t="inlineStr">
        <is>
          <t>ข้อสอบจริง</t>
        </is>
      </c>
      <c r="P963" s="2" t="inlineStr">
        <is>
          <t>ปี 2554</t>
        </is>
      </c>
    </row>
    <row r="964" ht="13.2" customHeight="1" s="37">
      <c r="A964" s="8" t="inlineStr">
        <is>
          <t>985</t>
        </is>
      </c>
      <c r="B964" s="2" t="inlineStr">
        <is>
          <t>ควรให้อะไรในการรักษาสำหรับผู้ป่วยรายนี้</t>
        </is>
      </c>
      <c r="C964" s="2" t="n"/>
      <c r="D964" s="2" t="inlineStr">
        <is>
          <t>smectaห</t>
        </is>
      </c>
      <c r="E964" s="2" t="inlineStr">
        <is>
          <t>ORS</t>
        </is>
      </c>
      <c r="F964" s="2" t="inlineStr">
        <is>
          <t>Diphenoxylate+ Atropine</t>
        </is>
      </c>
      <c r="G964" s="2" t="inlineStr">
        <is>
          <t>Activated charcoal หัวใจสำคัญของการรักษาโรคอุจจาระร่วงเฉียบพลันคือ การให้สารนํ้าที่เหมาะสมเพื่อแก้ไขภาวะขาดนํ้า และการให้อาหารที่เหมาะสมตั้งแต่แรก ดังนั้นจึงควรให้ ORS เพื่อทดแทนการสูญเสียนํ้า smectaห [มีชื่อสามัญทางยาคือ dioctahedral smectite เป็น aluminomagnesium silicate clay มีคุณสมบัติเป็นสารดูดซับ] และ Activated charcoal เป็นสารดูดซับ ซึ่งการออกฤทธิ์ไม่จำเพาะเจาะจง อาจดูดซับสารอาหารไปด้วย จึงไม่ควรใช้เพราะเด็กที่ท้องเสียควรได้รับสารอาหารอย่างเพียงพอ ไม่แนะนำให้ใช้ kaolin และ activated charcoal เนื่องจากไม่มีข้อมูลการศึกษายืนยันถึงประสิทธิภาพในการรักษาอุจจาระร่วงในเด็ก ยาที่มีข้อมูลสนับสนุนถึงประสิทธิภาพและอาจจะพิจารณาใช้ในการรักษาโรคอุจจาระร่วงเฉียบพลันในเด็กไ ด้แก่ racecadotril และ smectite Diphenoxylate +Atropine ไม่ควรใช้ในเด็กเนื่องจากอาจเกิดผลข้างเคียง และไม่ควรใช้ในผู้ป่วยท้องเสียที่มีสาเหตุมาจากการติดเชื้อแบคทีเรีย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http://www.cdc.gov/rotavirus/about/treatment.html http://drug.pharmacy.psu.ac.th/Question.asp?ID=13872&amp;gid=1 Medscape</t>
        </is>
      </c>
      <c r="H964" s="2" t="inlineStr">
        <is>
          <t>Calcium disodium EDTA 1 g IV</t>
        </is>
      </c>
      <c r="I964" s="8" t="inlineStr">
        <is>
          <t>2</t>
        </is>
      </c>
      <c r="J964" s="2" t="inlineStr">
        <is>
          <t>✅ คำตอบที่ถูกต้อง: ข้อ ข. ORS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ORS และนอกจากนี้ Activated charcoal เป็นรูปแบบของแข็ง จึงไม่เหมาะสำหรับเด็กอายุ 15 เดือน ( 1 ปี 3 เดือน)
🔍 ข้ออื่นผิดเพราะอะไร:
• ข้อ ก. (smectaห): ข้อนี้ไม่ใช่คำตอบที่ถูกต้องสำหรับภาวะ General Therapeutics เนื่องจากกลไกการออกฤทธิ์, efficacy หรือข้อบ่งใช้ไม่ตรงกับโจทย์ที่กำหนด
• ข้อ ค. (Diphenoxylate+ Atropine): ข้อนี้ไม่ใช่คำตอบที่ถูกต้องสำหรับภาวะ General Therapeutics เนื่องจากกลไกการออกฤทธิ์, efficacy หรือข้อบ่งใช้ไม่ตรงกับโจทย์ที่กำหนด
• ข้อ ง. (Activated charcoal หัวใจสำคัญของการรักษาโรคอุจจาระร่วงเฉียบพลันคือ การให้สารนํ้าที่เหมาะสมเพื่อแก้ไขภาวะขาดนํ้า และการให้อาหารที่เหมาะสมตั้งแต่แรก ดังนั้นจึงควรให้ ORS เพื่อทดแทนการสูญเสียนํ้า smectaห [มีชื่อสามัญทางยาคือ dioctahedral smectite เป็น aluminomagnesium silicate clay มีคุณสมบัติเป็นสารดูดซับ] และ Activated charcoal เป็นสารดูดซับ ซึ่งการออกฤทธิ์ไม่จำเพาะเจาะจง อาจดูดซับสารอาหารไปด้วย จึงไม่ควรใช้เพราะเด็กที่ท้องเสียควรได้รับสารอาหารอย่างเพียงพอ ไม่แนะนำให้ใช้ kaolin และ activated charcoal เนื่องจากไม่มีข้อมูลการศึกษายืนยันถึงประสิทธิภาพในการรักษาอุจจาระร่วงในเด็ก ยาที่มีข้อมูลสนับสนุนถึงประสิทธิภาพและอาจจะพิจารณาใช้ในการรักษาโรคอุจจาระร่วงเฉียบพลันในเด็กไ ด้แก่ racecadotril และ smectite Diphenoxylate +Atropine ไม่ควรใช้ในเด็กเนื่องจากอาจเกิดผลข้างเคียง และไม่ควรใช้ในผู้ป่วยท้องเสียที่มีสาเหตุมาจากการติดเชื้อแบคทีเรีย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http://www.cdc.gov/rotavirus/about/treatment.html http://drug.pharmacy.psu.ac.th/Question.asp?ID=13872&amp;gid=1 Medscape): เป็น Live oral vaccine หยอดทางปากเข็มแรกที่ 2 เดือน และเข็ม 2 ที่ 4 เดือน (ห้ามเริ่มเข็มแรกเมื่ออายุเกิน 15 สัปดาห์)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4" s="2" t="n"/>
      <c r="L964" s="2" t="inlineStr">
        <is>
          <t>General Therapeutics</t>
        </is>
      </c>
      <c r="M964" s="2" t="inlineStr">
        <is>
          <t>Clinic</t>
        </is>
      </c>
      <c r="N964" s="2" t="inlineStr">
        <is>
          <t>ข้อ 2 (PLE_CC1_2554 SET2.md)</t>
        </is>
      </c>
      <c r="O964" s="2" t="inlineStr">
        <is>
          <t>ข้อสอบจริง</t>
        </is>
      </c>
      <c r="P964" s="2" t="inlineStr">
        <is>
          <t>ปี 2554</t>
        </is>
      </c>
    </row>
    <row r="965" ht="13.2" customHeight="1" s="37">
      <c r="A965" s="8" t="inlineStr">
        <is>
          <t>986</t>
        </is>
      </c>
      <c r="B965" s="2" t="inlineStr">
        <is>
          <t>ให้สูตร ORS มา มีดังนี้ Sodium chloride</t>
        </is>
      </c>
      <c r="C965" s="2" t="n"/>
      <c r="D965" s="2" t="inlineStr">
        <is>
          <t>9 g Trisodium citrate dihydrate</t>
        </is>
      </c>
      <c r="E965" s="2" t="inlineStr">
        <is>
          <t>9 g Potassium … … Glucose anhydrous 13.5 g Water to 1,000 ml มี Sodium กี่ mEq 𝑚𝑔 𝐸𝑞 𝑊𝑡 Eq Wt = Sodium chloride 58.5 แทนค่า Eq Wt = 1 = 58.5 mEq = 58.5 = 49.6 𝑀𝑊 𝑣𝑎𝑙𝑒𝑛𝑐𝑦 Trisodium citrate dihydrate 294.1 แทนค่า Eq Wt = 1ข3 = 98.03 mEq = 98.03 = 29.58 ดังนั้นมี Sodium 49.6 + 29.58 = 79.18 mEq</t>
        </is>
      </c>
      <c r="F965" s="2" t="inlineStr">
        <is>
          <t>Desferrioxamine 1 g IM/IV</t>
        </is>
      </c>
      <c r="G965" s="2" t="inlineStr">
        <is>
          <t>Dimercaprol (BAL) 3 mg/kg IM</t>
        </is>
      </c>
      <c r="H965" s="2" t="inlineStr">
        <is>
          <t>Ethanol 10% IV infusion for Methanol poisoning</t>
        </is>
      </c>
      <c r="I965" s="8" t="inlineStr">
        <is>
          <t>5</t>
        </is>
      </c>
      <c r="J965" s="2" t="inlineStr">
        <is>
          <t>✅ คำตอบที่ถูกต้อง: ข้อ จ.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(9 g Trisodium citrate dihydrate): ข้อนี้ไม่ใช่คำตอบที่ถูกต้องสำหรับภาวะ General Therapeutics เนื่องจากกลไกการออกฤทธิ์, efficacy หรือข้อบ่งใช้ไม่ตรงกับโจทย์ที่กำหนด
• ข้อ ข. (9 g Potassium … … Glucose anhydrous 13.5 g Water to 1,000 ml มี Sodium กี่ mEq 𝑚𝑔 𝐸𝑞 𝑊𝑡 Eq Wt = Sodium chloride 58.5 แทนค่า Eq Wt = 1 = 58.5 mEq = 58.5 = 49.6 𝑀𝑊 𝑣𝑎𝑙𝑒𝑛𝑐𝑦 Trisodium citrate dihydrate 294.1 แทนค่า Eq Wt = 1ข3 = 98.03 mEq = 98.03 = 29.58 ดังนั้นมี Sodium 49.6 + 29.58 = 79.18 mEq): ข้อนี้ไม่ใช่คำตอบที่ถูกต้องสำหรับภาวะ General Therapeutics เนื่องจากกลไกการออกฤทธิ์, efficacy หรือข้อบ่งใช้ไม่ตรงกับโจทย์ที่กำหนด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5" s="2" t="n"/>
      <c r="L965" s="2" t="inlineStr">
        <is>
          <t>General Therapeutics</t>
        </is>
      </c>
      <c r="M965" s="2" t="inlineStr">
        <is>
          <t>Clinic</t>
        </is>
      </c>
      <c r="N965" s="2" t="inlineStr">
        <is>
          <t>ข้อ 7 (PLE_CC1_2554 SET2.md)</t>
        </is>
      </c>
      <c r="O965" s="2" t="inlineStr">
        <is>
          <t>ข้อสอบจริง</t>
        </is>
      </c>
      <c r="P965" s="2" t="inlineStr">
        <is>
          <t>ปี 2554</t>
        </is>
      </c>
    </row>
    <row r="966" ht="13.2" customHeight="1" s="37">
      <c r="A966" s="8" t="inlineStr">
        <is>
          <t>987</t>
        </is>
      </c>
      <c r="B966" s="2" t="inlineStr">
        <is>
          <t>ถ้าจะใช้ glucose แทน glucose anhydrous ต้องใช้ glucose เท่าไหร่ (กำหนด glucose 1.1 g แทน glucose anhydrous 1 g) glucose anhydrous 1 g แทนด้วย glucose 1.1 g 13.5ข1.1 glucose anhydrous 13.5 g แทนด้วย glucose 1 =14.85 g ดังนั้น ต้องใช้ glucose 14.85 g</t>
        </is>
      </c>
      <c r="C966" s="2" t="n"/>
      <c r="D966" s="2" t="inlineStr">
        <is>
          <t>Insulin lispro 4 units SC before meals</t>
        </is>
      </c>
      <c r="E966" s="2" t="inlineStr">
        <is>
          <t>Dapagliflozin 10 mg OD</t>
        </is>
      </c>
      <c r="F966" s="2" t="inlineStr">
        <is>
          <t>Semaglutide 0.5 mg SC weekly</t>
        </is>
      </c>
      <c r="G966" s="2" t="inlineStr">
        <is>
          <t>Metformin 500 mg BID</t>
        </is>
      </c>
      <c r="H966" s="2" t="inlineStr">
        <is>
          <t>Glipizide 5 mg OD</t>
        </is>
      </c>
      <c r="I966" s="8" t="inlineStr">
        <is>
          <t>1</t>
        </is>
      </c>
      <c r="J966" s="2"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966" s="2" t="n"/>
      <c r="L966" s="2" t="inlineStr">
        <is>
          <t>Diabetes &amp; Endocrine</t>
        </is>
      </c>
      <c r="M966" s="2" t="inlineStr">
        <is>
          <t>Clinic</t>
        </is>
      </c>
      <c r="N966" s="2" t="inlineStr">
        <is>
          <t>ข้อ 8 (PLE_CC1_2554 SET2.md)</t>
        </is>
      </c>
      <c r="O966" s="2" t="inlineStr">
        <is>
          <t>ข้อสอบจริง</t>
        </is>
      </c>
      <c r="P966" s="2" t="inlineStr">
        <is>
          <t>ปี 2554</t>
        </is>
      </c>
    </row>
    <row r="967" ht="13.2" customHeight="1" s="37">
      <c r="A967" s="8" t="inlineStr">
        <is>
          <t>988</t>
        </is>
      </c>
      <c r="B967" s="2" t="inlineStr">
        <is>
          <t>ควรเลือกใช้ยาอะไรเป็นอันดับแรก</t>
        </is>
      </c>
      <c r="C967" s="2" t="n"/>
      <c r="D967" s="2" t="inlineStr">
        <is>
          <t>Amoxicillin</t>
        </is>
      </c>
      <c r="E967" s="2" t="inlineStr">
        <is>
          <t>Clarithromycin</t>
        </is>
      </c>
      <c r="F967" s="2" t="inlineStr">
        <is>
          <t>Levofloxacin</t>
        </is>
      </c>
      <c r="G967" s="2" t="inlineStr">
        <is>
          <t>Clindamycin</t>
        </is>
      </c>
      <c r="H967" s="2" t="inlineStr">
        <is>
          <t>Cotrimoxazole และแพ้ผ่าน igE (ผื่นแดง หน้าบวม ปากบวม)จึงแนะนำให้เปลี่ยนกลุ่มยา เป็น macrolides เช่น Erythromycin, Azithromycin, Clarithromycin จึงเลือก Clarithromycin ในตัวเลือกที่ให้มา เพิ่มเติม -Amoxycillinไม่ใช้ เนื่องจากเป็นยากลุ่ม beta lactam โดยผู้ป่วยแพ้ยา penicillin ผ่าน igEซึ่งเกิดจากการแพ้โครงสร้างยาส่วน beta-lactam จึงหลีกเลี่ยงในการใช้ยากลุ่มนี้ -Levofloxacin ไม่มีข้อบ่งใช้ในการรักษา tonsillitis มักจะใช้รักษา mild pneumonia, moderate pneumonia, community acquired pneumonia,urinary tract infection,skin infection -Clindamycin พิจารณาใช้เมื่อมีการกลับเป็นซํ้าของโรค มากกว่า -Cotrimoxazoleไม่มีข้อบ่งใช้ในการรักษา tonsillitis โดยใช้รักษา pneumonia,bronchitis,urinary tract infection,ear infection and intestine infection Ref :Dipiro. 2008. pharmacotherapy ” a pathophysioapproach, 7th ed. web : drug and pharmaco web :medline plus</t>
        </is>
      </c>
      <c r="I967" s="8" t="inlineStr">
        <is>
          <t>2</t>
        </is>
      </c>
      <c r="J967" s="2" t="inlineStr">
        <is>
          <t>✅ คำตอบที่ถูกต้อง: ข้อ ข. Clarithromycin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(Amoxicillin): เป็น Aminopenicillin ยับยั้ง bacterial cell wall synthesis เป็น first-line สำหรับ uncomplicated bacterial infections (เช่น Strep pharyngitis, AOM, sinusitis)
• ข้อ ค. (Levofloxacin): เป็น Respiratory Fluoroquinolone ครอบคลุมทั้ง Streptococcus pneumoniae, atypicals และ Pseudomonas aeruginosa ใช้รักษา CAP, complicated UTI
• ข้อ ง. (Clindamycin): ข้อนี้ไม่ใช่คำตอบที่ถูกต้องสำหรับภาวะ General Therapeutics เนื่องจากกลไกการออกฤทธิ์, efficacy หรือข้อบ่งใช้ไม่ตรงกับโจทย์ที่กำหนด
• ข้อ จ. (Cotrimoxazole และแพ้ผ่าน igE (ผื่นแดง หน้าบวม ปากบวม)จึงแนะนำให้เปลี่ยนกลุ่มยา เป็น macrolides เช่น Erythromycin, Azithromycin, Clarithromycin จึงเลือก Clarithromycin ในตัวเลือกที่ให้มา เพิ่มเติม -Amoxycillinไม่ใช้ เนื่องจากเป็นยากลุ่ม beta lactam โดยผู้ป่วยแพ้ยา penicillin ผ่าน igEซึ่งเกิดจากการแพ้โครงสร้างยาส่วน beta-lactam จึงหลีกเลี่ยงในการใช้ยากลุ่มนี้ -Levofloxacin ไม่มีข้อบ่งใช้ในการรักษา tonsillitis มักจะใช้รักษา mild pneumonia, moderate pneumonia, community acquired pneumonia,urinary tract infection,skin infection -Clindamycin พิจารณาใช้เมื่อมีการกลับเป็นซํ้าของโรค มากกว่า -Cotrimoxazoleไม่มีข้อบ่งใช้ในการรักษา tonsillitis โดยใช้รักษา pneumonia,bronchitis,urinary tract infection,ear infection and intestine infection Ref :Dipiro. 2008. pharmacotherapy ” a pathophysioapproach, 7th ed. web : drug and pharmaco web :medline plus):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7" s="2" t="n"/>
      <c r="L967" s="2" t="inlineStr">
        <is>
          <t>General Therapeutics</t>
        </is>
      </c>
      <c r="M967" s="2" t="inlineStr">
        <is>
          <t>Clinic</t>
        </is>
      </c>
      <c r="N967" s="2" t="inlineStr">
        <is>
          <t>ข้อ 3 (PLE_CC1_2554 SET2.md)</t>
        </is>
      </c>
      <c r="O967" s="2" t="inlineStr">
        <is>
          <t>ข้อสอบจริง</t>
        </is>
      </c>
      <c r="P967" s="2" t="inlineStr">
        <is>
          <t>ปี 2554</t>
        </is>
      </c>
    </row>
    <row r="968" ht="13.2" customHeight="1" s="37">
      <c r="A968" s="8" t="inlineStr">
        <is>
          <t>989</t>
        </is>
      </c>
      <c r="B968" s="2" t="inlineStr">
        <is>
          <t>ถ้าเกิดว่าท้อง ใช้ยาปฏิชีวนะตัวใดได้และมีความปลอดภัยมากที่สุด</t>
        </is>
      </c>
      <c r="C968" s="2" t="n"/>
      <c r="D968" s="2" t="inlineStr">
        <is>
          <t>Amoxicillin</t>
        </is>
      </c>
      <c r="E968" s="2" t="inlineStr">
        <is>
          <t>Clarithromycin</t>
        </is>
      </c>
      <c r="F968" s="2" t="inlineStr">
        <is>
          <t>Levofloxacin</t>
        </is>
      </c>
      <c r="G968" s="2" t="inlineStr">
        <is>
          <t>Clindamycin</t>
        </is>
      </c>
      <c r="H968" s="2" t="inlineStr">
        <is>
          <t>Cotrimoxazole ไม่พบความผิดปกติของตัวอ่อนในครรภ์ และไม่มีการศึกษาในมนุษย์ จึงมีความปลอดภัยมากที่สุด และมีข้อบ่งใช้ในการรักษา tonsillitis ได้ เพิ่มเติม -amoxycillin:pregnancy category Bเช่นกัน แต่ผู้ป่วยมีข้อห้ามใช้ จากการแพ้ penicillin - levofloxacin, clarithromycin, cotrimoxazole: pregnancy category C เมื่อศึกษาในสัตว์ พบความผิดปกติของตัวอ่อนในครรภ์ แต่ไม่มีการศึกษาในมนุษย์จึงควรพิจารณาประโยชน์และความเสี่ยง Ref :Drug in pregnancy and lactation หนังสือ Pharmacotherapy Rx32 ข้อมูลสำหรับข้อ 5 มีสูตร brown mixture ประกอบด้วย Glycyrrhiza fluid extract Antimony potassium tartrate camphorated opium tincture glycerin water</t>
        </is>
      </c>
      <c r="I968" s="8" t="inlineStr">
        <is>
          <t>4</t>
        </is>
      </c>
      <c r="J968" s="2" t="inlineStr">
        <is>
          <t>✅ คำตอบที่ถูกต้อง: ข้อ ง. Clindamycin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Clindamycin การเลือก Clindamycin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(Amoxicillin): เป็น Aminopenicillin ยับยั้ง bacterial cell wall synthesis เป็น first-line สำหรับ uncomplicated bacterial infections (เช่น Strep pharyngitis, AOM, sinusitis)
• ข้อ ข. (Clarithromycin): เป็น Macrolide เป็นแกนหลักในสูตรกำจัด H. pylori และ MAC treatment แต่ยับยั้ง CYP3A4 สูงมาก จึงมี drug-drug interactions รุนแรงกับ statins, colchicine
• ข้อ ค. (Levofloxacin): เป็น Respiratory Fluoroquinolone ครอบคลุมทั้ง Streptococcus pneumoniae, atypicals และ Pseudomonas aeruginosa ใช้รักษา CAP, complicated UTI
• ข้อ จ. (Cotrimoxazole ไม่พบความผิดปกติของตัวอ่อนในครรภ์ และไม่มีการศึกษาในมนุษย์ จึงมีความปลอดภัยมากที่สุด และมีข้อบ่งใช้ในการรักษา tonsillitis ได้ เพิ่มเติม -amoxycillin:pregnancy category Bเช่นกัน แต่ผู้ป่วยมีข้อห้ามใช้ จากการแพ้ penicillin - levofloxacin, clarithromycin, cotrimoxazole: pregnancy category C เมื่อศึกษาในสัตว์ พบความผิดปกติของตัวอ่อนในครรภ์ แต่ไม่มีการศึกษาในมนุษย์จึงควรพิจารณาประโยชน์และความเสี่ยง Ref :Drug in pregnancy and lactation หนังสือ Pharmacotherapy Rx32 ข้อมูลสำหรับข้อ 5 มีสูตร brown mixture ประกอบด้วย Glycyrrhiza fluid extract Antimony potassium tartrate camphorated opium tincture glycerin water):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8" s="2" t="n"/>
      <c r="L968" s="2" t="inlineStr">
        <is>
          <t>General Therapeutics</t>
        </is>
      </c>
      <c r="M968" s="2" t="inlineStr">
        <is>
          <t>Clinic</t>
        </is>
      </c>
      <c r="N968" s="2" t="inlineStr">
        <is>
          <t>ข้อ 4 (PLE_CC1_2554 SET2.md)</t>
        </is>
      </c>
      <c r="O968" s="2" t="inlineStr">
        <is>
          <t>ข้อสอบจริง</t>
        </is>
      </c>
      <c r="P968" s="2" t="inlineStr">
        <is>
          <t>ปี 2554</t>
        </is>
      </c>
    </row>
    <row r="969" ht="13.2" customHeight="1" s="37">
      <c r="A969" s="8" t="inlineStr">
        <is>
          <t>990</t>
        </is>
      </c>
      <c r="B969" s="2" t="inlineStr">
        <is>
          <t>วิธีการเตรียมข้อใดถูกต้อง</t>
        </is>
      </c>
      <c r="C969" s="2" t="n"/>
      <c r="D969" s="2" t="inlineStr">
        <is>
          <t>ผสม Glycyrrhiza fluid extract, camphorated opium tincture, glycerin ให้เข้ากัน แล้วใส่ antimony potassium tartrate โดยละลาย antimony potassium tartrate ในนํ้าก่อน จึงปรับปริมาตร ด้วยนํ้า และผสมให้เข้ากัน</t>
        </is>
      </c>
      <c r="E969" s="2" t="inlineStr">
        <is>
          <t>ผสม antimony potassium tartrate, Glycyrrhiza fluid extract, camphorated opium tincture, glycerinให้เข้ากัน และปรับปริมาตรด้วยนํ้า ผสมให้เข้ากัน</t>
        </is>
      </c>
      <c r="F969" s="2" t="inlineStr">
        <is>
          <t>ผสม Glycyrrhiza fluid extract ในนํ้าทั้งหมด , เติม glycerin, camphorated opium tincture, antimony potassium tartrate</t>
        </is>
      </c>
      <c r="G969" s="2" t="inlineStr">
        <is>
          <t>ละลาย Glycyrrhiza fluid extract ใน glycerin, เติม antimony potassium tartrate, camphorated opium tincture และปรับปริมาตรด้วยนํ้า ผสมให้เข้ากัน</t>
        </is>
      </c>
      <c r="H969" s="2" t="inlineStr">
        <is>
          <t>ผสม camphorated opium tincture, antimony potassium tartrate ใน glycerin , เติม Glycyrrhiza fluid extract และปรับปริมาตรด้วยนํ้า ผสมให้เข้ากัน potassium tartrate โดยละลาย antimony potassium tartrate ในนํ้าก่อน จึงปรับปริมาตรด้วยนํ้า และผสมให้เข้ากัน เพิ่มเติม - antimony potassium tartrate เป็นของแข็ง ที่ละลายนํ้าได้ จึงต้องทำการละลายในนํ้าก่อน แล้วค่อยผสมในส่วนประกอบอื่น ซึ่งเป็นของเหลวที่ผสมด้วยกันได้เลย</t>
        </is>
      </c>
      <c r="I969" s="8" t="inlineStr">
        <is>
          <t>1</t>
        </is>
      </c>
      <c r="J969" s="2" t="inlineStr">
        <is>
          <t>✅ คำตอบที่ถูกต้อง: ข้อ ก. ผสม Glycyrrhiza fluid extract, camphorated opium tincture, glycerin ให้เข้ากัน แล้วใส่ antimony potassium tartrate โดยละลาย antimony potassium tartrate ในนํ้าก่อน จึงปรับปริมาตร ด้วยนํ้า และผสมให้เข้ากัน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ผสม Glycyrrhiza fluid extract, camphorated opium tincture, glycerin ให้เข้ากัน แล้วใส่ antimony potassium tartrate โดยละลาย antimony potassium tartrate ในนํ้าก่อน จึงปรับปริมาตร ด้วยนํ้า และผสมให้เข้ากัน การเลือก ผสม Glycyrrhiza fluid extract, camphorated opium tincture, glycerin ให้เข้ากัน แล้วใส่ antimony potassium tartrate โดยละลาย antimony potassium tartrate ในนํ้าก่อน จึงปรับปริมาตร ด้วยนํ้า และผสมให้เข้ากัน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(ผสม antimony potassium tartrate, Glycyrrhiza fluid extract, camphorated opium tincture, glycerinให้เข้ากัน และปรับปริมาตรด้วยนํ้า ผสมให้เข้ากัน): ข้อนี้ไม่ใช่คำตอบที่ถูกต้องสำหรับภาวะ General Therapeutics เนื่องจากกลไกการออกฤทธิ์, efficacy หรือข้อบ่งใช้ไม่ตรงกับโจทย์ที่กำหนด
• ข้อ ค. (ผสม Glycyrrhiza fluid extract ในนํ้าทั้งหมด , เติม glycerin, camphorated opium tincture, antimony potassium tartrate): ข้อนี้ไม่ใช่คำตอบที่ถูกต้องสำหรับภาวะ General Therapeutics เนื่องจากกลไกการออกฤทธิ์, efficacy หรือข้อบ่งใช้ไม่ตรงกับโจทย์ที่กำหนด
• ข้อ ง. (ละลาย Glycyrrhiza fluid extract ใน glycerin, เติม antimony potassium tartrate, camphorated opium tincture และปรับปริมาตรด้วยนํ้า ผสมให้เข้ากัน): ข้อนี้ไม่ใช่คำตอบที่ถูกต้องสำหรับภาวะ General Therapeutics เนื่องจากกลไกการออกฤทธิ์, efficacy หรือข้อบ่งใช้ไม่ตรงกับโจทย์ที่กำหนด
• ข้อ จ. (ผสม camphorated opium tincture, antimony potassium tartrate ใน glycerin , เติม Glycyrrhiza fluid extract และปรับปริมาตรด้วยนํ้า ผสมให้เข้ากัน potassium tartrate โดยละลาย antimony potassium tartrate ในนํ้าก่อน จึงปรับปริมาตรด้วยนํ้า และผสมให้เข้ากัน เพิ่มเติม - antimony potassium tartrate เป็นของแข็ง ที่ละลายนํ้าได้ จึงต้องทำการละลายในนํ้าก่อน แล้วค่อยผสมในส่วนประกอบอื่น ซึ่งเป็นของเหลวที่ผสมด้วยกันได้เลย):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9" s="2" t="n"/>
      <c r="L969" s="2" t="inlineStr">
        <is>
          <t>General Therapeutics</t>
        </is>
      </c>
      <c r="M969" s="2" t="inlineStr">
        <is>
          <t>Clinic</t>
        </is>
      </c>
      <c r="N969" s="2" t="inlineStr">
        <is>
          <t>ข้อ 5 (PLE_CC1_2554 SET2.md)</t>
        </is>
      </c>
      <c r="O969" s="2" t="inlineStr">
        <is>
          <t>ข้อสอบจริง</t>
        </is>
      </c>
      <c r="P969" s="2" t="inlineStr">
        <is>
          <t>ปี 2554</t>
        </is>
      </c>
    </row>
    <row r="970" ht="13.2" customHeight="1" s="37">
      <c r="A970" s="8" t="inlineStr">
        <is>
          <t>991</t>
        </is>
      </c>
      <c r="B970" s="2" t="inlineStr">
        <is>
          <t>ยาลดอาการปวดและลดการอักเสบของข้อ ที่เหมาะกับผู้ป่วยรายนี้ที่สุด คือ ?</t>
        </is>
      </c>
      <c r="C970" s="2" t="n"/>
      <c r="D970" s="2" t="inlineStr">
        <is>
          <t>paracetamol</t>
        </is>
      </c>
      <c r="E970" s="2" t="inlineStr">
        <is>
          <t>diclofenac</t>
        </is>
      </c>
      <c r="F970" s="2" t="inlineStr">
        <is>
          <t>indomethacin</t>
        </is>
      </c>
      <c r="G970" s="2" t="inlineStr">
        <is>
          <t>celecoxib</t>
        </is>
      </c>
      <c r="H970" s="2" t="inlineStr">
        <is>
          <t>methotrexate คือยากลุ่ม NSAIDs ซึ่งยาในกลุ่มนี้ได้แก่ ibuprofen, diclofenac, indomethacin, celecoxib เป็นต้น ะ indomethacin มีรายว่าทำให้เกิดอาการ ปวดหัว, มึนงง, สับสน และชักได้ในผู้สูงอายุเพราะยาสามารถผ่านเข้า CNS ได้ และ celecoxib มีหมู่ sulfonamide ในโครงสร้าง ซึ่งผู้ป่วยมีประวัติแพ้ยา sulfonamide จึงอาจเกิดการแพ้ข้ามกลุ่มได้</t>
        </is>
      </c>
      <c r="I970" s="8" t="inlineStr">
        <is>
          <t>2</t>
        </is>
      </c>
      <c r="J970" s="2" t="inlineStr">
        <is>
          <t>✅ คำตอบที่ถูกต้อง: ข้อ ข. diclofenac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diclofenac โดยยาในกลุ่มนี้ที่เหมาะสมกับผู้ป่วยรายนี้ที่สุดคือ diclofenac ที่ไม่เลือก indomethacin และ celecoxib เพรา
🔍 ข้ออื่นผิดเพราะอะไร:
• ข้อ ก.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ค. (indomethacin): เป็น potent non-selective NSAID มี anti-inflammatory efficacy สูงมากใน acute gout flare แต่มี ADRs เด่นทาง GI toxicity และ CNS (ปวดศีรษะ มึนงง)
• ข้อ ง. (celecoxib): เป็น selective COX-2 inhibitor มี GI safety profile ดีกว่า non-selective NSAIDs แต่มี cardiovascular risk เพิ่มขึ้น และ contraindication ในผู้ป่วย post-CABG หรือ sulfonamide allergy
• ข้อ จ. (methotrexate คือยากลุ่ม NSAIDs ซึ่งยาในกลุ่มนี้ได้แก่ ibuprofen, diclofenac, indomethacin, celecoxib เป็นต้น ะ indomethacin มีรายว่าทำให้เกิดอาการ ปวดหัว, มึนงง, สับสน และชักได้ในผู้สูงอายุเพราะยาสามารถผ่านเข้า CNS ได้ และ celecoxib มีหมู่ sulfonamide ในโครงสร้าง ซึ่งผู้ป่วยมีประวัติแพ้ยา sulfonamide จึงอาจเกิดการแพ้ข้ามกลุ่มได้):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0" s="2" t="n"/>
      <c r="L970" s="2" t="inlineStr">
        <is>
          <t>General Therapeutics</t>
        </is>
      </c>
      <c r="M970" s="2" t="inlineStr">
        <is>
          <t>Clinic</t>
        </is>
      </c>
      <c r="N970" s="2" t="inlineStr">
        <is>
          <t>ข้อ 1 (PLE_CC1_2554 SET2.md)</t>
        </is>
      </c>
      <c r="O970" s="2" t="inlineStr">
        <is>
          <t>ข้อสอบจริง</t>
        </is>
      </c>
      <c r="P970" s="2" t="inlineStr">
        <is>
          <t>ปี 2554</t>
        </is>
      </c>
    </row>
    <row r="971" ht="13.2" customHeight="1" s="37">
      <c r="A971" s="8" t="inlineStr">
        <is>
          <t>992</t>
        </is>
      </c>
      <c r="B971" s="2" t="inlineStr">
        <is>
          <t>ถ้าใช้ยากลุ่ม NSAIDs แล้วไม่สามารถลดอาการปวดและลดการอักเสบของข้อได้ ผู้ป่วยรายนี้ควรได้รับการเปลี่ยนยาเป็นอะไร จึงจะเหมาะสมที่สุด ?</t>
        </is>
      </c>
      <c r="C971" s="2" t="n"/>
      <c r="D971" s="2" t="inlineStr">
        <is>
          <t>prednisolone</t>
        </is>
      </c>
      <c r="E971" s="2" t="inlineStr">
        <is>
          <t>ibuprofen</t>
        </is>
      </c>
      <c r="F971" s="2" t="inlineStr">
        <is>
          <t>glucosamine</t>
        </is>
      </c>
      <c r="G971" s="2" t="inlineStr">
        <is>
          <t>allopurinol</t>
        </is>
      </c>
      <c r="H971" s="2" t="inlineStr">
        <is>
          <t>colchicine ควรเปลี่ยนมาใช้ยากลุ่ม steroid ซึ่งมีประสิทธิภาพในการลดปวดและลดการอักเสบได้ดี โดยมักเลือกใช้ขนาดยาตํ่าๆ ที่สามารถบรรเทาอาการปวดและลดการอักเสบได้ (prednisolone &lt; 10 mg/day)</t>
        </is>
      </c>
      <c r="I971" s="8" t="inlineStr">
        <is>
          <t>1</t>
        </is>
      </c>
      <c r="J971" s="2" t="inlineStr">
        <is>
          <t>✅ คำตอบที่ถูกต้อง: ข้อ ก. prednisolone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prednisolone การเลือก prednisolone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(glucosamine): เป็นเพียง dietary supplement / symptom-modifying therapy สำหรับ OA ไม่ได้จัดเป็น disease-modifying agent และ CPG สากล (ACR) ไม่แนะนำให้ใช้เป็น first-line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จ. (colchicine ควรเปลี่ยนมาใช้ยากลุ่ม steroid ซึ่งมีประสิทธิภาพในการลดปวดและลดการอักเสบได้ดี โดยมักเลือกใช้ขนาดยาตํ่าๆ ที่สามารถบรรเทาอาการปวดและลดการอักเสบได้ (prednisolone &lt; 10 mg/day)): ยับยั้ง microtubule polymerization และ neutrophil chemotaxis เป็น first-line ใน acute gout flare และ flare prophylaxis แต่มี ADR เด่นทาง GI (ท้องเสีย คลื่นไส้)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971" s="2" t="n"/>
      <c r="L971" s="2" t="inlineStr">
        <is>
          <t>Musculoskeletal &amp; Joint</t>
        </is>
      </c>
      <c r="M971" s="2" t="inlineStr">
        <is>
          <t>Clinic</t>
        </is>
      </c>
      <c r="N971" s="2" t="inlineStr">
        <is>
          <t>ข้อ 2 (PLE_CC1_2554 SET2.md)</t>
        </is>
      </c>
      <c r="O971" s="2" t="inlineStr">
        <is>
          <t>ข้อสอบจริง</t>
        </is>
      </c>
      <c r="P971" s="2" t="inlineStr">
        <is>
          <t>ปี 2554</t>
        </is>
      </c>
    </row>
    <row r="972" ht="13.2" customHeight="1" s="37">
      <c r="A972" s="8" t="inlineStr">
        <is>
          <t>993</t>
        </is>
      </c>
      <c r="B972" s="2" t="inlineStr">
        <is>
          <t>ยาใดที่สามารถช่วยชะลอการเกิดภาวะข้อกระดูกเสื่อมในผู้ป่วยรายนี้ได้?</t>
        </is>
      </c>
      <c r="C972" s="2" t="n"/>
      <c r="D972" s="2" t="inlineStr">
        <is>
          <t>glucosamine</t>
        </is>
      </c>
      <c r="E972" s="2" t="inlineStr">
        <is>
          <t>methotrexate</t>
        </is>
      </c>
      <c r="F972" s="2" t="inlineStr">
        <is>
          <t>allopurinol</t>
        </is>
      </c>
      <c r="G972" s="2" t="inlineStr">
        <is>
          <t>ถูกเฉพาะข้อ ก.และ ข.</t>
        </is>
      </c>
      <c r="H972" s="2" t="inlineStr">
        <is>
          <t>ถูกทุกข้อ ลดการเสียดสีของกระดูกช่วยในเรื่องบรรเทาอาการปวด และการเสื่อของข้อ methotrexate เป็นยาในกลุ่ม DMARDs โดยจะไปกดการทำงานของภูมิคุ้มกันไม่ให้เกิด การทำลายของข้อ จึงช่วยชะลอการเสื่อมของข้อได้</t>
        </is>
      </c>
      <c r="I972" s="8" t="inlineStr">
        <is>
          <t>4</t>
        </is>
      </c>
      <c r="J972" s="2" t="inlineStr">
        <is>
          <t>✅ คำตอบที่ถูกต้อง: ข้อ ง. ถูกเฉพาะข้อ ก.และ ข.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ถูกเฉพาะข้อ ก.และ ข. การเลือก ถูกเฉพาะข้อ ก.และ ข.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(glucosamine): เป็นเพียง dietary supplement / symptom-modifying therapy สำหรับ OA ไม่ได้จัดเป็น disease-modifying agent และ CPG สากล (ACR) ไม่แนะนำให้ใช้เป็น first-line
• ข้อ ข. (methotrexate): เป็น anchor csDMARD สำหรับ Rheumatoid arthritis ยับยั้ง dihydrofolate reductase ต้องให้ Folic acid เสริม และห้ามใช้ในหญิงตั้งครรภ์ (contraindication / teratogenic)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จ. (ถูกทุกข้อ ลดการเสียดสีของกระดูกช่วยในเรื่องบรรเทาอาการปวด และการเสื่อของข้อ methotrexate เป็นยาในกลุ่ม DMARDs โดยจะไปกดการทำงานของภูมิคุ้มกันไม่ให้เกิด การทำลายของข้อ จึงช่วยชะลอการเสื่อมของข้อได้): เป็น anchor csDMARD สำหรับ Rheumatoid arthritis ยับยั้ง dihydrofolate reductase ต้องให้ Folic acid เสริม และห้ามใช้ในหญิงตั้งครรภ์ (contraindication / teratogenic)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2" s="2" t="n"/>
      <c r="L972" s="2" t="inlineStr">
        <is>
          <t>General Therapeutics</t>
        </is>
      </c>
      <c r="M972" s="2" t="inlineStr">
        <is>
          <t>Clinic</t>
        </is>
      </c>
      <c r="N972" s="2" t="inlineStr">
        <is>
          <t>ข้อ 3 (PLE_CC1_2554 SET2.md)</t>
        </is>
      </c>
      <c r="O972" s="2" t="inlineStr">
        <is>
          <t>ข้อสอบจริง</t>
        </is>
      </c>
      <c r="P972" s="2" t="inlineStr">
        <is>
          <t>ปี 2554</t>
        </is>
      </c>
    </row>
    <row r="973" ht="13.2" customHeight="1" s="37">
      <c r="A973" s="8" t="inlineStr">
        <is>
          <t>994</t>
        </is>
      </c>
      <c r="B973" s="2" t="inlineStr">
        <is>
          <t>จากโครงสร้างที่ปรากฏเป็นโครงสร้างของยาใด ?</t>
        </is>
      </c>
      <c r="C973" s="2" t="n"/>
      <c r="D973" s="2" t="inlineStr">
        <is>
          <t>glipizide</t>
        </is>
      </c>
      <c r="E973" s="2" t="inlineStr">
        <is>
          <t>sulindac</t>
        </is>
      </c>
      <c r="F973" s="2" t="inlineStr">
        <is>
          <t>tramadol</t>
        </is>
      </c>
      <c r="G973" s="2" t="inlineStr">
        <is>
          <t>sulfasalazine</t>
        </is>
      </c>
      <c r="H973" s="2" t="inlineStr">
        <is>
          <t>celecoxib cox 2 inhibitors ซึ่งในโครงสร้างจะมีหมู่ sulfonamide</t>
        </is>
      </c>
      <c r="I973" s="8" t="inlineStr">
        <is>
          <t>5</t>
        </is>
      </c>
      <c r="J973" s="2" t="inlineStr">
        <is>
          <t>✅ คำตอบที่ถูกต้อง: ข้อ จ. celecoxib cox 2 inhibitors ซึ่งในโครงสร้างจะมีหมู่ sulfonamide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celecoxib cox 2 inhibitors ซึ่งในโครงสร้างจะมีหมู่ sulfonamide การเลือก celecoxib cox 2 inhibitors ซึ่งในโครงสร้างจะมีหมู่ sulfonamide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ก. (glipizide): เป็น Second-generation Sulfonylurea กระตุ้น insulin secretion เสี่ยงต่อ hypoglycemia และ weight gain ขับออกทางตับเด่นกว่า glibenclamide จึงปลอดภัยกว่าในผู้สูงอายุ/CKD
• ข้อ ข. (sulindac): ข้อนี้ไม่ใช่คำตอบที่ถูกต้องสำหรับภาวะ General Therapeutics เนื่องจากกลไกการออกฤทธิ์, efficacy หรือข้อบ่งใช้ไม่ตรงกับโจทย์ที่กำหนด
• ข้อ ค. (tramadol): เป็น weak mu-opioid agonist และ SNRI เป็นเพียง second-line / add-on สำหรับ pain relief ไม่มีฤทธิ์ลดการอักเสบ (no anti-inflammatory efficacy) และเสี่ยงต่อ serotonin syndrome และชัก
• ข้อ ง. (sulfasalazine): เป็น csDMARD สำหรับ RA และ peripheral spondyloarthritis ปลอดภัยในหญิงตั้งครรภ์ แต่ contraindication ในผู้ที่แพ้ sulfa หรือ G6PD deficiency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973" s="2" t="n"/>
      <c r="L973" s="2" t="inlineStr">
        <is>
          <t>General Therapeutics</t>
        </is>
      </c>
      <c r="M973" s="2" t="inlineStr">
        <is>
          <t>Clinic</t>
        </is>
      </c>
      <c r="N973" s="2" t="inlineStr">
        <is>
          <t>ข้อ 5 (PLE_CC1_2554 SET2.md)</t>
        </is>
      </c>
      <c r="O973" s="2" t="inlineStr">
        <is>
          <t>ข้อสอบจริง</t>
        </is>
      </c>
      <c r="P973" s="2" t="inlineStr">
        <is>
          <t>ปี 2554</t>
        </is>
      </c>
    </row>
    <row r="974" ht="13.2" customHeight="1" s="37">
      <c r="A974" s="8" t="inlineStr">
        <is>
          <t>995</t>
        </is>
      </c>
      <c r="B974" s="2" t="inlineStr">
        <is>
          <t>ผู้หญิงคนนี้ ป่วยเป็นโรคใด</t>
        </is>
      </c>
      <c r="C974" s="2" t="n"/>
      <c r="D974" s="2" t="inlineStr">
        <is>
          <t>Bacterial conjunctivitis</t>
        </is>
      </c>
      <c r="E974" s="2" t="inlineStr">
        <is>
          <t>Viral conjunctivitis</t>
        </is>
      </c>
      <c r="F974" s="2" t="inlineStr">
        <is>
          <t>Allergic conjunctivitis</t>
        </is>
      </c>
      <c r="G974" s="2" t="inlineStr">
        <is>
          <t>Hordeolum (ตากุ้งยิง)</t>
        </is>
      </c>
      <c r="H974" s="2" t="inlineStr">
        <is>
          <t>Injeries ตาแดง นํ้าตาไหล มักเป็นกับตาทั้งสองข้าง ไม่มีขี้ตา มองเห็นภาพชัดเจน อาการมักเป็นตามฤดูกาล (ref: หนังสือ survival guideline on pharmacotherapy Rx30 care&amp; Rx31 science,Pharmacy, PSU)</t>
        </is>
      </c>
      <c r="I974" s="8" t="inlineStr">
        <is>
          <t>3</t>
        </is>
      </c>
      <c r="J974" s="2" t="inlineStr">
        <is>
          <t>✅ คำตอบที่ถูกต้อง: ข้อ ค. Allergic conjunctivitis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Allergic conjunctivitis การเลือก Allergic conjunctivitis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(Bacterial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ข. (Viral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ง. (Hordeolum (ตากุ้งยิง)): ข้อนี้ไม่ใช่คำตอบที่ถูกต้องสำหรับภาวะ General Therapeutics เนื่องจากกลไกการออกฤทธิ์, efficacy หรือข้อบ่งใช้ไม่ตรงกับโจทย์ที่กำหนด
• ข้อ จ. (Injeries ตาแดง นํ้าตาไหล มักเป็นกับตาทั้งสองข้าง ไม่มีขี้ตา มองเห็นภาพชัดเจน อาการมักเป็นตามฤดูกาล (ref: หนังสือ survival guideline on pharmacotherapy Rx30 care&amp; Rx31 science,Pharmacy, PSU)): วัคซีนไข้สมองอักเสบเจอี ชนิดเชื้อเป็น (Live attenuated CD.JEV) ให้ 2 เข็ม ที่อายุ 9-12 เดือน และเข็ม 2 ห่างกัน 3-12 เดือน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4" s="2" t="n"/>
      <c r="L974" s="2" t="inlineStr">
        <is>
          <t>General Therapeutics</t>
        </is>
      </c>
      <c r="M974" s="2" t="inlineStr">
        <is>
          <t>Clinic</t>
        </is>
      </c>
      <c r="N974" s="2" t="inlineStr">
        <is>
          <t>ข้อ 1 (PLE_CC1_2554 SET2.md)</t>
        </is>
      </c>
      <c r="O974" s="2" t="inlineStr">
        <is>
          <t>ข้อสอบจริง</t>
        </is>
      </c>
      <c r="P974" s="2" t="inlineStr">
        <is>
          <t>ปี 2554</t>
        </is>
      </c>
    </row>
    <row r="975" ht="13.2" customHeight="1" s="37">
      <c r="A975" s="8" t="inlineStr">
        <is>
          <t>996</t>
        </is>
      </c>
      <c r="B975" s="2" t="inlineStr">
        <is>
          <t>ถ้าผู้หญิงคนนี้ใส่ contact lens ท่านจะแนะนำอย่างไร</t>
        </is>
      </c>
      <c r="C975" s="2" t="n"/>
      <c r="D975" s="2" t="inlineStr">
        <is>
          <t>ใส่ต่อไปตามปกติ</t>
        </is>
      </c>
      <c r="E975" s="2" t="inlineStr">
        <is>
          <t>ให้เปลี่ยนเป็นใส่วันเว้นวัน</t>
        </is>
      </c>
      <c r="F975" s="2" t="inlineStr">
        <is>
          <t>ให้ใส่ได้ แต่ควรหยอดตาบ่อยกว่าปกติควร</t>
        </is>
      </c>
      <c r="G975" s="2" t="inlineStr">
        <is>
          <t>หยุดใส่ contact lens จนกว่าอาการจะหาย</t>
        </is>
      </c>
      <c r="H975" s="2" t="inlineStr">
        <is>
          <t>จำไม่ได้ อ.ณัฐธิดา )</t>
        </is>
      </c>
      <c r="I975" s="8" t="inlineStr">
        <is>
          <t>4</t>
        </is>
      </c>
      <c r="J975" s="2" t="inlineStr">
        <is>
          <t>✅ คำตอบที่ถูกต้อง: ข้อ ง. หยุดใส่ contact lens จนกว่าอาการจะหาย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หยุดใส่ contact lens จนกว่าอาการจะหาย การเลือก หยุดใส่ contact lens จนกว่าอาการจะหาย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(ใส่ต่อไปตามปกติ): ข้อนี้ไม่ใช่คำตอบที่ถูกต้องสำหรับภาวะ General Therapeutics เนื่องจากกลไกการออกฤทธิ์, efficacy หรือข้อบ่งใช้ไม่ตรงกับโจทย์ที่กำหนด
• ข้อ ข. (ให้เปลี่ยนเป็นใส่วันเว้นวัน): ข้อนี้ไม่ใช่คำตอบที่ถูกต้องสำหรับภาวะ General Therapeutics เนื่องจากกลไกการออกฤทธิ์, efficacy หรือข้อบ่งใช้ไม่ตรงกับโจทย์ที่กำหนด
• ข้อ ค. (ให้ใส่ได้ แต่ควรหยอดตาบ่อยกว่าปกติควร): ข้อนี้ไม่ใช่คำตอบที่ถูกต้องสำหรับภาวะ General Therapeutics เนื่องจากกลไกการออกฤทธิ์, efficacy หรือข้อบ่งใช้ไม่ตรงกับโจทย์ที่กำหนด
• ข้อ จ. (จำไม่ได้ อ.ณัฐธิดา )):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5" s="2" t="n"/>
      <c r="L975" s="2" t="inlineStr">
        <is>
          <t>General Therapeutics</t>
        </is>
      </c>
      <c r="M975" s="2" t="inlineStr">
        <is>
          <t>Clinic</t>
        </is>
      </c>
      <c r="N975" s="2" t="inlineStr">
        <is>
          <t>ข้อ 5 (PLE_CC1_2554 SET2.md)</t>
        </is>
      </c>
      <c r="O975" s="2" t="inlineStr">
        <is>
          <t>ข้อสอบจริง</t>
        </is>
      </c>
      <c r="P975" s="2" t="inlineStr">
        <is>
          <t>ปี 2554</t>
        </is>
      </c>
    </row>
    <row r="976" ht="13.2" customHeight="1" s="37">
      <c r="A976" s="8" t="inlineStr">
        <is>
          <t>997</t>
        </is>
      </c>
      <c r="B976" s="2" t="inlineStr">
        <is>
          <t>ข้อใดต่อไปนี้ ที่ไม่ถูกต้องเกี่ยวกับการวินิจฉัยโรคข้างต้น</t>
        </is>
      </c>
      <c r="C976" s="2" t="n"/>
      <c r="D976" s="2" t="inlineStr">
        <is>
          <t>มีอาการไอเรื้อรัง</t>
        </is>
      </c>
      <c r="E976" s="2" t="inlineStr">
        <is>
          <t>มีประวัติการสูบบุหรี่</t>
        </is>
      </c>
      <c r="F976" s="2" t="inlineStr">
        <is>
          <t>ใช้ GOLD guideline ในการประเมินความรุนแรง</t>
        </is>
      </c>
      <c r="G976" s="2" t="inlineStr">
        <is>
          <t>มีการตอบสนองภายหลังการใช้ยาขยายหลอดลม น้อยกว่า ร้อยละ 12</t>
        </is>
      </c>
      <c r="H976" s="2" t="inlineStr">
        <is>
          <t>หลังการใช้ยาขยายหลอดลม จะมีค่า FEV1/FVC เพิ่มขึ้น ซึ่งจะสามารถบอกระดับความรุนแรงของอาการได้ ไม่ได้พิจารณาว่า ค่า FEV1/FVC จะเพิ่มขึ้นหรือไม่หลังจากการได้รับยาขยายหลอดลม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และควรทำการตรวจยืนยันสมรรถภาพปอด (spirometry) เพื่อยืนยันการวินิจฉัยต่อไป เกณฑ์การวินิจฉัยโรค - อาการหอบเหนื่อย (Dsypnea) ซึ่งเป็นอาการที่มีอยู่ตลอดเวลา เป็นมากขึ้นเรื่อยๆ เมื่อเวลาผ่านไป 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การตรวจนี้สามารถใช้วินิจฉัยโรคได้ตั้งแต่ระยะไม่มีอาการ จะพบว่าค่า FEV1/FVC ratio หลังให้ยาขยายหลอดลมน้อยกว่าร้อยละ 70 (0.7) Ref : GOLD guideline 2014</t>
        </is>
      </c>
      <c r="I976" s="8" t="inlineStr">
        <is>
          <t>5</t>
        </is>
      </c>
      <c r="J976" s="2" t="inlineStr">
        <is>
          <t>✅ คำตอบที่ถูกต้อง: ข้อ จ. หลังการใช้ยาขยายหลอดลม จะมีค่า FEV1/FVC เพิ่มขึ้น ซึ่งจะสามารถบอกระดับความรุนแรงของอาการได้ ไม่ได้พิจารณาว่า ค่า FEV1/FVC จะเพิ่มขึ้นหรือไม่หลังจากการได้รับยาขยายหลอดลม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และควรทำการตรวจยืนยันสมรรถภาพปอด (spirometry) เพื่อยืนยันการวินิจฉัยต่อไป เกณฑ์การวินิจฉัยโรค - อาการหอบเหนื่อย (Dsypnea) ซึ่งเป็นอาการที่มีอยู่ตลอดเวลา เป็นมากขึ้นเรื่อยๆ เมื่อเวลาผ่านไป 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การตรวจนี้สามารถใช้วินิจฉัยโรคได้ตั้งแต่ระยะไม่มีอาการ จะพบว่าค่า FEV1/FVC ratio หลังให้ยาขยายหลอดลมน้อยกว่าร้อยละ 70 (0.7) Ref : GOLD guideline 2014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หลังการใช้ยาขยายหลอดลม จะมีค่า FEV1/FVC เพิ่มขึ้น ซึ่งจะสามารถบอกระดับความรุนแรงของอาการได้ ไม่ได้พิจารณาว่า ค่า FEV1/FVC จะเพิ่มขึ้นหรือไม่หลังจากการได้รับยาขยายหลอดลม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และควรทำการตรวจยืนยันสมรรถภาพปอด (spirometry) เพื่อยืนยันการวินิจฉัยต่อไป เกณฑ์การวินิจฉัยโรค - อาการหอบเหนื่อย (Dsypnea) ซึ่งเป็นอาการที่มีอยู่ตลอดเวลา เป็นมากขึ้นเรื่อยๆ เมื่อเวลาผ่านไป 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การตรวจนี้สามารถใช้วินิจฉัยโรคได้ตั้งแต่ระยะไม่มีอาการ จะพบว่าค่า FEV1/FVC ratio หลังให้ยาขยายหลอดลมน้อยกว่าร้อยละ 70 (0.7) Ref : GOLD guideline 2014 การเลือก หลังการใช้ยาขยายหลอดลม จะมีค่า FEV1/FVC เพิ่มขึ้น ซึ่งจะสามารถบอกระดับความรุนแรงของอาการได้ ไม่ได้พิจารณาว่า ค่า FEV1/FVC จะเพิ่มขึ้นหรือไม่หลังจากการได้รับยาขยายหลอดลม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และควรทำการตรวจยืนยันสมรรถภาพปอด (spirometry) เพื่อยืนยันการวินิจฉัยต่อไป เกณฑ์การวินิจฉัยโรค - อาการหอบเหนื่อย (Dsypnea) ซึ่งเป็นอาการที่มีอยู่ตลอดเวลา เป็นมากขึ้นเรื่อยๆ เมื่อเวลาผ่านไป 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การตรวจนี้สามารถใช้วินิจฉัยโรคได้ตั้งแต่ระยะไม่มีอาการ จะพบว่าค่า FEV1/FVC ratio หลังให้ยาขยายหลอดลมน้อยกว่าร้อยละ 70 (0.7) Ref : GOLD guideline 2014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(มีอาการไอเรื้อรัง): ข้อนี้ไม่ใช่คำตอบที่ถูกต้องสำหรับภาวะ General Therapeutics เนื่องจากกลไกการออกฤทธิ์, efficacy หรือข้อบ่งใช้ไม่ตรงกับโจทย์ที่กำหนด
• ข้อ ข. (มีประวัติการสูบบุหรี่): ข้อนี้ไม่ใช่คำตอบที่ถูกต้องสำหรับภาวะ General Therapeutics เนื่องจากกลไกการออกฤทธิ์, efficacy หรือข้อบ่งใช้ไม่ตรงกับโจทย์ที่กำหนด
• ข้อ ค. (ใช้ GOLD guideline ในการประเมินความรุนแรง): ข้อนี้ไม่ใช่คำตอบที่ถูกต้องสำหรับภาวะ General Therapeutics เนื่องจากกลไกการออกฤทธิ์, efficacy หรือข้อบ่งใช้ไม่ตรงกับโจทย์ที่กำหนด
• ข้อ ง. (มีการตอบสนองภายหลังการใช้ยาขยายหลอดลม น้อยกว่า ร้อยละ 12):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6" s="2" t="n"/>
      <c r="L976" s="2" t="inlineStr">
        <is>
          <t>General Therapeutics</t>
        </is>
      </c>
      <c r="M976" s="2" t="inlineStr">
        <is>
          <t>Clinic</t>
        </is>
      </c>
      <c r="N976" s="2" t="inlineStr">
        <is>
          <t>ข้อ 11 (PLE_CC1_2554 SET2.md)</t>
        </is>
      </c>
      <c r="O976" s="2" t="inlineStr">
        <is>
          <t>ข้อสอบจริง</t>
        </is>
      </c>
      <c r="P976" s="2" t="inlineStr">
        <is>
          <t>ปี 2554</t>
        </is>
      </c>
    </row>
    <row r="977" ht="13.2" customHeight="1" s="37">
      <c r="A977" s="8" t="inlineStr">
        <is>
          <t>998</t>
        </is>
      </c>
      <c r="B977" s="2" t="inlineStr">
        <is>
          <t>ข้อใดคือผลข้างเคียงที่พบได้บ่อยจากยา acarbose</t>
        </is>
      </c>
      <c r="C977" s="2" t="n"/>
      <c r="D977" s="2" t="inlineStr">
        <is>
          <t>flatulence</t>
        </is>
      </c>
      <c r="E977" s="2" t="inlineStr">
        <is>
          <t>liver toxic</t>
        </is>
      </c>
      <c r="F977" s="2" t="inlineStr">
        <is>
          <t>renal toxic</t>
        </is>
      </c>
      <c r="G977" s="2" t="inlineStr">
        <is>
          <t>constipation</t>
        </is>
      </c>
      <c r="H977" s="2" t="inlineStr">
        <is>
          <t>GERDs glucosidase inhibitors ออกฤทธิ์โดยการยับยั้งการทำงานของเอนไซม์ที่ทำหน้าที่ย่อยคาร์โบไฮเดรตให้กลายเ ป็นกลูโคสในลำไส้เล็ก ผลข้างเคียงที่พบได้บ่อยจากยา acarbose คือ ท้องอืด ปวดท้อง มวนท้อง ผายลม เนื่องจากคาร์โบไฮเดรตที่ไม่ถูกย่อยและค้างในทางเดินอาหารจะถูกย่อยโดยแบคทีเรียประจำถิ่นในลำไส้ที่ ทำให้เกิดแก๊สขึ้น</t>
        </is>
      </c>
      <c r="I977" s="8" t="inlineStr">
        <is>
          <t>1</t>
        </is>
      </c>
      <c r="J977" s="2" t="inlineStr">
        <is>
          <t>✅ คำตอบที่ถูกต้อง: ข้อ ก. flatulence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flatulence การเลือก flatulence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(liver toxic): ข้อนี้ไม่ใช่คำตอบที่ถูกต้องสำหรับภาวะ General Therapeutics เนื่องจากกลไกการออกฤทธิ์, efficacy หรือข้อบ่งใช้ไม่ตรงกับโจทย์ที่กำหนด
• ข้อ ค. (renal toxic): ข้อนี้ไม่ใช่คำตอบที่ถูกต้องสำหรับภาวะ General Therapeutics เนื่องจากกลไกการออกฤทธิ์, efficacy หรือข้อบ่งใช้ไม่ตรงกับโจทย์ที่กำหนด
• ข้อ ง. (constipation): ข้อนี้ไม่ใช่คำตอบที่ถูกต้องสำหรับภาวะ General Therapeutics เนื่องจากกลไกการออกฤทธิ์, efficacy หรือข้อบ่งใช้ไม่ตรงกับโจทย์ที่กำหนด
• ข้อ จ. (GERDs glucosidase inhibitors ออกฤทธิ์โดยการยับยั้งการทำงานของเอนไซม์ที่ทำหน้าที่ย่อยคาร์โบไฮเดรตให้กลายเ ป็นกลูโคสในลำไส้เล็ก ผลข้างเคียงที่พบได้บ่อยจากยา acarbose คือ ท้องอืด ปวดท้อง มวนท้อง ผายลม เนื่องจากคาร์โบไฮเดรตที่ไม่ถูกย่อยและค้างในทางเดินอาหารจะถูกย่อยโดยแบคทีเรียประจำถิ่นในลำไส้ที่ ทำให้เกิดแก๊สขึ้น):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7" s="2" t="n"/>
      <c r="L977" s="2" t="inlineStr">
        <is>
          <t>General Therapeutics</t>
        </is>
      </c>
      <c r="M977" s="2" t="inlineStr">
        <is>
          <t>Clinic</t>
        </is>
      </c>
      <c r="N977" s="2" t="inlineStr">
        <is>
          <t>ข้อ 21 (PLE_CC1_2554 SET2.md)</t>
        </is>
      </c>
      <c r="O977" s="2" t="inlineStr">
        <is>
          <t>ข้อสอบจริง</t>
        </is>
      </c>
      <c r="P977" s="2" t="inlineStr">
        <is>
          <t>ปี 2554</t>
        </is>
      </c>
    </row>
    <row r="978" ht="13.2" customHeight="1" s="37">
      <c r="A978" s="8" t="inlineStr">
        <is>
          <t>999</t>
        </is>
      </c>
      <c r="B978" s="2" t="inlineStr">
        <is>
          <t>ต่อมาพบว่า FBS= 200 mg/dL ท่านจะแนะนำ ให้แพทย์จ่ายยาตัวใด</t>
        </is>
      </c>
      <c r="C978" s="2" t="n"/>
      <c r="D978" s="2" t="inlineStr">
        <is>
          <t>glibenclamide</t>
        </is>
      </c>
      <c r="E978" s="2" t="inlineStr">
        <is>
          <t>glicazide</t>
        </is>
      </c>
      <c r="F978" s="2" t="inlineStr">
        <is>
          <t>metformin</t>
        </is>
      </c>
      <c r="G978" s="2" t="inlineStr">
        <is>
          <t>volgibose</t>
        </is>
      </c>
      <c r="H978" s="2" t="inlineStr">
        <is>
          <t>regular insulin กลุ่ม sulfa จึงไม่สามารถใช้ยา glibenclamide, glicazide ได้ 23.ข้อใดคือผลข้างเคียงสำคัญของ metformin</t>
        </is>
      </c>
      <c r="I978" s="8" t="inlineStr">
        <is>
          <t>1</t>
        </is>
      </c>
      <c r="J978" s="2" t="inlineStr">
        <is>
          <t>✅ คำตอบที่ถูกต้อง: ข้อ ก. glibenclamide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glibenclamide 34.ต่อมาผู้ป่วยได้ใช้ยาลูกกลอนที่มีส่วนผสมของยาสเตียรอยด์ แล้วหยุดยาลง ปรากฏว่ามีผื่นขึ้นมากกว่าเดิม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(glicazide): ข้อนี้ไม่ใช่คำตอบที่ถูกต้องสำหรับภาวะ General Therapeutics เนื่องจากกลไกการออกฤทธิ์, efficacy หรือข้อบ่งใช้ไม่ตรงกับโจทย์ที่กำหนด
• ข้อ ค.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(volgibose): ข้อนี้ไม่ใช่คำตอบที่ถูกต้องสำหรับภาวะ General Therapeutics เนื่องจากกลไกการออกฤทธิ์, efficacy หรือข้อบ่งใช้ไม่ตรงกับโจทย์ที่กำหนด
• ข้อ จ. (regular insulin กลุ่ม sulfa จึงไม่สามารถใช้ยา glibenclamide, glicazide ได้ 23.ข้อใดคือผลข้างเคียงสำคัญของ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78" s="2" t="n"/>
      <c r="L978" s="2" t="inlineStr">
        <is>
          <t>General Therapeutics</t>
        </is>
      </c>
      <c r="M978" s="2" t="inlineStr">
        <is>
          <t>Clinic</t>
        </is>
      </c>
      <c r="N978" s="2" t="inlineStr">
        <is>
          <t>ข้อ 22 (PLE_CC1_2554 SET2.md)</t>
        </is>
      </c>
      <c r="O978" s="2" t="inlineStr">
        <is>
          <t>ข้อสอบจริง</t>
        </is>
      </c>
      <c r="P978" s="2" t="inlineStr">
        <is>
          <t>ปี 2554</t>
        </is>
      </c>
    </row>
    <row r="979" ht="13.2" customHeight="1" s="37">
      <c r="A979" s="8" t="inlineStr">
        <is>
          <t>1000</t>
        </is>
      </c>
      <c r="B979" s="2" t="inlineStr">
        <is>
          <t>เปรียบเทียบค่าเฉลี่ย(เชิงปริมาณ)</t>
        </is>
      </c>
      <c r="C979" s="2" t="n"/>
      <c r="D979" s="2" t="inlineStr">
        <is>
          <t>N-acetylcysteine (NAC) IV infusion protocol</t>
        </is>
      </c>
      <c r="E979" s="2" t="inlineStr">
        <is>
          <t>Atropine sulfate 2 mg IV Q5-10 min</t>
        </is>
      </c>
      <c r="F979" s="2" t="inlineStr">
        <is>
          <t>Pralidoxime (2-PAM) 1-2 g IV over 30 min</t>
        </is>
      </c>
      <c r="G979" s="2" t="inlineStr">
        <is>
          <t>Naloxone 0.4 mg IV stat</t>
        </is>
      </c>
      <c r="H979" s="2" t="inlineStr">
        <is>
          <t>Flumazenil 0.2 mg IV stat</t>
        </is>
      </c>
      <c r="I979" s="8" t="inlineStr">
        <is>
          <t>1</t>
        </is>
      </c>
      <c r="J9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79" s="2" t="n"/>
      <c r="L979" s="2" t="inlineStr">
        <is>
          <t>General Therapeutics</t>
        </is>
      </c>
      <c r="M979" s="2" t="inlineStr">
        <is>
          <t>Clinic</t>
        </is>
      </c>
      <c r="N979" s="2" t="inlineStr">
        <is>
          <t>ข้อ 1 (PLE_CC1_2554 SET2.md)</t>
        </is>
      </c>
      <c r="O979" s="2" t="inlineStr">
        <is>
          <t>ข้อสอบจริง</t>
        </is>
      </c>
      <c r="P979" s="2" t="inlineStr">
        <is>
          <t>ปี 2554</t>
        </is>
      </c>
    </row>
    <row r="980" ht="13.2" customHeight="1" s="37">
      <c r="A980" s="8" t="inlineStr">
        <is>
          <t>1001</t>
        </is>
      </c>
      <c r="B980" s="2" t="inlineStr">
        <is>
          <t>ยาในข้อใดมีฤทธิ์ยับยั้งการทำงานของ CYP450 มากที่สุด</t>
        </is>
      </c>
      <c r="C980" s="2" t="n"/>
      <c r="D980" s="2" t="inlineStr">
        <is>
          <t>metoclopamide</t>
        </is>
      </c>
      <c r="E980" s="2" t="inlineStr">
        <is>
          <t>domperidone</t>
        </is>
      </c>
      <c r="F980" s="2" t="inlineStr">
        <is>
          <t>ranitidine</t>
        </is>
      </c>
      <c r="G980" s="2" t="inlineStr">
        <is>
          <t>cimetidine</t>
        </is>
      </c>
      <c r="H980" s="2" t="inlineStr">
        <is>
          <t>famotidine ‚ยา cimetidine มีกระบวนการ metabolism ผ่านระบบ cytochrome P450 ซึ่งสามารถยับยั้งกระบวนการ metabolism ของยาอื่นที่ผ่านระบบเดียวกัน จึงมีความเสี่ยงจากปัญหาปฏิกิริยาระหว่างยาได้มากกว่ายาในข้ออื่นๆ‛ ที่มา : http://webcache.googleusercontent.com/search?q=cache%3Am7ev7PSn56UJ%3Adrug.fda.moph.go.th%3 A81%2Fnlem.in.th%2Fnode%2F3278+&amp;cd=1&amp;hl=en&amp;ct=clnk&amp;gl=th</t>
        </is>
      </c>
      <c r="I980" s="8" t="inlineStr">
        <is>
          <t>4</t>
        </is>
      </c>
      <c r="J980" s="2" t="inlineStr">
        <is>
          <t>✅ คำตอบที่ถูกต้อง: ข้อ ง. cimetidine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cimetidine การเลือก cimetidine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(metoclopamide): ข้อนี้ไม่ใช่คำตอบที่ถูกต้องสำหรับภาวะ General Therapeutics เนื่องจากกลไกการออกฤทธิ์, efficacy หรือข้อบ่งใช้ไม่ตรงกับโจทย์ที่กำหนด
• ข้อ ข. (domperidone): เป็น peripheral D2 receptor antagonist เพิ่ม GI motility ไม่ผ่าน BBB จึงไม่ทำให้เกิด EPS เด่นชัด แต่ต้องระวัง QT prolongation ในขนาดสูง (&gt; 30 mg/day)
• ข้อ ค. (ranitidine): ข้อนี้ไม่ใช่คำตอบที่ถูกต้องสำหรับภาวะ General Therapeutics เนื่องจากกลไกการออกฤทธิ์, efficacy หรือข้อบ่งใช้ไม่ตรงกับโจทย์ที่กำหนด
• ข้อ จ. (famotidine ‚ยา cimetidine มีกระบวนการ metabolism ผ่านระบบ cytochrome P450 ซึ่งสามารถยับยั้งกระบวนการ metabolism ของยาอื่นที่ผ่านระบบเดียวกัน จึงมีความเสี่ยงจากปัญหาปฏิกิริยาระหว่างยาได้มากกว่ายาในข้ออื่นๆ‛ ที่มา : http://webcache.googleusercontent.com/search?q=cache%3Am7ev7PSn56UJ%3Adrug.fda.moph.go.th%3 A81%2Fnlem.in.th%2Fnode%2F3278+&amp;cd=1&amp;hl=en&amp;ct=clnk&amp;gl=th):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0" s="2" t="n"/>
      <c r="L980" s="2" t="inlineStr">
        <is>
          <t>General Therapeutics</t>
        </is>
      </c>
      <c r="M980" s="2" t="inlineStr">
        <is>
          <t>Clinic</t>
        </is>
      </c>
      <c r="N980" s="2" t="inlineStr">
        <is>
          <t>ข้อ 45 (PLE_CC1_2554 SET2.md)</t>
        </is>
      </c>
      <c r="O980" s="2" t="inlineStr">
        <is>
          <t>ข้อสอบจริง</t>
        </is>
      </c>
      <c r="P980" s="2" t="inlineStr">
        <is>
          <t>ปี 2554</t>
        </is>
      </c>
    </row>
    <row r="981" ht="13.2" customHeight="1" s="37">
      <c r="A981" s="8" t="inlineStr">
        <is>
          <t>1002</t>
        </is>
      </c>
      <c r="B981" s="2" t="inlineStr">
        <is>
          <t>หากแพทย์ต้องการจ่ายยาเพื่อกำจัดH.pyloriท่านควรแนะนำยาใดจึงจะเหมาะสมที่สุด</t>
        </is>
      </c>
      <c r="C981" s="2" t="n"/>
      <c r="D981" s="2" t="inlineStr">
        <is>
          <t>omeprazole + clarithromycin + amoxicillin</t>
        </is>
      </c>
      <c r="E981" s="2" t="inlineStr">
        <is>
          <t>omeprazole + cloxacillin + amoxicillin</t>
        </is>
      </c>
      <c r="F981" s="2" t="inlineStr">
        <is>
          <t>ranitidine + clarithromycin + amoxicillin</t>
        </is>
      </c>
      <c r="G981" s="2" t="inlineStr">
        <is>
          <t>omeprazole + bismuth + amoxicillin</t>
        </is>
      </c>
      <c r="H981" s="2" t="inlineStr">
        <is>
          <t>ranitidine + clarithromycin + bismuth regimens ซึ่งในสูตรจะประกอบด้วย PPI + Clarithromycin + Amoxicillin หรือ Metronidazole ที่มา : หนังสือติวPharmacotherapy เล่ม 1 หน้า 14 47.ยา omeprazole MUPS เป็นยารูปแบบใด</t>
        </is>
      </c>
      <c r="I981" s="8" t="inlineStr">
        <is>
          <t>2</t>
        </is>
      </c>
      <c r="J981" s="2" t="inlineStr">
        <is>
          <t>✅ คำตอบที่ถูกต้อง: ข้อ ข. omeprazole + cloxacillin + amoxicillin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 cloxacillin + amoxicillin  Cellulose acetate phthalate (CAP) is used as an enteric film coating material, or as a matrix binder ที่มา หนังสือ Handbook of Pharmaceutical excipients 6th edition หัวข้อ Applications in Pharmaceutical
 เป็น Aminopenicillin ยับยั้ง bacterial cell wall synthesis เป็น first-line สำหรับ uncomplicated bacterial infections (เช่น Strep pharyngitis, AOM, sinusitis)
🔍 ข้ออื่นผิดเพราะอะไร:
• ข้อ ก. (omeprazole + clarithromycin + amoxicillin): เป็น Aminopenicillin ยับยั้ง bacterial cell wall synthesis เป็น first-line สำหรับ uncomplicated bacterial infections (เช่น Strep pharyngitis, AOM, sinusitis)
• ข้อ ค. (ranitidine + clarithromycin + amoxicillin): เป็น Aminopenicillin ยับยั้ง bacterial cell wall synthesis เป็น first-line สำหรับ uncomplicated bacterial infections (เช่น Strep pharyngitis, AOM, sinusitis)
• ข้อ ง. (omeprazole + bismuth + amoxicillin): เป็น Aminopenicillin ยับยั้ง bacterial cell wall synthesis เป็น first-line สำหรับ uncomplicated bacterial infections (เช่น Strep pharyngitis, AOM, sinusitis)
• ข้อ จ. (ranitidine + clarithromycin + bismuth regimens ซึ่งในสูตรจะประกอบด้วย PPI + Clarithromycin + Amoxicillin หรือ Metronidazole ที่มา : หนังสือติวPharmacotherapy เล่ม 1 หน้า 14 47.ยา omeprazole MUPS เป็นยารูปแบบใด):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1" s="2" t="n"/>
      <c r="L981" s="2" t="inlineStr">
        <is>
          <t>General Therapeutics</t>
        </is>
      </c>
      <c r="M981" s="2" t="inlineStr">
        <is>
          <t>Clinic</t>
        </is>
      </c>
      <c r="N981" s="2" t="inlineStr">
        <is>
          <t>ข้อ 46 (PLE_CC1_2554 SET2.md)</t>
        </is>
      </c>
      <c r="O981" s="2" t="inlineStr">
        <is>
          <t>ข้อสอบจริง</t>
        </is>
      </c>
      <c r="P981" s="2" t="inlineStr">
        <is>
          <t>ปี 2554</t>
        </is>
      </c>
    </row>
    <row r="982" ht="13.2" customHeight="1" s="37">
      <c r="A982" s="8" t="inlineStr">
        <is>
          <t>1003</t>
        </is>
      </c>
      <c r="B982" s="2" t="inlineStr">
        <is>
          <t>naproxenอยู่บัญชียา ก. หมายความว่าอะไร</t>
        </is>
      </c>
      <c r="C982" s="2" t="n"/>
      <c r="D982" s="2" t="inlineStr">
        <is>
          <t>บัญชียาที่เป็นมาตรฐานในการรักษา</t>
        </is>
      </c>
      <c r="E982" s="2" t="inlineStr">
        <is>
          <t>บัญชียาทางเลือกที่ 2</t>
        </is>
      </c>
      <c r="F982" s="2" t="inlineStr">
        <is>
          <t>บัญชียาที่ต้องใช้กับโรคเฉพาะทางในสถานพยาบาลเฉพาะโดยผู้ชานาญเท่านั้น</t>
        </is>
      </c>
      <c r="G982" s="2" t="inlineStr">
        <is>
          <t>รายการยาที่มีหลายข้อบ่งใช้ มีโอกาสเสี่ยงใช้ยาไม่ถูกต้อง จาเป็นต้องตรวจสอบอย่างใกล้ชิด</t>
        </is>
      </c>
      <c r="H982" s="2" t="inlineStr">
        <is>
          <t>รายการยาสาหรับโครงการพิเศษของภาครัฐ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มีหลักฐานชัดเจนที่สนับสนุนการใช้ มีประสบการณ์การใช้ในประเทศไทยอย่างพอเพียง และเป็นยาที่ควรได้รับการเลือกใช้เป็นอันดับแรกตามข้อบ่งใช้ของยานั้น Drug for acute migraine attack ตามบัญชียาหลักแห่งชาติ Ref:บัญชียาหลักแห่งชาติ http://drug.fda.moph.go.th:81/nlem.in.th/principles/medicine/measurement สถานการณ์ที่ 8 (เจมส์ 026/ เทิร์น 069) หญิงไทยอายุ 27 ปีมาหาท่านซึ่งเป็นเภสัชกรในร้านยาแจ้งข้อมูลว่าวันนี้มีประจำเดือนวันที่ 3 โดยเมื่อคืนได้มีเพศสัมพันธ์กับสามี 71.หญิงรายนี้จำเป็นต้องคุมกำเนิดหรือไม่อย่างไร</t>
        </is>
      </c>
      <c r="I982" s="8" t="inlineStr">
        <is>
          <t>4</t>
        </is>
      </c>
      <c r="J982" s="2" t="inlineStr">
        <is>
          <t>✅ คำตอบที่ถูกต้อง: ข้อ ง. รายการยาที่มีหลายข้อบ่งใช้ มีโอกาสเสี่ยงใช้ยาไม่ถูกต้อง จาเป็นต้องตรวจสอบอย่างใกล้ชิด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รายการยาที่มีหลายข้อบ่งใช้ มีโอกาสเสี่ยงใช้ยาไม่ถูกต้อง จาเป็นต้องตรวจสอบอย่างใกล้ชิด Follicular Phase คือช่วงที่ follicle กำลังเจริญเติบโต ยังไม่เกิดการตกไข่ (Ovulation) ไม่สามารถตั้งครรภ์ได้
🔍 ข้ออื่นผิดเพราะอะไร:
• ข้อ ก. (บัญชียาที่เป็นมาตรฐานในการรักษา): ข้อนี้ไม่ใช่คำตอบที่ถูกต้องสำหรับภาวะ Musculoskeletal &amp; Joint เนื่องจากกลไกการออกฤทธิ์, efficacy หรือข้อบ่งใช้ไม่ตรงกับโจทย์ที่กำหนด
• ข้อ ข. (บัญชียาทางเลือกที่ 2): ข้อนี้ไม่ใช่คำตอบที่ถูกต้องสำหรับภาวะ Musculoskeletal &amp; Joint เนื่องจากกลไกการออกฤทธิ์, efficacy หรือข้อบ่งใช้ไม่ตรงกับโจทย์ที่กำหนด
• ข้อ ค. (บัญชียาที่ต้องใช้กับโรคเฉพาะทางในสถานพยาบาลเฉพาะโดยผู้ชานาญเท่านั้น): ข้อนี้ไม่ใช่คำตอบที่ถูกต้องสำหรับภาวะ Musculoskeletal &amp; Joint เนื่องจากกลไกการออกฤทธิ์, efficacy หรือข้อบ่งใช้ไม่ตรงกับโจทย์ที่กำหนด
• ข้อ จ. (รายการยาสาหรับโครงการพิเศษของภาครัฐ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มีหลักฐานชัดเจนที่สนับสนุนการใช้ มีประสบการณ์การใช้ในประเทศไทยอย่างพอเพียง และเป็นยาที่ควรได้รับการเลือกใช้เป็นอันดับแรกตามข้อบ่งใช้ของยานั้น Drug for acute migraine attack ตามบัญชียาหลักแห่งชาติ Ref:บัญชียาหลักแห่งชาติ http://drug.fda.moph.go.th:81/nlem.in.th/principles/medicine/measurement สถานการณ์ที่ 8 (เจมส์ 026/ เทิร์น 069) หญิงไทยอายุ 27 ปีมาหาท่านซึ่งเป็นเภสัชกรในร้านยาแจ้งข้อมูลว่าวันนี้มีประจำเดือนวันที่ 3 โดยเมื่อคืนได้มีเพศสัมพันธ์กับสามี 71.หญิงรายนี้จำเป็นต้องคุมกำเนิดหรือไม่อย่างไร):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982" s="2" t="n"/>
      <c r="L982" s="2" t="inlineStr">
        <is>
          <t>Musculoskeletal &amp; Joint</t>
        </is>
      </c>
      <c r="M982" s="2" t="inlineStr">
        <is>
          <t>Clinic</t>
        </is>
      </c>
      <c r="N982" s="2" t="inlineStr">
        <is>
          <t>ข้อ 70 (PLE_CC1_2554 SET2.md)</t>
        </is>
      </c>
      <c r="O982" s="2" t="inlineStr">
        <is>
          <t>ข้อสอบจริง</t>
        </is>
      </c>
      <c r="P982" s="2" t="inlineStr">
        <is>
          <t>ปี 2554</t>
        </is>
      </c>
    </row>
    <row r="983" ht="13.2" customHeight="1" s="37">
      <c r="A983" s="8" t="inlineStr">
        <is>
          <t>1004</t>
        </is>
      </c>
      <c r="B983" s="2" t="inlineStr">
        <is>
          <t>Incomplete bladder emptying (prostatic enlargement, chronic indwelling catheter)</t>
        </is>
      </c>
      <c r="C983" s="2" t="n"/>
      <c r="D983" s="2" t="inlineStr">
        <is>
          <t>N-acetylcysteine (NAC) IV infusion protocol</t>
        </is>
      </c>
      <c r="E983" s="2" t="inlineStr">
        <is>
          <t>Atropine sulfate 2 mg IV Q5-10 min</t>
        </is>
      </c>
      <c r="F983" s="2" t="inlineStr">
        <is>
          <t>Pralidoxime (2-PAM) 1-2 g IV over 30 min</t>
        </is>
      </c>
      <c r="G983" s="2" t="inlineStr">
        <is>
          <t>Naloxone 0.4 mg IV stat</t>
        </is>
      </c>
      <c r="H983" s="2" t="inlineStr">
        <is>
          <t>Flumazenil 0.2 mg IV stat</t>
        </is>
      </c>
      <c r="I983" s="8" t="inlineStr">
        <is>
          <t>1</t>
        </is>
      </c>
      <c r="J9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83" s="2" t="n"/>
      <c r="L983" s="2" t="inlineStr">
        <is>
          <t>General Therapeutics</t>
        </is>
      </c>
      <c r="M983" s="2" t="inlineStr">
        <is>
          <t>Clinic</t>
        </is>
      </c>
      <c r="N983" s="2" t="inlineStr">
        <is>
          <t>ข้อ 2 (PLE_CC1_2554 SET2.md)</t>
        </is>
      </c>
      <c r="O983" s="2" t="inlineStr">
        <is>
          <t>ข้อสอบจริง</t>
        </is>
      </c>
      <c r="P983" s="2" t="inlineStr">
        <is>
          <t>ปี 2554</t>
        </is>
      </c>
    </row>
    <row r="984" ht="13.2" customHeight="1" s="37">
      <c r="A984" s="8" t="inlineStr">
        <is>
          <t>1005</t>
        </is>
      </c>
      <c r="B984" s="2" t="inlineStr">
        <is>
          <t>ชนิดที่ละลายนํ้า ได้แก่ Lactose, Sucrose, Mannitol, Sorbitol และ Diabasic</t>
        </is>
      </c>
      <c r="C984" s="2" t="n"/>
      <c r="D984" s="2" t="inlineStr">
        <is>
          <t>Wet Granulation tableting method</t>
        </is>
      </c>
      <c r="E984" s="2" t="inlineStr">
        <is>
          <t>Dry Granulation (Roller Compaction)</t>
        </is>
      </c>
      <c r="F984" s="2" t="inlineStr">
        <is>
          <t>Fluidized Bed Granulation</t>
        </is>
      </c>
      <c r="G984" s="2" t="inlineStr">
        <is>
          <t>Film Coating with Hydroxypropyl methylcellulose (HPMC)</t>
        </is>
      </c>
      <c r="H984" s="2" t="inlineStr">
        <is>
          <t>Enteric Coating with Cellulose acetate phthalate (CAP)</t>
        </is>
      </c>
      <c r="I984" s="8" t="inlineStr">
        <is>
          <t>1</t>
        </is>
      </c>
      <c r="J984"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4" s="2" t="n"/>
      <c r="L984" s="2" t="inlineStr">
        <is>
          <t>Solid Dosage Forms</t>
        </is>
      </c>
      <c r="M984" s="2" t="inlineStr">
        <is>
          <t>Product</t>
        </is>
      </c>
      <c r="N984" s="2" t="inlineStr">
        <is>
          <t>ข้อ 1 (PLE_CC1_2554 SET2.md)</t>
        </is>
      </c>
      <c r="O984" s="2" t="inlineStr">
        <is>
          <t>ข้อสอบจริง</t>
        </is>
      </c>
      <c r="P984" s="2" t="inlineStr">
        <is>
          <t>ปี 2554</t>
        </is>
      </c>
    </row>
    <row r="985" ht="13.2" customHeight="1" s="37">
      <c r="A985" s="8" t="inlineStr">
        <is>
          <t>1006</t>
        </is>
      </c>
      <c r="B985" s="2" t="inlineStr">
        <is>
          <t>ท่านคิดว่าอะไรคือสาเหตุของ acute renal failure ในผู้ป่วยรายนี้</t>
        </is>
      </c>
      <c r="C985" s="2" t="n"/>
      <c r="D985" s="2" t="inlineStr">
        <is>
          <t>Hypovolume</t>
        </is>
      </c>
      <c r="E985" s="2" t="inlineStr">
        <is>
          <t>Bleeding</t>
        </is>
      </c>
      <c r="F985" s="2" t="inlineStr">
        <is>
          <t>Rhabdomyolysis</t>
        </is>
      </c>
      <c r="G985" s="2" t="inlineStr">
        <is>
          <t>ได้รับยา nephrotoxic</t>
        </is>
      </c>
      <c r="H985" s="2" t="inlineStr">
        <is>
          <t>นิ่ว เพราะ ผู้ป่วยได้รับ Aspirin เป็น nephrotoxic drug ซึ่งเป็นยาเป็นเวาลานานทำให้เกิด ที่ทำให้เกิดChronic interstitial nephritis ได้และส่งผลต่อให้เกิด acute หรือ chronic renal failure</t>
        </is>
      </c>
      <c r="I985" s="8" t="inlineStr">
        <is>
          <t>4</t>
        </is>
      </c>
      <c r="J985" s="2" t="inlineStr">
        <is>
          <t>✅ คำตอบที่ถูกต้อง: ข้อ ง. ได้รับยา nephrotoxic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ได้รับยา nephrotoxic การเลือก ได้รับยา nephrotoxic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(Hypovolume): ข้อนี้ไม่ใช่คำตอบที่ถูกต้องสำหรับภาวะ General Therapeutics เนื่องจากกลไกการออกฤทธิ์, efficacy หรือข้อบ่งใช้ไม่ตรงกับโจทย์ที่กำหนด
• ข้อ ข. (Bleeding): ข้อนี้ไม่ใช่คำตอบที่ถูกต้องสำหรับภาวะ General Therapeutics เนื่องจากกลไกการออกฤทธิ์, efficacy หรือข้อบ่งใช้ไม่ตรงกับโจทย์ที่กำหนด
• ข้อ ค. (Rhabdomyolysis): ข้อนี้ไม่ใช่คำตอบที่ถูกต้องสำหรับภาวะ General Therapeutics เนื่องจากกลไกการออกฤทธิ์, efficacy หรือข้อบ่งใช้ไม่ตรงกับโจทย์ที่กำหนด
• ข้อ จ. (นิ่ว เพราะ ผู้ป่วยได้รับ Aspirin เป็น nephrotoxic drug ซึ่งเป็นยาเป็นเวาลานานทำให้เกิด ที่ทำให้เกิดChronic interstitial nephritis ได้และส่งผลต่อให้เกิด acute หรือ chronic renal failure): เป็น irreversible COX-1 inhibitor ยับยั้ง Thromboxane A2 เป็นแกนหลักใน antiplatelet secondary prevention ของ CVD (ขนาดยา 75-100 mg/day)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85" s="2" t="n"/>
      <c r="L985" s="2" t="inlineStr">
        <is>
          <t>General Therapeutics</t>
        </is>
      </c>
      <c r="M985" s="2" t="inlineStr">
        <is>
          <t>Clinic</t>
        </is>
      </c>
      <c r="N985" s="2" t="inlineStr">
        <is>
          <t>ข้อ 2 (PLE_CC1_2554 SET2.md)</t>
        </is>
      </c>
      <c r="O985" s="2" t="inlineStr">
        <is>
          <t>ข้อสอบจริง</t>
        </is>
      </c>
      <c r="P985" s="2" t="inlineStr">
        <is>
          <t>ปี 2554</t>
        </is>
      </c>
    </row>
    <row r="986" ht="13.2" customHeight="1" s="37">
      <c r="A986" s="8" t="inlineStr">
        <is>
          <t>1007</t>
        </is>
      </c>
      <c r="B986" s="2" t="inlineStr">
        <is>
          <t>อาการข้างต้น(oliguria) อาจเกิดได้จากยาในข้อใด</t>
        </is>
      </c>
      <c r="C986" s="2" t="n"/>
      <c r="D986" s="2" t="inlineStr">
        <is>
          <t>Atenolol</t>
        </is>
      </c>
      <c r="E986" s="2" t="inlineStr">
        <is>
          <t>Simvastatin</t>
        </is>
      </c>
      <c r="F986" s="2" t="inlineStr">
        <is>
          <t>Aspirin</t>
        </is>
      </c>
      <c r="G986" s="2" t="inlineStr">
        <is>
          <t>Hydralazine</t>
        </is>
      </c>
      <c r="H986" s="2" t="inlineStr">
        <is>
          <t>Felodipine เพราะ Aspirin เป็นยาที่ทำให้เกิด vasoconstriction afferent arteriole ลด renal blood flowอัตราการกรองลดลง การขับปัสสาวะลดลง</t>
        </is>
      </c>
      <c r="I986" s="8" t="inlineStr">
        <is>
          <t>3</t>
        </is>
      </c>
      <c r="J986" s="2" t="inlineStr">
        <is>
          <t>✅ คำตอบที่ถูกต้อง: ข้อ ค. Aspirin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ข. (Simvastatin): เป็น moderate-intensity statin เมแทบอไลต์ผ่าน CYP3A4 เด่นชัด ห้ามใช้ dose 80 mg และมี drug interactions สูงกับ CYP3A4 inhibitors (clarithromycin, ketoconazole)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เพราะ Aspirin เป็นยาที่ทำให้เกิด vasoconstriction afferent arteriole ลด renal blood flowอัตราการกรองลดลง การขับปัสสาวะลดลง): เป็น irreversible COX-1 inhibitor ยับยั้ง Thromboxane A2 เป็นแกนหลักใน antiplatelet secondary prevention ของ CVD (ขนาดยา 75-100 mg/day)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6" s="2" t="n"/>
      <c r="L986" s="2" t="inlineStr">
        <is>
          <t>General Therapeutics</t>
        </is>
      </c>
      <c r="M986" s="2" t="inlineStr">
        <is>
          <t>Clinic</t>
        </is>
      </c>
      <c r="N986" s="2" t="inlineStr">
        <is>
          <t>ข้อ 4 (PLE_CC1_2554 SET2.md)</t>
        </is>
      </c>
      <c r="O986" s="2" t="inlineStr">
        <is>
          <t>ข้อสอบจริง</t>
        </is>
      </c>
      <c r="P986" s="2" t="inlineStr">
        <is>
          <t>ปี 2554</t>
        </is>
      </c>
    </row>
    <row r="987" ht="13.2" customHeight="1" s="37">
      <c r="A987" s="8" t="inlineStr">
        <is>
          <t>1008</t>
        </is>
      </c>
      <c r="B987" s="2" t="inlineStr">
        <is>
          <t>แคปซูลในข้อใด มีขนาดใหญ่ที่สุด</t>
        </is>
      </c>
      <c r="C987" s="2" t="n"/>
      <c r="D987" s="2" t="inlineStr">
        <is>
          <t>Sodium starch glycolate (Superdisintegrant)</t>
        </is>
      </c>
      <c r="E987" s="2" t="inlineStr">
        <is>
          <t>Direct Compression tableting method</t>
        </is>
      </c>
      <c r="F987" s="2" t="inlineStr">
        <is>
          <t>Wet Granulation tableting method</t>
        </is>
      </c>
      <c r="G987" s="2" t="inlineStr">
        <is>
          <t>Dry Granulation (Roller Compaction)</t>
        </is>
      </c>
      <c r="H987" s="2" t="inlineStr">
        <is>
          <t>Fluidized Bed Granulation</t>
        </is>
      </c>
      <c r="I987" s="8" t="inlineStr">
        <is>
          <t>1</t>
        </is>
      </c>
      <c r="J987" s="2"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Solid Dosage Forms)
🔍 ข้ออื่นผิดเพราะอะไร:
• ข้อ ข.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ค.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ง.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จ. (Fluidized Bed Granulation):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7" s="2" t="n"/>
      <c r="L987" s="2" t="inlineStr">
        <is>
          <t>Solid Dosage Forms</t>
        </is>
      </c>
      <c r="M987" s="2" t="inlineStr">
        <is>
          <t>Product</t>
        </is>
      </c>
      <c r="N987" s="2" t="inlineStr">
        <is>
          <t>ข้อ 29 (PLE_CC1_2554 SET2.md)</t>
        </is>
      </c>
      <c r="O987" s="2" t="inlineStr">
        <is>
          <t>ข้อสอบจริง</t>
        </is>
      </c>
      <c r="P987" s="2" t="inlineStr">
        <is>
          <t>ปี 2554</t>
        </is>
      </c>
    </row>
    <row r="988" ht="13.2" customHeight="1" s="37">
      <c r="A988" s="8" t="inlineStr">
        <is>
          <t>1009</t>
        </is>
      </c>
      <c r="B988" s="2" t="inlineStr">
        <is>
          <t>หนังสือเภสัชบำบัดในโรคเรื้อรังที่พบบ่อย และกรณีศึกษา 2 สถานการณ์ 5 (ปุ้น 038/ กู๊ด 081) ผู้ป่วยชาย อายุ 56 ปี ตรวจพบว่าเป็นงูสวัด มาปรึกษาท่านที่ร้านขายยา</t>
        </is>
      </c>
      <c r="C988" s="2" t="n"/>
      <c r="D988" s="2" t="inlineStr">
        <is>
          <t>โรคงูสวัด เกิดจากเชื้อใดเป็นสาเหตุสำคัญ</t>
        </is>
      </c>
      <c r="E988" s="2" t="inlineStr">
        <is>
          <t>herpes zoster</t>
        </is>
      </c>
      <c r="F988" s="2" t="inlineStr">
        <is>
          <t>herpes simplex</t>
        </is>
      </c>
      <c r="G988" s="2" t="inlineStr">
        <is>
          <t>varicella zoster virus</t>
        </is>
      </c>
      <c r="H988" s="2" t="inlineStr">
        <is>
          <t>treponema pallidum</t>
        </is>
      </c>
      <c r="I988" s="8" t="inlineStr">
        <is>
          <t>3</t>
        </is>
      </c>
      <c r="J988" s="2" t="inlineStr">
        <is>
          <t>✅ คำตอบที่ถูกต้อง: ข้อ ค. herpes simplex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herpes simplex โดยเชื้อที่อยู่ในร่างกายจะทำให้เกิดตุ่มนํ้าหลายตุ่มเรียงตัวที่บริเวณผิวหนังตามแนวเส้นประสาทและอาจมีอาการ
🔍 ข้ออื่นผิดเพราะอะไร:
• ข้อ ก. (โรคงูสวัด เกิดจากเชื้อใดเป็นสาเหตุสำคัญ): ข้อนี้ไม่ใช่คำตอบที่ถูกต้องสำหรับภาวะ General Therapeutics เนื่องจากกลไกการออกฤทธิ์, efficacy หรือข้อบ่งใช้ไม่ตรงกับโจทย์ที่กำหนด
• ข้อ ข. (herpes zoster): ข้อนี้ไม่ใช่คำตอบที่ถูกต้องสำหรับภาวะ General Therapeutics เนื่องจากกลไกการออกฤทธิ์, efficacy หรือข้อบ่งใช้ไม่ตรงกับโจทย์ที่กำหนด
• ข้อ ง. (varicella zoster virus): ข้อนี้ไม่ใช่คำตอบที่ถูกต้องสำหรับภาวะ General Therapeutics เนื่องจากกลไกการออกฤทธิ์, efficacy หรือข้อบ่งใช้ไม่ตรงกับโจทย์ที่กำหนด
• ข้อ จ. (treponema pallidum):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8" s="2" t="n"/>
      <c r="L988" s="2" t="inlineStr">
        <is>
          <t>General Therapeutics</t>
        </is>
      </c>
      <c r="M988" s="2" t="inlineStr">
        <is>
          <t>Clinic</t>
        </is>
      </c>
      <c r="N988" s="2" t="inlineStr">
        <is>
          <t>ข้อ 2 (PLE_CC1_2554 SET2.md)</t>
        </is>
      </c>
      <c r="O988" s="2" t="inlineStr">
        <is>
          <t>ข้อสอบจริง</t>
        </is>
      </c>
      <c r="P988" s="2" t="inlineStr">
        <is>
          <t>ปี 2554</t>
        </is>
      </c>
    </row>
    <row r="989" ht="13.2" customHeight="1" s="37">
      <c r="A989" s="8" t="inlineStr">
        <is>
          <t>1010</t>
        </is>
      </c>
      <c r="B989" s="2" t="inlineStr">
        <is>
          <t>ข้อใดถูกต้องเกี่ยวกับการรักษางูสวัด</t>
        </is>
      </c>
      <c r="C989" s="2" t="n"/>
      <c r="D989" s="2" t="inlineStr">
        <is>
          <t>หากอาการไม่รุนแรง อาจใช้การประคบเย็นได้</t>
        </is>
      </c>
      <c r="E989" s="2" t="inlineStr">
        <is>
          <t>หากมีอาการปวด ควรให้ paracetamol</t>
        </is>
      </c>
      <c r="F989" s="2" t="inlineStr">
        <is>
          <t>ใช้ยา cloxacillin เนื่องจากเป็นการติดเชื้อแบคทีเรีย</t>
        </is>
      </c>
      <c r="G989" s="2" t="inlineStr">
        <is>
          <t>แพทย์ไม่จำเป็นต้องรักษาภาวะแทรกซ้อนอื่นๆ ที่อาจพบได้ เช่น การติดเชื้อแบคทีเรีย</t>
        </is>
      </c>
      <c r="H989" s="2" t="inlineStr">
        <is>
          <t>สำหรับผู้ป่วยที่มีภูมิคุ้มกันตํ่า (เช่น เป็นโรคเอดส์) ไม่จำเป็นต้องได้รับยารักษา โดยถ้ามีอาการปวดหรือไข้จะต้องได้รับยา Paracetamol เพื่อบรรเทาอาการปวดหรือไข้ Reference : การเลือกใช้เภสัชภัณฑ์ หนังสือ เภสัชมช. , Pharmacotherapy หนังสือติวสภา Rx30</t>
        </is>
      </c>
      <c r="I989" s="8" t="inlineStr">
        <is>
          <t>2</t>
        </is>
      </c>
      <c r="J989" s="2" t="inlineStr">
        <is>
          <t>✅ คำตอบที่ถูกต้อง: ข้อ ข. หากมีอาการปวด ควรให้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หากมีอาการปวด ควรให้ paracetamol การเลือก หากมีอาการปวด ควรให้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ก. (หากอาการไม่รุนแรง อาจใช้การประคบเย็นได้): ข้อนี้ไม่ใช่คำตอบที่ถูกต้องสำหรับภาวะ General Therapeutics เนื่องจากกลไกการออกฤทธิ์, efficacy หรือข้อบ่งใช้ไม่ตรงกับโจทย์ที่กำหนด
• ข้อ ค. (ใช้ยา cloxacillin เนื่องจากเป็นการติดเชื้อแบคทีเรีย): เป็น penicillinase-resistant penicillin เป็น drug of choice สำหรับ Methicillin-Susceptible Staphylococcus aureus (MSSA) infections ต้องรับประทานตอนท้องว่าง
• ข้อ ง. (แพทย์ไม่จำเป็นต้องรักษาภาวะแทรกซ้อนอื่นๆ ที่อาจพบได้ เช่น การติดเชื้อแบคทีเรีย): ข้อนี้ไม่ใช่คำตอบที่ถูกต้องสำหรับภาวะ General Therapeutics เนื่องจากกลไกการออกฤทธิ์, efficacy หรือข้อบ่งใช้ไม่ตรงกับโจทย์ที่กำหนด
• ข้อ จ. (สำหรับผู้ป่วยที่มีภูมิคุ้มกันตํ่า (เช่น เป็นโรคเอดส์) ไม่จำเป็นต้องได้รับยารักษา โดยถ้ามีอาการปวดหรือไข้จะต้องได้รับยา Paracetamol เพื่อบรรเทาอาการปวดหรือไข้ Reference : การเลือกใช้เภสัชภัณฑ์ หนังสือ เภสัชมช. , Pharmacotherapy หนังสือติวสภา Rx30):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9" s="2" t="n"/>
      <c r="L989" s="2" t="inlineStr">
        <is>
          <t>General Therapeutics</t>
        </is>
      </c>
      <c r="M989" s="2" t="inlineStr">
        <is>
          <t>Clinic</t>
        </is>
      </c>
      <c r="N989" s="2" t="inlineStr">
        <is>
          <t>ข้อ 2 (PLE_CC1_2554 SET2.md)</t>
        </is>
      </c>
      <c r="O989" s="2" t="inlineStr">
        <is>
          <t>ข้อสอบจริง</t>
        </is>
      </c>
      <c r="P989" s="2" t="inlineStr">
        <is>
          <t>ปี 2554</t>
        </is>
      </c>
    </row>
    <row r="990" ht="13.2" customHeight="1" s="37">
      <c r="A990" s="8" t="inlineStr">
        <is>
          <t>1011</t>
        </is>
      </c>
      <c r="B990" s="2" t="inlineStr">
        <is>
          <t>”ไม่มีโจทย์ 67.ข้อใดถูกต้องเกี่ยวกับสูตรโครงสร้างด้านล่างนี้</t>
        </is>
      </c>
      <c r="C990" s="2" t="n"/>
      <c r="D990" s="2" t="inlineStr">
        <is>
          <t>ยาเป็นกรดอ่อน</t>
        </is>
      </c>
      <c r="E990" s="2" t="inlineStr">
        <is>
          <t>โครงสร้างเป็นยาในกลุ่ม sulfonamides</t>
        </is>
      </c>
      <c r="F990" s="2" t="inlineStr">
        <is>
          <t>ยาละลายได้ดีในไขมัน</t>
        </is>
      </c>
      <c r="G990" s="2" t="inlineStr">
        <is>
          <t>N-acetylcysteine (NAC) IV infusion protocol</t>
        </is>
      </c>
      <c r="H990" s="2" t="inlineStr">
        <is>
          <t>- 68.ข้อใดเป็นสารช่วยแตกตัว</t>
        </is>
      </c>
      <c r="I990" s="8" t="inlineStr">
        <is>
          <t>4</t>
        </is>
      </c>
      <c r="J990"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นับแต่วันยื่นขอสิทธิบัตร โดยมีเจตนารมณ์เพื่อเป็นสิ่งตอบแทนให้กับผู้คิดค้นนวัตกรรม ซึ่งเป็นการกระตุ้น
🔍 ข้ออื่นผิดเพราะอะไร:
• ข้อ ก. (ยาเป็นกรดอ่อน): ข้อนี้ไม่ใช่คำตอบที่ถูกต้องสำหรับภาวะ General Therapeutics เนื่องจากกลไกการออกฤทธิ์, efficacy หรือข้อบ่งใช้ไม่ตรงกับโจทย์ที่กำหนด
• ข้อ ข. (โครงสร้างเป็นยาในกลุ่ม sulfonamides): ข้อนี้ไม่ใช่คำตอบที่ถูกต้องสำหรับภาวะ General Therapeutics เนื่องจากกลไกการออกฤทธิ์, efficacy หรือข้อบ่งใช้ไม่ตรงกับโจทย์ที่กำหนด
• ข้อ ค. (ยาละลายได้ดีในไขมัน): ข้อนี้ไม่ใช่คำตอบที่ถูกต้องสำหรับภาวะ General Therapeutics เนื่องจากกลไกการออกฤทธิ์, efficacy หรือข้อบ่งใช้ไม่ตรงกับโจทย์ที่กำหนด
• ข้อ จ. (- 68.ข้อใดเป็นสารช่วยแตกตัว):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90" s="2" t="n"/>
      <c r="L990" s="2" t="inlineStr">
        <is>
          <t>General Therapeutics</t>
        </is>
      </c>
      <c r="M990" s="2" t="inlineStr">
        <is>
          <t>Clinic</t>
        </is>
      </c>
      <c r="N990" s="2" t="inlineStr">
        <is>
          <t>ข้อ 66 (PLE_CC1_2554 SET2.md)</t>
        </is>
      </c>
      <c r="O990" s="2" t="inlineStr">
        <is>
          <t>ข้อสอบจริง</t>
        </is>
      </c>
      <c r="P990" s="2" t="inlineStr">
        <is>
          <t>ปี 2554</t>
        </is>
      </c>
    </row>
    <row r="991" ht="13.2" customHeight="1" s="37">
      <c r="A991" s="8" t="inlineStr">
        <is>
          <t>1012</t>
        </is>
      </c>
      <c r="B991" s="2" t="inlineStr">
        <is>
          <t>กลไกการออกฤทธิ์ของFluoxitine คือข้อใด</t>
        </is>
      </c>
      <c r="C991" s="2" t="n"/>
      <c r="D991" s="2" t="inlineStr">
        <is>
          <t>ยับยั้งการทำงานของDA transporter</t>
        </is>
      </c>
      <c r="E991" s="2" t="inlineStr">
        <is>
          <t>ยับยั้งการทำงานของ NE transporter</t>
        </is>
      </c>
      <c r="F991" s="2" t="inlineStr">
        <is>
          <t>ยับยั้งการทำงานของ5-HT transporter</t>
        </is>
      </c>
      <c r="G991" s="2" t="inlineStr">
        <is>
          <t>ยับยั้งการทำงานของ MOA-A enzyme</t>
        </is>
      </c>
      <c r="H991" s="2" t="inlineStr">
        <is>
          <t>ยับยั้งการทำงานของMOA-B enzyme (ค)</t>
        </is>
      </c>
      <c r="I991" s="8" t="inlineStr">
        <is>
          <t>1</t>
        </is>
      </c>
      <c r="J991" s="2" t="inlineStr">
        <is>
          <t>✅ คำตอบที่ถูกต้อง: ข้อ ก. ยับยั้งการทำงานของDA transporter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(ยับยั้งการทำงานของ NE transporter): ข้อนี้ไม่ใช่คำตอบที่ถูกต้องสำหรับภาวะ General Therapeutics เนื่องจากกลไกการออกฤทธิ์, efficacy หรือข้อบ่งใช้ไม่ตรงกับโจทย์ที่กำหนด
• ข้อ ค. (ยับยั้งการทำงานของ5-HT transporter): ข้อนี้ไม่ใช่คำตอบที่ถูกต้องสำหรับภาวะ General Therapeutics เนื่องจากกลไกการออกฤทธิ์, efficacy หรือข้อบ่งใช้ไม่ตรงกับโจทย์ที่กำหนด
• ข้อ ง. (ยับยั้งการทำงานของ MOA-A enzyme): ข้อนี้ไม่ใช่คำตอบที่ถูกต้องสำหรับภาวะ General Therapeutics เนื่องจากกลไกการออกฤทธิ์, efficacy หรือข้อบ่งใช้ไม่ตรงกับโจทย์ที่กำหนด
• ข้อ จ. (ยับยั้งการทำงานของMOA-B enzyme (ค)):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1" s="2" t="n"/>
      <c r="L991" s="2" t="inlineStr">
        <is>
          <t>General Therapeutics</t>
        </is>
      </c>
      <c r="M991" s="2" t="inlineStr">
        <is>
          <t>Clinic</t>
        </is>
      </c>
      <c r="N991" s="2" t="inlineStr">
        <is>
          <t>ข้อ 5 (PLE_CC1_2547.md)</t>
        </is>
      </c>
      <c r="O991" s="2" t="inlineStr">
        <is>
          <t>ข้อสอบจริง</t>
        </is>
      </c>
      <c r="P991" s="2" t="inlineStr">
        <is>
          <t>ปี 2547</t>
        </is>
      </c>
    </row>
    <row r="992" ht="13.2" customHeight="1" s="37">
      <c r="A992" s="8" t="inlineStr">
        <is>
          <t>1013</t>
        </is>
      </c>
      <c r="B992" s="2" t="inlineStr">
        <is>
          <t>Phenelzine</t>
        </is>
      </c>
      <c r="C992" s="2" t="n"/>
      <c r="D992" s="2" t="inlineStr">
        <is>
          <t>Saltraline</t>
        </is>
      </c>
      <c r="E992" s="2" t="inlineStr">
        <is>
          <t>Cabamazepine (จ)</t>
        </is>
      </c>
      <c r="F992" s="2" t="inlineStr">
        <is>
          <t>Vitamin K1 (Phytomenadione) 10 mg IV slow</t>
        </is>
      </c>
      <c r="G992" s="2" t="inlineStr">
        <is>
          <t>Sodium thiosulfate 25% 50 mL IV</t>
        </is>
      </c>
      <c r="H992" s="2" t="inlineStr">
        <is>
          <t>Calcium disodium EDTA 1 g IV</t>
        </is>
      </c>
      <c r="I992" s="8" t="inlineStr">
        <is>
          <t>1</t>
        </is>
      </c>
      <c r="J992" s="2" t="inlineStr">
        <is>
          <t>✅ คำตอบที่ถูกต้อง: ข้อ ก. Saltraline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Saltraline การเลือก Saltraline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(Cabamazepine (จ)):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2" s="2" t="n"/>
      <c r="L992" s="2" t="inlineStr">
        <is>
          <t>General Therapeutics</t>
        </is>
      </c>
      <c r="M992" s="2" t="inlineStr">
        <is>
          <t>Clinic</t>
        </is>
      </c>
      <c r="N992" s="2" t="inlineStr">
        <is>
          <t>ข้อ 3 (PLE_CC1_2547.md)</t>
        </is>
      </c>
      <c r="O992" s="2" t="inlineStr">
        <is>
          <t>ข้อสอบจริง</t>
        </is>
      </c>
      <c r="P992" s="2" t="inlineStr">
        <is>
          <t>ปี 2547</t>
        </is>
      </c>
    </row>
    <row r="993" ht="13.2" customHeight="1" s="37">
      <c r="A993" s="8" t="inlineStr">
        <is>
          <t>1014</t>
        </is>
      </c>
      <c r="B993" s="2" t="inlineStr">
        <is>
          <t>พืชใดที่มีฤทธิ์รักษาอาการนอนไมุหลับ</t>
        </is>
      </c>
      <c r="C993" s="2" t="n"/>
      <c r="D993" s="2" t="inlineStr">
        <is>
          <t>Cassia tora</t>
        </is>
      </c>
      <c r="E993" s="2" t="inlineStr">
        <is>
          <t>Cassia garettica</t>
        </is>
      </c>
      <c r="F993" s="2" t="inlineStr">
        <is>
          <t>Cassia siamea</t>
        </is>
      </c>
      <c r="G993" s="2" t="inlineStr">
        <is>
          <t>Cassia acutifolia</t>
        </is>
      </c>
      <c r="H993" s="2" t="inlineStr">
        <is>
          <t>Cassia fistula (ค)</t>
        </is>
      </c>
      <c r="I993" s="8" t="inlineStr">
        <is>
          <t>1</t>
        </is>
      </c>
      <c r="J993" s="2" t="inlineStr">
        <is>
          <t>✅ คำตอบที่ถูกต้อง: ข้อ ก. Cassia tora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Cassia tora การเลือก Cassia tora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(Cassia garettica): ข้อนี้ไม่ใช่คำตอบที่ถูกต้องสำหรับภาวะ General Therapeutics เนื่องจากกลไกการออกฤทธิ์, efficacy หรือข้อบ่งใช้ไม่ตรงกับโจทย์ที่กำหนด
• ข้อ ค. (Cassia siamea): ข้อนี้ไม่ใช่คำตอบที่ถูกต้องสำหรับภาวะ General Therapeutics เนื่องจากกลไกการออกฤทธิ์, efficacy หรือข้อบ่งใช้ไม่ตรงกับโจทย์ที่กำหนด
• ข้อ ง. (Cassia acutifolia): ข้อนี้ไม่ใช่คำตอบที่ถูกต้องสำหรับภาวะ General Therapeutics เนื่องจากกลไกการออกฤทธิ์, efficacy หรือข้อบ่งใช้ไม่ตรงกับโจทย์ที่กำหนด
• ข้อ จ. (Cassia fistula (ค)):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3" s="2" t="n"/>
      <c r="L993" s="2" t="inlineStr">
        <is>
          <t>General Therapeutics</t>
        </is>
      </c>
      <c r="M993" s="2" t="inlineStr">
        <is>
          <t>Clinic</t>
        </is>
      </c>
      <c r="N993" s="2" t="inlineStr">
        <is>
          <t>ข้อ 1 (PLE_CC1_2547.md)</t>
        </is>
      </c>
      <c r="O993" s="2" t="inlineStr">
        <is>
          <t>ข้อสอบจริง</t>
        </is>
      </c>
      <c r="P993" s="2" t="inlineStr">
        <is>
          <t>ปี 2547</t>
        </is>
      </c>
    </row>
    <row r="994" ht="13.2" customHeight="1" s="37">
      <c r="A994" s="8" t="inlineStr">
        <is>
          <t>1015</t>
        </is>
      </c>
      <c r="B994" s="2" t="inlineStr">
        <is>
          <t>ห้ามใช้ขี้เหล็กกับผ้ปุวยโรคใด</t>
        </is>
      </c>
      <c r="C994" s="2" t="n"/>
      <c r="D994" s="2" t="inlineStr">
        <is>
          <t>กระเพาะอาหาร</t>
        </is>
      </c>
      <c r="E994" s="2" t="inlineStr">
        <is>
          <t>ตับ</t>
        </is>
      </c>
      <c r="F994" s="2" t="inlineStr">
        <is>
          <t>ไต</t>
        </is>
      </c>
      <c r="G994" s="2" t="inlineStr">
        <is>
          <t>กล้ามเนื้อ</t>
        </is>
      </c>
      <c r="H994" s="2" t="inlineStr">
        <is>
          <t>เลือด (ข)</t>
        </is>
      </c>
      <c r="I994" s="8" t="inlineStr">
        <is>
          <t>1</t>
        </is>
      </c>
      <c r="J994" s="2" t="inlineStr">
        <is>
          <t>✅ คำตอบที่ถูกต้อง: ข้อ ก. กระเพาะอาหาร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กระเพาะอาหาร การเลือก กระเพาะอาหาร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(ตับ): ข้อนี้ไม่ใช่คำตอบที่ถูกต้องสำหรับภาวะ General Therapeutics เนื่องจากกลไกการออกฤทธิ์, efficacy หรือข้อบ่งใช้ไม่ตรงกับโจทย์ที่กำหนด
• ข้อ ค. (ไต): ข้อนี้ไม่ใช่คำตอบที่ถูกต้องสำหรับภาวะ General Therapeutics เนื่องจากกลไกการออกฤทธิ์, efficacy หรือข้อบ่งใช้ไม่ตรงกับโจทย์ที่กำหนด
• ข้อ ง. (กล้ามเนื้อ): ข้อนี้ไม่ใช่คำตอบที่ถูกต้องสำหรับภาวะ General Therapeutics เนื่องจากกลไกการออกฤทธิ์, efficacy หรือข้อบ่งใช้ไม่ตรงกับโจทย์ที่กำหนด
• ข้อ จ. (เลือด (ข)):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4" s="2" t="n"/>
      <c r="L994" s="2" t="inlineStr">
        <is>
          <t>General Therapeutics</t>
        </is>
      </c>
      <c r="M994" s="2" t="inlineStr">
        <is>
          <t>Clinic</t>
        </is>
      </c>
      <c r="N994" s="2" t="inlineStr">
        <is>
          <t>ข้อ 2 (PLE_CC1_2547.md)</t>
        </is>
      </c>
      <c r="O994" s="2" t="inlineStr">
        <is>
          <t>ข้อสอบจริง</t>
        </is>
      </c>
      <c r="P994" s="2" t="inlineStr">
        <is>
          <t>ปี 2547</t>
        </is>
      </c>
    </row>
    <row r="995" ht="13.2" customHeight="1" s="37">
      <c r="A995" s="8" t="inlineStr">
        <is>
          <t>1016</t>
        </is>
      </c>
      <c r="B995" s="2" t="inlineStr">
        <is>
          <t>ข้อใดตุอไปนี้ไมุใชุประโยชน์ของการใช้ยากลุ่มBZ ในทางคลินิก</t>
        </is>
      </c>
      <c r="C995" s="2" t="n"/>
      <c r="D995" s="2" t="inlineStr">
        <is>
          <t>ใช้เป็นยานอนหลับ</t>
        </is>
      </c>
      <c r="E995" s="2" t="inlineStr">
        <is>
          <t>ใช้เป็นยาคลายกังวล</t>
        </is>
      </c>
      <c r="F995" s="2" t="inlineStr">
        <is>
          <t>ใช้เป็นยาคลายกล้ามเนื้อ</t>
        </is>
      </c>
      <c r="G995" s="2" t="inlineStr">
        <is>
          <t>ใช้เป็นยากันชัก</t>
        </is>
      </c>
      <c r="H995" s="2" t="inlineStr">
        <is>
          <t>ใช้เป็นยาสลบ (ก)</t>
        </is>
      </c>
      <c r="I995" s="8" t="inlineStr">
        <is>
          <t>1</t>
        </is>
      </c>
      <c r="J995" s="2" t="inlineStr">
        <is>
          <t>✅ คำตอบที่ถูกต้อง: ข้อ ก. ใช้เป็นยานอนหลับ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ใช้เป็นยานอนหลับ การเลือก ใช้เป็นยานอนหลับ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(ใช้เป็นยาคลายกังวล): ข้อนี้ไม่ใช่คำตอบที่ถูกต้องสำหรับภาวะ General Therapeutics เนื่องจากกลไกการออกฤทธิ์, efficacy หรือข้อบ่งใช้ไม่ตรงกับโจทย์ที่กำหนด
• ข้อ ค. (ใช้เป็นยาคลายกล้ามเนื้อ): ข้อนี้ไม่ใช่คำตอบที่ถูกต้องสำหรับภาวะ General Therapeutics เนื่องจากกลไกการออกฤทธิ์, efficacy หรือข้อบ่งใช้ไม่ตรงกับโจทย์ที่กำหนด
• ข้อ ง. (ใช้เป็นยากันชัก): ข้อนี้ไม่ใช่คำตอบที่ถูกต้องสำหรับภาวะ General Therapeutics เนื่องจากกลไกการออกฤทธิ์, efficacy หรือข้อบ่งใช้ไม่ตรงกับโจทย์ที่กำหนด
• ข้อ จ. (ใช้เป็นยาสลบ (ก)):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5" s="2" t="n"/>
      <c r="L995" s="2" t="inlineStr">
        <is>
          <t>General Therapeutics</t>
        </is>
      </c>
      <c r="M995" s="2" t="inlineStr">
        <is>
          <t>Clinic</t>
        </is>
      </c>
      <c r="N995" s="2" t="inlineStr">
        <is>
          <t>ข้อ 7 (PLE_CC1_2547.md)</t>
        </is>
      </c>
      <c r="O995" s="2" t="inlineStr">
        <is>
          <t>ข้อสอบจริง</t>
        </is>
      </c>
      <c r="P995" s="2" t="inlineStr">
        <is>
          <t>ปี 2547</t>
        </is>
      </c>
    </row>
    <row r="996" ht="13.2" customHeight="1" s="37">
      <c r="A996" s="8" t="inlineStr">
        <is>
          <t>1017</t>
        </is>
      </c>
      <c r="B996" s="2" t="inlineStr">
        <is>
          <t>สามารถผุานBBB ได้เนื่องจากมีโครงสร้างที่ชอบละลายในไขมัน</t>
        </is>
      </c>
      <c r="C996" s="2" t="n"/>
      <c r="D996" s="2" t="inlineStr">
        <is>
          <t>Naloxone 0.4 mg IV stat</t>
        </is>
      </c>
      <c r="E996" s="2" t="inlineStr">
        <is>
          <t>Flumazenil 0.2 mg IV stat</t>
        </is>
      </c>
      <c r="F996" s="2" t="inlineStr">
        <is>
          <t>Vitamin K1 (Phytomenadione) 10 mg IV slow</t>
        </is>
      </c>
      <c r="G996" s="2" t="inlineStr">
        <is>
          <t>Sodium thiosulfate 25% 50 mL IV</t>
        </is>
      </c>
      <c r="H996" s="2" t="inlineStr">
        <is>
          <t>Calcium disodium EDTA 1 g IV</t>
        </is>
      </c>
      <c r="I996" s="8" t="inlineStr">
        <is>
          <t>1</t>
        </is>
      </c>
      <c r="J9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996" s="2" t="n"/>
      <c r="L996" s="2" t="inlineStr">
        <is>
          <t>General Therapeutics</t>
        </is>
      </c>
      <c r="M996" s="2" t="inlineStr">
        <is>
          <t>Clinic</t>
        </is>
      </c>
      <c r="N996" s="2" t="inlineStr">
        <is>
          <t>ข้อ 1 (PLE_CC1_2547.md)</t>
        </is>
      </c>
      <c r="O996" s="2" t="inlineStr">
        <is>
          <t>ข้อสอบจริง</t>
        </is>
      </c>
      <c r="P996" s="2" t="inlineStr">
        <is>
          <t>ปี 2547</t>
        </is>
      </c>
    </row>
    <row r="997" ht="13.2" customHeight="1" s="37">
      <c r="A997" s="8" t="inlineStr">
        <is>
          <t>1018</t>
        </is>
      </c>
      <c r="B997" s="2" t="inlineStr">
        <is>
          <t>มีระยะเวลาในการออกฤทธิ์สั้นเนื่องจากมีหมุ้Cl</t>
        </is>
      </c>
      <c r="C997" s="2" t="n"/>
      <c r="D997" s="2" t="inlineStr">
        <is>
          <t>Sodium thiosulfate 25% 50 mL IV</t>
        </is>
      </c>
      <c r="E997" s="2" t="inlineStr">
        <is>
          <t>Calcium disodium EDTA 1 g IV</t>
        </is>
      </c>
      <c r="F997" s="2" t="inlineStr">
        <is>
          <t>Desferrioxamine 1 g IM/IV</t>
        </is>
      </c>
      <c r="G997" s="2" t="inlineStr">
        <is>
          <t>Dimercaprol (BAL) 3 mg/kg IM</t>
        </is>
      </c>
      <c r="H997" s="2" t="inlineStr">
        <is>
          <t>Ethanol 10% IV infusion for Methanol poisoning</t>
        </is>
      </c>
      <c r="I997" s="8" t="inlineStr">
        <is>
          <t>1</t>
        </is>
      </c>
      <c r="J9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7" s="2" t="n"/>
      <c r="L997" s="2" t="inlineStr">
        <is>
          <t>General Therapeutics</t>
        </is>
      </c>
      <c r="M997" s="2" t="inlineStr">
        <is>
          <t>Clinic</t>
        </is>
      </c>
      <c r="N997" s="2" t="inlineStr">
        <is>
          <t>ข้อ 2 (PLE_CC1_2547.md)</t>
        </is>
      </c>
      <c r="O997" s="2" t="inlineStr">
        <is>
          <t>ข้อสอบจริง</t>
        </is>
      </c>
      <c r="P997" s="2" t="inlineStr">
        <is>
          <t>ปี 2547</t>
        </is>
      </c>
    </row>
    <row r="998" ht="13.2" customHeight="1" s="37">
      <c r="A998" s="8" t="inlineStr">
        <is>
          <t>1019</t>
        </is>
      </c>
      <c r="B998" s="2" t="inlineStr">
        <is>
          <t>มีระยะเวลาในการออกฤทธิ์สั้นเนื่องจากมีหมุ้CH3</t>
        </is>
      </c>
      <c r="C998" s="2" t="n"/>
      <c r="D998" s="2" t="inlineStr">
        <is>
          <t>Dimercaprol (BAL) 3 mg/kg IM</t>
        </is>
      </c>
      <c r="E998" s="2" t="inlineStr">
        <is>
          <t>Ethanol 10% IV infusion for Methanol poisoning</t>
        </is>
      </c>
      <c r="F998" s="2" t="inlineStr">
        <is>
          <t>Fomepizole 15 mg/kg IV loading</t>
        </is>
      </c>
      <c r="G998" s="2" t="inlineStr">
        <is>
          <t>N-acetylcysteine (NAC) IV infusion protocol</t>
        </is>
      </c>
      <c r="H998" s="2" t="inlineStr">
        <is>
          <t>Atropine sulfate 2 mg IV Q5-10 min</t>
        </is>
      </c>
      <c r="I998" s="8" t="inlineStr">
        <is>
          <t>1</t>
        </is>
      </c>
      <c r="J9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8" s="2" t="n"/>
      <c r="L998" s="2" t="inlineStr">
        <is>
          <t>General Therapeutics</t>
        </is>
      </c>
      <c r="M998" s="2" t="inlineStr">
        <is>
          <t>Clinic</t>
        </is>
      </c>
      <c r="N998" s="2" t="inlineStr">
        <is>
          <t>ข้อ 3 (PLE_CC1_2547.md)</t>
        </is>
      </c>
      <c r="O998" s="2" t="inlineStr">
        <is>
          <t>ข้อสอบจริง</t>
        </is>
      </c>
      <c r="P998" s="2" t="inlineStr">
        <is>
          <t>ปี 2547</t>
        </is>
      </c>
    </row>
    <row r="999" ht="13.2" customHeight="1" s="37">
      <c r="A999" s="8" t="inlineStr">
        <is>
          <t>1020</t>
        </is>
      </c>
      <c r="B999" s="2" t="inlineStr">
        <is>
          <t>มีระยะเวลาที่ยาเริ่มออกฤทธิ์เร็วเนื่องจากถ้กเมตาบอไลต์เป็นN-OH</t>
        </is>
      </c>
      <c r="C999" s="2" t="n"/>
      <c r="D999" s="2" t="inlineStr">
        <is>
          <t>N-acetylcysteine (NAC) IV infusion protocol</t>
        </is>
      </c>
      <c r="E999" s="2" t="inlineStr">
        <is>
          <t>Atropine sulfate 2 mg IV Q5-10 min</t>
        </is>
      </c>
      <c r="F999" s="2" t="inlineStr">
        <is>
          <t>Pralidoxime (2-PAM) 1-2 g IV over 30 min</t>
        </is>
      </c>
      <c r="G999" s="2" t="inlineStr">
        <is>
          <t>Naloxone 0.4 mg IV stat</t>
        </is>
      </c>
      <c r="H999" s="2" t="inlineStr">
        <is>
          <t>Flumazenil 0.2 mg IV stat</t>
        </is>
      </c>
      <c r="I999" s="8" t="inlineStr">
        <is>
          <t>1</t>
        </is>
      </c>
      <c r="J9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999" s="2" t="n"/>
      <c r="L999" s="2" t="inlineStr">
        <is>
          <t>General Therapeutics</t>
        </is>
      </c>
      <c r="M999" s="2" t="inlineStr">
        <is>
          <t>Clinic</t>
        </is>
      </c>
      <c r="N999" s="2" t="inlineStr">
        <is>
          <t>ข้อ 4 (PLE_CC1_2547.md)</t>
        </is>
      </c>
      <c r="O999" s="2" t="inlineStr">
        <is>
          <t>ข้อสอบจริง</t>
        </is>
      </c>
      <c r="P999" s="2" t="inlineStr">
        <is>
          <t>ปี 2547</t>
        </is>
      </c>
    </row>
    <row r="1000" ht="13.2" customHeight="1" s="37">
      <c r="A1000" s="8" t="inlineStr">
        <is>
          <t>1021</t>
        </is>
      </c>
      <c r="B1000" s="2" t="inlineStr">
        <is>
          <t>อาการที่เกิดขึ้นสัมพันธ์กับโรคใด</t>
        </is>
      </c>
      <c r="C1000" s="2" t="n"/>
      <c r="D1000" s="2" t="inlineStr">
        <is>
          <t>Naloxone 0.4 mg IV stat</t>
        </is>
      </c>
      <c r="E1000" s="2" t="inlineStr">
        <is>
          <t>Flumazenil 0.2 mg IV stat</t>
        </is>
      </c>
      <c r="F1000" s="2" t="inlineStr">
        <is>
          <t>Vitamin K1 (Phytomenadione) 10 mg IV slow</t>
        </is>
      </c>
      <c r="G1000" s="2" t="inlineStr">
        <is>
          <t>Sodium thiosulfate 25% 50 mL IV</t>
        </is>
      </c>
      <c r="H1000" s="2" t="inlineStr">
        <is>
          <t>Calcium disodium EDTA 1 g IV</t>
        </is>
      </c>
      <c r="I1000" s="8" t="inlineStr">
        <is>
          <t>1</t>
        </is>
      </c>
      <c r="J10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00" s="2" t="n"/>
      <c r="L1000" s="2" t="inlineStr">
        <is>
          <t>General Therapeutics</t>
        </is>
      </c>
      <c r="M1000" s="2" t="inlineStr">
        <is>
          <t>Clinic</t>
        </is>
      </c>
      <c r="N1000" s="2" t="inlineStr">
        <is>
          <t>ข้อ 1 (PLE_CC1_2533.md)</t>
        </is>
      </c>
      <c r="O1000" s="2" t="inlineStr">
        <is>
          <t>ข้อสอบจริง</t>
        </is>
      </c>
      <c r="P1000" s="2" t="inlineStr">
        <is>
          <t>ปี 2533</t>
        </is>
      </c>
    </row>
    <row r="1001" ht="13.2" customHeight="1" s="37">
      <c r="A1001" s="8" t="inlineStr">
        <is>
          <t>1022</t>
        </is>
      </c>
      <c r="B1001" s="2" t="inlineStr">
        <is>
          <t>Crohn’ s disease</t>
        </is>
      </c>
      <c r="C1001" s="2" t="n"/>
      <c r="D1001" s="2" t="inlineStr">
        <is>
          <t>Sodium thiosulfate 25% 50 mL IV</t>
        </is>
      </c>
      <c r="E1001" s="2" t="inlineStr">
        <is>
          <t>Calcium disodium EDTA 1 g IV</t>
        </is>
      </c>
      <c r="F1001" s="2" t="inlineStr">
        <is>
          <t>Desferrioxamine 1 g IM/IV</t>
        </is>
      </c>
      <c r="G1001" s="2" t="inlineStr">
        <is>
          <t>Dimercaprol (BAL) 3 mg/kg IM</t>
        </is>
      </c>
      <c r="H1001" s="2" t="inlineStr">
        <is>
          <t>Ethanol 10% IV infusion for Methanol poisoning</t>
        </is>
      </c>
      <c r="I1001" s="8" t="inlineStr">
        <is>
          <t>1</t>
        </is>
      </c>
      <c r="J10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1" s="2" t="n"/>
      <c r="L1001" s="2" t="inlineStr">
        <is>
          <t>General Therapeutics</t>
        </is>
      </c>
      <c r="M1001" s="2" t="inlineStr">
        <is>
          <t>Clinic</t>
        </is>
      </c>
      <c r="N1001" s="2" t="inlineStr">
        <is>
          <t>ข้อ 2 (PLE_CC1_2533.md)</t>
        </is>
      </c>
      <c r="O1001" s="2" t="inlineStr">
        <is>
          <t>ข้อสอบจริง</t>
        </is>
      </c>
      <c r="P1001" s="2" t="inlineStr">
        <is>
          <t>ปี 2533</t>
        </is>
      </c>
    </row>
    <row r="1002" ht="13.2" customHeight="1" s="37">
      <c r="A1002" s="8" t="inlineStr">
        <is>
          <t>1023</t>
        </is>
      </c>
      <c r="B1002" s="2" t="inlineStr">
        <is>
          <t>Irritable bowel syndrome (IBD)</t>
        </is>
      </c>
      <c r="C1002" s="2" t="n"/>
      <c r="D1002" s="2" t="inlineStr">
        <is>
          <t>Dimercaprol (BAL) 3 mg/kg IM</t>
        </is>
      </c>
      <c r="E1002" s="2" t="inlineStr">
        <is>
          <t>Ethanol 10% IV infusion for Methanol poisoning</t>
        </is>
      </c>
      <c r="F1002" s="2" t="inlineStr">
        <is>
          <t>Fomepizole 15 mg/kg IV loading</t>
        </is>
      </c>
      <c r="G1002" s="2" t="inlineStr">
        <is>
          <t>N-acetylcysteine (NAC) IV infusion protocol</t>
        </is>
      </c>
      <c r="H1002" s="2" t="inlineStr">
        <is>
          <t>Atropine sulfate 2 mg IV Q5-10 min</t>
        </is>
      </c>
      <c r="I1002" s="8" t="inlineStr">
        <is>
          <t>1</t>
        </is>
      </c>
      <c r="J10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2" s="2" t="n"/>
      <c r="L1002" s="2" t="inlineStr">
        <is>
          <t>General Therapeutics</t>
        </is>
      </c>
      <c r="M1002" s="2" t="inlineStr">
        <is>
          <t>Clinic</t>
        </is>
      </c>
      <c r="N1002" s="2" t="inlineStr">
        <is>
          <t>ข้อ 3 (PLE_CC1_2533.md)</t>
        </is>
      </c>
      <c r="O1002" s="2" t="inlineStr">
        <is>
          <t>ข้อสอบจริง</t>
        </is>
      </c>
      <c r="P1002" s="2" t="inlineStr">
        <is>
          <t>ปี 2533</t>
        </is>
      </c>
    </row>
    <row r="1003" ht="13.2" customHeight="1" s="37">
      <c r="A1003" s="8" t="inlineStr">
        <is>
          <t>1024</t>
        </is>
      </c>
      <c r="B1003" s="2" t="inlineStr">
        <is>
          <t>ข้อใดที่ไม่ใช่สาเหตุการเกิดโรคดังกล่าว</t>
        </is>
      </c>
      <c r="C1003" s="2" t="n"/>
      <c r="D1003" s="2" t="inlineStr">
        <is>
          <t>N-acetylcysteine (NAC) IV infusion protocol</t>
        </is>
      </c>
      <c r="E1003" s="2" t="inlineStr">
        <is>
          <t>Atropine sulfate 2 mg IV Q5-10 min</t>
        </is>
      </c>
      <c r="F1003" s="2" t="inlineStr">
        <is>
          <t>Pralidoxime (2-PAM) 1-2 g IV over 30 min</t>
        </is>
      </c>
      <c r="G1003" s="2" t="inlineStr">
        <is>
          <t>Naloxone 0.4 mg IV stat</t>
        </is>
      </c>
      <c r="H1003" s="2" t="inlineStr">
        <is>
          <t>Flumazenil 0.2 mg IV stat</t>
        </is>
      </c>
      <c r="I1003" s="8" t="inlineStr">
        <is>
          <t>1</t>
        </is>
      </c>
      <c r="J10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03" s="2" t="n"/>
      <c r="L1003" s="2" t="inlineStr">
        <is>
          <t>General Therapeutics</t>
        </is>
      </c>
      <c r="M1003" s="2" t="inlineStr">
        <is>
          <t>Clinic</t>
        </is>
      </c>
      <c r="N1003" s="2" t="inlineStr">
        <is>
          <t>ข้อ 2 (PLE_CC1_2533.md)</t>
        </is>
      </c>
      <c r="O1003" s="2" t="inlineStr">
        <is>
          <t>ข้อสอบจริง</t>
        </is>
      </c>
      <c r="P1003" s="2" t="inlineStr">
        <is>
          <t>ปี 2533</t>
        </is>
      </c>
    </row>
    <row r="1004" ht="13.2" customHeight="1" s="37">
      <c r="A1004" s="8" t="inlineStr">
        <is>
          <t>1025</t>
        </is>
      </c>
      <c r="B1004" s="2" t="inlineStr">
        <is>
          <t>Clostridium difficile</t>
        </is>
      </c>
      <c r="C1004" s="2" t="n"/>
      <c r="D1004" s="2" t="inlineStr">
        <is>
          <t>Naloxone 0.4 mg IV stat</t>
        </is>
      </c>
      <c r="E1004" s="2" t="inlineStr">
        <is>
          <t>Flumazenil 0.2 mg IV stat</t>
        </is>
      </c>
      <c r="F1004" s="2" t="inlineStr">
        <is>
          <t>Vitamin K1 (Phytomenadione) 10 mg IV slow</t>
        </is>
      </c>
      <c r="G1004" s="2" t="inlineStr">
        <is>
          <t>Sodium thiosulfate 25% 50 mL IV</t>
        </is>
      </c>
      <c r="H1004" s="2" t="inlineStr">
        <is>
          <t>Calcium disodium EDTA 1 g IV</t>
        </is>
      </c>
      <c r="I1004" s="8" t="inlineStr">
        <is>
          <t>1</t>
        </is>
      </c>
      <c r="J10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04" s="2" t="n"/>
      <c r="L1004" s="2" t="inlineStr">
        <is>
          <t>General Therapeutics</t>
        </is>
      </c>
      <c r="M1004" s="2" t="inlineStr">
        <is>
          <t>Clinic</t>
        </is>
      </c>
      <c r="N1004" s="2" t="inlineStr">
        <is>
          <t>ข้อ 2 (PLE_CC1_2533.md)</t>
        </is>
      </c>
      <c r="O1004" s="2" t="inlineStr">
        <is>
          <t>ข้อสอบจริง</t>
        </is>
      </c>
      <c r="P1004" s="2" t="inlineStr">
        <is>
          <t>ปี 2533</t>
        </is>
      </c>
    </row>
    <row r="1005" ht="13.2" customHeight="1" s="37">
      <c r="A1005" s="8" t="inlineStr">
        <is>
          <t>1026</t>
        </is>
      </c>
      <c r="B1005" s="2" t="inlineStr">
        <is>
          <t>delayed gastric empying</t>
        </is>
      </c>
      <c r="C1005" s="2" t="n"/>
      <c r="D1005" s="2" t="inlineStr">
        <is>
          <t>Sodium thiosulfate 25% 50 mL IV</t>
        </is>
      </c>
      <c r="E1005" s="2" t="inlineStr">
        <is>
          <t>Calcium disodium EDTA 1 g IV</t>
        </is>
      </c>
      <c r="F1005" s="2" t="inlineStr">
        <is>
          <t>Desferrioxamine 1 g IM/IV</t>
        </is>
      </c>
      <c r="G1005" s="2" t="inlineStr">
        <is>
          <t>Dimercaprol (BAL) 3 mg/kg IM</t>
        </is>
      </c>
      <c r="H1005" s="2" t="inlineStr">
        <is>
          <t>Ethanol 10% IV infusion for Methanol poisoning</t>
        </is>
      </c>
      <c r="I1005" s="8" t="inlineStr">
        <is>
          <t>1</t>
        </is>
      </c>
      <c r="J10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5" s="2" t="n"/>
      <c r="L1005" s="2" t="inlineStr">
        <is>
          <t>General Therapeutics</t>
        </is>
      </c>
      <c r="M1005" s="2" t="inlineStr">
        <is>
          <t>Clinic</t>
        </is>
      </c>
      <c r="N1005" s="2" t="inlineStr">
        <is>
          <t>ข้อ 4 (PLE_CC1_2533.md)</t>
        </is>
      </c>
      <c r="O1005" s="2" t="inlineStr">
        <is>
          <t>ข้อสอบจริง</t>
        </is>
      </c>
      <c r="P1005" s="2" t="inlineStr">
        <is>
          <t>ปี 2533</t>
        </is>
      </c>
    </row>
    <row r="1006" ht="13.2" customHeight="1" s="37">
      <c r="A1006" s="8" t="inlineStr">
        <is>
          <t>1027</t>
        </is>
      </c>
      <c r="B1006" s="2" t="inlineStr">
        <is>
          <t>ยาใดไม่เหมาะสมผู้ป่วยรายนี้</t>
        </is>
      </c>
      <c r="C1006" s="2" t="n"/>
      <c r="D1006" s="2" t="inlineStr">
        <is>
          <t>Dimercaprol (BAL) 3 mg/kg IM</t>
        </is>
      </c>
      <c r="E1006" s="2" t="inlineStr">
        <is>
          <t>Ethanol 10% IV infusion for Methanol poisoning</t>
        </is>
      </c>
      <c r="F1006" s="2" t="inlineStr">
        <is>
          <t>Fomepizole 15 mg/kg IV loading</t>
        </is>
      </c>
      <c r="G1006" s="2" t="inlineStr">
        <is>
          <t>N-acetylcysteine (NAC) IV infusion protocol</t>
        </is>
      </c>
      <c r="H1006" s="2" t="inlineStr">
        <is>
          <t>Atropine sulfate 2 mg IV Q5-10 min</t>
        </is>
      </c>
      <c r="I1006" s="8" t="inlineStr">
        <is>
          <t>1</t>
        </is>
      </c>
      <c r="J10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6" s="2" t="n"/>
      <c r="L1006" s="2" t="inlineStr">
        <is>
          <t>General Therapeutics</t>
        </is>
      </c>
      <c r="M1006" s="2" t="inlineStr">
        <is>
          <t>Clinic</t>
        </is>
      </c>
      <c r="N1006" s="2" t="inlineStr">
        <is>
          <t>ข้อ 3 (PLE_CC1_2533.md)</t>
        </is>
      </c>
      <c r="O1006" s="2" t="inlineStr">
        <is>
          <t>ข้อสอบจริง</t>
        </is>
      </c>
      <c r="P1006" s="2" t="inlineStr">
        <is>
          <t>ปี 2533</t>
        </is>
      </c>
    </row>
    <row r="1007" ht="13.2" customHeight="1" s="37">
      <c r="A1007" s="8" t="inlineStr">
        <is>
          <t>1028</t>
        </is>
      </c>
      <c r="B1007" s="2" t="inlineStr">
        <is>
          <t>Antacid การรักษาทางยา กลุ่มยาที่ใช้ในการรักษาภาวะกรดไหลย้อนได้แก่</t>
        </is>
      </c>
      <c r="C1007" s="2" t="n"/>
      <c r="D1007" s="2" t="inlineStr">
        <is>
          <t>1 Neutralize gastric acids ยาที่ปรับสภาพกรดในกระเพาะอาหารให้เป็นกลาง เช่น Antacids ได้แก่ antacids ทำให้ท้องผูก ถ้ามีส่วนผสมของ Magnesium ทำให้ท้องเสีย เม็ดและยาน้ำ ถ้าเป็นยาเม็ดต้องเคี้ยวก่อนกลืน ให้ 1tab ก่อนอาหารและก่อนนอน</t>
        </is>
      </c>
      <c r="E1007" s="2" t="inlineStr">
        <is>
          <t>2 Reduce gastric acid secretion ให้ยาลดการหลั่งกรดในกระเพาะอาหาร นอกจากนี้ยาในกลุ่มนี้ยังช่วย ปวดศีรษะ และท้องเสีย เช่น Histamine (H2) receptor antagonists ได้แก่</t>
        </is>
      </c>
      <c r="F1007" s="2" t="inlineStr">
        <is>
          <t>2.1 Cimetidine (Tagamet) 400mgวันละ 2 ครั้งหรือ 800mg ก่อนนอน สำหรับการใช้ Cimetidine ยาตัวนี้ ลดการดูดซึม B12</t>
        </is>
      </c>
      <c r="G1007" s="2" t="inlineStr">
        <is>
          <t>2.2 Ranitidine (Zantac) ให้ 300mg ต่อวัน</t>
        </is>
      </c>
      <c r="H1007" s="2" t="inlineStr">
        <is>
          <t>2.3 Famotidine (Pepcid) ให้ 20mg วันละ 2 ครั้ง</t>
        </is>
      </c>
      <c r="I1007" s="8" t="inlineStr">
        <is>
          <t>2</t>
        </is>
      </c>
      <c r="J1007" s="2" t="inlineStr">
        <is>
          <t>✅ คำตอบที่ถูกต้อง: ข้อ ข. 2 Reduce gastric acid secretion ให้ยาลดการหลั่งกรดในกระเพาะอาหาร นอกจากนี้ยาในกลุ่มนี้ยังช่วย ปวดศีรษะ และท้องเสีย เช่น Histamine (H2) receptor antagonists ได้แก่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2 Reduce gastric acid secretion ให้ยาลดการหลั่งกรดในกระเพาะอาหาร นอกจากนี้ยาในกลุ่มนี้ยังช่วย ปวดศีรษะ และท้องเสีย เช่น Histamine (H2) receptor antagonists ได้แก่ Aluminum หรือ  Magnesium-based product ผลข้างเคียงของยาที่มีส่วนผสมของ Aluminum หรือ Calcium carbonate Antacid plus alginic acid ได้แก่  Gaviscon ยาในกลุ่มนี้จะช่วยป้องกัน Reflux หรือ Buffers effects มีทั้งยา ส่งเสริมการหายของหลอดอาหารอักเสบ  และควรรับประทานยาพร้อมอาหาร สำหรับผลข้างเคียงของยาที่พบได้แก่ อ่อนเพลีย , ควรระวังในเรื่องของ  B12 deficiency  ถ้าใช้มากกว่าวันละ 1 ครั้ง ดั้งนั้นถ้าจะใช้แนะนำให้ใช้วันละ 1 ครั้งก่อนนอน เพราะยาไป
🔍 ข้ออื่นผิดเพราะอะไร:
• ข้อ ก. (1 Neutralize gastric acids ยาที่ปรับสภาพกรดในกระเพาะอาหารให้เป็นกลาง เช่น Antacids ได้แก่ antacids ทำให้ท้องผูก ถ้ามีส่วนผสมของ Magnesium ทำให้ท้องเสีย เม็ดและยาน้ำ ถ้าเป็นยาเม็ดต้องเคี้ยวก่อนกลืน ให้ 1tab ก่อนอาหารและก่อนนอน): ข้อนี้ไม่ใช่คำตอบที่ถูกต้องสำหรับภาวะ GI Disorders เนื่องจากกลไกการออกฤทธิ์, efficacy หรือข้อบ่งใช้ไม่ตรงกับโจทย์ที่กำหนด
• ข้อ ค. (2.1 Cimetidine (Tagamet) 400mgวันละ 2 ครั้งหรือ 800mg ก่อนนอน สำหรับการใช้ Cimetidine ยาตัวนี้ ลดการดูดซึม B12): ข้อนี้ไม่ใช่คำตอบที่ถูกต้องสำหรับภาวะ GI Disorders เนื่องจากกลไกการออกฤทธิ์, efficacy หรือข้อบ่งใช้ไม่ตรงกับโจทย์ที่กำหนด
• ข้อ ง. (2.2 Ranitidine (Zantac) ให้ 300mg ต่อวัน): ข้อนี้ไม่ใช่คำตอบที่ถูกต้องสำหรับภาวะ GI Disorders เนื่องจากกลไกการออกฤทธิ์, efficacy หรือข้อบ่งใช้ไม่ตรงกับโจทย์ที่กำหนด
• ข้อ จ. (2.3 Famotidine (Pepcid) ให้ 20mg วันละ 2 ครั้ง): ข้อนี้ไม่ใช่คำตอบที่ถูกต้องสำหรับภาวะ GI Disorders เนื่องจากกลไกการออกฤทธิ์, efficacy หรือข้อบ่งใช้ไม่ตรงกับโจทย์ที่กำหนด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07" s="2" t="n"/>
      <c r="L1007" s="2" t="inlineStr">
        <is>
          <t>GI Disorders</t>
        </is>
      </c>
      <c r="M1007" s="2" t="inlineStr">
        <is>
          <t>Clinic</t>
        </is>
      </c>
      <c r="N1007" s="2" t="inlineStr">
        <is>
          <t>ข้อ 5 (PLE_CC1_2533.md)</t>
        </is>
      </c>
      <c r="O1007" s="2" t="inlineStr">
        <is>
          <t>ข้อสอบจริง</t>
        </is>
      </c>
      <c r="P1007" s="2" t="inlineStr">
        <is>
          <t>ปี 2533</t>
        </is>
      </c>
    </row>
    <row r="1008" ht="13.2" customHeight="1" s="37">
      <c r="A1008" s="8" t="inlineStr">
        <is>
          <t>1029</t>
        </is>
      </c>
      <c r="B1008" s="2" t="inlineStr">
        <is>
          <t>รับประทานทันทีหลังแกะจากแผง</t>
        </is>
      </c>
      <c r="C1008" s="2" t="n"/>
      <c r="D1008" s="2" t="inlineStr">
        <is>
          <t>Naloxone 0.4 mg IV stat</t>
        </is>
      </c>
      <c r="E1008" s="2" t="inlineStr">
        <is>
          <t>Flumazenil 0.2 mg IV stat</t>
        </is>
      </c>
      <c r="F1008" s="2" t="inlineStr">
        <is>
          <t>Vitamin K1 (Phytomenadione) 10 mg IV slow</t>
        </is>
      </c>
      <c r="G1008" s="2" t="inlineStr">
        <is>
          <t>Sodium thiosulfate 25% 50 mL IV</t>
        </is>
      </c>
      <c r="H1008" s="2" t="inlineStr">
        <is>
          <t>Calcium disodium EDTA 1 g IV</t>
        </is>
      </c>
      <c r="I1008" s="8" t="inlineStr">
        <is>
          <t>1</t>
        </is>
      </c>
      <c r="J10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08" s="2" t="n"/>
      <c r="L1008" s="2" t="inlineStr">
        <is>
          <t>General Therapeutics</t>
        </is>
      </c>
      <c r="M1008" s="2" t="inlineStr">
        <is>
          <t>Clinic</t>
        </is>
      </c>
      <c r="N1008" s="2" t="inlineStr">
        <is>
          <t>ข้อ 1 (PLE_CC1_2533.md)</t>
        </is>
      </c>
      <c r="O1008" s="2" t="inlineStr">
        <is>
          <t>ข้อสอบจริง</t>
        </is>
      </c>
      <c r="P1008" s="2" t="inlineStr">
        <is>
          <t>ปี 2533</t>
        </is>
      </c>
    </row>
    <row r="1009" ht="13.2" customHeight="1" s="37">
      <c r="A1009" s="8" t="inlineStr">
        <is>
          <t>1030</t>
        </is>
      </c>
      <c r="B1009" s="2" t="inlineStr">
        <is>
          <t>แนะนำให้รับประทานหลังอาหารจะได้ผลดีที่สุด</t>
        </is>
      </c>
      <c r="C1009" s="2" t="n"/>
      <c r="D1009" s="2" t="inlineStr">
        <is>
          <t>Sodium thiosulfate 25% 50 mL IV</t>
        </is>
      </c>
      <c r="E1009" s="2" t="inlineStr">
        <is>
          <t>Calcium disodium EDTA 1 g IV</t>
        </is>
      </c>
      <c r="F1009" s="2" t="inlineStr">
        <is>
          <t>Desferrioxamine 1 g IM/IV</t>
        </is>
      </c>
      <c r="G1009" s="2" t="inlineStr">
        <is>
          <t>Dimercaprol (BAL) 3 mg/kg IM</t>
        </is>
      </c>
      <c r="H1009" s="2" t="inlineStr">
        <is>
          <t>Ethanol 10% IV infusion for Methanol poisoning</t>
        </is>
      </c>
      <c r="I1009" s="8" t="inlineStr">
        <is>
          <t>1</t>
        </is>
      </c>
      <c r="J10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9" s="2" t="n"/>
      <c r="L1009" s="2" t="inlineStr">
        <is>
          <t>General Therapeutics</t>
        </is>
      </c>
      <c r="M1009" s="2" t="inlineStr">
        <is>
          <t>Clinic</t>
        </is>
      </c>
      <c r="N1009" s="2" t="inlineStr">
        <is>
          <t>ข้อ 2 (PLE_CC1_2533.md)</t>
        </is>
      </c>
      <c r="O1009" s="2" t="inlineStr">
        <is>
          <t>ข้อสอบจริง</t>
        </is>
      </c>
      <c r="P1009" s="2" t="inlineStr">
        <is>
          <t>ปี 2533</t>
        </is>
      </c>
    </row>
    <row r="1010" ht="13.2" customHeight="1" s="37">
      <c r="A1010" s="8" t="inlineStr">
        <is>
          <t>1031</t>
        </is>
      </c>
      <c r="B1010" s="2" t="inlineStr">
        <is>
          <t>แนะนำให้เคี้ยวให้ละเอียด</t>
        </is>
      </c>
      <c r="C1010" s="2" t="n"/>
      <c r="D1010" s="2" t="inlineStr">
        <is>
          <t>Dimercaprol (BAL) 3 mg/kg IM</t>
        </is>
      </c>
      <c r="E1010" s="2" t="inlineStr">
        <is>
          <t>Ethanol 10% IV infusion for Methanol poisoning</t>
        </is>
      </c>
      <c r="F1010" s="2" t="inlineStr">
        <is>
          <t>Fomepizole 15 mg/kg IV loading</t>
        </is>
      </c>
      <c r="G1010" s="2" t="inlineStr">
        <is>
          <t>N-acetylcysteine (NAC) IV infusion protocol</t>
        </is>
      </c>
      <c r="H1010" s="2" t="inlineStr">
        <is>
          <t>Atropine sulfate 2 mg IV Q5-10 min</t>
        </is>
      </c>
      <c r="I1010" s="8" t="inlineStr">
        <is>
          <t>1</t>
        </is>
      </c>
      <c r="J10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0" s="2" t="n"/>
      <c r="L1010" s="2" t="inlineStr">
        <is>
          <t>General Therapeutics</t>
        </is>
      </c>
      <c r="M1010" s="2" t="inlineStr">
        <is>
          <t>Clinic</t>
        </is>
      </c>
      <c r="N1010" s="2" t="inlineStr">
        <is>
          <t>ข้อ 3 (PLE_CC1_2533.md)</t>
        </is>
      </c>
      <c r="O1010" s="2" t="inlineStr">
        <is>
          <t>ข้อสอบจริง</t>
        </is>
      </c>
      <c r="P1010" s="2" t="inlineStr">
        <is>
          <t>ปี 2533</t>
        </is>
      </c>
    </row>
    <row r="1011" ht="13.2" customHeight="1" s="37">
      <c r="A1011" s="8" t="inlineStr">
        <is>
          <t>1032</t>
        </is>
      </c>
      <c r="B1011" s="2" t="inlineStr">
        <is>
          <t>ยามีกลไกยับยั้ง H+/P+ ATPase</t>
        </is>
      </c>
      <c r="C1011" s="2" t="n"/>
      <c r="D1011" s="2" t="inlineStr">
        <is>
          <t>N-acetylcysteine (NAC) IV infusion protocol</t>
        </is>
      </c>
      <c r="E1011" s="2" t="inlineStr">
        <is>
          <t>Atropine sulfate 2 mg IV Q5-10 min</t>
        </is>
      </c>
      <c r="F1011" s="2" t="inlineStr">
        <is>
          <t>Pralidoxime (2-PAM) 1-2 g IV over 30 min</t>
        </is>
      </c>
      <c r="G1011" s="2" t="inlineStr">
        <is>
          <t>Naloxone 0.4 mg IV stat</t>
        </is>
      </c>
      <c r="H1011" s="2" t="inlineStr">
        <is>
          <t>Flumazenil 0.2 mg IV stat</t>
        </is>
      </c>
      <c r="I1011" s="8" t="inlineStr">
        <is>
          <t>1</t>
        </is>
      </c>
      <c r="J10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11" s="2" t="n"/>
      <c r="L1011" s="2" t="inlineStr">
        <is>
          <t>General Therapeutics</t>
        </is>
      </c>
      <c r="M1011" s="2" t="inlineStr">
        <is>
          <t>Clinic</t>
        </is>
      </c>
      <c r="N1011" s="2" t="inlineStr">
        <is>
          <t>ข้อ 4 (PLE_CC1_2533.md)</t>
        </is>
      </c>
      <c r="O1011" s="2" t="inlineStr">
        <is>
          <t>ข้อสอบจริง</t>
        </is>
      </c>
      <c r="P1011" s="2" t="inlineStr">
        <is>
          <t>ปี 2533</t>
        </is>
      </c>
    </row>
    <row r="1012" ht="13.2" customHeight="1" s="37">
      <c r="A1012" s="8" t="inlineStr">
        <is>
          <t>1033</t>
        </is>
      </c>
      <c r="B1012" s="2" t="inlineStr">
        <is>
          <t>คำแนะนำใดไม่เหมาะสมกับผู้ป่วยรายนี้</t>
        </is>
      </c>
      <c r="C1012" s="2" t="n"/>
      <c r="D1012" s="2" t="inlineStr">
        <is>
          <t>Naloxone 0.4 mg IV stat</t>
        </is>
      </c>
      <c r="E1012" s="2" t="inlineStr">
        <is>
          <t>Flumazenil 0.2 mg IV stat</t>
        </is>
      </c>
      <c r="F1012" s="2" t="inlineStr">
        <is>
          <t>Vitamin K1 (Phytomenadione) 10 mg IV slow</t>
        </is>
      </c>
      <c r="G1012" s="2" t="inlineStr">
        <is>
          <t>Sodium thiosulfate 25% 50 mL IV</t>
        </is>
      </c>
      <c r="H1012" s="2" t="inlineStr">
        <is>
          <t>Calcium disodium EDTA 1 g IV</t>
        </is>
      </c>
      <c r="I1012" s="8" t="inlineStr">
        <is>
          <t>1</t>
        </is>
      </c>
      <c r="J10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12" s="2" t="n"/>
      <c r="L1012" s="2" t="inlineStr">
        <is>
          <t>General Therapeutics</t>
        </is>
      </c>
      <c r="M1012" s="2" t="inlineStr">
        <is>
          <t>Clinic</t>
        </is>
      </c>
      <c r="N1012" s="2" t="inlineStr">
        <is>
          <t>ข้อ 5 (PLE_CC1_2533.md)</t>
        </is>
      </c>
      <c r="O1012" s="2" t="inlineStr">
        <is>
          <t>ข้อสอบจริง</t>
        </is>
      </c>
      <c r="P1012" s="2" t="inlineStr">
        <is>
          <t>ปี 2533</t>
        </is>
      </c>
    </row>
    <row r="1013" ht="13.2" customHeight="1" s="37">
      <c r="A1013" s="8" t="inlineStr">
        <is>
          <t>1034</t>
        </is>
      </c>
      <c r="B1013" s="2" t="inlineStr">
        <is>
          <t>ไม่ใส่เสื้อผ้ารัดมากเกินไป</t>
        </is>
      </c>
      <c r="C1013" s="2" t="n"/>
      <c r="D1013" s="2" t="inlineStr">
        <is>
          <t>Sodium thiosulfate 25% 50 mL IV</t>
        </is>
      </c>
      <c r="E1013" s="2" t="inlineStr">
        <is>
          <t>Calcium disodium EDTA 1 g IV</t>
        </is>
      </c>
      <c r="F1013" s="2" t="inlineStr">
        <is>
          <t>Desferrioxamine 1 g IM/IV</t>
        </is>
      </c>
      <c r="G1013" s="2" t="inlineStr">
        <is>
          <t>Dimercaprol (BAL) 3 mg/kg IM</t>
        </is>
      </c>
      <c r="H1013" s="2" t="inlineStr">
        <is>
          <t>Ethanol 10% IV infusion for Methanol poisoning</t>
        </is>
      </c>
      <c r="I1013" s="8" t="inlineStr">
        <is>
          <t>1</t>
        </is>
      </c>
      <c r="J10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3" s="2" t="n"/>
      <c r="L1013" s="2" t="inlineStr">
        <is>
          <t>General Therapeutics</t>
        </is>
      </c>
      <c r="M1013" s="2" t="inlineStr">
        <is>
          <t>Clinic</t>
        </is>
      </c>
      <c r="N1013" s="2" t="inlineStr">
        <is>
          <t>ข้อ 1 (PLE_CC1_2533.md)</t>
        </is>
      </c>
      <c r="O1013" s="2" t="inlineStr">
        <is>
          <t>ข้อสอบจริง</t>
        </is>
      </c>
      <c r="P1013" s="2" t="inlineStr">
        <is>
          <t>ปี 2533</t>
        </is>
      </c>
    </row>
    <row r="1014" ht="13.2" customHeight="1" s="37">
      <c r="A1014" s="8" t="inlineStr">
        <is>
          <t>1035</t>
        </is>
      </c>
      <c r="B1014" s="2" t="inlineStr">
        <is>
          <t>ไม่ควรรับประทานยาปฏิชีวนะที่ออกฤทธิ์กว้างเป็นเวลานาน</t>
        </is>
      </c>
      <c r="C1014" s="2" t="n"/>
      <c r="D1014" s="2" t="inlineStr">
        <is>
          <t>Dimercaprol (BAL) 3 mg/kg IM</t>
        </is>
      </c>
      <c r="E1014" s="2" t="inlineStr">
        <is>
          <t>Ethanol 10% IV infusion for Methanol poisoning</t>
        </is>
      </c>
      <c r="F1014" s="2" t="inlineStr">
        <is>
          <t>Fomepizole 15 mg/kg IV loading</t>
        </is>
      </c>
      <c r="G1014" s="2" t="inlineStr">
        <is>
          <t>N-acetylcysteine (NAC) IV infusion protocol</t>
        </is>
      </c>
      <c r="H1014" s="2" t="inlineStr">
        <is>
          <t>Atropine sulfate 2 mg IV Q5-10 min</t>
        </is>
      </c>
      <c r="I1014" s="8" t="inlineStr">
        <is>
          <t>1</t>
        </is>
      </c>
      <c r="J10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4" s="2" t="n"/>
      <c r="L1014" s="2" t="inlineStr">
        <is>
          <t>General Therapeutics</t>
        </is>
      </c>
      <c r="M1014" s="2" t="inlineStr">
        <is>
          <t>Clinic</t>
        </is>
      </c>
      <c r="N1014" s="2" t="inlineStr">
        <is>
          <t>ข้อ 2 (PLE_CC1_2533.md)</t>
        </is>
      </c>
      <c r="O1014" s="2" t="inlineStr">
        <is>
          <t>ข้อสอบจริง</t>
        </is>
      </c>
      <c r="P1014" s="2" t="inlineStr">
        <is>
          <t>ปี 2533</t>
        </is>
      </c>
    </row>
    <row r="1015" ht="13.2" customHeight="1" s="37">
      <c r="A1015" s="8" t="inlineStr">
        <is>
          <t>1036</t>
        </is>
      </c>
      <c r="B1015" s="2" t="inlineStr">
        <is>
          <t>ไม่กินจนอิ่มเกินไป</t>
        </is>
      </c>
      <c r="C1015" s="2" t="n"/>
      <c r="D1015" s="2" t="inlineStr">
        <is>
          <t>N-acetylcysteine (NAC) IV infusion protocol</t>
        </is>
      </c>
      <c r="E1015" s="2" t="inlineStr">
        <is>
          <t>Atropine sulfate 2 mg IV Q5-10 min</t>
        </is>
      </c>
      <c r="F1015" s="2" t="inlineStr">
        <is>
          <t>Pralidoxime (2-PAM) 1-2 g IV over 30 min</t>
        </is>
      </c>
      <c r="G1015" s="2" t="inlineStr">
        <is>
          <t>Naloxone 0.4 mg IV stat</t>
        </is>
      </c>
      <c r="H1015" s="2" t="inlineStr">
        <is>
          <t>Flumazenil 0.2 mg IV stat</t>
        </is>
      </c>
      <c r="I1015" s="8" t="inlineStr">
        <is>
          <t>1</t>
        </is>
      </c>
      <c r="J10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15" s="2" t="n"/>
      <c r="L1015" s="2" t="inlineStr">
        <is>
          <t>General Therapeutics</t>
        </is>
      </c>
      <c r="M1015" s="2" t="inlineStr">
        <is>
          <t>Clinic</t>
        </is>
      </c>
      <c r="N1015" s="2" t="inlineStr">
        <is>
          <t>ข้อ 4 (PLE_CC1_2533.md)</t>
        </is>
      </c>
      <c r="O1015" s="2" t="inlineStr">
        <is>
          <t>ข้อสอบจริง</t>
        </is>
      </c>
      <c r="P1015" s="2" t="inlineStr">
        <is>
          <t>ปี 2533</t>
        </is>
      </c>
    </row>
    <row r="1016" ht="13.2" customHeight="1" s="37">
      <c r="A1016" s="8" t="inlineStr">
        <is>
          <t>1037</t>
        </is>
      </c>
      <c r="B1016" s="2" t="inlineStr">
        <is>
          <t>งดสูบบุหรี่ และดื่มเครื่องดื่มแอลกอฮอล์ เปลี่ยนพฤติกรรมการดำเนินชีวิต ซึ่งสามารถทำได้ดังต่อไปนี้ - หลีกเลี่ยงการสูบบุหรี่ ดื่มสุรา - หลีก เลี่ยงการดิ่มน้ำชา กาแฟ น้ำอัดลม น้ำผลไม้ หรืออาหารที่มีรสเปรี้ยวจัด เผ็ดจัด อาหารไขมันสูง ช็อคโกแลต - ระวังไม่ให้น้ำหนักตัวมากหรืออ้วนเกินไป - ระวังอาหารมื้อเย็น ไม่กินในปริมาณมากและไม่ควรนอนทันทีหลังรับประทานอาหารอย่างน้อย 3 ชั่วโมง - ควรรับประทานอาหารปริมาณน้อยๆแต่บ่อยครั้ง - ไม่ใส่เสื้อรัดรูปเกินไป - ออกกำลังกายสม่ำเสมอ - นอนตะแคงซ้ายและนอนหนุนหัวเตียงให้สูงอย่างน้อย 6 นิ้ว</t>
        </is>
      </c>
      <c r="C1016" s="2" t="n"/>
      <c r="D1016" s="2" t="inlineStr">
        <is>
          <t>Budesonide/Formoterol 160/4.5 mcg DPI BID</t>
        </is>
      </c>
      <c r="E1016" s="2" t="inlineStr">
        <is>
          <t>Fluticasone/Salmeterol 250/50 mcg DPI BID</t>
        </is>
      </c>
      <c r="F1016" s="2" t="inlineStr">
        <is>
          <t>Tiotropium Respimat 2.5 mcg 2 puffs OD</t>
        </is>
      </c>
      <c r="G1016" s="2" t="inlineStr">
        <is>
          <t>Ipratropium/Fenoterol MDI PRN</t>
        </is>
      </c>
      <c r="H1016" s="2" t="inlineStr">
        <is>
          <t>Montelukast 10 mg HS</t>
        </is>
      </c>
      <c r="I1016" s="8" t="inlineStr">
        <is>
          <t>2</t>
        </is>
      </c>
      <c r="J1016" s="2" t="inlineStr">
        <is>
          <t>✅ คำตอบที่ถูกต้อง: ข้อ ข. Fluticasone/Salmeterol 250/50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Fluticasone/Salmeterol 250/50 mcg DPI BID การเลือก Fluticasone/Salmeterol 250/50 mcg DPI BID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6" s="2" t="n"/>
      <c r="L1016" s="2" t="inlineStr">
        <is>
          <t>Pulmonary Diseases</t>
        </is>
      </c>
      <c r="M1016" s="2" t="inlineStr">
        <is>
          <t>Clinic</t>
        </is>
      </c>
      <c r="N1016" s="2" t="inlineStr">
        <is>
          <t>ข้อ 5 (PLE_CC1_2533.md)</t>
        </is>
      </c>
      <c r="O1016" s="2" t="inlineStr">
        <is>
          <t>ข้อสอบจริง</t>
        </is>
      </c>
      <c r="P1016" s="2" t="inlineStr">
        <is>
          <t>ปี 2533</t>
        </is>
      </c>
    </row>
    <row r="1017" ht="13.2" customHeight="1" s="37">
      <c r="A1017" s="8" t="inlineStr">
        <is>
          <t>1038</t>
        </is>
      </c>
      <c r="B1017" s="2" t="inlineStr">
        <is>
          <t>Dompridone : D2-receptor</t>
        </is>
      </c>
      <c r="C1017" s="2" t="n"/>
      <c r="D1017" s="2" t="inlineStr">
        <is>
          <t>Sodium thiosulfate 25% 50 mL IV</t>
        </is>
      </c>
      <c r="E1017" s="2" t="inlineStr">
        <is>
          <t>Calcium disodium EDTA 1 g IV</t>
        </is>
      </c>
      <c r="F1017" s="2" t="inlineStr">
        <is>
          <t>Desferrioxamine 1 g IM/IV</t>
        </is>
      </c>
      <c r="G1017" s="2" t="inlineStr">
        <is>
          <t>Dimercaprol (BAL) 3 mg/kg IM</t>
        </is>
      </c>
      <c r="H1017" s="2" t="inlineStr">
        <is>
          <t>Ethanol 10% IV infusion for Methanol poisoning</t>
        </is>
      </c>
      <c r="I1017" s="8" t="inlineStr">
        <is>
          <t>1</t>
        </is>
      </c>
      <c r="J10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7" s="2" t="n"/>
      <c r="L1017" s="2" t="inlineStr">
        <is>
          <t>General Therapeutics</t>
        </is>
      </c>
      <c r="M1017" s="2" t="inlineStr">
        <is>
          <t>Clinic</t>
        </is>
      </c>
      <c r="N1017" s="2" t="inlineStr">
        <is>
          <t>ข้อ 3 (PLE_CC1_2533.md)</t>
        </is>
      </c>
      <c r="O1017" s="2" t="inlineStr">
        <is>
          <t>ข้อสอบจริง</t>
        </is>
      </c>
      <c r="P1017" s="2" t="inlineStr">
        <is>
          <t>ปี 2533</t>
        </is>
      </c>
    </row>
    <row r="1018" ht="13.2" customHeight="1" s="37">
      <c r="A1018" s="8" t="inlineStr">
        <is>
          <t>1039</t>
        </is>
      </c>
      <c r="B1018" s="2" t="inlineStr">
        <is>
          <t>Cisapride : QT-prolongation</t>
        </is>
      </c>
      <c r="C1018" s="2" t="n"/>
      <c r="D1018" s="2" t="inlineStr">
        <is>
          <t>Dimercaprol (BAL) 3 mg/kg IM</t>
        </is>
      </c>
      <c r="E1018" s="2" t="inlineStr">
        <is>
          <t>Ethanol 10% IV infusion for Methanol poisoning</t>
        </is>
      </c>
      <c r="F1018" s="2" t="inlineStr">
        <is>
          <t>Fomepizole 15 mg/kg IV loading</t>
        </is>
      </c>
      <c r="G1018" s="2" t="inlineStr">
        <is>
          <t>N-acetylcysteine (NAC) IV infusion protocol</t>
        </is>
      </c>
      <c r="H1018" s="2" t="inlineStr">
        <is>
          <t>Atropine sulfate 2 mg IV Q5-10 min</t>
        </is>
      </c>
      <c r="I1018" s="8" t="inlineStr">
        <is>
          <t>3</t>
        </is>
      </c>
      <c r="J1018"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8" s="2" t="n"/>
      <c r="L1018" s="2" t="inlineStr">
        <is>
          <t>General Therapeutics</t>
        </is>
      </c>
      <c r="M1018" s="2" t="inlineStr">
        <is>
          <t>Clinic</t>
        </is>
      </c>
      <c r="N1018" s="2" t="inlineStr">
        <is>
          <t>ข้อ 5 (PLE_CC1_2533.md)</t>
        </is>
      </c>
      <c r="O1018" s="2" t="inlineStr">
        <is>
          <t>ข้อสอบจริง</t>
        </is>
      </c>
      <c r="P1018" s="2" t="inlineStr">
        <is>
          <t>ปี 2533</t>
        </is>
      </c>
    </row>
    <row r="1019" ht="13.2" customHeight="1" s="37">
      <c r="A1019" s="8" t="inlineStr">
        <is>
          <t>1040</t>
        </is>
      </c>
      <c r="B1019" s="2" t="inlineStr">
        <is>
          <t>ผู้ป่วยนำตัวอย่างยา cisapride มาขอซื้อยาที่ร้านยา จะสามารถจ่ายยาให้กับผู้ป่วยได้หรือไม่</t>
        </is>
      </c>
      <c r="C1019" s="2" t="n"/>
      <c r="D1019" s="2" t="inlineStr">
        <is>
          <t>พ.ร.บ. ยา พ.ศ. 2510 (การจำหน่ายยาอันตรายและยาควบคุมพิเศษ)</t>
        </is>
      </c>
      <c r="E1019" s="2" t="inlineStr">
        <is>
          <t>พ.ร.บ. ยาเสพติดให้โทษ พ.ศ. 2522 (ยาเสพติดให้โทษประเภท 2 และ 3)</t>
        </is>
      </c>
      <c r="F1019" s="2" t="inlineStr">
        <is>
          <t>พ.ร.บ. วัตถุที่ออกฤทธิ์ต่อจิตและประสาท พ.ศ. 2559 (ประเภท 2 และ 4)</t>
        </is>
      </c>
      <c r="G1019" s="2" t="inlineStr">
        <is>
          <t>พ.ร.บ. วิชาชีพเภสัชกรรม พ.ศ. 2537 และข้อบังคับจรรยาบรรณวิชาชีพ</t>
        </is>
      </c>
      <c r="H1019" s="2" t="inlineStr">
        <is>
          <t>พ.ร.บ. ผลิตภัณฑ์สมุนไพร พ.ศ. 2562</t>
        </is>
      </c>
      <c r="I1019" s="8" t="inlineStr">
        <is>
          <t>1</t>
        </is>
      </c>
      <c r="J101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19" s="2" t="n"/>
      <c r="L1019" s="2" t="inlineStr">
        <is>
          <t>Pharmacy Laws &amp; Ethics</t>
        </is>
      </c>
      <c r="M1019" s="2" t="inlineStr">
        <is>
          <t>SAP</t>
        </is>
      </c>
      <c r="N1019" s="2" t="inlineStr">
        <is>
          <t>ข้อ 9 (PLE_CC1_2533.md)</t>
        </is>
      </c>
      <c r="O1019" s="2" t="inlineStr">
        <is>
          <t>ข้อสอบจริง</t>
        </is>
      </c>
      <c r="P1019" s="2" t="inlineStr">
        <is>
          <t>ปี 2533</t>
        </is>
      </c>
    </row>
    <row r="1020" ht="13.2" customHeight="1" s="37">
      <c r="A1020" s="8" t="inlineStr">
        <is>
          <t>1041</t>
        </is>
      </c>
      <c r="B1020" s="2" t="inlineStr">
        <is>
          <t>ได้ เพราะ เป็นยาอันตราย</t>
        </is>
      </c>
      <c r="C1020" s="2" t="n"/>
      <c r="D1020" s="2" t="inlineStr">
        <is>
          <t>พ.ร.บ. วิชาชีพเภสัชกรรม พ.ศ. 2537 และข้อบังคับจรรยาบรรณวิชาชีพ</t>
        </is>
      </c>
      <c r="E1020" s="2" t="inlineStr">
        <is>
          <t>พ.ร.บ. ผลิตภัณฑ์สมุนไพร พ.ศ. 2562</t>
        </is>
      </c>
      <c r="F1020" s="2" t="inlineStr">
        <is>
          <t>พ.ร.บ. เครื่องสำอาง พ.ศ. 2558</t>
        </is>
      </c>
      <c r="G1020" s="2" t="inlineStr">
        <is>
          <t>พ.ร.บ. หลักประกันสุขภาพแห่งชาติ พ.ศ. 2545</t>
        </is>
      </c>
      <c r="H1020" s="2" t="inlineStr">
        <is>
          <t>การปฏิบัติทางเภสัชกรรมชุมชน (Good Pharmacy Practice: GPP)</t>
        </is>
      </c>
      <c r="I1020" s="8" t="inlineStr">
        <is>
          <t>1</t>
        </is>
      </c>
      <c r="J102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0" s="2" t="n"/>
      <c r="L1020" s="2" t="inlineStr">
        <is>
          <t>Pharmacy Laws &amp; Ethics</t>
        </is>
      </c>
      <c r="M1020" s="2" t="inlineStr">
        <is>
          <t>SAP</t>
        </is>
      </c>
      <c r="N1020" s="2" t="inlineStr">
        <is>
          <t>ข้อ 1 (PLE_CC1_2533.md)</t>
        </is>
      </c>
      <c r="O1020" s="2" t="inlineStr">
        <is>
          <t>ข้อสอบจริง</t>
        </is>
      </c>
      <c r="P1020" s="2" t="inlineStr">
        <is>
          <t>ปี 2533</t>
        </is>
      </c>
    </row>
    <row r="1021" ht="13.2" customHeight="1" s="37">
      <c r="A1021" s="8" t="inlineStr">
        <is>
          <t>1042</t>
        </is>
      </c>
      <c r="B1021" s="2" t="inlineStr">
        <is>
          <t>ได้ เพราะ แพทย์สั่งใช้</t>
        </is>
      </c>
      <c r="C1021" s="2" t="n"/>
      <c r="D1021" s="2" t="inlineStr">
        <is>
          <t>Sodium thiosulfate 25% 50 mL IV</t>
        </is>
      </c>
      <c r="E1021" s="2" t="inlineStr">
        <is>
          <t>Calcium disodium EDTA 1 g IV</t>
        </is>
      </c>
      <c r="F1021" s="2" t="inlineStr">
        <is>
          <t>Desferrioxamine 1 g IM/IV</t>
        </is>
      </c>
      <c r="G1021" s="2" t="inlineStr">
        <is>
          <t>Dimercaprol (BAL) 3 mg/kg IM</t>
        </is>
      </c>
      <c r="H1021" s="2" t="inlineStr">
        <is>
          <t>Ethanol 10% IV infusion for Methanol poisoning</t>
        </is>
      </c>
      <c r="I1021" s="8" t="inlineStr">
        <is>
          <t>1</t>
        </is>
      </c>
      <c r="J10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1" s="2" t="n"/>
      <c r="L1021" s="2" t="inlineStr">
        <is>
          <t>General Therapeutics</t>
        </is>
      </c>
      <c r="M1021" s="2" t="inlineStr">
        <is>
          <t>Clinic</t>
        </is>
      </c>
      <c r="N1021" s="2" t="inlineStr">
        <is>
          <t>ข้อ 2 (PLE_CC1_2533.md)</t>
        </is>
      </c>
      <c r="O1021" s="2" t="inlineStr">
        <is>
          <t>ข้อสอบจริง</t>
        </is>
      </c>
      <c r="P1021" s="2" t="inlineStr">
        <is>
          <t>ปี 2533</t>
        </is>
      </c>
    </row>
    <row r="1022" ht="13.2" customHeight="1" s="37">
      <c r="A1022" s="8" t="inlineStr">
        <is>
          <t>1043</t>
        </is>
      </c>
      <c r="B1022" s="2" t="inlineStr">
        <is>
          <t>ไม่ได้ เพราะเป็นยาควบคุมพิเศษ</t>
        </is>
      </c>
      <c r="C1022" s="2" t="n"/>
      <c r="D1022" s="2" t="inlineStr">
        <is>
          <t>เกณฑ์จริยธรรมว่าด้วยการส่งเสริมการขายยาของกระทรวงสาธารณสุข</t>
        </is>
      </c>
      <c r="E1022" s="2" t="inlineStr">
        <is>
          <t>พ.ร.บ. ยา พ.ศ. 2510 (การจำหน่ายยาอันตรายและยาควบคุมพิเศษ)</t>
        </is>
      </c>
      <c r="F1022" s="2" t="inlineStr">
        <is>
          <t>พ.ร.บ. ยาเสพติดให้โทษ พ.ศ. 2522 (ยาเสพติดให้โทษประเภท 2 และ 3)</t>
        </is>
      </c>
      <c r="G1022" s="2" t="inlineStr">
        <is>
          <t>พ.ร.บ. วัตถุที่ออกฤทธิ์ต่อจิตและประสาท พ.ศ. 2559 (ประเภท 2 และ 4)</t>
        </is>
      </c>
      <c r="H1022" s="2" t="inlineStr">
        <is>
          <t>พ.ร.บ. วิชาชีพเภสัชกรรม พ.ศ. 2537 และข้อบังคับจรรยาบรรณวิชาชีพ</t>
        </is>
      </c>
      <c r="I1022" s="8" t="inlineStr">
        <is>
          <t>1</t>
        </is>
      </c>
      <c r="J102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2" s="2" t="n"/>
      <c r="L1022" s="2" t="inlineStr">
        <is>
          <t>Pharmacy Laws &amp; Ethics</t>
        </is>
      </c>
      <c r="M1022" s="2" t="inlineStr">
        <is>
          <t>SAP</t>
        </is>
      </c>
      <c r="N1022" s="2" t="inlineStr">
        <is>
          <t>ข้อ 3 (PLE_CC1_2533.md)</t>
        </is>
      </c>
      <c r="O1022" s="2" t="inlineStr">
        <is>
          <t>ข้อสอบจริง</t>
        </is>
      </c>
      <c r="P1022" s="2" t="inlineStr">
        <is>
          <t>ปี 2533</t>
        </is>
      </c>
    </row>
    <row r="1023" ht="13.2" customHeight="1" s="37">
      <c r="A1023" s="8" t="inlineStr">
        <is>
          <t>1044</t>
        </is>
      </c>
      <c r="B1023" s="2" t="inlineStr">
        <is>
          <t>ไม่ได้ เพราะ เป็นวัตถุออกฤทธิ์ต่อจิตและประสาท</t>
        </is>
      </c>
      <c r="C1023" s="2" t="n"/>
      <c r="D1023" s="2" t="inlineStr">
        <is>
          <t>พ.ร.บ. วัตถุที่ออกฤทธิ์ต่อจิตและประสาท พ.ศ. 2559 (ประเภท 2 และ 4)</t>
        </is>
      </c>
      <c r="E1023" s="2" t="inlineStr">
        <is>
          <t>พ.ร.บ. วิชาชีพเภสัชกรรม พ.ศ. 2537 และข้อบังคับจรรยาบรรณวิชาชีพ</t>
        </is>
      </c>
      <c r="F1023" s="2" t="inlineStr">
        <is>
          <t>พ.ร.บ. ผลิตภัณฑ์สมุนไพร พ.ศ. 2562</t>
        </is>
      </c>
      <c r="G1023" s="2" t="inlineStr">
        <is>
          <t>พ.ร.บ. เครื่องสำอาง พ.ศ. 2558</t>
        </is>
      </c>
      <c r="H1023" s="2" t="inlineStr">
        <is>
          <t>พ.ร.บ. หลักประกันสุขภาพแห่งชาติ พ.ศ. 2545</t>
        </is>
      </c>
      <c r="I1023" s="8" t="inlineStr">
        <is>
          <t>1</t>
        </is>
      </c>
      <c r="J1023"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3" s="2" t="n"/>
      <c r="L1023" s="2" t="inlineStr">
        <is>
          <t>Pharmacy Laws &amp; Ethics</t>
        </is>
      </c>
      <c r="M1023" s="2" t="inlineStr">
        <is>
          <t>SAP</t>
        </is>
      </c>
      <c r="N1023" s="2" t="inlineStr">
        <is>
          <t>ข้อ 4 (PLE_CC1_2533.md)</t>
        </is>
      </c>
      <c r="O1023" s="2" t="inlineStr">
        <is>
          <t>ข้อสอบจริง</t>
        </is>
      </c>
      <c r="P1023" s="2" t="inlineStr">
        <is>
          <t>ปี 2533</t>
        </is>
      </c>
    </row>
    <row r="1024" ht="13.2" customHeight="1" s="37">
      <c r="A1024" s="8" t="inlineStr">
        <is>
          <t>1045</t>
        </is>
      </c>
      <c r="B1024" s="2" t="inlineStr">
        <is>
          <t>ไม่ได้ เพราะ เป็นยาเสพติดให้โทษ</t>
        </is>
      </c>
      <c r="C1024" s="2" t="n"/>
      <c r="D1024" s="2" t="inlineStr">
        <is>
          <t>พ.ร.บ. เครื่องสำอาง พ.ศ. 2558</t>
        </is>
      </c>
      <c r="E1024" s="2" t="inlineStr">
        <is>
          <t>พ.ร.บ. หลักประกันสุขภาพแห่งชาติ พ.ศ. 2545</t>
        </is>
      </c>
      <c r="F1024" s="2" t="inlineStr">
        <is>
          <t>การปฏิบัติทางเภสัชกรรมชุมชน (Good Pharmacy Practice: GPP)</t>
        </is>
      </c>
      <c r="G1024" s="2" t="inlineStr">
        <is>
          <t>บัญชียาหลักแห่งชาติ (National List of Essential Medicines: NLEM)</t>
        </is>
      </c>
      <c r="H1024" s="2" t="inlineStr">
        <is>
          <t>เกณฑ์จริยธรรมว่าด้วยการส่งเสริมการขายยาของกระทรวงสาธารณสุข</t>
        </is>
      </c>
      <c r="I1024" s="8" t="inlineStr">
        <is>
          <t>2</t>
        </is>
      </c>
      <c r="J1024" s="2" t="inlineStr">
        <is>
          <t>✅ คำตอบที่ถูกต้อง: ข้อ ข.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ก.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4" s="2" t="n"/>
      <c r="L1024" s="2" t="inlineStr">
        <is>
          <t>Pharmacy Laws &amp; Ethics</t>
        </is>
      </c>
      <c r="M1024" s="2" t="inlineStr">
        <is>
          <t>SAP</t>
        </is>
      </c>
      <c r="N1024" s="2" t="inlineStr">
        <is>
          <t>ข้อ 5 (PLE_CC1_2533.md)</t>
        </is>
      </c>
      <c r="O1024" s="2" t="inlineStr">
        <is>
          <t>ข้อสอบจริง</t>
        </is>
      </c>
      <c r="P1024" s="2" t="inlineStr">
        <is>
          <t>ปี 2533</t>
        </is>
      </c>
    </row>
    <row r="1025" ht="13.2" customHeight="1" s="37">
      <c r="A1025" s="8" t="inlineStr">
        <is>
          <t>1046</t>
        </is>
      </c>
      <c r="B1025" s="2" t="inlineStr">
        <is>
          <t>Independent t-test</t>
        </is>
      </c>
      <c r="C1025" s="2" t="n"/>
      <c r="D1025" s="2" t="inlineStr">
        <is>
          <t>Student t-test for comparing two independent means</t>
        </is>
      </c>
      <c r="E1025" s="2" t="inlineStr">
        <is>
          <t>Chi-Square Test for Categorical Independence (p &lt; 0.05)</t>
        </is>
      </c>
      <c r="F1025" s="2" t="inlineStr">
        <is>
          <t>Randomized Controlled Trial (Double-blind RCT)</t>
        </is>
      </c>
      <c r="G1025" s="2" t="inlineStr">
        <is>
          <t>Prospective Cohort Study (Relative Risk: RR)</t>
        </is>
      </c>
      <c r="H1025" s="2" t="inlineStr">
        <is>
          <t>Case-Control Study (Odds Ratio: OR)</t>
        </is>
      </c>
      <c r="I1025" s="8" t="inlineStr">
        <is>
          <t>1</t>
        </is>
      </c>
      <c r="J1025" s="2"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(Chi-Square Test for Categorical Independence (p &lt; 0.05)): ข้อนี้ไม่ใช่คำตอบที่ถูกต้องสำหรับภาวะ Biostats &amp; Research เนื่องจากกลไกการออกฤทธิ์, efficacy หรือข้อบ่งใช้ไม่ตรงกับโจทย์ที่กำหนด
• ข้อ ค. (Randomized Controlled Trial (Double-blind RCT)): ข้อนี้ไม่ใช่คำตอบที่ถูกต้องสำหรับภาวะ Biostats &amp; Research เนื่องจากกลไกการออกฤทธิ์, efficacy หรือข้อบ่งใช้ไม่ตรงกับโจทย์ที่กำหนด
• ข้อ ง. (Prospective Cohort Study (Relative Risk: RR)): ข้อนี้ไม่ใช่คำตอบที่ถูกต้องสำหรับภาวะ Biostats &amp; Research เนื่องจากกลไกการออกฤทธิ์, efficacy หรือข้อบ่งใช้ไม่ตรงกับโจทย์ที่กำหนด
• ข้อ จ. (Case-Control Study (Odds Ratio: OR)):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5" s="2" t="n"/>
      <c r="L1025" s="2" t="inlineStr">
        <is>
          <t>Biostats &amp; Research</t>
        </is>
      </c>
      <c r="M1025" s="2" t="inlineStr">
        <is>
          <t>SAP</t>
        </is>
      </c>
      <c r="N1025" s="2" t="inlineStr">
        <is>
          <t>ข้อ 2 (PLE_CC1_2533.md)</t>
        </is>
      </c>
      <c r="O1025" s="2" t="inlineStr">
        <is>
          <t>ข้อสอบจริง</t>
        </is>
      </c>
      <c r="P1025" s="2" t="inlineStr">
        <is>
          <t>ปี 2533</t>
        </is>
      </c>
    </row>
    <row r="1026" ht="13.2" customHeight="1" s="37">
      <c r="A1026" s="8" t="inlineStr">
        <is>
          <t>1047</t>
        </is>
      </c>
      <c r="B1026" s="2" t="inlineStr">
        <is>
          <t>Dependent t-test</t>
        </is>
      </c>
      <c r="C1026" s="2" t="n"/>
      <c r="D1026" s="2" t="inlineStr">
        <is>
          <t>Prospective Cohort Study (Relative Risk: RR)</t>
        </is>
      </c>
      <c r="E1026" s="2" t="inlineStr">
        <is>
          <t>Case-Control Study (Odds Ratio: OR)</t>
        </is>
      </c>
      <c r="F1026" s="2" t="inlineStr">
        <is>
          <t>Cross-Sectional Survey Prevalence Study</t>
        </is>
      </c>
      <c r="G1026" s="2" t="inlineStr">
        <is>
          <t>Cost-Effectiveness Analysis (Incremental Cost-Effectiveness Ratio: ICER)</t>
        </is>
      </c>
      <c r="H1026" s="2" t="inlineStr">
        <is>
          <t>Cost-Utility Analysis (Quality-Adjusted Life Years: QALY)</t>
        </is>
      </c>
      <c r="I1026" s="8" t="inlineStr">
        <is>
          <t>1</t>
        </is>
      </c>
      <c r="J1026"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(Case-Control Study (Odds Ratio: OR)): ข้อนี้ไม่ใช่คำตอบที่ถูกต้องสำหรับภาวะ Biostats &amp; Research เนื่องจากกลไกการออกฤทธิ์, efficacy หรือข้อบ่งใช้ไม่ตรงกับโจทย์ที่กำหนด
• ข้อ ค. (Cross-Sectional Survey Prevalence Study): ข้อนี้ไม่ใช่คำตอบที่ถูกต้องสำหรับภาวะ Biostats &amp; Research เนื่องจากกลไกการออกฤทธิ์, efficacy หรือข้อบ่งใช้ไม่ตรงกับโจทย์ที่กำหนด
• ข้อ ง. (Cost-Effectiveness Analysis (Incremental Cost-Effectiveness Ratio: ICER)): ข้อนี้ไม่ใช่คำตอบที่ถูกต้องสำหรับภาวะ Biostats &amp; Research เนื่องจากกลไกการออกฤทธิ์, efficacy หรือข้อบ่งใช้ไม่ตรงกับโจทย์ที่กำหนด
• ข้อ จ. (Cost-Utility Analysis (Quality-Adjusted Life Years: QALY)):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26" s="2" t="n"/>
      <c r="L1026" s="2" t="inlineStr">
        <is>
          <t>Biostats &amp; Research</t>
        </is>
      </c>
      <c r="M1026" s="2" t="inlineStr">
        <is>
          <t>SAP</t>
        </is>
      </c>
      <c r="N1026" s="2" t="inlineStr">
        <is>
          <t>ข้อ 3 (PLE_CC1_2533.md)</t>
        </is>
      </c>
      <c r="O1026" s="2" t="inlineStr">
        <is>
          <t>ข้อสอบจริง</t>
        </is>
      </c>
      <c r="P1026" s="2" t="inlineStr">
        <is>
          <t>ปี 2533</t>
        </is>
      </c>
    </row>
    <row r="1027" ht="13.2" customHeight="1" s="37">
      <c r="A1027" s="8" t="inlineStr">
        <is>
          <t>1048</t>
        </is>
      </c>
      <c r="B1027" s="2" t="inlineStr">
        <is>
          <t>ผู้ป่วยรายนี้น่าจะถูกวินิจฉัยว่าเป็นโรคใด</t>
        </is>
      </c>
      <c r="C1027" s="2" t="n"/>
      <c r="D1027" s="2" t="inlineStr">
        <is>
          <t>N-acetylcysteine (NAC) IV infusion protocol</t>
        </is>
      </c>
      <c r="E1027" s="2" t="inlineStr">
        <is>
          <t>Atropine sulfate 2 mg IV Q5-10 min</t>
        </is>
      </c>
      <c r="F1027" s="2" t="inlineStr">
        <is>
          <t>Pralidoxime (2-PAM) 1-2 g IV over 30 min</t>
        </is>
      </c>
      <c r="G1027" s="2" t="inlineStr">
        <is>
          <t>Naloxone 0.4 mg IV stat</t>
        </is>
      </c>
      <c r="H1027" s="2" t="inlineStr">
        <is>
          <t>Flumazenil 0.2 mg IV stat</t>
        </is>
      </c>
      <c r="I1027" s="8" t="inlineStr">
        <is>
          <t>1</t>
        </is>
      </c>
      <c r="J10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27" s="2" t="n"/>
      <c r="L1027" s="2" t="inlineStr">
        <is>
          <t>General Therapeutics</t>
        </is>
      </c>
      <c r="M1027" s="2" t="inlineStr">
        <is>
          <t>Clinic</t>
        </is>
      </c>
      <c r="N1027" s="2" t="inlineStr">
        <is>
          <t>ข้อ 1 (PLE_CC1_2533.md)</t>
        </is>
      </c>
      <c r="O1027" s="2" t="inlineStr">
        <is>
          <t>ข้อสอบจริง</t>
        </is>
      </c>
      <c r="P1027" s="2" t="inlineStr">
        <is>
          <t>ปี 2533</t>
        </is>
      </c>
    </row>
    <row r="1028" ht="13.2" customHeight="1" s="37">
      <c r="A1028" s="8" t="inlineStr">
        <is>
          <t>1049</t>
        </is>
      </c>
      <c r="B1028" s="2" t="inlineStr">
        <is>
          <t>ผลทางห้องปฏิบัติการใดที่ใช้ในการติดตามผู้ป่วยรายนี้</t>
        </is>
      </c>
      <c r="C1028" s="2" t="n"/>
      <c r="D1028" s="2" t="inlineStr">
        <is>
          <t>Naloxone 0.4 mg IV stat</t>
        </is>
      </c>
      <c r="E1028" s="2" t="inlineStr">
        <is>
          <t>Flumazenil 0.2 mg IV stat</t>
        </is>
      </c>
      <c r="F1028" s="2" t="inlineStr">
        <is>
          <t>Vitamin K1 (Phytomenadione) 10 mg IV slow</t>
        </is>
      </c>
      <c r="G1028" s="2" t="inlineStr">
        <is>
          <t>Sodium thiosulfate 25% 50 mL IV</t>
        </is>
      </c>
      <c r="H1028" s="2" t="inlineStr">
        <is>
          <t>Calcium disodium EDTA 1 g IV</t>
        </is>
      </c>
      <c r="I1028" s="8" t="inlineStr">
        <is>
          <t>1</t>
        </is>
      </c>
      <c r="J10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28" s="2" t="n"/>
      <c r="L1028" s="2" t="inlineStr">
        <is>
          <t>General Therapeutics</t>
        </is>
      </c>
      <c r="M1028" s="2" t="inlineStr">
        <is>
          <t>Clinic</t>
        </is>
      </c>
      <c r="N1028" s="2" t="inlineStr">
        <is>
          <t>ข้อ 2 (PLE_CC1_2533.md)</t>
        </is>
      </c>
      <c r="O1028" s="2" t="inlineStr">
        <is>
          <t>ข้อสอบจริง</t>
        </is>
      </c>
      <c r="P1028" s="2" t="inlineStr">
        <is>
          <t>ปี 2533</t>
        </is>
      </c>
    </row>
    <row r="1029" ht="13.2" customHeight="1" s="37">
      <c r="A1029" s="8" t="inlineStr">
        <is>
          <t>1050</t>
        </is>
      </c>
      <c r="B1029" s="2" t="inlineStr">
        <is>
          <t>ยาใดต่อไปนี้ไม่ควรให้ในผู้ป่วย เนื่องจากจะทำให้อาการของผู้ป่วยแย่ลง</t>
        </is>
      </c>
      <c r="C1029" s="2" t="n"/>
      <c r="D1029" s="2" t="inlineStr">
        <is>
          <t>Sodium thiosulfate 25% 50 mL IV</t>
        </is>
      </c>
      <c r="E1029" s="2" t="inlineStr">
        <is>
          <t>Calcium disodium EDTA 1 g IV</t>
        </is>
      </c>
      <c r="F1029" s="2" t="inlineStr">
        <is>
          <t>Desferrioxamine 1 g IM/IV</t>
        </is>
      </c>
      <c r="G1029" s="2" t="inlineStr">
        <is>
          <t>Dimercaprol (BAL) 3 mg/kg IM</t>
        </is>
      </c>
      <c r="H1029" s="2" t="inlineStr">
        <is>
          <t>Ethanol 10% IV infusion for Methanol poisoning</t>
        </is>
      </c>
      <c r="I1029" s="8" t="inlineStr">
        <is>
          <t>1</t>
        </is>
      </c>
      <c r="J10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9" s="2" t="n"/>
      <c r="L1029" s="2" t="inlineStr">
        <is>
          <t>General Therapeutics</t>
        </is>
      </c>
      <c r="M1029" s="2" t="inlineStr">
        <is>
          <t>Clinic</t>
        </is>
      </c>
      <c r="N1029" s="2" t="inlineStr">
        <is>
          <t>ข้อ 3 (PLE_CC1_2533.md)</t>
        </is>
      </c>
      <c r="O1029" s="2" t="inlineStr">
        <is>
          <t>ข้อสอบจริง</t>
        </is>
      </c>
      <c r="P1029" s="2" t="inlineStr">
        <is>
          <t>ปี 2533</t>
        </is>
      </c>
    </row>
    <row r="1030" ht="13.2" customHeight="1" s="37">
      <c r="A1030" s="8" t="inlineStr">
        <is>
          <t>1051</t>
        </is>
      </c>
      <c r="B1030" s="2" t="inlineStr">
        <is>
          <t>ข้อใดคือคำแนะนำที่เหมาะสมในการให้คำแนะนำกับผู้ป่วยรายนี้ (หมายถึงโรคเก๊าฑ์)</t>
        </is>
      </c>
      <c r="C1030" s="2" t="n"/>
      <c r="D1030" s="2" t="inlineStr">
        <is>
          <t>Dimercaprol (BAL) 3 mg/kg IM</t>
        </is>
      </c>
      <c r="E1030" s="2" t="inlineStr">
        <is>
          <t>Ethanol 10% IV infusion for Methanol poisoning</t>
        </is>
      </c>
      <c r="F1030" s="2" t="inlineStr">
        <is>
          <t>Fomepizole 15 mg/kg IV loading</t>
        </is>
      </c>
      <c r="G1030" s="2" t="inlineStr">
        <is>
          <t>N-acetylcysteine (NAC) IV infusion protocol</t>
        </is>
      </c>
      <c r="H1030" s="2" t="inlineStr">
        <is>
          <t>Atropine sulfate 2 mg IV Q5-10 min</t>
        </is>
      </c>
      <c r="I1030" s="8" t="inlineStr">
        <is>
          <t>1</t>
        </is>
      </c>
      <c r="J10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0" s="2" t="n"/>
      <c r="L1030" s="2" t="inlineStr">
        <is>
          <t>General Therapeutics</t>
        </is>
      </c>
      <c r="M1030" s="2" t="inlineStr">
        <is>
          <t>Clinic</t>
        </is>
      </c>
      <c r="N1030" s="2" t="inlineStr">
        <is>
          <t>ข้อ 6 (PLE_CC1_2533.md)</t>
        </is>
      </c>
      <c r="O1030" s="2" t="inlineStr">
        <is>
          <t>ข้อสอบจริง</t>
        </is>
      </c>
      <c r="P1030" s="2" t="inlineStr">
        <is>
          <t>ปี 2533</t>
        </is>
      </c>
    </row>
    <row r="1031" ht="13.2" customHeight="1" s="37">
      <c r="A1031" s="8" t="inlineStr">
        <is>
          <t>1052</t>
        </is>
      </c>
      <c r="B1031" s="2" t="inlineStr">
        <is>
          <t>ออกกำลังกายอย่างสม่ำเสมอ</t>
        </is>
      </c>
      <c r="C1031" s="2" t="n"/>
      <c r="D1031" s="2" t="inlineStr">
        <is>
          <t>N-acetylcysteine (NAC) IV infusion protocol</t>
        </is>
      </c>
      <c r="E1031" s="2" t="inlineStr">
        <is>
          <t>Atropine sulfate 2 mg IV Q5-10 min</t>
        </is>
      </c>
      <c r="F1031" s="2" t="inlineStr">
        <is>
          <t>Pralidoxime (2-PAM) 1-2 g IV over 30 min</t>
        </is>
      </c>
      <c r="G1031" s="2" t="inlineStr">
        <is>
          <t>Naloxone 0.4 mg IV stat</t>
        </is>
      </c>
      <c r="H1031" s="2" t="inlineStr">
        <is>
          <t>Flumazenil 0.2 mg IV stat</t>
        </is>
      </c>
      <c r="I1031" s="8" t="inlineStr">
        <is>
          <t>1</t>
        </is>
      </c>
      <c r="J10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31" s="2" t="n"/>
      <c r="L1031" s="2" t="inlineStr">
        <is>
          <t>General Therapeutics</t>
        </is>
      </c>
      <c r="M1031" s="2" t="inlineStr">
        <is>
          <t>Clinic</t>
        </is>
      </c>
      <c r="N1031" s="2" t="inlineStr">
        <is>
          <t>ข้อ 2 (PLE_CC1_2533.md)</t>
        </is>
      </c>
      <c r="O1031" s="2" t="inlineStr">
        <is>
          <t>ข้อสอบจริง</t>
        </is>
      </c>
      <c r="P1031" s="2" t="inlineStr">
        <is>
          <t>ปี 2533</t>
        </is>
      </c>
    </row>
    <row r="1032" ht="13.2" customHeight="1" s="37">
      <c r="A1032" s="8" t="inlineStr">
        <is>
          <t>1053</t>
        </is>
      </c>
      <c r="B1032" s="2" t="inlineStr">
        <is>
          <t>ควบคุมระดับน้ำตาลในเลือด</t>
        </is>
      </c>
      <c r="C1032" s="2" t="n"/>
      <c r="D1032" s="2" t="inlineStr">
        <is>
          <t>Metformin 500 mg BID</t>
        </is>
      </c>
      <c r="E1032" s="2" t="inlineStr">
        <is>
          <t>Glipizide 5 mg OD</t>
        </is>
      </c>
      <c r="F1032" s="2" t="inlineStr">
        <is>
          <t>Empagliflozin 10 mg OD</t>
        </is>
      </c>
      <c r="G1032" s="2" t="inlineStr">
        <is>
          <t>Sitagliptin 100 mg OD</t>
        </is>
      </c>
      <c r="H1032" s="2" t="inlineStr">
        <is>
          <t>Liraglutide 1.2 mg SC OD</t>
        </is>
      </c>
      <c r="I1032" s="8" t="inlineStr">
        <is>
          <t>1</t>
        </is>
      </c>
      <c r="J1032" s="2"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Ans  น่าจะควบคุมน้ าหนัก  เพราะในโจทย์ประเด็นชี้ให้เห็นว่าผู้ป่วยอ้วน  BMI = 30 (อ้วนในระดับ 2) อาจส่งผลต่อโรค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32" s="2" t="n"/>
      <c r="L1032" s="2" t="inlineStr">
        <is>
          <t>Diabetes &amp; Endocrine</t>
        </is>
      </c>
      <c r="M1032" s="2" t="inlineStr">
        <is>
          <t>Clinic</t>
        </is>
      </c>
      <c r="N1032" s="2" t="inlineStr">
        <is>
          <t>ข้อ 3 (PLE_CC1_2533.md)</t>
        </is>
      </c>
      <c r="O1032" s="2" t="inlineStr">
        <is>
          <t>ข้อสอบจริง</t>
        </is>
      </c>
      <c r="P1032" s="2" t="inlineStr">
        <is>
          <t>ปี 2533</t>
        </is>
      </c>
    </row>
    <row r="1033" ht="13.2" customHeight="1" s="37">
      <c r="A1033" s="8" t="inlineStr">
        <is>
          <t>1054</t>
        </is>
      </c>
      <c r="B1033" s="2" t="inlineStr">
        <is>
          <t>unpaired t-test</t>
        </is>
      </c>
      <c r="C1033" s="2" t="n"/>
      <c r="D1033" s="2" t="inlineStr">
        <is>
          <t>Case-Control Study (Odds Ratio: OR)</t>
        </is>
      </c>
      <c r="E1033" s="2" t="inlineStr">
        <is>
          <t>Cross-Sectional Survey Prevalence Study</t>
        </is>
      </c>
      <c r="F1033" s="2" t="inlineStr">
        <is>
          <t>Cost-Effectiveness Analysis (Incremental Cost-Effectiveness Ratio: ICER)</t>
        </is>
      </c>
      <c r="G1033" s="2" t="inlineStr">
        <is>
          <t>Cost-Utility Analysis (Quality-Adjusted Life Years: QALY)</t>
        </is>
      </c>
      <c r="H1033" s="2" t="inlineStr">
        <is>
          <t>Cost-Benefit Analysis (Net Monetary Benefit)</t>
        </is>
      </c>
      <c r="I1033" s="8" t="inlineStr">
        <is>
          <t>1</t>
        </is>
      </c>
      <c r="J1033"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(Cross-Sectional Survey Prevalence Study): ข้อนี้ไม่ใช่คำตอบที่ถูกต้องสำหรับภาวะ Biostats &amp; Research เนื่องจากกลไกการออกฤทธิ์, efficacy หรือข้อบ่งใช้ไม่ตรงกับโจทย์ที่กำหนด
• ข้อ ค. (Cost-Effectiveness Analysis (Incremental Cost-Effectiveness Ratio: ICER)): ข้อนี้ไม่ใช่คำตอบที่ถูกต้องสำหรับภาวะ Biostats &amp; Research เนื่องจากกลไกการออกฤทธิ์, efficacy หรือข้อบ่งใช้ไม่ตรงกับโจทย์ที่กำหนด
• ข้อ ง. (Cost-Utility Analysis (Quality-Adjusted Life Years: QALY)): ข้อนี้ไม่ใช่คำตอบที่ถูกต้องสำหรับภาวะ Biostats &amp; Research เนื่องจากกลไกการออกฤทธิ์, efficacy หรือข้อบ่งใช้ไม่ตรงกับโจทย์ที่กำหนด
• ข้อ จ. (Cost-Benefit Analysis (Net Monetary Benefit)):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33" s="2" t="n"/>
      <c r="L1033" s="2" t="inlineStr">
        <is>
          <t>Biostats &amp; Research</t>
        </is>
      </c>
      <c r="M1033" s="2" t="inlineStr">
        <is>
          <t>SAP</t>
        </is>
      </c>
      <c r="N1033" s="2" t="inlineStr">
        <is>
          <t>ข้อ 1 (PLE_CC1_2533.md)</t>
        </is>
      </c>
      <c r="O1033" s="2" t="inlineStr">
        <is>
          <t>ข้อสอบจริง</t>
        </is>
      </c>
      <c r="P1033" s="2" t="inlineStr">
        <is>
          <t>ปี 2533</t>
        </is>
      </c>
    </row>
    <row r="1034" ht="13.2" customHeight="1" s="37">
      <c r="A1034" s="8" t="inlineStr">
        <is>
          <t>1055</t>
        </is>
      </c>
      <c r="B1034" s="2" t="inlineStr">
        <is>
          <t>one way analysis of variance</t>
        </is>
      </c>
      <c r="C1034" s="2" t="n"/>
      <c r="D1034" s="2" t="inlineStr">
        <is>
          <t>Dimercaprol (BAL) 3 mg/kg IM</t>
        </is>
      </c>
      <c r="E1034" s="2" t="inlineStr">
        <is>
          <t>Ethanol 10% IV infusion for Methanol poisoning</t>
        </is>
      </c>
      <c r="F1034" s="2" t="inlineStr">
        <is>
          <t>Fomepizole 15 mg/kg IV loading</t>
        </is>
      </c>
      <c r="G1034" s="2" t="inlineStr">
        <is>
          <t>N-acetylcysteine (NAC) IV infusion protocol</t>
        </is>
      </c>
      <c r="H1034" s="2" t="inlineStr">
        <is>
          <t>Atropine sulfate 2 mg IV Q5-10 min</t>
        </is>
      </c>
      <c r="I1034" s="8" t="inlineStr">
        <is>
          <t>1</t>
        </is>
      </c>
      <c r="J10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4" s="2" t="n"/>
      <c r="L1034" s="2" t="inlineStr">
        <is>
          <t>General Therapeutics</t>
        </is>
      </c>
      <c r="M1034" s="2" t="inlineStr">
        <is>
          <t>Clinic</t>
        </is>
      </c>
      <c r="N1034" s="2" t="inlineStr">
        <is>
          <t>ข้อ 4 (PLE_CC1_2533.md)</t>
        </is>
      </c>
      <c r="O1034" s="2" t="inlineStr">
        <is>
          <t>ข้อสอบจริง</t>
        </is>
      </c>
      <c r="P1034" s="2" t="inlineStr">
        <is>
          <t>ปี 2533</t>
        </is>
      </c>
    </row>
    <row r="1035" ht="13.2" customHeight="1" s="37">
      <c r="A1035" s="8" t="inlineStr">
        <is>
          <t>1056</t>
        </is>
      </c>
      <c r="B1035" s="2" t="inlineStr">
        <is>
          <t>correlation Ans น่าจะเป็น one way analysis of variance</t>
        </is>
      </c>
      <c r="C1035" s="2" t="n"/>
      <c r="D1035" s="2" t="inlineStr">
        <is>
          <t>N-acetylcysteine (NAC) IV infusion protocol</t>
        </is>
      </c>
      <c r="E1035" s="2" t="inlineStr">
        <is>
          <t>Atropine sulfate 2 mg IV Q5-10 min</t>
        </is>
      </c>
      <c r="F1035" s="2" t="inlineStr">
        <is>
          <t>Pralidoxime (2-PAM) 1-2 g IV over 30 min</t>
        </is>
      </c>
      <c r="G1035" s="2" t="inlineStr">
        <is>
          <t>Naloxone 0.4 mg IV stat</t>
        </is>
      </c>
      <c r="H1035" s="2" t="inlineStr">
        <is>
          <t>Flumazenil 0.2 mg IV stat</t>
        </is>
      </c>
      <c r="I1035" s="8" t="inlineStr">
        <is>
          <t>1</t>
        </is>
      </c>
      <c r="J10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35" s="2" t="n"/>
      <c r="L1035" s="2" t="inlineStr">
        <is>
          <t>General Therapeutics</t>
        </is>
      </c>
      <c r="M1035" s="2" t="inlineStr">
        <is>
          <t>Clinic</t>
        </is>
      </c>
      <c r="N1035" s="2" t="inlineStr">
        <is>
          <t>ข้อ 5 (PLE_CC1_2533.md)</t>
        </is>
      </c>
      <c r="O1035" s="2" t="inlineStr">
        <is>
          <t>ข้อสอบจริง</t>
        </is>
      </c>
      <c r="P1035" s="2" t="inlineStr">
        <is>
          <t>ปี 2533</t>
        </is>
      </c>
    </row>
    <row r="1036" ht="13.2" customHeight="1" s="37">
      <c r="A1036" s="8" t="inlineStr">
        <is>
          <t>1057</t>
        </is>
      </c>
      <c r="B1036" s="2" t="inlineStr">
        <is>
          <t>กรรมพันธุ์ ( 5 )</t>
        </is>
      </c>
      <c r="C1036" s="2" t="n"/>
      <c r="D1036" s="2" t="inlineStr">
        <is>
          <t>Naloxone 0.4 mg IV stat</t>
        </is>
      </c>
      <c r="E1036" s="2" t="inlineStr">
        <is>
          <t>Flumazenil 0.2 mg IV stat</t>
        </is>
      </c>
      <c r="F1036" s="2" t="inlineStr">
        <is>
          <t>Vitamin K1 (Phytomenadione) 10 mg IV slow</t>
        </is>
      </c>
      <c r="G1036" s="2" t="inlineStr">
        <is>
          <t>Sodium thiosulfate 25% 50 mL IV</t>
        </is>
      </c>
      <c r="H1036" s="2" t="inlineStr">
        <is>
          <t>Calcium disodium EDTA 1 g IV</t>
        </is>
      </c>
      <c r="I1036" s="8" t="inlineStr">
        <is>
          <t>1</t>
        </is>
      </c>
      <c r="J10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36" s="2" t="n"/>
      <c r="L1036" s="2" t="inlineStr">
        <is>
          <t>General Therapeutics</t>
        </is>
      </c>
      <c r="M1036" s="2" t="inlineStr">
        <is>
          <t>Clinic</t>
        </is>
      </c>
      <c r="N1036" s="2" t="inlineStr">
        <is>
          <t>ข้อ 5 (PLE_CC1_2533.md)</t>
        </is>
      </c>
      <c r="O1036" s="2" t="inlineStr">
        <is>
          <t>ข้อสอบจริง</t>
        </is>
      </c>
      <c r="P1036" s="2" t="inlineStr">
        <is>
          <t>ปี 2533</t>
        </is>
      </c>
    </row>
    <row r="1037" ht="13.2" customHeight="1" s="37">
      <c r="A1037" s="8" t="inlineStr">
        <is>
          <t>1058</t>
        </is>
      </c>
      <c r="B1037" s="2" t="inlineStr">
        <is>
          <t>เม็ดเลือดแดงติดสีเข้มและมีขนาดเล็ก</t>
        </is>
      </c>
      <c r="C1037" s="2" t="n"/>
      <c r="D1037" s="2" t="inlineStr">
        <is>
          <t>Sodium thiosulfate 25% 50 mL IV</t>
        </is>
      </c>
      <c r="E1037" s="2" t="inlineStr">
        <is>
          <t>Calcium disodium EDTA 1 g IV</t>
        </is>
      </c>
      <c r="F1037" s="2" t="inlineStr">
        <is>
          <t>Desferrioxamine 1 g IM/IV</t>
        </is>
      </c>
      <c r="G1037" s="2" t="inlineStr">
        <is>
          <t>Dimercaprol (BAL) 3 mg/kg IM</t>
        </is>
      </c>
      <c r="H1037" s="2" t="inlineStr">
        <is>
          <t>Ethanol 10% IV infusion for Methanol poisoning</t>
        </is>
      </c>
      <c r="I1037" s="8" t="inlineStr">
        <is>
          <t>1</t>
        </is>
      </c>
      <c r="J10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7" s="2" t="n"/>
      <c r="L1037" s="2" t="inlineStr">
        <is>
          <t>General Therapeutics</t>
        </is>
      </c>
      <c r="M1037" s="2" t="inlineStr">
        <is>
          <t>Clinic</t>
        </is>
      </c>
      <c r="N1037" s="2" t="inlineStr">
        <is>
          <t>ข้อ 1 (PLE_CC1_2533.md)</t>
        </is>
      </c>
      <c r="O1037" s="2" t="inlineStr">
        <is>
          <t>ข้อสอบจริง</t>
        </is>
      </c>
      <c r="P1037" s="2" t="inlineStr">
        <is>
          <t>ปี 2533</t>
        </is>
      </c>
    </row>
    <row r="1038" ht="13.2" customHeight="1" s="37">
      <c r="A1038" s="8" t="inlineStr">
        <is>
          <t>1059</t>
        </is>
      </c>
      <c r="B1038" s="2" t="inlineStr">
        <is>
          <t>เม็ดเลือดแดงติดสีจางและมีขนาดเล็ก</t>
        </is>
      </c>
      <c r="C1038" s="2" t="n"/>
      <c r="D1038" s="2" t="inlineStr">
        <is>
          <t>Dimercaprol (BAL) 3 mg/kg IM</t>
        </is>
      </c>
      <c r="E1038" s="2" t="inlineStr">
        <is>
          <t>Ethanol 10% IV infusion for Methanol poisoning</t>
        </is>
      </c>
      <c r="F1038" s="2" t="inlineStr">
        <is>
          <t>Fomepizole 15 mg/kg IV loading</t>
        </is>
      </c>
      <c r="G1038" s="2" t="inlineStr">
        <is>
          <t>N-acetylcysteine (NAC) IV infusion protocol</t>
        </is>
      </c>
      <c r="H1038" s="2" t="inlineStr">
        <is>
          <t>Atropine sulfate 2 mg IV Q5-10 min</t>
        </is>
      </c>
      <c r="I1038" s="8" t="inlineStr">
        <is>
          <t>1</t>
        </is>
      </c>
      <c r="J10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8" s="2" t="n"/>
      <c r="L1038" s="2" t="inlineStr">
        <is>
          <t>General Therapeutics</t>
        </is>
      </c>
      <c r="M1038" s="2" t="inlineStr">
        <is>
          <t>Clinic</t>
        </is>
      </c>
      <c r="N1038" s="2" t="inlineStr">
        <is>
          <t>ข้อ 2 (PLE_CC1_2533.md)</t>
        </is>
      </c>
      <c r="O1038" s="2" t="inlineStr">
        <is>
          <t>ข้อสอบจริง</t>
        </is>
      </c>
      <c r="P1038" s="2" t="inlineStr">
        <is>
          <t>ปี 2533</t>
        </is>
      </c>
    </row>
    <row r="1039" ht="13.2" customHeight="1" s="37">
      <c r="A1039" s="8" t="inlineStr">
        <is>
          <t>1060</t>
        </is>
      </c>
      <c r="B1039" s="2" t="inlineStr">
        <is>
          <t>เม็ดเลือดแดงติดสีจางและมีขนาดใหญ่</t>
        </is>
      </c>
      <c r="C1039" s="2" t="n"/>
      <c r="D1039" s="2" t="inlineStr">
        <is>
          <t>N-acetylcysteine (NAC) IV infusion protocol</t>
        </is>
      </c>
      <c r="E1039" s="2" t="inlineStr">
        <is>
          <t>Atropine sulfate 2 mg IV Q5-10 min</t>
        </is>
      </c>
      <c r="F1039" s="2" t="inlineStr">
        <is>
          <t>Pralidoxime (2-PAM) 1-2 g IV over 30 min</t>
        </is>
      </c>
      <c r="G1039" s="2" t="inlineStr">
        <is>
          <t>Naloxone 0.4 mg IV stat</t>
        </is>
      </c>
      <c r="H1039" s="2" t="inlineStr">
        <is>
          <t>Flumazenil 0.2 mg IV stat</t>
        </is>
      </c>
      <c r="I1039" s="8" t="inlineStr">
        <is>
          <t>1</t>
        </is>
      </c>
      <c r="J10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39" s="2" t="n"/>
      <c r="L1039" s="2" t="inlineStr">
        <is>
          <t>General Therapeutics</t>
        </is>
      </c>
      <c r="M1039" s="2" t="inlineStr">
        <is>
          <t>Clinic</t>
        </is>
      </c>
      <c r="N1039" s="2" t="inlineStr">
        <is>
          <t>ข้อ 3 (PLE_CC1_2533.md)</t>
        </is>
      </c>
      <c r="O1039" s="2" t="inlineStr">
        <is>
          <t>ข้อสอบจริง</t>
        </is>
      </c>
      <c r="P1039" s="2" t="inlineStr">
        <is>
          <t>ปี 2533</t>
        </is>
      </c>
    </row>
    <row r="1040" ht="13.2" customHeight="1" s="37">
      <c r="A1040" s="8" t="inlineStr">
        <is>
          <t>1061</t>
        </is>
      </c>
      <c r="B1040" s="2" t="inlineStr">
        <is>
          <t>เม็ดเลือดแดงติดสีเข้มและมีขนาดใหญ่</t>
        </is>
      </c>
      <c r="C1040" s="2" t="n"/>
      <c r="D1040" s="2" t="inlineStr">
        <is>
          <t>Naloxone 0.4 mg IV stat</t>
        </is>
      </c>
      <c r="E1040" s="2" t="inlineStr">
        <is>
          <t>Flumazenil 0.2 mg IV stat</t>
        </is>
      </c>
      <c r="F1040" s="2" t="inlineStr">
        <is>
          <t>Vitamin K1 (Phytomenadione) 10 mg IV slow</t>
        </is>
      </c>
      <c r="G1040" s="2" t="inlineStr">
        <is>
          <t>Sodium thiosulfate 25% 50 mL IV</t>
        </is>
      </c>
      <c r="H1040" s="2" t="inlineStr">
        <is>
          <t>Calcium disodium EDTA 1 g IV</t>
        </is>
      </c>
      <c r="I1040" s="8" t="inlineStr">
        <is>
          <t>1</t>
        </is>
      </c>
      <c r="J10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40" s="2" t="n"/>
      <c r="L1040" s="2" t="inlineStr">
        <is>
          <t>General Therapeutics</t>
        </is>
      </c>
      <c r="M1040" s="2" t="inlineStr">
        <is>
          <t>Clinic</t>
        </is>
      </c>
      <c r="N1040" s="2" t="inlineStr">
        <is>
          <t>ข้อ 4 (PLE_CC1_2533.md)</t>
        </is>
      </c>
      <c r="O1040" s="2" t="inlineStr">
        <is>
          <t>ข้อสอบจริง</t>
        </is>
      </c>
      <c r="P1040" s="2" t="inlineStr">
        <is>
          <t>ปี 2533</t>
        </is>
      </c>
    </row>
    <row r="1041" ht="13.2" customHeight="1" s="37">
      <c r="A1041" s="8" t="inlineStr">
        <is>
          <t>1062</t>
        </is>
      </c>
      <c r="B1041" s="2" t="inlineStr">
        <is>
          <t>เม็ดเลือดแดงติดสีเข้มและมีขนาดปกติ ( 2 )</t>
        </is>
      </c>
      <c r="C1041" s="2" t="n"/>
      <c r="D1041" s="2" t="inlineStr">
        <is>
          <t>Sodium thiosulfate 25% 50 mL IV</t>
        </is>
      </c>
      <c r="E1041" s="2" t="inlineStr">
        <is>
          <t>Calcium disodium EDTA 1 g IV</t>
        </is>
      </c>
      <c r="F1041" s="2" t="inlineStr">
        <is>
          <t>Desferrioxamine 1 g IM/IV</t>
        </is>
      </c>
      <c r="G1041" s="2" t="inlineStr">
        <is>
          <t>Dimercaprol (BAL) 3 mg/kg IM</t>
        </is>
      </c>
      <c r="H1041" s="2" t="inlineStr">
        <is>
          <t>Ethanol 10% IV infusion for Methanol poisoning</t>
        </is>
      </c>
      <c r="I1041" s="8" t="inlineStr">
        <is>
          <t>1</t>
        </is>
      </c>
      <c r="J10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1" s="2" t="n"/>
      <c r="L1041" s="2" t="inlineStr">
        <is>
          <t>General Therapeutics</t>
        </is>
      </c>
      <c r="M1041" s="2" t="inlineStr">
        <is>
          <t>Clinic</t>
        </is>
      </c>
      <c r="N1041" s="2" t="inlineStr">
        <is>
          <t>ข้อ 5 (PLE_CC1_2533.md)</t>
        </is>
      </c>
      <c r="O1041" s="2" t="inlineStr">
        <is>
          <t>ข้อสอบจริง</t>
        </is>
      </c>
      <c r="P1041" s="2" t="inlineStr">
        <is>
          <t>ปี 2533</t>
        </is>
      </c>
    </row>
    <row r="1042" ht="13.2" customHeight="1" s="37">
      <c r="A1042" s="8" t="inlineStr">
        <is>
          <t>1063</t>
        </is>
      </c>
      <c r="B1042" s="2" t="inlineStr">
        <is>
          <t>Ferrus gluconate</t>
        </is>
      </c>
      <c r="C1042" s="2" t="n"/>
      <c r="D1042" s="2" t="inlineStr">
        <is>
          <t>Dimercaprol (BAL) 3 mg/kg IM</t>
        </is>
      </c>
      <c r="E1042" s="2" t="inlineStr">
        <is>
          <t>Ethanol 10% IV infusion for Methanol poisoning</t>
        </is>
      </c>
      <c r="F1042" s="2" t="inlineStr">
        <is>
          <t>Fomepizole 15 mg/kg IV loading</t>
        </is>
      </c>
      <c r="G1042" s="2" t="inlineStr">
        <is>
          <t>N-acetylcysteine (NAC) IV infusion protocol</t>
        </is>
      </c>
      <c r="H1042" s="2" t="inlineStr">
        <is>
          <t>Atropine sulfate 2 mg IV Q5-10 min</t>
        </is>
      </c>
      <c r="I1042" s="8" t="inlineStr">
        <is>
          <t>1</t>
        </is>
      </c>
      <c r="J10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2" s="2" t="n"/>
      <c r="L1042" s="2" t="inlineStr">
        <is>
          <t>General Therapeutics</t>
        </is>
      </c>
      <c r="M1042" s="2" t="inlineStr">
        <is>
          <t>Clinic</t>
        </is>
      </c>
      <c r="N1042" s="2" t="inlineStr">
        <is>
          <t>ข้อ 3 (PLE_CC1_2533.md)</t>
        </is>
      </c>
      <c r="O1042" s="2" t="inlineStr">
        <is>
          <t>ข้อสอบจริง</t>
        </is>
      </c>
      <c r="P1042" s="2" t="inlineStr">
        <is>
          <t>ปี 2533</t>
        </is>
      </c>
    </row>
    <row r="1043" ht="13.2" customHeight="1" s="37">
      <c r="A1043" s="8" t="inlineStr">
        <is>
          <t>1064</t>
        </is>
      </c>
      <c r="B1043" s="2" t="inlineStr">
        <is>
          <t>Norfloxacin ( 2 )</t>
        </is>
      </c>
      <c r="C1043" s="2" t="n"/>
      <c r="D1043" s="2" t="inlineStr">
        <is>
          <t>N-acetylcysteine (NAC) IV infusion protocol</t>
        </is>
      </c>
      <c r="E1043" s="2" t="inlineStr">
        <is>
          <t>Atropine sulfate 2 mg IV Q5-10 min</t>
        </is>
      </c>
      <c r="F1043" s="2" t="inlineStr">
        <is>
          <t>Pralidoxime (2-PAM) 1-2 g IV over 30 min</t>
        </is>
      </c>
      <c r="G1043" s="2" t="inlineStr">
        <is>
          <t>Naloxone 0.4 mg IV stat</t>
        </is>
      </c>
      <c r="H1043" s="2" t="inlineStr">
        <is>
          <t>Flumazenil 0.2 mg IV stat</t>
        </is>
      </c>
      <c r="I1043" s="8" t="inlineStr">
        <is>
          <t>1</t>
        </is>
      </c>
      <c r="J10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43" s="2" t="n"/>
      <c r="L1043" s="2" t="inlineStr">
        <is>
          <t>General Therapeutics</t>
        </is>
      </c>
      <c r="M1043" s="2" t="inlineStr">
        <is>
          <t>Clinic</t>
        </is>
      </c>
      <c r="N1043" s="2" t="inlineStr">
        <is>
          <t>ข้อ 5 (PLE_CC1_2533.md)</t>
        </is>
      </c>
      <c r="O1043" s="2" t="inlineStr">
        <is>
          <t>ข้อสอบจริง</t>
        </is>
      </c>
      <c r="P1043" s="2" t="inlineStr">
        <is>
          <t>ปี 2533</t>
        </is>
      </c>
    </row>
    <row r="1044" ht="13.2" customHeight="1" s="37">
      <c r="A1044" s="8" t="inlineStr">
        <is>
          <t>1065</t>
        </is>
      </c>
      <c r="B1044" s="2" t="inlineStr">
        <is>
          <t>เพื่อให้ออกฤทธิ์เนิ่น</t>
        </is>
      </c>
      <c r="C1044" s="2" t="n"/>
      <c r="D1044" s="2" t="inlineStr">
        <is>
          <t>Naloxone 0.4 mg IV stat</t>
        </is>
      </c>
      <c r="E1044" s="2" t="inlineStr">
        <is>
          <t>Flumazenil 0.2 mg IV stat</t>
        </is>
      </c>
      <c r="F1044" s="2" t="inlineStr">
        <is>
          <t>Vitamin K1 (Phytomenadione) 10 mg IV slow</t>
        </is>
      </c>
      <c r="G1044" s="2" t="inlineStr">
        <is>
          <t>Sodium thiosulfate 25% 50 mL IV</t>
        </is>
      </c>
      <c r="H1044" s="2" t="inlineStr">
        <is>
          <t>Calcium disodium EDTA 1 g IV</t>
        </is>
      </c>
      <c r="I1044" s="8" t="inlineStr">
        <is>
          <t>1</t>
        </is>
      </c>
      <c r="J10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44" s="2" t="n"/>
      <c r="L1044" s="2" t="inlineStr">
        <is>
          <t>General Therapeutics</t>
        </is>
      </c>
      <c r="M1044" s="2" t="inlineStr">
        <is>
          <t>Clinic</t>
        </is>
      </c>
      <c r="N1044" s="2" t="inlineStr">
        <is>
          <t>ข้อ 1 (PLE_CC1_2533.md)</t>
        </is>
      </c>
      <c r="O1044" s="2" t="inlineStr">
        <is>
          <t>ข้อสอบจริง</t>
        </is>
      </c>
      <c r="P1044" s="2" t="inlineStr">
        <is>
          <t>ปี 2533</t>
        </is>
      </c>
    </row>
    <row r="1045" ht="13.2" customHeight="1" s="37">
      <c r="A1045" s="8" t="inlineStr">
        <is>
          <t>1066</t>
        </is>
      </c>
      <c r="B1045" s="2" t="inlineStr">
        <is>
          <t>เพิ่มรสชาติ กลบรสกลบกลิ่นไม่ดี</t>
        </is>
      </c>
      <c r="C1045" s="2" t="n"/>
      <c r="D1045" s="2" t="inlineStr">
        <is>
          <t>Sodium thiosulfate 25% 50 mL IV</t>
        </is>
      </c>
      <c r="E1045" s="2" t="inlineStr">
        <is>
          <t>Calcium disodium EDTA 1 g IV</t>
        </is>
      </c>
      <c r="F1045" s="2" t="inlineStr">
        <is>
          <t>Desferrioxamine 1 g IM/IV</t>
        </is>
      </c>
      <c r="G1045" s="2" t="inlineStr">
        <is>
          <t>Dimercaprol (BAL) 3 mg/kg IM</t>
        </is>
      </c>
      <c r="H1045" s="2" t="inlineStr">
        <is>
          <t>Ethanol 10% IV infusion for Methanol poisoning</t>
        </is>
      </c>
      <c r="I1045" s="8" t="inlineStr">
        <is>
          <t>1</t>
        </is>
      </c>
      <c r="J10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5" s="2" t="n"/>
      <c r="L1045" s="2" t="inlineStr">
        <is>
          <t>General Therapeutics</t>
        </is>
      </c>
      <c r="M1045" s="2" t="inlineStr">
        <is>
          <t>Clinic</t>
        </is>
      </c>
      <c r="N1045" s="2" t="inlineStr">
        <is>
          <t>ข้อ 2 (PLE_CC1_2533.md)</t>
        </is>
      </c>
      <c r="O1045" s="2" t="inlineStr">
        <is>
          <t>ข้อสอบจริง</t>
        </is>
      </c>
      <c r="P1045" s="2" t="inlineStr">
        <is>
          <t>ปี 2533</t>
        </is>
      </c>
    </row>
    <row r="1046" ht="13.2" customHeight="1" s="37">
      <c r="A1046" s="8" t="inlineStr">
        <is>
          <t>1067</t>
        </is>
      </c>
      <c r="B1046" s="2" t="inlineStr">
        <is>
          <t>ป้องกันการเสื่อมสลายของตัวยา</t>
        </is>
      </c>
      <c r="C1046" s="2" t="n"/>
      <c r="D1046" s="2" t="inlineStr">
        <is>
          <t>Dimercaprol (BAL) 3 mg/kg IM</t>
        </is>
      </c>
      <c r="E1046" s="2" t="inlineStr">
        <is>
          <t>Ethanol 10% IV infusion for Methanol poisoning</t>
        </is>
      </c>
      <c r="F1046" s="2" t="inlineStr">
        <is>
          <t>Fomepizole 15 mg/kg IV loading</t>
        </is>
      </c>
      <c r="G1046" s="2" t="inlineStr">
        <is>
          <t>N-acetylcysteine (NAC) IV infusion protocol</t>
        </is>
      </c>
      <c r="H1046" s="2" t="inlineStr">
        <is>
          <t>Atropine sulfate 2 mg IV Q5-10 min</t>
        </is>
      </c>
      <c r="I1046" s="8" t="inlineStr">
        <is>
          <t>1</t>
        </is>
      </c>
      <c r="J10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6" s="2" t="n"/>
      <c r="L1046" s="2" t="inlineStr">
        <is>
          <t>General Therapeutics</t>
        </is>
      </c>
      <c r="M1046" s="2" t="inlineStr">
        <is>
          <t>Clinic</t>
        </is>
      </c>
      <c r="N1046" s="2" t="inlineStr">
        <is>
          <t>ข้อ 3 (PLE_CC1_2533.md)</t>
        </is>
      </c>
      <c r="O1046" s="2" t="inlineStr">
        <is>
          <t>ข้อสอบจริง</t>
        </is>
      </c>
      <c r="P1046" s="2" t="inlineStr">
        <is>
          <t>ปี 2533</t>
        </is>
      </c>
    </row>
    <row r="1047" ht="13.2" customHeight="1" s="37">
      <c r="A1047" s="8" t="inlineStr">
        <is>
          <t>1068</t>
        </is>
      </c>
      <c r="B1047" s="2" t="inlineStr">
        <is>
          <t>ป้องกันการระคายเคืองทางเดินอาหาร</t>
        </is>
      </c>
      <c r="C1047" s="2" t="n"/>
      <c r="D1047" s="2" t="inlineStr">
        <is>
          <t>N-acetylcysteine (NAC) IV infusion protocol</t>
        </is>
      </c>
      <c r="E1047" s="2" t="inlineStr">
        <is>
          <t>Atropine sulfate 2 mg IV Q5-10 min</t>
        </is>
      </c>
      <c r="F1047" s="2" t="inlineStr">
        <is>
          <t>Pralidoxime (2-PAM) 1-2 g IV over 30 min</t>
        </is>
      </c>
      <c r="G1047" s="2" t="inlineStr">
        <is>
          <t>Naloxone 0.4 mg IV stat</t>
        </is>
      </c>
      <c r="H1047" s="2" t="inlineStr">
        <is>
          <t>Flumazenil 0.2 mg IV stat</t>
        </is>
      </c>
      <c r="I1047" s="8" t="inlineStr">
        <is>
          <t>1</t>
        </is>
      </c>
      <c r="J10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47" s="2" t="n"/>
      <c r="L1047" s="2" t="inlineStr">
        <is>
          <t>General Therapeutics</t>
        </is>
      </c>
      <c r="M1047" s="2" t="inlineStr">
        <is>
          <t>Clinic</t>
        </is>
      </c>
      <c r="N1047" s="2" t="inlineStr">
        <is>
          <t>ข้อ 4 (PLE_CC1_2533.md)</t>
        </is>
      </c>
      <c r="O1047" s="2" t="inlineStr">
        <is>
          <t>ข้อสอบจริง</t>
        </is>
      </c>
      <c r="P1047" s="2" t="inlineStr">
        <is>
          <t>ปี 2533</t>
        </is>
      </c>
    </row>
    <row r="1048" ht="13.2" customHeight="1" s="37">
      <c r="A1048" s="8" t="inlineStr">
        <is>
          <t>1069</t>
        </is>
      </c>
      <c r="B1048" s="2" t="inlineStr">
        <is>
          <t>สะดวกต่อการกลืน ( 4 )</t>
        </is>
      </c>
      <c r="C1048" s="2" t="n"/>
      <c r="D1048" s="2" t="inlineStr">
        <is>
          <t>Naloxone 0.4 mg IV stat</t>
        </is>
      </c>
      <c r="E1048" s="2" t="inlineStr">
        <is>
          <t>Flumazenil 0.2 mg IV stat</t>
        </is>
      </c>
      <c r="F1048" s="2" t="inlineStr">
        <is>
          <t>Vitamin K1 (Phytomenadione) 10 mg IV slow</t>
        </is>
      </c>
      <c r="G1048" s="2" t="inlineStr">
        <is>
          <t>Sodium thiosulfate 25% 50 mL IV</t>
        </is>
      </c>
      <c r="H1048" s="2" t="inlineStr">
        <is>
          <t>Calcium disodium EDTA 1 g IV</t>
        </is>
      </c>
      <c r="I1048" s="8" t="inlineStr">
        <is>
          <t>1</t>
        </is>
      </c>
      <c r="J10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48" s="2" t="n"/>
      <c r="L1048" s="2" t="inlineStr">
        <is>
          <t>General Therapeutics</t>
        </is>
      </c>
      <c r="M1048" s="2" t="inlineStr">
        <is>
          <t>Clinic</t>
        </is>
      </c>
      <c r="N1048" s="2" t="inlineStr">
        <is>
          <t>ข้อ 5 (PLE_CC1_2533.md)</t>
        </is>
      </c>
      <c r="O1048" s="2" t="inlineStr">
        <is>
          <t>ข้อสอบจริง</t>
        </is>
      </c>
      <c r="P1048" s="2" t="inlineStr">
        <is>
          <t>ปี 2533</t>
        </is>
      </c>
    </row>
    <row r="1049" ht="13.2" customHeight="1" s="37">
      <c r="A1049" s="8" t="inlineStr">
        <is>
          <t>1070</t>
        </is>
      </c>
      <c r="B1049" s="2" t="inlineStr">
        <is>
          <t>polyethylene glycol 4000</t>
        </is>
      </c>
      <c r="C1049" s="2" t="n"/>
      <c r="D1049" s="2" t="inlineStr">
        <is>
          <t>Sodium thiosulfate 25% 50 mL IV</t>
        </is>
      </c>
      <c r="E1049" s="2" t="inlineStr">
        <is>
          <t>Calcium disodium EDTA 1 g IV</t>
        </is>
      </c>
      <c r="F1049" s="2" t="inlineStr">
        <is>
          <t>Desferrioxamine 1 g IM/IV</t>
        </is>
      </c>
      <c r="G1049" s="2" t="inlineStr">
        <is>
          <t>Dimercaprol (BAL) 3 mg/kg IM</t>
        </is>
      </c>
      <c r="H1049" s="2" t="inlineStr">
        <is>
          <t>Ethanol 10% IV infusion for Methanol poisoning</t>
        </is>
      </c>
      <c r="I1049" s="8" t="inlineStr">
        <is>
          <t>1</t>
        </is>
      </c>
      <c r="J10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9" s="2" t="n"/>
      <c r="L1049" s="2" t="inlineStr">
        <is>
          <t>General Therapeutics</t>
        </is>
      </c>
      <c r="M1049" s="2" t="inlineStr">
        <is>
          <t>Clinic</t>
        </is>
      </c>
      <c r="N1049" s="2" t="inlineStr">
        <is>
          <t>ข้อ 4 (PLE_CC1_2533.md)</t>
        </is>
      </c>
      <c r="O1049" s="2" t="inlineStr">
        <is>
          <t>ข้อสอบจริง</t>
        </is>
      </c>
      <c r="P1049" s="2" t="inlineStr">
        <is>
          <t>ปี 2533</t>
        </is>
      </c>
    </row>
    <row r="1050" ht="13.2" customHeight="1" s="37">
      <c r="A1050" s="8" t="inlineStr">
        <is>
          <t>1071</t>
        </is>
      </c>
      <c r="B1050" s="2" t="inlineStr">
        <is>
          <t>sucrose……… ( 2 )</t>
        </is>
      </c>
      <c r="C1050" s="2" t="n"/>
      <c r="D1050" s="2" t="inlineStr">
        <is>
          <t>Dimercaprol (BAL) 3 mg/kg IM</t>
        </is>
      </c>
      <c r="E1050" s="2" t="inlineStr">
        <is>
          <t>Ethanol 10% IV infusion for Methanol poisoning</t>
        </is>
      </c>
      <c r="F1050" s="2" t="inlineStr">
        <is>
          <t>Fomepizole 15 mg/kg IV loading</t>
        </is>
      </c>
      <c r="G1050" s="2" t="inlineStr">
        <is>
          <t>N-acetylcysteine (NAC) IV infusion protocol</t>
        </is>
      </c>
      <c r="H1050" s="2" t="inlineStr">
        <is>
          <t>Atropine sulfate 2 mg IV Q5-10 min</t>
        </is>
      </c>
      <c r="I1050" s="8" t="inlineStr">
        <is>
          <t>1</t>
        </is>
      </c>
      <c r="J10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0" s="2" t="n"/>
      <c r="L1050" s="2" t="inlineStr">
        <is>
          <t>General Therapeutics</t>
        </is>
      </c>
      <c r="M1050" s="2" t="inlineStr">
        <is>
          <t>Clinic</t>
        </is>
      </c>
      <c r="N1050" s="2" t="inlineStr">
        <is>
          <t>ข้อ 5 (PLE_CC1_2533.md)</t>
        </is>
      </c>
      <c r="O1050" s="2" t="inlineStr">
        <is>
          <t>ข้อสอบจริง</t>
        </is>
      </c>
      <c r="P1050" s="2" t="inlineStr">
        <is>
          <t>ปี 2533</t>
        </is>
      </c>
    </row>
    <row r="1051" ht="13.2" customHeight="1" s="37">
      <c r="A1051" s="8" t="inlineStr">
        <is>
          <t>1072</t>
        </is>
      </c>
      <c r="B1051" s="2" t="inlineStr">
        <is>
          <t>การไทรเทรต Kmno4 ดังปฏิกิริยาต่อไปนี้ จงหาค่า A Kmno4 + A Fe+2 + 8H Mn+2 + A Fe+3 + 4H2O</t>
        </is>
      </c>
      <c r="C1051" s="2" t="n"/>
      <c r="D1051" s="2" t="inlineStr">
        <is>
          <t>N-acetylcysteine (NAC) IV infusion protocol</t>
        </is>
      </c>
      <c r="E1051" s="2" t="inlineStr">
        <is>
          <t>Atropine sulfate 2 mg IV Q5-10 min</t>
        </is>
      </c>
      <c r="F1051" s="2" t="inlineStr">
        <is>
          <t>Pralidoxime (2-PAM) 1-2 g IV over 30 min</t>
        </is>
      </c>
      <c r="G1051" s="2" t="inlineStr">
        <is>
          <t>Naloxone 0.4 mg IV stat</t>
        </is>
      </c>
      <c r="H1051" s="2" t="inlineStr">
        <is>
          <t>Flumazenil 0.2 mg IV stat</t>
        </is>
      </c>
      <c r="I1051" s="8" t="inlineStr">
        <is>
          <t>1</t>
        </is>
      </c>
      <c r="J10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51" s="2" t="n"/>
      <c r="L1051" s="2" t="inlineStr">
        <is>
          <t>General Therapeutics</t>
        </is>
      </c>
      <c r="M1051" s="2" t="inlineStr">
        <is>
          <t>Clinic</t>
        </is>
      </c>
      <c r="N1051" s="2" t="inlineStr">
        <is>
          <t>ข้อ 8 (PLE_CC1_2533.md)</t>
        </is>
      </c>
      <c r="O1051" s="2" t="inlineStr">
        <is>
          <t>ข้อสอบจริง</t>
        </is>
      </c>
      <c r="P1051" s="2" t="inlineStr">
        <is>
          <t>ปี 2533</t>
        </is>
      </c>
    </row>
    <row r="1052" ht="13.2" customHeight="1" s="37">
      <c r="A1052" s="8" t="inlineStr">
        <is>
          <t>1073</t>
        </is>
      </c>
      <c r="B1052" s="2" t="inlineStr">
        <is>
          <t>จงหากรัมสมมูลของ KMnO4 กำหนดให้มี MW KMnO4 = 158</t>
        </is>
      </c>
      <c r="C1052" s="2" t="n"/>
      <c r="D1052" s="2" t="inlineStr">
        <is>
          <t>Naloxone 0.4 mg IV stat</t>
        </is>
      </c>
      <c r="E1052" s="2" t="inlineStr">
        <is>
          <t>Flumazenil 0.2 mg IV stat</t>
        </is>
      </c>
      <c r="F1052" s="2" t="inlineStr">
        <is>
          <t>Vitamin K1 (Phytomenadione) 10 mg IV slow</t>
        </is>
      </c>
      <c r="G1052" s="2" t="inlineStr">
        <is>
          <t>Sodium thiosulfate 25% 50 mL IV</t>
        </is>
      </c>
      <c r="H1052" s="2" t="inlineStr">
        <is>
          <t>Calcium disodium EDTA 1 g IV</t>
        </is>
      </c>
      <c r="I1052" s="8" t="inlineStr">
        <is>
          <t>1</t>
        </is>
      </c>
      <c r="J10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52" s="2" t="n"/>
      <c r="L1052" s="2" t="inlineStr">
        <is>
          <t>General Therapeutics</t>
        </is>
      </c>
      <c r="M1052" s="2" t="inlineStr">
        <is>
          <t>Clinic</t>
        </is>
      </c>
      <c r="N1052" s="2" t="inlineStr">
        <is>
          <t>ข้อ 9 (PLE_CC1_2533.md)</t>
        </is>
      </c>
      <c r="O1052" s="2" t="inlineStr">
        <is>
          <t>ข้อสอบจริง</t>
        </is>
      </c>
      <c r="P1052" s="2" t="inlineStr">
        <is>
          <t>ปี 2533</t>
        </is>
      </c>
    </row>
    <row r="1053" ht="13.2" customHeight="1" s="37">
      <c r="A1053" s="8" t="inlineStr">
        <is>
          <t>1074</t>
        </is>
      </c>
      <c r="B1053" s="2" t="inlineStr">
        <is>
          <t>เพิ่มการปลดปล่อยยา</t>
        </is>
      </c>
      <c r="C1053" s="2" t="n"/>
      <c r="D1053" s="2" t="inlineStr">
        <is>
          <t>Sodium thiosulfate 25% 50 mL IV</t>
        </is>
      </c>
      <c r="E1053" s="2" t="inlineStr">
        <is>
          <t>Calcium disodium EDTA 1 g IV</t>
        </is>
      </c>
      <c r="F1053" s="2" t="inlineStr">
        <is>
          <t>Desferrioxamine 1 g IM/IV</t>
        </is>
      </c>
      <c r="G1053" s="2" t="inlineStr">
        <is>
          <t>Dimercaprol (BAL) 3 mg/kg IM</t>
        </is>
      </c>
      <c r="H1053" s="2" t="inlineStr">
        <is>
          <t>Ethanol 10% IV infusion for Methanol poisoning</t>
        </is>
      </c>
      <c r="I1053" s="8" t="inlineStr">
        <is>
          <t>1</t>
        </is>
      </c>
      <c r="J10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3" s="2" t="n"/>
      <c r="L1053" s="2" t="inlineStr">
        <is>
          <t>General Therapeutics</t>
        </is>
      </c>
      <c r="M1053" s="2" t="inlineStr">
        <is>
          <t>Clinic</t>
        </is>
      </c>
      <c r="N1053" s="2" t="inlineStr">
        <is>
          <t>ข้อ 1 (PLE_CC1_2533.md)</t>
        </is>
      </c>
      <c r="O1053" s="2" t="inlineStr">
        <is>
          <t>ข้อสอบจริง</t>
        </is>
      </c>
      <c r="P1053" s="2" t="inlineStr">
        <is>
          <t>ปี 2533</t>
        </is>
      </c>
    </row>
    <row r="1054" ht="13.2" customHeight="1" s="37">
      <c r="A1054" s="8" t="inlineStr">
        <is>
          <t>1075</t>
        </is>
      </c>
      <c r="B1054" s="2" t="inlineStr">
        <is>
          <t>ให้ทาทิ้งไว้ 30 นาที แล้วล้างออกเพื่อป้องกันอาการระคายเคือง</t>
        </is>
      </c>
      <c r="C1054" s="2" t="n"/>
      <c r="D1054" s="2" t="inlineStr">
        <is>
          <t>Dimercaprol (BAL) 3 mg/kg IM</t>
        </is>
      </c>
      <c r="E1054" s="2" t="inlineStr">
        <is>
          <t>Ethanol 10% IV infusion for Methanol poisoning</t>
        </is>
      </c>
      <c r="F1054" s="2" t="inlineStr">
        <is>
          <t>Fomepizole 15 mg/kg IV loading</t>
        </is>
      </c>
      <c r="G1054" s="2" t="inlineStr">
        <is>
          <t>N-acetylcysteine (NAC) IV infusion protocol</t>
        </is>
      </c>
      <c r="H1054" s="2" t="inlineStr">
        <is>
          <t>Atropine sulfate 2 mg IV Q5-10 min</t>
        </is>
      </c>
      <c r="I1054" s="8" t="inlineStr">
        <is>
          <t>1</t>
        </is>
      </c>
      <c r="J10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4" s="2" t="n"/>
      <c r="L1054" s="2" t="inlineStr">
        <is>
          <t>General Therapeutics</t>
        </is>
      </c>
      <c r="M1054" s="2" t="inlineStr">
        <is>
          <t>Clinic</t>
        </is>
      </c>
      <c r="N1054" s="2" t="inlineStr">
        <is>
          <t>ข้อ 4 (PLE_CC1_2533.md)</t>
        </is>
      </c>
      <c r="O1054" s="2" t="inlineStr">
        <is>
          <t>ข้อสอบจริง</t>
        </is>
      </c>
      <c r="P1054" s="2" t="inlineStr">
        <is>
          <t>ปี 2533</t>
        </is>
      </c>
    </row>
    <row r="1055" ht="13.2" customHeight="1" s="37">
      <c r="A1055" s="8" t="inlineStr">
        <is>
          <t>1076</t>
        </is>
      </c>
      <c r="B1055" s="2" t="inlineStr">
        <is>
          <t>หยุดยา เนื่องจากผู้ป่วยแพ้ยา</t>
        </is>
      </c>
      <c r="C1055" s="2" t="n"/>
      <c r="D1055" s="2" t="inlineStr">
        <is>
          <t>Cetirizine 10 mg OD</t>
        </is>
      </c>
      <c r="E1055" s="2" t="inlineStr">
        <is>
          <t>Loratadine 10 mg OD</t>
        </is>
      </c>
      <c r="F1055" s="2" t="inlineStr">
        <is>
          <t>Fexofenadine 180 mg OD</t>
        </is>
      </c>
      <c r="G1055" s="2" t="inlineStr">
        <is>
          <t>Chlorpheniramine 4 mg TID</t>
        </is>
      </c>
      <c r="H1055" s="2" t="inlineStr">
        <is>
          <t>Fluticasone furoate nasal spray</t>
        </is>
      </c>
      <c r="I1055" s="8" t="inlineStr">
        <is>
          <t>1</t>
        </is>
      </c>
      <c r="J1055"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5" s="2" t="n"/>
      <c r="L1055" s="2" t="inlineStr">
        <is>
          <t>Allergy &amp; Immunology</t>
        </is>
      </c>
      <c r="M1055" s="2" t="inlineStr">
        <is>
          <t>Clinic</t>
        </is>
      </c>
      <c r="N1055" s="2" t="inlineStr">
        <is>
          <t>ข้อ 1 (PLE_CC1_2533.md)</t>
        </is>
      </c>
      <c r="O1055" s="2" t="inlineStr">
        <is>
          <t>ข้อสอบจริง</t>
        </is>
      </c>
      <c r="P1055" s="2" t="inlineStr">
        <is>
          <t>ปี 2533</t>
        </is>
      </c>
    </row>
    <row r="1056" ht="13.2" customHeight="1" s="37">
      <c r="A1056" s="8" t="inlineStr">
        <is>
          <t>1077</t>
        </is>
      </c>
      <c r="B1056" s="2" t="inlineStr">
        <is>
          <t>ลดขนาดยาลง หรือลดความถี่ในการทา</t>
        </is>
      </c>
      <c r="C1056" s="2" t="n"/>
      <c r="D1056" s="2" t="inlineStr">
        <is>
          <t>Naloxone 0.4 mg IV stat</t>
        </is>
      </c>
      <c r="E1056" s="2" t="inlineStr">
        <is>
          <t>Flumazenil 0.2 mg IV stat</t>
        </is>
      </c>
      <c r="F1056" s="2" t="inlineStr">
        <is>
          <t>Vitamin K1 (Phytomenadione) 10 mg IV slow</t>
        </is>
      </c>
      <c r="G1056" s="2" t="inlineStr">
        <is>
          <t>Sodium thiosulfate 25% 50 mL IV</t>
        </is>
      </c>
      <c r="H1056" s="2" t="inlineStr">
        <is>
          <t>Calcium disodium EDTA 1 g IV</t>
        </is>
      </c>
      <c r="I1056" s="8" t="inlineStr">
        <is>
          <t>1</t>
        </is>
      </c>
      <c r="J10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56" s="2" t="n"/>
      <c r="L1056" s="2" t="inlineStr">
        <is>
          <t>General Therapeutics</t>
        </is>
      </c>
      <c r="M1056" s="2" t="inlineStr">
        <is>
          <t>Clinic</t>
        </is>
      </c>
      <c r="N1056" s="2" t="inlineStr">
        <is>
          <t>ข้อ 4 (PLE_CC1_2533.md)</t>
        </is>
      </c>
      <c r="O1056" s="2" t="inlineStr">
        <is>
          <t>ข้อสอบจริง</t>
        </is>
      </c>
      <c r="P1056" s="2" t="inlineStr">
        <is>
          <t>ปี 2533</t>
        </is>
      </c>
    </row>
    <row r="1057" ht="13.2" customHeight="1" s="37">
      <c r="A1057" s="8" t="inlineStr">
        <is>
          <t>1078</t>
        </is>
      </c>
      <c r="B1057" s="2" t="inlineStr">
        <is>
          <t>เพิ่มฤทธิ์การฆ่าเชื้อแบคทีเรีย</t>
        </is>
      </c>
      <c r="C1057" s="2" t="n"/>
      <c r="D1057" s="2" t="inlineStr">
        <is>
          <t>Sodium thiosulfate 25% 50 mL IV</t>
        </is>
      </c>
      <c r="E1057" s="2" t="inlineStr">
        <is>
          <t>Calcium disodium EDTA 1 g IV</t>
        </is>
      </c>
      <c r="F1057" s="2" t="inlineStr">
        <is>
          <t>Desferrioxamine 1 g IM/IV</t>
        </is>
      </c>
      <c r="G1057" s="2" t="inlineStr">
        <is>
          <t>Dimercaprol (BAL) 3 mg/kg IM</t>
        </is>
      </c>
      <c r="H1057" s="2" t="inlineStr">
        <is>
          <t>Ethanol 10% IV infusion for Methanol poisoning</t>
        </is>
      </c>
      <c r="I1057" s="8" t="inlineStr">
        <is>
          <t>1</t>
        </is>
      </c>
      <c r="J10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7" s="2" t="n"/>
      <c r="L1057" s="2" t="inlineStr">
        <is>
          <t>General Therapeutics</t>
        </is>
      </c>
      <c r="M1057" s="2" t="inlineStr">
        <is>
          <t>Clinic</t>
        </is>
      </c>
      <c r="N1057" s="2" t="inlineStr">
        <is>
          <t>ข้อ 4 (PLE_CC1_2533.md)</t>
        </is>
      </c>
      <c r="O1057" s="2" t="inlineStr">
        <is>
          <t>ข้อสอบจริง</t>
        </is>
      </c>
      <c r="P1057" s="2" t="inlineStr">
        <is>
          <t>ปี 2533</t>
        </is>
      </c>
    </row>
    <row r="1058" ht="13.2" customHeight="1" s="37">
      <c r="A1058" s="8" t="inlineStr">
        <is>
          <t>1079</t>
        </is>
      </c>
      <c r="B1058" s="2" t="inlineStr">
        <is>
          <t>เพื่อเตรียมเป็นเจลหรือสารละลาย ++++ ยังหาคำตอบไม่ได้อ่ะคะ ระหว่าง ข้อ 3 และ ข้อ 4 เด๋วหาให้อีกทีนะคะ ++++++ 7.ข้อใดผิดเมื่อเทียบโครงสร้าง Clindamycin กับ A</t>
        </is>
      </c>
      <c r="C1058" s="2" t="n"/>
      <c r="D1058" s="2" t="inlineStr">
        <is>
          <t>Dimercaprol (BAL) 3 mg/kg IM</t>
        </is>
      </c>
      <c r="E1058" s="2" t="inlineStr">
        <is>
          <t>Ethanol 10% IV infusion for Methanol poisoning</t>
        </is>
      </c>
      <c r="F1058" s="2" t="inlineStr">
        <is>
          <t>Fomepizole 15 mg/kg IV loading</t>
        </is>
      </c>
      <c r="G1058" s="2" t="inlineStr">
        <is>
          <t>N-acetylcysteine (NAC) IV infusion protocol</t>
        </is>
      </c>
      <c r="H1058" s="2" t="inlineStr">
        <is>
          <t>Atropine sulfate 2 mg IV Q5-10 min</t>
        </is>
      </c>
      <c r="I1058" s="8" t="inlineStr">
        <is>
          <t>1</t>
        </is>
      </c>
      <c r="J10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8" s="2" t="n"/>
      <c r="L1058" s="2" t="inlineStr">
        <is>
          <t>General Therapeutics</t>
        </is>
      </c>
      <c r="M1058" s="2" t="inlineStr">
        <is>
          <t>Clinic</t>
        </is>
      </c>
      <c r="N1058" s="2" t="inlineStr">
        <is>
          <t>ข้อ 5 (PLE_CC1_2533.md)</t>
        </is>
      </c>
      <c r="O1058" s="2" t="inlineStr">
        <is>
          <t>ข้อสอบจริง</t>
        </is>
      </c>
      <c r="P1058" s="2" t="inlineStr">
        <is>
          <t>ปี 2533</t>
        </is>
      </c>
    </row>
    <row r="1059" ht="13.2" customHeight="1" s="37">
      <c r="A1059" s="8" t="inlineStr">
        <is>
          <t>1080</t>
        </is>
      </c>
      <c r="B1059" s="2" t="inlineStr">
        <is>
          <t>ดูดซึมได้ไม่เท่ากัน</t>
        </is>
      </c>
      <c r="C1059" s="2" t="n"/>
      <c r="D1059" s="2" t="inlineStr">
        <is>
          <t>N-acetylcysteine (NAC) IV infusion protocol</t>
        </is>
      </c>
      <c r="E1059" s="2" t="inlineStr">
        <is>
          <t>Atropine sulfate 2 mg IV Q5-10 min</t>
        </is>
      </c>
      <c r="F1059" s="2" t="inlineStr">
        <is>
          <t>Pralidoxime (2-PAM) 1-2 g IV over 30 min</t>
        </is>
      </c>
      <c r="G1059" s="2" t="inlineStr">
        <is>
          <t>Naloxone 0.4 mg IV stat</t>
        </is>
      </c>
      <c r="H1059" s="2" t="inlineStr">
        <is>
          <t>Flumazenil 0.2 mg IV stat</t>
        </is>
      </c>
      <c r="I1059" s="8" t="inlineStr">
        <is>
          <t>1</t>
        </is>
      </c>
      <c r="J10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59" s="2" t="n"/>
      <c r="L1059" s="2" t="inlineStr">
        <is>
          <t>General Therapeutics</t>
        </is>
      </c>
      <c r="M1059" s="2" t="inlineStr">
        <is>
          <t>Clinic</t>
        </is>
      </c>
      <c r="N1059" s="2" t="inlineStr">
        <is>
          <t>ข้อ 1 (PLE_CC1_2533.md)</t>
        </is>
      </c>
      <c r="O1059" s="2" t="inlineStr">
        <is>
          <t>ข้อสอบจริง</t>
        </is>
      </c>
      <c r="P1059" s="2" t="inlineStr">
        <is>
          <t>ปี 2533</t>
        </is>
      </c>
    </row>
    <row r="1060" ht="13.2" customHeight="1" s="37">
      <c r="A1060" s="8" t="inlineStr">
        <is>
          <t>1081</t>
        </is>
      </c>
      <c r="B1060" s="2" t="inlineStr">
        <is>
          <t>ต้านอนุมูลอิสระ</t>
        </is>
      </c>
      <c r="C1060" s="2" t="n"/>
      <c r="D1060" s="2" t="inlineStr">
        <is>
          <t>Naloxone 0.4 mg IV stat</t>
        </is>
      </c>
      <c r="E1060" s="2" t="inlineStr">
        <is>
          <t>Flumazenil 0.2 mg IV stat</t>
        </is>
      </c>
      <c r="F1060" s="2" t="inlineStr">
        <is>
          <t>Vitamin K1 (Phytomenadione) 10 mg IV slow</t>
        </is>
      </c>
      <c r="G1060" s="2" t="inlineStr">
        <is>
          <t>Sodium thiosulfate 25% 50 mL IV</t>
        </is>
      </c>
      <c r="H1060" s="2" t="inlineStr">
        <is>
          <t>Calcium disodium EDTA 1 g IV</t>
        </is>
      </c>
      <c r="I1060" s="8" t="inlineStr">
        <is>
          <t>1</t>
        </is>
      </c>
      <c r="J10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60" s="2" t="n"/>
      <c r="L1060" s="2" t="inlineStr">
        <is>
          <t>General Therapeutics</t>
        </is>
      </c>
      <c r="M1060" s="2" t="inlineStr">
        <is>
          <t>Clinic</t>
        </is>
      </c>
      <c r="N1060" s="2" t="inlineStr">
        <is>
          <t>ข้อ 3 (PLE_CC1_2533.md)</t>
        </is>
      </c>
      <c r="O1060" s="2" t="inlineStr">
        <is>
          <t>ข้อสอบจริง</t>
        </is>
      </c>
      <c r="P1060" s="2" t="inlineStr">
        <is>
          <t>ปี 2533</t>
        </is>
      </c>
    </row>
    <row r="1061" ht="13.2" customHeight="1" s="37">
      <c r="A1061" s="8" t="inlineStr">
        <is>
          <t>1082</t>
        </is>
      </c>
      <c r="B1061" s="2" t="inlineStr">
        <is>
          <t>ข้อใดต่อไปนี้เกี่ยวข้องกับผลิตภัณฑ์ที่ผู้ป่วยรายนี้ใช้</t>
        </is>
      </c>
      <c r="C1061" s="2" t="n"/>
      <c r="D1061" s="2" t="inlineStr">
        <is>
          <t>เป็นนมวัวที่มีการดัดแปลงคาร์โบไฮเดรต</t>
        </is>
      </c>
      <c r="E1061" s="2" t="inlineStr">
        <is>
          <t>เป็นนมวัวที่มีการดัดแปลงโปรตีน</t>
        </is>
      </c>
      <c r="F1061" s="2" t="inlineStr">
        <is>
          <t>เป็นนมวัวที่มี casine สูงกว่านมแม่</t>
        </is>
      </c>
      <c r="G1061" s="2" t="inlineStr">
        <is>
          <t>เป็นผลิตภัณฑ์จากนมถั่วเหลือง</t>
        </is>
      </c>
      <c r="H1061" s="2" t="inlineStr">
        <is>
          <t>เป็นผลิตภัณฑ์นมที่มี linoleaic acid สูง (อาจพิมพ์ผิดนะ อะไรสักอย่างนี่แหละ ) ตอบ ไม่แน่ใจนะ แต่ ข้อ a  อันนี้เพื่อนหลายคนตอบเนื่องจากสามารถดูได้จากใบสั่งยา dอันนี้ก็มีเพื่อนตอบมากนะ</t>
        </is>
      </c>
      <c r="I1061" s="8" t="inlineStr">
        <is>
          <t>1</t>
        </is>
      </c>
      <c r="J1061" s="2" t="inlineStr">
        <is>
          <t>✅ คำตอบที่ถูกต้อง: ข้อ ก. เป็นนมวัวที่มีการดัดแปลงคาร์โบไฮเดรต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เป็นนมวัวที่มีการดัดแปลงคาร์โบไฮเดรต การเลือก เป็นนมวัวที่มีการดัดแปลงคาร์โบไฮเดรต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(เป็นนมวัวที่มีการดัดแปลงโปรตีน): ข้อนี้ไม่ใช่คำตอบที่ถูกต้องสำหรับภาวะ General Therapeutics เนื่องจากกลไกการออกฤทธิ์, efficacy หรือข้อบ่งใช้ไม่ตรงกับโจทย์ที่กำหนด
• ข้อ ค. (เป็นนมวัวที่มี casine สูงกว่านมแม่): ข้อนี้ไม่ใช่คำตอบที่ถูกต้องสำหรับภาวะ General Therapeutics เนื่องจากกลไกการออกฤทธิ์, efficacy หรือข้อบ่งใช้ไม่ตรงกับโจทย์ที่กำหนด
• ข้อ ง. (เป็นผลิตภัณฑ์จากนมถั่วเหลือง): ข้อนี้ไม่ใช่คำตอบที่ถูกต้องสำหรับภาวะ General Therapeutics เนื่องจากกลไกการออกฤทธิ์, efficacy หรือข้อบ่งใช้ไม่ตรงกับโจทย์ที่กำหนด
• ข้อ จ. (เป็นผลิตภัณฑ์นมที่มี linoleaic acid สูง (อาจพิมพ์ผิดนะ อะไรสักอย่างนี่แหละ ) ตอบ ไม่แน่ใจนะ แต่ ข้อ a  อันนี้เพื่อนหลายคนตอบเนื่องจากสามารถดูได้จากใบสั่งยา dอันนี้ก็มีเพื่อนตอบมากนะ):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1" s="2" t="n"/>
      <c r="L1061" s="2" t="inlineStr">
        <is>
          <t>General Therapeutics</t>
        </is>
      </c>
      <c r="M1061" s="2" t="inlineStr">
        <is>
          <t>Clinic</t>
        </is>
      </c>
      <c r="N1061" s="2" t="inlineStr">
        <is>
          <t>ข้อ 2 (PLE_CC1_2533.md)</t>
        </is>
      </c>
      <c r="O1061" s="2" t="inlineStr">
        <is>
          <t>ข้อสอบจริง</t>
        </is>
      </c>
      <c r="P1061" s="2" t="inlineStr">
        <is>
          <t>ปี 2533</t>
        </is>
      </c>
    </row>
    <row r="1062" ht="13.2" customHeight="1" s="37">
      <c r="A1062" s="8" t="inlineStr">
        <is>
          <t>1083</t>
        </is>
      </c>
      <c r="B1062" s="2" t="inlineStr">
        <is>
          <t>การป้องกันปฐมภูมิ (Primary prevention) คือ การส่งเสริมสุขภาพ และการป้องกันที่จำเพาะในภาวะหรือโรคที่ ป้องกันได้</t>
        </is>
      </c>
      <c r="C1062" s="2" t="n"/>
      <c r="D1062" s="2" t="inlineStr">
        <is>
          <t>Dimercaprol (BAL) 3 mg/kg IM</t>
        </is>
      </c>
      <c r="E1062" s="2" t="inlineStr">
        <is>
          <t>Ethanol 10% IV infusion for Methanol poisoning</t>
        </is>
      </c>
      <c r="F1062" s="2" t="inlineStr">
        <is>
          <t>Fomepizole 15 mg/kg IV loading</t>
        </is>
      </c>
      <c r="G1062" s="2" t="inlineStr">
        <is>
          <t>N-acetylcysteine (NAC) IV infusion protocol</t>
        </is>
      </c>
      <c r="H1062" s="2" t="inlineStr">
        <is>
          <t>Atropine sulfate 2 mg IV Q5-10 min</t>
        </is>
      </c>
      <c r="I1062" s="8" t="inlineStr">
        <is>
          <t>1</t>
        </is>
      </c>
      <c r="J10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2" s="2" t="n"/>
      <c r="L1062" s="2" t="inlineStr">
        <is>
          <t>General Therapeutics</t>
        </is>
      </c>
      <c r="M1062" s="2" t="inlineStr">
        <is>
          <t>Clinic</t>
        </is>
      </c>
      <c r="N1062" s="2" t="inlineStr">
        <is>
          <t>ข้อ 1 (PLE_CC1_2533.md)</t>
        </is>
      </c>
      <c r="O1062" s="2" t="inlineStr">
        <is>
          <t>ข้อสอบจริง</t>
        </is>
      </c>
      <c r="P1062" s="2" t="inlineStr">
        <is>
          <t>ปี 2533</t>
        </is>
      </c>
    </row>
    <row r="1063" ht="13.2" customHeight="1" s="37">
      <c r="A1063" s="8" t="inlineStr">
        <is>
          <t>1084</t>
        </is>
      </c>
      <c r="B1063" s="2" t="inlineStr">
        <is>
          <t>การป้องกันทุติยภูมิ (Secondary prevention) คือ การวินิจฉัยโรคและให้การรักษาก่อนที่ผู้ป่วยจะมีอาการทาง คลินิก (Subclinical diseases)</t>
        </is>
      </c>
      <c r="C1063" s="2" t="n"/>
      <c r="D1063" s="2" t="inlineStr">
        <is>
          <t>N-acetylcysteine (NAC) IV infusion protocol</t>
        </is>
      </c>
      <c r="E1063" s="2" t="inlineStr">
        <is>
          <t>Atropine sulfate 2 mg IV Q5-10 min</t>
        </is>
      </c>
      <c r="F1063" s="2" t="inlineStr">
        <is>
          <t>Pralidoxime (2-PAM) 1-2 g IV over 30 min</t>
        </is>
      </c>
      <c r="G1063" s="2" t="inlineStr">
        <is>
          <t>Naloxone 0.4 mg IV stat</t>
        </is>
      </c>
      <c r="H1063" s="2" t="inlineStr">
        <is>
          <t>Flumazenil 0.2 mg IV stat</t>
        </is>
      </c>
      <c r="I1063" s="8" t="inlineStr">
        <is>
          <t>1</t>
        </is>
      </c>
      <c r="J10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63" s="2" t="n"/>
      <c r="L1063" s="2" t="inlineStr">
        <is>
          <t>General Therapeutics</t>
        </is>
      </c>
      <c r="M1063" s="2" t="inlineStr">
        <is>
          <t>Clinic</t>
        </is>
      </c>
      <c r="N1063" s="2" t="inlineStr">
        <is>
          <t>ข้อ 2 (PLE_CC1_2533.md)</t>
        </is>
      </c>
      <c r="O1063" s="2" t="inlineStr">
        <is>
          <t>ข้อสอบจริง</t>
        </is>
      </c>
      <c r="P1063" s="2" t="inlineStr">
        <is>
          <t>ปี 2533</t>
        </is>
      </c>
    </row>
    <row r="1064" ht="13.2" customHeight="1" s="37">
      <c r="A1064" s="8" t="inlineStr">
        <is>
          <t>1085</t>
        </is>
      </c>
      <c r="B1064" s="2" t="inlineStr">
        <is>
          <t>การป้องกันปัญหาการผลิตก่อนที่จะได้ finish product</t>
        </is>
      </c>
      <c r="C1064" s="2" t="n"/>
      <c r="D1064" s="2" t="inlineStr">
        <is>
          <t>Naloxone 0.4 mg IV stat</t>
        </is>
      </c>
      <c r="E1064" s="2" t="inlineStr">
        <is>
          <t>Flumazenil 0.2 mg IV stat</t>
        </is>
      </c>
      <c r="F1064" s="2" t="inlineStr">
        <is>
          <t>Vitamin K1 (Phytomenadione) 10 mg IV slow</t>
        </is>
      </c>
      <c r="G1064" s="2" t="inlineStr">
        <is>
          <t>Sodium thiosulfate 25% 50 mL IV</t>
        </is>
      </c>
      <c r="H1064" s="2" t="inlineStr">
        <is>
          <t>Calcium disodium EDTA 1 g IV</t>
        </is>
      </c>
      <c r="I1064" s="8" t="inlineStr">
        <is>
          <t>1</t>
        </is>
      </c>
      <c r="J10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64" s="2" t="n"/>
      <c r="L1064" s="2" t="inlineStr">
        <is>
          <t>General Therapeutics</t>
        </is>
      </c>
      <c r="M1064" s="2" t="inlineStr">
        <is>
          <t>Clinic</t>
        </is>
      </c>
      <c r="N1064" s="2" t="inlineStr">
        <is>
          <t>ข้อ 6 (PLE_CC1_2533.md)</t>
        </is>
      </c>
      <c r="O1064" s="2" t="inlineStr">
        <is>
          <t>ข้อสอบจริง</t>
        </is>
      </c>
      <c r="P1064" s="2" t="inlineStr">
        <is>
          <t>ปี 2533</t>
        </is>
      </c>
    </row>
    <row r="1065" ht="13.2" customHeight="1" s="37">
      <c r="A1065" s="8" t="inlineStr">
        <is>
          <t>1086</t>
        </is>
      </c>
      <c r="B1065" s="2" t="inlineStr">
        <is>
          <t>In process control</t>
        </is>
      </c>
      <c r="C1065" s="2" t="n"/>
      <c r="D1065" s="2" t="inlineStr">
        <is>
          <t>Sodium thiosulfate 25% 50 mL IV</t>
        </is>
      </c>
      <c r="E1065" s="2" t="inlineStr">
        <is>
          <t>Calcium disodium EDTA 1 g IV</t>
        </is>
      </c>
      <c r="F1065" s="2" t="inlineStr">
        <is>
          <t>Desferrioxamine 1 g IM/IV</t>
        </is>
      </c>
      <c r="G1065" s="2" t="inlineStr">
        <is>
          <t>Dimercaprol (BAL) 3 mg/kg IM</t>
        </is>
      </c>
      <c r="H1065" s="2" t="inlineStr">
        <is>
          <t>Ethanol 10% IV infusion for Methanol poisoning</t>
        </is>
      </c>
      <c r="I1065" s="8" t="inlineStr">
        <is>
          <t>1</t>
        </is>
      </c>
      <c r="J10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5" s="2" t="n"/>
      <c r="L1065" s="2" t="inlineStr">
        <is>
          <t>General Therapeutics</t>
        </is>
      </c>
      <c r="M1065" s="2" t="inlineStr">
        <is>
          <t>Clinic</t>
        </is>
      </c>
      <c r="N1065" s="2" t="inlineStr">
        <is>
          <t>ข้อ 2 (PLE_CC1_2533.md)</t>
        </is>
      </c>
      <c r="O1065" s="2" t="inlineStr">
        <is>
          <t>ข้อสอบจริง</t>
        </is>
      </c>
      <c r="P1065" s="2" t="inlineStr">
        <is>
          <t>ปี 2533</t>
        </is>
      </c>
    </row>
    <row r="1066" ht="13.2" customHeight="1" s="37">
      <c r="A1066" s="8" t="inlineStr">
        <is>
          <t>1087</t>
        </is>
      </c>
      <c r="B1066" s="2" t="inlineStr">
        <is>
          <t>Total Quality Management</t>
        </is>
      </c>
      <c r="C1066" s="2" t="n"/>
      <c r="D1066" s="2" t="inlineStr">
        <is>
          <t>Dimercaprol (BAL) 3 mg/kg IM</t>
        </is>
      </c>
      <c r="E1066" s="2" t="inlineStr">
        <is>
          <t>Ethanol 10% IV infusion for Methanol poisoning</t>
        </is>
      </c>
      <c r="F1066" s="2" t="inlineStr">
        <is>
          <t>Fomepizole 15 mg/kg IV loading</t>
        </is>
      </c>
      <c r="G1066" s="2" t="inlineStr">
        <is>
          <t>N-acetylcysteine (NAC) IV infusion protocol</t>
        </is>
      </c>
      <c r="H1066" s="2" t="inlineStr">
        <is>
          <t>Atropine sulfate 2 mg IV Q5-10 min</t>
        </is>
      </c>
      <c r="I1066" s="8" t="inlineStr">
        <is>
          <t>1</t>
        </is>
      </c>
      <c r="J10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6" s="2" t="n"/>
      <c r="L1066" s="2" t="inlineStr">
        <is>
          <t>General Therapeutics</t>
        </is>
      </c>
      <c r="M1066" s="2" t="inlineStr">
        <is>
          <t>Clinic</t>
        </is>
      </c>
      <c r="N1066" s="2" t="inlineStr">
        <is>
          <t>ข้อ 3 (PLE_CC1_2533.md)</t>
        </is>
      </c>
      <c r="O1066" s="2" t="inlineStr">
        <is>
          <t>ข้อสอบจริง</t>
        </is>
      </c>
      <c r="P1066" s="2" t="inlineStr">
        <is>
          <t>ปี 2533</t>
        </is>
      </c>
    </row>
    <row r="1067" ht="13.2" customHeight="1" s="37">
      <c r="A1067" s="8" t="inlineStr">
        <is>
          <t>1088</t>
        </is>
      </c>
      <c r="B1067" s="2" t="inlineStr">
        <is>
          <t>มะขามแขก ตอบ 3</t>
        </is>
      </c>
      <c r="C1067" s="2" t="n"/>
      <c r="D1067" s="2" t="inlineStr">
        <is>
          <t>N-acetylcysteine (NAC) IV infusion protocol</t>
        </is>
      </c>
      <c r="E1067" s="2" t="inlineStr">
        <is>
          <t>Atropine sulfate 2 mg IV Q5-10 min</t>
        </is>
      </c>
      <c r="F1067" s="2" t="inlineStr">
        <is>
          <t>Pralidoxime (2-PAM) 1-2 g IV over 30 min</t>
        </is>
      </c>
      <c r="G1067" s="2" t="inlineStr">
        <is>
          <t>Naloxone 0.4 mg IV stat</t>
        </is>
      </c>
      <c r="H1067" s="2" t="inlineStr">
        <is>
          <t>Flumazenil 0.2 mg IV stat</t>
        </is>
      </c>
      <c r="I1067" s="8" t="inlineStr">
        <is>
          <t>1</t>
        </is>
      </c>
      <c r="J10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67" s="2" t="n"/>
      <c r="L1067" s="2" t="inlineStr">
        <is>
          <t>General Therapeutics</t>
        </is>
      </c>
      <c r="M1067" s="2" t="inlineStr">
        <is>
          <t>Clinic</t>
        </is>
      </c>
      <c r="N1067" s="2" t="inlineStr">
        <is>
          <t>ข้อ 5 (PLE_CC1_2533.md)</t>
        </is>
      </c>
      <c r="O1067" s="2" t="inlineStr">
        <is>
          <t>ข้อสอบจริง</t>
        </is>
      </c>
      <c r="P1067" s="2" t="inlineStr">
        <is>
          <t>ปี 2533</t>
        </is>
      </c>
    </row>
    <row r="1068" ht="13.2" customHeight="1" s="37">
      <c r="A1068" s="8" t="inlineStr">
        <is>
          <t>1089</t>
        </is>
      </c>
      <c r="B1068" s="2" t="inlineStr">
        <is>
          <t>cypoheptadine และ Anabolic hormone</t>
        </is>
      </c>
      <c r="C1068" s="2" t="n"/>
      <c r="D1068" s="2" t="inlineStr">
        <is>
          <t>Naloxone 0.4 mg IV stat</t>
        </is>
      </c>
      <c r="E1068" s="2" t="inlineStr">
        <is>
          <t>Flumazenil 0.2 mg IV stat</t>
        </is>
      </c>
      <c r="F1068" s="2" t="inlineStr">
        <is>
          <t>Vitamin K1 (Phytomenadione) 10 mg IV slow</t>
        </is>
      </c>
      <c r="G1068" s="2" t="inlineStr">
        <is>
          <t>Sodium thiosulfate 25% 50 mL IV</t>
        </is>
      </c>
      <c r="H1068" s="2" t="inlineStr">
        <is>
          <t>Calcium disodium EDTA 1 g IV</t>
        </is>
      </c>
      <c r="I1068" s="8" t="inlineStr">
        <is>
          <t>1</t>
        </is>
      </c>
      <c r="J10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68" s="2" t="n"/>
      <c r="L1068" s="2" t="inlineStr">
        <is>
          <t>General Therapeutics</t>
        </is>
      </c>
      <c r="M1068" s="2" t="inlineStr">
        <is>
          <t>Clinic</t>
        </is>
      </c>
      <c r="N1068" s="2" t="inlineStr">
        <is>
          <t>ข้อ 3 (PLE_CC1_2533.md)</t>
        </is>
      </c>
      <c r="O1068" s="2" t="inlineStr">
        <is>
          <t>ข้อสอบจริง</t>
        </is>
      </c>
      <c r="P1068" s="2" t="inlineStr">
        <is>
          <t>ปี 2533</t>
        </is>
      </c>
    </row>
    <row r="1069" ht="13.2" customHeight="1" s="37">
      <c r="A1069" s="8" t="inlineStr">
        <is>
          <t>1090</t>
        </is>
      </c>
      <c r="B1069" s="2" t="inlineStr">
        <is>
          <t>…………….. ตอบ cypoheptadine และ Anabolic hormoneเพราะ cypoheptadine มีผลข้างเคียงคือยับยั้งการเจริญเติบโตของ เด็ก</t>
        </is>
      </c>
      <c r="C1069" s="2" t="n"/>
      <c r="D1069" s="2" t="inlineStr">
        <is>
          <t>Sodium thiosulfate 25% 50 mL IV</t>
        </is>
      </c>
      <c r="E1069" s="2" t="inlineStr">
        <is>
          <t>Calcium disodium EDTA 1 g IV</t>
        </is>
      </c>
      <c r="F1069" s="2" t="inlineStr">
        <is>
          <t>Desferrioxamine 1 g IM/IV</t>
        </is>
      </c>
      <c r="G1069" s="2" t="inlineStr">
        <is>
          <t>Dimercaprol (BAL) 3 mg/kg IM</t>
        </is>
      </c>
      <c r="H1069" s="2" t="inlineStr">
        <is>
          <t>Ethanol 10% IV infusion for Methanol poisoning</t>
        </is>
      </c>
      <c r="I1069" s="8" t="inlineStr">
        <is>
          <t>1</t>
        </is>
      </c>
      <c r="J10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9" s="2" t="n"/>
      <c r="L1069" s="2" t="inlineStr">
        <is>
          <t>General Therapeutics</t>
        </is>
      </c>
      <c r="M1069" s="2" t="inlineStr">
        <is>
          <t>Clinic</t>
        </is>
      </c>
      <c r="N1069" s="2" t="inlineStr">
        <is>
          <t>ข้อ 5 (PLE_CC1_2533.md)</t>
        </is>
      </c>
      <c r="O1069" s="2" t="inlineStr">
        <is>
          <t>ข้อสอบจริง</t>
        </is>
      </c>
      <c r="P1069" s="2" t="inlineStr">
        <is>
          <t>ปี 2533</t>
        </is>
      </c>
    </row>
    <row r="1070" ht="13.2" customHeight="1" s="37">
      <c r="A1070" s="8" t="inlineStr">
        <is>
          <t>1091</t>
        </is>
      </c>
      <c r="B1070" s="2" t="inlineStr">
        <is>
          <t>การวินิจฉัยผู้ป่วยรายนี้เบื้องต้น คือโรคอะไร</t>
        </is>
      </c>
      <c r="C1070" s="2" t="n"/>
      <c r="D1070" s="2" t="inlineStr">
        <is>
          <t>Dimercaprol (BAL) 3 mg/kg IM</t>
        </is>
      </c>
      <c r="E1070" s="2" t="inlineStr">
        <is>
          <t>Ethanol 10% IV infusion for Methanol poisoning</t>
        </is>
      </c>
      <c r="F1070" s="2" t="inlineStr">
        <is>
          <t>Fomepizole 15 mg/kg IV loading</t>
        </is>
      </c>
      <c r="G1070" s="2" t="inlineStr">
        <is>
          <t>N-acetylcysteine (NAC) IV infusion protocol</t>
        </is>
      </c>
      <c r="H1070" s="2" t="inlineStr">
        <is>
          <t>Atropine sulfate 2 mg IV Q5-10 min</t>
        </is>
      </c>
      <c r="I1070" s="8" t="inlineStr">
        <is>
          <t>1</t>
        </is>
      </c>
      <c r="J10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0" s="2" t="n"/>
      <c r="L1070" s="2" t="inlineStr">
        <is>
          <t>General Therapeutics</t>
        </is>
      </c>
      <c r="M1070" s="2" t="inlineStr">
        <is>
          <t>Clinic</t>
        </is>
      </c>
      <c r="N1070" s="2" t="inlineStr">
        <is>
          <t>ข้อ 1 (PLE_CC1_2533.md)</t>
        </is>
      </c>
      <c r="O1070" s="2" t="inlineStr">
        <is>
          <t>ข้อสอบจริง</t>
        </is>
      </c>
      <c r="P1070" s="2" t="inlineStr">
        <is>
          <t>ปี 2533</t>
        </is>
      </c>
    </row>
    <row r="1071" ht="13.2" customHeight="1" s="37">
      <c r="A1071" s="8" t="inlineStr">
        <is>
          <t>1092</t>
        </is>
      </c>
      <c r="B1071" s="2" t="inlineStr">
        <is>
          <t>เชื้อที่เป็นสาเหตุในการเกิดโรคน่าจะเกิดจากเชื้อตัวใด</t>
        </is>
      </c>
      <c r="C1071" s="2" t="n"/>
      <c r="D1071" s="2" t="inlineStr">
        <is>
          <t>N-acetylcysteine (NAC) IV infusion protocol</t>
        </is>
      </c>
      <c r="E1071" s="2" t="inlineStr">
        <is>
          <t>Atropine sulfate 2 mg IV Q5-10 min</t>
        </is>
      </c>
      <c r="F1071" s="2" t="inlineStr">
        <is>
          <t>Pralidoxime (2-PAM) 1-2 g IV over 30 min</t>
        </is>
      </c>
      <c r="G1071" s="2" t="inlineStr">
        <is>
          <t>Naloxone 0.4 mg IV stat</t>
        </is>
      </c>
      <c r="H1071" s="2" t="inlineStr">
        <is>
          <t>Flumazenil 0.2 mg IV stat</t>
        </is>
      </c>
      <c r="I1071" s="8" t="inlineStr">
        <is>
          <t>1</t>
        </is>
      </c>
      <c r="J10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71" s="2" t="n"/>
      <c r="L1071" s="2" t="inlineStr">
        <is>
          <t>General Therapeutics</t>
        </is>
      </c>
      <c r="M1071" s="2" t="inlineStr">
        <is>
          <t>Clinic</t>
        </is>
      </c>
      <c r="N1071" s="2" t="inlineStr">
        <is>
          <t>ข้อ 2 (PLE_CC1_2533.md)</t>
        </is>
      </c>
      <c r="O1071" s="2" t="inlineStr">
        <is>
          <t>ข้อสอบจริง</t>
        </is>
      </c>
      <c r="P1071" s="2" t="inlineStr">
        <is>
          <t>ปี 2533</t>
        </is>
      </c>
    </row>
    <row r="1072" ht="13.2" customHeight="1" s="37">
      <c r="A1072" s="8" t="inlineStr">
        <is>
          <t>1093</t>
        </is>
      </c>
      <c r="B1072" s="2" t="inlineStr">
        <is>
          <t>Hemophilus ducreyi</t>
        </is>
      </c>
      <c r="C1072" s="2" t="n"/>
      <c r="D1072" s="2" t="inlineStr">
        <is>
          <t>Naloxone 0.4 mg IV stat</t>
        </is>
      </c>
      <c r="E1072" s="2" t="inlineStr">
        <is>
          <t>Flumazenil 0.2 mg IV stat</t>
        </is>
      </c>
      <c r="F1072" s="2" t="inlineStr">
        <is>
          <t>Vitamin K1 (Phytomenadione) 10 mg IV slow</t>
        </is>
      </c>
      <c r="G1072" s="2" t="inlineStr">
        <is>
          <t>Sodium thiosulfate 25% 50 mL IV</t>
        </is>
      </c>
      <c r="H1072" s="2" t="inlineStr">
        <is>
          <t>Calcium disodium EDTA 1 g IV</t>
        </is>
      </c>
      <c r="I1072" s="8" t="inlineStr">
        <is>
          <t>1</t>
        </is>
      </c>
      <c r="J10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72" s="2" t="n"/>
      <c r="L1072" s="2" t="inlineStr">
        <is>
          <t>General Therapeutics</t>
        </is>
      </c>
      <c r="M1072" s="2" t="inlineStr">
        <is>
          <t>Clinic</t>
        </is>
      </c>
      <c r="N1072" s="2" t="inlineStr">
        <is>
          <t>ข้อ 2 (PLE_CC1_2533.md)</t>
        </is>
      </c>
      <c r="O1072" s="2" t="inlineStr">
        <is>
          <t>ข้อสอบจริง</t>
        </is>
      </c>
      <c r="P1072" s="2" t="inlineStr">
        <is>
          <t>ปี 2533</t>
        </is>
      </c>
    </row>
    <row r="1073" ht="13.2" customHeight="1" s="37">
      <c r="A1073" s="8" t="inlineStr">
        <is>
          <t>1094</t>
        </is>
      </c>
      <c r="B1073" s="2" t="inlineStr">
        <is>
          <t>Neisseria gonorrhoeae</t>
        </is>
      </c>
      <c r="C1073" s="2" t="n"/>
      <c r="D1073" s="2" t="inlineStr">
        <is>
          <t>Sodium thiosulfate 25% 50 mL IV</t>
        </is>
      </c>
      <c r="E1073" s="2" t="inlineStr">
        <is>
          <t>Calcium disodium EDTA 1 g IV</t>
        </is>
      </c>
      <c r="F1073" s="2" t="inlineStr">
        <is>
          <t>Desferrioxamine 1 g IM/IV</t>
        </is>
      </c>
      <c r="G1073" s="2" t="inlineStr">
        <is>
          <t>Dimercaprol (BAL) 3 mg/kg IM</t>
        </is>
      </c>
      <c r="H1073" s="2" t="inlineStr">
        <is>
          <t>Ethanol 10% IV infusion for Methanol poisoning</t>
        </is>
      </c>
      <c r="I1073" s="8" t="inlineStr">
        <is>
          <t>1</t>
        </is>
      </c>
      <c r="J10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3" s="2" t="n"/>
      <c r="L1073" s="2" t="inlineStr">
        <is>
          <t>General Therapeutics</t>
        </is>
      </c>
      <c r="M1073" s="2" t="inlineStr">
        <is>
          <t>Clinic</t>
        </is>
      </c>
      <c r="N1073" s="2" t="inlineStr">
        <is>
          <t>ข้อ 3 (PLE_CC1_2533.md)</t>
        </is>
      </c>
      <c r="O1073" s="2" t="inlineStr">
        <is>
          <t>ข้อสอบจริง</t>
        </is>
      </c>
      <c r="P1073" s="2" t="inlineStr">
        <is>
          <t>ปี 2533</t>
        </is>
      </c>
    </row>
    <row r="1074" ht="13.2" customHeight="1" s="37">
      <c r="A1074" s="8" t="inlineStr">
        <is>
          <t>1095</t>
        </is>
      </c>
      <c r="B1074" s="2" t="inlineStr">
        <is>
          <t>Gardnerella vaginalis</t>
        </is>
      </c>
      <c r="C1074" s="2" t="n"/>
      <c r="D1074" s="2" t="inlineStr">
        <is>
          <t>Dimercaprol (BAL) 3 mg/kg IM</t>
        </is>
      </c>
      <c r="E1074" s="2" t="inlineStr">
        <is>
          <t>Ethanol 10% IV infusion for Methanol poisoning</t>
        </is>
      </c>
      <c r="F1074" s="2" t="inlineStr">
        <is>
          <t>Fomepizole 15 mg/kg IV loading</t>
        </is>
      </c>
      <c r="G1074" s="2" t="inlineStr">
        <is>
          <t>N-acetylcysteine (NAC) IV infusion protocol</t>
        </is>
      </c>
      <c r="H1074" s="2" t="inlineStr">
        <is>
          <t>Atropine sulfate 2 mg IV Q5-10 min</t>
        </is>
      </c>
      <c r="I1074" s="8" t="inlineStr">
        <is>
          <t>1</t>
        </is>
      </c>
      <c r="J10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4" s="2" t="n"/>
      <c r="L1074" s="2" t="inlineStr">
        <is>
          <t>General Therapeutics</t>
        </is>
      </c>
      <c r="M1074" s="2" t="inlineStr">
        <is>
          <t>Clinic</t>
        </is>
      </c>
      <c r="N1074" s="2" t="inlineStr">
        <is>
          <t>ข้อ 4 (PLE_CC1_2533.md)</t>
        </is>
      </c>
      <c r="O1074" s="2" t="inlineStr">
        <is>
          <t>ข้อสอบจริง</t>
        </is>
      </c>
      <c r="P1074" s="2" t="inlineStr">
        <is>
          <t>ปี 2533</t>
        </is>
      </c>
    </row>
    <row r="1075" ht="13.2" customHeight="1" s="37">
      <c r="A1075" s="8" t="inlineStr">
        <is>
          <t>1096</t>
        </is>
      </c>
      <c r="B1075" s="2" t="inlineStr">
        <is>
          <t>ปัจจุบันมีเชื้อดื้อยาในโรคดังกล่าวมากมาย ยาชนิดไหนที่ยังสามารถใช้ได้อยู่</t>
        </is>
      </c>
      <c r="C1075" s="2" t="n"/>
      <c r="D1075" s="2" t="inlineStr">
        <is>
          <t>N-acetylcysteine (NAC) IV infusion protocol</t>
        </is>
      </c>
      <c r="E1075" s="2" t="inlineStr">
        <is>
          <t>Atropine sulfate 2 mg IV Q5-10 min</t>
        </is>
      </c>
      <c r="F1075" s="2" t="inlineStr">
        <is>
          <t>Pralidoxime (2-PAM) 1-2 g IV over 30 min</t>
        </is>
      </c>
      <c r="G1075" s="2" t="inlineStr">
        <is>
          <t>Naloxone 0.4 mg IV stat</t>
        </is>
      </c>
      <c r="H1075" s="2" t="inlineStr">
        <is>
          <t>Flumazenil 0.2 mg IV stat</t>
        </is>
      </c>
      <c r="I1075" s="8" t="inlineStr">
        <is>
          <t>1</t>
        </is>
      </c>
      <c r="J10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75" s="2" t="n"/>
      <c r="L1075" s="2" t="inlineStr">
        <is>
          <t>General Therapeutics</t>
        </is>
      </c>
      <c r="M1075" s="2" t="inlineStr">
        <is>
          <t>Clinic</t>
        </is>
      </c>
      <c r="N1075" s="2" t="inlineStr">
        <is>
          <t>ข้อ 3 (PLE_CC1_2533.md)</t>
        </is>
      </c>
      <c r="O1075" s="2" t="inlineStr">
        <is>
          <t>ข้อสอบจริง</t>
        </is>
      </c>
      <c r="P1075" s="2" t="inlineStr">
        <is>
          <t>ปี 2533</t>
        </is>
      </c>
    </row>
    <row r="1076" ht="13.2" customHeight="1" s="37">
      <c r="A1076" s="8" t="inlineStr">
        <is>
          <t>1097</t>
        </is>
      </c>
      <c r="B1076" s="2" t="inlineStr">
        <is>
          <t>ผู้ป่วยไม่ไปโรงพยาบาล ต้องการรับยาที่ร้านยา เภสัชกรควรเลือกจ่ายยาใด</t>
        </is>
      </c>
      <c r="C1076" s="2" t="n"/>
      <c r="D1076" s="2" t="inlineStr">
        <is>
          <t>พ.ร.บ. ยาเสพติดให้โทษ พ.ศ. 2522 (ยาเสพติดให้โทษประเภท 2 และ 3)</t>
        </is>
      </c>
      <c r="E1076" s="2" t="inlineStr">
        <is>
          <t>พ.ร.บ. วัตถุที่ออกฤทธิ์ต่อจิตและประสาท พ.ศ. 2559 (ประเภท 2 และ 4)</t>
        </is>
      </c>
      <c r="F1076" s="2" t="inlineStr">
        <is>
          <t>พ.ร.บ. วิชาชีพเภสัชกรรม พ.ศ. 2537 และข้อบังคับจรรยาบรรณวิชาชีพ</t>
        </is>
      </c>
      <c r="G1076" s="2" t="inlineStr">
        <is>
          <t>พ.ร.บ. ผลิตภัณฑ์สมุนไพร พ.ศ. 2562</t>
        </is>
      </c>
      <c r="H1076" s="2" t="inlineStr">
        <is>
          <t>พ.ร.บ. เครื่องสำอาง พ.ศ. 2558</t>
        </is>
      </c>
      <c r="I1076" s="8" t="inlineStr">
        <is>
          <t>1</t>
        </is>
      </c>
      <c r="J107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76" s="2" t="n"/>
      <c r="L1076" s="2" t="inlineStr">
        <is>
          <t>Pharmacy Laws &amp; Ethics</t>
        </is>
      </c>
      <c r="M1076" s="2" t="inlineStr">
        <is>
          <t>SAP</t>
        </is>
      </c>
      <c r="N1076" s="2" t="inlineStr">
        <is>
          <t>ข้อ 4 (PLE_CC1_2533.md)</t>
        </is>
      </c>
      <c r="O1076" s="2" t="inlineStr">
        <is>
          <t>ข้อสอบจริง</t>
        </is>
      </c>
      <c r="P1076" s="2" t="inlineStr">
        <is>
          <t>ปี 2533</t>
        </is>
      </c>
    </row>
    <row r="1077" ht="13.2" customHeight="1" s="37">
      <c r="A1077" s="8" t="inlineStr">
        <is>
          <t>1098</t>
        </is>
      </c>
      <c r="B1077" s="2" t="inlineStr">
        <is>
          <t>Cefixime 400 mg OD</t>
        </is>
      </c>
      <c r="C1077" s="2" t="n"/>
      <c r="D1077" s="2" t="inlineStr">
        <is>
          <t>Sodium thiosulfate 25% 50 mL IV</t>
        </is>
      </c>
      <c r="E1077" s="2" t="inlineStr">
        <is>
          <t>Calcium disodium EDTA 1 g IV</t>
        </is>
      </c>
      <c r="F1077" s="2" t="inlineStr">
        <is>
          <t>Desferrioxamine 1 g IM/IV</t>
        </is>
      </c>
      <c r="G1077" s="2" t="inlineStr">
        <is>
          <t>Dimercaprol (BAL) 3 mg/kg IM</t>
        </is>
      </c>
      <c r="H1077" s="2" t="inlineStr">
        <is>
          <t>Ethanol 10% IV infusion for Methanol poisoning</t>
        </is>
      </c>
      <c r="I1077" s="8" t="inlineStr">
        <is>
          <t>1</t>
        </is>
      </c>
      <c r="J10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7" s="2" t="n"/>
      <c r="L1077" s="2" t="inlineStr">
        <is>
          <t>General Therapeutics</t>
        </is>
      </c>
      <c r="M1077" s="2" t="inlineStr">
        <is>
          <t>Clinic</t>
        </is>
      </c>
      <c r="N1077" s="2" t="inlineStr">
        <is>
          <t>ข้อ 1 (PLE_CC1_2533.md)</t>
        </is>
      </c>
      <c r="O1077" s="2" t="inlineStr">
        <is>
          <t>ข้อสอบจริง</t>
        </is>
      </c>
      <c r="P1077" s="2" t="inlineStr">
        <is>
          <t>ปี 2533</t>
        </is>
      </c>
    </row>
    <row r="1078" ht="13.2" customHeight="1" s="37">
      <c r="A1078" s="8" t="inlineStr">
        <is>
          <t>1099</t>
        </is>
      </c>
      <c r="B1078" s="2" t="inlineStr">
        <is>
          <t>Azithromycin 1 g OD</t>
        </is>
      </c>
      <c r="C1078" s="2" t="n"/>
      <c r="D1078" s="2" t="inlineStr">
        <is>
          <t>Tenofovir/Emtricitabine 300/200 mg OD</t>
        </is>
      </c>
      <c r="E1078" s="2" t="inlineStr">
        <is>
          <t>Dolutegravir 50 mg OD</t>
        </is>
      </c>
      <c r="F1078" s="2" t="inlineStr">
        <is>
          <t>Vancomycin 1 g IV Q12H</t>
        </is>
      </c>
      <c r="G1078" s="2" t="inlineStr">
        <is>
          <t>Meropenem 1 g IV Q8H</t>
        </is>
      </c>
      <c r="H1078" s="2" t="inlineStr">
        <is>
          <t>Cefazolin 1 g IV Q8H</t>
        </is>
      </c>
      <c r="I1078" s="8" t="inlineStr">
        <is>
          <t>1</t>
        </is>
      </c>
      <c r="J1078" s="2" t="inlineStr">
        <is>
          <t>✅ คำตอบที่ถูกต้อง: ข้อ ก. Tenofovir/Emtricitabine 300/200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Tenofovir/Emtricitabine 300/200 mg OD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8" s="2" t="n"/>
      <c r="L1078" s="2" t="inlineStr">
        <is>
          <t>Infectious Diseases</t>
        </is>
      </c>
      <c r="M1078" s="2" t="inlineStr">
        <is>
          <t>Clinic</t>
        </is>
      </c>
      <c r="N1078" s="2" t="inlineStr">
        <is>
          <t>ข้อ 2 (PLE_CC1_2533.md)</t>
        </is>
      </c>
      <c r="O1078" s="2" t="inlineStr">
        <is>
          <t>ข้อสอบจริง</t>
        </is>
      </c>
      <c r="P1078" s="2" t="inlineStr">
        <is>
          <t>ปี 2533</t>
        </is>
      </c>
    </row>
    <row r="1079" ht="13.2" customHeight="1" s="37">
      <c r="A1079" s="8" t="inlineStr">
        <is>
          <t>1100</t>
        </is>
      </c>
      <c r="B1079" s="2" t="inlineStr">
        <is>
          <t>Ciprofloxacin 500 mg OD</t>
        </is>
      </c>
      <c r="C1079" s="2" t="n"/>
      <c r="D1079" s="2" t="inlineStr">
        <is>
          <t>Meropenem 1 g IV Q8H</t>
        </is>
      </c>
      <c r="E1079" s="2" t="inlineStr">
        <is>
          <t>Cefazolin 1 g IV Q8H</t>
        </is>
      </c>
      <c r="F1079" s="2" t="inlineStr">
        <is>
          <t>Amoxicillin/Clavulanate 1 g BID</t>
        </is>
      </c>
      <c r="G1079" s="2" t="inlineStr">
        <is>
          <t>Ceftriaxone 1 g IV OD</t>
        </is>
      </c>
      <c r="H1079" s="2" t="inlineStr">
        <is>
          <t>Ciprofloxacin 500 mg BID</t>
        </is>
      </c>
      <c r="I1079" s="8" t="inlineStr">
        <is>
          <t>1</t>
        </is>
      </c>
      <c r="J1079" s="2" t="inlineStr">
        <is>
          <t>✅ คำตอบที่ถูกต้อง: ข้อ ก.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079" s="2" t="n"/>
      <c r="L1079" s="2" t="inlineStr">
        <is>
          <t>Infectious Diseases</t>
        </is>
      </c>
      <c r="M1079" s="2" t="inlineStr">
        <is>
          <t>Clinic</t>
        </is>
      </c>
      <c r="N1079" s="2" t="inlineStr">
        <is>
          <t>ข้อ 3 (PLE_CC1_2533.md)</t>
        </is>
      </c>
      <c r="O1079" s="2" t="inlineStr">
        <is>
          <t>ข้อสอบจริง</t>
        </is>
      </c>
      <c r="P1079" s="2" t="inlineStr">
        <is>
          <t>ปี 2533</t>
        </is>
      </c>
    </row>
    <row r="1080" ht="13.2" customHeight="1" s="37">
      <c r="A1080" s="8" t="inlineStr">
        <is>
          <t>1101</t>
        </is>
      </c>
      <c r="B1080" s="2" t="inlineStr">
        <is>
          <t>Doxycycline 100 mg BID 7 วัน</t>
        </is>
      </c>
      <c r="C1080" s="2" t="n"/>
      <c r="D1080" s="2" t="inlineStr">
        <is>
          <t>Ceftriaxone 1 g IV OD</t>
        </is>
      </c>
      <c r="E1080" s="2" t="inlineStr">
        <is>
          <t>Ciprofloxacin 500 mg BID</t>
        </is>
      </c>
      <c r="F1080" s="2" t="inlineStr">
        <is>
          <t>Azithromycin 500 mg OD</t>
        </is>
      </c>
      <c r="G1080" s="2" t="inlineStr">
        <is>
          <t>Doxycycline 100 mg BID</t>
        </is>
      </c>
      <c r="H1080" s="2" t="inlineStr">
        <is>
          <t>Cotrimoxazole 160/800 mg BID</t>
        </is>
      </c>
      <c r="I1080" s="8" t="inlineStr">
        <is>
          <t>1</t>
        </is>
      </c>
      <c r="J1080" s="2"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0" s="2" t="n"/>
      <c r="L1080" s="2" t="inlineStr">
        <is>
          <t>Infectious Diseases</t>
        </is>
      </c>
      <c r="M1080" s="2" t="inlineStr">
        <is>
          <t>Clinic</t>
        </is>
      </c>
      <c r="N1080" s="2" t="inlineStr">
        <is>
          <t>ข้อ 4 (PLE_CC1_2533.md)</t>
        </is>
      </c>
      <c r="O1080" s="2" t="inlineStr">
        <is>
          <t>ข้อสอบจริง</t>
        </is>
      </c>
      <c r="P1080" s="2" t="inlineStr">
        <is>
          <t>ปี 2533</t>
        </is>
      </c>
    </row>
    <row r="1081" ht="13.2" customHeight="1" s="37">
      <c r="A1081" s="8" t="inlineStr">
        <is>
          <t>1102</t>
        </is>
      </c>
      <c r="B1081" s="2" t="inlineStr">
        <is>
          <t>Amoxiclav 625 mg TID 7 วัน</t>
        </is>
      </c>
      <c r="C1081" s="2" t="n"/>
      <c r="D1081" s="2" t="inlineStr">
        <is>
          <t>Sodium thiosulfate 25% 50 mL IV</t>
        </is>
      </c>
      <c r="E1081" s="2" t="inlineStr">
        <is>
          <t>Calcium disodium EDTA 1 g IV</t>
        </is>
      </c>
      <c r="F1081" s="2" t="inlineStr">
        <is>
          <t>Desferrioxamine 1 g IM/IV</t>
        </is>
      </c>
      <c r="G1081" s="2" t="inlineStr">
        <is>
          <t>Dimercaprol (BAL) 3 mg/kg IM</t>
        </is>
      </c>
      <c r="H1081" s="2" t="inlineStr">
        <is>
          <t>Ethanol 10% IV infusion for Methanol poisoning</t>
        </is>
      </c>
      <c r="I1081" s="8" t="inlineStr">
        <is>
          <t>1</t>
        </is>
      </c>
      <c r="J10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1" s="2" t="n"/>
      <c r="L1081" s="2" t="inlineStr">
        <is>
          <t>General Therapeutics</t>
        </is>
      </c>
      <c r="M1081" s="2" t="inlineStr">
        <is>
          <t>Clinic</t>
        </is>
      </c>
      <c r="N1081" s="2" t="inlineStr">
        <is>
          <t>ข้อ 5 (PLE_CC1_2533.md)</t>
        </is>
      </c>
      <c r="O1081" s="2" t="inlineStr">
        <is>
          <t>ข้อสอบจริง</t>
        </is>
      </c>
      <c r="P1081" s="2" t="inlineStr">
        <is>
          <t>ปี 2533</t>
        </is>
      </c>
    </row>
    <row r="1082" ht="13.2" customHeight="1" s="37">
      <c r="A1082" s="8" t="inlineStr">
        <is>
          <t>1103</t>
        </is>
      </c>
      <c r="B1082" s="2" t="inlineStr">
        <is>
          <t>เกี่ยวกับยา Phenazopyridine ข้อใด ถูกต้อง ? ภายหลังจากเภสัชกรจ่ายยาให้กับผู้ป่วยแล้ว ผู้ป่วยขอซื้อยาขับปัสสาวะ โดยเอาตัวอย่างมาให้ ดู พบว่าเป็นยา Phenazopyridine ผุ้ป่วยบอกว่ากินยาแล้วจะมีปัสสาวะสีส้มแดง และหายแสบ</t>
        </is>
      </c>
      <c r="C1082" s="2" t="n"/>
      <c r="D1082" s="2" t="inlineStr">
        <is>
          <t>Dimercaprol (BAL) 3 mg/kg IM</t>
        </is>
      </c>
      <c r="E1082" s="2" t="inlineStr">
        <is>
          <t>Ethanol 10% IV infusion for Methanol poisoning</t>
        </is>
      </c>
      <c r="F1082" s="2" t="inlineStr">
        <is>
          <t>Fomepizole 15 mg/kg IV loading</t>
        </is>
      </c>
      <c r="G1082" s="2" t="inlineStr">
        <is>
          <t>N-acetylcysteine (NAC) IV infusion protocol</t>
        </is>
      </c>
      <c r="H1082" s="2" t="inlineStr">
        <is>
          <t>Atropine sulfate 2 mg IV Q5-10 min</t>
        </is>
      </c>
      <c r="I1082" s="8" t="inlineStr">
        <is>
          <t>1</t>
        </is>
      </c>
      <c r="J10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2" s="2" t="n"/>
      <c r="L1082" s="2" t="inlineStr">
        <is>
          <t>General Therapeutics</t>
        </is>
      </c>
      <c r="M1082" s="2" t="inlineStr">
        <is>
          <t>Clinic</t>
        </is>
      </c>
      <c r="N1082" s="2" t="inlineStr">
        <is>
          <t>ข้อ 5 (PLE_CC1_2533.md)</t>
        </is>
      </c>
      <c r="O1082" s="2" t="inlineStr">
        <is>
          <t>ข้อสอบจริง</t>
        </is>
      </c>
      <c r="P1082" s="2" t="inlineStr">
        <is>
          <t>ปี 2533</t>
        </is>
      </c>
    </row>
    <row r="1083" ht="13.2" customHeight="1" s="37">
      <c r="A1083" s="8" t="inlineStr">
        <is>
          <t>1104</t>
        </is>
      </c>
      <c r="B1083" s="2" t="inlineStr">
        <is>
          <t>ใช้ได้ติดต่อกันไม่เกิน 5 วัน</t>
        </is>
      </c>
      <c r="C1083" s="2" t="n"/>
      <c r="D1083" s="2" t="inlineStr">
        <is>
          <t>N-acetylcysteine (NAC) IV infusion protocol</t>
        </is>
      </c>
      <c r="E1083" s="2" t="inlineStr">
        <is>
          <t>Atropine sulfate 2 mg IV Q5-10 min</t>
        </is>
      </c>
      <c r="F1083" s="2" t="inlineStr">
        <is>
          <t>Pralidoxime (2-PAM) 1-2 g IV over 30 min</t>
        </is>
      </c>
      <c r="G1083" s="2" t="inlineStr">
        <is>
          <t>Naloxone 0.4 mg IV stat</t>
        </is>
      </c>
      <c r="H1083" s="2" t="inlineStr">
        <is>
          <t>Flumazenil 0.2 mg IV stat</t>
        </is>
      </c>
      <c r="I1083" s="8" t="inlineStr">
        <is>
          <t>1</t>
        </is>
      </c>
      <c r="J10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83" s="2" t="n"/>
      <c r="L1083" s="2" t="inlineStr">
        <is>
          <t>General Therapeutics</t>
        </is>
      </c>
      <c r="M1083" s="2" t="inlineStr">
        <is>
          <t>Clinic</t>
        </is>
      </c>
      <c r="N1083" s="2" t="inlineStr">
        <is>
          <t>ข้อ 1 (PLE_CC1_2533.md)</t>
        </is>
      </c>
      <c r="O1083" s="2" t="inlineStr">
        <is>
          <t>ข้อสอบจริง</t>
        </is>
      </c>
      <c r="P1083" s="2" t="inlineStr">
        <is>
          <t>ปี 2533</t>
        </is>
      </c>
    </row>
    <row r="1084" ht="13.2" customHeight="1" s="37">
      <c r="A1084" s="8" t="inlineStr">
        <is>
          <t>1105</t>
        </is>
      </c>
      <c r="B1084" s="2" t="inlineStr">
        <is>
          <t>สามารถใช้ได้ในผู้ป่วยโรคตับ</t>
        </is>
      </c>
      <c r="C1084" s="2" t="n"/>
      <c r="D1084" s="2" t="inlineStr">
        <is>
          <t>Naloxone 0.4 mg IV stat</t>
        </is>
      </c>
      <c r="E1084" s="2" t="inlineStr">
        <is>
          <t>Flumazenil 0.2 mg IV stat</t>
        </is>
      </c>
      <c r="F1084" s="2" t="inlineStr">
        <is>
          <t>Vitamin K1 (Phytomenadione) 10 mg IV slow</t>
        </is>
      </c>
      <c r="G1084" s="2" t="inlineStr">
        <is>
          <t>Sodium thiosulfate 25% 50 mL IV</t>
        </is>
      </c>
      <c r="H1084" s="2" t="inlineStr">
        <is>
          <t>Calcium disodium EDTA 1 g IV</t>
        </is>
      </c>
      <c r="I1084" s="8" t="inlineStr">
        <is>
          <t>1</t>
        </is>
      </c>
      <c r="J10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84" s="2" t="n"/>
      <c r="L1084" s="2" t="inlineStr">
        <is>
          <t>General Therapeutics</t>
        </is>
      </c>
      <c r="M1084" s="2" t="inlineStr">
        <is>
          <t>Clinic</t>
        </is>
      </c>
      <c r="N1084" s="2" t="inlineStr">
        <is>
          <t>ข้อ 2 (PLE_CC1_2533.md)</t>
        </is>
      </c>
      <c r="O1084" s="2" t="inlineStr">
        <is>
          <t>ข้อสอบจริง</t>
        </is>
      </c>
      <c r="P1084" s="2" t="inlineStr">
        <is>
          <t>ปี 2533</t>
        </is>
      </c>
    </row>
    <row r="1085" ht="13.2" customHeight="1" s="37">
      <c r="A1085" s="8" t="inlineStr">
        <is>
          <t>1106</t>
        </is>
      </c>
      <c r="B1085" s="2" t="inlineStr">
        <is>
          <t>มีฤทธิ์ต้านจุลชีพ</t>
        </is>
      </c>
      <c r="C1085" s="2" t="n"/>
      <c r="D1085" s="2" t="inlineStr">
        <is>
          <t>Sodium thiosulfate 25% 50 mL IV</t>
        </is>
      </c>
      <c r="E1085" s="2" t="inlineStr">
        <is>
          <t>Calcium disodium EDTA 1 g IV</t>
        </is>
      </c>
      <c r="F1085" s="2" t="inlineStr">
        <is>
          <t>Desferrioxamine 1 g IM/IV</t>
        </is>
      </c>
      <c r="G1085" s="2" t="inlineStr">
        <is>
          <t>Dimercaprol (BAL) 3 mg/kg IM</t>
        </is>
      </c>
      <c r="H1085" s="2" t="inlineStr">
        <is>
          <t>Ethanol 10% IV infusion for Methanol poisoning</t>
        </is>
      </c>
      <c r="I1085" s="8" t="inlineStr">
        <is>
          <t>1</t>
        </is>
      </c>
      <c r="J10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5" s="2" t="n"/>
      <c r="L1085" s="2" t="inlineStr">
        <is>
          <t>General Therapeutics</t>
        </is>
      </c>
      <c r="M1085" s="2" t="inlineStr">
        <is>
          <t>Clinic</t>
        </is>
      </c>
      <c r="N1085" s="2" t="inlineStr">
        <is>
          <t>ข้อ 3 (PLE_CC1_2533.md)</t>
        </is>
      </c>
      <c r="O1085" s="2" t="inlineStr">
        <is>
          <t>ข้อสอบจริง</t>
        </is>
      </c>
      <c r="P1085" s="2" t="inlineStr">
        <is>
          <t>ปี 2533</t>
        </is>
      </c>
    </row>
    <row r="1086" ht="13.2" customHeight="1" s="37">
      <c r="A1086" s="8" t="inlineStr">
        <is>
          <t>1107</t>
        </is>
      </c>
      <c r="B1086" s="2" t="inlineStr">
        <is>
          <t>สามารถใช้ได้ในผู้ป่วย G6PD</t>
        </is>
      </c>
      <c r="C1086" s="2" t="n"/>
      <c r="D1086" s="2" t="inlineStr">
        <is>
          <t>Dimercaprol (BAL) 3 mg/kg IM</t>
        </is>
      </c>
      <c r="E1086" s="2" t="inlineStr">
        <is>
          <t>Ethanol 10% IV infusion for Methanol poisoning</t>
        </is>
      </c>
      <c r="F1086" s="2" t="inlineStr">
        <is>
          <t>Fomepizole 15 mg/kg IV loading</t>
        </is>
      </c>
      <c r="G1086" s="2" t="inlineStr">
        <is>
          <t>N-acetylcysteine (NAC) IV infusion protocol</t>
        </is>
      </c>
      <c r="H1086" s="2" t="inlineStr">
        <is>
          <t>Atropine sulfate 2 mg IV Q5-10 min</t>
        </is>
      </c>
      <c r="I1086" s="8" t="inlineStr">
        <is>
          <t>1</t>
        </is>
      </c>
      <c r="J10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6" s="2" t="n"/>
      <c r="L1086" s="2" t="inlineStr">
        <is>
          <t>General Therapeutics</t>
        </is>
      </c>
      <c r="M1086" s="2" t="inlineStr">
        <is>
          <t>Clinic</t>
        </is>
      </c>
      <c r="N1086" s="2" t="inlineStr">
        <is>
          <t>ข้อ 4 (PLE_CC1_2533.md)</t>
        </is>
      </c>
      <c r="O1086" s="2" t="inlineStr">
        <is>
          <t>ข้อสอบจริง</t>
        </is>
      </c>
      <c r="P1086" s="2" t="inlineStr">
        <is>
          <t>ปี 2533</t>
        </is>
      </c>
    </row>
    <row r="1087" ht="13.2" customHeight="1" s="37">
      <c r="A1087" s="8" t="inlineStr">
        <is>
          <t>1108</t>
        </is>
      </c>
      <c r="B1087" s="2" t="inlineStr">
        <is>
          <t>hypersensitivity to phenazopyridine products</t>
        </is>
      </c>
      <c r="C1087" s="2" t="n"/>
      <c r="D1087" s="2" t="inlineStr">
        <is>
          <t>N-acetylcysteine (NAC) IV infusion protocol</t>
        </is>
      </c>
      <c r="E1087" s="2" t="inlineStr">
        <is>
          <t>Atropine sulfate 2 mg IV Q5-10 min</t>
        </is>
      </c>
      <c r="F1087" s="2" t="inlineStr">
        <is>
          <t>Pralidoxime (2-PAM) 1-2 g IV over 30 min</t>
        </is>
      </c>
      <c r="G1087" s="2" t="inlineStr">
        <is>
          <t>Naloxone 0.4 mg IV stat</t>
        </is>
      </c>
      <c r="H1087" s="2" t="inlineStr">
        <is>
          <t>Flumazenil 0.2 mg IV stat</t>
        </is>
      </c>
      <c r="I1087" s="8" t="inlineStr">
        <is>
          <t>1</t>
        </is>
      </c>
      <c r="J10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87" s="2" t="n"/>
      <c r="L1087" s="2" t="inlineStr">
        <is>
          <t>General Therapeutics</t>
        </is>
      </c>
      <c r="M1087" s="2" t="inlineStr">
        <is>
          <t>Clinic</t>
        </is>
      </c>
      <c r="N1087" s="2" t="inlineStr">
        <is>
          <t>ข้อ 1 (PLE_CC1_2533.md)</t>
        </is>
      </c>
      <c r="O1087" s="2" t="inlineStr">
        <is>
          <t>ข้อสอบจริง</t>
        </is>
      </c>
      <c r="P1087" s="2" t="inlineStr">
        <is>
          <t>ปี 2533</t>
        </is>
      </c>
    </row>
    <row r="1088" ht="13.2" customHeight="1" s="37">
      <c r="A1088" s="8" t="inlineStr">
        <is>
          <t>1109</t>
        </is>
      </c>
      <c r="B1088" s="2" t="inlineStr">
        <is>
          <t>glucose-6-phosphate dehydrogenase deficiency</t>
        </is>
      </c>
      <c r="C1088" s="2" t="n"/>
      <c r="D1088" s="2" t="inlineStr">
        <is>
          <t>Semaglutide 0.5 mg SC weekly</t>
        </is>
      </c>
      <c r="E1088" s="2" t="inlineStr">
        <is>
          <t>Metformin 500 mg BID</t>
        </is>
      </c>
      <c r="F1088" s="2" t="inlineStr">
        <is>
          <t>Glipizide 5 mg OD</t>
        </is>
      </c>
      <c r="G1088" s="2" t="inlineStr">
        <is>
          <t>Empagliflozin 10 mg OD</t>
        </is>
      </c>
      <c r="H1088" s="2" t="inlineStr">
        <is>
          <t>Sitagliptin 100 mg OD</t>
        </is>
      </c>
      <c r="I1088" s="8" t="inlineStr">
        <is>
          <t>1</t>
        </is>
      </c>
      <c r="J1088" s="2"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088" s="2" t="n"/>
      <c r="L1088" s="2" t="inlineStr">
        <is>
          <t>Diabetes &amp; Endocrine</t>
        </is>
      </c>
      <c r="M1088" s="2" t="inlineStr">
        <is>
          <t>Clinic</t>
        </is>
      </c>
      <c r="N1088" s="2" t="inlineStr">
        <is>
          <t>ข้อ 1 (PLE_CC1_2533.md)</t>
        </is>
      </c>
      <c r="O1088" s="2" t="inlineStr">
        <is>
          <t>ข้อสอบจริง</t>
        </is>
      </c>
      <c r="P1088" s="2" t="inlineStr">
        <is>
          <t>ปี 2533</t>
        </is>
      </c>
    </row>
    <row r="1089" ht="13.2" customHeight="1" s="37">
      <c r="A1089" s="8" t="inlineStr">
        <is>
          <t>1110</t>
        </is>
      </c>
      <c r="B1089" s="2" t="inlineStr">
        <is>
          <t>Case –control studies</t>
        </is>
      </c>
      <c r="C1089" s="2" t="n"/>
      <c r="D1089" s="2" t="inlineStr">
        <is>
          <t>Sodium thiosulfate 25% 50 mL IV</t>
        </is>
      </c>
      <c r="E1089" s="2" t="inlineStr">
        <is>
          <t>Calcium disodium EDTA 1 g IV</t>
        </is>
      </c>
      <c r="F1089" s="2" t="inlineStr">
        <is>
          <t>Desferrioxamine 1 g IM/IV</t>
        </is>
      </c>
      <c r="G1089" s="2" t="inlineStr">
        <is>
          <t>Dimercaprol (BAL) 3 mg/kg IM</t>
        </is>
      </c>
      <c r="H1089" s="2" t="inlineStr">
        <is>
          <t>Ethanol 10% IV infusion for Methanol poisoning</t>
        </is>
      </c>
      <c r="I1089" s="8" t="inlineStr">
        <is>
          <t>1</t>
        </is>
      </c>
      <c r="J10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9" s="2" t="n"/>
      <c r="L1089" s="2" t="inlineStr">
        <is>
          <t>General Therapeutics</t>
        </is>
      </c>
      <c r="M1089" s="2" t="inlineStr">
        <is>
          <t>Clinic</t>
        </is>
      </c>
      <c r="N1089" s="2" t="inlineStr">
        <is>
          <t>ข้อ 2 (PLE_CC1_2533.md)</t>
        </is>
      </c>
      <c r="O1089" s="2" t="inlineStr">
        <is>
          <t>ข้อสอบจริง</t>
        </is>
      </c>
      <c r="P1089" s="2" t="inlineStr">
        <is>
          <t>ปี 2533</t>
        </is>
      </c>
    </row>
    <row r="1090" ht="13.2" customHeight="1" s="37">
      <c r="A1090" s="8" t="inlineStr">
        <is>
          <t>1111</t>
        </is>
      </c>
      <c r="B1090" s="2" t="inlineStr">
        <is>
          <t>ความผิดปกติของโรคดังกล่าวเกิดที่ระบบใด</t>
        </is>
      </c>
      <c r="C1090" s="2" t="n"/>
      <c r="D1090" s="2" t="inlineStr">
        <is>
          <t>Dimercaprol (BAL) 3 mg/kg IM</t>
        </is>
      </c>
      <c r="E1090" s="2" t="inlineStr">
        <is>
          <t>Ethanol 10% IV infusion for Methanol poisoning</t>
        </is>
      </c>
      <c r="F1090" s="2" t="inlineStr">
        <is>
          <t>Fomepizole 15 mg/kg IV loading</t>
        </is>
      </c>
      <c r="G1090" s="2" t="inlineStr">
        <is>
          <t>N-acetylcysteine (NAC) IV infusion protocol</t>
        </is>
      </c>
      <c r="H1090" s="2" t="inlineStr">
        <is>
          <t>Atropine sulfate 2 mg IV Q5-10 min</t>
        </is>
      </c>
      <c r="I1090" s="8" t="inlineStr">
        <is>
          <t>1</t>
        </is>
      </c>
      <c r="J10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0" s="2" t="n"/>
      <c r="L1090" s="2" t="inlineStr">
        <is>
          <t>General Therapeutics</t>
        </is>
      </c>
      <c r="M1090" s="2" t="inlineStr">
        <is>
          <t>Clinic</t>
        </is>
      </c>
      <c r="N1090" s="2" t="inlineStr">
        <is>
          <t>ข้อ 1 (PLE_CC1_2533.md)</t>
        </is>
      </c>
      <c r="O1090" s="2" t="inlineStr">
        <is>
          <t>ข้อสอบจริง</t>
        </is>
      </c>
      <c r="P1090" s="2" t="inlineStr">
        <is>
          <t>ปี 2533</t>
        </is>
      </c>
    </row>
    <row r="1091" ht="13.2" customHeight="1" s="37">
      <c r="A1091" s="8" t="inlineStr">
        <is>
          <t>1112</t>
        </is>
      </c>
      <c r="B1091" s="2" t="inlineStr">
        <is>
          <t>ยาในข้อใดที่ไม่เหมาะสมกับผู้ป่วยรายนี้</t>
        </is>
      </c>
      <c r="C1091" s="2" t="n"/>
      <c r="D1091" s="2" t="inlineStr">
        <is>
          <t>N-acetylcysteine (NAC) IV infusion protocol</t>
        </is>
      </c>
      <c r="E1091" s="2" t="inlineStr">
        <is>
          <t>Atropine sulfate 2 mg IV Q5-10 min</t>
        </is>
      </c>
      <c r="F1091" s="2" t="inlineStr">
        <is>
          <t>Pralidoxime (2-PAM) 1-2 g IV over 30 min</t>
        </is>
      </c>
      <c r="G1091" s="2" t="inlineStr">
        <is>
          <t>Naloxone 0.4 mg IV stat</t>
        </is>
      </c>
      <c r="H1091" s="2" t="inlineStr">
        <is>
          <t>Flumazenil 0.2 mg IV stat</t>
        </is>
      </c>
      <c r="I1091" s="8" t="inlineStr">
        <is>
          <t>1</t>
        </is>
      </c>
      <c r="J10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91" s="2" t="n"/>
      <c r="L1091" s="2" t="inlineStr">
        <is>
          <t>General Therapeutics</t>
        </is>
      </c>
      <c r="M1091" s="2" t="inlineStr">
        <is>
          <t>Clinic</t>
        </is>
      </c>
      <c r="N1091" s="2" t="inlineStr">
        <is>
          <t>ข้อ 2 (PLE_CC1_2533.md)</t>
        </is>
      </c>
      <c r="O1091" s="2" t="inlineStr">
        <is>
          <t>ข้อสอบจริง</t>
        </is>
      </c>
      <c r="P1091" s="2" t="inlineStr">
        <is>
          <t>ปี 2533</t>
        </is>
      </c>
    </row>
    <row r="1092" ht="13.2" customHeight="1" s="37">
      <c r="A1092" s="8" t="inlineStr">
        <is>
          <t>1113</t>
        </is>
      </c>
      <c r="B1092" s="2" t="inlineStr">
        <is>
          <t>Trihexylphenidyl Ans. 5. Trihexylphenidyl Trihexylphenidyl เป็นยากลุ่ม anticholinergic ซึ่งมีอาการข้างเคียงคือตาพร้า ปากแห้ง ท้องผูก และปัสสาวะคั่ง จึงไม่ ควรให้ในผู้ป่วย BPH</t>
        </is>
      </c>
      <c r="C1092" s="2" t="n"/>
      <c r="D1092" s="2" t="inlineStr">
        <is>
          <t>Aluminium hydroxide/Magnesium hydroxide suspension</t>
        </is>
      </c>
      <c r="E1092" s="2" t="inlineStr">
        <is>
          <t>Metoclopramide 10 mg TID before meals</t>
        </is>
      </c>
      <c r="F1092" s="2" t="inlineStr">
        <is>
          <t>Omeprazole 20 mg OD</t>
        </is>
      </c>
      <c r="G1092" s="2" t="inlineStr">
        <is>
          <t>Esomeprazole 20 mg OD</t>
        </is>
      </c>
      <c r="H1092" s="2" t="inlineStr">
        <is>
          <t>Domperidone 10 mg TID</t>
        </is>
      </c>
      <c r="I1092" s="8" t="inlineStr">
        <is>
          <t>1</t>
        </is>
      </c>
      <c r="J1092" s="2" t="inlineStr">
        <is>
          <t>✅ คำตอบที่ถูกต้อง: ข้อ ก. Aluminium hydroxide/Magnesium hydroxide suspension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2" s="2" t="n"/>
      <c r="L1092" s="2" t="inlineStr">
        <is>
          <t>GI Disorders</t>
        </is>
      </c>
      <c r="M1092" s="2" t="inlineStr">
        <is>
          <t>Clinic</t>
        </is>
      </c>
      <c r="N1092" s="2" t="inlineStr">
        <is>
          <t>ข้อ 5 (PLE_CC1_2533.md)</t>
        </is>
      </c>
      <c r="O1092" s="2" t="inlineStr">
        <is>
          <t>ข้อสอบจริง</t>
        </is>
      </c>
      <c r="P1092" s="2" t="inlineStr">
        <is>
          <t>ปี 2533</t>
        </is>
      </c>
    </row>
    <row r="1093" ht="13.2" customHeight="1" s="37">
      <c r="A1093" s="8" t="inlineStr">
        <is>
          <t>1114</t>
        </is>
      </c>
      <c r="B1093" s="2" t="inlineStr">
        <is>
          <t>End of dose effect</t>
        </is>
      </c>
      <c r="C1093" s="2" t="n"/>
      <c r="D1093" s="2" t="inlineStr">
        <is>
          <t>Sodium thiosulfate 25% 50 mL IV</t>
        </is>
      </c>
      <c r="E1093" s="2" t="inlineStr">
        <is>
          <t>Calcium disodium EDTA 1 g IV</t>
        </is>
      </c>
      <c r="F1093" s="2" t="inlineStr">
        <is>
          <t>Desferrioxamine 1 g IM/IV</t>
        </is>
      </c>
      <c r="G1093" s="2" t="inlineStr">
        <is>
          <t>Dimercaprol (BAL) 3 mg/kg IM</t>
        </is>
      </c>
      <c r="H1093" s="2" t="inlineStr">
        <is>
          <t>Ethanol 10% IV infusion for Methanol poisoning</t>
        </is>
      </c>
      <c r="I1093" s="8" t="inlineStr">
        <is>
          <t>1</t>
        </is>
      </c>
      <c r="J10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3" s="2" t="n"/>
      <c r="L1093" s="2" t="inlineStr">
        <is>
          <t>General Therapeutics</t>
        </is>
      </c>
      <c r="M1093" s="2" t="inlineStr">
        <is>
          <t>Clinic</t>
        </is>
      </c>
      <c r="N1093" s="2" t="inlineStr">
        <is>
          <t>ข้อ 3 (PLE_CC1_2533.md)</t>
        </is>
      </c>
      <c r="O1093" s="2" t="inlineStr">
        <is>
          <t>ข้อสอบจริง</t>
        </is>
      </c>
      <c r="P1093" s="2" t="inlineStr">
        <is>
          <t>ปี 2533</t>
        </is>
      </c>
    </row>
    <row r="1094" ht="13.2" customHeight="1" s="37">
      <c r="A1094" s="8" t="inlineStr">
        <is>
          <t>1115</t>
        </is>
      </c>
      <c r="B1094" s="2" t="inlineStr">
        <is>
          <t>ขนาดยาต่ำเกินไป</t>
        </is>
      </c>
      <c r="C1094" s="2" t="n"/>
      <c r="D1094" s="2" t="inlineStr">
        <is>
          <t>Dimercaprol (BAL) 3 mg/kg IM</t>
        </is>
      </c>
      <c r="E1094" s="2" t="inlineStr">
        <is>
          <t>Ethanol 10% IV infusion for Methanol poisoning</t>
        </is>
      </c>
      <c r="F1094" s="2" t="inlineStr">
        <is>
          <t>Fomepizole 15 mg/kg IV loading</t>
        </is>
      </c>
      <c r="G1094" s="2" t="inlineStr">
        <is>
          <t>N-acetylcysteine (NAC) IV infusion protocol</t>
        </is>
      </c>
      <c r="H1094" s="2" t="inlineStr">
        <is>
          <t>Atropine sulfate 2 mg IV Q5-10 min</t>
        </is>
      </c>
      <c r="I1094" s="8" t="inlineStr">
        <is>
          <t>1</t>
        </is>
      </c>
      <c r="J10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4" s="2" t="n"/>
      <c r="L1094" s="2" t="inlineStr">
        <is>
          <t>General Therapeutics</t>
        </is>
      </c>
      <c r="M1094" s="2" t="inlineStr">
        <is>
          <t>Clinic</t>
        </is>
      </c>
      <c r="N1094" s="2" t="inlineStr">
        <is>
          <t>ข้อ 1 (PLE_CC1_2533.md)</t>
        </is>
      </c>
      <c r="O1094" s="2" t="inlineStr">
        <is>
          <t>ข้อสอบจริง</t>
        </is>
      </c>
      <c r="P1094" s="2" t="inlineStr">
        <is>
          <t>ปี 2533</t>
        </is>
      </c>
    </row>
    <row r="1095" ht="13.2" customHeight="1" s="37">
      <c r="A1095" s="8" t="inlineStr">
        <is>
          <t>1116</t>
        </is>
      </c>
      <c r="B1095" s="2" t="inlineStr">
        <is>
          <t>ผู้ป่วยไม่กินยาตามสั่ง</t>
        </is>
      </c>
      <c r="C1095" s="2" t="n"/>
      <c r="D1095" s="2" t="inlineStr">
        <is>
          <t>N-acetylcysteine (NAC) IV infusion protocol</t>
        </is>
      </c>
      <c r="E1095" s="2" t="inlineStr">
        <is>
          <t>Atropine sulfate 2 mg IV Q5-10 min</t>
        </is>
      </c>
      <c r="F1095" s="2" t="inlineStr">
        <is>
          <t>Pralidoxime (2-PAM) 1-2 g IV over 30 min</t>
        </is>
      </c>
      <c r="G1095" s="2" t="inlineStr">
        <is>
          <t>Naloxone 0.4 mg IV stat</t>
        </is>
      </c>
      <c r="H1095" s="2" t="inlineStr">
        <is>
          <t>Flumazenil 0.2 mg IV stat</t>
        </is>
      </c>
      <c r="I1095" s="8" t="inlineStr">
        <is>
          <t>1</t>
        </is>
      </c>
      <c r="J10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95" s="2" t="n"/>
      <c r="L1095" s="2" t="inlineStr">
        <is>
          <t>General Therapeutics</t>
        </is>
      </c>
      <c r="M1095" s="2" t="inlineStr">
        <is>
          <t>Clinic</t>
        </is>
      </c>
      <c r="N1095" s="2" t="inlineStr">
        <is>
          <t>ข้อ 2 (PLE_CC1_2533.md)</t>
        </is>
      </c>
      <c r="O1095" s="2" t="inlineStr">
        <is>
          <t>ข้อสอบจริง</t>
        </is>
      </c>
      <c r="P1095" s="2" t="inlineStr">
        <is>
          <t>ปี 2533</t>
        </is>
      </c>
    </row>
    <row r="1096" ht="13.2" customHeight="1" s="37">
      <c r="A1096" s="8" t="inlineStr">
        <is>
          <t>1117</t>
        </is>
      </c>
      <c r="B1096" s="2" t="inlineStr">
        <is>
          <t>อาการข้างเคียงจากการใช้ยา</t>
        </is>
      </c>
      <c r="C1096" s="2" t="n"/>
      <c r="D1096" s="2" t="inlineStr">
        <is>
          <t>Naloxone 0.4 mg IV stat</t>
        </is>
      </c>
      <c r="E1096" s="2" t="inlineStr">
        <is>
          <t>Flumazenil 0.2 mg IV stat</t>
        </is>
      </c>
      <c r="F1096" s="2" t="inlineStr">
        <is>
          <t>Vitamin K1 (Phytomenadione) 10 mg IV slow</t>
        </is>
      </c>
      <c r="G1096" s="2" t="inlineStr">
        <is>
          <t>Sodium thiosulfate 25% 50 mL IV</t>
        </is>
      </c>
      <c r="H1096" s="2" t="inlineStr">
        <is>
          <t>Calcium disodium EDTA 1 g IV</t>
        </is>
      </c>
      <c r="I1096" s="8" t="inlineStr">
        <is>
          <t>1</t>
        </is>
      </c>
      <c r="J10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096" s="2" t="n"/>
      <c r="L1096" s="2" t="inlineStr">
        <is>
          <t>General Therapeutics</t>
        </is>
      </c>
      <c r="M1096" s="2" t="inlineStr">
        <is>
          <t>Clinic</t>
        </is>
      </c>
      <c r="N1096" s="2" t="inlineStr">
        <is>
          <t>ข้อ 3 (PLE_CC1_2533.md)</t>
        </is>
      </c>
      <c r="O1096" s="2" t="inlineStr">
        <is>
          <t>ข้อสอบจริง</t>
        </is>
      </c>
      <c r="P1096" s="2" t="inlineStr">
        <is>
          <t>ปี 2533</t>
        </is>
      </c>
    </row>
    <row r="1097" ht="13.2" customHeight="1" s="37">
      <c r="A1097" s="8" t="inlineStr">
        <is>
          <t>1118</t>
        </is>
      </c>
      <c r="B1097" s="2" t="inlineStr">
        <is>
          <t>ผู้ป่วยลืมกินยา</t>
        </is>
      </c>
      <c r="C1097" s="2" t="n"/>
      <c r="D1097" s="2" t="inlineStr">
        <is>
          <t>Sodium thiosulfate 25% 50 mL IV</t>
        </is>
      </c>
      <c r="E1097" s="2" t="inlineStr">
        <is>
          <t>Calcium disodium EDTA 1 g IV</t>
        </is>
      </c>
      <c r="F1097" s="2" t="inlineStr">
        <is>
          <t>Desferrioxamine 1 g IM/IV</t>
        </is>
      </c>
      <c r="G1097" s="2" t="inlineStr">
        <is>
          <t>Dimercaprol (BAL) 3 mg/kg IM</t>
        </is>
      </c>
      <c r="H1097" s="2" t="inlineStr">
        <is>
          <t>Ethanol 10% IV infusion for Methanol poisoning</t>
        </is>
      </c>
      <c r="I1097" s="8" t="inlineStr">
        <is>
          <t>1</t>
        </is>
      </c>
      <c r="J10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7" s="2" t="n"/>
      <c r="L1097" s="2" t="inlineStr">
        <is>
          <t>General Therapeutics</t>
        </is>
      </c>
      <c r="M1097" s="2" t="inlineStr">
        <is>
          <t>Clinic</t>
        </is>
      </c>
      <c r="N1097" s="2" t="inlineStr">
        <is>
          <t>ข้อ 4 (PLE_CC1_2533.md)</t>
        </is>
      </c>
      <c r="O1097" s="2" t="inlineStr">
        <is>
          <t>ข้อสอบจริง</t>
        </is>
      </c>
      <c r="P1097" s="2" t="inlineStr">
        <is>
          <t>ปี 2533</t>
        </is>
      </c>
    </row>
    <row r="1098" ht="13.2" customHeight="1" s="37">
      <c r="A1098" s="8" t="inlineStr">
        <is>
          <t>1119</t>
        </is>
      </c>
      <c r="B1098" s="2" t="inlineStr">
        <is>
          <t>หากในการรักษาแพทย์พิจารณาเพิ่มยารักษาอีก 1 ตัว ยาตัวใดที่ผู้ป่วยไม่ควรได้รับ(ผู้ป่วยเคยมีประวัติเป็น BPH )</t>
        </is>
      </c>
      <c r="C1098" s="2" t="n"/>
      <c r="D1098" s="2" t="inlineStr">
        <is>
          <t>Ethinylestradiol 35 mcg + Cyproterone acetate 2 mg</t>
        </is>
      </c>
      <c r="E1098" s="2" t="inlineStr">
        <is>
          <t>Desogestrel 75 mcg OD (Progestin-only)</t>
        </is>
      </c>
      <c r="F1098" s="2" t="inlineStr">
        <is>
          <t>Levonorgestrel 1.5 mg stat (Emergency)</t>
        </is>
      </c>
      <c r="G1098" s="2" t="inlineStr">
        <is>
          <t>Mefenamic acid 500 mg TID</t>
        </is>
      </c>
      <c r="H1098" s="2" t="inlineStr">
        <is>
          <t>Tamsulosin 0.4 mg HS</t>
        </is>
      </c>
      <c r="I1098" s="8" t="inlineStr">
        <is>
          <t>1</t>
        </is>
      </c>
      <c r="J1098" s="2" t="inlineStr">
        <is>
          <t>✅ คำตอบที่ถูกต้อง: ข้อ ก. Ethinylestradiol 35 mcg + Cyproterone acetate 2 mg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Ethinylestradiol 35 mcg + Cyproterone acetate 2 mg
🔍 ข้ออื่นผิดเพราะอะไร:
• ข้อ ข. (Desogestrel 75 mcg OD (Progestin-only)): ข้อนี้ไม่ใช่คำตอบที่ถูกต้องสำหรับภาวะ Gynaecologic &amp; GU เนื่องจากกลไกการออกฤทธิ์, efficacy หรือข้อบ่งใช้ไม่ตรงกับโจทย์ที่กำหนด
• ข้อ ค. (Levonorgestrel 1.5 mg stat (Emergency)): ข้อนี้ไม่ใช่คำตอบที่ถูกต้องสำหรับภาวะ Gynaecologic &amp; GU เนื่องจากกลไกการออกฤทธิ์, efficacy หรือข้อบ่งใช้ไม่ตรงกับโจทย์ที่กำหนด
• ข้อ ง. (Mefenamic acid 500 mg TID): ข้อนี้ไม่ใช่คำตอบที่ถูกต้องสำหรับภาวะ Gynaecologic &amp; GU เนื่องจากกลไกการออกฤทธิ์, efficacy หรือข้อบ่งใช้ไม่ตรงกับโจทย์ที่กำหนด
• ข้อ จ. (Tamsulosin 0.4 mg HS):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8" s="2" t="n"/>
      <c r="L1098" s="2" t="inlineStr">
        <is>
          <t>Gynaecologic &amp; GU</t>
        </is>
      </c>
      <c r="M1098" s="2" t="inlineStr">
        <is>
          <t>Clinic</t>
        </is>
      </c>
      <c r="N1098" s="2" t="inlineStr">
        <is>
          <t>ข้อ 7 (PLE_CC1_2533.md)</t>
        </is>
      </c>
      <c r="O1098" s="2" t="inlineStr">
        <is>
          <t>ข้อสอบจริง</t>
        </is>
      </c>
      <c r="P1098" s="2" t="inlineStr">
        <is>
          <t>ปี 2533</t>
        </is>
      </c>
    </row>
    <row r="1099" ht="13.2" customHeight="1" s="37">
      <c r="A1099" s="8" t="inlineStr">
        <is>
          <t>1120</t>
        </is>
      </c>
      <c r="B1099" s="2" t="inlineStr">
        <is>
          <t>การติดหน้า punch »» ลดความชื้นของสารในตำรับ</t>
        </is>
      </c>
      <c r="C1099" s="2" t="n"/>
      <c r="D1099" s="2" t="inlineStr">
        <is>
          <t>N-acetylcysteine (NAC) IV infusion protocol</t>
        </is>
      </c>
      <c r="E1099" s="2" t="inlineStr">
        <is>
          <t>Atropine sulfate 2 mg IV Q5-10 min</t>
        </is>
      </c>
      <c r="F1099" s="2" t="inlineStr">
        <is>
          <t>Pralidoxime (2-PAM) 1-2 g IV over 30 min</t>
        </is>
      </c>
      <c r="G1099" s="2" t="inlineStr">
        <is>
          <t>Naloxone 0.4 mg IV stat</t>
        </is>
      </c>
      <c r="H1099" s="2" t="inlineStr">
        <is>
          <t>Flumazenil 0.2 mg IV stat</t>
        </is>
      </c>
      <c r="I1099" s="8" t="inlineStr">
        <is>
          <t>1</t>
        </is>
      </c>
      <c r="J10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099" s="2" t="n"/>
      <c r="L1099" s="2" t="inlineStr">
        <is>
          <t>General Therapeutics</t>
        </is>
      </c>
      <c r="M1099" s="2" t="inlineStr">
        <is>
          <t>Clinic</t>
        </is>
      </c>
      <c r="N1099" s="2" t="inlineStr">
        <is>
          <t>ข้อ 1 (PLE_CC1_2533.md)</t>
        </is>
      </c>
      <c r="O1099" s="2" t="inlineStr">
        <is>
          <t>ข้อสอบจริง</t>
        </is>
      </c>
      <c r="P1099" s="2" t="inlineStr">
        <is>
          <t>ปี 2533</t>
        </is>
      </c>
    </row>
    <row r="1100" ht="13.2" customHeight="1" s="37">
      <c r="A1100" s="8" t="inlineStr">
        <is>
          <t>1121</t>
        </is>
      </c>
      <c r="B1100" s="2" t="inlineStr">
        <is>
          <t>แกรนูลนิ่มหรืออ่อนเกินไป »» เพิ่มสารยึดเกาะให้เหมาะสมและเพียงพอ</t>
        </is>
      </c>
      <c r="C1100" s="2" t="n"/>
      <c r="D1100" s="2" t="inlineStr">
        <is>
          <t>Naloxone 0.4 mg IV stat</t>
        </is>
      </c>
      <c r="E1100" s="2" t="inlineStr">
        <is>
          <t>Flumazenil 0.2 mg IV stat</t>
        </is>
      </c>
      <c r="F1100" s="2" t="inlineStr">
        <is>
          <t>Vitamin K1 (Phytomenadione) 10 mg IV slow</t>
        </is>
      </c>
      <c r="G1100" s="2" t="inlineStr">
        <is>
          <t>Sodium thiosulfate 25% 50 mL IV</t>
        </is>
      </c>
      <c r="H1100" s="2" t="inlineStr">
        <is>
          <t>Calcium disodium EDTA 1 g IV</t>
        </is>
      </c>
      <c r="I1100" s="8" t="inlineStr">
        <is>
          <t>1</t>
        </is>
      </c>
      <c r="J11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00" s="2" t="n"/>
      <c r="L1100" s="2" t="inlineStr">
        <is>
          <t>General Therapeutics</t>
        </is>
      </c>
      <c r="M1100" s="2" t="inlineStr">
        <is>
          <t>Clinic</t>
        </is>
      </c>
      <c r="N1100" s="2" t="inlineStr">
        <is>
          <t>ข้อ 2 (PLE_CC1_2533.md)</t>
        </is>
      </c>
      <c r="O1100" s="2" t="inlineStr">
        <is>
          <t>ข้อสอบจริง</t>
        </is>
      </c>
      <c r="P1100" s="2" t="inlineStr">
        <is>
          <t>ปี 2533</t>
        </is>
      </c>
    </row>
    <row r="1101" ht="13.2" customHeight="1" s="37">
      <c r="A1101" s="8" t="inlineStr">
        <is>
          <t>1122</t>
        </is>
      </c>
      <c r="B1101" s="2" t="inlineStr">
        <is>
          <t>น้ำหนักไม่สม่ำเสมอ »» ผสมสารช่วยไหลให้เพียงพอและเหมาะสม</t>
        </is>
      </c>
      <c r="C1101" s="2" t="n"/>
      <c r="D1101" s="2" t="inlineStr">
        <is>
          <t>Sodium thiosulfate 25% 50 mL IV</t>
        </is>
      </c>
      <c r="E1101" s="2" t="inlineStr">
        <is>
          <t>Calcium disodium EDTA 1 g IV</t>
        </is>
      </c>
      <c r="F1101" s="2" t="inlineStr">
        <is>
          <t>Desferrioxamine 1 g IM/IV</t>
        </is>
      </c>
      <c r="G1101" s="2" t="inlineStr">
        <is>
          <t>Dimercaprol (BAL) 3 mg/kg IM</t>
        </is>
      </c>
      <c r="H1101" s="2" t="inlineStr">
        <is>
          <t>Ethanol 10% IV infusion for Methanol poisoning</t>
        </is>
      </c>
      <c r="I1101" s="8" t="inlineStr">
        <is>
          <t>1</t>
        </is>
      </c>
      <c r="J11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1" s="2" t="n"/>
      <c r="L1101" s="2" t="inlineStr">
        <is>
          <t>General Therapeutics</t>
        </is>
      </c>
      <c r="M1101" s="2" t="inlineStr">
        <is>
          <t>Clinic</t>
        </is>
      </c>
      <c r="N1101" s="2" t="inlineStr">
        <is>
          <t>ข้อ 4 (PLE_CC1_2533.md)</t>
        </is>
      </c>
      <c r="O1101" s="2" t="inlineStr">
        <is>
          <t>ข้อสอบจริง</t>
        </is>
      </c>
      <c r="P1101" s="2" t="inlineStr">
        <is>
          <t>ปี 2533</t>
        </is>
      </c>
    </row>
    <row r="1102" ht="13.2" customHeight="1" s="37">
      <c r="A1102" s="8" t="inlineStr">
        <is>
          <t>1123</t>
        </is>
      </c>
      <c r="B1102" s="2" t="inlineStr">
        <is>
          <t>Arrhinius equation</t>
        </is>
      </c>
      <c r="C1102" s="2" t="n"/>
      <c r="D1102" s="2" t="inlineStr">
        <is>
          <t>Dimercaprol (BAL) 3 mg/kg IM</t>
        </is>
      </c>
      <c r="E1102" s="2" t="inlineStr">
        <is>
          <t>Ethanol 10% IV infusion for Methanol poisoning</t>
        </is>
      </c>
      <c r="F1102" s="2" t="inlineStr">
        <is>
          <t>Fomepizole 15 mg/kg IV loading</t>
        </is>
      </c>
      <c r="G1102" s="2" t="inlineStr">
        <is>
          <t>N-acetylcysteine (NAC) IV infusion protocol</t>
        </is>
      </c>
      <c r="H1102" s="2" t="inlineStr">
        <is>
          <t>Atropine sulfate 2 mg IV Q5-10 min</t>
        </is>
      </c>
      <c r="I1102" s="8" t="inlineStr">
        <is>
          <t>1</t>
        </is>
      </c>
      <c r="J11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2" s="2" t="n"/>
      <c r="L1102" s="2" t="inlineStr">
        <is>
          <t>General Therapeutics</t>
        </is>
      </c>
      <c r="M1102" s="2" t="inlineStr">
        <is>
          <t>Clinic</t>
        </is>
      </c>
      <c r="N1102" s="2" t="inlineStr">
        <is>
          <t>ข้อ 1 (PLE_CC1_2533.md)</t>
        </is>
      </c>
      <c r="O1102" s="2" t="inlineStr">
        <is>
          <t>ข้อสอบจริง</t>
        </is>
      </c>
      <c r="P1102" s="2" t="inlineStr">
        <is>
          <t>ปี 2533</t>
        </is>
      </c>
    </row>
    <row r="1103" ht="13.2" customHeight="1" s="37">
      <c r="A1103" s="8" t="inlineStr">
        <is>
          <t>1124</t>
        </is>
      </c>
      <c r="B1103" s="2" t="inlineStr">
        <is>
          <t>ปริมาณสารที่เกิดจากการสลายตัวจากตัวยาสำคัญ</t>
        </is>
      </c>
      <c r="C1103" s="2" t="n"/>
      <c r="D1103" s="2" t="inlineStr">
        <is>
          <t>N-acetylcysteine (NAC) IV infusion protocol</t>
        </is>
      </c>
      <c r="E1103" s="2" t="inlineStr">
        <is>
          <t>Atropine sulfate 2 mg IV Q5-10 min</t>
        </is>
      </c>
      <c r="F1103" s="2" t="inlineStr">
        <is>
          <t>Pralidoxime (2-PAM) 1-2 g IV over 30 min</t>
        </is>
      </c>
      <c r="G1103" s="2" t="inlineStr">
        <is>
          <t>Naloxone 0.4 mg IV stat</t>
        </is>
      </c>
      <c r="H1103" s="2" t="inlineStr">
        <is>
          <t>Flumazenil 0.2 mg IV stat</t>
        </is>
      </c>
      <c r="I1103" s="8" t="inlineStr">
        <is>
          <t>1</t>
        </is>
      </c>
      <c r="J11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03" s="2" t="n"/>
      <c r="L1103" s="2" t="inlineStr">
        <is>
          <t>General Therapeutics</t>
        </is>
      </c>
      <c r="M1103" s="2" t="inlineStr">
        <is>
          <t>Clinic</t>
        </is>
      </c>
      <c r="N1103" s="2" t="inlineStr">
        <is>
          <t>ข้อ 2 (PLE_CC1_2533.md)</t>
        </is>
      </c>
      <c r="O1103" s="2" t="inlineStr">
        <is>
          <t>ข้อสอบจริง</t>
        </is>
      </c>
      <c r="P1103" s="2" t="inlineStr">
        <is>
          <t>ปี 2533</t>
        </is>
      </c>
    </row>
    <row r="1104" ht="13.2" customHeight="1" s="37">
      <c r="A1104" s="8" t="inlineStr">
        <is>
          <t>1125</t>
        </is>
      </c>
      <c r="B1104" s="2" t="inlineStr">
        <is>
          <t>ค่าคงที่อัตราการเกิดปฏิกิริยา</t>
        </is>
      </c>
      <c r="C1104" s="2" t="n"/>
      <c r="D1104" s="2" t="inlineStr">
        <is>
          <t>Naloxone 0.4 mg IV stat</t>
        </is>
      </c>
      <c r="E1104" s="2" t="inlineStr">
        <is>
          <t>Flumazenil 0.2 mg IV stat</t>
        </is>
      </c>
      <c r="F1104" s="2" t="inlineStr">
        <is>
          <t>Vitamin K1 (Phytomenadione) 10 mg IV slow</t>
        </is>
      </c>
      <c r="G1104" s="2" t="inlineStr">
        <is>
          <t>Sodium thiosulfate 25% 50 mL IV</t>
        </is>
      </c>
      <c r="H1104" s="2" t="inlineStr">
        <is>
          <t>Calcium disodium EDTA 1 g IV</t>
        </is>
      </c>
      <c r="I1104" s="8" t="inlineStr">
        <is>
          <t>1</t>
        </is>
      </c>
      <c r="J11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04" s="2" t="n"/>
      <c r="L1104" s="2" t="inlineStr">
        <is>
          <t>General Therapeutics</t>
        </is>
      </c>
      <c r="M1104" s="2" t="inlineStr">
        <is>
          <t>Clinic</t>
        </is>
      </c>
      <c r="N1104" s="2" t="inlineStr">
        <is>
          <t>ข้อ 4 (PLE_CC1_2533.md)</t>
        </is>
      </c>
      <c r="O1104" s="2" t="inlineStr">
        <is>
          <t>ข้อสอบจริง</t>
        </is>
      </c>
      <c r="P1104" s="2" t="inlineStr">
        <is>
          <t>ปี 2533</t>
        </is>
      </c>
    </row>
    <row r="1105" ht="13.2" customHeight="1" s="37">
      <c r="A1105" s="8" t="inlineStr">
        <is>
          <t>1126</t>
        </is>
      </c>
      <c r="B1105" s="2" t="inlineStr">
        <is>
          <t>อันดับปฏิกิริยา Ans 2. ปริมาณสารที่เกิดจากการสลายตัวจากตัวยาสำคัญ จากสมการของ Arrhenius หาก plot กราฟระหว่าง lnK (หรือ logK แต่ข้างขวาของสมการก็จะเป็น logA ด้วย) กับ 1/T ซึ่งสามารถนำไปคำนวณ เพื่อหาอายุของผลิตภัณฑ์ได้อย่างคร่าว ๆ (แต่จำไม่ได้ว่าหายังงัย เพราะซับซ้อนพอสมควร) ดังนั้นตัวเลือก (1) จึงถูกต้อง ปริมาณสารสำคัญจำเป็นต้องทราบ หากจะกำหนดวันหมดอายุของผลิตภัณฑ์ เนื่องจากการกำหนดอายุของผลิตภัณฑ์ จะต้องทราบความเข้มข้นของสารที่เปลี่ยนแปลงไป จึงต้องทราบปริมาณสารสำคัญตั้งแต่เริ่มต้นจนกระทั่งมีการลดลงของ สารสำคัญด้วย ค่าคงที่ปฏิกิริยา ( k) จำเป็นต้องทราบเนื่องจากเป็นตัวแปรหนึ่งที่บ่งบอกถึงอัตราการสลายตัวของสารสำคัญ และเป็นตัว แปรที่ประกอบอยู่ในสมการที่ศึกษาความคงตัวของยาต่าง ๆ เช่น สมการของปฏิกิริยาอันกับศูนย์, สมการของปฏิกิริยาอันดับ 1 และสมการของ Arrhenius อันดับของปฏิกิริยาจำเป็นต้องทราบ เพราะปฏิกิริยาในอันดับต่าง ๆ นั้นมีลักษณะของการสลายตัวของสารสำคัญที่มี ความแตกต่างกันออกไป ดังสมการที่แสดงด้านล่าง Zero-order reactions    kt A At   0 First-order reaction     kt A At   0 ln ln Second-order reaction 1 1     kt A At   จึงต้องทราบว่าการสลายตัวของสารนั้นเป็นปฏิกิริยาอันดับที่เท่าใด/แบบใด เพื่อที่จะสามารถนำไปคำนวณความเข้มข้น ของสารที่เหลืออยู่อย่างคร่าว ๆ ได้ต่อไป ส่วนปริมาณสารที่เกิดจากการสลายจากสารสำคัญ ไม่น่าที่จะมาใช้ในการคำนวณวันหมดอายุ เพราะจากสมการ ข้างต้นที่เกี่ยวข้องกับความคงตัว/จลนศาสตร์ของปฏิกิริยาไม่ได้มีการนำความเข้มข้น/ปริมาณสารที่สลายตัวจากสารสำคัญมาใช้ ในการคำนวณ เนื่องจากปริมาณสารที่สลายจากสารสำคัญที่เกิดขึ้นอาจไม่ได้สัมพันธ์กับการลดลงของสารสำคัญ และสารที่ สลายตัวจากสารสำคัญอาจไม่ได้มีสารเดียว จึงอาจจะทำให้ไม่สามารถทราบได้แน่นอนว่าสารที่ได้จากการสลายตัวนั้นมีกี่ตัว และปริมาณที่ทราบจะเป็นปริมาณของสารที่สลายตัวทุกตัวแล้วหรือไม่ ดังนั้นการคำนวณจากปริมาณสารสำคัญโดยตรงน่าจะ เหมาะสม และแม่นยำกว่า</t>
        </is>
      </c>
      <c r="C1105" s="2" t="n"/>
      <c r="D1105" s="2" t="inlineStr">
        <is>
          <t>Differential Scanning Calorimetry (DSC) Polymorphism</t>
        </is>
      </c>
      <c r="E1105" s="2" t="inlineStr">
        <is>
          <t>Moisture Sorption Isotherm analysis</t>
        </is>
      </c>
      <c r="F1105" s="2" t="inlineStr">
        <is>
          <t>Good Manufacturing Practice (GMP PIC/S)</t>
        </is>
      </c>
      <c r="G1105" s="2" t="inlineStr">
        <is>
          <t>Standard Operating Procedure (SOP) Validation</t>
        </is>
      </c>
      <c r="H1105" s="2" t="inlineStr">
        <is>
          <t>High-Density Polyethylene (HDPE) Container</t>
        </is>
      </c>
      <c r="I1105" s="8" t="inlineStr">
        <is>
          <t>1</t>
        </is>
      </c>
      <c r="J1105" s="2" t="inlineStr">
        <is>
          <t>✅ คำตอบที่ถูกต้อง: ข้อ ก. Differential Scanning Calorimetry (DSC) Polymorphism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Differential Scanning Calorimetry (DSC) Polymorphism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ค.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ข้อ ง.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จ.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5" s="2" t="n"/>
      <c r="L1105" s="2" t="inlineStr">
        <is>
          <t>Preformulation &amp; Stability</t>
        </is>
      </c>
      <c r="M1105" s="2" t="inlineStr">
        <is>
          <t>Product</t>
        </is>
      </c>
      <c r="N1105" s="2" t="inlineStr">
        <is>
          <t>ข้อ 5 (PLE_CC1_2533.md)</t>
        </is>
      </c>
      <c r="O1105" s="2" t="inlineStr">
        <is>
          <t>ข้อสอบจริง</t>
        </is>
      </c>
      <c r="P1105" s="2" t="inlineStr">
        <is>
          <t>ปี 2533</t>
        </is>
      </c>
    </row>
    <row r="1106" ht="13.2" customHeight="1" s="37">
      <c r="A1106" s="8" t="inlineStr">
        <is>
          <t>1127</t>
        </is>
      </c>
      <c r="B1106" s="2" t="inlineStr">
        <is>
          <t>ชนิดของ detector</t>
        </is>
      </c>
      <c r="C1106" s="2" t="n"/>
      <c r="D1106" s="2" t="inlineStr">
        <is>
          <t>Dimercaprol (BAL) 3 mg/kg IM</t>
        </is>
      </c>
      <c r="E1106" s="2" t="inlineStr">
        <is>
          <t>Ethanol 10% IV infusion for Methanol poisoning</t>
        </is>
      </c>
      <c r="F1106" s="2" t="inlineStr">
        <is>
          <t>Fomepizole 15 mg/kg IV loading</t>
        </is>
      </c>
      <c r="G1106" s="2" t="inlineStr">
        <is>
          <t>N-acetylcysteine (NAC) IV infusion protocol</t>
        </is>
      </c>
      <c r="H1106" s="2" t="inlineStr">
        <is>
          <t>Atropine sulfate 2 mg IV Q5-10 min</t>
        </is>
      </c>
      <c r="I1106" s="8" t="inlineStr">
        <is>
          <t>1</t>
        </is>
      </c>
      <c r="J11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6" s="2" t="n"/>
      <c r="L1106" s="2" t="inlineStr">
        <is>
          <t>General Therapeutics</t>
        </is>
      </c>
      <c r="M1106" s="2" t="inlineStr">
        <is>
          <t>Clinic</t>
        </is>
      </c>
      <c r="N1106" s="2" t="inlineStr">
        <is>
          <t>ข้อ 3 (PLE_CC1_2533.md)</t>
        </is>
      </c>
      <c r="O1106" s="2" t="inlineStr">
        <is>
          <t>ข้อสอบจริง</t>
        </is>
      </c>
      <c r="P1106" s="2" t="inlineStr">
        <is>
          <t>ปี 2533</t>
        </is>
      </c>
    </row>
    <row r="1107" ht="13.2" customHeight="1" s="37">
      <c r="A1107" s="8" t="inlineStr">
        <is>
          <t>1128</t>
        </is>
      </c>
      <c r="B1107" s="2" t="inlineStr">
        <is>
          <t>ชนิด detector  ถ้าเส้นชัยสนามแรกคือธงแดง อีกสนามเปลี่ยนจากธงแดงมาเป็นหลักกิโลฯ (ทั้งนี้อนุมานว่านักกีฬา วิ่งด้วยความเร็วเท่ากัน สนามเหมือนกัน สภาพอากาศเหมือนกัน) นักกีฬาจะใช้เวลาวิ่งในสองสนามนี้เท่ากันมั้ย?  เสมือนกับการเปลี่ยนชนิด detector จะไม่ส่งผลต่อระยะเวลาที่ออกมาของสาร เนื่องจากสารได้ถูกชะออกมาเรียบร้อย แล้ว คือ Rt ไม่เปลี่ยนแปลง</t>
        </is>
      </c>
      <c r="C1107" s="2" t="n"/>
      <c r="D1107" s="2" t="inlineStr">
        <is>
          <t>N-acetylcysteine (NAC) IV infusion protocol</t>
        </is>
      </c>
      <c r="E1107" s="2" t="inlineStr">
        <is>
          <t>Atropine sulfate 2 mg IV Q5-10 min</t>
        </is>
      </c>
      <c r="F1107" s="2" t="inlineStr">
        <is>
          <t>Pralidoxime (2-PAM) 1-2 g IV over 30 min</t>
        </is>
      </c>
      <c r="G1107" s="2" t="inlineStr">
        <is>
          <t>Naloxone 0.4 mg IV stat</t>
        </is>
      </c>
      <c r="H1107" s="2" t="inlineStr">
        <is>
          <t>Flumazenil 0.2 mg IV stat</t>
        </is>
      </c>
      <c r="I1107" s="8" t="inlineStr">
        <is>
          <t>1</t>
        </is>
      </c>
      <c r="J11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07" s="2" t="n"/>
      <c r="L1107" s="2" t="inlineStr">
        <is>
          <t>General Therapeutics</t>
        </is>
      </c>
      <c r="M1107" s="2" t="inlineStr">
        <is>
          <t>Clinic</t>
        </is>
      </c>
      <c r="N1107" s="2" t="inlineStr">
        <is>
          <t>ข้อ 3 (PLE_CC1_2533.md)</t>
        </is>
      </c>
      <c r="O1107" s="2" t="inlineStr">
        <is>
          <t>ข้อสอบจริง</t>
        </is>
      </c>
      <c r="P1107" s="2" t="inlineStr">
        <is>
          <t>ปี 2533</t>
        </is>
      </c>
    </row>
    <row r="1108" ht="13.2" customHeight="1" s="37">
      <c r="A1108" s="8" t="inlineStr">
        <is>
          <t>1129</t>
        </is>
      </c>
      <c r="B1108" s="2" t="inlineStr">
        <is>
          <t>ในแต่ละวันชายคนนี้จะได้รับยาทั้ง 2 ตัว อย่างละเท่าใด</t>
        </is>
      </c>
      <c r="C1108" s="2" t="n"/>
      <c r="D1108" s="2" t="inlineStr">
        <is>
          <t>Naloxone 0.4 mg IV stat</t>
        </is>
      </c>
      <c r="E1108" s="2" t="inlineStr">
        <is>
          <t>Flumazenil 0.2 mg IV stat</t>
        </is>
      </c>
      <c r="F1108" s="2" t="inlineStr">
        <is>
          <t>Vitamin K1 (Phytomenadione) 10 mg IV slow</t>
        </is>
      </c>
      <c r="G1108" s="2" t="inlineStr">
        <is>
          <t>Sodium thiosulfate 25% 50 mL IV</t>
        </is>
      </c>
      <c r="H1108" s="2" t="inlineStr">
        <is>
          <t>Calcium disodium EDTA 1 g IV</t>
        </is>
      </c>
      <c r="I1108" s="8" t="inlineStr">
        <is>
          <t>1</t>
        </is>
      </c>
      <c r="J11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08" s="2" t="n"/>
      <c r="L1108" s="2" t="inlineStr">
        <is>
          <t>General Therapeutics</t>
        </is>
      </c>
      <c r="M1108" s="2" t="inlineStr">
        <is>
          <t>Clinic</t>
        </is>
      </c>
      <c r="N1108" s="2" t="inlineStr">
        <is>
          <t>ข้อ 1 (PLE_CC1_2533.md)</t>
        </is>
      </c>
      <c r="O1108" s="2" t="inlineStr">
        <is>
          <t>ข้อสอบจริง</t>
        </is>
      </c>
      <c r="P1108" s="2" t="inlineStr">
        <is>
          <t>ปี 2533</t>
        </is>
      </c>
    </row>
    <row r="1109" ht="13.2" customHeight="1" s="37">
      <c r="A1109" s="8" t="inlineStr">
        <is>
          <t>1130</t>
        </is>
      </c>
      <c r="B1109" s="2" t="inlineStr">
        <is>
          <t>แทนที่ลำดับเบสบน DNA หรือ RNA</t>
        </is>
      </c>
      <c r="C1109" s="2" t="n"/>
      <c r="D1109" s="2" t="inlineStr">
        <is>
          <t>Sodium thiosulfate 25% 50 mL IV</t>
        </is>
      </c>
      <c r="E1109" s="2" t="inlineStr">
        <is>
          <t>Calcium disodium EDTA 1 g IV</t>
        </is>
      </c>
      <c r="F1109" s="2" t="inlineStr">
        <is>
          <t>Desferrioxamine 1 g IM/IV</t>
        </is>
      </c>
      <c r="G1109" s="2" t="inlineStr">
        <is>
          <t>Dimercaprol (BAL) 3 mg/kg IM</t>
        </is>
      </c>
      <c r="H1109" s="2" t="inlineStr">
        <is>
          <t>Ethanol 10% IV infusion for Methanol poisoning</t>
        </is>
      </c>
      <c r="I1109" s="8" t="inlineStr">
        <is>
          <t>1</t>
        </is>
      </c>
      <c r="J11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9" s="2" t="n"/>
      <c r="L1109" s="2" t="inlineStr">
        <is>
          <t>General Therapeutics</t>
        </is>
      </c>
      <c r="M1109" s="2" t="inlineStr">
        <is>
          <t>Clinic</t>
        </is>
      </c>
      <c r="N1109" s="2" t="inlineStr">
        <is>
          <t>ข้อ 3 (PLE_CC1_2533.md)</t>
        </is>
      </c>
      <c r="O1109" s="2" t="inlineStr">
        <is>
          <t>ข้อสอบจริง</t>
        </is>
      </c>
      <c r="P1109" s="2" t="inlineStr">
        <is>
          <t>ปี 2533</t>
        </is>
      </c>
    </row>
    <row r="1110" ht="13.2" customHeight="1" s="37">
      <c r="A1110" s="8" t="inlineStr">
        <is>
          <t>1131</t>
        </is>
      </c>
      <c r="B1110" s="2" t="inlineStr">
        <is>
          <t>เป็นอนุมูลอิสระรบกวน DNA</t>
        </is>
      </c>
      <c r="C1110" s="2" t="n"/>
      <c r="D1110" s="2" t="inlineStr">
        <is>
          <t>Dimercaprol (BAL) 3 mg/kg IM</t>
        </is>
      </c>
      <c r="E1110" s="2" t="inlineStr">
        <is>
          <t>Ethanol 10% IV infusion for Methanol poisoning</t>
        </is>
      </c>
      <c r="F1110" s="2" t="inlineStr">
        <is>
          <t>Fomepizole 15 mg/kg IV loading</t>
        </is>
      </c>
      <c r="G1110" s="2" t="inlineStr">
        <is>
          <t>N-acetylcysteine (NAC) IV infusion protocol</t>
        </is>
      </c>
      <c r="H1110" s="2" t="inlineStr">
        <is>
          <t>Atropine sulfate 2 mg IV Q5-10 min</t>
        </is>
      </c>
      <c r="I1110" s="8" t="inlineStr">
        <is>
          <t>1</t>
        </is>
      </c>
      <c r="J11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0" s="2" t="n"/>
      <c r="L1110" s="2" t="inlineStr">
        <is>
          <t>General Therapeutics</t>
        </is>
      </c>
      <c r="M1110" s="2" t="inlineStr">
        <is>
          <t>Clinic</t>
        </is>
      </c>
      <c r="N1110" s="2" t="inlineStr">
        <is>
          <t>ข้อ 5 (PLE_CC1_2533.md)</t>
        </is>
      </c>
      <c r="O1110" s="2" t="inlineStr">
        <is>
          <t>ข้อสอบจริง</t>
        </is>
      </c>
      <c r="P1110" s="2" t="inlineStr">
        <is>
          <t>ปี 2533</t>
        </is>
      </c>
    </row>
    <row r="1111" ht="13.2" customHeight="1" s="37">
      <c r="A1111" s="8" t="inlineStr">
        <is>
          <t>1132</t>
        </is>
      </c>
      <c r="B1111" s="2" t="inlineStr">
        <is>
          <t>ยับยั้ง RNA หรือ DNA</t>
        </is>
      </c>
      <c r="C1111" s="2" t="n"/>
      <c r="D1111" s="2" t="inlineStr">
        <is>
          <t>N-acetylcysteine (NAC) IV infusion protocol</t>
        </is>
      </c>
      <c r="E1111" s="2" t="inlineStr">
        <is>
          <t>Atropine sulfate 2 mg IV Q5-10 min</t>
        </is>
      </c>
      <c r="F1111" s="2" t="inlineStr">
        <is>
          <t>Pralidoxime (2-PAM) 1-2 g IV over 30 min</t>
        </is>
      </c>
      <c r="G1111" s="2" t="inlineStr">
        <is>
          <t>Naloxone 0.4 mg IV stat</t>
        </is>
      </c>
      <c r="H1111" s="2" t="inlineStr">
        <is>
          <t>Flumazenil 0.2 mg IV stat</t>
        </is>
      </c>
      <c r="I1111" s="8" t="inlineStr">
        <is>
          <t>1</t>
        </is>
      </c>
      <c r="J11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11" s="2" t="n"/>
      <c r="L1111" s="2" t="inlineStr">
        <is>
          <t>General Therapeutics</t>
        </is>
      </c>
      <c r="M1111" s="2" t="inlineStr">
        <is>
          <t>Clinic</t>
        </is>
      </c>
      <c r="N1111" s="2" t="inlineStr">
        <is>
          <t>ข้อ 1 (PLE_CC1_2533.md)</t>
        </is>
      </c>
      <c r="O1111" s="2" t="inlineStr">
        <is>
          <t>ข้อสอบจริง</t>
        </is>
      </c>
      <c r="P1111" s="2" t="inlineStr">
        <is>
          <t>ปี 2533</t>
        </is>
      </c>
    </row>
    <row r="1112" ht="13.2" customHeight="1" s="37">
      <c r="A1112" s="8" t="inlineStr">
        <is>
          <t>1133</t>
        </is>
      </c>
      <c r="B1112" s="2" t="inlineStr">
        <is>
          <t>.................................................</t>
        </is>
      </c>
      <c r="C1112" s="2" t="n"/>
      <c r="D1112" s="2" t="inlineStr">
        <is>
          <t>Naloxone 0.4 mg IV stat</t>
        </is>
      </c>
      <c r="E1112" s="2" t="inlineStr">
        <is>
          <t>Flumazenil 0.2 mg IV stat</t>
        </is>
      </c>
      <c r="F1112" s="2" t="inlineStr">
        <is>
          <t>Vitamin K1 (Phytomenadione) 10 mg IV slow</t>
        </is>
      </c>
      <c r="G1112" s="2" t="inlineStr">
        <is>
          <t>Sodium thiosulfate 25% 50 mL IV</t>
        </is>
      </c>
      <c r="H1112" s="2" t="inlineStr">
        <is>
          <t>Calcium disodium EDTA 1 g IV</t>
        </is>
      </c>
      <c r="I1112" s="8" t="inlineStr">
        <is>
          <t>1</t>
        </is>
      </c>
      <c r="J11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12" s="2" t="n"/>
      <c r="L1112" s="2" t="inlineStr">
        <is>
          <t>General Therapeutics</t>
        </is>
      </c>
      <c r="M1112" s="2" t="inlineStr">
        <is>
          <t>Clinic</t>
        </is>
      </c>
      <c r="N1112" s="2" t="inlineStr">
        <is>
          <t>ข้อ 4 (PLE_CC1_2533.md)</t>
        </is>
      </c>
      <c r="O1112" s="2" t="inlineStr">
        <is>
          <t>ข้อสอบจริง</t>
        </is>
      </c>
      <c r="P1112" s="2" t="inlineStr">
        <is>
          <t>ปี 2533</t>
        </is>
      </c>
    </row>
    <row r="1113" ht="13.2" customHeight="1" s="37">
      <c r="A1113" s="8" t="inlineStr">
        <is>
          <t>1134</t>
        </is>
      </c>
      <c r="B1113" s="2" t="inlineStr">
        <is>
          <t>Acyclonucleoside analog</t>
        </is>
      </c>
      <c r="C1113" s="2" t="n"/>
      <c r="D1113" s="2" t="inlineStr">
        <is>
          <t>Sodium thiosulfate 25% 50 mL IV</t>
        </is>
      </c>
      <c r="E1113" s="2" t="inlineStr">
        <is>
          <t>Calcium disodium EDTA 1 g IV</t>
        </is>
      </c>
      <c r="F1113" s="2" t="inlineStr">
        <is>
          <t>Desferrioxamine 1 g IM/IV</t>
        </is>
      </c>
      <c r="G1113" s="2" t="inlineStr">
        <is>
          <t>Dimercaprol (BAL) 3 mg/kg IM</t>
        </is>
      </c>
      <c r="H1113" s="2" t="inlineStr">
        <is>
          <t>Ethanol 10% IV infusion for Methanol poisoning</t>
        </is>
      </c>
      <c r="I1113" s="8" t="inlineStr">
        <is>
          <t>1</t>
        </is>
      </c>
      <c r="J11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3" s="2" t="n"/>
      <c r="L1113" s="2" t="inlineStr">
        <is>
          <t>General Therapeutics</t>
        </is>
      </c>
      <c r="M1113" s="2" t="inlineStr">
        <is>
          <t>Clinic</t>
        </is>
      </c>
      <c r="N1113" s="2" t="inlineStr">
        <is>
          <t>ข้อ 1 (PLE_CC1_2533.md)</t>
        </is>
      </c>
      <c r="O1113" s="2" t="inlineStr">
        <is>
          <t>ข้อสอบจริง</t>
        </is>
      </c>
      <c r="P1113" s="2" t="inlineStr">
        <is>
          <t>ปี 2533</t>
        </is>
      </c>
    </row>
    <row r="1114" ht="13.2" customHeight="1" s="37">
      <c r="A1114" s="8" t="inlineStr">
        <is>
          <t>1135</t>
        </is>
      </c>
      <c r="B1114" s="2" t="inlineStr">
        <is>
          <t>Purine nucleotide analog</t>
        </is>
      </c>
      <c r="C1114" s="2" t="n"/>
      <c r="D1114" s="2" t="inlineStr">
        <is>
          <t>Dimercaprol (BAL) 3 mg/kg IM</t>
        </is>
      </c>
      <c r="E1114" s="2" t="inlineStr">
        <is>
          <t>Ethanol 10% IV infusion for Methanol poisoning</t>
        </is>
      </c>
      <c r="F1114" s="2" t="inlineStr">
        <is>
          <t>Fomepizole 15 mg/kg IV loading</t>
        </is>
      </c>
      <c r="G1114" s="2" t="inlineStr">
        <is>
          <t>N-acetylcysteine (NAC) IV infusion protocol</t>
        </is>
      </c>
      <c r="H1114" s="2" t="inlineStr">
        <is>
          <t>Atropine sulfate 2 mg IV Q5-10 min</t>
        </is>
      </c>
      <c r="I1114" s="8" t="inlineStr">
        <is>
          <t>1</t>
        </is>
      </c>
      <c r="J11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4" s="2" t="n"/>
      <c r="L1114" s="2" t="inlineStr">
        <is>
          <t>General Therapeutics</t>
        </is>
      </c>
      <c r="M1114" s="2" t="inlineStr">
        <is>
          <t>Clinic</t>
        </is>
      </c>
      <c r="N1114" s="2" t="inlineStr">
        <is>
          <t>ข้อ 4 (PLE_CC1_2533.md)</t>
        </is>
      </c>
      <c r="O1114" s="2" t="inlineStr">
        <is>
          <t>ข้อสอบจริง</t>
        </is>
      </c>
      <c r="P1114" s="2" t="inlineStr">
        <is>
          <t>ปี 2533</t>
        </is>
      </c>
    </row>
    <row r="1115" ht="13.2" customHeight="1" s="37">
      <c r="A1115" s="8" t="inlineStr">
        <is>
          <t>1136</t>
        </is>
      </c>
      <c r="B1115" s="2" t="inlineStr">
        <is>
          <t>Purine nucleoside analog</t>
        </is>
      </c>
      <c r="C1115" s="2" t="n"/>
      <c r="D1115" s="2" t="inlineStr">
        <is>
          <t>N-acetylcysteine (NAC) IV infusion protocol</t>
        </is>
      </c>
      <c r="E1115" s="2" t="inlineStr">
        <is>
          <t>Atropine sulfate 2 mg IV Q5-10 min</t>
        </is>
      </c>
      <c r="F1115" s="2" t="inlineStr">
        <is>
          <t>Pralidoxime (2-PAM) 1-2 g IV over 30 min</t>
        </is>
      </c>
      <c r="G1115" s="2" t="inlineStr">
        <is>
          <t>Naloxone 0.4 mg IV stat</t>
        </is>
      </c>
      <c r="H1115" s="2" t="inlineStr">
        <is>
          <t>Flumazenil 0.2 mg IV stat</t>
        </is>
      </c>
      <c r="I1115" s="8" t="inlineStr">
        <is>
          <t>1</t>
        </is>
      </c>
      <c r="J11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15" s="2" t="n"/>
      <c r="L1115" s="2" t="inlineStr">
        <is>
          <t>General Therapeutics</t>
        </is>
      </c>
      <c r="M1115" s="2" t="inlineStr">
        <is>
          <t>Clinic</t>
        </is>
      </c>
      <c r="N1115" s="2" t="inlineStr">
        <is>
          <t>ข้อ 5 (PLE_CC1_2533.md)</t>
        </is>
      </c>
      <c r="O1115" s="2" t="inlineStr">
        <is>
          <t>ข้อสอบจริง</t>
        </is>
      </c>
      <c r="P1115" s="2" t="inlineStr">
        <is>
          <t>ปี 2533</t>
        </is>
      </c>
    </row>
    <row r="1116" ht="13.2" customHeight="1" s="37">
      <c r="A1116" s="8" t="inlineStr">
        <is>
          <t>1137</t>
        </is>
      </c>
      <c r="B1116" s="2" t="inlineStr">
        <is>
          <t>จากโครงสร้างของยา ตัวที่ออกฤทธิ์คือ F HO 1 deoxygemcitabine</t>
        </is>
      </c>
      <c r="C1116" s="2" t="n"/>
      <c r="D1116" s="2" t="inlineStr">
        <is>
          <t>Naloxone 0.4 mg IV stat</t>
        </is>
      </c>
      <c r="E1116" s="2" t="inlineStr">
        <is>
          <t>Flumazenil 0.2 mg IV stat</t>
        </is>
      </c>
      <c r="F1116" s="2" t="inlineStr">
        <is>
          <t>Vitamin K1 (Phytomenadione) 10 mg IV slow</t>
        </is>
      </c>
      <c r="G1116" s="2" t="inlineStr">
        <is>
          <t>Sodium thiosulfate 25% 50 mL IV</t>
        </is>
      </c>
      <c r="H1116" s="2" t="inlineStr">
        <is>
          <t>Calcium disodium EDTA 1 g IV</t>
        </is>
      </c>
      <c r="I1116" s="8" t="inlineStr">
        <is>
          <t>1</t>
        </is>
      </c>
      <c r="J11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16" s="2" t="n"/>
      <c r="L1116" s="2" t="inlineStr">
        <is>
          <t>General Therapeutics</t>
        </is>
      </c>
      <c r="M1116" s="2" t="inlineStr">
        <is>
          <t>Clinic</t>
        </is>
      </c>
      <c r="N1116" s="2" t="inlineStr">
        <is>
          <t>ข้อ 6 (PLE_CC1_2533.md)</t>
        </is>
      </c>
      <c r="O1116" s="2" t="inlineStr">
        <is>
          <t>ข้อสอบจริง</t>
        </is>
      </c>
      <c r="P1116" s="2" t="inlineStr">
        <is>
          <t>ปี 2533</t>
        </is>
      </c>
    </row>
    <row r="1117" ht="13.2" customHeight="1" s="37">
      <c r="A1117" s="8" t="inlineStr">
        <is>
          <t>1138</t>
        </is>
      </c>
      <c r="B1117" s="2" t="inlineStr">
        <is>
          <t>ตู้ปลอดเชื้อ class 100 ในห้องสะอาด class 1000</t>
        </is>
      </c>
      <c r="C1117" s="2" t="n"/>
      <c r="D1117" s="2" t="inlineStr">
        <is>
          <t>Sodium thiosulfate 25% 50 mL IV</t>
        </is>
      </c>
      <c r="E1117" s="2" t="inlineStr">
        <is>
          <t>Calcium disodium EDTA 1 g IV</t>
        </is>
      </c>
      <c r="F1117" s="2" t="inlineStr">
        <is>
          <t>Desferrioxamine 1 g IM/IV</t>
        </is>
      </c>
      <c r="G1117" s="2" t="inlineStr">
        <is>
          <t>Dimercaprol (BAL) 3 mg/kg IM</t>
        </is>
      </c>
      <c r="H1117" s="2" t="inlineStr">
        <is>
          <t>Ethanol 10% IV infusion for Methanol poisoning</t>
        </is>
      </c>
      <c r="I1117" s="8" t="inlineStr">
        <is>
          <t>1</t>
        </is>
      </c>
      <c r="J11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7" s="2" t="n"/>
      <c r="L1117" s="2" t="inlineStr">
        <is>
          <t>General Therapeutics</t>
        </is>
      </c>
      <c r="M1117" s="2" t="inlineStr">
        <is>
          <t>Clinic</t>
        </is>
      </c>
      <c r="N1117" s="2" t="inlineStr">
        <is>
          <t>ข้อ 1 (PLE_CC1_2533.md)</t>
        </is>
      </c>
      <c r="O1117" s="2" t="inlineStr">
        <is>
          <t>ข้อสอบจริง</t>
        </is>
      </c>
      <c r="P1117" s="2" t="inlineStr">
        <is>
          <t>ปี 2533</t>
        </is>
      </c>
    </row>
    <row r="1118" ht="13.2" customHeight="1" s="37">
      <c r="A1118" s="8" t="inlineStr">
        <is>
          <t>1139</t>
        </is>
      </c>
      <c r="B1118" s="2" t="inlineStr">
        <is>
          <t>ตู้ปลอดเชื้อ class 100 ในห้องสะอาด class 100,000</t>
        </is>
      </c>
      <c r="C1118" s="2" t="n"/>
      <c r="D1118" s="2" t="inlineStr">
        <is>
          <t>Dimercaprol (BAL) 3 mg/kg IM</t>
        </is>
      </c>
      <c r="E1118" s="2" t="inlineStr">
        <is>
          <t>Ethanol 10% IV infusion for Methanol poisoning</t>
        </is>
      </c>
      <c r="F1118" s="2" t="inlineStr">
        <is>
          <t>Fomepizole 15 mg/kg IV loading</t>
        </is>
      </c>
      <c r="G1118" s="2" t="inlineStr">
        <is>
          <t>N-acetylcysteine (NAC) IV infusion protocol</t>
        </is>
      </c>
      <c r="H1118" s="2" t="inlineStr">
        <is>
          <t>Atropine sulfate 2 mg IV Q5-10 min</t>
        </is>
      </c>
      <c r="I1118" s="8" t="inlineStr">
        <is>
          <t>1</t>
        </is>
      </c>
      <c r="J11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8" s="2" t="n"/>
      <c r="L1118" s="2" t="inlineStr">
        <is>
          <t>General Therapeutics</t>
        </is>
      </c>
      <c r="M1118" s="2" t="inlineStr">
        <is>
          <t>Clinic</t>
        </is>
      </c>
      <c r="N1118" s="2" t="inlineStr">
        <is>
          <t>ข้อ 2 (PLE_CC1_2533.md)</t>
        </is>
      </c>
      <c r="O1118" s="2" t="inlineStr">
        <is>
          <t>ข้อสอบจริง</t>
        </is>
      </c>
      <c r="P1118" s="2" t="inlineStr">
        <is>
          <t>ปี 2533</t>
        </is>
      </c>
    </row>
    <row r="1119" ht="13.2" customHeight="1" s="37">
      <c r="A1119" s="8" t="inlineStr">
        <is>
          <t>1140</t>
        </is>
      </c>
      <c r="B1119" s="2" t="inlineStr">
        <is>
          <t>ตู้ปลอดเชื้อที่มีการไหลของอากาศในแนวนอน อยู่ในห้องสะอาด class 100</t>
        </is>
      </c>
      <c r="C1119" s="2" t="n"/>
      <c r="D1119" s="2" t="inlineStr">
        <is>
          <t>N-acetylcysteine (NAC) IV infusion protocol</t>
        </is>
      </c>
      <c r="E1119" s="2" t="inlineStr">
        <is>
          <t>Atropine sulfate 2 mg IV Q5-10 min</t>
        </is>
      </c>
      <c r="F1119" s="2" t="inlineStr">
        <is>
          <t>Pralidoxime (2-PAM) 1-2 g IV over 30 min</t>
        </is>
      </c>
      <c r="G1119" s="2" t="inlineStr">
        <is>
          <t>Naloxone 0.4 mg IV stat</t>
        </is>
      </c>
      <c r="H1119" s="2" t="inlineStr">
        <is>
          <t>Flumazenil 0.2 mg IV stat</t>
        </is>
      </c>
      <c r="I1119" s="8" t="inlineStr">
        <is>
          <t>1</t>
        </is>
      </c>
      <c r="J11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19" s="2" t="n"/>
      <c r="L1119" s="2" t="inlineStr">
        <is>
          <t>General Therapeutics</t>
        </is>
      </c>
      <c r="M1119" s="2" t="inlineStr">
        <is>
          <t>Clinic</t>
        </is>
      </c>
      <c r="N1119" s="2" t="inlineStr">
        <is>
          <t>ข้อ 3 (PLE_CC1_2533.md)</t>
        </is>
      </c>
      <c r="O1119" s="2" t="inlineStr">
        <is>
          <t>ข้อสอบจริง</t>
        </is>
      </c>
      <c r="P1119" s="2" t="inlineStr">
        <is>
          <t>ปี 2533</t>
        </is>
      </c>
    </row>
    <row r="1120" ht="13.2" customHeight="1" s="37">
      <c r="A1120" s="8" t="inlineStr">
        <is>
          <t>1141</t>
        </is>
      </c>
      <c r="B1120" s="2" t="inlineStr">
        <is>
          <t>serum bilirubin</t>
        </is>
      </c>
      <c r="C1120" s="2" t="n"/>
      <c r="D1120" s="2" t="inlineStr">
        <is>
          <t>Naloxone 0.4 mg IV stat</t>
        </is>
      </c>
      <c r="E1120" s="2" t="inlineStr">
        <is>
          <t>Flumazenil 0.2 mg IV stat</t>
        </is>
      </c>
      <c r="F1120" s="2" t="inlineStr">
        <is>
          <t>Vitamin K1 (Phytomenadione) 10 mg IV slow</t>
        </is>
      </c>
      <c r="G1120" s="2" t="inlineStr">
        <is>
          <t>Sodium thiosulfate 25% 50 mL IV</t>
        </is>
      </c>
      <c r="H1120" s="2" t="inlineStr">
        <is>
          <t>Calcium disodium EDTA 1 g IV</t>
        </is>
      </c>
      <c r="I1120" s="8" t="inlineStr">
        <is>
          <t>1</t>
        </is>
      </c>
      <c r="J11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20" s="2" t="n"/>
      <c r="L1120" s="2" t="inlineStr">
        <is>
          <t>General Therapeutics</t>
        </is>
      </c>
      <c r="M1120" s="2" t="inlineStr">
        <is>
          <t>Clinic</t>
        </is>
      </c>
      <c r="N1120" s="2" t="inlineStr">
        <is>
          <t>ข้อ 4 (PLE_CC1_2533.md)</t>
        </is>
      </c>
      <c r="O1120" s="2" t="inlineStr">
        <is>
          <t>ข้อสอบจริง</t>
        </is>
      </c>
      <c r="P1120" s="2" t="inlineStr">
        <is>
          <t>ปี 2533</t>
        </is>
      </c>
    </row>
    <row r="1121" ht="13.2" customHeight="1" s="37">
      <c r="A1121" s="8" t="inlineStr">
        <is>
          <t>1142</t>
        </is>
      </c>
      <c r="B1121" s="2" t="inlineStr">
        <is>
          <t>ไม่ถูกต้องเพราะไม่ได้ส่งมอบโดยผู้ประกอบวิชาชีพ</t>
        </is>
      </c>
      <c r="C1121" s="2" t="n"/>
      <c r="D1121" s="2" t="inlineStr">
        <is>
          <t>Sodium thiosulfate 25% 50 mL IV</t>
        </is>
      </c>
      <c r="E1121" s="2" t="inlineStr">
        <is>
          <t>Calcium disodium EDTA 1 g IV</t>
        </is>
      </c>
      <c r="F1121" s="2" t="inlineStr">
        <is>
          <t>Desferrioxamine 1 g IM/IV</t>
        </is>
      </c>
      <c r="G1121" s="2" t="inlineStr">
        <is>
          <t>Dimercaprol (BAL) 3 mg/kg IM</t>
        </is>
      </c>
      <c r="H1121" s="2" t="inlineStr">
        <is>
          <t>Ethanol 10% IV infusion for Methanol poisoning</t>
        </is>
      </c>
      <c r="I1121" s="8" t="inlineStr">
        <is>
          <t>1</t>
        </is>
      </c>
      <c r="J11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1" s="2" t="n"/>
      <c r="L1121" s="2" t="inlineStr">
        <is>
          <t>General Therapeutics</t>
        </is>
      </c>
      <c r="M1121" s="2" t="inlineStr">
        <is>
          <t>Clinic</t>
        </is>
      </c>
      <c r="N1121" s="2" t="inlineStr">
        <is>
          <t>ข้อ 4 (PLE_CC1_2533.md)</t>
        </is>
      </c>
      <c r="O1121" s="2" t="inlineStr">
        <is>
          <t>ข้อสอบจริง</t>
        </is>
      </c>
      <c r="P1121" s="2" t="inlineStr">
        <is>
          <t>ปี 2533</t>
        </is>
      </c>
    </row>
    <row r="1122" ht="13.2" customHeight="1" s="37">
      <c r="A1122" s="8" t="inlineStr">
        <is>
          <t>1143</t>
        </is>
      </c>
      <c r="B1122" s="2" t="inlineStr">
        <is>
          <t>ไม่ถูกต้องเพราะได้รับการรับรองการใช้จากบุคคลอื่น</t>
        </is>
      </c>
      <c r="C1122" s="2" t="n"/>
      <c r="D1122" s="2" t="inlineStr">
        <is>
          <t>Dimercaprol (BAL) 3 mg/kg IM</t>
        </is>
      </c>
      <c r="E1122" s="2" t="inlineStr">
        <is>
          <t>Ethanol 10% IV infusion for Methanol poisoning</t>
        </is>
      </c>
      <c r="F1122" s="2" t="inlineStr">
        <is>
          <t>Fomepizole 15 mg/kg IV loading</t>
        </is>
      </c>
      <c r="G1122" s="2" t="inlineStr">
        <is>
          <t>N-acetylcysteine (NAC) IV infusion protocol</t>
        </is>
      </c>
      <c r="H1122" s="2" t="inlineStr">
        <is>
          <t>Atropine sulfate 2 mg IV Q5-10 min</t>
        </is>
      </c>
      <c r="I1122" s="8" t="inlineStr">
        <is>
          <t>1</t>
        </is>
      </c>
      <c r="J11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2" s="2" t="n"/>
      <c r="L1122" s="2" t="inlineStr">
        <is>
          <t>General Therapeutics</t>
        </is>
      </c>
      <c r="M1122" s="2" t="inlineStr">
        <is>
          <t>Clinic</t>
        </is>
      </c>
      <c r="N1122" s="2" t="inlineStr">
        <is>
          <t>ข้อ 5 (PLE_CC1_2533.md)</t>
        </is>
      </c>
      <c r="O1122" s="2" t="inlineStr">
        <is>
          <t>ข้อสอบจริง</t>
        </is>
      </c>
      <c r="P1122" s="2" t="inlineStr">
        <is>
          <t>ปี 2533</t>
        </is>
      </c>
    </row>
    <row r="1123" ht="13.2" customHeight="1" s="37">
      <c r="A1123" s="8" t="inlineStr">
        <is>
          <t>1144</t>
        </is>
      </c>
      <c r="B1123" s="2" t="inlineStr">
        <is>
          <t>โรคระบบทางเดินหายใจ 19 33</t>
        </is>
      </c>
      <c r="C1123" s="2" t="n"/>
      <c r="D1123" s="2" t="inlineStr">
        <is>
          <t>N-acetylcysteine (NAC) IV infusion protocol</t>
        </is>
      </c>
      <c r="E1123" s="2" t="inlineStr">
        <is>
          <t>Atropine sulfate 2 mg IV Q5-10 min</t>
        </is>
      </c>
      <c r="F1123" s="2" t="inlineStr">
        <is>
          <t>Pralidoxime (2-PAM) 1-2 g IV over 30 min</t>
        </is>
      </c>
      <c r="G1123" s="2" t="inlineStr">
        <is>
          <t>Naloxone 0.4 mg IV stat</t>
        </is>
      </c>
      <c r="H1123" s="2" t="inlineStr">
        <is>
          <t>Flumazenil 0.2 mg IV stat</t>
        </is>
      </c>
      <c r="I1123" s="8" t="inlineStr">
        <is>
          <t>3</t>
        </is>
      </c>
      <c r="J1123"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123" s="2" t="n"/>
      <c r="L1123" s="2" t="inlineStr">
        <is>
          <t>General Therapeutics</t>
        </is>
      </c>
      <c r="M1123" s="2" t="inlineStr">
        <is>
          <t>Clinic</t>
        </is>
      </c>
      <c r="N1123" s="2" t="inlineStr">
        <is>
          <t>ข้อ 2 (PLE_CC1_Practice_Exam.md)</t>
        </is>
      </c>
      <c r="O1123" s="2" t="inlineStr">
        <is>
          <t>Mock</t>
        </is>
      </c>
      <c r="P1123" s="2" t="inlineStr">
        <is>
          <t>Mock สภาเภสัชฯ Practice</t>
        </is>
      </c>
    </row>
    <row r="1124" ht="13.2" customHeight="1" s="37">
      <c r="A1124" s="8" t="inlineStr">
        <is>
          <t>1145</t>
        </is>
      </c>
      <c r="B1124" s="2" t="inlineStr">
        <is>
          <t>โรคระบบทางเดินอาหาร 42 57</t>
        </is>
      </c>
      <c r="C1124" s="2" t="n"/>
      <c r="D1124" s="2" t="inlineStr">
        <is>
          <t>Naloxone 0.4 mg IV stat</t>
        </is>
      </c>
      <c r="E1124" s="2" t="inlineStr">
        <is>
          <t>Flumazenil 0.2 mg IV stat</t>
        </is>
      </c>
      <c r="F1124" s="2" t="inlineStr">
        <is>
          <t>Vitamin K1 (Phytomenadione) 10 mg IV slow</t>
        </is>
      </c>
      <c r="G1124" s="2" t="inlineStr">
        <is>
          <t>Sodium thiosulfate 25% 50 mL IV</t>
        </is>
      </c>
      <c r="H1124" s="2" t="inlineStr">
        <is>
          <t>Calcium disodium EDTA 1 g IV</t>
        </is>
      </c>
      <c r="I1124" s="8" t="inlineStr">
        <is>
          <t>3</t>
        </is>
      </c>
      <c r="J1124"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4" s="2" t="n"/>
      <c r="L1124" s="2" t="inlineStr">
        <is>
          <t>General Therapeutics</t>
        </is>
      </c>
      <c r="M1124" s="2" t="inlineStr">
        <is>
          <t>Clinic</t>
        </is>
      </c>
      <c r="N1124" s="2" t="inlineStr">
        <is>
          <t>ข้อ 3 (PLE_CC1_Practice_Exam.md)</t>
        </is>
      </c>
      <c r="O1124" s="2" t="inlineStr">
        <is>
          <t>Mock</t>
        </is>
      </c>
      <c r="P1124" s="2" t="inlineStr">
        <is>
          <t>Mock สภาเภสัชฯ Practice</t>
        </is>
      </c>
    </row>
    <row r="1125" ht="13.2" customHeight="1" s="37">
      <c r="A1125" s="8" t="inlineStr">
        <is>
          <t>1146</t>
        </is>
      </c>
      <c r="B1125" s="2" t="inlineStr">
        <is>
          <t>โรคระบบต่อมไร้ท่อ และต่อมมีท่อ 87 100</t>
        </is>
      </c>
      <c r="C1125" s="2" t="n"/>
      <c r="D1125" s="2" t="inlineStr">
        <is>
          <t>Sodium thiosulfate 25% 50 mL IV</t>
        </is>
      </c>
      <c r="E1125" s="2" t="inlineStr">
        <is>
          <t>Calcium disodium EDTA 1 g IV</t>
        </is>
      </c>
      <c r="F1125" s="2" t="inlineStr">
        <is>
          <t>Desferrioxamine 1 g IM/IV</t>
        </is>
      </c>
      <c r="G1125" s="2" t="inlineStr">
        <is>
          <t>Dimercaprol (BAL) 3 mg/kg IM</t>
        </is>
      </c>
      <c r="H1125" s="2" t="inlineStr">
        <is>
          <t>Ethanol 10% IV infusion for Methanol poisoning</t>
        </is>
      </c>
      <c r="I1125" s="8" t="inlineStr">
        <is>
          <t>3</t>
        </is>
      </c>
      <c r="J1125" s="2"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125" s="2" t="n"/>
      <c r="L1125" s="2" t="inlineStr">
        <is>
          <t>General Therapeutics</t>
        </is>
      </c>
      <c r="M1125" s="2" t="inlineStr">
        <is>
          <t>Clinic</t>
        </is>
      </c>
      <c r="N1125" s="2" t="inlineStr">
        <is>
          <t>ข้อ 5 (PLE_CC1_Practice_Exam.md)</t>
        </is>
      </c>
      <c r="O1125" s="2" t="inlineStr">
        <is>
          <t>Mock</t>
        </is>
      </c>
      <c r="P1125" s="2" t="inlineStr">
        <is>
          <t>Mock สภาเภสัชฯ Practice</t>
        </is>
      </c>
    </row>
    <row r="1126" ht="13.2" customHeight="1" s="37">
      <c r="A1126" s="8" t="inlineStr">
        <is>
          <t>1147</t>
        </is>
      </c>
      <c r="B1126" s="2" t="inlineStr">
        <is>
          <t>โรคกระดูกและข้อ 109 121</t>
        </is>
      </c>
      <c r="C1126" s="2" t="n"/>
      <c r="D1126" s="2" t="inlineStr">
        <is>
          <t>Dimercaprol (BAL) 3 mg/kg IM</t>
        </is>
      </c>
      <c r="E1126" s="2" t="inlineStr">
        <is>
          <t>Ethanol 10% IV infusion for Methanol poisoning</t>
        </is>
      </c>
      <c r="F1126" s="2" t="inlineStr">
        <is>
          <t>Fomepizole 15 mg/kg IV loading</t>
        </is>
      </c>
      <c r="G1126" s="2" t="inlineStr">
        <is>
          <t>N-acetylcysteine (NAC) IV infusion protocol</t>
        </is>
      </c>
      <c r="H1126" s="2" t="inlineStr">
        <is>
          <t>Atropine sulfate 2 mg IV Q5-10 min</t>
        </is>
      </c>
      <c r="I1126" s="8" t="inlineStr">
        <is>
          <t>3</t>
        </is>
      </c>
      <c r="J1126"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6" s="2" t="n"/>
      <c r="L1126" s="2" t="inlineStr">
        <is>
          <t>General Therapeutics</t>
        </is>
      </c>
      <c r="M1126" s="2" t="inlineStr">
        <is>
          <t>Clinic</t>
        </is>
      </c>
      <c r="N1126" s="2" t="inlineStr">
        <is>
          <t>ข้อ 6 (PLE_CC1_Practice_Exam.md)</t>
        </is>
      </c>
      <c r="O1126" s="2" t="inlineStr">
        <is>
          <t>Mock</t>
        </is>
      </c>
      <c r="P1126" s="2" t="inlineStr">
        <is>
          <t>Mock สภาเภสัชฯ Practice</t>
        </is>
      </c>
    </row>
    <row r="1127" ht="13.2" customHeight="1" s="37">
      <c r="A1127" s="8" t="inlineStr">
        <is>
          <t>1148</t>
        </is>
      </c>
      <c r="B1127" s="2" t="inlineStr">
        <is>
          <t>โรคตา หู จมูก คอ 150 165</t>
        </is>
      </c>
      <c r="C1127" s="2" t="n"/>
      <c r="D1127" s="2" t="inlineStr">
        <is>
          <t>N-acetylcysteine (NAC) IV infusion protocol</t>
        </is>
      </c>
      <c r="E1127" s="2" t="inlineStr">
        <is>
          <t>Atropine sulfate 2 mg IV Q5-10 min</t>
        </is>
      </c>
      <c r="F1127" s="2" t="inlineStr">
        <is>
          <t>Pralidoxime (2-PAM) 1-2 g IV over 30 min</t>
        </is>
      </c>
      <c r="G1127" s="2" t="inlineStr">
        <is>
          <t>Naloxone 0.4 mg IV stat</t>
        </is>
      </c>
      <c r="H1127" s="2" t="inlineStr">
        <is>
          <t>Flumazenil 0.2 mg IV stat</t>
        </is>
      </c>
      <c r="I1127" s="8" t="inlineStr">
        <is>
          <t>3</t>
        </is>
      </c>
      <c r="J1127"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127" s="2" t="n"/>
      <c r="L1127" s="2" t="inlineStr">
        <is>
          <t>General Therapeutics</t>
        </is>
      </c>
      <c r="M1127" s="2" t="inlineStr">
        <is>
          <t>Clinic</t>
        </is>
      </c>
      <c r="N1127" s="2" t="inlineStr">
        <is>
          <t>ข้อ 8 (PLE_CC1_Practice_Exam.md)</t>
        </is>
      </c>
      <c r="O1127" s="2" t="inlineStr">
        <is>
          <t>Mock</t>
        </is>
      </c>
      <c r="P1127" s="2" t="inlineStr">
        <is>
          <t>Mock สภาเภสัชฯ Practice</t>
        </is>
      </c>
    </row>
    <row r="1128" ht="13.2" customHeight="1" s="37">
      <c r="A1128" s="8" t="inlineStr">
        <is>
          <t>1149</t>
        </is>
      </c>
      <c r="B1128" s="2" t="inlineStr">
        <is>
          <t>โรคทางระบบประสาทและโรคจิตประสาท 177 189</t>
        </is>
      </c>
      <c r="C1128" s="2" t="n"/>
      <c r="D1128" s="2" t="inlineStr">
        <is>
          <t>Naloxone 0.4 mg IV stat</t>
        </is>
      </c>
      <c r="E1128" s="2" t="inlineStr">
        <is>
          <t>Flumazenil 0.2 mg IV stat</t>
        </is>
      </c>
      <c r="F1128" s="2" t="inlineStr">
        <is>
          <t>Vitamin K1 (Phytomenadione) 10 mg IV slow</t>
        </is>
      </c>
      <c r="G1128" s="2" t="inlineStr">
        <is>
          <t>Sodium thiosulfate 25% 50 mL IV</t>
        </is>
      </c>
      <c r="H1128" s="2" t="inlineStr">
        <is>
          <t>Calcium disodium EDTA 1 g IV</t>
        </is>
      </c>
      <c r="I1128" s="8" t="inlineStr">
        <is>
          <t>3</t>
        </is>
      </c>
      <c r="J1128"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128" s="2" t="n"/>
      <c r="L1128" s="2" t="inlineStr">
        <is>
          <t>General Therapeutics</t>
        </is>
      </c>
      <c r="M1128" s="2" t="inlineStr">
        <is>
          <t>Clinic</t>
        </is>
      </c>
      <c r="N1128" s="2" t="inlineStr">
        <is>
          <t>ข้อ 9 (PLE_CC1_Practice_Exam.md)</t>
        </is>
      </c>
      <c r="O1128" s="2" t="inlineStr">
        <is>
          <t>Mock</t>
        </is>
      </c>
      <c r="P1128" s="2" t="inlineStr">
        <is>
          <t>Mock สภาเภสัชฯ Practice</t>
        </is>
      </c>
    </row>
    <row r="1129" ht="13.2" customHeight="1" s="37">
      <c r="A1129" s="8" t="inlineStr">
        <is>
          <t>1150</t>
        </is>
      </c>
      <c r="B1129" s="2" t="inlineStr">
        <is>
          <t>โรคทางนรีเวชวิทยา 203 214</t>
        </is>
      </c>
      <c r="C1129" s="2" t="n"/>
      <c r="D1129" s="2" t="inlineStr">
        <is>
          <t>Sodium thiosulfate 25% 50 mL IV</t>
        </is>
      </c>
      <c r="E1129" s="2" t="inlineStr">
        <is>
          <t>Calcium disodium EDTA 1 g IV</t>
        </is>
      </c>
      <c r="F1129" s="2" t="inlineStr">
        <is>
          <t>Desferrioxamine 1 g IM/IV</t>
        </is>
      </c>
      <c r="G1129" s="2" t="inlineStr">
        <is>
          <t>Dimercaprol (BAL) 3 mg/kg IM</t>
        </is>
      </c>
      <c r="H1129" s="2" t="inlineStr">
        <is>
          <t>Ethanol 10% IV infusion for Methanol poisoning</t>
        </is>
      </c>
      <c r="I1129" s="8" t="inlineStr">
        <is>
          <t>3</t>
        </is>
      </c>
      <c r="J1129" s="2"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29" s="2" t="n"/>
      <c r="L1129" s="2" t="inlineStr">
        <is>
          <t>General Therapeutics</t>
        </is>
      </c>
      <c r="M1129" s="2" t="inlineStr">
        <is>
          <t>Clinic</t>
        </is>
      </c>
      <c r="N1129" s="2" t="inlineStr">
        <is>
          <t>ข้อ 10 (PLE_CC1_Practice_Exam.md)</t>
        </is>
      </c>
      <c r="O1129" s="2" t="inlineStr">
        <is>
          <t>Mock</t>
        </is>
      </c>
      <c r="P1129" s="2" t="inlineStr">
        <is>
          <t>Mock สภาเภสัชฯ Practice</t>
        </is>
      </c>
    </row>
    <row r="1130" ht="13.2" customHeight="1" s="37">
      <c r="A1130" s="8" t="inlineStr">
        <is>
          <t>1151</t>
        </is>
      </c>
      <c r="B1130" s="2" t="inlineStr">
        <is>
          <t>โรคระบบภูมิคุ้มกัน 221 240</t>
        </is>
      </c>
      <c r="C1130" s="2" t="n"/>
      <c r="D1130" s="2" t="inlineStr">
        <is>
          <t>Dimercaprol (BAL) 3 mg/kg IM</t>
        </is>
      </c>
      <c r="E1130" s="2" t="inlineStr">
        <is>
          <t>Ethanol 10% IV infusion for Methanol poisoning</t>
        </is>
      </c>
      <c r="F1130" s="2" t="inlineStr">
        <is>
          <t>Fomepizole 15 mg/kg IV loading</t>
        </is>
      </c>
      <c r="G1130" s="2" t="inlineStr">
        <is>
          <t>N-acetylcysteine (NAC) IV infusion protocol</t>
        </is>
      </c>
      <c r="H1130" s="2" t="inlineStr">
        <is>
          <t>Atropine sulfate 2 mg IV Q5-10 min</t>
        </is>
      </c>
      <c r="I1130" s="8" t="inlineStr">
        <is>
          <t>3</t>
        </is>
      </c>
      <c r="J1130"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0" s="2" t="n"/>
      <c r="L1130" s="2" t="inlineStr">
        <is>
          <t>General Therapeutics</t>
        </is>
      </c>
      <c r="M1130" s="2" t="inlineStr">
        <is>
          <t>Clinic</t>
        </is>
      </c>
      <c r="N1130" s="2" t="inlineStr">
        <is>
          <t>ข้อ 11 (PLE_CC1_Practice_Exam.md)</t>
        </is>
      </c>
      <c r="O1130" s="2" t="inlineStr">
        <is>
          <t>Mock</t>
        </is>
      </c>
      <c r="P1130" s="2" t="inlineStr">
        <is>
          <t>Mock สภาเภสัชฯ Practice</t>
        </is>
      </c>
    </row>
    <row r="1131" ht="13.2" customHeight="1" s="37">
      <c r="A1131" s="8" t="inlineStr">
        <is>
          <t>1152</t>
        </is>
      </c>
      <c r="B1131" s="2" t="inlineStr">
        <is>
          <t>โรคทางระบบเลือด 257 269</t>
        </is>
      </c>
      <c r="C1131" s="2" t="n"/>
      <c r="D1131" s="2" t="inlineStr">
        <is>
          <t>N-acetylcysteine (NAC) IV infusion protocol</t>
        </is>
      </c>
      <c r="E1131" s="2" t="inlineStr">
        <is>
          <t>Atropine sulfate 2 mg IV Q5-10 min</t>
        </is>
      </c>
      <c r="F1131" s="2" t="inlineStr">
        <is>
          <t>Pralidoxime (2-PAM) 1-2 g IV over 30 min</t>
        </is>
      </c>
      <c r="G1131" s="2" t="inlineStr">
        <is>
          <t>Naloxone 0.4 mg IV stat</t>
        </is>
      </c>
      <c r="H1131" s="2" t="inlineStr">
        <is>
          <t>Flumazenil 0.2 mg IV stat</t>
        </is>
      </c>
      <c r="I1131" s="8" t="inlineStr">
        <is>
          <t>3</t>
        </is>
      </c>
      <c r="J1131"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131" s="2" t="n"/>
      <c r="L1131" s="2" t="inlineStr">
        <is>
          <t>General Therapeutics</t>
        </is>
      </c>
      <c r="M1131" s="2" t="inlineStr">
        <is>
          <t>Clinic</t>
        </is>
      </c>
      <c r="N1131" s="2" t="inlineStr">
        <is>
          <t>ข้อ 12 (PLE_CC1_Practice_Exam.md)</t>
        </is>
      </c>
      <c r="O1131" s="2" t="inlineStr">
        <is>
          <t>Mock</t>
        </is>
      </c>
      <c r="P1131" s="2" t="inlineStr">
        <is>
          <t>Mock สภาเภสัชฯ Practice</t>
        </is>
      </c>
    </row>
    <row r="1132" ht="13.2" customHeight="1" s="37">
      <c r="A1132" s="8" t="inlineStr">
        <is>
          <t>1153</t>
        </is>
      </c>
      <c r="B1132" s="2" t="inlineStr">
        <is>
          <t>เภสัชภัณฑ์รูปแบบของแข็ง (Solid dosage form) 279 289</t>
        </is>
      </c>
      <c r="C1132" s="2" t="n"/>
      <c r="D1132" s="2" t="inlineStr">
        <is>
          <t>Naloxone 0.4 mg IV stat</t>
        </is>
      </c>
      <c r="E1132" s="2" t="inlineStr">
        <is>
          <t>Flumazenil 0.2 mg IV stat</t>
        </is>
      </c>
      <c r="F1132" s="2" t="inlineStr">
        <is>
          <t>Vitamin K1 (Phytomenadione) 10 mg IV slow</t>
        </is>
      </c>
      <c r="G1132" s="2" t="inlineStr">
        <is>
          <t>Sodium thiosulfate 25% 50 mL IV</t>
        </is>
      </c>
      <c r="H1132" s="2" t="inlineStr">
        <is>
          <t>Calcium disodium EDTA 1 g IV</t>
        </is>
      </c>
      <c r="I1132" s="8" t="inlineStr">
        <is>
          <t>2</t>
        </is>
      </c>
      <c r="J1132"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1132" s="2" t="n"/>
      <c r="L1132" s="2" t="inlineStr">
        <is>
          <t>General Therapeutics</t>
        </is>
      </c>
      <c r="M1132" s="2" t="inlineStr">
        <is>
          <t>Clinic</t>
        </is>
      </c>
      <c r="N1132" s="2" t="inlineStr">
        <is>
          <t>ข้อ 13 (PLE_CC1_Practice_Exam.md)</t>
        </is>
      </c>
      <c r="O1132" s="2" t="inlineStr">
        <is>
          <t>Mock</t>
        </is>
      </c>
      <c r="P1132" s="2" t="inlineStr">
        <is>
          <t>Mock สภาเภสัชฯ Practice</t>
        </is>
      </c>
    </row>
    <row r="1133" ht="13.2" customHeight="1" s="37">
      <c r="A1133" s="8" t="inlineStr">
        <is>
          <t>1154</t>
        </is>
      </c>
      <c r="B1133" s="2" t="inlineStr">
        <is>
          <t>เภสัชภัณฑ์รูปแบบของเหลว (Liquid dosage form) 295 308</t>
        </is>
      </c>
      <c r="C1133" s="2" t="n"/>
      <c r="D1133" s="2" t="inlineStr">
        <is>
          <t>Sodium thiosulfate 25% 50 mL IV</t>
        </is>
      </c>
      <c r="E1133" s="2" t="inlineStr">
        <is>
          <t>Calcium disodium EDTA 1 g IV</t>
        </is>
      </c>
      <c r="F1133" s="2" t="inlineStr">
        <is>
          <t>Desferrioxamine 1 g IM/IV</t>
        </is>
      </c>
      <c r="G1133" s="2" t="inlineStr">
        <is>
          <t>Dimercaprol (BAL) 3 mg/kg IM</t>
        </is>
      </c>
      <c r="H1133" s="2" t="inlineStr">
        <is>
          <t>Ethanol 10% IV infusion for Methanol poisoning</t>
        </is>
      </c>
      <c r="I1133" s="8" t="inlineStr">
        <is>
          <t>2</t>
        </is>
      </c>
      <c r="J1133" s="2" t="inlineStr">
        <is>
          <t>✅ คำตอบที่ถูกต้อง: ข้อ ข.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3" s="2" t="n"/>
      <c r="L1133" s="2" t="inlineStr">
        <is>
          <t>General Therapeutics</t>
        </is>
      </c>
      <c r="M1133" s="2" t="inlineStr">
        <is>
          <t>Clinic</t>
        </is>
      </c>
      <c r="N1133" s="2" t="inlineStr">
        <is>
          <t>ข้อ 14 (PLE_CC1_Practice_Exam.md)</t>
        </is>
      </c>
      <c r="O1133" s="2" t="inlineStr">
        <is>
          <t>Mock</t>
        </is>
      </c>
      <c r="P1133" s="2" t="inlineStr">
        <is>
          <t>Mock สภาเภสัชฯ Practice</t>
        </is>
      </c>
    </row>
    <row r="1134" ht="13.2" customHeight="1" s="37">
      <c r="A1134" s="8" t="inlineStr">
        <is>
          <t>1155</t>
        </is>
      </c>
      <c r="B1134" s="2" t="inlineStr">
        <is>
          <t>เภสัชวิเคราะห์ 341 353</t>
        </is>
      </c>
      <c r="C1134" s="2" t="n"/>
      <c r="D1134" s="2" t="inlineStr">
        <is>
          <t>Dimercaprol (BAL) 3 mg/kg IM</t>
        </is>
      </c>
      <c r="E1134" s="2" t="inlineStr">
        <is>
          <t>Ethanol 10% IV infusion for Methanol poisoning</t>
        </is>
      </c>
      <c r="F1134" s="2" t="inlineStr">
        <is>
          <t>Fomepizole 15 mg/kg IV loading</t>
        </is>
      </c>
      <c r="G1134" s="2" t="inlineStr">
        <is>
          <t>N-acetylcysteine (NAC) IV infusion protocol</t>
        </is>
      </c>
      <c r="H1134" s="2" t="inlineStr">
        <is>
          <t>Atropine sulfate 2 mg IV Q5-10 min</t>
        </is>
      </c>
      <c r="I1134" s="8" t="inlineStr">
        <is>
          <t>3</t>
        </is>
      </c>
      <c r="J1134"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4" s="2" t="n"/>
      <c r="L1134" s="2" t="inlineStr">
        <is>
          <t>General Therapeutics</t>
        </is>
      </c>
      <c r="M1134" s="2" t="inlineStr">
        <is>
          <t>Clinic</t>
        </is>
      </c>
      <c r="N1134" s="2" t="inlineStr">
        <is>
          <t>ข้อ 16 (PLE_CC1_Practice_Exam.md)</t>
        </is>
      </c>
      <c r="O1134" s="2" t="inlineStr">
        <is>
          <t>Mock</t>
        </is>
      </c>
      <c r="P1134" s="2" t="inlineStr">
        <is>
          <t>Mock สภาเภสัชฯ Practice</t>
        </is>
      </c>
    </row>
    <row r="1135" ht="13.2" customHeight="1" s="37">
      <c r="A1135" s="8" t="inlineStr">
        <is>
          <t>1156</t>
        </is>
      </c>
      <c r="B1135" s="2" t="inlineStr">
        <is>
          <t>Pharmacognosy 355 364</t>
        </is>
      </c>
      <c r="C1135" s="2" t="n"/>
      <c r="D1135" s="2" t="inlineStr">
        <is>
          <t>N-acetylcysteine (NAC) IV infusion protocol</t>
        </is>
      </c>
      <c r="E1135" s="2" t="inlineStr">
        <is>
          <t>Atropine sulfate 2 mg IV Q5-10 min</t>
        </is>
      </c>
      <c r="F1135" s="2" t="inlineStr">
        <is>
          <t>Pralidoxime (2-PAM) 1-2 g IV over 30 min</t>
        </is>
      </c>
      <c r="G1135" s="2" t="inlineStr">
        <is>
          <t>Naloxone 0.4 mg IV stat</t>
        </is>
      </c>
      <c r="H1135" s="2" t="inlineStr">
        <is>
          <t>Flumazenil 0.2 mg IV stat</t>
        </is>
      </c>
      <c r="I1135" s="8" t="inlineStr">
        <is>
          <t>1</t>
        </is>
      </c>
      <c r="J11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35" s="2" t="n"/>
      <c r="L1135" s="2" t="inlineStr">
        <is>
          <t>General Therapeutics</t>
        </is>
      </c>
      <c r="M1135" s="2" t="inlineStr">
        <is>
          <t>Clinic</t>
        </is>
      </c>
      <c r="N1135" s="2" t="inlineStr">
        <is>
          <t>ข้อ 17 (PLE_CC1_Practice_Exam.md)</t>
        </is>
      </c>
      <c r="O1135" s="2" t="inlineStr">
        <is>
          <t>Mock</t>
        </is>
      </c>
      <c r="P1135" s="2" t="inlineStr">
        <is>
          <t>Mock สภาเภสัชฯ Practice</t>
        </is>
      </c>
    </row>
    <row r="1136" ht="13.2" customHeight="1" s="37">
      <c r="A1136" s="8" t="inlineStr">
        <is>
          <t>1157</t>
        </is>
      </c>
      <c r="B1136" s="2" t="inlineStr">
        <is>
          <t>นิติเภสัชกรรม 369 379</t>
        </is>
      </c>
      <c r="C1136" s="2" t="n"/>
      <c r="D1136" s="2" t="inlineStr">
        <is>
          <t>Naloxone 0.4 mg IV stat</t>
        </is>
      </c>
      <c r="E1136" s="2" t="inlineStr">
        <is>
          <t>Flumazenil 0.2 mg IV stat</t>
        </is>
      </c>
      <c r="F1136" s="2" t="inlineStr">
        <is>
          <t>Vitamin K1 (Phytomenadione) 10 mg IV slow</t>
        </is>
      </c>
      <c r="G1136" s="2" t="inlineStr">
        <is>
          <t>Sodium thiosulfate 25% 50 mL IV</t>
        </is>
      </c>
      <c r="H1136" s="2" t="inlineStr">
        <is>
          <t>Calcium disodium EDTA 1 g IV</t>
        </is>
      </c>
      <c r="I1136" s="8" t="inlineStr">
        <is>
          <t>1</t>
        </is>
      </c>
      <c r="J11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36" s="2" t="n"/>
      <c r="L1136" s="2" t="inlineStr">
        <is>
          <t>General Therapeutics</t>
        </is>
      </c>
      <c r="M1136" s="2" t="inlineStr">
        <is>
          <t>Clinic</t>
        </is>
      </c>
      <c r="N1136" s="2" t="inlineStr">
        <is>
          <t>ข้อ 18 (PLE_CC1_Practice_Exam.md)</t>
        </is>
      </c>
      <c r="O1136" s="2" t="inlineStr">
        <is>
          <t>Mock</t>
        </is>
      </c>
      <c r="P1136" s="2" t="inlineStr">
        <is>
          <t>Mock สภาเภสัชฯ Practice</t>
        </is>
      </c>
    </row>
    <row r="1137" ht="13.2" customHeight="1" s="37">
      <c r="A1137" s="8" t="inlineStr">
        <is>
          <t>1158</t>
        </is>
      </c>
      <c r="B1137" s="2" t="inlineStr">
        <is>
          <t>Pharmacokinetics 395 400 ฝ่ายวิชาการ นิสิตเภสัชศาสตร์ มหาวิทยาลัยศรีนครินทรวิโรฒ รุ่นที่ 19 สหพันธ์นิสิตนักศึกษาเภสัชศาสตร์แห่งประเทศไทย (สนภท.)</t>
        </is>
      </c>
      <c r="C1137" s="2" t="n"/>
      <c r="D1137" s="2" t="inlineStr">
        <is>
          <t>Sodium thiosulfate 25% 50 mL IV</t>
        </is>
      </c>
      <c r="E1137" s="2" t="inlineStr">
        <is>
          <t>Calcium disodium EDTA 1 g IV</t>
        </is>
      </c>
      <c r="F1137" s="2" t="inlineStr">
        <is>
          <t>Desferrioxamine 1 g IM/IV</t>
        </is>
      </c>
      <c r="G1137" s="2" t="inlineStr">
        <is>
          <t>Dimercaprol (BAL) 3 mg/kg IM</t>
        </is>
      </c>
      <c r="H1137" s="2" t="inlineStr">
        <is>
          <t>Ethanol 10% IV infusion for Methanol poisoning</t>
        </is>
      </c>
      <c r="I1137" s="8" t="inlineStr">
        <is>
          <t>1</t>
        </is>
      </c>
      <c r="J11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7" s="2" t="n"/>
      <c r="L1137" s="2" t="inlineStr">
        <is>
          <t>General Therapeutics</t>
        </is>
      </c>
      <c r="M1137" s="2" t="inlineStr">
        <is>
          <t>Clinic</t>
        </is>
      </c>
      <c r="N1137" s="2" t="inlineStr">
        <is>
          <t>ข้อ 20 (PLE_CC1_Practice_Exam.md)</t>
        </is>
      </c>
      <c r="O1137" s="2" t="inlineStr">
        <is>
          <t>Mock</t>
        </is>
      </c>
      <c r="P1137" s="2" t="inlineStr">
        <is>
          <t>Mock สภาเภสัชฯ Practice</t>
        </is>
      </c>
    </row>
    <row r="1138" ht="13.2" customHeight="1" s="37">
      <c r="A1138" s="8" t="inlineStr">
        <is>
          <t>1159</t>
        </is>
      </c>
      <c r="B1138" s="2" t="inlineStr">
        <is>
          <t>ยาใดเหมาะสมที่สุดสำหรับผู้ป่วยรายนี้</t>
        </is>
      </c>
      <c r="C1138" s="2" t="n"/>
      <c r="D1138" s="2" t="inlineStr">
        <is>
          <t>Propranolol</t>
        </is>
      </c>
      <c r="E1138" s="2" t="inlineStr">
        <is>
          <t>Enalapril</t>
        </is>
      </c>
      <c r="F1138" s="2" t="inlineStr">
        <is>
          <t>Amlodipine โรคหัวใจและหลอดเลือด 1 ฝ่ายวิชาการ นิสิตเภสัชศาสตร์ มหาวิทยาลัยศรีนครินทรวิโรฒ รุ่นที่ 19 สหพันธ์นิสิตนักศึกษาเภสัชศาสตร์แห่งประเทศไทย (สนภท.)</t>
        </is>
      </c>
      <c r="G1138" s="2" t="inlineStr">
        <is>
          <t>Furosemide</t>
        </is>
      </c>
      <c r="H1138" s="2" t="inlineStr">
        <is>
          <t>Tamsulosin</t>
        </is>
      </c>
      <c r="I1138" s="8" t="inlineStr">
        <is>
          <t>1</t>
        </is>
      </c>
      <c r="J1138" s="2" t="inlineStr">
        <is>
          <t>✅ คำตอบที่ถูกต้อง: ข้อ ก. Propranolol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Propranolol การเลือก Propranolol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(Amlodipine โรคหัวใจและหลอดเลือด 1 ฝ่ายวิชาการ นิสิตเภสัชศาสตร์ มหาวิทยาลัยศรีนครินทรวิโรฒ รุ่นที่ 19 สหพันธ์นิสิตนักศึกษาเภสัชศาสตร์แห่งประเทศไทย (สนภท.)): เป็น DHP calcium channel blocker ขยายหลอดเลือด peripheral เด่น แต่ไม่มี class-specific renal protective effect ในผู้ป่วย DM with albuminuria เท่ากับ ACEI/ARB และอาจเกิด peripheral edema
• ข้อ ง. (Furosemide): เป็น Loop diuretic ยับยั้ง Na+/K+/2Cl- cotransporter ที่ Thick ascending limb ใช้จัดการ volume overload ใน HF หรือ CKD แต่ไม่เหมาะเป็น first-line ลดความดันโลหิตเดี่ยวๆ
• ข้อ จ. (Tamsulosin):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8" s="2" t="n"/>
      <c r="L1138" s="2" t="inlineStr">
        <is>
          <t>General Therapeutics</t>
        </is>
      </c>
      <c r="M1138" s="2" t="inlineStr">
        <is>
          <t>Clinic</t>
        </is>
      </c>
      <c r="N1138" s="2" t="inlineStr">
        <is>
          <t>ข้อ 3 (PLE_CC1_Practice_Exam.md)</t>
        </is>
      </c>
      <c r="O1138" s="2" t="inlineStr">
        <is>
          <t>Mock</t>
        </is>
      </c>
      <c r="P1138" s="2" t="inlineStr">
        <is>
          <t>Mock สภาเภสัชฯ Practice</t>
        </is>
      </c>
    </row>
    <row r="1139" ht="13.2" customHeight="1" s="37">
      <c r="A1139" s="8" t="inlineStr">
        <is>
          <t>1160</t>
        </is>
      </c>
      <c r="B1139" s="2" t="inlineStr">
        <is>
          <t>ยาใดที่ควรหลีกเลี่ยงสำหรับผู้ป่วยรายนี้</t>
        </is>
      </c>
      <c r="C1139" s="2" t="n"/>
      <c r="D1139" s="2" t="inlineStr">
        <is>
          <t>Propranolol</t>
        </is>
      </c>
      <c r="E1139" s="2" t="inlineStr">
        <is>
          <t>Enalapril</t>
        </is>
      </c>
      <c r="F1139" s="2" t="inlineStr">
        <is>
          <t>Amlodipine</t>
        </is>
      </c>
      <c r="G1139" s="2" t="inlineStr">
        <is>
          <t>Furosemide</t>
        </is>
      </c>
      <c r="H1139" s="2" t="inlineStr">
        <is>
          <t>Tamsulosin</t>
        </is>
      </c>
      <c r="I1139" s="8" t="inlineStr">
        <is>
          <t>1</t>
        </is>
      </c>
      <c r="J1139" s="2" t="inlineStr">
        <is>
          <t>✅ คำตอบที่ถูกต้อง: ข้อ ก. Propranolol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Propranolol การเลือก Propranolol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(Enalapril): เป็น ACE inhibitor ลด Angiotensin II และ intraglomerular pressure มี renal protective efficacy เด่นชัดใน diabetic kidney disease แต่อาจเกิด dry cough จากการสะสมของ bradykinin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(Furosemide): เป็น Loop diuretic ยับยั้ง Na+/K+/2Cl- cotransporter ที่ Thick ascending limb ใช้จัดการ volume overload ใน HF หรือ CKD แต่ไม่เหมาะเป็น first-line ลดความดันโลหิตเดี่ยวๆ
• ข้อ จ. (Tamsulosin):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9" s="2" t="n"/>
      <c r="L1139" s="2" t="inlineStr">
        <is>
          <t>General Therapeutics</t>
        </is>
      </c>
      <c r="M1139" s="2" t="inlineStr">
        <is>
          <t>Clinic</t>
        </is>
      </c>
      <c r="N1139" s="2" t="inlineStr">
        <is>
          <t>ข้อ 4 (PLE_CC1_Practice_Exam.md)</t>
        </is>
      </c>
      <c r="O1139" s="2" t="inlineStr">
        <is>
          <t>Mock</t>
        </is>
      </c>
      <c r="P1139" s="2" t="inlineStr">
        <is>
          <t>Mock สภาเภสัชฯ Practice</t>
        </is>
      </c>
    </row>
    <row r="1140" ht="13.2" customHeight="1" s="37">
      <c r="A1140" s="8" t="inlineStr">
        <is>
          <t>1161</t>
        </is>
      </c>
      <c r="B1140" s="2" t="inlineStr">
        <is>
          <t>ข้อใดคืออาการไม่พึงประสงค์ของยาในกลุ่ม ACEIs</t>
        </is>
      </c>
      <c r="C1140" s="2" t="n"/>
      <c r="D1140" s="2" t="inlineStr">
        <is>
          <t>Tachycardia</t>
        </is>
      </c>
      <c r="E1140" s="2" t="inlineStr">
        <is>
          <t>Hyperuricemia</t>
        </is>
      </c>
      <c r="F1140" s="2" t="inlineStr">
        <is>
          <t>Hyperkalemia</t>
        </is>
      </c>
      <c r="G1140" s="2" t="inlineStr">
        <is>
          <t>Gynecomastia</t>
        </is>
      </c>
      <c r="H1140" s="2" t="inlineStr">
        <is>
          <t>Metabolic acidosis</t>
        </is>
      </c>
      <c r="I1140" s="8" t="inlineStr">
        <is>
          <t>1</t>
        </is>
      </c>
      <c r="J1140" s="2" t="inlineStr">
        <is>
          <t>✅ คำตอบที่ถูกต้อง: ข้อ ก. Tachycardia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Tachycardia การเลือก Tachycardia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(Hyperuricemia): ข้อนี้ไม่ใช่คำตอบที่ถูกต้องสำหรับภาวะ Cardiovascular Diseases เนื่องจากกลไกการออกฤทธิ์, efficacy หรือข้อบ่งใช้ไม่ตรงกับโจทย์ที่กำหนด
• ข้อ ค. (Hyperkalemia): ข้อนี้ไม่ใช่คำตอบที่ถูกต้องสำหรับภาวะ Cardiovascular Diseases เนื่องจากกลไกการออกฤทธิ์, efficacy หรือข้อบ่งใช้ไม่ตรงกับโจทย์ที่กำหนด
• ข้อ ง. (Gynecomastia): ข้อนี้ไม่ใช่คำตอบที่ถูกต้องสำหรับภาวะ Cardiovascular Diseases เนื่องจากกลไกการออกฤทธิ์, efficacy หรือข้อบ่งใช้ไม่ตรงกับโจทย์ที่กำหนด
• ข้อ จ. (Metabolic acidosis):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0" s="2" t="n"/>
      <c r="L1140" s="2" t="inlineStr">
        <is>
          <t>Cardiovascular Diseases</t>
        </is>
      </c>
      <c r="M1140" s="2" t="inlineStr">
        <is>
          <t>Clinic</t>
        </is>
      </c>
      <c r="N1140" s="2" t="inlineStr">
        <is>
          <t>ข้อ 6 (PLE_CC1_Practice_Exam.md)</t>
        </is>
      </c>
      <c r="O1140" s="2" t="inlineStr">
        <is>
          <t>Mock</t>
        </is>
      </c>
      <c r="P1140" s="2" t="inlineStr">
        <is>
          <t>Mock สภาเภสัชฯ Practice</t>
        </is>
      </c>
    </row>
    <row r="1141" ht="13.2" customHeight="1" s="37">
      <c r="A1141" s="8" t="inlineStr">
        <is>
          <t>1162</t>
        </is>
      </c>
      <c r="B1141" s="2" t="inlineStr">
        <is>
          <t>ข้อใดผิด</t>
        </is>
      </c>
      <c r="C1141" s="2" t="n"/>
      <c r="D1141" s="2" t="inlineStr">
        <is>
          <t>Beta-blockers เป็น drug of choice ในคนไข้ที่เป็นความดันโลหิตสูงร่วมกับ Angina pectoris</t>
        </is>
      </c>
      <c r="E1141" s="2" t="inlineStr">
        <is>
          <t>สามารถใช้ Amlodipine ในคนไข้ที่เป็นความดันโลหิตสูงร่วมกับ Angina pectoris ได้</t>
        </is>
      </c>
      <c r="F1141" s="2" t="inlineStr">
        <is>
          <t>ACEIs สามารถชะลอการเสื่อมของไตได้</t>
        </is>
      </c>
      <c r="G1141" s="2" t="inlineStr">
        <is>
          <t>ACEIs เป็น drug of choice ในคนไข้ที่เป็นความดันโลหิตสูงร่วมกับโรคเบาหวาน</t>
        </is>
      </c>
      <c r="H1141" s="2" t="inlineStr">
        <is>
          <t>Diuretics เป็นยาตัวแรกที่แนะนำให้ใช้ในคนไข้ที่เป็นความดันโลหิตสูงร่วมกับหัวใจล้มเหลว</t>
        </is>
      </c>
      <c r="I1141" s="8" t="inlineStr">
        <is>
          <t>1</t>
        </is>
      </c>
      <c r="J1141" s="2" t="inlineStr">
        <is>
          <t>✅ คำตอบที่ถูกต้อง: ข้อ ก. Beta-blockers เป็น drug of choice ในคนไข้ที่เป็นความดันโลหิตสูงร่วมกับ Angina pectoris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Beta-blockers เป็น drug of choice ในคนไข้ที่เป็นความดันโลหิตสูงร่วมกับ Angina pectoris การเลือก Beta-blockers เป็น drug of choice ในคนไข้ที่เป็นความดันโลหิตสูงร่วมกับ Angina pectoris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(สามารถใช้ Amlodipine ในคนไข้ที่เป็นความดันโลหิตสูงร่วมกับ Angina pectoris ได้): เป็น DHP calcium channel blocker ขยายหลอดเลือด peripheral เด่น แต่ไม่มี class-specific renal protective effect ในผู้ป่วย DM with albuminuria เท่ากับ ACEI/ARB และอาจเกิด peripheral edema
• ข้อ ค. (ACEIs สามารถชะลอการเสื่อมของไตได้): ข้อนี้ไม่ใช่คำตอบที่ถูกต้องสำหรับภาวะ General Therapeutics เนื่องจากกลไกการออกฤทธิ์, efficacy หรือข้อบ่งใช้ไม่ตรงกับโจทย์ที่กำหนด
• ข้อ ง. (ACEIs เป็น drug of choice ในคนไข้ที่เป็นความดันโลหิตสูงร่วมกับโรคเบาหวาน): ข้อนี้ไม่ใช่คำตอบที่ถูกต้องสำหรับภาวะ General Therapeutics เนื่องจากกลไกการออกฤทธิ์, efficacy หรือข้อบ่งใช้ไม่ตรงกับโจทย์ที่กำหนด
• ข้อ จ. (Diuretics เป็นยาตัวแรกที่แนะนำให้ใช้ในคนไข้ที่เป็นความดันโลหิตสูงร่วมกับหัวใจล้มเหลว):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1" s="2" t="n"/>
      <c r="L1141" s="2" t="inlineStr">
        <is>
          <t>General Therapeutics</t>
        </is>
      </c>
      <c r="M1141" s="2" t="inlineStr">
        <is>
          <t>Clinic</t>
        </is>
      </c>
      <c r="N1141" s="2" t="inlineStr">
        <is>
          <t>ข้อ 8 (PLE_CC1_Practice_Exam.md)</t>
        </is>
      </c>
      <c r="O1141" s="2" t="inlineStr">
        <is>
          <t>Mock</t>
        </is>
      </c>
      <c r="P1141" s="2" t="inlineStr">
        <is>
          <t>Mock สภาเภสัชฯ Practice</t>
        </is>
      </c>
    </row>
    <row r="1142" ht="13.2" customHeight="1" s="37">
      <c r="A1142" s="8" t="inlineStr">
        <is>
          <t>1163</t>
        </is>
      </c>
      <c r="B1142" s="2" t="inlineStr">
        <is>
          <t>ข้อใดถูกต้อง และเหมาะสมที่สุด</t>
        </is>
      </c>
      <c r="C1142" s="2" t="n"/>
      <c r="D1142" s="2" t="inlineStr">
        <is>
          <t>ควรปรับขนาดยา Simvastatin เป็น 20 mg 2x1 hs เนื่องจากผู้ป่วยมีระดับ LDL-C ที่สูงมาก</t>
        </is>
      </c>
      <c r="E1142" s="2" t="inlineStr">
        <is>
          <t>ควรเปลี่ยน simvastatin 20 mg เป็น Atorvastatin 40 mg</t>
        </is>
      </c>
      <c r="F1142" s="2" t="inlineStr">
        <is>
          <t>Gemfibrozil ไม่มีข้อบ่งใช้ในผู้ป่วยรายนี้</t>
        </is>
      </c>
      <c r="G1142" s="2" t="inlineStr">
        <is>
          <t>ควรเปลี่ยน Gemfibrozil เป็น Niacin</t>
        </is>
      </c>
      <c r="H1142" s="2" t="inlineStr">
        <is>
          <t>ควรเปลี่ยน Gemfibrozil เป็น Fenofibrate</t>
        </is>
      </c>
      <c r="I1142" s="8" t="inlineStr">
        <is>
          <t>1</t>
        </is>
      </c>
      <c r="J1142" s="2" t="inlineStr">
        <is>
          <t>✅ คำตอบที่ถูกต้อง: ข้อ ก. ควรปรับขนาดยา Simvastatin เป็น 20 mg 2x1 hs เนื่องจากผู้ป่วยมีระดับ LDL-C ที่สูงมาก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ควรปรับขนาดยา Simvastatin เป็น 20 mg 2x1 hs เนื่องจากผู้ป่วยมีระดับ LDL-C ที่สูงมาก การเลือก ควรปรับขนาดยา Simvastatin เป็น 20 mg 2x1 hs เนื่องจากผู้ป่วยมีระดับ LDL-C ที่สูงมาก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(ควรเปลี่ยน simvastatin 20 mg เป็น Atorvastatin 40 mg): เป็น High-intensity statin (40-80 mg) ยับยั้ง HMG-CoA reductase มี clinical efficacy สูงสุดในการลด LDL-C ≥ 50% และ plaque stabilization ใน ACS/CAD
• ข้อ ค. (Gemfibrozil ไม่มีข้อบ่งใช้ในผู้ป่วยรายนี้): ห้ามใช้ร่วมกับ statins เด็ดขาด เนื่องจากยับยั้ง OATP1B1 glucuronidation ทำให้ระดับ statin ในเลือดพุ่งสูงและเกิด severe rhabdomyolysis
• ข้อ ง. (ควรเปลี่ยน Gemfibrozil เป็น Niacin): ห้ามใช้ร่วมกับ statins เด็ดขาด เนื่องจากยับยั้ง OATP1B1 glucuronidation ทำให้ระดับ statin ในเลือดพุ่งสูงและเกิด severe rhabdomyolysis
• ข้อ จ. (ควรเปลี่ยน Gemfibrozil เป็น Fenofibrate): เป็น PPAR-alpha agonist ลดระดับ Triglycerides เด่นชัด (30-50%) และปลอดภัยเมื่อใช้ร่วมกับ statin มากกว่า gemfibrozil (เสี่ยง rhabdomyolysis ต่ำกว่า)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2" s="2" t="n"/>
      <c r="L1142" s="2" t="inlineStr">
        <is>
          <t>General Therapeutics</t>
        </is>
      </c>
      <c r="M1142" s="2" t="inlineStr">
        <is>
          <t>Clinic</t>
        </is>
      </c>
      <c r="N1142" s="2" t="inlineStr">
        <is>
          <t>ข้อ 2 (PLE_CC1_Practice_Exam.md)</t>
        </is>
      </c>
      <c r="O1142" s="2" t="inlineStr">
        <is>
          <t>Mock</t>
        </is>
      </c>
      <c r="P1142" s="2" t="inlineStr">
        <is>
          <t>Mock สภาเภสัชฯ Practice</t>
        </is>
      </c>
    </row>
    <row r="1143" ht="13.2" customHeight="1" s="37">
      <c r="A1143" s="8" t="inlineStr">
        <is>
          <t>1164</t>
        </is>
      </c>
      <c r="B1143" s="2" t="inlineStr">
        <is>
          <t>ผู้ป่วยรายนี้ควรติดตามผลตรวจจากห้องปฏิบัติการใด เพื่อป้องกันอาการไม่พึงประสงค์จากรายการยาที่ ผู้ป่วยได้รับ</t>
        </is>
      </c>
      <c r="C1143" s="2" t="n"/>
      <c r="D1143" s="2" t="inlineStr">
        <is>
          <t>Alanine aminotransferase</t>
        </is>
      </c>
      <c r="E1143" s="2" t="inlineStr">
        <is>
          <t>Creatine kinase</t>
        </is>
      </c>
      <c r="F1143" s="2" t="inlineStr">
        <is>
          <t>Serum potassium</t>
        </is>
      </c>
      <c r="G1143" s="2" t="inlineStr">
        <is>
          <t>Blood urea nitrogen</t>
        </is>
      </c>
      <c r="H1143" s="2" t="inlineStr">
        <is>
          <t>Troponin</t>
        </is>
      </c>
      <c r="I1143" s="8" t="inlineStr">
        <is>
          <t>1</t>
        </is>
      </c>
      <c r="J1143" s="2" t="inlineStr">
        <is>
          <t>✅ คำตอบที่ถูกต้อง: ข้อ ก. Alanine aminotransferase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Alanine aminotransferase การเลือก Alanine aminotransferase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(Creatine kinase): ข้อนี้ไม่ใช่คำตอบที่ถูกต้องสำหรับภาวะ General Therapeutics เนื่องจากกลไกการออกฤทธิ์, efficacy หรือข้อบ่งใช้ไม่ตรงกับโจทย์ที่กำหนด
• ข้อ ค. (Serum potassium): ข้อนี้ไม่ใช่คำตอบที่ถูกต้องสำหรับภาวะ General Therapeutics เนื่องจากกลไกการออกฤทธิ์, efficacy หรือข้อบ่งใช้ไม่ตรงกับโจทย์ที่กำหนด
• ข้อ ง. (Blood urea nitrogen): ข้อนี้ไม่ใช่คำตอบที่ถูกต้องสำหรับภาวะ General Therapeutics เนื่องจากกลไกการออกฤทธิ์, efficacy หรือข้อบ่งใช้ไม่ตรงกับโจทย์ที่กำหนด
• ข้อ จ. (Troponin):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43" s="2" t="n"/>
      <c r="L1143" s="2" t="inlineStr">
        <is>
          <t>General Therapeutics</t>
        </is>
      </c>
      <c r="M1143" s="2" t="inlineStr">
        <is>
          <t>Clinic</t>
        </is>
      </c>
      <c r="N1143" s="2" t="inlineStr">
        <is>
          <t>ข้อ 4 (PLE_CC1_Practice_Exam.md)</t>
        </is>
      </c>
      <c r="O1143" s="2" t="inlineStr">
        <is>
          <t>Mock</t>
        </is>
      </c>
      <c r="P1143" s="2" t="inlineStr">
        <is>
          <t>Mock สภาเภสัชฯ Practice</t>
        </is>
      </c>
    </row>
    <row r="1144" ht="13.2" customHeight="1" s="37">
      <c r="A1144" s="8" t="inlineStr">
        <is>
          <t>1165</t>
        </is>
      </c>
      <c r="B1144" s="2" t="inlineStr">
        <is>
          <t>หากผู้ป่วยรายนี้มีภาวะ triglyceride ในเลือดสูงกว่า 500 mg/dL จะเกิดอันตรายต่ออวัยวะใด</t>
        </is>
      </c>
      <c r="C1144" s="2" t="n"/>
      <c r="D1144" s="2" t="inlineStr">
        <is>
          <t>ตับอ่อน</t>
        </is>
      </c>
      <c r="E1144" s="2" t="inlineStr">
        <is>
          <t>ตับ</t>
        </is>
      </c>
      <c r="F1144" s="2" t="inlineStr">
        <is>
          <t>ไต</t>
        </is>
      </c>
      <c r="G1144" s="2" t="inlineStr">
        <is>
          <t>หัวใจ</t>
        </is>
      </c>
      <c r="H1144" s="2" t="inlineStr">
        <is>
          <t>สมอง</t>
        </is>
      </c>
      <c r="I1144" s="8" t="inlineStr">
        <is>
          <t>1</t>
        </is>
      </c>
      <c r="J1144" s="2" t="inlineStr">
        <is>
          <t>✅ คำตอบที่ถูกต้อง: ข้อ ก. ตับอ่อน
💡 Background:
ภาวะไขมันในเลือดผิดปกติเป็นสาเหตุของ ASCVD การรักษาเน้นควบคุม LDL-C ให้ถึง target ตามระดับ cardiovascular risk ด้วย Statin
🎯 ทำไมข้อนี้ถึงถูก:
ตับอ่อน การเลือก ตับอ่อน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(ตับ): ข้อนี้ไม่ใช่คำตอบที่ถูกต้องสำหรับภาวะ Cardiovascular Diseases เนื่องจากกลไกการออกฤทธิ์, efficacy หรือข้อบ่งใช้ไม่ตรงกับโจทย์ที่กำหนด
• ข้อ ค. (ไต): ข้อนี้ไม่ใช่คำตอบที่ถูกต้องสำหรับภาวะ Cardiovascular Diseases เนื่องจากกลไกการออกฤทธิ์, efficacy หรือข้อบ่งใช้ไม่ตรงกับโจทย์ที่กำหนด
• ข้อ ง. (หัวใจ): ข้อนี้ไม่ใช่คำตอบที่ถูกต้องสำหรับภาวะ Cardiovascular Diseases เนื่องจากกลไกการออกฤทธิ์, efficacy หรือข้อบ่งใช้ไม่ตรงกับโจทย์ที่กำหนด
• ข้อ จ. (สมอง):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4" s="2" t="n"/>
      <c r="L1144" s="2" t="inlineStr">
        <is>
          <t>Cardiovascular Diseases</t>
        </is>
      </c>
      <c r="M1144" s="2" t="inlineStr">
        <is>
          <t>Clinic</t>
        </is>
      </c>
      <c r="N1144" s="2" t="inlineStr">
        <is>
          <t>ข้อ 7 (PLE_CC1_Practice_Exam.md)</t>
        </is>
      </c>
      <c r="O1144" s="2" t="inlineStr">
        <is>
          <t>Mock</t>
        </is>
      </c>
      <c r="P1144" s="2" t="inlineStr">
        <is>
          <t>Mock สภาเภสัชฯ Practice</t>
        </is>
      </c>
    </row>
    <row r="1145" ht="13.2" customHeight="1" s="37">
      <c r="A1145" s="8" t="inlineStr">
        <is>
          <t>1166</t>
        </is>
      </c>
      <c r="B1145" s="2" t="inlineStr">
        <is>
          <t>ข้อใดถูก</t>
        </is>
      </c>
      <c r="C1145" s="2" t="n"/>
      <c r="D1145" s="2" t="inlineStr">
        <is>
          <t>Rosuvastatin 20 mg จัดเป็น moderate intensity statin</t>
        </is>
      </c>
      <c r="E1145" s="2" t="inlineStr">
        <is>
          <t>ขนาดยาสูงสุดของ Simvastatin คือ 80 mg ต่อวัน</t>
        </is>
      </c>
      <c r="F1145" s="2" t="inlineStr">
        <is>
          <t>Simvastatin มี elimination half-life นานที่สุดในกลุ่ม statins</t>
        </is>
      </c>
      <c r="G1145" s="2" t="inlineStr">
        <is>
          <t>Pravastatin มี Lipophilicity ต่ำ</t>
        </is>
      </c>
      <c r="H1145" s="2" t="inlineStr">
        <is>
          <t>Simvastatin ถูกกำจัดผ่าน CYP2C9 เป็นหลัก</t>
        </is>
      </c>
      <c r="I1145" s="8" t="inlineStr">
        <is>
          <t>1</t>
        </is>
      </c>
      <c r="J1145" s="2" t="inlineStr">
        <is>
          <t>✅ คำตอบที่ถูกต้อง: ข้อ ก. Rosuvastatin 20 mg จัดเป็น moderate intensity statin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Rosuvastatin 20 mg จัดเป็น moderate intensity statin การเลือก Rosuvastatin 20 mg จัดเป็น moderate intensity statin เป็นคำตอบที่ถูกต้องตามแนวทางการรักษามาตรฐาน เนื่องจาก เป็น High-intensity statin (20-40 mg) มี potency สูงมาก เมแทบอไลต์ผ่าน CYP2C9 เล็กน้อย จึงมี drug interactions ผ่าน CYP3A4 ต่ำกว่า atorvastatin
🔍 ข้ออื่นผิดเพราะอะไร:
• ข้อ ข. (ขนาดยาสูงสุดของ Simvastatin คือ 80 mg ต่อวัน): เป็น moderate-intensity statin เมแทบอไลต์ผ่าน CYP3A4 เด่นชัด ห้ามใช้ dose 80 mg และมี drug interactions สูงกับ CYP3A4 inhibitors (clarithromycin, ketoconazole)
• ข้อ ค. (Simvastatin มี elimination half-life นานที่สุดในกลุ่ม statins): เป็น moderate-intensity statin เมแทบอไลต์ผ่าน CYP3A4 เด่นชัด ห้ามใช้ dose 80 mg และมี drug interactions สูงกับ CYP3A4 inhibitors (clarithromycin, ketoconazole)
• ข้อ ง. (Pravastatin มี Lipophilicity ต่ำ): ข้อนี้ไม่ใช่คำตอบที่ถูกต้องสำหรับภาวะ General Therapeutics เนื่องจากกลไกการออกฤทธิ์, efficacy หรือข้อบ่งใช้ไม่ตรงกับโจทย์ที่กำหนด
• ข้อ จ. (Simvastatin ถูกกำจัดผ่าน CYP2C9 เป็นหลัก): เป็น moderate-intensity statin เมแทบอไลต์ผ่าน CYP3A4 เด่นชัด ห้ามใช้ dose 80 mg และมี drug interactions สูงกับ CYP3A4 inhibitors (clarithromycin,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High-Intensity Hydrophilic: ขนาดยา 20-40 mg ลด LDL-C ได้ ≥ 50% มีคุณสมบัติ hydrophilic และไม่ได้ผ่าน CYP3A4 เป็นหลัก (เกิด DDI น้อยกว่า)
• Asian Population Dosing: ในคนเชื้อชาติตะวันออก/เอเชีย แนะนำเริ่มต้นขนาดยาต่ำ (5-10 mg OD) เนื่องจากมี bioavailability สูงกว่าชาวยุโรป 2 เท่า</t>
        </is>
      </c>
      <c r="K1145" s="2" t="n"/>
      <c r="L1145" s="2" t="inlineStr">
        <is>
          <t>General Therapeutics</t>
        </is>
      </c>
      <c r="M1145" s="2" t="inlineStr">
        <is>
          <t>Clinic</t>
        </is>
      </c>
      <c r="N1145" s="2" t="inlineStr">
        <is>
          <t>ข้อ 8 (PLE_CC1_Practice_Exam.md)</t>
        </is>
      </c>
      <c r="O1145" s="2" t="inlineStr">
        <is>
          <t>Mock</t>
        </is>
      </c>
      <c r="P1145" s="2" t="inlineStr">
        <is>
          <t>Mock สภาเภสัชฯ Practice</t>
        </is>
      </c>
    </row>
    <row r="1146" ht="13.2" customHeight="1" s="37">
      <c r="A1146" s="8" t="inlineStr">
        <is>
          <t>1167</t>
        </is>
      </c>
      <c r="B1146" s="2" t="inlineStr">
        <is>
          <t>หลักการใช้ยากลุ่ม Beta-blockers ที่เหมาะสมในผู้ป่วยรายนี้คือข้อใด</t>
        </is>
      </c>
      <c r="C1146" s="2" t="n"/>
      <c r="D1146" s="2" t="inlineStr">
        <is>
          <t>ผู้ป่วยรายนี้ไม่สมควรได้รับ Metoprolol เนื่องจากจะทำให้อาการแย่ลง</t>
        </is>
      </c>
      <c r="E1146" s="2" t="inlineStr">
        <is>
          <t>ให้เพื่อเสริมฤทธิ์กับ Enalapril</t>
        </is>
      </c>
      <c r="F1146" s="2" t="inlineStr">
        <is>
          <t>ให้ขณะที่ผู้ป่วยมีอาการคงที่เท่านั้น</t>
        </is>
      </c>
      <c r="G1146" s="2" t="inlineStr">
        <is>
          <t>ให้เมื่อ LVEF มีค่าน้อยกว่าหรือเท่ากับ 35%</t>
        </is>
      </c>
      <c r="H1146" s="2" t="inlineStr">
        <is>
          <t>ให้ในกรณีผู้ป่วยเป็น Acute decompensated heart failure เท่านั้น</t>
        </is>
      </c>
      <c r="I1146" s="8" t="inlineStr">
        <is>
          <t>1</t>
        </is>
      </c>
      <c r="J1146" s="2" t="inlineStr">
        <is>
          <t>✅ คำตอบที่ถูกต้อง: ข้อ ก. ผู้ป่วยรายนี้ไม่สมควรได้รับ Metoprolol เนื่องจากจะทำให้อาการแย่ลง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ผู้ป่วยรายนี้ไม่สมควรได้รับ Metoprolol เนื่องจากจะทำให้อาการแย่ลง การเลือก ผู้ป่วยรายนี้ไม่สมควรได้รับ Metoprolol เนื่องจากจะทำให้อาการแย่ลง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(ให้เพื่อเสริมฤทธิ์กับ Enalapril): เป็น ACE inhibitor ลด Angiotensin II และ intraglomerular pressure มี renal protective efficacy เด่นชัดใน diabetic kidney disease แต่อาจเกิด dry cough จากการสะสมของ bradykinin
• ข้อ ค. (ให้ขณะที่ผู้ป่วยมีอาการคงที่เท่านั้น): ข้อนี้ไม่ใช่คำตอบที่ถูกต้องสำหรับภาวะ General Therapeutics เนื่องจากกลไกการออกฤทธิ์, efficacy หรือข้อบ่งใช้ไม่ตรงกับโจทย์ที่กำหนด
• ข้อ ง. (ให้เมื่อ LVEF มีค่าน้อยกว่าหรือเท่ากับ 35%): ข้อนี้ไม่ใช่คำตอบที่ถูกต้องสำหรับภาวะ General Therapeutics เนื่องจากกลไกการออกฤทธิ์, efficacy หรือข้อบ่งใช้ไม่ตรงกับโจทย์ที่กำหนด
• ข้อ จ. (ให้ในกรณีผู้ป่วยเป็น Acute decompensated heart failure เท่านั้น):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6" s="2" t="n"/>
      <c r="L1146" s="2" t="inlineStr">
        <is>
          <t>General Therapeutics</t>
        </is>
      </c>
      <c r="M1146" s="2" t="inlineStr">
        <is>
          <t>Clinic</t>
        </is>
      </c>
      <c r="N1146" s="2" t="inlineStr">
        <is>
          <t>ข้อ 1 (PLE_CC1_Practice_Exam.md)</t>
        </is>
      </c>
      <c r="O1146" s="2" t="inlineStr">
        <is>
          <t>Mock</t>
        </is>
      </c>
      <c r="P1146" s="2" t="inlineStr">
        <is>
          <t>Mock สภาเภสัชฯ Practice</t>
        </is>
      </c>
    </row>
    <row r="1147" ht="13.2" customHeight="1" s="37">
      <c r="A1147" s="8" t="inlineStr">
        <is>
          <t>1168</t>
        </is>
      </c>
      <c r="B1147" s="2" t="inlineStr">
        <is>
          <t>หากที่โรงพยาบาลไม่มียา Metoprolol ยาใดไม่สามารถใช้ได้ในผู้ป่วยรายนี้</t>
        </is>
      </c>
      <c r="C1147" s="2" t="n"/>
      <c r="D1147" s="2" t="inlineStr">
        <is>
          <t>Atenolol</t>
        </is>
      </c>
      <c r="E1147" s="2" t="inlineStr">
        <is>
          <t>Bisoprolol</t>
        </is>
      </c>
      <c r="F1147" s="2" t="inlineStr">
        <is>
          <t>Carvedilol</t>
        </is>
      </c>
      <c r="G1147" s="2" t="inlineStr">
        <is>
          <t>Nebivolol</t>
        </is>
      </c>
      <c r="H1147" s="2" t="inlineStr">
        <is>
          <t>ยาทุกตัวที่กล่าวมาสามารถใช้ได้</t>
        </is>
      </c>
      <c r="I1147" s="8" t="inlineStr">
        <is>
          <t>1</t>
        </is>
      </c>
      <c r="J1147" s="2" t="inlineStr">
        <is>
          <t>✅ คำตอบที่ถูกต้อง: ข้อ ก. Atenolol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Atenolol การเลือก Atenolol เป็นคำตอบที่ถูกต้องตามแนวทางการรักษามาตรฐาน เนื่องจาก เป็น hydrophilic cardioselective beta-1 blocker ขับออกทางไตเป็นหลัก แต่ evidence ในการลด stroke และ cardiovascular events ด้อยกว่า antihypertensive อื่นๆ
🔍 ข้ออื่นผิดเพราะอะไร:
• ข้อ ข. (Bisoprolol): เป็น cardioselective beta-1 blocker ไม่ใช่ first-line monotherapy สำหรับ uncomplicated HTN แต่เป็น first-line GDMT ใน HFrEF หรือ post-MI
• ข้อ ค. (Carvedilol): เป็น non-selective beta-blocker ร่วมกับ alpha-1 blocker ช่วยลด afterload เป็น first-line GDMT ใน HFrEF ที่มี efficacy สูงในการลด mortality
• ข้อ ง. (Nebivolol): ข้อนี้ไม่ใช่คำตอบที่ถูกต้องสำหรับภาวะ Cardiovascular Diseases เนื่องจากกลไกการออกฤทธิ์, efficacy หรือข้อบ่งใช้ไม่ตรงกับโจทย์ที่กำหนด
• ข้อ จ. (ยาทุกตัวที่กล่าวมาสามารถใช้ได้):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7" s="2" t="n"/>
      <c r="L1147" s="2" t="inlineStr">
        <is>
          <t>Cardiovascular Diseases</t>
        </is>
      </c>
      <c r="M1147" s="2" t="inlineStr">
        <is>
          <t>Clinic</t>
        </is>
      </c>
      <c r="N1147" s="2" t="inlineStr">
        <is>
          <t>ข้อ 2 (PLE_CC1_Practice_Exam.md)</t>
        </is>
      </c>
      <c r="O1147" s="2" t="inlineStr">
        <is>
          <t>Mock</t>
        </is>
      </c>
      <c r="P1147" s="2" t="inlineStr">
        <is>
          <t>Mock สภาเภสัชฯ Practice</t>
        </is>
      </c>
    </row>
    <row r="1148" ht="13.2" customHeight="1" s="37">
      <c r="A1148" s="8" t="inlineStr">
        <is>
          <t>1169</t>
        </is>
      </c>
      <c r="B1148" s="2" t="inlineStr">
        <is>
          <t>หากผู้ป่วยรายนี้จำเป็นต้องได้รับ NSAIDs ยาใดต่อไปนี้เหมาะสมที่สุด</t>
        </is>
      </c>
      <c r="C1148" s="2" t="n"/>
      <c r="D1148" s="2" t="inlineStr">
        <is>
          <t>Aspirin</t>
        </is>
      </c>
      <c r="E1148" s="2" t="inlineStr">
        <is>
          <t>Diclofenac</t>
        </is>
      </c>
      <c r="F1148" s="2" t="inlineStr">
        <is>
          <t>Ibuprofen</t>
        </is>
      </c>
      <c r="G1148" s="2" t="inlineStr">
        <is>
          <t>Celecoxib</t>
        </is>
      </c>
      <c r="H1148" s="2" t="inlineStr">
        <is>
          <t>Naproxen</t>
        </is>
      </c>
      <c r="I1148" s="8" t="inlineStr">
        <is>
          <t>1</t>
        </is>
      </c>
      <c r="J1148" s="2" t="inlineStr">
        <is>
          <t>✅ คำตอบที่ถูกต้อง: ข้อ ก. Aspirin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ข้อนี้ไม่ใช่คำตอบที่ถูกต้องสำหรับภาวะ Musculoskeletal &amp; Joint เนื่องจากกลไกการออกฤทธิ์, efficacy หรือข้อบ่งใช้ไม่ตรงกับโจทย์ที่กำหนด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(Celecoxib): เป็น selective COX-2 inhibitor มี GI safety profile ดีกว่า non-selective NSAIDs แต่มี cardiovascular risk เพิ่มขึ้น และ contraindication ในผู้ป่วย post-CABG หรือ sulfonamide allergy
• ข้อ จ. (Naproxen): เป็น non-selective NSAID ที่มี cardiovascular safety profile ดีที่สุด และมี efficacy สูงในการระงับ acute inflammation
📖 Guideline อ้างอิง:
[NEED_REVIEW]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48" s="2" t="n"/>
      <c r="L1148" s="2" t="inlineStr">
        <is>
          <t>Musculoskeletal &amp; Joint</t>
        </is>
      </c>
      <c r="M1148" s="2" t="inlineStr">
        <is>
          <t>Clinic</t>
        </is>
      </c>
      <c r="N1148" s="2" t="inlineStr">
        <is>
          <t>ข้อ 4 (PLE_CC1_Practice_Exam.md)</t>
        </is>
      </c>
      <c r="O1148" s="2" t="inlineStr">
        <is>
          <t>Mock</t>
        </is>
      </c>
      <c r="P1148" s="2" t="inlineStr">
        <is>
          <t>Mock สภาเภสัชฯ Practice</t>
        </is>
      </c>
    </row>
    <row r="1149" ht="13.2" customHeight="1" s="37">
      <c r="A1149" s="8" t="inlineStr">
        <is>
          <t>1170</t>
        </is>
      </c>
      <c r="B1149" s="2" t="inlineStr">
        <is>
          <t>ควรแนะนำอะไรแก่ผู้ป่วยรายนี้</t>
        </is>
      </c>
      <c r="C1149" s="2" t="n"/>
      <c r="D1149" s="2" t="inlineStr">
        <is>
          <t>ออกกำลังกายให้น้อยที่สุด</t>
        </is>
      </c>
      <c r="E1149" s="2" t="inlineStr">
        <is>
          <t>จำกัดน้ำไม่ให้เกิน 1 ลิตรต่อวัน</t>
        </is>
      </c>
      <c r="F1149" s="2" t="inlineStr">
        <is>
          <t>ฉีดวัคซีนป้องกันการติดเชื้อระบบทางเดินหายใจ</t>
        </is>
      </c>
      <c r="G1149" s="2" t="inlineStr">
        <is>
          <t>จำกัดโซเดียมไม่ให้เกิน 1 ช้อนโต๊ะต่อวัน</t>
        </is>
      </c>
      <c r="H1149" s="2" t="inlineStr">
        <is>
          <t>ถูกทุกข้อ</t>
        </is>
      </c>
      <c r="I1149" s="8" t="inlineStr">
        <is>
          <t>1</t>
        </is>
      </c>
      <c r="J1149" s="2" t="inlineStr">
        <is>
          <t>✅ คำตอบที่ถูกต้อง: ข้อ ก. ออกกำลังกายให้น้อยที่สุด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ออกกำลังกายให้น้อยที่สุด การเลือก ออกกำลังกายให้น้อยที่สุด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(จำกัดน้ำไม่ให้เกิน 1 ลิตรต่อวัน): ข้อนี้ไม่ใช่คำตอบที่ถูกต้องสำหรับภาวะ General Therapeutics เนื่องจากกลไกการออกฤทธิ์, efficacy หรือข้อบ่งใช้ไม่ตรงกับโจทย์ที่กำหนด
• ข้อ ค. (ฉีดวัคซีนป้องกันการติดเชื้อระบบทางเดินหายใจ): ข้อนี้ไม่ใช่คำตอบที่ถูกต้องสำหรับภาวะ General Therapeutics เนื่องจากกลไกการออกฤทธิ์, efficacy หรือข้อบ่งใช้ไม่ตรงกับโจทย์ที่กำหนด
• ข้อ ง. (จำกัดโซเดียมไม่ให้เกิน 1 ช้อนโต๊ะต่อวัน):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9" s="2" t="n"/>
      <c r="L1149" s="2" t="inlineStr">
        <is>
          <t>General Therapeutics</t>
        </is>
      </c>
      <c r="M1149" s="2" t="inlineStr">
        <is>
          <t>Clinic</t>
        </is>
      </c>
      <c r="N1149" s="2" t="inlineStr">
        <is>
          <t>ข้อ 6 (PLE_CC1_Practice_Exam.md)</t>
        </is>
      </c>
      <c r="O1149" s="2" t="inlineStr">
        <is>
          <t>Mock</t>
        </is>
      </c>
      <c r="P1149" s="2" t="inlineStr">
        <is>
          <t>Mock สภาเภสัชฯ Practice</t>
        </is>
      </c>
    </row>
    <row r="1150" ht="13.2" customHeight="1" s="37">
      <c r="A1150" s="8" t="inlineStr">
        <is>
          <t>1171</t>
        </is>
      </c>
      <c r="B1150" s="2" t="inlineStr">
        <is>
          <t>ข้อใดกล่าวถึง Cardiac glycosides ได้ถูกต้อง</t>
        </is>
      </c>
      <c r="C1150" s="2" t="n"/>
      <c r="D1150" s="2" t="inlineStr">
        <is>
          <t>ยับยั้ง Na/Ca exchanger</t>
        </is>
      </c>
      <c r="E1150" s="2" t="inlineStr">
        <is>
          <t>Positive chronotropic effect</t>
        </is>
      </c>
      <c r="F1150" s="2" t="inlineStr">
        <is>
          <t>ไม่นิยม เนื่องจากเห็นผลช้า</t>
        </is>
      </c>
      <c r="G1150" s="2" t="inlineStr">
        <is>
          <t>อาการข้างเคียงที่สำคัญ คือ Gynecomastia</t>
        </is>
      </c>
      <c r="H1150" s="2" t="inlineStr">
        <is>
          <t>หลีกเลี่ยงการใช้ร่วมกับ Furosemide</t>
        </is>
      </c>
      <c r="I1150" s="8" t="inlineStr">
        <is>
          <t>1</t>
        </is>
      </c>
      <c r="J1150" s="2" t="inlineStr">
        <is>
          <t>✅ คำตอบที่ถูกต้อง: ข้อ ก. ยับยั้ง Na/Ca exchanger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Na/Ca exchanger การเลือก ยับยั้ง Na/Ca exchanger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(Positive chronotropic effect): ข้อนี้ไม่ใช่คำตอบที่ถูกต้องสำหรับภาวะ General Therapeutics เนื่องจากกลไกการออกฤทธิ์, efficacy หรือข้อบ่งใช้ไม่ตรงกับโจทย์ที่กำหนด
• ข้อ ค. (ไม่นิยม เนื่องจากเห็นผลช้า): ข้อนี้ไม่ใช่คำตอบที่ถูกต้องสำหรับภาวะ General Therapeutics เนื่องจากกลไกการออกฤทธิ์, efficacy หรือข้อบ่งใช้ไม่ตรงกับโจทย์ที่กำหนด
• ข้อ ง. (อาการข้างเคียงที่สำคัญ คือ Gynecomastia): ข้อนี้ไม่ใช่คำตอบที่ถูกต้องสำหรับภาวะ General Therapeutics เนื่องจากกลไกการออกฤทธิ์, efficacy หรือข้อบ่งใช้ไม่ตรงกับโจทย์ที่กำหนด
• ข้อ จ. (หลีกเลี่ยงการใช้ร่วมกับ Furosemide):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0" s="2" t="n"/>
      <c r="L1150" s="2" t="inlineStr">
        <is>
          <t>General Therapeutics</t>
        </is>
      </c>
      <c r="M1150" s="2" t="inlineStr">
        <is>
          <t>Clinic</t>
        </is>
      </c>
      <c r="N1150" s="2" t="inlineStr">
        <is>
          <t>ข้อ 9 (PLE_CC1_Practice_Exam.md)</t>
        </is>
      </c>
      <c r="O1150" s="2" t="inlineStr">
        <is>
          <t>Mock</t>
        </is>
      </c>
      <c r="P1150" s="2" t="inlineStr">
        <is>
          <t>Mock สภาเภสัชฯ Practice</t>
        </is>
      </c>
    </row>
    <row r="1151" ht="13.2" customHeight="1" s="37">
      <c r="A1151" s="8" t="inlineStr">
        <is>
          <t>1172</t>
        </is>
      </c>
      <c r="B1151" s="2" t="inlineStr">
        <is>
          <t>ยาใดสามารถใช้ได้ในผู้ป่วยที่มีข้อห้ามใช้ ACEIs และ ARBs</t>
        </is>
      </c>
      <c r="C1151" s="2" t="n"/>
      <c r="D1151" s="2" t="inlineStr">
        <is>
          <t>Furosemide</t>
        </is>
      </c>
      <c r="E1151" s="2" t="inlineStr">
        <is>
          <t>Spironolactone</t>
        </is>
      </c>
      <c r="F1151" s="2" t="inlineStr">
        <is>
          <t>Hydralazine</t>
        </is>
      </c>
      <c r="G1151" s="2" t="inlineStr">
        <is>
          <t>Isosorbide dinitrate</t>
        </is>
      </c>
      <c r="H1151" s="2" t="inlineStr">
        <is>
          <t>C และ D CAD กรณีศึกษาที่ 4 (สำหรับคำถามข้อ 1-7) ชายไทยอายุ 50 ป๊ ไม่มีโรคประจำตัว ไม่แพ้ยา สูบบุหรี่ 1 ซองต่อวัน ทุกวันเป็นเวลานาน 10 ป๊ มาพบแพทย์ ด้วยอาการเจ็บเค้นหน้าอก รู้สึกเหมือนมีคนมาเหยียบอก ไม่เคยมีอาการเช่นนี้มาก่อน Dx: Non-ST Elevation Myocardial Infarction และแพทย์ได้ทำการขยายหลอดเลือดหัวใจด้วย PCI w/DES Rx: Simvastatin 1x1 pc Enalapril 1x1 pc Aspirin 1x1 pc Clopidogrel 1x1 pc Amlodipine 1x1 pc ISDN 1 tab SL prn โรคหัวใจและหลอดเลือด 8 ฝ่ายวิชาการ นิสิตเภสัชศาสตร์ มหาวิทยาลัยศรีนครินทรวิโรฒ รุ่นที่ 19 สหพันธ์นิสิตนักศึกษาเภสัชศาสตร์แห่งประเทศไทย (สนภท.)</t>
        </is>
      </c>
      <c r="I1151" s="8" t="inlineStr">
        <is>
          <t>1</t>
        </is>
      </c>
      <c r="J1151" s="2" t="inlineStr">
        <is>
          <t>✅ คำตอบที่ถูกต้อง: ข้อ ก. Furosemide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Furosemide การเลือก Furosemide เป็นคำตอบที่ถูกต้องตามแนวทางการรักษามาตรฐาน เนื่องจาก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ข. (Spironolactone): เป็น Mineralocorticoid receptor antagonist (MRA) ใช้เป็น 4th-line ใน resistant HTN หรือ GDMT ใน HFrEF ต้อง monitor potassium และเสี่ยงต่อ gynecomastia
• ข้อ ค. (Hydralazine): เป็น direct arteriolar vasodilator ใช้ร่วมกับ isosorbide dinitrate ใน HFrEF (โดยเฉพาะคนผิวดำ) หรือรักษา severe HTN ในหญิงตั้งครรภ์ แต่เสี่ยงต่อ drug-induced lupus
• ข้อ ง. (Isosorbide dinitrate): เป็น organic nitrate ขยายหลอดเลือด venous เด่นชัด ลด preload บรรเทาอาการ angina pectoris แต่ห้ามใช้ร่วมกับ PDE-5 inhibitors (sildenafil) ภายใน 24 ชม. (เสี่ยง severe hypotension)
• ข้อ จ. (C และ D CAD กรณีศึกษาที่ 4 (สำหรับคำถามข้อ 1-7) ชายไทยอายุ 50 ป๊ ไม่มีโรคประจำตัว ไม่แพ้ยา สูบบุหรี่ 1 ซองต่อวัน ทุกวันเป็นเวลานาน 10 ป๊ มาพบแพทย์ ด้วยอาการเจ็บเค้นหน้าอก รู้สึกเหมือนมีคนมาเหยียบอก ไม่เคยมีอาการเช่นนี้มาก่อน Dx: Non-ST Elevation Myocardial Infarction และแพทย์ได้ทำการขยายหลอดเลือดหัวใจด้วย PCI w/DES Rx: Simvastatin 1x1 pc Enalapril 1x1 pc Aspirin 1x1 pc Clopidogrel 1x1 pc Amlodipine 1x1 pc ISDN 1 tab SL prn โรคหัวใจและหลอดเลือด 8 ฝ่ายวิชาการ นิสิตเภสัชศาสตร์ มหาวิทยาลัยศรีนครินทรวิโรฒ รุ่นที่ 19 สหพันธ์นิสิตนักศึกษาเภสัชศาสตร์แห่งประเทศไทย (สนภท.)):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1151" s="2" t="n"/>
      <c r="L1151" s="2" t="inlineStr">
        <is>
          <t>Cardiovascular Diseases</t>
        </is>
      </c>
      <c r="M1151" s="2" t="inlineStr">
        <is>
          <t>Clinic</t>
        </is>
      </c>
      <c r="N1151" s="2" t="inlineStr">
        <is>
          <t>ข้อ 10 (PLE_CC1_Practice_Exam.md)</t>
        </is>
      </c>
      <c r="O1151" s="2" t="inlineStr">
        <is>
          <t>Mock</t>
        </is>
      </c>
      <c r="P1151" s="2" t="inlineStr">
        <is>
          <t>Mock สภาเภสัชฯ Practice</t>
        </is>
      </c>
    </row>
    <row r="1152" ht="13.2" customHeight="1" s="37">
      <c r="A1152" s="8" t="inlineStr">
        <is>
          <t>1173</t>
        </is>
      </c>
      <c r="B1152" s="2" t="inlineStr">
        <is>
          <t>ผู้ป่วยมาพบแพทย์ในครั้งถัดไป พบว่ามีอาการปวดเมื่อยกล้ามเนื้อ ข้อใดน่าจะเป็นสาเหตุ</t>
        </is>
      </c>
      <c r="C1152" s="2" t="n"/>
      <c r="D1152" s="2" t="inlineStr">
        <is>
          <t>อันตรกิริยาระหว่าง Simvastatin และ Enalapril</t>
        </is>
      </c>
      <c r="E1152" s="2" t="inlineStr">
        <is>
          <t>อันตรกิริยาระหว่าง Simvastatin และ Amlodipine</t>
        </is>
      </c>
      <c r="F1152" s="2" t="inlineStr">
        <is>
          <t>อันตรกิริยาระหว่าง Simvastatin และ Aspirin</t>
        </is>
      </c>
      <c r="G1152" s="2" t="inlineStr">
        <is>
          <t>อันตรกิริยาระหว่าง Simvastatin และ Clopidogrel</t>
        </is>
      </c>
      <c r="H1152" s="2" t="inlineStr">
        <is>
          <t>อันตรกิริยาระหว่าง Simvastatin และ ISDN</t>
        </is>
      </c>
      <c r="I1152" s="8" t="inlineStr">
        <is>
          <t>1</t>
        </is>
      </c>
      <c r="J1152" s="2" t="inlineStr">
        <is>
          <t>✅ คำตอบที่ถูกต้อง: ข้อ ก. อันตรกิริยาระหว่าง Simvastatin และ Enalapril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อันตรกิริยาระหว่าง Simvastatin และ Enalapril การเลือก อันตรกิริยาระหว่าง Simvastatin และ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(อันตรกิริยาระหว่าง Simvastatin และ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ค. (อันตรกิริยาระหว่าง Simvastatin และ Aspirin): เป็น moderate-intensity statin เมแทบอไลต์ผ่าน CYP3A4 เด่นชัด ห้ามใช้ dose 80 mg และมี drug interactions สูงกับ CYP3A4 inhibitors (clarithromycin, ketoconazole)
• ข้อ ง. (อันตรกิริยาระหว่าง Simvastatin และ Clopidogrel): เป็น moderate-intensity statin เมแทบอไลต์ผ่าน CYP3A4 เด่นชัด ห้ามใช้ dose 80 mg และมี drug interactions สูงกับ CYP3A4 inhibitors (clarithromycin, ketoconazole)
• ข้อ จ. (อันตรกิริยาระหว่าง Simvastatin และ ISDN): เป็น moderate-intensity statin เมแทบอไลต์ผ่าน CYP3A4 เด่นชัด ห้ามใช้ dose 80 mg และมี drug interactions สูงกับ CYP3A4 inhibitors (clarithromycin,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152" s="2" t="n"/>
      <c r="L1152" s="2" t="inlineStr">
        <is>
          <t>General Therapeutics</t>
        </is>
      </c>
      <c r="M1152" s="2" t="inlineStr">
        <is>
          <t>Clinic</t>
        </is>
      </c>
      <c r="N1152" s="2" t="inlineStr">
        <is>
          <t>ข้อ 3 (PLE_CC1_Practice_Exam.md)</t>
        </is>
      </c>
      <c r="O1152" s="2" t="inlineStr">
        <is>
          <t>Mock</t>
        </is>
      </c>
      <c r="P1152" s="2" t="inlineStr">
        <is>
          <t>Mock สภาเภสัชฯ Practice</t>
        </is>
      </c>
    </row>
    <row r="1153" ht="13.2" customHeight="1" s="37">
      <c r="A1153" s="8" t="inlineStr">
        <is>
          <t>1174</t>
        </is>
      </c>
      <c r="B1153" s="2" t="inlineStr">
        <is>
          <t>ข้อใดคือคำแนะนำสำหรับยา ISDN</t>
        </is>
      </c>
      <c r="C1153" s="2" t="n"/>
      <c r="D1153" s="2" t="inlineStr">
        <is>
          <t>อมใต้ลิ้นโดยกลืนน้ำลายบ่อยๆ เพื่อให้ยาดูดซึมได้เร็วที่สุด</t>
        </is>
      </c>
      <c r="E1153" s="2" t="inlineStr">
        <is>
          <t>หากภายใน 10 นาที อาการยังไม่ดีขึ้น ให้อมเม็ดถัดไป</t>
        </is>
      </c>
      <c r="F1153" s="2" t="inlineStr">
        <is>
          <t>หากอมไปแล้ว 5 เม็ด อาการยังไม่ดีขึ้น ให้รีบไปโรงพยาบาล</t>
        </is>
      </c>
      <c r="G1153" s="2" t="inlineStr">
        <is>
          <t>ถ้าคนไข้ไม่สามารถอมยาได้ ให้กลืนทั้งเม็ด ห้ามเคี้ยวยา</t>
        </is>
      </c>
      <c r="H1153" s="2" t="inlineStr">
        <is>
          <t>ควรอยู่ในท่านั่งก่อนอมยา เนื่องจากยาอาจทำให้หน้ามืดได้</t>
        </is>
      </c>
      <c r="I1153" s="8" t="inlineStr">
        <is>
          <t>1</t>
        </is>
      </c>
      <c r="J1153" s="2" t="inlineStr">
        <is>
          <t>✅ คำตอบที่ถูกต้อง: ข้อ ก. อมใต้ลิ้นโดยกลืนน้ำลายบ่อยๆ เพื่อให้ยาดูดซึมได้เร็วที่สุด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อมใต้ลิ้นโดยกลืนน้ำลายบ่อยๆ เพื่อให้ยาดูดซึมได้เร็วที่สุด การเลือก อมใต้ลิ้นโดยกลืนน้ำลายบ่อยๆ เพื่อให้ยาดูดซึมได้เร็วที่สุด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(หากภายใน 10 นาที อาการยังไม่ดีขึ้น ให้อมเม็ดถัดไป): ข้อนี้ไม่ใช่คำตอบที่ถูกต้องสำหรับภาวะ General Therapeutics เนื่องจากกลไกการออกฤทธิ์, efficacy หรือข้อบ่งใช้ไม่ตรงกับโจทย์ที่กำหนด
• ข้อ ค. (หากอมไปแล้ว 5 เม็ด อาการยังไม่ดีขึ้น ให้รีบไปโรงพยาบาล): ข้อนี้ไม่ใช่คำตอบที่ถูกต้องสำหรับภาวะ General Therapeutics เนื่องจากกลไกการออกฤทธิ์, efficacy หรือข้อบ่งใช้ไม่ตรงกับโจทย์ที่กำหนด
• ข้อ ง. (ถ้าคนไข้ไม่สามารถอมยาได้ ให้กลืนทั้งเม็ด ห้ามเคี้ยวยา): ข้อนี้ไม่ใช่คำตอบที่ถูกต้องสำหรับภาวะ General Therapeutics เนื่องจากกลไกการออกฤทธิ์, efficacy หรือข้อบ่งใช้ไม่ตรงกับโจทย์ที่กำหนด
• ข้อ จ. (ควรอยู่ในท่านั่งก่อนอมยา เนื่องจากยาอาจทำให้หน้ามืดได้):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3" s="2" t="n"/>
      <c r="L1153" s="2" t="inlineStr">
        <is>
          <t>General Therapeutics</t>
        </is>
      </c>
      <c r="M1153" s="2" t="inlineStr">
        <is>
          <t>Clinic</t>
        </is>
      </c>
      <c r="N1153" s="2" t="inlineStr">
        <is>
          <t>ข้อ 4 (PLE_CC1_Practice_Exam.md)</t>
        </is>
      </c>
      <c r="O1153" s="2" t="inlineStr">
        <is>
          <t>Mock</t>
        </is>
      </c>
      <c r="P1153" s="2" t="inlineStr">
        <is>
          <t>Mock สภาเภสัชฯ Practice</t>
        </is>
      </c>
    </row>
    <row r="1154" ht="13.2" customHeight="1" s="37">
      <c r="A1154" s="8" t="inlineStr">
        <is>
          <t>1175</t>
        </is>
      </c>
      <c r="B1154" s="2" t="inlineStr">
        <is>
          <t>ข้อใดไม่ใช่ข้อห้ามใช้ของยาละลายลิ่มเลือด (Fibrinolytics)</t>
        </is>
      </c>
      <c r="C1154" s="2" t="n"/>
      <c r="D1154" s="2" t="inlineStr">
        <is>
          <t>มีประวัติเป็น hemorrhagic stroke</t>
        </is>
      </c>
      <c r="E1154" s="2" t="inlineStr">
        <is>
          <t>ตรวจพบ active internal bleeding</t>
        </is>
      </c>
      <c r="F1154" s="2" t="inlineStr">
        <is>
          <t>ตั้งครรภ์</t>
        </is>
      </c>
      <c r="G1154" s="2" t="inlineStr">
        <is>
          <t>มีประวัติผ่าตัดใหญ่ในรอบ 1 เดือน</t>
        </is>
      </c>
      <c r="H1154" s="2" t="inlineStr">
        <is>
          <t>ความดันโลหิตมากกว่า 150/100 mmHg</t>
        </is>
      </c>
      <c r="I1154" s="8" t="inlineStr">
        <is>
          <t>1</t>
        </is>
      </c>
      <c r="J1154" s="2" t="inlineStr">
        <is>
          <t>✅ คำตอบที่ถูกต้อง: ข้อ ก. มีประวัติเป็น hemorrhagic stroke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มีประวัติเป็น hemorrhagic stroke การเลือก มีประวัติเป็น hemorrhagic stroke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(ตรวจพบ active internal bleeding): ข้อนี้ไม่ใช่คำตอบที่ถูกต้องสำหรับภาวะ General Therapeutics เนื่องจากกลไกการออกฤทธิ์, efficacy หรือข้อบ่งใช้ไม่ตรงกับโจทย์ที่กำหนด
• ข้อ ค. (ตั้งครรภ์): ข้อนี้ไม่ใช่คำตอบที่ถูกต้องสำหรับภาวะ General Therapeutics เนื่องจากกลไกการออกฤทธิ์, efficacy หรือข้อบ่งใช้ไม่ตรงกับโจทย์ที่กำหนด
• ข้อ ง. (มีประวัติผ่าตัดใหญ่ในรอบ 1 เดือน): ข้อนี้ไม่ใช่คำตอบที่ถูกต้องสำหรับภาวะ General Therapeutics เนื่องจากกลไกการออกฤทธิ์, efficacy หรือข้อบ่งใช้ไม่ตรงกับโจทย์ที่กำหนด
• ข้อ จ. (ความดันโลหิตมากกว่า 150/100 mmHg):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4" s="2" t="n"/>
      <c r="L1154" s="2" t="inlineStr">
        <is>
          <t>General Therapeutics</t>
        </is>
      </c>
      <c r="M1154" s="2" t="inlineStr">
        <is>
          <t>Clinic</t>
        </is>
      </c>
      <c r="N1154" s="2" t="inlineStr">
        <is>
          <t>ข้อ 8 (PLE_CC1_Practice_Exam.md)</t>
        </is>
      </c>
      <c r="O1154" s="2" t="inlineStr">
        <is>
          <t>Mock</t>
        </is>
      </c>
      <c r="P1154" s="2" t="inlineStr">
        <is>
          <t>Mock สภาเภสัชฯ Practice</t>
        </is>
      </c>
    </row>
    <row r="1155" ht="13.2" customHeight="1" s="37">
      <c r="A1155" s="8" t="inlineStr">
        <is>
          <t>1176</t>
        </is>
      </c>
      <c r="B1155" s="2" t="inlineStr">
        <is>
          <t>มีประวัติเป็น hemorrhagic stroke</t>
        </is>
      </c>
      <c r="C1155" s="2" t="n"/>
      <c r="D1155" s="2" t="inlineStr">
        <is>
          <t>Gabapentin 300 mg TID</t>
        </is>
      </c>
      <c r="E1155" s="2" t="inlineStr">
        <is>
          <t>Pregabalin 75 mg BID</t>
        </is>
      </c>
      <c r="F1155" s="2" t="inlineStr">
        <is>
          <t>Levodopa/Benserazide 100/25 mg TID</t>
        </is>
      </c>
      <c r="G1155" s="2" t="inlineStr">
        <is>
          <t>Sumatriptan 50 mg stat</t>
        </is>
      </c>
      <c r="H1155" s="2" t="inlineStr">
        <is>
          <t>Propranolol 40 mg BID</t>
        </is>
      </c>
      <c r="I1155" s="8" t="inlineStr">
        <is>
          <t>1</t>
        </is>
      </c>
      <c r="J1155" s="2" t="inlineStr">
        <is>
          <t>✅ คำตอบที่ถูกต้อง: ข้อ ก. Gabapentin 300 mg TID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Gabapentin 300 mg TID การเลือก Gabapentin 300 mg TID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(Pregabalin 75 mg BID): ข้อนี้ไม่ใช่คำตอบที่ถูกต้องสำหรับภาวะ Neurologic Disorders เนื่องจากกลไกการออกฤทธิ์, efficacy หรือข้อบ่งใช้ไม่ตรงกับโจทย์ที่กำหนด
• ข้อ ค.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ง. (Sumatriptan 50 mg stat): เป็น 5-HT1B/1D agonist หดหลอดเลือดสมอง ใช้รักษา acute moderate-to-severe migraine attack แต่ contraindication ใน ischemic heart disease, uncontrolled HTN, stroke
• ข้อ จ. (Propranolol 40 mg BID): เป็น non-selective beta-blocker ข้าม blood-brain barrier ได้ดี เหมาะสำหรับ performance anxiety, essential tremor, migraine prophylaxis และ thyroid storm แต่ contraindication ใน asthma
📖 Guideline อ้างอิง:
แนวทางการรักษาโรคหลอดเลือดสมองตีบหรืออุดตันสำหรับแพทย์ พ.ศ. 2562 (สถาบันประสาทวิทยา กรมการแพทย์) &amp; 2019 AHA/ASA Acute Ischemic Stroke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5" s="2" t="n"/>
      <c r="L1155" s="2" t="inlineStr">
        <is>
          <t>Neurologic Disorders</t>
        </is>
      </c>
      <c r="M1155" s="2" t="inlineStr">
        <is>
          <t>Clinic</t>
        </is>
      </c>
      <c r="N1155" s="2" t="inlineStr">
        <is>
          <t>ข้อ 1 (PLE_CC1_Practice_Exam.md)</t>
        </is>
      </c>
      <c r="O1155" s="2" t="inlineStr">
        <is>
          <t>Mock</t>
        </is>
      </c>
      <c r="P1155" s="2" t="inlineStr">
        <is>
          <t>Mock สภาเภสัชฯ Practice</t>
        </is>
      </c>
    </row>
    <row r="1156" ht="13.2" customHeight="1" s="37">
      <c r="A1156" s="8" t="inlineStr">
        <is>
          <t>1177</t>
        </is>
      </c>
      <c r="B1156" s="2" t="inlineStr">
        <is>
          <t>มีประวัติเป็น non-hemorrhagic stroke ในระยะ 1 ปีที่ผ่านมา</t>
        </is>
      </c>
      <c r="C1156" s="2" t="n"/>
      <c r="D1156" s="2" t="inlineStr">
        <is>
          <t>Sumatriptan 50 mg stat</t>
        </is>
      </c>
      <c r="E1156" s="2" t="inlineStr">
        <is>
          <t>Propranolol 40 mg BID</t>
        </is>
      </c>
      <c r="F1156" s="2" t="inlineStr">
        <is>
          <t>Topiramate 25 mg BID</t>
        </is>
      </c>
      <c r="G1156" s="2" t="inlineStr">
        <is>
          <t>Donepezil 5 mg HS</t>
        </is>
      </c>
      <c r="H1156" s="2" t="inlineStr">
        <is>
          <t>Alteplase (rtPA) 0.9 mg/kg IV</t>
        </is>
      </c>
      <c r="I1156" s="8" t="inlineStr">
        <is>
          <t>1</t>
        </is>
      </c>
      <c r="J1156" s="2" t="inlineStr">
        <is>
          <t>✅ คำตอบที่ถูกต้อง: ข้อ ก. Sumatriptan 50 mg stat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(Propranolol 40 mg BID): เป็น non-selective beta-blocker ข้าม blood-brain barrier ได้ดี เหมาะสำหรับ performance anxiety, essential tremor, migraine prophylaxis และ thyroid storm แต่ contraindication ใน asthma
• ข้อ ค. (Topiramate 25 mg BID): เป็น carbonic anhydrase inhibitor และ glutamate blocker ทำให้เกิดน้ำหนักลด สมาธิลดลง นิ่วในไต และ secondary angle-closure glaucoma
• ข้อ ง. (Donepezil 5 mg HS): ข้อนี้ไม่ใช่คำตอบที่ถูกต้องสำหรับภาวะ Neurologic Disorders เนื่องจากกลไกการออกฤทธิ์, efficacy หรือข้อบ่งใช้ไม่ตรงกับโจทย์ที่กำหนด
• ข้อ จ. (Alteplase (rtPA) 0.9 mg/kg IV):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แนวทางการรักษาโรคหลอดเลือดสมองตีบหรืออุดตันสำหรับแพทย์ พ.ศ. 2562 (สถาบันประสาทวิทยา กรมการแพทย์) &amp; 2019 AHA/ASA Acute Ischemic Stroke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6" s="2" t="n"/>
      <c r="L1156" s="2" t="inlineStr">
        <is>
          <t>Neurologic Disorders</t>
        </is>
      </c>
      <c r="M1156" s="2" t="inlineStr">
        <is>
          <t>Clinic</t>
        </is>
      </c>
      <c r="N1156" s="2" t="inlineStr">
        <is>
          <t>ข้อ 2 (PLE_CC1_Practice_Exam.md)</t>
        </is>
      </c>
      <c r="O1156" s="2" t="inlineStr">
        <is>
          <t>Mock</t>
        </is>
      </c>
      <c r="P1156" s="2" t="inlineStr">
        <is>
          <t>Mock สภาเภสัชฯ Practice</t>
        </is>
      </c>
    </row>
    <row r="1157" ht="13.2" customHeight="1" s="37">
      <c r="A1157" s="8" t="inlineStr">
        <is>
          <t>1178</t>
        </is>
      </c>
      <c r="B1157" s="2" t="inlineStr">
        <is>
          <t>ตรวจพบเลือดออกในอวัยวะภายใน เช่น เลือดออกทางเดินอาหาร เลือดออกภายในช่องท้อง</t>
        </is>
      </c>
      <c r="C1157" s="2" t="n"/>
      <c r="D1157" s="2" t="inlineStr">
        <is>
          <t>Sodium thiosulfate 25% 50 mL IV</t>
        </is>
      </c>
      <c r="E1157" s="2" t="inlineStr">
        <is>
          <t>Calcium disodium EDTA 1 g IV</t>
        </is>
      </c>
      <c r="F1157" s="2" t="inlineStr">
        <is>
          <t>Desferrioxamine 1 g IM/IV</t>
        </is>
      </c>
      <c r="G1157" s="2" t="inlineStr">
        <is>
          <t>Dimercaprol (BAL) 3 mg/kg IM</t>
        </is>
      </c>
      <c r="H1157" s="2" t="inlineStr">
        <is>
          <t>Ethanol 10% IV infusion for Methanol poisoning</t>
        </is>
      </c>
      <c r="I1157" s="8" t="inlineStr">
        <is>
          <t>1</t>
        </is>
      </c>
      <c r="J11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7" s="2" t="n"/>
      <c r="L1157" s="2" t="inlineStr">
        <is>
          <t>General Therapeutics</t>
        </is>
      </c>
      <c r="M1157" s="2" t="inlineStr">
        <is>
          <t>Clinic</t>
        </is>
      </c>
      <c r="N1157" s="2" t="inlineStr">
        <is>
          <t>ข้อ 3 (PLE_CC1_Practice_Exam.md)</t>
        </is>
      </c>
      <c r="O1157" s="2" t="inlineStr">
        <is>
          <t>Mock</t>
        </is>
      </c>
      <c r="P1157" s="2" t="inlineStr">
        <is>
          <t>Mock สภาเภสัชฯ Practice</t>
        </is>
      </c>
    </row>
    <row r="1158" ht="13.2" customHeight="1" s="37">
      <c r="A1158" s="8" t="inlineStr">
        <is>
          <t>1179</t>
        </is>
      </c>
      <c r="B1158" s="2" t="inlineStr">
        <is>
          <t>เคยได้รับบาดเจ็บรุนแรงหรือเคยผ่าตัดใหญ่ภายในเวลา 4 สัปดาห์</t>
        </is>
      </c>
      <c r="C1158" s="2" t="n"/>
      <c r="D1158" s="2" t="inlineStr">
        <is>
          <t>Dimercaprol (BAL) 3 mg/kg IM</t>
        </is>
      </c>
      <c r="E1158" s="2" t="inlineStr">
        <is>
          <t>Ethanol 10% IV infusion for Methanol poisoning</t>
        </is>
      </c>
      <c r="F1158" s="2" t="inlineStr">
        <is>
          <t>Fomepizole 15 mg/kg IV loading</t>
        </is>
      </c>
      <c r="G1158" s="2" t="inlineStr">
        <is>
          <t>N-acetylcysteine (NAC) IV infusion protocol</t>
        </is>
      </c>
      <c r="H1158" s="2" t="inlineStr">
        <is>
          <t>Atropine sulfate 2 mg IV Q5-10 min</t>
        </is>
      </c>
      <c r="I1158" s="8" t="inlineStr">
        <is>
          <t>1</t>
        </is>
      </c>
      <c r="J11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8" s="2" t="n"/>
      <c r="L1158" s="2" t="inlineStr">
        <is>
          <t>General Therapeutics</t>
        </is>
      </c>
      <c r="M1158" s="2" t="inlineStr">
        <is>
          <t>Clinic</t>
        </is>
      </c>
      <c r="N1158" s="2" t="inlineStr">
        <is>
          <t>ข้อ 4 (PLE_CC1_Practice_Exam.md)</t>
        </is>
      </c>
      <c r="O1158" s="2" t="inlineStr">
        <is>
          <t>Mock</t>
        </is>
      </c>
      <c r="P1158" s="2" t="inlineStr">
        <is>
          <t>Mock สภาเภสัชฯ Practice</t>
        </is>
      </c>
    </row>
    <row r="1159" ht="13.2" customHeight="1" s="37">
      <c r="A1159" s="8" t="inlineStr">
        <is>
          <t>1180</t>
        </is>
      </c>
      <c r="B1159" s="2" t="inlineStr">
        <is>
          <t>สงสัยว่าอาจมีเลือดแดงใหญ่แทรกเซาะ</t>
        </is>
      </c>
      <c r="C1159" s="2" t="n"/>
      <c r="D1159" s="2" t="inlineStr">
        <is>
          <t>N-acetylcysteine (NAC) IV infusion protocol</t>
        </is>
      </c>
      <c r="E1159" s="2" t="inlineStr">
        <is>
          <t>Atropine sulfate 2 mg IV Q5-10 min</t>
        </is>
      </c>
      <c r="F1159" s="2" t="inlineStr">
        <is>
          <t>Pralidoxime (2-PAM) 1-2 g IV over 30 min</t>
        </is>
      </c>
      <c r="G1159" s="2" t="inlineStr">
        <is>
          <t>Naloxone 0.4 mg IV stat</t>
        </is>
      </c>
      <c r="H1159" s="2" t="inlineStr">
        <is>
          <t>Flumazenil 0.2 mg IV stat</t>
        </is>
      </c>
      <c r="I1159" s="8" t="inlineStr">
        <is>
          <t>1</t>
        </is>
      </c>
      <c r="J11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159" s="2" t="n"/>
      <c r="L1159" s="2" t="inlineStr">
        <is>
          <t>General Therapeutics</t>
        </is>
      </c>
      <c r="M1159" s="2" t="inlineStr">
        <is>
          <t>Clinic</t>
        </is>
      </c>
      <c r="N1159" s="2" t="inlineStr">
        <is>
          <t>ข้อ 5 (PLE_CC1_Practice_Exam.md)</t>
        </is>
      </c>
      <c r="O1159" s="2" t="inlineStr">
        <is>
          <t>Mock</t>
        </is>
      </c>
      <c r="P1159" s="2" t="inlineStr">
        <is>
          <t>Mock สภาเภสัชฯ Practice</t>
        </is>
      </c>
    </row>
    <row r="1160" ht="13.2" customHeight="1" s="37">
      <c r="A1160" s="8" t="inlineStr">
        <is>
          <t>1181</t>
        </is>
      </c>
      <c r="B1160" s="2" t="inlineStr">
        <is>
          <t>8. ได้รับการกู้ชีพ (CPR) นานเกิน 10 นาที หรือมีการบาดเจ็บรุนแรงจากการกู้ชีพ</t>
        </is>
      </c>
      <c r="C1160" s="2" t="n"/>
      <c r="D1160" s="2" t="inlineStr">
        <is>
          <t>Naloxone 0.4 mg IV stat</t>
        </is>
      </c>
      <c r="E1160" s="2" t="inlineStr">
        <is>
          <t>Flumazenil 0.2 mg IV stat</t>
        </is>
      </c>
      <c r="F1160" s="2" t="inlineStr">
        <is>
          <t>Vitamin K1 (Phytomenadione) 10 mg IV slow</t>
        </is>
      </c>
      <c r="G1160" s="2" t="inlineStr">
        <is>
          <t>Sodium thiosulfate 25% 50 mL IV</t>
        </is>
      </c>
      <c r="H1160" s="2" t="inlineStr">
        <is>
          <t>Calcium disodium EDTA 1 g IV</t>
        </is>
      </c>
      <c r="I1160" s="8" t="inlineStr">
        <is>
          <t>1</t>
        </is>
      </c>
      <c r="J11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160" s="2" t="n"/>
      <c r="L1160" s="2" t="inlineStr">
        <is>
          <t>General Therapeutics</t>
        </is>
      </c>
      <c r="M1160" s="2" t="inlineStr">
        <is>
          <t>Clinic</t>
        </is>
      </c>
      <c r="N1160" s="2" t="inlineStr">
        <is>
          <t>ข้อ 2 (PLE_CC1_Practice_Exam.md)</t>
        </is>
      </c>
      <c r="O1160" s="2" t="inlineStr">
        <is>
          <t>Mock</t>
        </is>
      </c>
      <c r="P1160" s="2" t="inlineStr">
        <is>
          <t>Mock สภาเภสัชฯ Practice</t>
        </is>
      </c>
    </row>
    <row r="1161" ht="13.2" customHeight="1" s="37">
      <c r="A1161" s="8" t="inlineStr">
        <is>
          <t>1182</t>
        </is>
      </c>
      <c r="B1161" s="2" t="inlineStr">
        <is>
          <t>อาการของผู้ป่วยเข้าได้กับโรคใด</t>
        </is>
      </c>
      <c r="C1161" s="2" t="n"/>
      <c r="D1161" s="2" t="inlineStr">
        <is>
          <t>COPD</t>
        </is>
      </c>
      <c r="E1161" s="2" t="inlineStr">
        <is>
          <t>Common cold</t>
        </is>
      </c>
      <c r="F1161" s="2" t="inlineStr">
        <is>
          <t>Allergic rhinitis</t>
        </is>
      </c>
      <c r="G1161" s="2" t="inlineStr">
        <is>
          <t>Bronchitis</t>
        </is>
      </c>
      <c r="H1161" s="2" t="inlineStr">
        <is>
          <t>Asthma</t>
        </is>
      </c>
      <c r="I1161" s="8" t="inlineStr">
        <is>
          <t>1</t>
        </is>
      </c>
      <c r="J1161" s="2" t="inlineStr">
        <is>
          <t>✅ คำตอบที่ถูกต้อง: ข้อ ก. COPD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COPD การเลือก COPD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(Common cold): ข้อนี้ไม่ใช่คำตอบที่ถูกต้องสำหรับภาวะ General Therapeutics เนื่องจากกลไกการออกฤทธิ์, efficacy หรือข้อบ่งใช้ไม่ตรงกับโจทย์ที่กำหนด
• ข้อ ค. (Allergic rhinitis): ข้อนี้ไม่ใช่คำตอบที่ถูกต้องสำหรับภาวะ General Therapeutics เนื่องจากกลไกการออกฤทธิ์, efficacy หรือข้อบ่งใช้ไม่ตรงกับโจทย์ที่กำหนด
• ข้อ ง. (Bronchitis): ข้อนี้ไม่ใช่คำตอบที่ถูกต้องสำหรับภาวะ General Therapeutics เนื่องจากกลไกการออกฤทธิ์, efficacy หรือข้อบ่งใช้ไม่ตรงกับโจทย์ที่กำหนด
• ข้อ จ. (Asthma):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1" s="2" t="n"/>
      <c r="L1161" s="2" t="inlineStr">
        <is>
          <t>General Therapeutics</t>
        </is>
      </c>
      <c r="M1161" s="2" t="inlineStr">
        <is>
          <t>Clinic</t>
        </is>
      </c>
      <c r="N1161" s="2" t="inlineStr">
        <is>
          <t>ข้อ 1 (PLE_CC1_Practice_Exam.md)</t>
        </is>
      </c>
      <c r="O1161" s="2" t="inlineStr">
        <is>
          <t>Mock</t>
        </is>
      </c>
      <c r="P1161" s="2" t="inlineStr">
        <is>
          <t>Mock สภาเภสัชฯ Practice</t>
        </is>
      </c>
    </row>
    <row r="1162" ht="13.2" customHeight="1" s="37">
      <c r="A1162" s="8" t="inlineStr">
        <is>
          <t>1183</t>
        </is>
      </c>
      <c r="B1162" s="2" t="inlineStr">
        <is>
          <t>ประเภทและความรุนแรงของโรคในผู้ป่วยรายนี้อยู่ในระดับใด</t>
        </is>
      </c>
      <c r="C1162" s="2" t="n"/>
      <c r="D1162" s="2" t="inlineStr">
        <is>
          <t>Intermittent, mild</t>
        </is>
      </c>
      <c r="E1162" s="2" t="inlineStr">
        <is>
          <t>Persistent, moderate to severe</t>
        </is>
      </c>
      <c r="F1162" s="2" t="inlineStr">
        <is>
          <t>Intermittent, moderate to severe</t>
        </is>
      </c>
      <c r="G1162" s="2" t="inlineStr">
        <is>
          <t>Persistent, mild</t>
        </is>
      </c>
      <c r="H1162" s="2" t="inlineStr">
        <is>
          <t>Seasonal, mild</t>
        </is>
      </c>
      <c r="I1162" s="8" t="inlineStr">
        <is>
          <t>1</t>
        </is>
      </c>
      <c r="J1162" s="2" t="inlineStr">
        <is>
          <t>✅ คำตอบที่ถูกต้อง: ข้อ ก. Intermittent, mild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Intermittent, mild การเลือก Intermittent, mild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(Persistent, moderate to severe): ข้อนี้ไม่ใช่คำตอบที่ถูกต้องสำหรับภาวะ General Therapeutics เนื่องจากกลไกการออกฤทธิ์, efficacy หรือข้อบ่งใช้ไม่ตรงกับโจทย์ที่กำหนด
• ข้อ ค. (Intermittent, moderate to severe): ข้อนี้ไม่ใช่คำตอบที่ถูกต้องสำหรับภาวะ General Therapeutics เนื่องจากกลไกการออกฤทธิ์, efficacy หรือข้อบ่งใช้ไม่ตรงกับโจทย์ที่กำหนด
• ข้อ ง. (Persistent, mild): ข้อนี้ไม่ใช่คำตอบที่ถูกต้องสำหรับภาวะ General Therapeutics เนื่องจากกลไกการออกฤทธิ์, efficacy หรือข้อบ่งใช้ไม่ตรงกับโจทย์ที่กำหนด
• ข้อ จ. (Seasonal, mild):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2" s="2" t="n"/>
      <c r="L1162" s="2" t="inlineStr">
        <is>
          <t>General Therapeutics</t>
        </is>
      </c>
      <c r="M1162" s="2" t="inlineStr">
        <is>
          <t>Clinic</t>
        </is>
      </c>
      <c r="N1162" s="2" t="inlineStr">
        <is>
          <t>ข้อ 2 (PLE_CC1_Practice_Exam.md)</t>
        </is>
      </c>
      <c r="O1162" s="2" t="inlineStr">
        <is>
          <t>Mock</t>
        </is>
      </c>
      <c r="P1162" s="2" t="inlineStr">
        <is>
          <t>Mock สภาเภสัชฯ Practice</t>
        </is>
      </c>
    </row>
    <row r="1163" ht="13.2" customHeight="1" s="37">
      <c r="A1163" s="8" t="inlineStr">
        <is>
          <t>1184</t>
        </is>
      </c>
      <c r="B1163" s="2" t="inlineStr">
        <is>
          <t>ยาที่เหมาะสมสำหรับผู้ป่วยรายนี้คือข้อใด</t>
        </is>
      </c>
      <c r="C1163" s="2" t="n"/>
      <c r="D1163" s="2" t="inlineStr">
        <is>
          <t>Oral fexofenadine</t>
        </is>
      </c>
      <c r="E1163" s="2" t="inlineStr">
        <is>
          <t>Nasal budesonide</t>
        </is>
      </c>
      <c r="F1163" s="2" t="inlineStr">
        <is>
          <t>Oral montelukast</t>
        </is>
      </c>
      <c r="G1163" s="2" t="inlineStr">
        <is>
          <t>Oral fexofenadine + montelukast</t>
        </is>
      </c>
      <c r="H1163" s="2" t="inlineStr">
        <is>
          <t>Intranasal oxymetazoline 19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1163" s="8" t="inlineStr">
        <is>
          <t>1</t>
        </is>
      </c>
      <c r="J1163" s="2" t="inlineStr">
        <is>
          <t>✅ คำตอบที่ถูกต้อง: ข้อ ก. Oral fexofenadine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Oral fexofenadine การเลือก Oral fexofenadine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ข. (Nasal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(Oral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(Oral fexofenadine + montelukast):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(Intranasal oxymetazoline 19 โรคระบบหายใจ นักศึกษาเภสัชศาสตร์ชั้นปีที่ 4 รุ่นที่ 28 มหาวิทยาลัยรังสิต สหพันธ์นิสิตนักศึกษาเภสัชศาสตร์แห่งประเทศไทย (สนภท.)): เป็น topical alpha-1 agonist ยาพ่นจมูกลดบวม ห้ามใช้ติดต่อกันเกิน 3-5 วัน เนื่องจากเสี่ยงต่อการเกิด rebound congestion (Rhinitis medicamentosa)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3" s="2" t="n"/>
      <c r="L1163" s="2" t="inlineStr">
        <is>
          <t>General Therapeutics</t>
        </is>
      </c>
      <c r="M1163" s="2" t="inlineStr">
        <is>
          <t>Clinic</t>
        </is>
      </c>
      <c r="N1163" s="2" t="inlineStr">
        <is>
          <t>ข้อ 3 (PLE_CC1_Practice_Exam.md)</t>
        </is>
      </c>
      <c r="O1163" s="2" t="inlineStr">
        <is>
          <t>Mock</t>
        </is>
      </c>
      <c r="P1163" s="2" t="inlineStr">
        <is>
          <t>Mock สภาเภสัชฯ Practice</t>
        </is>
      </c>
    </row>
    <row r="1164" ht="13.2" customHeight="1" s="37">
      <c r="A1164" s="8" t="inlineStr">
        <is>
          <t>1185</t>
        </is>
      </c>
      <c r="B1164" s="2" t="inlineStr">
        <is>
          <t>คำแนะนำเกี่ยวกับการใช้ยาที่เหมาะสมสำหรับผู้ป่วยรายนี้คือข้อใด</t>
        </is>
      </c>
      <c r="C1164" s="2" t="n"/>
      <c r="D1164" s="2" t="inlineStr">
        <is>
          <t>ยาสามารถออกฤทธิ์ได้ภายใน 10 นาทีหลังพ่น</t>
        </is>
      </c>
      <c r="E1164" s="2" t="inlineStr">
        <is>
          <t>ผู้ป่วยต้องใช้ยาติดต่อกันอย่างสม่ำเสมอเป็นเวลา 2 สัปดาห์</t>
        </is>
      </c>
      <c r="F1164" s="2" t="inlineStr">
        <is>
          <t>ไม่ควรใช้ยาต่อเนื่องกันเกิน 5 วัน</t>
        </is>
      </c>
      <c r="G1164" s="2" t="inlineStr">
        <is>
          <t>ยานี้อาจทำให้ง่วง</t>
        </is>
      </c>
      <c r="H1164" s="2" t="inlineStr">
        <is>
          <t>สามารถหยุดยาได้ทันทีหากไม่มีอาการ</t>
        </is>
      </c>
      <c r="I1164" s="8" t="inlineStr">
        <is>
          <t>1</t>
        </is>
      </c>
      <c r="J1164" s="2" t="inlineStr">
        <is>
          <t>✅ คำตอบที่ถูกต้อง: ข้อ ก. ยาสามารถออกฤทธิ์ได้ภายใน 10 นาทีหลังพ่น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ยาสามารถออกฤทธิ์ได้ภายใน 10 นาทีหลังพ่น การเลือก ยาสามารถออกฤทธิ์ได้ภายใน 10 นาทีหลังพ่น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(ผู้ป่วยต้องใช้ยาติดต่อกันอย่างสม่ำเสมอเป็นเวลา 2 สัปดาห์): ข้อนี้ไม่ใช่คำตอบที่ถูกต้องสำหรับภาวะ General Therapeutics เนื่องจากกลไกการออกฤทธิ์, efficacy หรือข้อบ่งใช้ไม่ตรงกับโจทย์ที่กำหนด
• ข้อ ค. (ไม่ควรใช้ยาต่อเนื่องกันเกิน 5 วัน): ข้อนี้ไม่ใช่คำตอบที่ถูกต้องสำหรับภาวะ General Therapeutics เนื่องจากกลไกการออกฤทธิ์, efficacy หรือข้อบ่งใช้ไม่ตรงกับโจทย์ที่กำหนด
• ข้อ ง. (ยานี้อาจทำให้ง่วง): ข้อนี้ไม่ใช่คำตอบที่ถูกต้องสำหรับภาวะ General Therapeutics เนื่องจากกลไกการออกฤทธิ์, efficacy หรือข้อบ่งใช้ไม่ตรงกับโจทย์ที่กำหนด
• ข้อ จ. (สามารถหยุดยาได้ทันทีหากไม่มีอาการ):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4" s="2" t="n"/>
      <c r="L1164" s="2" t="inlineStr">
        <is>
          <t>General Therapeutics</t>
        </is>
      </c>
      <c r="M1164" s="2" t="inlineStr">
        <is>
          <t>Clinic</t>
        </is>
      </c>
      <c r="N1164" s="2" t="inlineStr">
        <is>
          <t>ข้อ 4 (PLE_CC1_Practice_Exam.md)</t>
        </is>
      </c>
      <c r="O1164" s="2" t="inlineStr">
        <is>
          <t>Mock</t>
        </is>
      </c>
      <c r="P1164" s="2" t="inlineStr">
        <is>
          <t>Mock สภาเภสัชฯ Practice</t>
        </is>
      </c>
    </row>
    <row r="1165" ht="13.2" customHeight="1" s="37">
      <c r="A1165" s="8" t="inlineStr">
        <is>
          <t>1186</t>
        </is>
      </c>
      <c r="B1165" s="2" t="inlineStr">
        <is>
          <t>เมื่อผู้ป่วยได้รับยาตามกำหนดแล้ว 2 สัปดาห์มาที่ร้านใหม่พบว่ามีอาการดีขึ้น ควรทำอย่างไรกับผู้ป่วย รายนี้</t>
        </is>
      </c>
      <c r="C1165" s="2" t="n"/>
      <c r="D1165" s="2" t="inlineStr">
        <is>
          <t>ลดขนาดยาลงและให้ยาต่ออีกมากกว่า 1 เดือน</t>
        </is>
      </c>
      <c r="E1165" s="2" t="inlineStr">
        <is>
          <t>ให้ผู้ป่วยสามารถหยุดยาได้ทันที</t>
        </is>
      </c>
      <c r="F1165" s="2" t="inlineStr">
        <is>
          <t>ให้ยาต่ออีก 1 เดือน</t>
        </is>
      </c>
      <c r="G1165" s="2" t="inlineStr">
        <is>
          <t>เปลี่ยนยาไปเป็น sodium cromoglycate</t>
        </is>
      </c>
      <c r="H1165" s="2" t="inlineStr">
        <is>
          <t>เพิ่ม oral fexofenadine</t>
        </is>
      </c>
      <c r="I1165" s="8" t="inlineStr">
        <is>
          <t>1</t>
        </is>
      </c>
      <c r="J1165" s="2" t="inlineStr">
        <is>
          <t>✅ คำตอบที่ถูกต้อง: ข้อ ก. ลดขนาดยาลงและให้ยาต่ออีกมากกว่า 1 เดือน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ลดขนาดยาลงและให้ยาต่ออีกมากกว่า 1 เดือน การเลือก ลดขนาดยาลงและให้ยาต่ออีกมากกว่า 1 เดือน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(ให้ผู้ป่วยสามารถหยุดยาได้ทันที): ข้อนี้ไม่ใช่คำตอบที่ถูกต้องสำหรับภาวะ General Therapeutics เนื่องจากกลไกการออกฤทธิ์, efficacy หรือข้อบ่งใช้ไม่ตรงกับโจทย์ที่กำหนด
• ข้อ ค. (ให้ยาต่ออีก 1 เดือน): ข้อนี้ไม่ใช่คำตอบที่ถูกต้องสำหรับภาวะ General Therapeutics เนื่องจากกลไกการออกฤทธิ์, efficacy หรือข้อบ่งใช้ไม่ตรงกับโจทย์ที่กำหนด
• ข้อ ง. (เปลี่ยนยาไปเป็น sodium cromoglycate): ข้อนี้ไม่ใช่คำตอบที่ถูกต้องสำหรับภาวะ General Therapeutics เนื่องจากกลไกการออกฤทธิ์, efficacy หรือข้อบ่งใช้ไม่ตรงกับโจทย์ที่กำหนด
• ข้อ จ. (เพิ่ม oral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65" s="2" t="n"/>
      <c r="L1165" s="2" t="inlineStr">
        <is>
          <t>General Therapeutics</t>
        </is>
      </c>
      <c r="M1165" s="2" t="inlineStr">
        <is>
          <t>Clinic</t>
        </is>
      </c>
      <c r="N1165" s="2" t="inlineStr">
        <is>
          <t>ข้อ 6 (PLE_CC1_Practice_Exam.md)</t>
        </is>
      </c>
      <c r="O1165" s="2" t="inlineStr">
        <is>
          <t>Mock</t>
        </is>
      </c>
      <c r="P1165" s="2" t="inlineStr">
        <is>
          <t>Mock สภาเภสัชฯ Practice</t>
        </is>
      </c>
    </row>
    <row r="1166" ht="13.2" customHeight="1" s="37">
      <c r="A1166" s="8" t="inlineStr">
        <is>
          <t>1187</t>
        </is>
      </c>
      <c r="B1166" s="2" t="inlineStr">
        <is>
          <t>ข้อใดไม่ถูกต้องเกี่ยวกับยาสเตียรอยด์พ่นจมูก</t>
        </is>
      </c>
      <c r="C1166" s="2" t="n"/>
      <c r="D1166" s="2" t="inlineStr">
        <is>
          <t>เป็นยาที่มีประสิทธิภาพสูงในการรักษาโรคจมูกอักเสบภูมิแพ้</t>
        </is>
      </c>
      <c r="E1166" s="2" t="inlineStr">
        <is>
          <t>การให้ยาพ่นจมูกสเตียรอยด์ควรประเมินผลการรักษาที่ 2-4 สัปดาห์หลังรักษา</t>
        </is>
      </c>
      <c r="F1166" s="2" t="inlineStr">
        <is>
          <t>อาจเกิดผลข้างเคียงเฉพาะที่เล็กน้อย เช่น จาม แสบร้อนหรือระคายเยื่อบุจมูกหลังพ่นยา</t>
        </is>
      </c>
      <c r="G1166" s="2" t="inlineStr">
        <is>
          <t>ออกฤทธิ์ลดการอักเสบจากภูมิแพ้ได้เร็ว</t>
        </is>
      </c>
      <c r="H1166" s="2" t="inlineStr">
        <is>
          <t>ไม่แนะนำให้ใช้ยาสเตียรอยด์ชนิดฉีด หัวข้อเรื่อง COPD</t>
        </is>
      </c>
      <c r="I1166" s="8" t="inlineStr">
        <is>
          <t>1</t>
        </is>
      </c>
      <c r="J1166" s="2" t="inlineStr">
        <is>
          <t>✅ คำตอบที่ถูกต้อง: ข้อ ก. เป็นยาที่มีประสิทธิภาพสูงในการรักษาโรคจมูกอักเสบภูมิแพ้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เป็นยาที่มีประสิทธิภาพสูงในการรักษาโรคจมูกอักเสบภูมิแพ้ เป็นยาที่มี efficacy สูงในการรักษาโรคจมูกอักเสบภูมิแพ้ เป็นยาที่มี efficacy สูงในการรักษาโรคจมูกอักเสบภูมิแพ้ เป็นยาที่มี efficacy สูงในการรักษาโรคจมูกอักเสบภูมิแพ้ การเลือก เป็นยาที่มี efficacy สูงในการรักษาโรคจมูกอักเสบภูมิแพ้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(การให้ยาพ่นจมูกสเตียรอยด์ควรประเมินผลการรักษาที่ 2-4 สัปดาห์หลังรักษา): ข้อนี้ไม่ใช่คำตอบที่ถูกต้องสำหรับภาวะ General Therapeutics เนื่องจากกลไกการออกฤทธิ์, efficacy หรือข้อบ่งใช้ไม่ตรงกับโจทย์ที่กำหนด
• ข้อ ค. (อาจเกิดผลข้างเคียงเฉพาะที่เล็กน้อย เช่น จาม แสบร้อนหรือระคายเยื่อบุจมูกหลังพ่นยา): ข้อนี้ไม่ใช่คำตอบที่ถูกต้องสำหรับภาวะ General Therapeutics เนื่องจากกลไกการออกฤทธิ์, efficacy หรือข้อบ่งใช้ไม่ตรงกับโจทย์ที่กำหนด
• ข้อ ง. (ออกฤทธิ์ลดการอักเสบจากภูมิแพ้ได้เร็ว): ข้อนี้ไม่ใช่คำตอบที่ถูกต้องสำหรับภาวะ General Therapeutics เนื่องจากกลไกการออกฤทธิ์, efficacy หรือข้อบ่งใช้ไม่ตรงกับโจทย์ที่กำหนด
• ข้อ จ. (ไม่แนะนำให้ใช้ยาสเตียรอยด์ชนิดฉีด หัวข้อเรื่อง COPD):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6" s="2" t="n"/>
      <c r="L1166" s="2" t="inlineStr">
        <is>
          <t>General Therapeutics</t>
        </is>
      </c>
      <c r="M1166" s="2" t="inlineStr">
        <is>
          <t>Clinic</t>
        </is>
      </c>
      <c r="N1166" s="2" t="inlineStr">
        <is>
          <t>ข้อ 14 (PLE_CC1_Practice_Exam.md)</t>
        </is>
      </c>
      <c r="O1166" s="2" t="inlineStr">
        <is>
          <t>Mock</t>
        </is>
      </c>
      <c r="P1166" s="2" t="inlineStr">
        <is>
          <t>Mock สภาเภสัชฯ Practice</t>
        </is>
      </c>
    </row>
    <row r="1167" ht="13.2" customHeight="1" s="37">
      <c r="A1167" s="8" t="inlineStr">
        <is>
          <t>1188</t>
        </is>
      </c>
      <c r="B1167" s="2" t="inlineStr">
        <is>
          <t>ผู้ป่วยรายนี้ควรได้รับการรักษาด้วยยาเริ่มแรก (first-choice) ด้วยวิธีใดถึงจะเหมาะสมที่สุด</t>
        </is>
      </c>
      <c r="C1167" s="2" t="n"/>
      <c r="D1167" s="2" t="inlineStr">
        <is>
          <t>LABA or LAMA</t>
        </is>
      </c>
      <c r="E1167" s="2" t="inlineStr">
        <is>
          <t>LABA and LAMA</t>
        </is>
      </c>
      <c r="F1167" s="2" t="inlineStr">
        <is>
          <t>SABA and/or SAMA theophylline</t>
        </is>
      </c>
      <c r="G1167" s="2" t="inlineStr">
        <is>
          <t>ข และ ค</t>
        </is>
      </c>
      <c r="H1167" s="2" t="inlineStr">
        <is>
          <t>ก, ข และ ค 24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1167" s="8" t="inlineStr">
        <is>
          <t>1</t>
        </is>
      </c>
      <c r="J1167" s="2" t="inlineStr">
        <is>
          <t>✅ คำตอบที่ถูกต้อง: ข้อ ก. LABA or LAMA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LABA or LAMA การเลือก LABA or LAMA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(LABA and LAMA): ข้อนี้ไม่ใช่คำตอบที่ถูกต้องสำหรับภาวะ General Therapeutics เนื่องจากกลไกการออกฤทธิ์, efficacy หรือข้อบ่งใช้ไม่ตรงกับโจทย์ที่กำหนด
• ข้อ ค. (SABA and/or SAMA theophylline): มี narrow therapeutic window (target 5-15 mcg/mL) และ ADR สูง (ใจสั่น คลื่นไส้ ชัก หัวใจเต้นผิดจังหวะ) CPG จึงจัดเป็นเพียงทางเลือกท้ายๆ (alternative)
• ข้อ ง. (ข และ ค): ข้อนี้ไม่ใช่คำตอบที่ถูกต้องสำหรับภาวะ General Therapeutics เนื่องจากกลไกการออกฤทธิ์, efficacy หรือข้อบ่งใช้ไม่ตรงกับโจทย์ที่กำหนด
• ข้อ จ. (ก, ข และ ค 24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7" s="2" t="n"/>
      <c r="L1167" s="2" t="inlineStr">
        <is>
          <t>General Therapeutics</t>
        </is>
      </c>
      <c r="M1167" s="2" t="inlineStr">
        <is>
          <t>Clinic</t>
        </is>
      </c>
      <c r="N1167" s="2" t="inlineStr">
        <is>
          <t>ข้อ 18 (PLE_CC1_Practice_Exam.md)</t>
        </is>
      </c>
      <c r="O1167" s="2" t="inlineStr">
        <is>
          <t>Mock</t>
        </is>
      </c>
      <c r="P1167" s="2" t="inlineStr">
        <is>
          <t>Mock สภาเภสัชฯ Practice</t>
        </is>
      </c>
    </row>
    <row r="1168" ht="13.2" customHeight="1" s="37">
      <c r="A1168" s="8" t="inlineStr">
        <is>
          <t>1189</t>
        </is>
      </c>
      <c r="B1168" s="2" t="inlineStr">
        <is>
          <t>จากข้อ 18 ยาใดเหมาะสมที่สุดที่ผู้ป่วยรายนี้ควรได้รับ</t>
        </is>
      </c>
      <c r="C1168" s="2" t="n"/>
      <c r="D1168" s="2" t="inlineStr">
        <is>
          <t>Salbutamol+Terbutaline</t>
        </is>
      </c>
      <c r="E1168" s="2" t="inlineStr">
        <is>
          <t>Salbutamol+Budesonide</t>
        </is>
      </c>
      <c r="F1168" s="2" t="inlineStr">
        <is>
          <t>Salmeterol+Tiotropium</t>
        </is>
      </c>
      <c r="G1168" s="2" t="inlineStr">
        <is>
          <t>Salmeterol or Tiotropium</t>
        </is>
      </c>
      <c r="H1168" s="2" t="inlineStr">
        <is>
          <t>ค และ ง</t>
        </is>
      </c>
      <c r="I1168" s="8" t="inlineStr">
        <is>
          <t>1</t>
        </is>
      </c>
      <c r="J1168" s="2" t="inlineStr">
        <is>
          <t>✅ คำตอบที่ถูกต้อง: ข้อ ก. Salbutamol+Terbutaline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Salbutamol+Terbutaline การเลือก Salbutamol+Terbutaline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(Salbutamol+Budesonide):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(Salmeterol+Tiotropium): เป็น LABA ที่มี onset ช้า (10-20 นาที) จึงใช้เป็น maintenance bronchodilator เท่านั้น ห้ามใช้เป็น reliever เด็ดขาด
• ข้อ ง. (Salmeterol or Tiotropium): เป็น LABA ที่มี onset ช้า (10-20 นาที) จึงใช้เป็น maintenance bronchodilator เท่านั้น ห้ามใช้เป็น reliever เด็ดขาด
• ข้อ จ. (ค และ 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68" s="2" t="n"/>
      <c r="L1168" s="2" t="inlineStr">
        <is>
          <t>General Therapeutics</t>
        </is>
      </c>
      <c r="M1168" s="2" t="inlineStr">
        <is>
          <t>Clinic</t>
        </is>
      </c>
      <c r="N1168" s="2" t="inlineStr">
        <is>
          <t>ข้อ 19 (PLE_CC1_Practice_Exam.md)</t>
        </is>
      </c>
      <c r="O1168" s="2" t="inlineStr">
        <is>
          <t>Mock</t>
        </is>
      </c>
      <c r="P1168" s="2" t="inlineStr">
        <is>
          <t>Mock สภาเภสัชฯ Practice</t>
        </is>
      </c>
    </row>
    <row r="1169" ht="13.2" customHeight="1" s="37">
      <c r="A1169" s="8" t="inlineStr">
        <is>
          <t>1190</t>
        </is>
      </c>
      <c r="B1169" s="2" t="inlineStr">
        <is>
          <t>สองอาทิตย์ต่อมาผู้ป่วยกลับมาพบแพทย์ด้วยอาการที่ยังควบคุมไม่ค่อยได้ เมื่อดูผลทางห้องปฏิบัติการ พบว่าทุกอย่างเหมือนกับครั้งก่อนที่ผู้ป่วยมาตรวจ แพทย์จึงตัดสินใจให้ผู้ป่วยปรับเปลี่ยนการใช้ยาใหม่ แพทย์จะต้องปรับเปลี่ยนการใช้ยาอย่างไร</t>
        </is>
      </c>
      <c r="C1169" s="2" t="n"/>
      <c r="D1169" s="2" t="inlineStr">
        <is>
          <t>จ่าย salbutamol เพิ่ม</t>
        </is>
      </c>
      <c r="E1169" s="2" t="inlineStr">
        <is>
          <t>จ่าย ICS เพิ่ม</t>
        </is>
      </c>
      <c r="F1169" s="2" t="inlineStr">
        <is>
          <t>จ่าย salmeterol + tiotropium 2 ตัวคู่กัน</t>
        </is>
      </c>
      <c r="G1169" s="2" t="inlineStr">
        <is>
          <t>จ่าย theophylline เพิ่ม</t>
        </is>
      </c>
      <c r="H1169" s="2" t="inlineStr">
        <is>
          <t>ค และ ง</t>
        </is>
      </c>
      <c r="I1169" s="8" t="inlineStr">
        <is>
          <t>1</t>
        </is>
      </c>
      <c r="J1169" s="2" t="inlineStr">
        <is>
          <t>✅ คำตอบที่ถูกต้อง: ข้อ ก. จ่าย salbutamol เพิ่ม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 salbutamol เพิ่ม 💡 คำอธิบายและข้อกำหนดทางกฎหมาย:
💡 คำอธิบายและข้อกำหนดทางกฎหมาย:
การเลือก จ่าย salbutamol เพิ่ม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(จ่าย ICS เพิ่ม): ข้อนี้ไม่ใช่คำตอบที่ถูกต้องสำหรับภาวะ Pharmacy Laws &amp; Ethics เนื่องจากกลไกการออกฤทธิ์, efficacy หรือข้อบ่งใช้ไม่ตรงกับโจทย์ที่กำหนด
• ข้อ ค. (จ่าย salmeterol + tiotropium 2 ตัวคู่กัน): เป็น LABA ที่มี onset ช้า (10-20 นาที) จึงใช้เป็น maintenance bronchodilator เท่านั้น ห้ามใช้เป็น reliever เด็ดขาด
• ข้อ ง. (จ่าย theophylline เพิ่ม): มี narrow therapeutic window (target 5-15 mcg/mL) และ ADR สูง (ใจสั่น คลื่นไส้ ชัก หัวใจเต้นผิดจังหวะ) CPG จึงจัดเป็นเพียงทางเลือกท้ายๆ (alternative)
• ข้อ จ. (ค และ ง):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69" s="2" t="n"/>
      <c r="L1169" s="2" t="inlineStr">
        <is>
          <t>Pharmacy Laws &amp; Ethics</t>
        </is>
      </c>
      <c r="M1169" s="2" t="inlineStr">
        <is>
          <t>SAP</t>
        </is>
      </c>
      <c r="N1169" s="2" t="inlineStr">
        <is>
          <t>ข้อ 20 (PLE_CC1_Practice_Exam.md)</t>
        </is>
      </c>
      <c r="O1169" s="2" t="inlineStr">
        <is>
          <t>Mock</t>
        </is>
      </c>
      <c r="P1169" s="2" t="inlineStr">
        <is>
          <t>Mock สภาเภสัชฯ Practice</t>
        </is>
      </c>
    </row>
    <row r="1170" ht="13.2" customHeight="1" s="37">
      <c r="A1170" s="8" t="inlineStr">
        <is>
          <t>1191</t>
        </is>
      </c>
      <c r="B1170" s="2" t="inlineStr">
        <is>
          <t>ข้อใดต่อไปนี้ ที่ไม่ถูกต้องเกี่ยวกับการวินิจฉัยโรคข้างต้น</t>
        </is>
      </c>
      <c r="C1170" s="2" t="n"/>
      <c r="D1170" s="2" t="inlineStr">
        <is>
          <t>มีอาการไอเรื้อรัง</t>
        </is>
      </c>
      <c r="E1170" s="2" t="inlineStr">
        <is>
          <t>มีประวัติการสูบบุหรี่</t>
        </is>
      </c>
      <c r="F1170" s="2" t="inlineStr">
        <is>
          <t>ใช้ GOLD guideline ในการประเมินความรุนแรง</t>
        </is>
      </c>
      <c r="G1170" s="2" t="inlineStr">
        <is>
          <t>มีการตอบสนองภายหลังการใช้ยาขยายหลอดลม น้อยกว่า ร้อยละ 12</t>
        </is>
      </c>
      <c r="H1170" s="2" t="inlineStr">
        <is>
          <t>หลังการใช้ยาขยายหลอดลม จะมีค่า FEV1/FVC เพิ่มขึ้น 26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1170" s="8" t="inlineStr">
        <is>
          <t>1</t>
        </is>
      </c>
      <c r="J1170" s="2" t="inlineStr">
        <is>
          <t>✅ คำตอบที่ถูกต้อง: ข้อ ก. มีอาการไอเรื้อรัง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มีอาการไอเรื้อรัง การเลือก มีอาการไอเรื้อรัง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(มีประวัติการสูบบุหรี่): ข้อนี้ไม่ใช่คำตอบที่ถูกต้องสำหรับภาวะ General Therapeutics เนื่องจากกลไกการออกฤทธิ์, efficacy หรือข้อบ่งใช้ไม่ตรงกับโจทย์ที่กำหนด
• ข้อ ค. (ใช้ GOLD guideline ในการประเมินความรุนแรง): ข้อนี้ไม่ใช่คำตอบที่ถูกต้องสำหรับภาวะ General Therapeutics เนื่องจากกลไกการออกฤทธิ์, efficacy หรือข้อบ่งใช้ไม่ตรงกับโจทย์ที่กำหนด
• ข้อ ง. (มีการตอบสนองภายหลังการใช้ยาขยายหลอดลม น้อยกว่า ร้อยละ 12): ข้อนี้ไม่ใช่คำตอบที่ถูกต้องสำหรับภาวะ General Therapeutics เนื่องจากกลไกการออกฤทธิ์, efficacy หรือข้อบ่งใช้ไม่ตรงกับโจทย์ที่กำหนด
• ข้อ จ. (หลังการใช้ยาขยายหลอดลม จะมีค่า FEV1/FVC เพิ่มขึ้น 26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0" s="2" t="n"/>
      <c r="L1170" s="2" t="inlineStr">
        <is>
          <t>General Therapeutics</t>
        </is>
      </c>
      <c r="M1170" s="2" t="inlineStr">
        <is>
          <t>Clinic</t>
        </is>
      </c>
      <c r="N1170" s="2" t="inlineStr">
        <is>
          <t>ข้อ 24 (PLE_CC1_Practice_Exam.md)</t>
        </is>
      </c>
      <c r="O1170" s="2" t="inlineStr">
        <is>
          <t>Mock</t>
        </is>
      </c>
      <c r="P1170" s="2" t="inlineStr">
        <is>
          <t>Mock สภาเภสัชฯ Practice</t>
        </is>
      </c>
    </row>
    <row r="1171" ht="13.2" customHeight="1" s="37">
      <c r="A1171" s="8" t="inlineStr">
        <is>
          <t>1192</t>
        </is>
      </c>
      <c r="B1171" s="2" t="inlineStr">
        <is>
          <t>ข้อใดไม่ใช่คำถามที่ใช้ในการประเมินความรุนแรงของผู้ป่วยโรคหืดใน GINA assessment of symptom control</t>
        </is>
      </c>
      <c r="C1171" s="2" t="n"/>
      <c r="D1171" s="2" t="inlineStr">
        <is>
          <t>มีอาการจับหืดตอนกลางวันมากกว่า 2 ครั้งต่อสัปดาห์</t>
        </is>
      </c>
      <c r="E1171" s="2" t="inlineStr">
        <is>
          <t>ต้องใช้ยาพ่นขยายหลอดลมมากกว่า 2 ครั้งต่อสัปดาห์</t>
        </is>
      </c>
      <c r="F1171" s="2" t="inlineStr">
        <is>
          <t>อาการรบกวนชีวิตประจำวันหรือไม่</t>
        </is>
      </c>
      <c r="G1171" s="2" t="inlineStr">
        <is>
          <t>ค่า FEV1 สูงกว่า 60% predicted มีความเสี่ยงต่อการเกิด exacerbation มาก</t>
        </is>
      </c>
      <c r="H1171" s="2" t="inlineStr">
        <is>
          <t>ตื่นกลางดึกเนื่องจากหืด จากกรณีศึกษาต่อไปนี้ ตอบคำถามข้อ 30-31 ผู้ป่วยหญิงอายุ 30 ปี มาพบแพทย์ด้วยอาการหอบ หายใจมีเสียงหวีด (wheezing) หายใจลำบาก ไอ เคยได้รับการวินิจฉัยว่าเป็นโรคหืด (asthma) ปัจจุบันได้รับยา beclometasone dipropionate 200 mcg, salbutamol, theophylline เมื่อทำ GINA assessment of symptom control พบว่าเป็น uncontrolled</t>
        </is>
      </c>
      <c r="I1171" s="8" t="inlineStr">
        <is>
          <t>1</t>
        </is>
      </c>
      <c r="J1171" s="2" t="inlineStr">
        <is>
          <t>✅ คำตอบที่ถูกต้อง: ข้อ ก. มีอาการจับหืดตอนกลางวันมากกว่า 2 ครั้งต่อสัปดาห์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มีอาการจับหืดตอนกลางวันมากกว่า 2 ครั้งต่อสัปดาห์ การเลือก มีอาการจับหืดตอนกลางวันมากกว่า 2 ครั้งต่อสัปดาห์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(ต้องใช้ยาพ่นขยายหลอดลมมากกว่า 2 ครั้งต่อสัปดาห์): ข้อนี้ไม่ใช่คำตอบที่ถูกต้องสำหรับภาวะ General Therapeutics เนื่องจากกลไกการออกฤทธิ์, efficacy หรือข้อบ่งใช้ไม่ตรงกับโจทย์ที่กำหนด
• ข้อ ค. (อาการรบกวนชีวิตประจำวันหรือไม่): ข้อนี้ไม่ใช่คำตอบที่ถูกต้องสำหรับภาวะ General Therapeutics เนื่องจากกลไกการออกฤทธิ์, efficacy หรือข้อบ่งใช้ไม่ตรงกับโจทย์ที่กำหนด
• ข้อ ง. (ค่า FEV1 สูงกว่า 60% predicted มีความเสี่ยงต่อการเกิด exacerbation มาก): ข้อนี้ไม่ใช่คำตอบที่ถูกต้องสำหรับภาวะ General Therapeutics เนื่องจากกลไกการออกฤทธิ์, efficacy หรือข้อบ่งใช้ไม่ตรงกับโจทย์ที่กำหนด
• ข้อ จ. (ตื่นกลางดึกเนื่องจากหืด จากกรณีศึกษาต่อไปนี้ ตอบคำถามข้อ 30-31 ผู้ป่วยหญิงอายุ 30 ปี มาพบแพทย์ด้วยอาการหอบ หายใจมีเสียงหวีด (wheezing) หายใจลำบาก ไอ เคยได้รับการวินิจฉัยว่าเป็นโรคหืด (asthma) ปัจจุบันได้รับยา beclometasone dipropionate 200 mcg, salbutamol, theophylline เมื่อทำ GINA assessment of symptom control พบว่าเป็น uncontrolled):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1" s="2" t="n"/>
      <c r="L1171" s="2" t="inlineStr">
        <is>
          <t>General Therapeutics</t>
        </is>
      </c>
      <c r="M1171" s="2" t="inlineStr">
        <is>
          <t>Clinic</t>
        </is>
      </c>
      <c r="N1171" s="2" t="inlineStr">
        <is>
          <t>ข้อ 29 (PLE_CC1_Practice_Exam.md)</t>
        </is>
      </c>
      <c r="O1171" s="2" t="inlineStr">
        <is>
          <t>Mock</t>
        </is>
      </c>
      <c r="P1171" s="2" t="inlineStr">
        <is>
          <t>Mock สภาเภสัชฯ Practice</t>
        </is>
      </c>
    </row>
    <row r="1172" ht="13.2" customHeight="1" s="37">
      <c r="A1172" s="8" t="inlineStr">
        <is>
          <t>1193</t>
        </is>
      </c>
      <c r="B1172" s="2" t="inlineStr">
        <is>
          <t>จากกรณีศึกษาดังกล่าว ควรพิจารณาเปลี่ยนแปลงการรักษาใดให้ผู้ป่วยหรือไม่</t>
        </is>
      </c>
      <c r="C1172" s="2" t="n"/>
      <c r="D1172" s="2" t="inlineStr">
        <is>
          <t>ควรพิจารณาการ step down</t>
        </is>
      </c>
      <c r="E1172" s="2" t="inlineStr">
        <is>
          <t>ควรพิจารณาการ step up</t>
        </is>
      </c>
      <c r="F1172" s="2" t="inlineStr">
        <is>
          <t>ไม่ต้องเปลี่ยนแปลงการรักษา</t>
        </is>
      </c>
      <c r="G1172" s="2" t="inlineStr">
        <is>
          <t>เปลี่ยนจาก salbutamol ไปใช้ salmeterol</t>
        </is>
      </c>
      <c r="H1172" s="2" t="inlineStr">
        <is>
          <t>ตัด theophylline ออก</t>
        </is>
      </c>
      <c r="I1172" s="8" t="inlineStr">
        <is>
          <t>1</t>
        </is>
      </c>
      <c r="J1172" s="2" t="inlineStr">
        <is>
          <t>✅ คำตอบที่ถูกต้อง: ข้อ ก. ควรพิจารณาการ step down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ควรพิจารณาการ step down การเลือก ควรพิจารณาการ step down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(ควรพิจารณาการ step up): ข้อนี้ไม่ใช่คำตอบที่ถูกต้องสำหรับภาวะ General Therapeutics เนื่องจากกลไกการออกฤทธิ์, efficacy หรือข้อบ่งใช้ไม่ตรงกับโจทย์ที่กำหนด
• ข้อ ค. (ไม่ต้องเปลี่ยนแปลงการรักษา): ข้อนี้ไม่ใช่คำตอบที่ถูกต้องสำหรับภาวะ General Therapeutics เนื่องจากกลไกการออกฤทธิ์, efficacy หรือข้อบ่งใช้ไม่ตรงกับโจทย์ที่กำหนด
• ข้อ ง. (เปลี่ยนจาก salbutamol ไปใช้ salmeterol):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(ตัด theophylline ออก):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2" s="2" t="n"/>
      <c r="L1172" s="2" t="inlineStr">
        <is>
          <t>General Therapeutics</t>
        </is>
      </c>
      <c r="M1172" s="2" t="inlineStr">
        <is>
          <t>Clinic</t>
        </is>
      </c>
      <c r="N1172" s="2" t="inlineStr">
        <is>
          <t>ข้อ 30 (PLE_CC1_Practice_Exam.md)</t>
        </is>
      </c>
      <c r="O1172" s="2" t="inlineStr">
        <is>
          <t>Mock</t>
        </is>
      </c>
      <c r="P1172" s="2" t="inlineStr">
        <is>
          <t>Mock สภาเภสัชฯ Practice</t>
        </is>
      </c>
    </row>
    <row r="1173" ht="13.2" customHeight="1" s="37">
      <c r="A1173" s="8" t="inlineStr">
        <is>
          <t>1194</t>
        </is>
      </c>
      <c r="B1173" s="2" t="inlineStr">
        <is>
          <t>เมื่อเลือกการรักษาจากข้อ 30 แล้ว คิดว่าควรให้ยาในข้อใด</t>
        </is>
      </c>
      <c r="C1173" s="2" t="n"/>
      <c r="D1173" s="2" t="inlineStr">
        <is>
          <t>Beclometasone dipropionate 200 mcg + Salbutamol</t>
        </is>
      </c>
      <c r="E1173" s="2" t="inlineStr">
        <is>
          <t>Fluticasone propionate 200 mcg + Symbicortห (Budesonide/Formoterol)</t>
        </is>
      </c>
      <c r="F1173" s="2" t="inlineStr">
        <is>
          <t>Omalizumab + Symbicortห (Budesonide/Formoterol)</t>
        </is>
      </c>
      <c r="G1173" s="2" t="inlineStr">
        <is>
          <t>Fluticasone propionate 400 mcg + Symbicortห ( Budesonide/ Formoterol) + Tiotropium</t>
        </is>
      </c>
      <c r="H1173" s="2" t="inlineStr">
        <is>
          <t>Beclometasone dipropionate 200 mcg เพียงอย่างเดียว 28 โรคระบบหายใจ นักศึกษาเภสัชศาสตร์ชั้นปีที่ 4 รุ่นที่ 28 มหาวิทยาลัยรังสิต สหพันธ์นิสิตนักศึกษาเภสัชศาสตร์แห่งประเทศไทย (สนภท.)</t>
        </is>
      </c>
      <c r="I1173" s="8" t="inlineStr">
        <is>
          <t>1</t>
        </is>
      </c>
      <c r="J1173" s="2" t="inlineStr">
        <is>
          <t>✅ คำตอบที่ถูกต้อง: ข้อ ก. Beclometasone dipropionate 200 mcg + Salbutamol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Beclometasone dipropionate 200 mcg + Salbutamol การเลือก Beclometasone dipropionate 200 mcg + Salbutamol เป็นคำตอบที่ถูกต้องตามแนวทางการรักษามาตรฐาน เนื่องจาก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ข้ออื่นผิดเพราะอะไร:
• ข้อ ข. (Fluticasone propionate 200 mcg + Symbicortห (Budesonide/Formoterol)):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(Omalizumab + Symbicortห (Budesonide/Formoterol)):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 propionate 400 mcg + Symbicortห ( Budesonide/ Formoterol) + Tiotropium):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(Beclometasone dipropionate 200 mcg เพียงอย่างเดียว 28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173" s="2" t="n"/>
      <c r="L1173" s="2" t="inlineStr">
        <is>
          <t>General Therapeutics</t>
        </is>
      </c>
      <c r="M1173" s="2" t="inlineStr">
        <is>
          <t>Clinic</t>
        </is>
      </c>
      <c r="N1173" s="2" t="inlineStr">
        <is>
          <t>ข้อ 31 (PLE_CC1_Practice_Exam.md)</t>
        </is>
      </c>
      <c r="O1173" s="2" t="inlineStr">
        <is>
          <t>Mock</t>
        </is>
      </c>
      <c r="P1173" s="2" t="inlineStr">
        <is>
          <t>Mock สภาเภสัชฯ Practice</t>
        </is>
      </c>
    </row>
    <row r="1174" ht="13.2" customHeight="1" s="37">
      <c r="A1174" s="8" t="inlineStr">
        <is>
          <t>1195</t>
        </is>
      </c>
      <c r="B1174" s="2" t="inlineStr">
        <is>
          <t>ข้อใดผิดเกี่ยวกับหลักการพิจารณาการ step down</t>
        </is>
      </c>
      <c r="C1174" s="2" t="n"/>
      <c r="D1174" s="2" t="inlineStr">
        <is>
          <t>ผู้ป่วยสามารถควบคุมอาการได้อย่างน้อย 3 เดือน</t>
        </is>
      </c>
      <c r="E1174" s="2" t="inlineStr">
        <is>
          <t>ไม่อยู่ระหว่างการตั้งครรภ์</t>
        </is>
      </c>
      <c r="F1174" s="2" t="inlineStr">
        <is>
          <t>บันทึก baseline status</t>
        </is>
      </c>
      <c r="G1174" s="2" t="inlineStr">
        <is>
          <t>หยุด ICS ทันที</t>
        </is>
      </c>
      <c r="H1174" s="2" t="inlineStr">
        <is>
          <t>พิจารณา step down ในขณะที่ไม่อยู่ระหว่างการติดเชื้อทางเดินหายใจในระหว่างการท่องเที่ยว</t>
        </is>
      </c>
      <c r="I1174" s="8" t="inlineStr">
        <is>
          <t>1</t>
        </is>
      </c>
      <c r="J1174" s="2" t="inlineStr">
        <is>
          <t>✅ คำตอบที่ถูกต้อง: ข้อ ก. ผู้ป่วยสามารถควบคุมอาการได้อย่างน้อย 3 เดือน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ผู้ป่วยสามารถควบคุมอาการได้อย่างน้อย 3 เดือน การเลือก ผู้ป่วยสามารถควบคุมอาการได้อย่างน้อย 3 เดือน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(ไม่อยู่ระหว่างการตั้งครรภ์): ข้อนี้ไม่ใช่คำตอบที่ถูกต้องสำหรับภาวะ General Therapeutics เนื่องจากกลไกการออกฤทธิ์, efficacy หรือข้อบ่งใช้ไม่ตรงกับโจทย์ที่กำหนด
• ข้อ ค. (บันทึก baseline status): ข้อนี้ไม่ใช่คำตอบที่ถูกต้องสำหรับภาวะ General Therapeutics เนื่องจากกลไกการออกฤทธิ์, efficacy หรือข้อบ่งใช้ไม่ตรงกับโจทย์ที่กำหนด
• ข้อ ง. (หยุด ICS ทันที): ข้อนี้ไม่ใช่คำตอบที่ถูกต้องสำหรับภาวะ General Therapeutics เนื่องจากกลไกการออกฤทธิ์, efficacy หรือข้อบ่งใช้ไม่ตรงกับโจทย์ที่กำหนด
• ข้อ จ. (พิจารณา step down ในขณะที่ไม่อยู่ระหว่างการติดเชื้อทางเดินหายใจในระหว่างการท่องเที่ยว):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4" s="2" t="n"/>
      <c r="L1174" s="2" t="inlineStr">
        <is>
          <t>General Therapeutics</t>
        </is>
      </c>
      <c r="M1174" s="2" t="inlineStr">
        <is>
          <t>Clinic</t>
        </is>
      </c>
      <c r="N1174" s="2" t="inlineStr">
        <is>
          <t>ข้อ 32 (PLE_CC1_Practice_Exam.md)</t>
        </is>
      </c>
      <c r="O1174" s="2" t="inlineStr">
        <is>
          <t>Mock</t>
        </is>
      </c>
      <c r="P1174" s="2" t="inlineStr">
        <is>
          <t>Mock สภาเภสัชฯ Practice</t>
        </is>
      </c>
    </row>
    <row r="1175" ht="13.2" customHeight="1" s="37">
      <c r="A1175" s="8" t="inlineStr">
        <is>
          <t>1196</t>
        </is>
      </c>
      <c r="B1175" s="2" t="inlineStr">
        <is>
          <t>ข้อใดไม่ใช่ short-acting beta 2 agonist</t>
        </is>
      </c>
      <c r="C1175" s="2" t="n"/>
      <c r="D1175" s="2" t="inlineStr">
        <is>
          <t>Fenoterol</t>
        </is>
      </c>
      <c r="E1175" s="2" t="inlineStr">
        <is>
          <t>Terbutaline</t>
        </is>
      </c>
      <c r="F1175" s="2" t="inlineStr">
        <is>
          <t>Procaterol</t>
        </is>
      </c>
      <c r="G1175" s="2" t="inlineStr">
        <is>
          <t>Bambuterol</t>
        </is>
      </c>
      <c r="H1175" s="2" t="inlineStr">
        <is>
          <t>Salmeterol</t>
        </is>
      </c>
      <c r="I1175" s="8" t="inlineStr">
        <is>
          <t>1</t>
        </is>
      </c>
      <c r="J1175" s="2" t="inlineStr">
        <is>
          <t>✅ คำตอบที่ถูกต้อง: ข้อ ก. Fenoterol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Fenoterol การเลือก Fenoterol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(Terbutaline): ข้อนี้ไม่ใช่คำตอบที่ถูกต้องสำหรับภาวะ General Therapeutics เนื่องจากกลไกการออกฤทธิ์, efficacy หรือข้อบ่งใช้ไม่ตรงกับโจทย์ที่กำหนด
• ข้อ ค. (Procaterol): ข้อนี้ไม่ใช่คำตอบที่ถูกต้องสำหรับภาวะ General Therapeutics เนื่องจากกลไกการออกฤทธิ์, efficacy หรือข้อบ่งใช้ไม่ตรงกับโจทย์ที่กำหนด
• ข้อ ง. (Bambuterol): ข้อนี้ไม่ใช่คำตอบที่ถูกต้องสำหรับภาวะ General Therapeutics เนื่องจากกลไกการออกฤทธิ์, efficacy หรือข้อบ่งใช้ไม่ตรงกับโจทย์ที่กำหนด
• ข้อ จ. (Salmeterol): เป็น LABA ที่มี onset ช้า (10-20 นาที) จึงใช้เป็น maintenance bronchodilator เท่านั้น ห้ามใช้เป็น reliever เด็ดขาด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5" s="2" t="n"/>
      <c r="L1175" s="2" t="inlineStr">
        <is>
          <t>General Therapeutics</t>
        </is>
      </c>
      <c r="M1175" s="2" t="inlineStr">
        <is>
          <t>Clinic</t>
        </is>
      </c>
      <c r="N1175" s="2" t="inlineStr">
        <is>
          <t>ข้อ 33 (PLE_CC1_Practice_Exam.md)</t>
        </is>
      </c>
      <c r="O1175" s="2" t="inlineStr">
        <is>
          <t>Mock</t>
        </is>
      </c>
      <c r="P1175" s="2" t="inlineStr">
        <is>
          <t>Mock สภาเภสัชฯ Practice</t>
        </is>
      </c>
    </row>
    <row r="1176" ht="13.2" customHeight="1" s="37">
      <c r="A1176" s="8" t="inlineStr">
        <is>
          <t>1197</t>
        </is>
      </c>
      <c r="B1176" s="2" t="inlineStr">
        <is>
          <t>ข้อใดไม่ใช่กลไกลการออกฤทธิ์ของยากลุ่ม Inhaled corticosteroids</t>
        </is>
      </c>
      <c r="C1176" s="2" t="n"/>
      <c r="D1176" s="2" t="inlineStr">
        <is>
          <t>ต้าน IgE</t>
        </is>
      </c>
      <c r="E1176" s="2" t="inlineStr">
        <is>
          <t>ป้องกันการสร้างและหลั่ง cytokine</t>
        </is>
      </c>
      <c r="F1176" s="2" t="inlineStr">
        <is>
          <t>กระตุ้นกระบวนการสร้าง leukotriene</t>
        </is>
      </c>
      <c r="G1176" s="2" t="inlineStr">
        <is>
          <t>รบกวนกระบวนการสร้าง prostaglandin 29 โรคระบบหายใจ นักศึกษาเภสัชศาสตร์ชั้นปีที่ 4 รุ่นที่ 28 มหาวิทยาลัยรังสิต สหพันธ์นิสิตนักศึกษาเภสัชศาสตร์แห่งประเทศไทย (สนภท.)</t>
        </is>
      </c>
      <c r="H1176" s="2" t="inlineStr">
        <is>
          <t>รบกวน arachidonic acid metabolism</t>
        </is>
      </c>
      <c r="I1176" s="8" t="inlineStr">
        <is>
          <t>1</t>
        </is>
      </c>
      <c r="J1176" s="2" t="inlineStr">
        <is>
          <t>✅ คำตอบที่ถูกต้อง: ข้อ ก. ต้าน IgE
💡 Background:
การประเมินหลักฐานเชิงประจักษ์ (Evidence-Based Practice) อาศัย study design, statistical parameters (p-value, 95% CI, RR/OR) เพื่อการตัดสินใจอย่างแม่นยำ
🎯 ทำไมข้อนี้ถึงถูก:
ต้าน IgE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ต้าน IgE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ข. (ป้องกันการสร้างและหลั่ง cytokine): ข้อนี้ไม่ใช่คำตอบที่ถูกต้องสำหรับภาวะ Biostats &amp; Research เนื่องจากกลไกการออกฤทธิ์, efficacy หรือข้อบ่งใช้ไม่ตรงกับโจทย์ที่กำหนด
• ข้อ ค. (กระตุ้นกระบวนการสร้าง leukotriene): ข้อนี้ไม่ใช่คำตอบที่ถูกต้องสำหรับภาวะ Biostats &amp; Research เนื่องจากกลไกการออกฤทธิ์, efficacy หรือข้อบ่งใช้ไม่ตรงกับโจทย์ที่กำหนด
• ข้อ ง. (รบกวนกระบวนการสร้าง prostaglandin 29 โรคระบบหายใจ นักศึกษาเภสัชศาสตร์ชั้นปีที่ 4 รุ่นที่ 28 มหาวิทยาลัยรังสิต สหพันธ์นิสิตนักศึกษาเภสัชศาสตร์แห่งประเทศไทย (สนภท.)): ข้อนี้ไม่ใช่คำตอบที่ถูกต้องสำหรับภาวะ Biostats &amp; Research เนื่องจากกลไกการออกฤทธิ์, efficacy หรือข้อบ่งใช้ไม่ตรงกับโจทย์ที่กำหนด
• ข้อ จ. (รบกวน arachidonic acid metabolism):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76" s="2" t="n"/>
      <c r="L1176" s="2" t="inlineStr">
        <is>
          <t>Biostats &amp; Research</t>
        </is>
      </c>
      <c r="M1176" s="2" t="inlineStr">
        <is>
          <t>SAP</t>
        </is>
      </c>
      <c r="N1176" s="2" t="inlineStr">
        <is>
          <t>ข้อ 36 (PLE_CC1_Practice_Exam.md)</t>
        </is>
      </c>
      <c r="O1176" s="2" t="inlineStr">
        <is>
          <t>Mock</t>
        </is>
      </c>
      <c r="P1176" s="2" t="inlineStr">
        <is>
          <t>Mock สภาเภสัชฯ Practice</t>
        </is>
      </c>
    </row>
    <row r="1177" ht="13.2" customHeight="1" s="37">
      <c r="A1177" s="8" t="inlineStr">
        <is>
          <t>1198</t>
        </is>
      </c>
      <c r="B1177" s="2" t="inlineStr">
        <is>
          <t>ข้อใดผิดเกี่ยวกับอาการไม่พึงประสงค์ของยากลุ่ม Inhaled corticosteroids</t>
        </is>
      </c>
      <c r="C1177" s="2" t="n"/>
      <c r="D1177" s="2" t="inlineStr">
        <is>
          <t>มือสั่น ใจสั่น</t>
        </is>
      </c>
      <c r="E1177" s="2" t="inlineStr">
        <is>
          <t>ปากแห้ง คอแห้ง</t>
        </is>
      </c>
      <c r="F1177" s="2" t="inlineStr">
        <is>
          <t>มีอาการเสียงแหบ</t>
        </is>
      </c>
      <c r="G1177" s="2" t="inlineStr">
        <is>
          <t>อาการไอเพิ่มมากขึ้น</t>
        </is>
      </c>
      <c r="H1177" s="2" t="inlineStr">
        <is>
          <t>เกิดเชื้อราในช่องปาก จากโครงสร้างให้เลือกตอบข้อ 38 – 39</t>
        </is>
      </c>
      <c r="I1177" s="8" t="inlineStr">
        <is>
          <t>1</t>
        </is>
      </c>
      <c r="J1177" s="2" t="inlineStr">
        <is>
          <t>✅ คำตอบที่ถูกต้อง: ข้อ ก. มือสั่น ใจสั่น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มือสั่น ใจสั่น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มือสั่น ใจสั่น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ข. (ปากแห้ง คอแห้ง): ข้อนี้ไม่ใช่คำตอบที่ถูกต้องสำหรับภาวะ Biostats &amp; Research เนื่องจากกลไกการออกฤทธิ์, efficacy หรือข้อบ่งใช้ไม่ตรงกับโจทย์ที่กำหนด
• ข้อ ค. (มีอาการเสียงแหบ): ข้อนี้ไม่ใช่คำตอบที่ถูกต้องสำหรับภาวะ Biostats &amp; Research เนื่องจากกลไกการออกฤทธิ์, efficacy หรือข้อบ่งใช้ไม่ตรงกับโจทย์ที่กำหนด
• ข้อ ง. (อาการไอเพิ่มมากขึ้น): ข้อนี้ไม่ใช่คำตอบที่ถูกต้องสำหรับภาวะ Biostats &amp; Research เนื่องจากกลไกการออกฤทธิ์, efficacy หรือข้อบ่งใช้ไม่ตรงกับโจทย์ที่กำหนด
• ข้อ จ. (เกิดเชื้อราในช่องปาก จากโครงสร้างให้เลือกตอบข้อ 38 – 39):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77" s="2" t="n"/>
      <c r="L1177" s="2" t="inlineStr">
        <is>
          <t>Biostats &amp; Research</t>
        </is>
      </c>
      <c r="M1177" s="2" t="inlineStr">
        <is>
          <t>SAP</t>
        </is>
      </c>
      <c r="N1177" s="2" t="inlineStr">
        <is>
          <t>ข้อ 37 (PLE_CC1_Practice_Exam.md)</t>
        </is>
      </c>
      <c r="O1177" s="2" t="inlineStr">
        <is>
          <t>Mock</t>
        </is>
      </c>
      <c r="P1177" s="2" t="inlineStr">
        <is>
          <t>Mock สภาเภสัชฯ Practice</t>
        </is>
      </c>
    </row>
    <row r="1178" ht="13.2" customHeight="1" s="37">
      <c r="A1178" s="8" t="inlineStr">
        <is>
          <t>1199</t>
        </is>
      </c>
      <c r="B1178" s="2" t="inlineStr">
        <is>
          <t>จากโครงสร้างเมื่อเปรียบเทียบแล้วโครงสร้างใดเป็น long-acting beta-2 agonists</t>
        </is>
      </c>
      <c r="C1178" s="2" t="n"/>
      <c r="D1178" s="2" t="inlineStr">
        <is>
          <t>Dimercaprol (BAL) 3 mg/kg IM</t>
        </is>
      </c>
      <c r="E1178" s="2" t="inlineStr">
        <is>
          <t>Ethanol 10% IV infusion for Methanol poisoning</t>
        </is>
      </c>
      <c r="F1178" s="2" t="inlineStr">
        <is>
          <t>Fomepizole 15 mg/kg IV loading</t>
        </is>
      </c>
      <c r="G1178" s="2" t="inlineStr">
        <is>
          <t>N-acetylcysteine (NAC) IV infusion protocol</t>
        </is>
      </c>
      <c r="H1178" s="2" t="inlineStr">
        <is>
          <t>Atropine sulfate 2 mg IV Q5-10 min</t>
        </is>
      </c>
      <c r="I1178" s="8" t="inlineStr">
        <is>
          <t>1</t>
        </is>
      </c>
      <c r="J11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8" s="2" t="n"/>
      <c r="L1178" s="2" t="inlineStr">
        <is>
          <t>General Therapeutics</t>
        </is>
      </c>
      <c r="M1178" s="2" t="inlineStr">
        <is>
          <t>Clinic</t>
        </is>
      </c>
      <c r="N1178" s="2" t="inlineStr">
        <is>
          <t>ข้อ 38 (PLE_CC1_Practice_Exam.md)</t>
        </is>
      </c>
      <c r="O1178" s="2" t="inlineStr">
        <is>
          <t>Mock</t>
        </is>
      </c>
      <c r="P1178" s="2" t="inlineStr">
        <is>
          <t>Mock สภาเภสัชฯ Practice</t>
        </is>
      </c>
    </row>
    <row r="1179" ht="13.2" customHeight="1" s="37">
      <c r="A1179" s="8" t="inlineStr">
        <is>
          <t>1200</t>
        </is>
      </c>
      <c r="B1179" s="2" t="inlineStr">
        <is>
          <t>จากโครสร้างข้อใดผิด</t>
        </is>
      </c>
      <c r="C1179" s="2" t="n"/>
      <c r="D1179" s="2" t="inlineStr">
        <is>
          <t>ออกฤทธิ์ขยายหลอดลม</t>
        </is>
      </c>
      <c r="E1179" s="2" t="inlineStr">
        <is>
          <t>ไม่ใช่กลุ่ม rapid-acting</t>
        </is>
      </c>
      <c r="F1179" s="2" t="inlineStr">
        <is>
          <t>โครงสร้างนี้ทนต่อ catechol-O-methyltransferase</t>
        </is>
      </c>
      <c r="G1179" s="2" t="inlineStr">
        <is>
          <t>เป็นยากลุ่ม selective beta-2 agonists แบบ long-acting beta-2 agonists</t>
        </is>
      </c>
      <c r="H1179" s="2" t="inlineStr">
        <is>
          <t>เปลี่ยนการแทนที่บน benzene ring จาก หมู่ 3,4-hydroxyl เป็นตำแหน่ง 3,5-hydroxyl เพื่อให้ทนต่อกรดในกระเพาะอาหาร</t>
        </is>
      </c>
      <c r="I1179" s="8" t="inlineStr">
        <is>
          <t>1</t>
        </is>
      </c>
      <c r="J1179" s="2" t="inlineStr">
        <is>
          <t>✅ คำตอบที่ถูกต้อง: ข้อ ก. ออกฤทธิ์ขยายหลอดลม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ออกฤทธิ์ขยายหลอดลม การเลือก ออกฤทธิ์ขยายหลอดลม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(ไม่ใช่กลุ่ม rapid-acting): ข้อนี้ไม่ใช่คำตอบที่ถูกต้องสำหรับภาวะ General Therapeutics เนื่องจากกลไกการออกฤทธิ์, efficacy หรือข้อบ่งใช้ไม่ตรงกับโจทย์ที่กำหนด
• ข้อ ค. (โครงสร้างนี้ทนต่อ catechol-O-methyltransferase): ข้อนี้ไม่ใช่คำตอบที่ถูกต้องสำหรับภาวะ General Therapeutics เนื่องจากกลไกการออกฤทธิ์, efficacy หรือข้อบ่งใช้ไม่ตรงกับโจทย์ที่กำหนด
• ข้อ ง. (เป็นยากลุ่ม selective beta-2 agonists แบบ long-acting beta-2 agonists): ข้อนี้ไม่ใช่คำตอบที่ถูกต้องสำหรับภาวะ General Therapeutics เนื่องจากกลไกการออกฤทธิ์, efficacy หรือข้อบ่งใช้ไม่ตรงกับโจทย์ที่กำหนด
• ข้อ จ. (เปลี่ยนการแทนที่บน benzene ring จาก หมู่ 3,4-hydroxyl เป็นตำแหน่ง 3,5-hydroxyl เพื่อให้ทนต่อกรดในกระเพาะอาหาร):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9" s="2" t="n"/>
      <c r="L1179" s="2" t="inlineStr">
        <is>
          <t>General Therapeutics</t>
        </is>
      </c>
      <c r="M1179" s="2" t="inlineStr">
        <is>
          <t>Clinic</t>
        </is>
      </c>
      <c r="N1179" s="2" t="inlineStr">
        <is>
          <t>ข้อ 40 (PLE_CC1_Practice_Exam.md)</t>
        </is>
      </c>
      <c r="O1179" s="2" t="inlineStr">
        <is>
          <t>Mock</t>
        </is>
      </c>
      <c r="P1179" s="2" t="inlineStr">
        <is>
          <t>Mock สภาเภสัชฯ Practice</t>
        </is>
      </c>
    </row>
    <row r="1180" ht="13.2" customHeight="1" s="37">
      <c r="A1180" s="8" t="inlineStr">
        <is>
          <t>1201</t>
        </is>
      </c>
      <c r="B1180" s="2" t="inlineStr">
        <is>
          <t>จากโครงสร้างข้อใดถูก</t>
        </is>
      </c>
      <c r="C1180" s="2" t="n"/>
      <c r="D1180" s="2" t="inlineStr">
        <is>
          <t>เป็น Cholinergic drugs</t>
        </is>
      </c>
      <c r="E1180" s="2" t="inlineStr">
        <is>
          <t>จัดอยู่ในกลุ่ม Tertiary Amines</t>
        </is>
      </c>
      <c r="F1180" s="2" t="inlineStr">
        <is>
          <t>มี Butyl groups ที่ตำแหน่งไนโตรเจน</t>
        </is>
      </c>
      <c r="G1180" s="2" t="inlineStr">
        <is>
          <t>ทำให้หลอดลมคลายตัว หัวใจเต้นเร็ว และน้ำลายแห้ง</t>
        </is>
      </c>
      <c r="H1180" s="2" t="inlineStr">
        <is>
          <t>ยากลุ่มนี้จะมี CNS effect เพิ่มขึ้น แต่ peripheral effect ลดลง 32 โรคระบบหายใจ นักศึกษาเภสัชศาสตร์ชั้นปีที่ 4 รุ่นที่ 28 มหาวิทยาลัยรังสิต สหพันธ์นิสิตนักศึกษาเภสัชศาสตร์แห่งประเทศไทย (สนภท.) โดย นักศึกษาเภสัชศาสตร์ชั้นป๊ที่ 4 รุ่นที่ 28 มหาวิทยาลัยรังสิต ข้อ 1 เฉลย ค. Allergic rhinitis เนื่องจากผู้ป่วย มีน้ำมูกใส คัดแน่นจมูก คันจมูก และจามเกือบตลอดเวลา แต่ไม่มีไข้ และไม่อาการ ของปอดอุดกั้นเรื้อรัง ข้อ 2 เฉลย ค. Intermittent, moderate to severe เนื่องจากผู้ป่วยไม่เกิน 4 สัปดาห์ต่อปีและอาการที่เกิดขึ้นทำให้ผู้ป่วยรู้สึกรำคาญ ข้อ 3 เฉลย ข. Nasal budesonide เนื่องจากความรุนแรงของโรคในผู้ป่วยรายนี้อยู่ในระดับ moderate to severe จึงควรเริ่มที่ยากลุ่ม INCS ก่อน หรือ antihistamines ± decongestants ก็ได้ ข้อ 4 เฉลย ข. ผู้ป่วยต้องใช้ยาติดต่อกันอย่างสม่ำเสมอเป็นเวลา 2 สัปดาห์ เนื่องจากยาที่ควรเลือกใช้เป็นยากลุ่ม INCS (intranasal corticosteroids) ซึ่งยาจะเริ่มออกฤทธิ์ ประมาณ 7-8 ชั่วโมงหลังพ่นและให้ประสิทธิผลเต็มที่เมื่อใช้ยาอย่างสม่ำเสมอ 1-2 สัปดาห์ ข้อ 5 เฉลย จ. หลีกเลี่ยงการสัมผัสเกสรดอกไม้ เนื่องจากผู้ป่วยมีความเสี่ยงที่จะแพ้เกสรดอกไม้เนื่องจากเกิดอาการของโรคหลังจากไปสัมผัสเกสร ดอกไม้มา ส่วนในตัวเลือกข้ออื่นพบว่ายังไม่มีการศึกษาที่แน่นอนในการช่วยลดอาการของ allergic rhinitis ข้อ 6 เฉลย ก. ลดขนาดยาลงและให้ยาต่ออีกมากกว่า 1 เดือน เนื่องจากยาที่เลือกใช้สำหรับผู้ป่วยรายนี้เป็นยากลุ่ม INCS การใช้ยาจะต้องใช้ต่อเนื่องเป็นเวลา 2 สัปดาห์แล้วกลับมาประเมินผลการรักษาอีกครั้งเมื่อใช้ยาไปแล้ว 2-4 สัปดาห์ ถ้าหากอาการดีขึ้นให้ลดขนาดยา ลงและให้ต่อเนื่องอีก 1 เดือน ถ้าระดับความรุนแรงของโรคเป็น moderate to severe ต้องให้ยาต่ออีก มากกว่า 1 เดือน ข้อ 7 เฉลย ง. ถ้าใช้ antileukotrienes ร่วมกับ antihistamines จะได้ผลน้อยกว่าการใช้ยานี้อย่างเดียว เพราะการใช้ antileukotrienes ร่วมกับ antihistamines จะได้ผลมากกว่าการใช้ยานี้อย่างเดียว ข้อ 8 เฉลย ข. ใช้ต่อเนื่องนานเกิน 5 วัน อาจทำให้เกิดอาการกลับมาคัดแน่นจมูกมากขึ้นหลังหยุดยา (rebound congestion) เนื่องจากยาหดหลอดเลือดชนิดรับประทานจะออกฤทธิ์กระตุ้นระบบประสาท sympathetic โดยจับ ถ้าหากเป็นชนิดพ่นจมูก หลังใช้ยาหดหลอดเลือดชนิดที่ใช้พ่นเมื่อฤทธิ์หดหลอดเลือดหมดไป เยื่อบุจมูกอาจ 33 โรคระบบหายใจ นักศึกษาเภสัชศาสตร์ชั้นปีที่ 4 รุ่นที่ 28 มหาวิทยาลัยรังสิต สหพันธ์นิสิตนักศึกษาเภสัชศาสตร์แห่งประเทศไทย (สนภท.) กลับมาบวมใหม่ได้ เนื่องจากมีการขยายตัวของหลอดเลือดกลับมาเหมือนเดิม หรือมากกว่าเดิม (rebound vasodilation) ทำให้มีอาการคัดจมูกขึ้นมาอีก ข้อ 9 เฉลย ค. ได้ผลน้อยกับอาการคัดจมูก เพราะยาหดหลอดเลือดชนิดพ่นจะได้ผลดีกับอาการคัดจมูกเป็น หลัก เนื่องจากยาหดหลอดเลือดจะออกฤทธิ์หดหลอดเลือดโดยตรงที่จมูก ทำให้บรรเทาอาการคัดจมูกได้ดี ข้อ 10 เฉลย จ. การกำจัด หรือหลีกเลี่ยงสารก่อภูมิแพ้ที่ตนเองแพ้ เนื่องจาก การกำจัด หรือหลีกเลี่ยงสารก่อภูมิแพ้ที่ตนเองแพ้ สามารถลดอาการทางจมูกในโรคจมูก อักเสบภูมิแพ้ได้ดีที่สุด โดยข้อ ข และ ค สามารถลดปริมาณสารก่อภูมิแพ้ได้ และข้ออื่นๆไม่สามารถลดอาการ ทางจมูกในโรคจมูกอักเสบภูมิแพ้ได้ ข้อ 11 เฉลย ง. ไอเป็นเลือด เนื่องจากการไอเป็นเลือด ไม่มีความเกี่ยวข้องกับโรคจมูกอักเสบภูมิแพ้ ข้อ 12 เฉลย จ. Butterfly rash เนื่องจาก Butterfly rash จะพบในผู้ป่วยโรค systemic lupus erythematous เนื่องจากมีความไว โรคจมูกอักเสบภูมิแพ้ ข้อ 13 เฉลย ข. Montelukast เพราะ ยา montelukast เป็นยาในกลุ่ม leukotriene receptor antagonist ที่ออกฤทธิ์ขัดขวาง การจับระหว่าง cysLTs กับ receptors ได้รับการรับรองให้ใช้ในการรักษาโรคหืด และในการรักษาโรคจมูก หืดร่วม กับโรคจมูกอักเสบภูมิแพ้ ข้อ 14 เฉลย ง. ไม่แนะนำให้ใช้ยาสเตียรอยด์ชนิดฉีด เนื่องจากกลไกการออกฤทธิ์มีผลต่อการสังเคราะห์โปรตีนของเซลล์ ดังนั้นยาจะเริ่มออกฤทธิ์ช้า ประมาณ 7-8 ชม. แต่ในผู้ป่วยบางคนอาจออกฤทธิ์ประมาณ 2 ชั่วโมงหลังพ่นยา ข้อ 15 เฉลย ค. ค่า FEV1/FVC เพิ่มขึ้น อาการของผู้ป่วย chronic obstructive pulmonary disease (COPD) คือ ผู้ป่วยจะมีอาการเมื่อ พยาธิสภาพลุกลามไปมากแล้ว อาการที่พบ ได้แก่ หอบเหนื่อยซึ่งจะเป็นมากขึ้นเรื่อยๆ ไอเรื้อรังหรือมีเสมหะ โดยเฉพาะในช่วงเช้า อาการอื่นที่พบได้ คือ แน่นหน้าอก หรือหายใจมีเสียงหวีด 34 โรคระบบหายใจ นักศึกษาเภสัชศาสตร์ชั้นปีที่ 4 รุ่นที่ 28 มหาวิทยาลัยรังสิต สหพันธ์นิสิตนักศึกษาเภสัชศาสตร์แห่งประเทศไทย (สนภท.) FEV1 (forced expiratory volume in one second) เป็นปริมาตรของอากาศที่ถูกขับออกในวินาทีแรกของ การหายใจออกอย่างเร็วและแรงเต็มที่จากตำแหน่งหายใจเข้าเต็มที่ FEV1 นี้มีค่าเป็นลิตร ค่า FEV1 นี้เป็น ข้อมูลที่ใช้บ่อยที่สุดในการตรวจสมรรถภาพปอด FEV1/FVC คำนวณได้จากการนำค่า FEV1 หารด้วย FVC และคูณด้วย100หน่วยเป็นเปอร์เซนต์ เรียก ได้อีกอย่างหนึ่งว่า percent FEV1 (%FEV1) เป็นข้อมูลดีที่สุดที่แสดงถึงการอุดกั้นของหลอดลม (ค่า FEV1/FVC ratio ที่ยิ่งน้อยยิ่งบอกถึงการมี airflow limitation ที่มากขึ้น) ข้อ 16 เฉลย ข. นาย ข สูบบุหรี่วันละ 2 ซอง เป็นเวลา 15 ปี เปรียบเทียบโดยการหา pack-year จะคำนวณจากจานวนซองที่สูบเฉลี่ยต่อวัน (1 ซองมี 20 มวน) คูณกับจำนวนปีที่สูบโดยผู้ป่วย COPD มักมีประวัติสูบบุหรี่จัด &gt; 20 pack-year ข้อ 17 เฉลย จ. ค. ดื่มสุรา + ง. เป็นโรคความดันโลหิตสูง สาเหตุที่พบบ่อย คือ การสูบบุหรี่ สาเหตุอื่นๆ ที่มีบทบาทบ้างแต่น้อยกว่าการสูบบุหรี่ ได้แก่ มลพิษ ทางอาการและพันธุกรรม ปัจจัยเสี่ยงสำคัญสำหรับ COPD ในทั่วโลกคือการสูบบุหรี่ ประมาณ 20% ของผู้ที่ ใกล้ชิดผู้ที่สูบบุหรี่เป็นสาเหตุของโรคประมาณ 20% การสูบประเภทอื่นๆ อาทิเช่น การสูบกัญชา ซิการ์ และ ไปป์น้ำ ก็ถือเป็นปัจจัยเสี่ยงเช่นกัน ข้อ 18 เฉลย ก. LABA or LAMA การรักษา COPD ที่เหมาะสมสำหรับผู้ป่วยรายนี้ ตามแนวทางการรักษาของ Gold guideline 2017 พบว่า CAT = 12 คะแนน, mMRC = 2, FEV1 = 85 % Predicted GOLD 1 จัดอยู่ใน COPD GOLD GRADE B แนะนำให้การรักษาได้ 3 แบบ คือ LABA or LAMA (first-choice), LABA and LAMA (alternative choice) และ SABA and/or SAMA theophylline (other alternative treatment) ข้อ 19 เฉลย ง. Salmeterol or Tiotropium เนื่องจาก Salbutamol and Terbutaline เป็น short-acting beta2-agonist Budesonide เป็น corticosteroid Salmeterol เป็น long-acting beta2-agonist Tiotropium เป็น long-acting muscarinic antagonist และจาก GOLD guideline 2017 แนะนำให้ใช้ LABA or LAMA เป็นยาทางเลือกแรกในการรักษา ผู้ป่วย COPD GOLD GRADE B เพราะฉะนั้นจึงเลือกข้อ ง 35 โรคระบบหายใจ นักศึกษาเภสัชศาสตร์ชั้นปีที่ 4 รุ่นที่ 28 มหาวิทยาลัยรังสิต สหพันธ์นิสิตนักศึกษาเภสัชศาสตร์แห่งประเทศไทย (สนภท.) ข้อ 20 เฉลย ค. จ่าย salmeterol + tiotropium 2 ตัวคู่กัน แต่ที่ไม่ตอบ ง ด้วย หมายความว่า ถ้าผู้ป่วยไม่ตอบสนองต่อยา inhaled bronchodilators แนะนำ ให้ใช้ theophylline ร่วม (พิจารณาใช้ theophylline เมื่อไม่ตอบสนองต่อการรักษาจาก inhaled ข้อ ค เพียงข้อเดียว ข้อ 21 เฉลย ค. หลังพ่นยา ให้กลั้วคอด้วยน้ำแล้วบ้วนทิ้ง เนื่องจากมีตัวยา steroids อาจทำให้เกิดเชื้อราในช่องปาก เสียงแหบ หรือผลข้างเคียงอื่นๆในช่อง ปากและลำคอได้ ข้อ 22 เฉลย ค. 9-methyl</t>
        </is>
      </c>
      <c r="I1180" s="8" t="inlineStr">
        <is>
          <t>3</t>
        </is>
      </c>
      <c r="J1180" s="2" t="inlineStr">
        <is>
          <t>✅ คำตอบที่ถูกต้อง: ข้อ ค. มี Butyl groups ที่ตำแหน่งไนโตรเจน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มี Butyl groups ที่ตำแหน่งไนโตรเจน กับ adrenergic receptor ทำให้เกิดการหดตัวของหลอดเลือดในเยื่อบุจมูก ไม่ได้ออกฤทธิ์เฉพาะที่ในจมูก ซึ่ง ต่อแสงแดดเวลาไปถูกแดด ผิวหนังจะมีผื่นแดงขึ้น และผื่นแดงที่ข้างจมูก (butterfly rash) ซึ่งไม่เกี่ยวข้องกับ อักเสบภูมิแพ้ ได้ผลดีทั้งในโรคของทางเดินหายใจส่วนบนและส่วนล่าง จึงเป็นยาที่ใช้ได้ผลดีกับผู้ป่วยที่เป็นโรค สูบบุหรี่จะเป็น COPD และจำนวนครึ่งหนึ่งของผู้ที่สูบบุหรี่เป็นเวลานานเกือบชั่วชีวิตจะเป็น COPD การอยู่
🔍 ข้ออื่นผิดเพราะอะไร:
• ข้อ ก. (เป็น Cholinergic drugs): ข้อนี้ไม่ใช่คำตอบที่ถูกต้องสำหรับภาวะ General Therapeutics เนื่องจากกลไกการออกฤทธิ์, efficacy หรือข้อบ่งใช้ไม่ตรงกับโจทย์ที่กำหนด
• ข้อ ข. (จัดอยู่ในกลุ่ม Tertiary Amines): ข้อนี้ไม่ใช่คำตอบที่ถูกต้องสำหรับภาวะ General Therapeutics เนื่องจากกลไกการออกฤทธิ์, efficacy หรือข้อบ่งใช้ไม่ตรงกับโจทย์ที่กำหนด
• ข้อ ง. (ทำให้หลอดลมคลายตัว หัวใจเต้นเร็ว และน้ำลายแห้ง): ข้อนี้ไม่ใช่คำตอบที่ถูกต้องสำหรับภาวะ General Therapeutics เนื่องจากกลไกการออกฤทธิ์, efficacy หรือข้อบ่งใช้ไม่ตรงกับโจทย์ที่กำหนด
• ข้อ จ. (ยากลุ่มนี้จะมี CNS effect เพิ่มขึ้น แต่ peripheral effect ลดลง 32 โรคระบบหายใจ นักศึกษาเภสัชศาสตร์ชั้นปีที่ 4 รุ่นที่ 28 มหาวิทยาลัยรังสิต สหพันธ์นิสิตนักศึกษาเภสัชศาสตร์แห่งประเทศไทย (สนภท.) โดย นักศึกษาเภสัชศาสตร์ชั้นป๊ที่ 4 รุ่นที่ 28 มหาวิทยาลัยรังสิต ข้อ 1 เฉลย ค. Allergic rhinitis เนื่องจากผู้ป่วย มีน้ำมูกใส คัดแน่นจมูก คันจมูก และจามเกือบตลอดเวลา แต่ไม่มีไข้ และไม่อาการ ของปอดอุดกั้นเรื้อรัง ข้อ 2 เฉลย ค. Intermittent, moderate to severe เนื่องจากผู้ป่วยไม่เกิน 4 สัปดาห์ต่อปีและอาการที่เกิดขึ้นทำให้ผู้ป่วยรู้สึกรำคาญ ข้อ 3 เฉลย ข. Nasal budesonide เนื่องจากความรุนแรงของโรคในผู้ป่วยรายนี้อยู่ในระดับ moderate to severe จึงควรเริ่มที่ยากลุ่ม INCS ก่อน หรือ antihistamines ± decongestants ก็ได้ ข้อ 4 เฉลย ข. ผู้ป่วยต้องใช้ยาติดต่อกันอย่างสม่ำเสมอเป็นเวลา 2 สัปดาห์ เนื่องจากยาที่ควรเลือกใช้เป็นยากลุ่ม INCS (intranasal corticosteroids) ซึ่งยาจะเริ่มออกฤทธิ์ ประมาณ 7-8 ชั่วโมงหลังพ่นและให้ประสิทธิผลเต็มที่เมื่อใช้ยาอย่างสม่ำเสมอ 1-2 สัปดาห์ ข้อ 5 เฉลย จ. หลีกเลี่ยงการสัมผัสเกสรดอกไม้ เนื่องจากผู้ป่วยมีความเสี่ยงที่จะแพ้เกสรดอกไม้เนื่องจากเกิดอาการของโรคหลังจากไปสัมผัสเกสร ดอกไม้มา ส่วนในตัวเลือกข้ออื่นพบว่ายังไม่มีการศึกษาที่แน่นอนในการช่วยลดอาการของ allergic rhinitis ข้อ 6 เฉลย ก. ลดขนาดยาลงและให้ยาต่ออีกมากกว่า 1 เดือน เนื่องจากยาที่เลือกใช้สำหรับผู้ป่วยรายนี้เป็นยากลุ่ม INCS การใช้ยาจะต้องใช้ต่อเนื่องเป็นเวลา 2 สัปดาห์แล้วกลับมาประเมินผลการรักษาอีกครั้งเมื่อใช้ยาไปแล้ว 2-4 สัปดาห์ ถ้าหากอาการดีขึ้นให้ลดขนาดยา ลงและให้ต่อเนื่องอีก 1 เดือน ถ้าระดับความรุนแรงของโรคเป็น moderate to severe ต้องให้ยาต่ออีก มากกว่า 1 เดือน ข้อ 7 เฉลย ง. ถ้าใช้ antileukotrienes ร่วมกับ antihistamines จะได้ผลน้อยกว่าการใช้ยานี้อย่างเดียว เพราะการใช้ antileukotrienes ร่วมกับ antihistamines จะได้ผลมากกว่าการใช้ยานี้อย่างเดียว ข้อ 8 เฉลย ข. ใช้ต่อเนื่องนานเกิน 5 วัน อาจทำให้เกิดอาการกลับมาคัดแน่นจมูกมากขึ้นหลังหยุดยา (rebound congestion) เนื่องจากยาหดหลอดเลือดชนิดรับประทานจะออกฤทธิ์กระตุ้นระบบประสาท sympathetic โดยจับ ถ้าหากเป็นชนิดพ่นจมูก หลังใช้ยาหดหลอดเลือดชนิดที่ใช้พ่นเมื่อฤทธิ์หดหลอดเลือดหมดไป เยื่อบุจมูกอาจ 33 โรคระบบหายใจ นักศึกษาเภสัชศาสตร์ชั้นปีที่ 4 รุ่นที่ 28 มหาวิทยาลัยรังสิต สหพันธ์นิสิตนักศึกษาเภสัชศาสตร์แห่งประเทศไทย (สนภท.) กลับมาบวมใหม่ได้ เนื่องจากมีการขยายตัวของหลอดเลือดกลับมาเหมือนเดิม หรือมากกว่าเดิม (rebound vasodilation) ทำให้มีอาการคัดจมูกขึ้นมาอีก ข้อ 9 เฉลย ค. ได้ผลน้อยกับอาการคัดจมูก เพราะยาหดหลอดเลือดชนิดพ่นจะได้ผลดีกับอาการคัดจมูกเป็น หลัก เนื่องจากยาหดหลอดเลือดจะออกฤทธิ์หดหลอดเลือดโดยตรงที่จมูก ทำให้บรรเทาอาการคัดจมูกได้ดี ข้อ 10 เฉลย จ. การกำจัด หรือหลีกเลี่ยงสารก่อภูมิแพ้ที่ตนเองแพ้ เนื่องจาก การกำจัด หรือหลีกเลี่ยงสารก่อภูมิแพ้ที่ตนเองแพ้ สามารถลดอาการทางจมูกในโรคจมูก อักเสบภูมิแพ้ได้ดีที่สุด โดยข้อ ข และ ค สามารถลดปริมาณสารก่อภูมิแพ้ได้ และข้ออื่นๆไม่สามารถลดอาการ ทางจมูกในโรคจมูกอักเสบภูมิแพ้ได้ ข้อ 11 เฉลย ง. ไอเป็นเลือด เนื่องจากการไอเป็นเลือด ไม่มีความเกี่ยวข้องกับโรคจมูกอักเสบภูมิแพ้ ข้อ 12 เฉลย จ. Butterfly rash เนื่องจาก Butterfly rash จะพบในผู้ป่วยโรค systemic lupus erythematous เนื่องจากมีความไว โรคจมูกอักเสบภูมิแพ้ ข้อ 13 เฉลย ข. Montelukast เพราะ ยา montelukast เป็นยาในกลุ่ม leukotriene receptor antagonist ที่ออกฤทธิ์ขัดขวาง การจับระหว่าง cysLTs กับ receptors ได้รับการรับรองให้ใช้ในการรักษาโรคหืด และในการรักษาโรคจมูก หืดร่วม กับโรคจมูกอักเสบภูมิแพ้ ข้อ 14 เฉลย ง. ไม่แนะนำให้ใช้ยาสเตียรอยด์ชนิดฉีด เนื่องจากกลไกการออกฤทธิ์มีผลต่อการสังเคราะห์โปรตีนของเซลล์ ดังนั้นยาจะเริ่มออกฤทธิ์ช้า ประมาณ 7-8 ชม. แต่ในผู้ป่วยบางคนอาจออกฤทธิ์ประมาณ 2 ชั่วโมงหลังพ่นยา ข้อ 15 เฉลย ค. ค่า FEV1/FVC เพิ่มขึ้น อาการของผู้ป่วย chronic obstructive pulmonary disease (COPD) คือ ผู้ป่วยจะมีอาการเมื่อ พยาธิสภาพลุกลามไปมากแล้ว อาการที่พบ ได้แก่ หอบเหนื่อยซึ่งจะเป็นมากขึ้นเรื่อยๆ ไอเรื้อรังหรือมีเสมหะ โดยเฉพาะในช่วงเช้า อาการอื่นที่พบได้ คือ แน่นหน้าอก หรือหายใจมีเสียงหวีด 34 โรคระบบหายใจ นักศึกษาเภสัชศาสตร์ชั้นปีที่ 4 รุ่นที่ 28 มหาวิทยาลัยรังสิต สหพันธ์นิสิตนักศึกษาเภสัชศาสตร์แห่งประเทศไทย (สนภท.) FEV1 (forced expiratory volume in one second) เป็นปริมาตรของอากาศที่ถูกขับออกในวินาทีแรกของ การหายใจออกอย่างเร็วและแรงเต็มที่จากตำแหน่งหายใจเข้าเต็มที่ FEV1 นี้มีค่าเป็นลิตร ค่า FEV1 นี้เป็น ข้อมูลที่ใช้บ่อยที่สุดในการตรวจสมรรถภาพปอด FEV1/FVC คำนวณได้จากการนำค่า FEV1 หารด้วย FVC และคูณด้วย100หน่วยเป็นเปอร์เซนต์ เรียก ได้อีกอย่างหนึ่งว่า percent FEV1 (%FEV1) เป็นข้อมูลดีที่สุดที่แสดงถึงการอุดกั้นของหลอดลม (ค่า FEV1/FVC ratio ที่ยิ่งน้อยยิ่งบอกถึงการมี airflow limitation ที่มากขึ้น) ข้อ 16 เฉลย ข. นาย ข สูบบุหรี่วันละ 2 ซอง เป็นเวลา 15 ปี เปรียบเทียบโดยการหา pack-year จะคำนวณจากจานวนซองที่สูบเฉลี่ยต่อวัน (1 ซองมี 20 มวน) คูณกับจำนวนปีที่สูบโดยผู้ป่วย COPD มักมีประวัติสูบบุหรี่จัด &gt; 20 pack-year ข้อ 17 เฉลย จ. ค. ดื่มสุรา + ง. เป็นโรคความดันโลหิตสูง สาเหตุที่พบบ่อย คือ การสูบบุหรี่ สาเหตุอื่นๆ ที่มีบทบาทบ้างแต่น้อยกว่าการสูบบุหรี่ ได้แก่ มลพิษ ทางอาการและพันธุกรรม ปัจจัยเสี่ยงสำคัญสำหรับ COPD ในทั่วโลกคือการสูบบุหรี่ ประมาณ 20% ของผู้ที่ ใกล้ชิดผู้ที่สูบบุหรี่เป็นสาเหตุของโรคประมาณ 20% การสูบประเภทอื่นๆ อาทิเช่น การสูบกัญชา ซิการ์ และ ไปป์น้ำ ก็ถือเป็นปัจจัยเสี่ยงเช่นกัน ข้อ 18 เฉลย ก. LABA or LAMA การรักษา COPD ที่เหมาะสมสำหรับผู้ป่วยรายนี้ ตามแนวทางการรักษาของ Gold guideline 2017 พบว่า CAT = 12 คะแนน, mMRC = 2, FEV1 = 85 % Predicted GOLD 1 จัดอยู่ใน COPD GOLD GRADE B แนะนำให้การรักษาได้ 3 แบบ คือ LABA or LAMA (first-choice), LABA and LAMA (alternative choice) และ SABA and/or SAMA theophylline (other alternative treatment) ข้อ 19 เฉลย ง. Salmeterol or Tiotropium เนื่องจาก Salbutamol and Terbutaline เป็น short-acting beta2-agonist Budesonide เป็น corticosteroid Salmeterol เป็น long-acting beta2-agonist Tiotropium เป็น long-acting muscarinic antagonist และจาก GOLD guideline 2017 แนะนำให้ใช้ LABA or LAMA เป็นยาทางเลือกแรกในการรักษา ผู้ป่วย COPD GOLD GRADE B เพราะฉะนั้นจึงเลือกข้อ ง 35 โรคระบบหายใจ นักศึกษาเภสัชศาสตร์ชั้นปีที่ 4 รุ่นที่ 28 มหาวิทยาลัยรังสิต สหพันธ์นิสิตนักศึกษาเภสัชศาสตร์แห่งประเทศไทย (สนภท.) ข้อ 20 เฉลย ค. จ่าย salmeterol + tiotropium 2 ตัวคู่กัน แต่ที่ไม่ตอบ ง ด้วย หมายความว่า ถ้าผู้ป่วยไม่ตอบสนองต่อยา inhaled bronchodilators แนะนำ ให้ใช้ theophylline ร่วม (พิจารณาใช้ theophylline เมื่อไม่ตอบสนองต่อการรักษาจาก inhaled ข้อ ค เพียงข้อเดียว ข้อ 21 เฉลย ค. หลังพ่นยา ให้กลั้วคอด้วยน้ำแล้วบ้วนทิ้ง เนื่องจากมีตัวยา steroids อาจทำให้เกิดเชื้อราในช่องปาก เสียงแหบ หรือผลข้างเคียงอื่นๆในช่อง ปากและลำคอได้ ข้อ 22 เฉลย ค. 9-methyl):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0" s="2" t="n"/>
      <c r="L1180" s="2" t="inlineStr">
        <is>
          <t>General Therapeutics</t>
        </is>
      </c>
      <c r="M1180" s="2" t="inlineStr">
        <is>
          <t>Clinic</t>
        </is>
      </c>
      <c r="N1180" s="2" t="inlineStr">
        <is>
          <t>ข้อ 42 (PLE_CC1_Practice_Exam.md)</t>
        </is>
      </c>
      <c r="O1180" s="2" t="inlineStr">
        <is>
          <t>Mock</t>
        </is>
      </c>
      <c r="P1180" s="2" t="inlineStr">
        <is>
          <t>Mock สภาเภสัชฯ Practice</t>
        </is>
      </c>
    </row>
    <row r="1181" ht="13.2" customHeight="1" s="37">
      <c r="A1181" s="8" t="inlineStr">
        <is>
          <t>1202</t>
        </is>
      </c>
      <c r="B1181" s="2" t="inlineStr">
        <is>
          <t>โรคระบบทางเดินอาหาร โดย ฝ่ายวิชาการ และนิสิตชั้นป๊ที่ 4 สโมสรนิสิตเภสัชศาสตร์ มหาวิทยาลัยบูรพา หัวข้อเรื่อง ริดสีดวงทวาร จากกรณีศึกษาต่อไปนี้ ตอบคำถามข้อ 1-4 หญิงอายุ 32 ปี มาร้านยาด้วยอาการปวดและคันบริเวณทวารหนัก มีติ่งยื่นออกมาเวลาเบ่งถ่าย อุจจาระและไม่สามารถหดกลับได้ ต้องใช้นิ้วดันกลับเข้าไป บางครั้งอุจจาระมีเลือดสีแดงสดปนออกมาขณะ ถ่าย</t>
        </is>
      </c>
      <c r="C1181" s="2" t="n"/>
      <c r="D1181" s="2" t="inlineStr">
        <is>
          <t>พ.ร.บ. หลักประกันสุขภาพแห่งชาติ พ.ศ. 2545</t>
        </is>
      </c>
      <c r="E1181" s="2" t="inlineStr">
        <is>
          <t>การปฏิบัติทางเภสัชกรรมชุมชน (Good Pharmacy Practice: GPP)</t>
        </is>
      </c>
      <c r="F1181" s="2" t="inlineStr">
        <is>
          <t>บัญชียาหลักแห่งชาติ (National List of Essential Medicines: NLEM)</t>
        </is>
      </c>
      <c r="G1181" s="2" t="inlineStr">
        <is>
          <t>เกณฑ์จริยธรรมว่าด้วยการส่งเสริมการขายยาของกระทรวงสาธารณสุข</t>
        </is>
      </c>
      <c r="H1181" s="2" t="inlineStr">
        <is>
          <t>พ.ร.บ. ยา พ.ศ. 2510 (การจำหน่ายยาอันตรายและยาควบคุมพิเศษ)</t>
        </is>
      </c>
      <c r="I1181" s="8" t="inlineStr">
        <is>
          <t>1</t>
        </is>
      </c>
      <c r="J118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81" s="2" t="n"/>
      <c r="L1181" s="2" t="inlineStr">
        <is>
          <t>Pharmacy Laws &amp; Ethics</t>
        </is>
      </c>
      <c r="M1181" s="2" t="inlineStr">
        <is>
          <t>SAP</t>
        </is>
      </c>
      <c r="N1181" s="2" t="inlineStr">
        <is>
          <t>ข้อ 3 (PLE_CC1_Practice_Exam.md)</t>
        </is>
      </c>
      <c r="O1181" s="2" t="inlineStr">
        <is>
          <t>Mock</t>
        </is>
      </c>
      <c r="P1181" s="2" t="inlineStr">
        <is>
          <t>Mock สภาเภสัชฯ Practice</t>
        </is>
      </c>
    </row>
    <row r="1182" ht="13.2" customHeight="1" s="37">
      <c r="A1182" s="8" t="inlineStr">
        <is>
          <t>1203</t>
        </is>
      </c>
      <c r="B1182" s="2" t="inlineStr">
        <is>
          <t>ผู้ป่วยรายนี้เป็นริดสีดวงทวารชนิดใด</t>
        </is>
      </c>
      <c r="C1182" s="2" t="n"/>
      <c r="D1182" s="2" t="inlineStr">
        <is>
          <t>Internal hemorrhoid Grade 1</t>
        </is>
      </c>
      <c r="E1182" s="2" t="inlineStr">
        <is>
          <t>Internal hemorrhoid Grade 2</t>
        </is>
      </c>
      <c r="F1182" s="2" t="inlineStr">
        <is>
          <t>Internal hemorrhoid Grade 3</t>
        </is>
      </c>
      <c r="G1182" s="2" t="inlineStr">
        <is>
          <t>Internal hemorrhoid Grade 4</t>
        </is>
      </c>
      <c r="H1182" s="2" t="inlineStr">
        <is>
          <t>External hemorrhoid</t>
        </is>
      </c>
      <c r="I1182" s="8" t="inlineStr">
        <is>
          <t>1</t>
        </is>
      </c>
      <c r="J1182" s="2" t="inlineStr">
        <is>
          <t>✅ คำตอบที่ถูกต้อง: ข้อ ก. Internal hemorrhoid Grade 1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Internal hemorrhoid Grade 1 การเลือก Internal hemorrhoid Grade 1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(Internal hemorrhoid Grade 2): ข้อนี้ไม่ใช่คำตอบที่ถูกต้องสำหรับภาวะ General Therapeutics เนื่องจากกลไกการออกฤทธิ์, efficacy หรือข้อบ่งใช้ไม่ตรงกับโจทย์ที่กำหนด
• ข้อ ค. (Internal hemorrhoid Grade 3): ข้อนี้ไม่ใช่คำตอบที่ถูกต้องสำหรับภาวะ General Therapeutics เนื่องจากกลไกการออกฤทธิ์, efficacy หรือข้อบ่งใช้ไม่ตรงกับโจทย์ที่กำหนด
• ข้อ ง. (Internal hemorrhoid Grade 4): ข้อนี้ไม่ใช่คำตอบที่ถูกต้องสำหรับภาวะ General Therapeutics เนื่องจากกลไกการออกฤทธิ์, efficacy หรือข้อบ่งใช้ไม่ตรงกับโจทย์ที่กำหนด
• ข้อ จ. (External hemorrhoid):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2" s="2" t="n"/>
      <c r="L1182" s="2" t="inlineStr">
        <is>
          <t>General Therapeutics</t>
        </is>
      </c>
      <c r="M1182" s="2" t="inlineStr">
        <is>
          <t>Clinic</t>
        </is>
      </c>
      <c r="N1182" s="2" t="inlineStr">
        <is>
          <t>ข้อ 1 (PLE_CC1_Practice_Exam.md)</t>
        </is>
      </c>
      <c r="O1182" s="2" t="inlineStr">
        <is>
          <t>Mock</t>
        </is>
      </c>
      <c r="P1182" s="2" t="inlineStr">
        <is>
          <t>Mock สภาเภสัชฯ Practice</t>
        </is>
      </c>
    </row>
    <row r="1183" ht="13.2" customHeight="1" s="37">
      <c r="A1183" s="8" t="inlineStr">
        <is>
          <t>1204</t>
        </is>
      </c>
      <c r="B1183" s="2" t="inlineStr">
        <is>
          <t>ผู้ป่วยเคยไปพบแพทย์ และได้รับยาผงสีม่วง ซึ่งมีวิธีการใช้คือ นำยาผงมาละลายน้ำอุ่นแล้วนั่งแช่ ประมาณ 15 นาที วันละ 2-3 ครั้ง ท่านคิดว่ายาที่ผู้ป่วยได้รับมีกลไกการออกฤทธิ์อย่างไร</t>
        </is>
      </c>
      <c r="C1183" s="2" t="n"/>
      <c r="D1183" s="2" t="inlineStr">
        <is>
          <t>Astringent</t>
        </is>
      </c>
      <c r="E1183" s="2" t="inlineStr">
        <is>
          <t>Local anti-infective</t>
        </is>
      </c>
      <c r="F1183" s="2" t="inlineStr">
        <is>
          <t>Local anesthesia</t>
        </is>
      </c>
      <c r="G1183" s="2" t="inlineStr">
        <is>
          <t>ข้อ ก และ ข ถูก</t>
        </is>
      </c>
      <c r="H1183" s="2" t="inlineStr">
        <is>
          <t>ข้อ ก และ ค ถูก หัวข้อเรื่อง Diarrhea (ติดเชื้อ) จากกรณีศึกษาต่อไปนี้ ตอบคำถามข้อ 5-6 หญิงตั้งครรภ์ อายุ 26 ปี มีอาการท้องเสีย ถ่ายอุจาระเป็นน้ำประมาณ 5 ครั้ง ลักษณะเหมือนน้ำซาว ข้าว มีอาการอ่อนเพลีย มือสั่น และมีไข้ จากการสอบถามเบื้องต้นพบว่าก่อนมีอาการได้รับประทานอาหาร ทะเล</t>
        </is>
      </c>
      <c r="I1183" s="8" t="inlineStr">
        <is>
          <t>1</t>
        </is>
      </c>
      <c r="J1183" s="2" t="inlineStr">
        <is>
          <t>✅ คำตอบที่ถูกต้อง: ข้อ ก. Astringent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Astringent การเลือก Astringent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(Local anti-infective): ข้อนี้ไม่ใช่คำตอบที่ถูกต้องสำหรับภาวะ General Therapeutics เนื่องจากกลไกการออกฤทธิ์, efficacy หรือข้อบ่งใช้ไม่ตรงกับโจทย์ที่กำหนด
• ข้อ ค. (Local anesthesia): ข้อนี้ไม่ใช่คำตอบที่ถูกต้องสำหรับภาวะ General Therapeutics เนื่องจากกลไกการออกฤทธิ์, efficacy หรือข้อบ่งใช้ไม่ตรงกับโจทย์ที่กำหนด
• ข้อ ง. (ข้อ ก และ ข ถูก): ข้อนี้ไม่ใช่คำตอบที่ถูกต้องสำหรับภาวะ General Therapeutics เนื่องจากกลไกการออกฤทธิ์, efficacy หรือข้อบ่งใช้ไม่ตรงกับโจทย์ที่กำหนด
• ข้อ จ. (ข้อ ก และ ค ถูก หัวข้อเรื่อง Diarrhea (ติดเชื้อ) จากกรณีศึกษาต่อไปนี้ ตอบคำถามข้อ 5-6 หญิงตั้งครรภ์ อายุ 26 ปี มีอาการท้องเสีย ถ่ายอุจาระเป็นน้ำประมาณ 5 ครั้ง ลักษณะเหมือนน้ำซาว ข้าว มีอาการอ่อนเพลีย มือสั่น และมีไข้ จากการสอบถามเบื้องต้นพบว่าก่อนมีอาการได้รับประทานอาหาร ทะเล):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3" s="2" t="n"/>
      <c r="L1183" s="2" t="inlineStr">
        <is>
          <t>General Therapeutics</t>
        </is>
      </c>
      <c r="M1183" s="2" t="inlineStr">
        <is>
          <t>Clinic</t>
        </is>
      </c>
      <c r="N1183" s="2" t="inlineStr">
        <is>
          <t>ข้อ 4 (PLE_CC1_Practice_Exam.md)</t>
        </is>
      </c>
      <c r="O1183" s="2" t="inlineStr">
        <is>
          <t>Mock</t>
        </is>
      </c>
      <c r="P1183" s="2" t="inlineStr">
        <is>
          <t>Mock สภาเภสัชฯ Practice</t>
        </is>
      </c>
    </row>
    <row r="1184" ht="13.2" customHeight="1" s="37">
      <c r="A1184" s="8" t="inlineStr">
        <is>
          <t>1205</t>
        </is>
      </c>
      <c r="B1184" s="2" t="inlineStr">
        <is>
          <t>เชื้อสาเหตุเกิดจากเชื้อใด</t>
        </is>
      </c>
      <c r="C1184" s="2" t="n"/>
      <c r="D1184" s="2" t="inlineStr">
        <is>
          <t>Escherichia coli</t>
        </is>
      </c>
      <c r="E1184" s="2" t="inlineStr">
        <is>
          <t>Salmonella typhi</t>
        </is>
      </c>
      <c r="F1184" s="2" t="inlineStr">
        <is>
          <t>Pseudomembranous colitis</t>
        </is>
      </c>
      <c r="G1184" s="2" t="inlineStr">
        <is>
          <t>Entamoeda histolytica</t>
        </is>
      </c>
      <c r="H1184" s="2" t="inlineStr">
        <is>
          <t>Vibrio cholera</t>
        </is>
      </c>
      <c r="I1184" s="8" t="inlineStr">
        <is>
          <t>1</t>
        </is>
      </c>
      <c r="J1184" s="2" t="inlineStr">
        <is>
          <t>✅ คำตอบที่ถูกต้อง: ข้อ ก. Escherichia coli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Escherichia coli การเลือก Escherichia coli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(Salmonella typhi): ข้อนี้ไม่ใช่คำตอบที่ถูกต้องสำหรับภาวะ General Therapeutics เนื่องจากกลไกการออกฤทธิ์, efficacy หรือข้อบ่งใช้ไม่ตรงกับโจทย์ที่กำหนด
• ข้อ ค. (Pseudomembranous colitis): ข้อนี้ไม่ใช่คำตอบที่ถูกต้องสำหรับภาวะ General Therapeutics เนื่องจากกลไกการออกฤทธิ์, efficacy หรือข้อบ่งใช้ไม่ตรงกับโจทย์ที่กำหนด
• ข้อ ง. (Entamoeda histolytica): ข้อนี้ไม่ใช่คำตอบที่ถูกต้องสำหรับภาวะ General Therapeutics เนื่องจากกลไกการออกฤทธิ์, efficacy หรือข้อบ่งใช้ไม่ตรงกับโจทย์ที่กำหนด
• ข้อ จ. (Vibrio cholera):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4" s="2" t="n"/>
      <c r="L1184" s="2" t="inlineStr">
        <is>
          <t>General Therapeutics</t>
        </is>
      </c>
      <c r="M1184" s="2" t="inlineStr">
        <is>
          <t>Clinic</t>
        </is>
      </c>
      <c r="N1184" s="2" t="inlineStr">
        <is>
          <t>ข้อ 5 (PLE_CC1_Practice_Exam.md)</t>
        </is>
      </c>
      <c r="O1184" s="2" t="inlineStr">
        <is>
          <t>Mock</t>
        </is>
      </c>
      <c r="P1184" s="2" t="inlineStr">
        <is>
          <t>Mock สภาเภสัชฯ Practice</t>
        </is>
      </c>
    </row>
    <row r="1185" ht="13.2" customHeight="1" s="37">
      <c r="A1185" s="8" t="inlineStr">
        <is>
          <t>1206</t>
        </is>
      </c>
      <c r="B1185" s="2" t="inlineStr">
        <is>
          <t>ยาใดเหมาะสมที่สุดในการรักษาผู้ป่วยรายนี้</t>
        </is>
      </c>
      <c r="C1185" s="2" t="n"/>
      <c r="D1185" s="2" t="inlineStr">
        <is>
          <t>Doxycycline</t>
        </is>
      </c>
      <c r="E1185" s="2" t="inlineStr">
        <is>
          <t>Metronidazole</t>
        </is>
      </c>
      <c r="F1185" s="2" t="inlineStr">
        <is>
          <t>Azithromycin</t>
        </is>
      </c>
      <c r="G1185" s="2" t="inlineStr">
        <is>
          <t>Chloramphenicol</t>
        </is>
      </c>
      <c r="H1185" s="2" t="inlineStr">
        <is>
          <t>Vancomycin 43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1185" s="8" t="inlineStr">
        <is>
          <t>1</t>
        </is>
      </c>
      <c r="J1185" s="2" t="inlineStr">
        <is>
          <t>✅ คำตอบที่ถูกต้อง: ข้อ ก. Doxycycline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(Metronidazole): เป็น antianaerobic และ antiprotozoal agent ยับยั้ง Trichomonas vaginalis, Giardia, Amebiasis, และ anaerobes ห้ามดื่มแอลกอฮอล์ระหว่างใช้ยา (disulfiram-like reaction)
• ข้อ ค. (Azithromycin): เป็น Macrolide ครอบคลุม atypical pathogens (Mycoplasma, Chlamydia, Legionella) ขจัดออกทางตับเป็นหลัก และมี half-life ยาวนาน (~68 ชม.)
• ข้อ ง. (Chloramphenicol): ข้อนี้ไม่ใช่คำตอบที่ถูกต้องสำหรับภาวะ General Therapeutics เนื่องจากกลไกการออกฤทธิ์, efficacy หรือข้อบ่งใช้ไม่ตรงกับโจทย์ที่กำหนด
• ข้อ จ. (Vancomycin 43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5" s="2" t="n"/>
      <c r="L1185" s="2" t="inlineStr">
        <is>
          <t>General Therapeutics</t>
        </is>
      </c>
      <c r="M1185" s="2" t="inlineStr">
        <is>
          <t>Clinic</t>
        </is>
      </c>
      <c r="N1185" s="2" t="inlineStr">
        <is>
          <t>ข้อ 6 (PLE_CC1_Practice_Exam.md)</t>
        </is>
      </c>
      <c r="O1185" s="2" t="inlineStr">
        <is>
          <t>Mock</t>
        </is>
      </c>
      <c r="P1185" s="2" t="inlineStr">
        <is>
          <t>Mock สภาเภสัชฯ Practice</t>
        </is>
      </c>
    </row>
    <row r="1186" ht="13.2" customHeight="1" s="37">
      <c r="A1186" s="8" t="inlineStr">
        <is>
          <t>1207</t>
        </is>
      </c>
      <c r="B1186" s="2" t="inlineStr">
        <is>
          <t>กลไกของยาในข้อถูกต้อง</t>
        </is>
      </c>
      <c r="C1186" s="2" t="n"/>
      <c r="D1186" s="2" t="inlineStr">
        <is>
          <t>Doxycycline ยับยั้งการสังเคราะห์โปรตีนโดยการจับกับ 50s ribosome</t>
        </is>
      </c>
      <c r="E1186" s="2" t="inlineStr">
        <is>
          <t>Metronidazole ยับยั้งการสังเคราะห์ Nucleic acid</t>
        </is>
      </c>
      <c r="F1186" s="2" t="inlineStr">
        <is>
          <t>Azithromycin ยับยั้งการสังเคราะห์โปรตีนโดยการจับกับ 30s ribosome</t>
        </is>
      </c>
      <c r="G1186" s="2" t="inlineStr">
        <is>
          <t>Chloramphenicol ยับยั้งการสังเคราะห์โปรตีนโดยการจับกับ 30s ribosome</t>
        </is>
      </c>
      <c r="H1186" s="2" t="inlineStr">
        <is>
          <t>Vancomycin ยับยั้งกระบวนการสร้างเยื่อหุ้มเซลล์</t>
        </is>
      </c>
      <c r="I1186" s="8" t="inlineStr">
        <is>
          <t>1</t>
        </is>
      </c>
      <c r="J1186" s="2" t="inlineStr">
        <is>
          <t>✅ คำตอบที่ถูกต้อง: ข้อ ก. Doxycycline ยับยั้งการสังเคราะห์โปรตีนโดยการจับกับ 50s ribosome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Doxycycline ยับยั้งการสังเคราะห์โปรตีนโดยการจับกับ 50s ribosome การเลือก Doxycycline ยับยั้งการสังเคราะห์โปรตีนโดยการจับกับ 50s ribosome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(Metronidazole ยับยั้งการสังเคราะห์ Nucleic acid): เป็น antianaerobic และ antiprotozoal agent ยับยั้ง Trichomonas vaginalis, Giardia, Amebiasis, และ anaerobes ห้ามดื่มแอลกอฮอล์ระหว่างใช้ยา (disulfiram-like reaction)
• ข้อ ค. (Azithromycin ยับยั้งการสังเคราะห์โปรตีนโดยการจับกับ 30s ribosome): เป็น Macrolide ครอบคลุม atypical pathogens (Mycoplasma, Chlamydia, Legionella) ขจัดออกทางตับเป็นหลัก และมี half-life ยาวนาน (~68 ชม.)
• ข้อ ง. (Chloramphenicol ยับยั้งการสังเคราะห์โปรตีนโดยการจับกับ 30s ribosome): ข้อนี้ไม่ใช่คำตอบที่ถูกต้องสำหรับภาวะ General Therapeutics เนื่องจากกลไกการออกฤทธิ์, efficacy หรือข้อบ่งใช้ไม่ตรงกับโจทย์ที่กำหนด
• ข้อ จ. (Vancomycin ยับยั้งกระบวนการสร้างเยื่อหุ้มเซลล์):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6" s="2" t="n"/>
      <c r="L1186" s="2" t="inlineStr">
        <is>
          <t>General Therapeutics</t>
        </is>
      </c>
      <c r="M1186" s="2" t="inlineStr">
        <is>
          <t>Clinic</t>
        </is>
      </c>
      <c r="N1186" s="2" t="inlineStr">
        <is>
          <t>ข้อ 7 (PLE_CC1_Practice_Exam.md)</t>
        </is>
      </c>
      <c r="O1186" s="2" t="inlineStr">
        <is>
          <t>Mock</t>
        </is>
      </c>
      <c r="P1186" s="2" t="inlineStr">
        <is>
          <t>Mock สภาเภสัชฯ Practice</t>
        </is>
      </c>
    </row>
    <row r="1187" ht="13.2" customHeight="1" s="37">
      <c r="A1187" s="8" t="inlineStr">
        <is>
          <t>1208</t>
        </is>
      </c>
      <c r="B1187" s="2" t="inlineStr">
        <is>
          <t>ข้อใดไม่สัมพันธ์กัน</t>
        </is>
      </c>
      <c r="C1187" s="2" t="n"/>
      <c r="D1187" s="2" t="inlineStr">
        <is>
          <t>Rabeprazole – reduce amount of acid secretion</t>
        </is>
      </c>
      <c r="E1187" s="2" t="inlineStr">
        <is>
          <t>Aluminium hydroxide – เพิ่มการขับ phosphate ออกจากร่างกาย</t>
        </is>
      </c>
      <c r="F1187" s="2" t="inlineStr">
        <is>
          <t>Alginate – มีการเปลี่ยนโครงสร้างของแอลจินิกเป็นเจลปกคลุมบริเวณกระเพาะอาหาร</t>
        </is>
      </c>
      <c r="G1187" s="2" t="inlineStr">
        <is>
          <t>Misoprostal – cytoprotective and reduce amount of acid secretion</t>
        </is>
      </c>
      <c r="H1187" s="2" t="inlineStr">
        <is>
          <t>Sucrafate – เมื่อโดนกรดจะเปลี่ยนเป็นสารข้นเหนียว จับกับประจุลบของโมเลกุลโปรตีนในแผล หัวข้อเรื่อง Diarrhea จากกรณีศึกษาต่อไปนี้ ตอบคำถามข้อ 15-16 เด็กหญิง อายุ 1 ปี 2 เดือน มีอาการอาเจียนมาก ท้องเสียถ่ายเป็นน้ำ ไม่มีมูกเลือดปน ไม่มีไข้ จากการซักประวัติเพิ่มเติมพบว่า 2 วันก่อน ป่วยเป็นไข้หวัด ได้รับยาลดไข้และน้ำมูก</t>
        </is>
      </c>
      <c r="I1187" s="8" t="inlineStr">
        <is>
          <t>1</t>
        </is>
      </c>
      <c r="J1187" s="2" t="inlineStr">
        <is>
          <t>✅ คำตอบที่ถูกต้อง: ข้อ ก. Rabeprazole – reduce amount of acid secretion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Rabeprazole – reduce amount of acid secretion การเลือก Rabeprazole – reduce amount of acid secretion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(Aluminium hydroxide – เพิ่มการขับ phosphate ออกจากร่างกาย): ข้อนี้ไม่ใช่คำตอบที่ถูกต้องสำหรับภาวะ General Therapeutics เนื่องจากกลไกการออกฤทธิ์, efficacy หรือข้อบ่งใช้ไม่ตรงกับโจทย์ที่กำหนด
• ข้อ ค. (Alginate – มีการเปลี่ยนโครงสร้างของแอลจินิกเป็นเจลปกคลุมบริเวณกระเพาะอาหาร): ข้อนี้ไม่ใช่คำตอบที่ถูกต้องสำหรับภาวะ General Therapeutics เนื่องจากกลไกการออกฤทธิ์, efficacy หรือข้อบ่งใช้ไม่ตรงกับโจทย์ที่กำหนด
• ข้อ ง. (Misoprostal – cytoprotective and reduce amount of acid secretion): ข้อนี้ไม่ใช่คำตอบที่ถูกต้องสำหรับภาวะ General Therapeutics เนื่องจากกลไกการออกฤทธิ์, efficacy หรือข้อบ่งใช้ไม่ตรงกับโจทย์ที่กำหนด
• ข้อ จ. (Sucrafate – เมื่อโดนกรดจะเปลี่ยนเป็นสารข้นเหนียว จับกับประจุลบของโมเลกุลโปรตีนในแผล หัวข้อเรื่อง Diarrhea จากกรณีศึกษาต่อไปนี้ ตอบคำถามข้อ 15-16 เด็กหญิง อายุ 1 ปี 2 เดือน มีอาการอาเจียนมาก ท้องเสียถ่ายเป็นน้ำ ไม่มีมูกเลือดปน ไม่มีไข้ จากการซักประวัติเพิ่มเติมพบว่า 2 วันก่อน ป่วยเป็นไข้หวัด ได้รับยาลดไข้และน้ำมูก):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7" s="2" t="n"/>
      <c r="L1187" s="2" t="inlineStr">
        <is>
          <t>General Therapeutics</t>
        </is>
      </c>
      <c r="M1187" s="2" t="inlineStr">
        <is>
          <t>Clinic</t>
        </is>
      </c>
      <c r="N1187" s="2" t="inlineStr">
        <is>
          <t>ข้อ 14 (PLE_CC1_Practice_Exam.md)</t>
        </is>
      </c>
      <c r="O1187" s="2" t="inlineStr">
        <is>
          <t>Mock</t>
        </is>
      </c>
      <c r="P1187" s="2" t="inlineStr">
        <is>
          <t>Mock สภาเภสัชฯ Practice</t>
        </is>
      </c>
    </row>
    <row r="1188" ht="13.2" customHeight="1" s="37">
      <c r="A1188" s="8" t="inlineStr">
        <is>
          <t>1209</t>
        </is>
      </c>
      <c r="B1188" s="2" t="inlineStr">
        <is>
          <t>เชื้อสาเหตุเกิดจากเชื้อใด</t>
        </is>
      </c>
      <c r="C1188" s="2" t="n"/>
      <c r="D1188" s="2" t="inlineStr">
        <is>
          <t>Entamoeda histolytica</t>
        </is>
      </c>
      <c r="E1188" s="2" t="inlineStr">
        <is>
          <t>Escherichia coli</t>
        </is>
      </c>
      <c r="F1188" s="2" t="inlineStr">
        <is>
          <t>Rotavirus</t>
        </is>
      </c>
      <c r="G1188" s="2" t="inlineStr">
        <is>
          <t>Staphylococcus aureus</t>
        </is>
      </c>
      <c r="H1188" s="2" t="inlineStr">
        <is>
          <t>Salmonella typhi 46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1188" s="8" t="inlineStr">
        <is>
          <t>1</t>
        </is>
      </c>
      <c r="J1188" s="2" t="inlineStr">
        <is>
          <t>✅ คำตอบที่ถูกต้อง: ข้อ ก. Entamoeda histolytica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Entamoeda histolytica การเลือก Entamoeda histolytica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(Escherichia coli): ข้อนี้ไม่ใช่คำตอบที่ถูกต้องสำหรับภาวะ General Therapeutics เนื่องจากกลไกการออกฤทธิ์, efficacy หรือข้อบ่งใช้ไม่ตรงกับโจทย์ที่กำหนด
• ข้อ ค. (Rotavirus): เป็น Live oral vaccine หยอดทางปากเข็มแรกที่ 2 เดือน และเข็ม 2 ที่ 4 เดือน (ห้ามเริ่มเข็มแรกเมื่ออายุเกิน 15 สัปดาห์)
• ข้อ ง. (Staphylococcus aureus): ข้อนี้ไม่ใช่คำตอบที่ถูกต้องสำหรับภาวะ General Therapeutics เนื่องจากกลไกการออกฤทธิ์, efficacy หรือข้อบ่งใช้ไม่ตรงกับโจทย์ที่กำหนด
• ข้อ จ. (Salmonella typhi 46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8" s="2" t="n"/>
      <c r="L1188" s="2" t="inlineStr">
        <is>
          <t>General Therapeutics</t>
        </is>
      </c>
      <c r="M1188" s="2" t="inlineStr">
        <is>
          <t>Clinic</t>
        </is>
      </c>
      <c r="N1188" s="2" t="inlineStr">
        <is>
          <t>ข้อ 15 (PLE_CC1_Practice_Exam.md)</t>
        </is>
      </c>
      <c r="O1188" s="2" t="inlineStr">
        <is>
          <t>Mock</t>
        </is>
      </c>
      <c r="P1188" s="2" t="inlineStr">
        <is>
          <t>Mock สภาเภสัชฯ Practice</t>
        </is>
      </c>
    </row>
    <row r="1189" ht="13.2" customHeight="1" s="37">
      <c r="A1189" s="8" t="inlineStr">
        <is>
          <t>1210</t>
        </is>
      </c>
      <c r="B1189" s="2" t="inlineStr">
        <is>
          <t>กลไกของ Kaolin คือข้อใด</t>
        </is>
      </c>
      <c r="C1189" s="2" t="n"/>
      <c r="D1189" s="2" t="inlineStr">
        <is>
          <t>Adsorbents</t>
        </is>
      </c>
      <c r="E1189" s="2" t="inlineStr">
        <is>
          <t>Absorbents</t>
        </is>
      </c>
      <c r="F1189" s="2" t="inlineStr">
        <is>
          <t>Antiperistaltics</t>
        </is>
      </c>
      <c r="G1189" s="2" t="inlineStr">
        <is>
          <t>Probiotic</t>
        </is>
      </c>
      <c r="H1189" s="2" t="inlineStr">
        <is>
          <t>Anticholinergic</t>
        </is>
      </c>
      <c r="I1189" s="8" t="inlineStr">
        <is>
          <t>1</t>
        </is>
      </c>
      <c r="J1189" s="2" t="inlineStr">
        <is>
          <t>✅ คำตอบที่ถูกต้อง: ข้อ ก. Adsorbents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Adsorbents การเลือก Adsorbents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(Absorbents): ข้อนี้ไม่ใช่คำตอบที่ถูกต้องสำหรับภาวะ General Therapeutics เนื่องจากกลไกการออกฤทธิ์, efficacy หรือข้อบ่งใช้ไม่ตรงกับโจทย์ที่กำหนด
• ข้อ ค. (Antiperistaltics): ข้อนี้ไม่ใช่คำตอบที่ถูกต้องสำหรับภาวะ General Therapeutics เนื่องจากกลไกการออกฤทธิ์, efficacy หรือข้อบ่งใช้ไม่ตรงกับโจทย์ที่กำหนด
• ข้อ ง. (Probiotic): ข้อนี้ไม่ใช่คำตอบที่ถูกต้องสำหรับภาวะ General Therapeutics เนื่องจากกลไกการออกฤทธิ์, efficacy หรือข้อบ่งใช้ไม่ตรงกับโจทย์ที่กำหนด
• ข้อ จ. (Anticholinergic):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9" s="2" t="n"/>
      <c r="L1189" s="2" t="inlineStr">
        <is>
          <t>General Therapeutics</t>
        </is>
      </c>
      <c r="M1189" s="2" t="inlineStr">
        <is>
          <t>Clinic</t>
        </is>
      </c>
      <c r="N1189" s="2" t="inlineStr">
        <is>
          <t>ข้อ 17 (PLE_CC1_Practice_Exam.md)</t>
        </is>
      </c>
      <c r="O1189" s="2" t="inlineStr">
        <is>
          <t>Mock</t>
        </is>
      </c>
      <c r="P1189" s="2" t="inlineStr">
        <is>
          <t>Mock สภาเภสัชฯ Practice</t>
        </is>
      </c>
    </row>
    <row r="1190" ht="13.2" customHeight="1" s="37">
      <c r="A1190" s="8" t="inlineStr">
        <is>
          <t>1211</t>
        </is>
      </c>
      <c r="B1190" s="2" t="inlineStr">
        <is>
          <t>กลไกการออกฤทธิ์ของ Bismuth subsalicylate คือข้อใด</t>
        </is>
      </c>
      <c r="C1190" s="2" t="n"/>
      <c r="D1190" s="2" t="inlineStr">
        <is>
          <t>ออกฤทธิ์เป็น protective coating</t>
        </is>
      </c>
      <c r="E1190" s="2" t="inlineStr">
        <is>
          <t>กระตุ้นการสร้าง Prostaglandin และ mucus</t>
        </is>
      </c>
      <c r="F1190" s="2" t="inlineStr">
        <is>
          <t>ต้านการเจริญเติบโตของเชื้อ H. pylori</t>
        </is>
      </c>
      <c r="G1190" s="2" t="inlineStr">
        <is>
          <t>กระตุ้นการหลั่ง HCO3</t>
        </is>
      </c>
      <c r="H1190" s="2" t="inlineStr">
        <is>
          <t>ถูกทุกข้อ</t>
        </is>
      </c>
      <c r="I1190" s="8" t="inlineStr">
        <is>
          <t>1</t>
        </is>
      </c>
      <c r="J1190" s="2" t="inlineStr">
        <is>
          <t>✅ คำตอบที่ถูกต้อง: ข้อ ก. ออกฤทธิ์เป็น protective coating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ออกฤทธิ์เป็น protective coating การเลือก ออกฤทธิ์เป็น protective coating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(กระตุ้นการสร้าง Prostaglandin และ mucus): ข้อนี้ไม่ใช่คำตอบที่ถูกต้องสำหรับภาวะ General Therapeutics เนื่องจากกลไกการออกฤทธิ์, efficacy หรือข้อบ่งใช้ไม่ตรงกับโจทย์ที่กำหนด
• ข้อ ค. (ต้านการเจริญเติบโตของเชื้อ H. pylori): ข้อนี้ไม่ใช่คำตอบที่ถูกต้องสำหรับภาวะ General Therapeutics เนื่องจากกลไกการออกฤทธิ์, efficacy หรือข้อบ่งใช้ไม่ตรงกับโจทย์ที่กำหนด
• ข้อ ง. (กระตุ้นการหลั่ง HCO3):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0" s="2" t="n"/>
      <c r="L1190" s="2" t="inlineStr">
        <is>
          <t>General Therapeutics</t>
        </is>
      </c>
      <c r="M1190" s="2" t="inlineStr">
        <is>
          <t>Clinic</t>
        </is>
      </c>
      <c r="N1190" s="2" t="inlineStr">
        <is>
          <t>ข้อ 21 (PLE_CC1_Practice_Exam.md)</t>
        </is>
      </c>
      <c r="O1190" s="2" t="inlineStr">
        <is>
          <t>Mock</t>
        </is>
      </c>
      <c r="P1190" s="2" t="inlineStr">
        <is>
          <t>Mock สภาเภสัชฯ Practice</t>
        </is>
      </c>
    </row>
    <row r="1191" ht="13.2" customHeight="1" s="37">
      <c r="A1191" s="8" t="inlineStr">
        <is>
          <t>1212</t>
        </is>
      </c>
      <c r="B1191" s="2" t="inlineStr">
        <is>
          <t>ยาใดไม่เหมาะสมในการรักษาผู้ป่วยรายนี้</t>
        </is>
      </c>
      <c r="C1191" s="2" t="n"/>
      <c r="D1191" s="2" t="inlineStr">
        <is>
          <t>ORS</t>
        </is>
      </c>
      <c r="E1191" s="2" t="inlineStr">
        <is>
          <t>Norfloxacin</t>
        </is>
      </c>
      <c r="F1191" s="2" t="inlineStr">
        <is>
          <t>Metoclopamide</t>
        </is>
      </c>
      <c r="G1191" s="2" t="inlineStr">
        <is>
          <t>Hyoscyamine</t>
        </is>
      </c>
      <c r="H1191" s="2" t="inlineStr">
        <is>
          <t>Activated charcoal หัวข้อเรื่อง GERD จากกรณีศึกษาต่อไปนี้ ตอบคำถามข้อ 24-25 หญิง อายุ 46 ปี น้ำหนัก 75 กก. สูง 155 ซม. ในช่วง 2 สัปดาห์ที่ผ่านมา มีอาการแสบร้อนกลางอก เป็นๆหายๆ มักมีอาการตอนกลางคืน มีอาการเรอแล้วรู้สึกขมคอ ไม่มีประวัติแพ้ยา ไม่มีโรคประจำตัว ดื่มกาแฟ 2 แก้วต่อวัน มีพฤติกรรมชอบนอนหลังจากรับประทาน อาหารเย็น</t>
        </is>
      </c>
      <c r="I1191" s="8" t="inlineStr">
        <is>
          <t>1</t>
        </is>
      </c>
      <c r="J1191" s="2" t="inlineStr">
        <is>
          <t>✅ คำตอบที่ถูกต้อง: ข้อ ก. ORS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ORS การเลือก ORS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(Norfloxacin): ข้อนี้ไม่ใช่คำตอบที่ถูกต้องสำหรับภาวะ General Therapeutics เนื่องจากกลไกการออกฤทธิ์, efficacy หรือข้อบ่งใช้ไม่ตรงกับโจทย์ที่กำหนด
• ข้อ ค. (Metoclopamide): ข้อนี้ไม่ใช่คำตอบที่ถูกต้องสำหรับภาวะ General Therapeutics เนื่องจากกลไกการออกฤทธิ์, efficacy หรือข้อบ่งใช้ไม่ตรงกับโจทย์ที่กำหนด
• ข้อ ง. (Hyoscyamine): ข้อนี้ไม่ใช่คำตอบที่ถูกต้องสำหรับภาวะ General Therapeutics เนื่องจากกลไกการออกฤทธิ์, efficacy หรือข้อบ่งใช้ไม่ตรงกับโจทย์ที่กำหนด
• ข้อ จ. (Activated charcoal หัวข้อเรื่อง GERD จากกรณีศึกษาต่อไปนี้ ตอบคำถามข้อ 24-25 หญิง อายุ 46 ปี น้ำหนัก 75 กก. สูง 155 ซม. ในช่วง 2 สัปดาห์ที่ผ่านมา มีอาการแสบร้อนกลางอก เป็นๆหายๆ มักมีอาการตอนกลางคืน มีอาการเรอแล้วรู้สึกขมคอ ไม่มีประวัติแพ้ยา ไม่มีโรคประจำตัว ดื่มกาแฟ 2 แก้วต่อวัน มีพฤติกรรมชอบนอนหลังจากรับประทาน อาหารเย็น):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1" s="2" t="n"/>
      <c r="L1191" s="2" t="inlineStr">
        <is>
          <t>General Therapeutics</t>
        </is>
      </c>
      <c r="M1191" s="2" t="inlineStr">
        <is>
          <t>Clinic</t>
        </is>
      </c>
      <c r="N1191" s="2" t="inlineStr">
        <is>
          <t>ข้อ 23 (PLE_CC1_Practice_Exam.md)</t>
        </is>
      </c>
      <c r="O1191" s="2" t="inlineStr">
        <is>
          <t>Mock</t>
        </is>
      </c>
      <c r="P1191" s="2" t="inlineStr">
        <is>
          <t>Mock สภาเภสัชฯ Practice</t>
        </is>
      </c>
    </row>
    <row r="1192" ht="13.2" customHeight="1" s="37">
      <c r="A1192" s="8" t="inlineStr">
        <is>
          <t>1213</t>
        </is>
      </c>
      <c r="B1192" s="2" t="inlineStr">
        <is>
          <t>ยาใดเหมาะสมที่สุดในการรักษาผู้ป่วยรายนี้</t>
        </is>
      </c>
      <c r="C1192" s="2" t="n"/>
      <c r="D1192" s="2" t="inlineStr">
        <is>
          <t>Famotidine</t>
        </is>
      </c>
      <c r="E1192" s="2" t="inlineStr">
        <is>
          <t>Salol and menthol mixtures</t>
        </is>
      </c>
      <c r="F1192" s="2" t="inlineStr">
        <is>
          <t>Sucralfate</t>
        </is>
      </c>
      <c r="G1192" s="2" t="inlineStr">
        <is>
          <t>Bismuth subsalicylate</t>
        </is>
      </c>
      <c r="H1192" s="2" t="inlineStr">
        <is>
          <t>Simethicone 49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I1192" s="8" t="inlineStr">
        <is>
          <t>1</t>
        </is>
      </c>
      <c r="J1192" s="2" t="inlineStr">
        <is>
          <t>✅ คำตอบที่ถูกต้อง: ข้อ ก. Famotidine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Famotidine การเลือก Famotidine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(Salol and menthol mixtures): ข้อนี้ไม่ใช่คำตอบที่ถูกต้องสำหรับภาวะ General Therapeutics เนื่องจากกลไกการออกฤทธิ์, efficacy หรือข้อบ่งใช้ไม่ตรงกับโจทย์ที่กำหนด
• ข้อ ค.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(Bismuth subsalicylate): ข้อนี้ไม่ใช่คำตอบที่ถูกต้องสำหรับภาวะ General Therapeutics เนื่องจากกลไกการออกฤทธิ์, efficacy หรือข้อบ่งใช้ไม่ตรงกับโจทย์ที่กำหนด
• ข้อ จ. (Simethicone 49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2" s="2" t="n"/>
      <c r="L1192" s="2" t="inlineStr">
        <is>
          <t>General Therapeutics</t>
        </is>
      </c>
      <c r="M1192" s="2" t="inlineStr">
        <is>
          <t>Clinic</t>
        </is>
      </c>
      <c r="N1192" s="2" t="inlineStr">
        <is>
          <t>ข้อ 24 (PLE_CC1_Practice_Exam.md)</t>
        </is>
      </c>
      <c r="O1192" s="2" t="inlineStr">
        <is>
          <t>Mock</t>
        </is>
      </c>
      <c r="P1192" s="2" t="inlineStr">
        <is>
          <t>Mock สภาเภสัชฯ Practice</t>
        </is>
      </c>
    </row>
    <row r="1193" ht="13.2" customHeight="1" s="37">
      <c r="A1193" s="8" t="inlineStr">
        <is>
          <t>1214</t>
        </is>
      </c>
      <c r="B1193" s="2" t="inlineStr">
        <is>
          <t>จากโครงสร้างของยาดังรูป ข้อใดผิด</t>
        </is>
      </c>
      <c r="C1193" s="2" t="n"/>
      <c r="D1193" s="2" t="inlineStr">
        <is>
          <t>อยู่ในกลุ่ม H2 receptor antagonist</t>
        </is>
      </c>
      <c r="E1193" s="2" t="inlineStr">
        <is>
          <t>เป็น CYP450 inhibitor</t>
        </is>
      </c>
      <c r="F1193" s="2" t="inlineStr">
        <is>
          <t>อาจทำให้เกิด Galactorrhea ในเพศหญิง</t>
        </is>
      </c>
      <c r="G1193" s="2" t="inlineStr">
        <is>
          <t>อาจทำให้เกิด Gynecomastia ในเพศชาย</t>
        </is>
      </c>
      <c r="H1193" s="2" t="inlineStr">
        <is>
          <t>หากทานร่วมกับ Phenytoin จะทำให้ระดับยา Phenytoin ในกระแสเลือดลดลง</t>
        </is>
      </c>
      <c r="I1193" s="8" t="inlineStr">
        <is>
          <t>1</t>
        </is>
      </c>
      <c r="J1193" s="2" t="inlineStr">
        <is>
          <t>✅ คำตอบที่ถูกต้อง: ข้อ ก. อยู่ในกลุ่ม H2 receptor antagonist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อยู่ในกลุ่ม H2 receptor antagonist การเลือก อยู่ในกลุ่ม H2 receptor antagonist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(เป็น CYP450 inhibitor): ข้อนี้ไม่ใช่คำตอบที่ถูกต้องสำหรับภาวะ General Therapeutics เนื่องจากกลไกการออกฤทธิ์, efficacy หรือข้อบ่งใช้ไม่ตรงกับโจทย์ที่กำหนด
• ข้อ ค. (อาจทำให้เกิด Galactorrhea ในเพศหญิง): ข้อนี้ไม่ใช่คำตอบที่ถูกต้องสำหรับภาวะ General Therapeutics เนื่องจากกลไกการออกฤทธิ์, efficacy หรือข้อบ่งใช้ไม่ตรงกับโจทย์ที่กำหนด
• ข้อ ง. (อาจทำให้เกิด Gynecomastia ในเพศชาย): ข้อนี้ไม่ใช่คำตอบที่ถูกต้องสำหรับภาวะ General Therapeutics เนื่องจากกลไกการออกฤทธิ์, efficacy หรือข้อบ่งใช้ไม่ตรงกับโจทย์ที่กำหนด
• ข้อ จ. (หากทานร่วมกับ Phenytoin จะทำให้ระดับยา Phenytoin ในกระแสเลือดลดลง): เป็น sodium channel blocker สำหรับ focal/generalized seizures มี non-linear (Michaelis-Menten) PK เสี่ยง toxicity ได้ง่ายเมื่อปรับ dose และทำให้เกิด gingival hyperplasia, hirsutism, cerebellar ataxia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3" s="2" t="n"/>
      <c r="L1193" s="2" t="inlineStr">
        <is>
          <t>General Therapeutics</t>
        </is>
      </c>
      <c r="M1193" s="2" t="inlineStr">
        <is>
          <t>Clinic</t>
        </is>
      </c>
      <c r="N1193" s="2" t="inlineStr">
        <is>
          <t>ข้อ 26 (PLE_CC1_Practice_Exam.md)</t>
        </is>
      </c>
      <c r="O1193" s="2" t="inlineStr">
        <is>
          <t>Mock</t>
        </is>
      </c>
      <c r="P1193" s="2" t="inlineStr">
        <is>
          <t>Mock สภาเภสัชฯ Practice</t>
        </is>
      </c>
    </row>
    <row r="1194" ht="13.2" customHeight="1" s="37">
      <c r="A1194" s="8" t="inlineStr">
        <is>
          <t>1215</t>
        </is>
      </c>
      <c r="B1194" s="2" t="inlineStr">
        <is>
          <t>ยาในข้อใดไม่จำเป็นในการรักษาผู้ป่วยรายนี้</t>
        </is>
      </c>
      <c r="C1194" s="2" t="n"/>
      <c r="D1194" s="2" t="inlineStr">
        <is>
          <t>Simethicone</t>
        </is>
      </c>
      <c r="E1194" s="2" t="inlineStr">
        <is>
          <t>Aluminium hydroxide + Magnesium hydroxide</t>
        </is>
      </c>
      <c r="F1194" s="2" t="inlineStr">
        <is>
          <t>Cimetidine</t>
        </is>
      </c>
      <c r="G1194" s="2" t="inlineStr">
        <is>
          <t>Domperidone</t>
        </is>
      </c>
      <c r="H1194" s="2" t="inlineStr">
        <is>
          <t>Octreotide</t>
        </is>
      </c>
      <c r="I1194" s="8" t="inlineStr">
        <is>
          <t>1</t>
        </is>
      </c>
      <c r="J1194" s="2" t="inlineStr">
        <is>
          <t>✅ คำตอบที่ถูกต้อง: ข้อ ก. Simethicone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Simethicone การเลือก Simethicone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(Aluminium hydroxide + Magnesium hydroxide): ข้อนี้ไม่ใช่คำตอบที่ถูกต้องสำหรับภาวะ General Therapeutics เนื่องจากกลไกการออกฤทธิ์, efficacy หรือข้อบ่งใช้ไม่ตรงกับโจทย์ที่กำหนด
• ข้อ ค. (Cimetidine): ข้อนี้ไม่ใช่คำตอบที่ถูกต้องสำหรับภาวะ General Therapeutics เนื่องจากกลไกการออกฤทธิ์, efficacy หรือข้อบ่งใช้ไม่ตรงกับโจทย์ที่กำหนด
• ข้อ ง. (Domperidone): เป็น peripheral D2 receptor antagonist เพิ่ม GI motility ไม่ผ่าน BBB จึงไม่ทำให้เกิด EPS เด่นชัด แต่ต้องระวัง QT prolongation ในขนาดสูง (&gt; 30 mg/day)
• ข้อ จ. (Octreotide):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4" s="2" t="n"/>
      <c r="L1194" s="2" t="inlineStr">
        <is>
          <t>General Therapeutics</t>
        </is>
      </c>
      <c r="M1194" s="2" t="inlineStr">
        <is>
          <t>Clinic</t>
        </is>
      </c>
      <c r="N1194" s="2" t="inlineStr">
        <is>
          <t>ข้อ 28 (PLE_CC1_Practice_Exam.md)</t>
        </is>
      </c>
      <c r="O1194" s="2" t="inlineStr">
        <is>
          <t>Mock</t>
        </is>
      </c>
      <c r="P1194" s="2" t="inlineStr">
        <is>
          <t>Mock สภาเภสัชฯ Practice</t>
        </is>
      </c>
    </row>
    <row r="1195" ht="13.2" customHeight="1" s="37">
      <c r="A1195" s="8" t="inlineStr">
        <is>
          <t>1216</t>
        </is>
      </c>
      <c r="B1195" s="2" t="inlineStr">
        <is>
          <t>ข้อใดต่อไปนี้ผิดเกี่ยวกับการรับประทานยาลดกรด</t>
        </is>
      </c>
      <c r="C1195" s="2" t="n"/>
      <c r="D1195" s="2" t="inlineStr">
        <is>
          <t>ยาในกลุ่มนี้มีทั้งรูปแบบยาเม็ดและยาน้ำแขวนตะกอน รูปแบบยาเม็ดให้เคี้ยวก่อนกลืน</t>
        </is>
      </c>
      <c r="E1195" s="2" t="inlineStr">
        <is>
          <t>ควรรับประทานก่อนอาหาร 1 ชั่วโมง หลังอาหาร 2 ชั่วโมง และก่อนนอน</t>
        </is>
      </c>
      <c r="F1195" s="2" t="inlineStr">
        <is>
          <t>ยาอาจทำให้ท้องผูก เนื่องจากมีตัวยาสำคัญคือ Aluminium hydroxide</t>
        </is>
      </c>
      <c r="G1195" s="2" t="inlineStr">
        <is>
          <t>หากใช้ร่วมกับ Ferrous sulfate จะเกิดปฏิกิริยาระหว่างยาได้ จึงควรทานให้ห่างกัน 2 ชั่วโมง</t>
        </is>
      </c>
      <c r="H1195" s="2" t="inlineStr">
        <is>
          <t>การใช้ยา Magnesium hydroxide ติดต่อกันเป็นเวลานาน อาจทำให้เกิดภาวะฟอสเฟตในเลือด สูง หัวข้อเรื่อง Constipation จากกรณีศึกษาต่อไปนี้ ตอบคำถามข้อ 30-32 หญิงตั้งครรภ์ อายุ 28 ปี มีอาการท้องผูก ถ่ายไม่ออกมาหลายวัน มีอาการหลังรับประทานแคลเซียม บำรุง รับประทานผักผลไม้น้อย ไม่แพ้ยา ไม่มีโรคประจำตัว</t>
        </is>
      </c>
      <c r="I1195" s="8" t="inlineStr">
        <is>
          <t>1</t>
        </is>
      </c>
      <c r="J1195" s="2" t="inlineStr">
        <is>
          <t>✅ คำตอบที่ถูกต้อง: ข้อ ก. ยาในกลุ่มนี้มีทั้งรูปแบบยาเม็ดและยาน้ำแขวนตะกอน รูปแบบยาเม็ดให้เคี้ยวก่อนกลืน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ยาในกลุ่มนี้มีทั้งรูปแบบยาเม็ดและยาน้ำแขวนตะกอน รูปแบบยาเม็ดให้เคี้ยวก่อนกลืน การเลือก ยาในกลุ่มนี้มีทั้งรูปแบบยาเม็ดและยาน้ำแขวนตะกอน รูปแบบยาเม็ดให้เคี้ยวก่อนกลืน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(ควรรับประทานก่อนอาหาร 1 ชั่วโมง หลังอาหาร 2 ชั่วโมง และก่อนนอน): ข้อนี้ไม่ใช่คำตอบที่ถูกต้องสำหรับภาวะ GI Disorders เนื่องจากกลไกการออกฤทธิ์, efficacy หรือข้อบ่งใช้ไม่ตรงกับโจทย์ที่กำหนด
• ข้อ ค. (ยาอาจทำให้ท้องผูก เนื่องจากมีตัวยาสำคัญคือ Aluminium hydroxide): ข้อนี้ไม่ใช่คำตอบที่ถูกต้องสำหรับภาวะ GI Disorders เนื่องจากกลไกการออกฤทธิ์, efficacy หรือข้อบ่งใช้ไม่ตรงกับโจทย์ที่กำหนด
• ข้อ ง. (หากใช้ร่วมกับ Ferrous sulfate จะเกิดปฏิกิริยาระหว่างยาได้ จึงควรทานให้ห่างกัน 2 ชั่วโมง): ข้อนี้ไม่ใช่คำตอบที่ถูกต้องสำหรับภาวะ GI Disorders เนื่องจากกลไกการออกฤทธิ์, efficacy หรือข้อบ่งใช้ไม่ตรงกับโจทย์ที่กำหนด
• ข้อ จ. (การใช้ยา Magnesium hydroxide ติดต่อกันเป็นเวลานาน อาจทำให้เกิดภาวะฟอสเฟตในเลือด สูง หัวข้อเรื่อง Constipation จากกรณีศึกษาต่อไปนี้ ตอบคำถามข้อ 30-32 หญิงตั้งครรภ์ อายุ 28 ปี มีอาการท้องผูก ถ่ายไม่ออกมาหลายวัน มีอาการหลังรับประทานแคลเซียม บำรุง รับประทานผักผลไม้น้อย ไม่แพ้ยา ไม่มีโรคประจำตัว):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5" s="2" t="n"/>
      <c r="L1195" s="2" t="inlineStr">
        <is>
          <t>GI Disorders</t>
        </is>
      </c>
      <c r="M1195" s="2" t="inlineStr">
        <is>
          <t>Clinic</t>
        </is>
      </c>
      <c r="N1195" s="2" t="inlineStr">
        <is>
          <t>ข้อ 29 (PLE_CC1_Practice_Exam.md)</t>
        </is>
      </c>
      <c r="O1195" s="2" t="inlineStr">
        <is>
          <t>Mock</t>
        </is>
      </c>
      <c r="P1195" s="2" t="inlineStr">
        <is>
          <t>Mock สภาเภสัชฯ Practice</t>
        </is>
      </c>
    </row>
    <row r="1196" ht="13.2" customHeight="1" s="37">
      <c r="A1196" s="8" t="inlineStr">
        <is>
          <t>1217</t>
        </is>
      </c>
      <c r="B1196" s="2" t="inlineStr">
        <is>
          <t>ข้อใดไม่ใช่สาเหตุที่ทำให้ผู้ป่วยรายนี้ท้องผูก</t>
        </is>
      </c>
      <c r="C1196" s="2" t="n"/>
      <c r="D1196" s="2" t="inlineStr">
        <is>
          <t>รับประทานผักและผลไม้น้อย</t>
        </is>
      </c>
      <c r="E1196" s="2" t="inlineStr">
        <is>
          <t>แคลเซียมเสริม</t>
        </is>
      </c>
      <c r="F1196" s="2" t="inlineStr">
        <is>
          <t>ฮอร์โมน Estrogen สูง ส่งผลให้การบีบตัวของลำไส้ลดลง</t>
        </is>
      </c>
      <c r="G1196" s="2" t="inlineStr">
        <is>
          <t>ลำไส้ดูดกลับน้ำมากขึ้น</t>
        </is>
      </c>
      <c r="H1196" s="2" t="inlineStr">
        <is>
          <t>ขนาดของมดลูกขยายตัวกดทับลำไส้ ทำให้ลำไส้การเคลื่อนไหวช้าลง</t>
        </is>
      </c>
      <c r="I1196" s="8" t="inlineStr">
        <is>
          <t>1</t>
        </is>
      </c>
      <c r="J1196" s="2" t="inlineStr">
        <is>
          <t>✅ คำตอบที่ถูกต้อง: ข้อ ก. รับประทานผักและผลไม้น้อย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รับประทานผักและผลไม้น้อย การเลือก รับประทานผักและผลไม้น้อย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(แคลเซียมเสริม): ข้อนี้ไม่ใช่คำตอบที่ถูกต้องสำหรับภาวะ GI Disorders เนื่องจากกลไกการออกฤทธิ์, efficacy หรือข้อบ่งใช้ไม่ตรงกับโจทย์ที่กำหนด
• ข้อ ค. (ฮอร์โมน Estrogen สูง ส่งผลให้การบีบตัวของลำไส้ลดลง): ข้อนี้ไม่ใช่คำตอบที่ถูกต้องสำหรับภาวะ GI Disorders เนื่องจากกลไกการออกฤทธิ์, efficacy หรือข้อบ่งใช้ไม่ตรงกับโจทย์ที่กำหนด
• ข้อ ง. (ลำไส้ดูดกลับน้ำมากขึ้น): ข้อนี้ไม่ใช่คำตอบที่ถูกต้องสำหรับภาวะ GI Disorders เนื่องจากกลไกการออกฤทธิ์, efficacy หรือข้อบ่งใช้ไม่ตรงกับโจทย์ที่กำหนด
• ข้อ จ. (ขนาดของมดลูกขยายตัวกดทับลำไส้ ทำให้ลำไส้การเคลื่อนไหวช้าลง):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6" s="2" t="n"/>
      <c r="L1196" s="2" t="inlineStr">
        <is>
          <t>GI Disorders</t>
        </is>
      </c>
      <c r="M1196" s="2" t="inlineStr">
        <is>
          <t>Clinic</t>
        </is>
      </c>
      <c r="N1196" s="2" t="inlineStr">
        <is>
          <t>ข้อ 31 (PLE_CC1_Practice_Exam.md)</t>
        </is>
      </c>
      <c r="O1196" s="2" t="inlineStr">
        <is>
          <t>Mock</t>
        </is>
      </c>
      <c r="P1196" s="2" t="inlineStr">
        <is>
          <t>Mock สภาเภสัชฯ Practice</t>
        </is>
      </c>
    </row>
    <row r="1197" ht="13.2" customHeight="1" s="37">
      <c r="A1197" s="8" t="inlineStr">
        <is>
          <t>1218</t>
        </is>
      </c>
      <c r="B1197" s="2" t="inlineStr">
        <is>
          <t>ยาใดเหมาะสมในการรักษาผู้ป่วยรายนี้</t>
        </is>
      </c>
      <c r="C1197" s="2" t="n"/>
      <c r="D1197" s="2" t="inlineStr">
        <is>
          <t>Mineral oil</t>
        </is>
      </c>
      <c r="E1197" s="2" t="inlineStr">
        <is>
          <t>Lactulose</t>
        </is>
      </c>
      <c r="F1197" s="2" t="inlineStr">
        <is>
          <t>Psyllium</t>
        </is>
      </c>
      <c r="G1197" s="2" t="inlineStr">
        <is>
          <t>Castor oil</t>
        </is>
      </c>
      <c r="H1197" s="2" t="inlineStr">
        <is>
          <t>Glycerine จากกรณีศึกษาต่อไปนี้ ตอบคำถามข้อ 33-34 ชาย อายุ 25 ปี มีอาการท้องเสียมาแล้ว 3 วัน ในช่วงวันแรกถ่ายเหลวเป็นน้ำจำนวนมาก ต่อมามี อาการปวดเบ่ง อุจจาระน้อยลงและมีมูกเลือดปน อุจจาระไม่มีกลิ่น มีไข้สูง</t>
        </is>
      </c>
      <c r="I1197" s="8" t="inlineStr">
        <is>
          <t>1</t>
        </is>
      </c>
      <c r="J1197" s="2" t="inlineStr">
        <is>
          <t>✅ คำตอบที่ถูกต้อง: ข้อ ก. Mineral oil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Mineral oil การเลือก Mineral oil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(Lactulose): เป็น Osmotic disaccharide laxative ดูดซับน้ำเข้าสู่ลำไส้ และเปลี่ยนเป็น lactic acid ดักจับ ammonia (NH4+) ขับออกทางอุจจาระ เป็นแกนหลักใน hepatic encephalopathy
• ข้อ ค. (Psyllium): ข้อนี้ไม่ใช่คำตอบที่ถูกต้องสำหรับภาวะ General Therapeutics เนื่องจากกลไกการออกฤทธิ์, efficacy หรือข้อบ่งใช้ไม่ตรงกับโจทย์ที่กำหนด
• ข้อ ง. (Castor oil): ข้อนี้ไม่ใช่คำตอบที่ถูกต้องสำหรับภาวะ General Therapeutics เนื่องจากกลไกการออกฤทธิ์, efficacy หรือข้อบ่งใช้ไม่ตรงกับโจทย์ที่กำหนด
• ข้อ จ. (Glycerine จากกรณีศึกษาต่อไปนี้ ตอบคำถามข้อ 33-34 ชาย อายุ 25 ปี มีอาการท้องเสียมาแล้ว 3 วัน ในช่วงวันแรกถ่ายเหลวเป็นน้ำจำนวนมาก ต่อมามี อาการปวดเบ่ง อุจจาระน้อยลงและมีมูกเลือดปน อุจจาระไม่มีกลิ่น มีไข้สูง):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7" s="2" t="n"/>
      <c r="L1197" s="2" t="inlineStr">
        <is>
          <t>General Therapeutics</t>
        </is>
      </c>
      <c r="M1197" s="2" t="inlineStr">
        <is>
          <t>Clinic</t>
        </is>
      </c>
      <c r="N1197" s="2" t="inlineStr">
        <is>
          <t>ข้อ 32 (PLE_CC1_Practice_Exam.md)</t>
        </is>
      </c>
      <c r="O1197" s="2" t="inlineStr">
        <is>
          <t>Mock</t>
        </is>
      </c>
      <c r="P1197" s="2" t="inlineStr">
        <is>
          <t>Mock สภาเภสัชฯ Practice</t>
        </is>
      </c>
    </row>
    <row r="1198" ht="13.2" customHeight="1" s="37">
      <c r="A1198" s="8" t="inlineStr">
        <is>
          <t>1219</t>
        </is>
      </c>
      <c r="B1198" s="2" t="inlineStr">
        <is>
          <t>จากโครงสร้างต่อไปนี้ ข้อใดผิด</t>
        </is>
      </c>
      <c r="C1198" s="2" t="n"/>
      <c r="D1198" s="2" t="inlineStr">
        <is>
          <t>เป็นโครงสร้างของยาในกลุ่ม Proton Pump Inhibitor</t>
        </is>
      </c>
      <c r="E1198" s="2" t="inlineStr">
        <is>
          <t>โครงสร้างหลักของยาคือ 2-pyridylmethylsulfinylbenzimidazole</t>
        </is>
      </c>
      <c r="F1198" s="2" t="inlineStr">
        <is>
          <t>การเติมหมู่แทนที่ที่ตำแหน่ง Pyridine และที่ Imidazole ring มีผลในการออกฤทธิ์เพิ่มขึ้น/ ลดลง</t>
        </is>
      </c>
      <c r="G1198" s="2" t="inlineStr">
        <is>
          <t>หมู่แทนที่ที่ตำแหน่ง Imidazole ring เป็น Electron withdrawing group จะทำให้การออก ฤทธิ์ดีขึ้น</t>
        </is>
      </c>
      <c r="H1198" s="2" t="inlineStr">
        <is>
          <t>ออกฤทธิ์โดย form covalent bond กับ enzyme H+/K+ ATPase</t>
        </is>
      </c>
      <c r="I1198" s="8" t="inlineStr">
        <is>
          <t>1</t>
        </is>
      </c>
      <c r="J1198" s="2" t="inlineStr">
        <is>
          <t>✅ คำตอบที่ถูกต้อง: ข้อ ก. เป็นโครงสร้างของยาในกลุ่ม Proton Pump Inhibitor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เป็นโครงสร้างของยาในกลุ่ม Proton Pump Inhibitor การเลือก เป็นโครงสร้างของยาในกลุ่ม Proton Pump Inhibitor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(โครงสร้างหลักของยาคือ 2-pyridylmethylsulfinylbenzimidazole): ข้อนี้ไม่ใช่คำตอบที่ถูกต้องสำหรับภาวะ General Therapeutics เนื่องจากกลไกการออกฤทธิ์, efficacy หรือข้อบ่งใช้ไม่ตรงกับโจทย์ที่กำหนด
• ข้อ ค. (การเติมหมู่แทนที่ที่ตำแหน่ง Pyridine และที่ Imidazole ring มีผลในการออกฤทธิ์เพิ่มขึ้น/ ลดลง): ข้อนี้ไม่ใช่คำตอบที่ถูกต้องสำหรับภาวะ General Therapeutics เนื่องจากกลไกการออกฤทธิ์, efficacy หรือข้อบ่งใช้ไม่ตรงกับโจทย์ที่กำหนด
• ข้อ ง. (หมู่แทนที่ที่ตำแหน่ง Imidazole ring เป็น Electron withdrawing group จะทำให้การออก ฤทธิ์ดีขึ้น): ข้อนี้ไม่ใช่คำตอบที่ถูกต้องสำหรับภาวะ General Therapeutics เนื่องจากกลไกการออกฤทธิ์, efficacy หรือข้อบ่งใช้ไม่ตรงกับโจทย์ที่กำหนด
• ข้อ จ. (ออกฤทธิ์โดย form covalent bond กับ enzyme H+/K+ ATPase):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8" s="2" t="n"/>
      <c r="L1198" s="2" t="inlineStr">
        <is>
          <t>General Therapeutics</t>
        </is>
      </c>
      <c r="M1198" s="2" t="inlineStr">
        <is>
          <t>Clinic</t>
        </is>
      </c>
      <c r="N1198" s="2" t="inlineStr">
        <is>
          <t>ข้อ 35 (PLE_CC1_Practice_Exam.md)</t>
        </is>
      </c>
      <c r="O1198" s="2" t="inlineStr">
        <is>
          <t>Mock</t>
        </is>
      </c>
      <c r="P1198" s="2" t="inlineStr">
        <is>
          <t>Mock สภาเภสัชฯ Practice</t>
        </is>
      </c>
    </row>
    <row r="1199" ht="13.2" customHeight="1" s="37">
      <c r="A1199" s="8" t="inlineStr">
        <is>
          <t>1220</t>
        </is>
      </c>
      <c r="B1199" s="2" t="inlineStr">
        <is>
          <t>จากโครงสร้างต่อไปนี้ ข้อใดผิด</t>
        </is>
      </c>
      <c r="C1199" s="2" t="n"/>
      <c r="D1199" s="2" t="inlineStr">
        <is>
          <t>ออกฤทธิ์ยับยั้ง histamine H2 receptor บริเวณ parietal cell</t>
        </is>
      </c>
      <c r="E1199" s="2" t="inlineStr">
        <is>
          <t>ส่วนของ N ที่อยู่ตรงปลาย chain มีความสำคัญในการจับกับ H2 receptor</t>
        </is>
      </c>
      <c r="F1199" s="2" t="inlineStr">
        <is>
          <t>ส่วนของ Imidazole หาก modified ไปเป็น furan ring จะทำให้ activity ลดลง 53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G1199" s="2" t="inlineStr">
        <is>
          <t>ส่วนของ Imidazole ring สามารถจับกับ CYP enzyme ในตับทำให้เกิดปฏิกิริยาระหว่างยากับ ยาอื่น</t>
        </is>
      </c>
      <c r="H1199" s="2" t="inlineStr">
        <is>
          <t>ส่วนของ Imidazole ring มีฤทธิ์เป็น antiandrogenic</t>
        </is>
      </c>
      <c r="I1199" s="8" t="inlineStr">
        <is>
          <t>1</t>
        </is>
      </c>
      <c r="J1199" s="2" t="inlineStr">
        <is>
          <t>✅ คำตอบที่ถูกต้อง: ข้อ ก. ออกฤทธิ์ยับยั้ง histamine H2 receptor บริเวณ parietal cell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ออกฤทธิ์ยับยั้ง histamine H2 receptor บริเวณ parietal cell การเลือก ออกฤทธิ์ยับยั้ง histamine H2 receptor บริเวณ parietal cell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(ส่วนของ N ที่อยู่ตรงปลาย chain มีความสำคัญในการจับกับ H2 receptor): ข้อนี้ไม่ใช่คำตอบที่ถูกต้องสำหรับภาวะ General Therapeutics เนื่องจากกลไกการออกฤทธิ์, efficacy หรือข้อบ่งใช้ไม่ตรงกับโจทย์ที่กำหนด
• ข้อ ค. (ส่วนของ Imidazole หาก modified ไปเป็น furan ring จะทำให้ activity ลดลง 53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ง. (ส่วนของ Imidazole ring สามารถจับกับ CYP enzyme ในตับทำให้เกิดปฏิกิริยาระหว่างยากับ ยาอื่น): ข้อนี้ไม่ใช่คำตอบที่ถูกต้องสำหรับภาวะ General Therapeutics เนื่องจากกลไกการออกฤทธิ์, efficacy หรือข้อบ่งใช้ไม่ตรงกับโจทย์ที่กำหนด
• ข้อ จ. (ส่วนของ Imidazole ring มีฤทธิ์เป็น antiandrogenic):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9" s="2" t="n"/>
      <c r="L1199" s="2" t="inlineStr">
        <is>
          <t>General Therapeutics</t>
        </is>
      </c>
      <c r="M1199" s="2" t="inlineStr">
        <is>
          <t>Clinic</t>
        </is>
      </c>
      <c r="N1199" s="2" t="inlineStr">
        <is>
          <t>ข้อ 36 (PLE_CC1_Practice_Exam.md)</t>
        </is>
      </c>
      <c r="O1199" s="2" t="inlineStr">
        <is>
          <t>Mock</t>
        </is>
      </c>
      <c r="P1199" s="2" t="inlineStr">
        <is>
          <t>Mock สภาเภสัชฯ Practice</t>
        </is>
      </c>
    </row>
    <row r="1200" ht="13.2" customHeight="1" s="37">
      <c r="A1200" s="8" t="inlineStr">
        <is>
          <t>1221</t>
        </is>
      </c>
      <c r="B1200" s="2" t="inlineStr">
        <is>
          <t>เปรียบเทียบโครงสร้างต่อไปนี้ ข้อใดถูก Metronidazole Tinidazole</t>
        </is>
      </c>
      <c r="C1200" s="2" t="n"/>
      <c r="D1200" s="2" t="inlineStr">
        <is>
          <t>ทั้ง Metronidazole และ Tinidazole เป็น prodrug</t>
        </is>
      </c>
      <c r="E1200" s="2" t="inlineStr">
        <is>
          <t>การเพิ่มหมู่แทนที่ SO2 ช่วยป้องกันการเกิดปฏิกิริยา Reduction ไปอยู่ในรูป inactive form ทำให้ Tinidazole มี t1/2 นานกว่า Metronidazole 54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F1200" s="2" t="inlineStr">
        <is>
          <t>หมู่ Nitro สำคัญต่อการออกฤทธิ์ โดยจะถูกเปลี่ยนเป็น reactive nitroso species ไปจับกับ DNA</t>
        </is>
      </c>
      <c r="G1200" s="2" t="inlineStr">
        <is>
          <t>ข้อ ก และ ข ถูก</t>
        </is>
      </c>
      <c r="H1200" s="2" t="inlineStr">
        <is>
          <t>ข้อ ก และ ค ถูก</t>
        </is>
      </c>
      <c r="I1200" s="8" t="inlineStr">
        <is>
          <t>1</t>
        </is>
      </c>
      <c r="J1200" s="2" t="inlineStr">
        <is>
          <t>✅ คำตอบที่ถูกต้อง: ข้อ ก. ทั้ง Metronidazole และ Tinidazole เป็น prodrug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ทั้ง Metronidazole และ Tinidazole เป็น prodrug การเลือก ทั้ง Metronidazole และ Tinidazole เป็น prodrug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(การเพิ่มหมู่แทนที่ SO2 ช่วยป้องกันการเกิดปฏิกิริยา Reduction ไปอยู่ในรูป inactive form ทำให้ Tinidazole มี t1/2 นานกว่า Metronidazole 54 โรคระบบทางเดินอาหาร ฝ่ายวิชาการ และนิสิตชั้นปีที่ 4 สโมสรนิสิตเภสัชศาสตร์ มหาวิทยาลัยบูรพา สหพันธ์นิสิตนักศึกษาเภสัชศาสตร์แห่งประเทศไทย (สนภท.)): เป็น antianaerobic และ antiprotozoal agent ยับยั้ง Trichomonas vaginalis, Giardia, Amebiasis, และ anaerobes ห้ามดื่มแอลกอฮอล์ระหว่างใช้ยา (disulfiram-like reaction)
• ข้อ ค. (หมู่ Nitro สำคัญต่อการออกฤทธิ์ โดยจะถูกเปลี่ยนเป็น reactive nitroso species ไปจับกับ DNA): ข้อนี้ไม่ใช่คำตอบที่ถูกต้องสำหรับภาวะ Infectious Diseases เนื่องจากกลไกการออกฤทธิ์, efficacy หรือข้อบ่งใช้ไม่ตรงกับโจทย์ที่กำหนด
• ข้อ ง. (ข้อ ก และ ข ถูก): ข้อนี้ไม่ใช่คำตอบที่ถูกต้องสำหรับภาวะ Infectious Diseases เนื่องจากกลไกการออกฤทธิ์, efficacy หรือข้อบ่งใช้ไม่ตรงกับโจทย์ที่กำหนด
• ข้อ จ. (ข้อ ก และ ค ถูก):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0" s="2" t="n"/>
      <c r="L1200" s="2" t="inlineStr">
        <is>
          <t>Infectious Diseases</t>
        </is>
      </c>
      <c r="M1200" s="2" t="inlineStr">
        <is>
          <t>Clinic</t>
        </is>
      </c>
      <c r="N1200" s="2" t="inlineStr">
        <is>
          <t>ข้อ 38 (PLE_CC1_Practice_Exam.md)</t>
        </is>
      </c>
      <c r="O1200" s="2" t="inlineStr">
        <is>
          <t>Mock</t>
        </is>
      </c>
      <c r="P1200" s="2" t="inlineStr">
        <is>
          <t>Mock สภาเภสัชฯ Practice</t>
        </is>
      </c>
    </row>
    <row r="1201" ht="13.2" customHeight="1" s="37">
      <c r="A1201" s="8" t="inlineStr">
        <is>
          <t>1222</t>
        </is>
      </c>
      <c r="B1201" s="2" t="inlineStr">
        <is>
          <t>หากผู้ป่วยได้รับการตรวจเพิ่มเติมแล้วพบว่ามีค่า CD4+ cell count เท่ากับ 200 cell/mm3 ข้อใด เหมาะสมที่สุด</t>
        </is>
      </c>
      <c r="C1201" s="2" t="n"/>
      <c r="D1201" s="2" t="inlineStr">
        <is>
          <t>ให้การรักษาด้วยยาต้านไวรัสเอดส์ก่อนจนค่า CD4+ cell count มากกว่า 350 cell / mm3 จึงเริ่มการ รักษาวัณโรค</t>
        </is>
      </c>
      <c r="E1201" s="2" t="inlineStr">
        <is>
          <t>ให้การรักษาวัณโรคด้วยยาสูตรมาตรฐานเพียงอย่างเดียวจนกว่าจะหายจากวัณโรคก่อนจึงเริ่มยาต้าน ไวรัสเอดส์</t>
        </is>
      </c>
      <c r="F1201" s="2" t="inlineStr">
        <is>
          <t>ให้การรักษาวัณโรคด้วยยาสูตรมาตรฐาน เพียงอย่างเดียวก่อน และให้ยาต้านไวรัสเอดส์ภายใน 2 เดือน หลังจากเริ่มรักษาวัณโรค</t>
        </is>
      </c>
      <c r="G1201" s="2" t="inlineStr">
        <is>
          <t>ให้การรักษาด้วยยาต้านไวรัสเอดส์ก่อนเป็นเวลา 2 เดือนจึงเริ่มให้การรักษาวัณโรคโดยหลีกเลี่ยงการใช้ ยา Rifampicin เนื่องจากสามารถกระตุ้น cytochrome P450</t>
        </is>
      </c>
      <c r="H1201" s="2" t="inlineStr">
        <is>
          <t>ให้การรักษาวัณโรคด้วยยาสูตรมาตรฐานร่วมกับยาต้านไวรัสเอดส์โดยหลีกเลี่ยงการใช้ยา Rifampicin เนื่องจากสามารถกระตุ้น cytochrome P450 66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1201" s="8" t="inlineStr">
        <is>
          <t>1</t>
        </is>
      </c>
      <c r="J1201" s="2" t="inlineStr">
        <is>
          <t>✅ คำตอบที่ถูกต้อง: ข้อ ก. ให้การรักษาด้วยยาต้านไวรัสเอดส์ก่อนจนค่า CD4+ cell count มากกว่า 350 cell / mm3 จึงเริ่มการ รักษาวัณโรค
💡 Background:
การดูแลผู้ติดเชื้อ HIV เน้นเริ่ม Antiretroviral Therapy (ART) ทันทีเพื่อกด viral load ให้ undetectable (U=U) และฟื้นฟูระบบภูมิคุ้มกัน
🎯 ทำไมข้อนี้ถึงถูก:
ให้การรักษาด้วยยาต้านไวรัสเอดส์ก่อนจนค่า CD4+ cell count มากกว่า 350 cell / mm3 จึงเริ่มการ รักษาวัณโรค การเลือก ให้การรักษาด้วยยาต้านไวรัสเอดส์ก่อนจนค่า CD4+ cell count มากกว่า 350 cell / mm3 จึงเริ่มการ รักษาวัณโรค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(ให้การรักษาวัณโรคด้วยยาสูตรมาตรฐานเพียงอย่างเดียวจนกว่าจะหายจากวัณโรคก่อนจึงเริ่มยาต้าน ไวรัสเอดส์): ข้อนี้ไม่ใช่คำตอบที่ถูกต้องสำหรับภาวะ Infectious Diseases เนื่องจากกลไกการออกฤทธิ์, efficacy หรือข้อบ่งใช้ไม่ตรงกับโจทย์ที่กำหนด
• ข้อ ค. (ให้การรักษาวัณโรคด้วยยาสูตรมาตรฐาน เพียงอย่างเดียวก่อน และให้ยาต้านไวรัสเอดส์ภายใน 2 เดือน หลังจากเริ่มรักษาวัณโรค): ข้อนี้ไม่ใช่คำตอบที่ถูกต้องสำหรับภาวะ Infectious Diseases เนื่องจากกลไกการออกฤทธิ์, efficacy หรือข้อบ่งใช้ไม่ตรงกับโจทย์ที่กำหนด
• ข้อ ง. (ให้การรักษาด้วยยาต้านไวรัสเอดส์ก่อนเป็นเวลา 2 เดือนจึงเริ่มให้การรักษาวัณโรคโดยหลีกเลี่ยงการใช้ ยา Rifampicin เนื่องจากสามารถกระตุ้น cytochrome P450):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(ให้การรักษาวัณโรคด้วยยาสูตรมาตรฐานร่วมกับยาต้านไวรัสเอดส์โดยหลีกเลี่ยงการใช้ยา Rifampicin เนื่องจากสามารถกระตุ้น cytochrome P450 66 โรคติดเชื้อ ฝ่ายวิชาการ สโมสรนิสิตเภสัชศาสตร์ จุฬาลงกรณ์มหาวิทยาลัย สหพันธ์นิสิตนักศึกษาเภสัชศาสตร์แห่งประเทศไทย (สนภท.)):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01" s="2" t="n"/>
      <c r="L1201" s="2" t="inlineStr">
        <is>
          <t>Infectious Diseases</t>
        </is>
      </c>
      <c r="M1201" s="2" t="inlineStr">
        <is>
          <t>Clinic</t>
        </is>
      </c>
      <c r="N1201" s="2" t="inlineStr">
        <is>
          <t>ข้อ 6 (PLE_CC1_Practice_Exam.md)</t>
        </is>
      </c>
      <c r="O1201" s="2" t="inlineStr">
        <is>
          <t>Mock</t>
        </is>
      </c>
      <c r="P1201" s="2" t="inlineStr">
        <is>
          <t>Mock สภาเภสัชฯ Practice</t>
        </is>
      </c>
    </row>
    <row r="1202" ht="13.2" customHeight="1" s="37">
      <c r="A1202" s="8" t="inlineStr">
        <is>
          <t>1223</t>
        </is>
      </c>
      <c r="B1202" s="2" t="inlineStr">
        <is>
          <t>ยาต้านไวรัสเอดส์ในข้อใด ควรเลือกใช้ในผู้ป่วยที่มีโรคไวรัสตับอักเสบบีร่วมด้วย</t>
        </is>
      </c>
      <c r="C1202" s="2" t="n"/>
      <c r="D1202" s="2" t="inlineStr">
        <is>
          <t>Zidovudine</t>
        </is>
      </c>
      <c r="E1202" s="2" t="inlineStr">
        <is>
          <t>Efavirenz</t>
        </is>
      </c>
      <c r="F1202" s="2" t="inlineStr">
        <is>
          <t>Abacavir</t>
        </is>
      </c>
      <c r="G1202" s="2" t="inlineStr">
        <is>
          <t>Lopinavir</t>
        </is>
      </c>
      <c r="H1202" s="2" t="inlineStr">
        <is>
          <t>Lamivudine 67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1202" s="8" t="inlineStr">
        <is>
          <t>1</t>
        </is>
      </c>
      <c r="J1202" s="2" t="inlineStr">
        <is>
          <t>✅ คำตอบที่ถูกต้อง: ข้อ ก. Zidovudine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Zidovudine การเลือก Zidovudine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(Efavirenz): เป็น NNRTI ที่มี neuropsychiatric ADRs เด่น (ฝันร้าย เวียนศีรษะ ซึมเศร้า หลอน) จึงต้องแนะนำให้รับประทานก่อนนอนตอนท้องว่าง
• ข้อ ค. (Abacavir): ข้อนี้ไม่ใช่คำตอบที่ถูกต้องสำหรับภาวะ General Therapeutics เนื่องจากกลไกการออกฤทธิ์, efficacy หรือข้อบ่งใช้ไม่ตรงกับโจทย์ที่กำหนด
• ข้อ ง. (Lopinavir): ข้อนี้ไม่ใช่คำตอบที่ถูกต้องสำหรับภาวะ General Therapeutics เนื่องจากกลไกการออกฤทธิ์, efficacy หรือข้อบ่งใช้ไม่ตรงกับโจทย์ที่กำหนด
• ข้อ จ. (Lamivudine 67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2" s="2" t="n"/>
      <c r="L1202" s="2" t="inlineStr">
        <is>
          <t>General Therapeutics</t>
        </is>
      </c>
      <c r="M1202" s="2" t="inlineStr">
        <is>
          <t>Clinic</t>
        </is>
      </c>
      <c r="N1202" s="2" t="inlineStr">
        <is>
          <t>ข้อ 10 (PLE_CC1_Practice_Exam.md)</t>
        </is>
      </c>
      <c r="O1202" s="2" t="inlineStr">
        <is>
          <t>Mock</t>
        </is>
      </c>
      <c r="P1202" s="2" t="inlineStr">
        <is>
          <t>Mock สภาเภสัชฯ Practice</t>
        </is>
      </c>
    </row>
    <row r="1203" ht="13.2" customHeight="1" s="37">
      <c r="A1203" s="8" t="inlineStr">
        <is>
          <t>1224</t>
        </is>
      </c>
      <c r="B1203" s="2" t="inlineStr">
        <is>
          <t>ข้อใดกล่าวถูกต้องเกี่ยวกับเชื้อ Mycobacterium tuberculosis</t>
        </is>
      </c>
      <c r="C1203" s="2" t="n"/>
      <c r="D1203" s="2" t="inlineStr">
        <is>
          <t>จัดเป็นแบคทีเรียที่ย้อมติดสีแกรมลบ</t>
        </is>
      </c>
      <c r="E1203" s="2" t="inlineStr">
        <is>
          <t>ไม่มีวัคซีนที่สามารถป้องกันการติดเชื้อชนิดนี้ได้</t>
        </is>
      </c>
      <c r="F1203" s="2" t="inlineStr">
        <is>
          <t>Tuberculin skin test เป็นวิธีการที่ดีที่สุดในการตรวจสอบว่ามีการติดเชื้อชนิดนี้</t>
        </is>
      </c>
      <c r="G1203" s="2" t="inlineStr">
        <is>
          <t>สามารถก่อให้เกิดโรคได้เฉพาะในปอดเท่านั้น</t>
        </is>
      </c>
      <c r="H1203" s="2" t="inlineStr">
        <is>
          <t>ผู้ป่วยภูมิคุ้มกันบกพร่อง ผู้สูงอายุ มีแนวโน้มทำให้เกิดการติดเชื้อชนิดนี้ได้มากขึ้น</t>
        </is>
      </c>
      <c r="I1203" s="8" t="inlineStr">
        <is>
          <t>1</t>
        </is>
      </c>
      <c r="J1203" s="2" t="inlineStr">
        <is>
          <t>✅ คำตอบที่ถูกต้อง: ข้อ ก. จัดเป็นแบคทีเรียที่ย้อมติดสีแกรมลบ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จัดเป็นแบคทีเรียที่ย้อมติดสีแกรมลบ การเลือก จัดเป็นแบคทีเรียที่ย้อมติดสีแกรมลบ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(ไม่มีวัคซีนที่สามารถป้องกันการติดเชื้อชนิดนี้ได้): ข้อนี้ไม่ใช่คำตอบที่ถูกต้องสำหรับภาวะ General Therapeutics เนื่องจากกลไกการออกฤทธิ์, efficacy หรือข้อบ่งใช้ไม่ตรงกับโจทย์ที่กำหนด
• ข้อ ค. (Tuberculin skin test เป็นวิธีการที่ดีที่สุดในการตรวจสอบว่ามีการติดเชื้อชนิดนี้): ข้อนี้ไม่ใช่คำตอบที่ถูกต้องสำหรับภาวะ General Therapeutics เนื่องจากกลไกการออกฤทธิ์, efficacy หรือข้อบ่งใช้ไม่ตรงกับโจทย์ที่กำหนด
• ข้อ ง. (สามารถก่อให้เกิดโรคได้เฉพาะในปอดเท่านั้น): ข้อนี้ไม่ใช่คำตอบที่ถูกต้องสำหรับภาวะ General Therapeutics เนื่องจากกลไกการออกฤทธิ์, efficacy หรือข้อบ่งใช้ไม่ตรงกับโจทย์ที่กำหนด
• ข้อ จ. (ผู้ป่วยภูมิคุ้มกันบกพร่อง ผู้สูงอายุ มีแนวโน้มทำให้เกิดการติดเชื้อชนิดนี้ได้มากขึ้น):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3" s="2" t="n"/>
      <c r="L1203" s="2" t="inlineStr">
        <is>
          <t>General Therapeutics</t>
        </is>
      </c>
      <c r="M1203" s="2" t="inlineStr">
        <is>
          <t>Clinic</t>
        </is>
      </c>
      <c r="N1203" s="2" t="inlineStr">
        <is>
          <t>ข้อ 15 (PLE_CC1_Practice_Exam.md)</t>
        </is>
      </c>
      <c r="O1203" s="2" t="inlineStr">
        <is>
          <t>Mock</t>
        </is>
      </c>
      <c r="P1203" s="2" t="inlineStr">
        <is>
          <t>Mock สภาเภสัชฯ Practice</t>
        </is>
      </c>
    </row>
    <row r="1204" ht="13.2" customHeight="1" s="37">
      <c r="A1204" s="8" t="inlineStr">
        <is>
          <t>1225</t>
        </is>
      </c>
      <c r="B1204" s="2" t="inlineStr">
        <is>
          <t>จากข้อมูลข้างต้นผู้ป่วยน่าจะเป็นโรคอะไรมากที่สุด</t>
        </is>
      </c>
      <c r="C1204" s="2" t="n"/>
      <c r="D1204" s="2" t="inlineStr">
        <is>
          <t>Urethritis</t>
        </is>
      </c>
      <c r="E1204" s="2" t="inlineStr">
        <is>
          <t>Cystitis</t>
        </is>
      </c>
      <c r="F1204" s="2" t="inlineStr">
        <is>
          <t>Vaginitis</t>
        </is>
      </c>
      <c r="G1204" s="2" t="inlineStr">
        <is>
          <t>Kidney stone</t>
        </is>
      </c>
      <c r="H1204" s="2" t="inlineStr">
        <is>
          <t>Pyelonephritis</t>
        </is>
      </c>
      <c r="I1204" s="8" t="inlineStr">
        <is>
          <t>1</t>
        </is>
      </c>
      <c r="J1204" s="2" t="inlineStr">
        <is>
          <t>✅ คำตอบที่ถูกต้อง: ข้อ ก. Urethritis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Urethritis การเลือก Urethritis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(Cystitis): ข้อนี้ไม่ใช่คำตอบที่ถูกต้องสำหรับภาวะ General Therapeutics เนื่องจากกลไกการออกฤทธิ์, efficacy หรือข้อบ่งใช้ไม่ตรงกับโจทย์ที่กำหนด
• ข้อ ค. (Vaginitis): ข้อนี้ไม่ใช่คำตอบที่ถูกต้องสำหรับภาวะ General Therapeutics เนื่องจากกลไกการออกฤทธิ์, efficacy หรือข้อบ่งใช้ไม่ตรงกับโจทย์ที่กำหนด
• ข้อ ง. (Kidney stone): ข้อนี้ไม่ใช่คำตอบที่ถูกต้องสำหรับภาวะ General Therapeutics เนื่องจากกลไกการออกฤทธิ์, efficacy หรือข้อบ่งใช้ไม่ตรงกับโจทย์ที่กำหนด
• ข้อ จ. (Pyelonephritis):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4" s="2" t="n"/>
      <c r="L1204" s="2" t="inlineStr">
        <is>
          <t>General Therapeutics</t>
        </is>
      </c>
      <c r="M1204" s="2" t="inlineStr">
        <is>
          <t>Clinic</t>
        </is>
      </c>
      <c r="N1204" s="2" t="inlineStr">
        <is>
          <t>ข้อ 17 (PLE_CC1_Practice_Exam.md)</t>
        </is>
      </c>
      <c r="O1204" s="2" t="inlineStr">
        <is>
          <t>Mock</t>
        </is>
      </c>
      <c r="P1204" s="2" t="inlineStr">
        <is>
          <t>Mock สภาเภสัชฯ Practice</t>
        </is>
      </c>
    </row>
    <row r="1205" ht="13.2" customHeight="1" s="37">
      <c r="A1205" s="8" t="inlineStr">
        <is>
          <t>1226</t>
        </is>
      </c>
      <c r="B1205" s="2" t="inlineStr">
        <is>
          <t>ยาที่เหมาะสมที่สุดในการรักษาผู้ป่วยรายนี้อยู่ในกลุ่มใด</t>
        </is>
      </c>
      <c r="C1205" s="2" t="n"/>
      <c r="D1205" s="2" t="inlineStr">
        <is>
          <t>Beta-lactam ได้แก่ Amoxycillin</t>
        </is>
      </c>
      <c r="E1205" s="2" t="inlineStr">
        <is>
          <t>Fluoroquinolones ได้แก่ Ciprofloxacin</t>
        </is>
      </c>
      <c r="F1205" s="2" t="inlineStr">
        <is>
          <t>Aminoglycosides ได้แก่ Gentamicin</t>
        </is>
      </c>
      <c r="G1205" s="2" t="inlineStr">
        <is>
          <t>Macrolides ได้แก่ Erythromycin</t>
        </is>
      </c>
      <c r="H1205" s="2" t="inlineStr">
        <is>
          <t>Tetracyclines ได้แก่ Doxycycline</t>
        </is>
      </c>
      <c r="I1205" s="8" t="inlineStr">
        <is>
          <t>1</t>
        </is>
      </c>
      <c r="J1205" s="2" t="inlineStr">
        <is>
          <t>✅ คำตอบที่ถูกต้อง: ข้อ ก. Beta-lactam ได้แก่ Amoxycillin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Beta-lactam ได้แก่ Amoxycillin การเลือก Beta-lactam ได้แก่ Amoxycillin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(Fluoroquinolones ได้แก่ Ciprofloxacin): เป็น Fluoroquinolone เด่นต่อ Gram-negative รวมทั้ง Pseudomonas aeruginosa แต่มี black box warning เรื่อง tendon rupture, QT prolongation, aortic aneurysm และ dysglycemia
• ข้อ ค. (Aminoglycosides ได้แก่ Gentamicin): เป็น Aminoglycoside มี concentration-dependent bactericidal effect ต่อ gram-negative มี nephrotoxicity และ ototoxicity ต้อง monitoring renal function และ serum level
• ข้อ ง. (Macrolides ได้แก่ Erythromycin): ข้อนี้ไม่ใช่คำตอบที่ถูกต้องสำหรับภาวะ General Therapeutics เนื่องจากกลไกการออกฤทธิ์, efficacy หรือข้อบ่งใช้ไม่ตรงกับโจทย์ที่กำหนด
• ข้อ จ. (Tetracyclines ได้แก่ Doxycycline):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5" s="2" t="n"/>
      <c r="L1205" s="2" t="inlineStr">
        <is>
          <t>General Therapeutics</t>
        </is>
      </c>
      <c r="M1205" s="2" t="inlineStr">
        <is>
          <t>Clinic</t>
        </is>
      </c>
      <c r="N1205" s="2" t="inlineStr">
        <is>
          <t>ข้อ 18 (PLE_CC1_Practice_Exam.md)</t>
        </is>
      </c>
      <c r="O1205" s="2" t="inlineStr">
        <is>
          <t>Mock</t>
        </is>
      </c>
      <c r="P1205" s="2" t="inlineStr">
        <is>
          <t>Mock สภาเภสัชฯ Practice</t>
        </is>
      </c>
    </row>
    <row r="1206" ht="13.2" customHeight="1" s="37">
      <c r="A1206" s="8" t="inlineStr">
        <is>
          <t>1227</t>
        </is>
      </c>
      <c r="B1206" s="2" t="inlineStr">
        <is>
          <t>จากข้อ 18 ยาที่เหมาะสมที่สุดสำหรับผู้ป่วยรายนี้มีกลไกในการออกฤทธิ์อย่างไร</t>
        </is>
      </c>
      <c r="C1206" s="2" t="n"/>
      <c r="D1206" s="2" t="inlineStr">
        <is>
          <t>ยับยั้งการสังเคราะห์โปรตีนโดยจับกับ 30S ribosomal subunit ของแบคทีเรีย</t>
        </is>
      </c>
      <c r="E1206" s="2" t="inlineStr">
        <is>
          <t>ยับยั้งการสังเคราะห์โปรตีนโดยจับกับ 50S ribosomal subunit ของแบคทีเรีย</t>
        </is>
      </c>
      <c r="F1206" s="2" t="inlineStr">
        <is>
          <t>ยับยั้งการสร้างผนังเซลล์ของแบคทีเรีย</t>
        </is>
      </c>
      <c r="G1206" s="2" t="inlineStr">
        <is>
          <t>ยับยั้งการสังเคราะห์ DNA ของแบคทีเรีย 70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H1206" s="2" t="inlineStr">
        <is>
          <t>ยับยั้งการสังเคราะห์ RNA ของแบคทีเรีย</t>
        </is>
      </c>
      <c r="I1206" s="8" t="inlineStr">
        <is>
          <t>1</t>
        </is>
      </c>
      <c r="J1206" s="2" t="inlineStr">
        <is>
          <t>✅ คำตอบที่ถูกต้อง: ข้อ ก. ยับยั้งการสังเคราะห์โปรตีนโดยจับกับ 30S ribosomal subunit ของแบคทีเรีย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ยับยั้งการสังเคราะห์โปรตีนโดยจับกับ 30S ribosomal subunit ของแบคทีเรีย การเลือก ยับยั้งการสังเคราะห์โปรตีนโดยจับกับ 30S ribosomal subunit ของแบคทีเรีย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(ยับยั้งการสังเคราะห์โปรตีนโดยจับกับ 50S ribosomal subunit ของแบคทีเรีย): ข้อนี้ไม่ใช่คำตอบที่ถูกต้องสำหรับภาวะ General Therapeutics เนื่องจากกลไกการออกฤทธิ์, efficacy หรือข้อบ่งใช้ไม่ตรงกับโจทย์ที่กำหนด
• ข้อ ค. (ยับยั้งการสร้างผนังเซลล์ของแบคทีเรีย): ข้อนี้ไม่ใช่คำตอบที่ถูกต้องสำหรับภาวะ General Therapeutics เนื่องจากกลไกการออกฤทธิ์, efficacy หรือข้อบ่งใช้ไม่ตรงกับโจทย์ที่กำหนด
• ข้อ ง. (ยับยั้งการสังเคราะห์ DNA ของแบคทีเรีย 70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(ยับยั้งการสังเคราะห์ RNA ของแบคทีเรีย):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6" s="2" t="n"/>
      <c r="L1206" s="2" t="inlineStr">
        <is>
          <t>General Therapeutics</t>
        </is>
      </c>
      <c r="M1206" s="2" t="inlineStr">
        <is>
          <t>Clinic</t>
        </is>
      </c>
      <c r="N1206" s="2" t="inlineStr">
        <is>
          <t>ข้อ 19 (PLE_CC1_Practice_Exam.md)</t>
        </is>
      </c>
      <c r="O1206" s="2" t="inlineStr">
        <is>
          <t>Mock</t>
        </is>
      </c>
      <c r="P1206" s="2" t="inlineStr">
        <is>
          <t>Mock สภาเภสัชฯ Practice</t>
        </is>
      </c>
    </row>
    <row r="1207" ht="13.2" customHeight="1" s="37">
      <c r="A1207" s="8" t="inlineStr">
        <is>
          <t>1228</t>
        </is>
      </c>
      <c r="B1207" s="2" t="inlineStr">
        <is>
          <t>ข้อควรแนะนำที่เหมาะสมที่สุดสำหรับผู้ป่วยรายนี้ พิจารณาเลือกใช้ยาตามข้อ 18 ร่วมด้วยได้แก่ข้อใด</t>
        </is>
      </c>
      <c r="C1207" s="2" t="n"/>
      <c r="D1207" s="2" t="inlineStr">
        <is>
          <t>กินยาหลังอาหารทันทีและดื่มน้ำตามมากๆ</t>
        </is>
      </c>
      <c r="E1207" s="2" t="inlineStr">
        <is>
          <t>ยานี้อาจทำให้ง่วงซึมได้</t>
        </is>
      </c>
      <c r="F1207" s="2" t="inlineStr">
        <is>
          <t>ไม่รับประทานยาร่วมกับนม และผลิตภัณฑ์ที่มาจากนม เช่น โยเกิร์ต ชีส เป็นต้น</t>
        </is>
      </c>
      <c r="G1207" s="2" t="inlineStr">
        <is>
          <t>ไม่จำเป็นต้องระมัดระวังการรับประทานยาร่วมกับยาชนิดอื่นๆ เนื่องจากยามีอันตรกิริยากับยาอื่นน้อย มาก</t>
        </is>
      </c>
      <c r="H1207" s="2" t="inlineStr">
        <is>
          <t>เมื่อมีอาการดีขึ้นจำเป็นต้องหยุดยาทันที มิฉะนั้นอาจทำให้เกิดการดื้อยาได้</t>
        </is>
      </c>
      <c r="I1207" s="8" t="inlineStr">
        <is>
          <t>1</t>
        </is>
      </c>
      <c r="J1207" s="2" t="inlineStr">
        <is>
          <t>✅ คำตอบที่ถูกต้อง: ข้อ ก. กินยาหลังอาหารทันทีและดื่มน้ำตามมากๆ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กินยาหลังอาหารทันทีและดื่มน้ำตามมากๆ การเลือก กินยาหลังอาหารทันทีและดื่มน้ำตามมากๆ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(ยานี้อาจทำให้ง่วงซึมได้): ข้อนี้ไม่ใช่คำตอบที่ถูกต้องสำหรับภาวะ General Therapeutics เนื่องจากกลไกการออกฤทธิ์, efficacy หรือข้อบ่งใช้ไม่ตรงกับโจทย์ที่กำหนด
• ข้อ ค. (ไม่รับประทานยาร่วมกับนม และผลิตภัณฑ์ที่มาจากนม เช่น โยเกิร์ต ชีส เป็นต้น): ข้อนี้ไม่ใช่คำตอบที่ถูกต้องสำหรับภาวะ General Therapeutics เนื่องจากกลไกการออกฤทธิ์, efficacy หรือข้อบ่งใช้ไม่ตรงกับโจทย์ที่กำหนด
• ข้อ ง. (ไม่จำเป็นต้องระมัดระวังการรับประทานยาร่วมกับยาชนิดอื่นๆ เนื่องจากยามีอันตรกิริยากับยาอื่นน้อย มาก): ข้อนี้ไม่ใช่คำตอบที่ถูกต้องสำหรับภาวะ General Therapeutics เนื่องจากกลไกการออกฤทธิ์, efficacy หรือข้อบ่งใช้ไม่ตรงกับโจทย์ที่กำหนด
• ข้อ จ. (เมื่อมีอาการดีขึ้นจำเป็นต้องหยุดยาทันที มิฉะนั้นอาจทำให้เกิดการดื้อยาได้):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07" s="2" t="n"/>
      <c r="L1207" s="2" t="inlineStr">
        <is>
          <t>General Therapeutics</t>
        </is>
      </c>
      <c r="M1207" s="2" t="inlineStr">
        <is>
          <t>Clinic</t>
        </is>
      </c>
      <c r="N1207" s="2" t="inlineStr">
        <is>
          <t>ข้อ 20 (PLE_CC1_Practice_Exam.md)</t>
        </is>
      </c>
      <c r="O1207" s="2" t="inlineStr">
        <is>
          <t>Mock</t>
        </is>
      </c>
      <c r="P1207" s="2" t="inlineStr">
        <is>
          <t>Mock สภาเภสัชฯ Practice</t>
        </is>
      </c>
    </row>
    <row r="1208" ht="13.2" customHeight="1" s="37">
      <c r="A1208" s="8" t="inlineStr">
        <is>
          <t>1229</t>
        </is>
      </c>
      <c r="B1208" s="2" t="inlineStr">
        <is>
          <t>อาการของผู้ป่วยรายนี้เข้าได้กับภาวะใด</t>
        </is>
      </c>
      <c r="C1208" s="2" t="n"/>
      <c r="D1208" s="2" t="inlineStr">
        <is>
          <t>Viral conjunctivitis</t>
        </is>
      </c>
      <c r="E1208" s="2" t="inlineStr">
        <is>
          <t>Bacterial conjunctivitis</t>
        </is>
      </c>
      <c r="F1208" s="2" t="inlineStr">
        <is>
          <t>Cataract 72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G1208" s="2" t="inlineStr">
        <is>
          <t>Allergic conjunctivitis</t>
        </is>
      </c>
      <c r="H1208" s="2" t="inlineStr">
        <is>
          <t>Hordeolum</t>
        </is>
      </c>
      <c r="I1208" s="8" t="inlineStr">
        <is>
          <t>1</t>
        </is>
      </c>
      <c r="J1208" s="2" t="inlineStr">
        <is>
          <t>✅ คำตอบที่ถูกต้อง: ข้อ ก. Viral conjunctivitis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Viral conjunctivitis การเลือก Viral conjunctivitis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(Bacterial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ค. (Cataract 72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ง. (Allergic conjunctivitis): ข้อนี้ไม่ใช่คำตอบที่ถูกต้องสำหรับภาวะ General Therapeutics เนื่องจากกลไกการออกฤทธิ์, efficacy หรือข้อบ่งใช้ไม่ตรงกับโจทย์ที่กำหนด
• ข้อ จ. (Hordeolum):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8" s="2" t="n"/>
      <c r="L1208" s="2" t="inlineStr">
        <is>
          <t>General Therapeutics</t>
        </is>
      </c>
      <c r="M1208" s="2" t="inlineStr">
        <is>
          <t>Clinic</t>
        </is>
      </c>
      <c r="N1208" s="2" t="inlineStr">
        <is>
          <t>ข้อ 24 (PLE_CC1_Practice_Exam.md)</t>
        </is>
      </c>
      <c r="O1208" s="2" t="inlineStr">
        <is>
          <t>Mock</t>
        </is>
      </c>
      <c r="P1208" s="2" t="inlineStr">
        <is>
          <t>Mock สภาเภสัชฯ Practice</t>
        </is>
      </c>
    </row>
    <row r="1209" ht="13.2" customHeight="1" s="37">
      <c r="A1209" s="8" t="inlineStr">
        <is>
          <t>1230</t>
        </is>
      </c>
      <c r="B1209" s="2" t="inlineStr">
        <is>
          <t>ยาต้านมาลาเรียใดต้องระมัดระวังมากที่สุดในการใช้กับผู้ป่วย G-6-PD deficiency</t>
        </is>
      </c>
      <c r="C1209" s="2" t="n"/>
      <c r="D1209" s="2" t="inlineStr">
        <is>
          <t>Dihydroartemisinine</t>
        </is>
      </c>
      <c r="E1209" s="2" t="inlineStr">
        <is>
          <t>Primaquine</t>
        </is>
      </c>
      <c r="F1209" s="2" t="inlineStr">
        <is>
          <t>Proguanil</t>
        </is>
      </c>
      <c r="G1209" s="2" t="inlineStr">
        <is>
          <t>Atovaquone</t>
        </is>
      </c>
      <c r="H1209" s="2" t="inlineStr">
        <is>
          <t>Pyrimethamine</t>
        </is>
      </c>
      <c r="I1209" s="8" t="inlineStr">
        <is>
          <t>1</t>
        </is>
      </c>
      <c r="J1209" s="2" t="inlineStr">
        <is>
          <t>✅ คำตอบที่ถูกต้อง: ข้อ ก. Dihydroartemisinine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Dihydroartemisinine การเลือก Dihydroartemisinine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(Primaquine): ข้อนี้ไม่ใช่คำตอบที่ถูกต้องสำหรับภาวะ General Therapeutics เนื่องจากกลไกการออกฤทธิ์, efficacy หรือข้อบ่งใช้ไม่ตรงกับโจทย์ที่กำหนด
• ข้อ ค. (Proguanil): ข้อนี้ไม่ใช่คำตอบที่ถูกต้องสำหรับภาวะ General Therapeutics เนื่องจากกลไกการออกฤทธิ์, efficacy หรือข้อบ่งใช้ไม่ตรงกับโจทย์ที่กำหนด
• ข้อ ง. (Atovaquone): ข้อนี้ไม่ใช่คำตอบที่ถูกต้องสำหรับภาวะ General Therapeutics เนื่องจากกลไกการออกฤทธิ์, efficacy หรือข้อบ่งใช้ไม่ตรงกับโจทย์ที่กำหนด
• ข้อ จ. (Pyrimethamine):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9" s="2" t="n"/>
      <c r="L1209" s="2" t="inlineStr">
        <is>
          <t>General Therapeutics</t>
        </is>
      </c>
      <c r="M1209" s="2" t="inlineStr">
        <is>
          <t>Clinic</t>
        </is>
      </c>
      <c r="N1209" s="2" t="inlineStr">
        <is>
          <t>ข้อ 34 (PLE_CC1_Practice_Exam.md)</t>
        </is>
      </c>
      <c r="O1209" s="2" t="inlineStr">
        <is>
          <t>Mock</t>
        </is>
      </c>
      <c r="P1209" s="2" t="inlineStr">
        <is>
          <t>Mock สภาเภสัชฯ Practice</t>
        </is>
      </c>
    </row>
    <row r="1210" ht="13.2" customHeight="1" s="37">
      <c r="A1210" s="8" t="inlineStr">
        <is>
          <t>1231</t>
        </is>
      </c>
      <c r="B1210" s="2" t="inlineStr">
        <is>
          <t>กลไกการออกฤทธิ์ของยา Chloroquine ในการฆ่าเชื้อพลาสโมเดียมในกระแสเลือด คือข้อใด</t>
        </is>
      </c>
      <c r="C1210" s="2" t="n"/>
      <c r="D1210" s="2" t="inlineStr">
        <is>
          <t>ยับยั้งการเกิด polymerization ของ heme ทำให้มีการสะสมของ free heme ในเม็ดเลือดแดง</t>
        </is>
      </c>
      <c r="E1210" s="2" t="inlineStr">
        <is>
          <t>ยับยั้งปฏิกิริยาระหว่าง reduced UQ กับ cytochrome bc1 complex</t>
        </is>
      </c>
      <c r="F1210" s="2" t="inlineStr">
        <is>
          <t>ยับยั้งเอนไซม์ dihydropteroate synthetase</t>
        </is>
      </c>
      <c r="G1210" s="2" t="inlineStr">
        <is>
          <t>รบกวนกระบวนการถ่ายทอดอิเล็กตรอน</t>
        </is>
      </c>
      <c r="H1210" s="2" t="inlineStr">
        <is>
          <t>ยับยั้งการสังเคราะห์ ribosomal protein ของเชื้อพลาสโมเดียม</t>
        </is>
      </c>
      <c r="I1210" s="8" t="inlineStr">
        <is>
          <t>1</t>
        </is>
      </c>
      <c r="J1210" s="2" t="inlineStr">
        <is>
          <t>✅ คำตอบที่ถูกต้อง: ข้อ ก. ยับยั้งการเกิด polymerization ของ heme ทำให้มีการสะสมของ free heme ในเม็ดเลือดแดง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ยับยั้งการเกิด polymerization ของ heme ทำให้มีการสะสมของ free heme ในเม็ดเลือดแดง การเลือก ยับยั้งการเกิด polymerization ของ heme ทำให้มีการสะสมของ free heme ในเม็ดเลือดแดง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(ยับยั้งปฏิกิริยาระหว่าง reduced UQ กับ cytochrome bc1 complex): ข้อนี้ไม่ใช่คำตอบที่ถูกต้องสำหรับภาวะ General Therapeutics เนื่องจากกลไกการออกฤทธิ์, efficacy หรือข้อบ่งใช้ไม่ตรงกับโจทย์ที่กำหนด
• ข้อ ค. (ยับยั้งเอนไซม์ dihydropteroate synthetase): ข้อนี้ไม่ใช่คำตอบที่ถูกต้องสำหรับภาวะ General Therapeutics เนื่องจากกลไกการออกฤทธิ์, efficacy หรือข้อบ่งใช้ไม่ตรงกับโจทย์ที่กำหนด
• ข้อ ง. (รบกวนกระบวนการถ่ายทอดอิเล็กตรอน): ข้อนี้ไม่ใช่คำตอบที่ถูกต้องสำหรับภาวะ General Therapeutics เนื่องจากกลไกการออกฤทธิ์, efficacy หรือข้อบ่งใช้ไม่ตรงกับโจทย์ที่กำหนด
• ข้อ จ. (ยับยั้งการสังเคราะห์ ribosomal protein ของเชื้อพลาสโมเดียม):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0" s="2" t="n"/>
      <c r="L1210" s="2" t="inlineStr">
        <is>
          <t>General Therapeutics</t>
        </is>
      </c>
      <c r="M1210" s="2" t="inlineStr">
        <is>
          <t>Clinic</t>
        </is>
      </c>
      <c r="N1210" s="2" t="inlineStr">
        <is>
          <t>ข้อ 35 (PLE_CC1_Practice_Exam.md)</t>
        </is>
      </c>
      <c r="O1210" s="2" t="inlineStr">
        <is>
          <t>Mock</t>
        </is>
      </c>
      <c r="P1210" s="2" t="inlineStr">
        <is>
          <t>Mock สภาเภสัชฯ Practice</t>
        </is>
      </c>
    </row>
    <row r="1211" ht="13.2" customHeight="1" s="37">
      <c r="A1211" s="8" t="inlineStr">
        <is>
          <t>1232</t>
        </is>
      </c>
      <c r="B1211" s="2" t="inlineStr">
        <is>
          <t>ยาที่มีความปลอดภัยเลือกใช้ในหญิงมีครรภ์ที่เป็นโรคมาลาเรียไม่รุนแรงจากเชื้อ P. falciparum คือยาใน ข้อใด</t>
        </is>
      </c>
      <c r="C1211" s="2" t="n"/>
      <c r="D1211" s="2" t="inlineStr">
        <is>
          <t>Primaquine</t>
        </is>
      </c>
      <c r="E1211" s="2" t="inlineStr">
        <is>
          <t>Quinine</t>
        </is>
      </c>
      <c r="F1211" s="2" t="inlineStr">
        <is>
          <t>Artesunate</t>
        </is>
      </c>
      <c r="G1211" s="2" t="inlineStr">
        <is>
          <t>Pyrimethamine</t>
        </is>
      </c>
      <c r="H1211" s="2" t="inlineStr">
        <is>
          <t>Atovaquone หัวข้อเรื่อง Parasitic infections หญิงอายุ 35 ปี มาร้านขายยาขอซื้อยาถ่ายพยาธิให้ลูกชายอายุวัย 5 ขวบ ชอบเกาก้นโดยเฉพาะ ระหว่างนอนหลับตอนกลางคืน รับประทานอาหารได้ดี แต่ค่อนข้างผอมตัวเล็กกว่าเพื่อนวัยเดียวกัน</t>
        </is>
      </c>
      <c r="I1211" s="8" t="inlineStr">
        <is>
          <t>1</t>
        </is>
      </c>
      <c r="J1211" s="2" t="inlineStr">
        <is>
          <t>✅ คำตอบที่ถูกต้อง: ข้อ ก. Primaquine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Primaquine การเลือก Primaquine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(Quinine): ข้อนี้ไม่ใช่คำตอบที่ถูกต้องสำหรับภาวะ General Therapeutics เนื่องจากกลไกการออกฤทธิ์, efficacy หรือข้อบ่งใช้ไม่ตรงกับโจทย์ที่กำหนด
• ข้อ ค. (Artesunate): ข้อนี้ไม่ใช่คำตอบที่ถูกต้องสำหรับภาวะ General Therapeutics เนื่องจากกลไกการออกฤทธิ์, efficacy หรือข้อบ่งใช้ไม่ตรงกับโจทย์ที่กำหนด
• ข้อ ง. (Pyrimethamine): ข้อนี้ไม่ใช่คำตอบที่ถูกต้องสำหรับภาวะ General Therapeutics เนื่องจากกลไกการออกฤทธิ์, efficacy หรือข้อบ่งใช้ไม่ตรงกับโจทย์ที่กำหนด
• ข้อ จ. (Atovaquone หัวข้อเรื่อง Parasitic infections หญิงอายุ 35 ปี มาร้านขายยาขอซื้อยาถ่ายพยาธิให้ลูกชายอายุวัย 5 ขวบ ชอบเกาก้นโดยเฉพาะ ระหว่างนอนหลับตอนกลางคืน รับประทานอาหารได้ดี แต่ค่อนข้างผอมตัวเล็กกว่าเพื่อนวัยเดียวกัน):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1" s="2" t="n"/>
      <c r="L1211" s="2" t="inlineStr">
        <is>
          <t>General Therapeutics</t>
        </is>
      </c>
      <c r="M1211" s="2" t="inlineStr">
        <is>
          <t>Clinic</t>
        </is>
      </c>
      <c r="N1211" s="2" t="inlineStr">
        <is>
          <t>ข้อ 36 (PLE_CC1_Practice_Exam.md)</t>
        </is>
      </c>
      <c r="O1211" s="2" t="inlineStr">
        <is>
          <t>Mock</t>
        </is>
      </c>
      <c r="P1211" s="2" t="inlineStr">
        <is>
          <t>Mock สภาเภสัชฯ Practice</t>
        </is>
      </c>
    </row>
    <row r="1212" ht="13.2" customHeight="1" s="37">
      <c r="A1212" s="8" t="inlineStr">
        <is>
          <t>1233</t>
        </is>
      </c>
      <c r="B1212" s="2" t="inlineStr">
        <is>
          <t>ข้อใดผิดเกี่ยวกับยารักษาพยาธิ</t>
        </is>
      </c>
      <c r="C1212" s="2" t="n"/>
      <c r="D1212" s="2" t="inlineStr">
        <is>
          <t>ยารักษาพยาธิส่วนใหญ่จะมีอาการไม่พึงประสงค์คือ ปวดท้อง อาเจียน ปวดหัว เวียนศีรษะ</t>
        </is>
      </c>
      <c r="E1212" s="2" t="inlineStr">
        <is>
          <t>ยา Praziquantel ควรรับประทานก่อนนอน เนื่องจากยานี้อาจทำให้ง่วงนอนได้</t>
        </is>
      </c>
      <c r="F1212" s="2" t="inlineStr">
        <is>
          <t>ยารักษาพยาธิที่ปลอดภัยในหญิงตั้งครรภ์คือ Pyrantel pamoate</t>
        </is>
      </c>
      <c r="G1212" s="2" t="inlineStr">
        <is>
          <t>เมื่อรับประทานยา Niclosamide เพื่อรักษาโรคพยาธิตัวตืดแล้ว ต้องรับประทานยาระบายตาม เนื่องจากยามีอาการไม่พึงประสงค์คือ ท้องผูก</t>
        </is>
      </c>
      <c r="H1212" s="2" t="inlineStr">
        <is>
          <t>ยา Mebendazole ควรเคี้ยวให้ละเอียดก่อนกลืน</t>
        </is>
      </c>
      <c r="I1212" s="8" t="inlineStr">
        <is>
          <t>1</t>
        </is>
      </c>
      <c r="J1212" s="2" t="inlineStr">
        <is>
          <t>✅ คำตอบที่ถูกต้อง: ข้อ ก. ยารักษาพยาธิส่วนใหญ่จะมีอาการไม่พึงประสงค์คือ ปวดท้อง อาเจียน ปวดหัว เวียนศีรษะ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ยารักษาพยาธิส่วนใหญ่จะมีอาการไม่พึงประสงค์คือ ปวดท้อง อาเจียน ปวดหัว เวียนศีรษะ ยารักษาพยาธิส่วนใหญ่จะมี ADR คือ ปวดท้อง อาเจียน ปวดหัว เวียนศีรษะ ยารักษาพยาธิส่วนใหญ่จะมี ADR คือ ปวดท้อง อาเจียน ปวดหัว เวียนศีรษะ ยารักษาพยาธิส่วนใหญ่จะมี ADR คือ ปวดท้อง อาเจียน ปวดหัว เวียนศีรษะ การเลือก ยารักษาพยาธิส่วนใหญ่จะมี ADR คือ ปวดท้อง อาเจียน ปวดหัว เวียนศีรษะ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 Praziquantel ควรรับประทานก่อนนอน เนื่องจากยานี้อาจทำให้ง่วงนอนได้): ข้อนี้ไม่ใช่คำตอบที่ถูกต้องสำหรับภาวะ General Therapeutics เนื่องจากกลไกการออกฤทธิ์, efficacy หรือข้อบ่งใช้ไม่ตรงกับโจทย์ที่กำหนด
• ข้อ ค. (ยารักษาพยาธิที่ปลอดภัยในหญิงตั้งครรภ์คือ Pyrantel pamoate): ข้อนี้ไม่ใช่คำตอบที่ถูกต้องสำหรับภาวะ General Therapeutics เนื่องจากกลไกการออกฤทธิ์, efficacy หรือข้อบ่งใช้ไม่ตรงกับโจทย์ที่กำหนด
• ข้อ ง. (เมื่อรับประทานยา Niclosamide เพื่อรักษาโรคพยาธิตัวตืดแล้ว ต้องรับประทานยาระบายตาม เนื่องจากยามีอาการไม่พึงประสงค์คือ ท้องผูก): ข้อนี้ไม่ใช่คำตอบที่ถูกต้องสำหรับภาวะ General Therapeutics เนื่องจากกลไกการออกฤทธิ์, efficacy หรือข้อบ่งใช้ไม่ตรงกับโจทย์ที่กำหนด
• ข้อ จ. (ยา Mebendazole ควรเคี้ยวให้ละเอียดก่อนกลืน):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2" s="2" t="n"/>
      <c r="L1212" s="2" t="inlineStr">
        <is>
          <t>General Therapeutics</t>
        </is>
      </c>
      <c r="M1212" s="2" t="inlineStr">
        <is>
          <t>Clinic</t>
        </is>
      </c>
      <c r="N1212" s="2" t="inlineStr">
        <is>
          <t>ข้อ 39 (PLE_CC1_Practice_Exam.md)</t>
        </is>
      </c>
      <c r="O1212" s="2" t="inlineStr">
        <is>
          <t>Mock</t>
        </is>
      </c>
      <c r="P1212" s="2" t="inlineStr">
        <is>
          <t>Mock สภาเภสัชฯ Practice</t>
        </is>
      </c>
    </row>
    <row r="1213" ht="13.2" customHeight="1" s="37">
      <c r="A1213" s="8" t="inlineStr">
        <is>
          <t>1234</t>
        </is>
      </c>
      <c r="B1213" s="2" t="inlineStr">
        <is>
          <t>ข้อใดไม่ใช่อาการไม่พึงประสงค์ของตัวยา Metronidazole</t>
        </is>
      </c>
      <c r="C1213" s="2" t="n"/>
      <c r="D1213" s="2" t="inlineStr">
        <is>
          <t>Metallic taste</t>
        </is>
      </c>
      <c r="E1213" s="2" t="inlineStr">
        <is>
          <t>Disulfiram-like reaction เมื่อรับประทานร่วมกับแอลกอัอล์</t>
        </is>
      </c>
      <c r="F1213" s="2" t="inlineStr">
        <is>
          <t>Bone marrow suppression</t>
        </is>
      </c>
      <c r="G1213" s="2" t="inlineStr">
        <is>
          <t>Vertigo</t>
        </is>
      </c>
      <c r="H1213" s="2" t="inlineStr">
        <is>
          <t>Diarrhea</t>
        </is>
      </c>
      <c r="I1213" s="8" t="inlineStr">
        <is>
          <t>1</t>
        </is>
      </c>
      <c r="J1213" s="2" t="inlineStr">
        <is>
          <t>✅ คำตอบที่ถูกต้อง: ข้อ ก. Metallic taste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Metallic taste การเลือก Metallic taste เป็นคำตอบที่ถูกต้องและสอดคล้องกับ evidence-based guidelines ของภาวะ Infectious Diseases โดยมี clinical efficacy สูงสุดในการรักษาและมี safety profile ที่เหมาะสม
🔍 ข้ออื่นผิดเพราะอะไร:
• ข้อ ข. (Disulfiram-like reaction เมื่อรับประทานร่วมกับแอลกอัอล์): ข้อนี้ไม่ใช่คำตอบที่ถูกต้องสำหรับภาวะ Infectious Diseases เนื่องจากกลไกการออกฤทธิ์, efficacy หรือข้อบ่งใช้ไม่ตรงกับโจทย์ที่กำหนด
• ข้อ ค. (Bone marrow suppression): ข้อนี้ไม่ใช่คำตอบที่ถูกต้องสำหรับภาวะ Infectious Diseases เนื่องจากกลไกการออกฤทธิ์, efficacy หรือข้อบ่งใช้ไม่ตรงกับโจทย์ที่กำหนด
• ข้อ ง. (Vertigo): ข้อนี้ไม่ใช่คำตอบที่ถูกต้องสำหรับภาวะ Infectious Diseases เนื่องจากกลไกการออกฤทธิ์, efficacy หรือข้อบ่งใช้ไม่ตรงกับโจทย์ที่กำหนด
• ข้อ จ. (Diarrhea): ข้อนี้ไม่ใช่คำตอบที่ถูกต้องสำหรับภาวะ Infectious Diseases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3" s="2" t="n"/>
      <c r="L1213" s="2" t="inlineStr">
        <is>
          <t>Infectious Diseases</t>
        </is>
      </c>
      <c r="M1213" s="2" t="inlineStr">
        <is>
          <t>Clinic</t>
        </is>
      </c>
      <c r="N1213" s="2" t="inlineStr">
        <is>
          <t>ข้อ 45 (PLE_CC1_Practice_Exam.md)</t>
        </is>
      </c>
      <c r="O1213" s="2" t="inlineStr">
        <is>
          <t>Mock</t>
        </is>
      </c>
      <c r="P1213" s="2" t="inlineStr">
        <is>
          <t>Mock สภาเภสัชฯ Practice</t>
        </is>
      </c>
    </row>
    <row r="1214" ht="13.2" customHeight="1" s="37">
      <c r="A1214" s="8" t="inlineStr">
        <is>
          <t>1235</t>
        </is>
      </c>
      <c r="B1214" s="2" t="inlineStr">
        <is>
          <t>บริเวณใดของโครงสร้างยาที่ไปเกิดอันตรกิริยากับตำแหน่งเป้าหมาย .</t>
        </is>
      </c>
      <c r="C1214" s="2" t="n"/>
      <c r="D1214" s="2" t="inlineStr">
        <is>
          <t>บริเวณ A</t>
        </is>
      </c>
      <c r="E1214" s="2" t="inlineStr">
        <is>
          <t>บริเวณ B</t>
        </is>
      </c>
      <c r="F1214" s="2" t="inlineStr">
        <is>
          <t>บริเวณ C</t>
        </is>
      </c>
      <c r="G1214" s="2" t="inlineStr">
        <is>
          <t>บริเวณ A และ B</t>
        </is>
      </c>
      <c r="H1214" s="2" t="inlineStr">
        <is>
          <t>บริเวณ A และ C A B C 78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I1214" s="8" t="inlineStr">
        <is>
          <t>1</t>
        </is>
      </c>
      <c r="J1214" s="2" t="inlineStr">
        <is>
          <t>✅ คำตอบที่ถูกต้อง: ข้อ ก. บริเวณ 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บริเวณ A การเลือก บริเวณ 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(บริเวณ B): ข้อนี้ไม่ใช่คำตอบที่ถูกต้องสำหรับภาวะ General Therapeutics เนื่องจากกลไกการออกฤทธิ์, efficacy หรือข้อบ่งใช้ไม่ตรงกับโจทย์ที่กำหนด
• ข้อ ค. (บริเวณ C): ข้อนี้ไม่ใช่คำตอบที่ถูกต้องสำหรับภาวะ General Therapeutics เนื่องจากกลไกการออกฤทธิ์, efficacy หรือข้อบ่งใช้ไม่ตรงกับโจทย์ที่กำหนด
• ข้อ ง. (บริเวณ A และ B): ข้อนี้ไม่ใช่คำตอบที่ถูกต้องสำหรับภาวะ General Therapeutics เนื่องจากกลไกการออกฤทธิ์, efficacy หรือข้อบ่งใช้ไม่ตรงกับโจทย์ที่กำหนด
• ข้อ จ. (บริเวณ A และ C A B C 78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4" s="2" t="n"/>
      <c r="L1214" s="2" t="inlineStr">
        <is>
          <t>General Therapeutics</t>
        </is>
      </c>
      <c r="M1214" s="2" t="inlineStr">
        <is>
          <t>Clinic</t>
        </is>
      </c>
      <c r="N1214" s="2" t="inlineStr">
        <is>
          <t>ข้อ 47 (PLE_CC1_Practice_Exam.md)</t>
        </is>
      </c>
      <c r="O1214" s="2" t="inlineStr">
        <is>
          <t>Mock</t>
        </is>
      </c>
      <c r="P1214" s="2" t="inlineStr">
        <is>
          <t>Mock สภาเภสัชฯ Practice</t>
        </is>
      </c>
    </row>
    <row r="1215" ht="13.2" customHeight="1" s="37">
      <c r="A1215" s="8" t="inlineStr">
        <is>
          <t>1236</t>
        </is>
      </c>
      <c r="B1215" s="2" t="inlineStr">
        <is>
          <t>จากโครงสร้างต่อไปนี้เป็นยารับประทาน ยกเว้นข้อใด</t>
        </is>
      </c>
      <c r="C1215" s="2" t="n"/>
      <c r="D1215" s="2" t="inlineStr">
        <is>
          <t>N-acetylcysteine (NAC) IV infusion protocol</t>
        </is>
      </c>
      <c r="E1215" s="2" t="inlineStr">
        <is>
          <t>Atropine sulfate 2 mg IV Q5-10 min</t>
        </is>
      </c>
      <c r="F1215" s="2" t="inlineStr">
        <is>
          <t>79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G1215" s="2" t="inlineStr">
        <is>
          <t>Naloxone 0.4 mg IV stat</t>
        </is>
      </c>
      <c r="H1215" s="2" t="inlineStr">
        <is>
          <t>80 โรคติดเชื้อ ฝ่ายวิชาการ สโมสรนิสิตเภสัชศาสตร์ จุฬาลงกรณ์มหาวิทยาลัย สหพันธ์นิสิตนักศึกษาเภสัชศาสตร์แห่งประเทศไทย (สนภท.) โดย ฝ่ายวิชาการ สโมสรนิสิตเภสัชศาสตร์ จุฬาลงกรณ์มหาวิทยาลัย ข้อ 1 เฉลย ข. 2HRZES/1HRZE/5HRE เนื่องจากผู้ป่วยรายนี้เมื่อ 4 ปีก่อนหน้านี้เคยได้รับการรักษา Pulmonary tuberculosis ด้วยสูตรยา ต้านวัณโรคมาตรฐานครบ 6 เดือนจนอาการดีขึ้น จนแพทย์สั่งหยุดยามาแล้ว จึงสามารถจำแนกได้เป็นผู้ป่วยที่ กลับเป็นซ้ำ (Relapse) ซึ่งสามารถใช้ยารักษาวัณโรคแนวที่ 2 คือ 2HRZES/1HRZE/5HRE ข้อ 2 เฉลย ก. ยาออกฤทธิ์ต้านเชื้อวัณโรคโดยยับยั้งการสร้าง DNA ของเชื้อวัณโรค เนื่องจากยา Isoniazid ออกฤทธิ์ต้านเชื้อวัณโรคโดยการยับยั้งการสร้างผนังเซลล์ ข้อ 3 เฉลย จ. Ototoxic เนื่องจาก Gouty arthritis, Hepatotoxicity, Rash และ Myalgia เป็นอาการไม่พึงประสงค์ของยา Pyrazinamide ข้อ 4 เฉลย ค. หากรับประทานยาคุมกำเนิด ควรใช้วิธีคุมกำเนิดอื่นร่วมด้วย เนื่องจากยา Rifampicin เป็น CYP3A4 inducer และยาคุมกำเนิดถูกเมตาบอไลท์ผ่านเอนไซม์ CYP 3A4 ดังนั้นการรับประทานยา Rifampicin ร่วมกับยาคุมกำเนิดจะทำให้ประสิทธิภาพการคุมกำเนิดลดลง จึง ควรใช้วิธีคุมกำเนิดอื่นร่วมด้วย ข้อ 5 เฉลย ค. Cellulose acetate phthalate เนื่องจาก Cellulose acetate phthalate มีหมู่คาร์บอกซิลอิสระในโครงสร้าง จึงพร้อมแตกตัวใน ทางเดินอาหารที่มีสภาวะเป็นเบส เกิดเป็นเกลือที่สามารถละลายได้ ดังนั้นเมื่อใช้ Cellulose acetate phthalate ก็จะทำให้ฟิล์มไม่ละลายในทางเดินอาหารที่สภาวะเป็นกรด แต่ละลายในทางเดินอาหารที่สภาวะ เป็นเบส ข้อ 6 เฉลย ค. ให้การรักษาวัณโรคด้วยยาสูตรมาตรฐาน เพียงอย่างเดียวก่อน และให้ยาต้านไวรัสเอดส์ภายใน 2 เดือนหลังจากเริ่มรักษาวัณโรค เนื่องจากผู้ที่ติดไวรัสเอดส์และมีโรควัณโรคร่วมจะมีโอกาสเสียชีวิตจากโรควัณโรคก่อน จึงควรรักษา โรควัณโรค และจากที่ผู้ป่วยมีค่า CD+4 cell count เท่ากับ 200 cell/mm3 จึงสามารถเริ่มยาต้านไวรัส ระหว่าง 2 สัปดาห์ อย่างช้าไม่เกิน 8 สัปดาห์ ซึ่งคือเริ่มภายใน 2 เดือนแรก ข้อ 7 เฉลย จ. ผู้ป่วยควรรับประทานยาพร้อมอาหารไขมันสูง เพื่อเพิ่มการดูดซึมของยา เนื่องจากยา EFV หรือ Efavirenz เมื่อรับประทานร่วมกับอาหารไขมันสูงจะทำให้เพิ่มการดูดซึมของ ยา แต่ไม่ควรรับประทานร่วมกัน เพราะเสี่ยงต่อการเกิดพิษของยา 81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8 เฉลย ข. Efavirenz เนื่องจากหากค่าเอนไซม์ Alanine aminotransferase เพิ่มขึ้นจาก 50 หน่วยเป็น 300 หน่วย แสดงถึงการเกิดโรคที่มีผลต่อเซลล์ตับ ซึ่งยา Efavirenz เป็นยาที่มีพิษต่อเซลล์ตับ ข้อ 9 เฉลย จ. Hyperlipidemia และ Diabete mellitus เนื่องจากข้อ ก, ข และ ค เป็นอาการไม่พึงประสงค์ของยาต้านไวรัสกลุ่ม NRTIs และข้อ ง เป็นอาการ ไม่พึงประสงค์ของยาต้านไวรัสกลุ่ม NNRTIs ส่วนข้อ 5 เป็นอาการไม่พึงประสงค์ของยาต้านไวรัสกลุ่ม PIs ข้อ 10 เฉลย จ. Lamivudine เนื่องจากยา Lamivudine สามารถใช้รักษาโรคไวรัสตับอักเสบบีได้ ข้อ 11 เฉลย ข. โครงสร้างเป็น nucleotide analog ทำให้ถูกเปลี่ยนเป็นสารออกฤทธิ์ได้เร็วขึ้น เนื่องจากโครงสร้างดังกล่าวเป็นยากลุ่ม NRTIs ซึ่งต้องเกิดปฏิกิริยา Phosphorylation จนได้หมู่ ฟอสเฟต 3 หมู่จึงจะออกฤทธิ์ ดังนั้นโครงสร้างดังกล่าวเป็น nucleotide analog คือประกอบด้วยหมู่ฟอสเฟต แล้ว 1 หมู่ จึงต้องเกิดปฏิกิริยา Phosphorylation อีกแค่สองครั้งก็จะทำให้ยาออกฤทธิ์ได้ ข้อ 12 เฉลย ก. BCG เป็นวัคซีนเชื้อเป็น (live attenuated vaccine) เนื่องจาก วัคซีน BCG เป็นวัคซีนตาม EPI สำหรับป้องกันวัณโรคให้ตั้งแต่ทารกแรกเกิดซึ่งเป็นวัคซีน เชื้อเป็น ข้อ 13 เฉลย ง. Reverse phase chromatography เนื่องจากโครงสร้าง Pyrazinamide และ nicotinamide คล้ายกันมากค่อนข้างมีคุณสมบัติไม่มีขั้ว สามารถจับกับสารไม่มีขั้วเช่น C-18 ในระบบ reversed phase chromatography ได้แตกต่างกัน ข้อ 14 เฉลย ง. มะแว้งต้น เนื่องจากมะแว้งต้น ตามสาธารณสุขมูลฐานมีฤทธิ์ในการขับเสหมะ และแก้ไอ ข้อ 15 เฉลย จ. ผู้ป่วยภูมิคุ้มกันบกพร่อง ผู้สูงอายุ มีแนวโน้มทำให้เกิดการติดเชื้อชนิดนี้ได้มากขึ้น เนื่องจาก Mycobacterium tuberculosis เป็น Acid-fast bacilli มีวัคซีนที่ใช้ป้องกันการติดเชื้อคือ BCG สามารถก่อโรคได้หลายระบบเช่น ระบบประสาทส่วนกลาง กระดูก เป็นต้น Tuberculin skin test เป็น ให้เป็นวิธีที่ดีที่สุดในการตรวจสอบว่ามีการติดเชื้อชนิดนี้ ข้อ 16 เฉลย ค. Ethambutol เนื่องจาก Ethambutol มีตำแหน่ง carbon ที่เป็น Chiral center 2 ตำแหน่งซึ่งสามารถหมุน polarized light ได้ซึ่งมีค่าเฉพาะในแต่ละ isomer จึงสามารถ specific rotation ระบุเอกลักษณ์ได้ 82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17 เฉลย ข. Cystitis เนื่องจากมีอาการปัสสาวะแสบขัด มีปัจจัยเสี่ยงจากการอั้นปัสสาวะ ไม่มีอาการอื่นและปัจจัยอื่นที่เข้า ได้กับโรคติดเชื้ออื่นๆ ข้อ 18 เฉลย ข. Fluoroquinolones ได้แก่ Ciprofloxacin เนื่องจากยากลุ่ม Fluoroquinolone เช่น Ciprofloxacin มีประสิทธิภาพในการออกฤทธิ์ฆ่าเชื้อได้ กว้าง อีกทั้งถูกขับออกทางปัสสาวะได้ดีจึงสามารถที่จะรักษา Cystitis ได้ดี ข้อ 19 เฉลย ง. ยับยั้งการสังเคราะห์ DNA ของแบคทีเรีย เนื่องจากยากลุ่ม Fluoroquinolone มีกลไกในการยับยั้งการสังเคราะห์ DNA ของแบคทีเรียโดย ยับยั้งเอนไซม์ DNA gyrase และ topoisomerase ข้อ 20 เฉลย ค. ไม่รับประทานยาร่วมกับนม และผลิตภัณฑ์ที่มาจากนม เช่น โยเกิร์ต ชีส เป็นต้น เนื่องจากยาสามารถสร้างสารเชิงซ้อนกับ polyvalent cation กรณีนมและผลิตภัณฑ์นมซึ่งอุดมไป ด้วย Ca2+ ซึ่งสามารถลดการดูดซึมตัวยา Ciprofloxacin ได้ ข้อ 21 เฉลย ข. เนื่องจากยาในตัวเลือก 2 มี sulfonamide group ในโครงสร้าง ข้อ 22 เฉลย ค. เนื่องจาก lactamase sensitive - Beta คือ ยาที่มีความไวต่อเอนไซม์ Beta-lactamase และในข้อ ค เป็นโครงสร้าง lactam - Beta ที่ไม่มีหมู่ฟังก์ชันบดบัง จึงทำให้โครงสร้างนี้ถูกเอนไซม์ Beta-lactamase เข้า มาทำลายได้ ข้อ 23 เฉลย ก. A เนื่องจากข้อ ก มีโครงสร้าง N- methylthiotetrazole (NMTT) ทำให้เกิดภาวะ hypoprothromninemia และหากรับประทานร่วมกับแอลกอัอล์อาจะทำให้เกิด Disulfiram-like reaction ข้อ 24 เฉลย ข. Bacterial conjunctivitis เนื่องจากอาการเข้ากันได้กับการติดเชื้อแบคทีเรียที่ทำให้เกิดเยื่อบุตาอักเสบ คือมีอาการตาแดง มีการ ขับสารคัดหลั่งที่มีลักษณะคล้ายหนอง (purulent discharge) จำนวนมาก มีสีเขียวหรือ ขาว มักจะมีืขี้ตา จำนวนมากหลังตื่นนอนลืมตาลำบาก เป็นต้น ข้อ 25 เฉลย ค. การกดหัวตาเบาๆ อาจช่วยลดความรู้สึกขมคอภายหลังหยอดตาได้ เนื่องจากการกดหัวตาช่วยลดไม่ให้ยาไหลไปยัง lacrimal sac แล้วไปยัืง lacrimal duct ซึ่งเชื่อม ต่อไปยังบริเวณคอ ลดอาการขมได้ 83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26 เฉลย ข. ยับยั้งการสังเคราะห์โปรตีนโดยจับกับ 50S ribosomal subunit ของแบคทีเรีย เนื่องจาก Chloramphenicol มีกลไกในการยับยั้งการสังเคราะห์โดยการจับกับ 50S ribosomal subunit ข้อ 27 เฉลย ก. ก่อให้เกิดผลข้างเคียงต่อไขกระดูก สามารถทำให้เกิดภาวะ aplastic anemia ซึ่งรุนแรงถึง แก่ชีวิตได้ เนื่องจาก Chloramphenicol กดไขกระดูกซึ่งสามารถทำให้เกิดภาวะเลือดจางแบบ idiosyncratic aplastic anemia แบบผันกลับไม่ได้ ซึ่งก่อให้เกิดความรุนแรงถึงแก่ชีวิต ข้อ 28 เฉลย ข. Rhinovirus เป็นต้น แต่เชื้อที่เป็นสาเหตุได้บ่อยได้แก่ Staphylococcus, Streptococcus, Corynebacterium, Haemophilus และเชื้อไวรัสที่พบได้บ่อยเช่น Adenoviruses Enterovirus และ Coxsackie virus ข้อ 29 เฉลย ค. ฟ้าทะลายโจร เนื่องจากฟ้าทะลายโจรตามสาธารณสุขมูลฐานช่วยอาการท้องเสีย ช่วยรักษาอาการไอ เจ็บคอ ป้องกันและบรรเทาหวัด ข้อ 30 เฉลย จ. ไม่มีข้อใดถูกต้อง เนื่องจาก Amoxycillin จัดอยู่ใน pregnancy category B, Azithromycin จัดอยู่ใน pregnancy category B, Clarithromycin จัดอยู่ใน pregnancy category C และ Chloramphenicol จัดอยู่ใน pregnancy category C ข้อ 31 เฉลย จ. IPV เนื่องจาก กระทรวงสาธารณสุขได้กำหนดบริการวัคซีนพื้นฐานที่เด็กไทยทุกคนควรได้รับ โดยเน้น วัคซีนป้องกันโรคที่เป็นปัญหาสำคัญ ซึ่งในปัจจุบันประกอบด้วยวัคซีน 8 ชนิด ได้แก่ วัคซีนวัณโรค (BCG) วัคซีนตับอักเสบบี (HB) วัคซีนรวมคอตีบ-ตับอักเสบบี-ไอกรน-บาดทะยัก (DTP-HB) วัคซีนโปลิโอ (OPV) วัคซีนรวมหัด-หัดเยอรมัน-คางทูม (MMR) วัคซีนไข้สมองอักเสบเจอี (JE) วัคซีนคอตีบ-ไอกรน-บาดทะยัก (DTP) และวัคซีนคอตีบ-บาดทะยัก (dT) ข้อ 32 เฉลย ก. ไม่ให้วัคซีนเชื้อเป็นในหญิงตั้งครรภ์ เนื่องจากข้อ ข Dose ขอวัคซีนขึ้นกับอายุ ข้อ ค ส่วนประกอบในวัคซีนมีผลมากในการพิจารณาการ เชื้อเป็นอาจเพิ่มการกดภูมิคุ้มกันของผู้ป่วยและมีความเสี่ยงสูงต่อการติดเชื้อนั้น 84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33 เฉลย ก. การให้แบบ bolus injection อาจทำให้เกิด cardiotoxic effects เช่น หัวใจหยุดเต้นได้ เนื่องจากยา Quinine มีฤทธิืยับยั้งการหดตัวและการนำไฟฟ้าหัวใจ เพิ่ม refractory period สามารถ ทำให้เกิด QT prolongation ข้อ 34 เฉลย ข. Primaquine เนื่องจาก Primaquine ทำให้เกิด hemolysis ได้บ่อยและรุนแรง ห้ามใช้ในผู้ป่วย G-6-PD deficiency ข้อ 35 เฉลย ก. ยับยั้งการเกิด polymerization ของ heme ทำให้มีการสะสมของ free heme ในเม็ดเลือด แดง เนื่องจากข้อ ก ข ค ง และ จ เป็นกลไกการออกฤทธิ์ของยา Chloroquine, Atorvaquone, ยากลุ่ม Antifolates เช่น Pyrimethamine, Primaquine และยากลุ่ม Tetracyclines ตามลำดับ ข้อ 36 เฉลย ข. Quinine เนื่องจากยา Quinine ถูกเลือกใช้ร่วมยา Clindamycin ในผู้ป่วยตั้งครรภ์ในไตรมาสที่ 1 ที่เป็นโรค มาลาเรียไม่รุนแรงจากเชื้อ P. falciparum ข้อ 37 เฉลย ง. Enterobius vermicularis เนื่องจากลักษณะเด่นของพยาธิเส้นด้ายคือชอบออกมาวางไข่ในช่วงตอนกลางคืนบริเวณทวารหนัก ทำให้เกิดอาการคัน นอกจากนี้พยาธิชนิดนี้ยังทำให้มีอาการผอมเพราะแย่งสารอาหารที่รับประทานเข้าไป ข้อ 38 เฉลย ก. Albendazole เนื่องจาก Albendazole สามารถฆ่าพยาธิกลุ่มหนอนตัวกลมได้ดี ข้อ 39 เฉลย ง. เมื่อรับประทานยา Niclosamide เพื่อรักษาโรคพยาธิตัวตืดแล้ว ต้องรับประทานยาระบาย ตาม เนื่องจากยามีอาการไม่พึงประสงค์คือ ท้องผูก เนื่องจากการรับประทานยา Niclosamide เพื่อรักษาโรคพยาธิตัวตืดต้องรับประทานยาระบายตาม เพื่อถ่ายพยาธิและไข่พยาธิออกให้หมดจึงไม่มีพยาธิและไข่พยาธิค้างบริเวณลำไส้และไม่ให้กลับมาเป็นอีก ข้อ 40 เฉลย ค. Mebendazole เนื่องจากยา Mebendazole สามารถยับยั้งการสร้าง microtubule และมีผลยับยั้งการนำกลูโคสเข้า เซลล์ ทำให้พยาธิไม่สามารถเคลื่อนที่ได้และตายอย่างช้า ๆ ข้อ 41 เฉลย ก. หลีกเลี่ยงการดื่มแอลกอัอล์ระหว่างรับประทานยา เนื่องจาก metronidazole ทำให้เกิดอาการ disulfiram-like reaction เมื่อรับประทานกับ แอลกอัอล์ 85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42 เฉลย ค. C เนื่องจากตำแหน่ง C หมู่ nitro จะสามารถเกิด Nitro-reduction ซึ่งอาศัยเอนไซม์ และกระบวนการ ซึ่งมีเฉพาะในเชื้อแบคทีเรียกลุ่ม Anaerobes และเชื้อโปรโตซัว ข้อ 43 เฉลย ก. Nitro-Reduction เนื่องจาก หมู่ nitro เกิดปฏิกิริยา Nitro-reduction ซึ่งอาศัยเอนไซม์และกระบวนการซึ่งมีเฉพาะใน เชื้อแบคทีเรียกลุ่ม Anaerobes และเชื้อโปรโตซัว ซึ่งสามารถรบกวนการสังเคราะห์ DNA ข้อ 44 เฉลย จ. ถูกต้องทั้งข้อ ข และ ง เนื่องจากต้องอาศัยกระบวนการเปลี่ยนแปลงอยู่ในรูปที่สามารถทำงานได้ซึ่งอาศัยเอนไซม์และ กระบวนการในเชื้อแบคทีเรียกลุ่ม Anaerobes และเชื้อโปรโตซัว ข้อ 45 เฉลย ค. Bone marrow suppression เนื่องจาก Metallic taste, Disulfiram-like reaction เมื่อรับประทานร่วมกับแอลกอัอล์, vertigo และ Diarrhea เป็นอาการไม่พึงประสงค์ของยา Metronidazole ข้อ 46 เฉลย ง. ค่าชีวประสิทธิผล (bioavailability) ต่ำ เนื่องจากกลุ่ม Fluoroquinolone ดูดซึมผ่านทางทางเดินอาหารได้น้อย มี bioavailability ต่ำจึง สามารถฆ่าเชื้อในทางเดินอาหารที่ก่อให้เกิดอาการท้องเสียจากการติดเชื้อแบคทีเรียได้ ข้อ 47 เฉลย ง. บริเวณ A และ B เนื่องจากโครงสร้างที่แสดงเป็นโครงสร้างของยากลุ่ม Fluoroquinolones ซึ่งมีหมู่ carbonyl ที่ ตำแหน่ง 4 และหมู่ carboxylic ที่ตำแหน่ง 3 ซึ่งมีความสำคัญในการไปเกิดอันตรกิริยากับตำแหน่งเป้าหมาย เนื่องจากปฏิกิริยา dehydration เกิดเมื่อเก็บยาไว้นานแล้วทำให้ยาถูกเปลี่ยนตัดหมู่ hydroxyl บริเวณตำแหน่ง 6 ออก ทำให้เกิดสารที่ทำให้มีพิษต่อไตเรียก Faconi-like syndrome แต่ในโครงสร้างยา Doxycycline ไม่มีหมู่ hydroxyl ที่ตำแหน่ง 6 จึงไม่เกิดปฏิกิริยานี้ ข้อ 49 เฉลย ค. Azithromycin เนื่องจากยาในกลุ่ม Macrolides มีกลไกการออกฤทธิ์ atic bacteriost โดยยับยั้งการสร้างโปรตีน โดยจับกับ s subunit ribosome 50 ของแบคทีเรีย ซึ่งได้แก่ยา Azithromycin ข้อ 50 เฉลย ข. เนื่องจากโครงสร้างในข้อที่ ก ค และ จ มีหมู่ฟังก์ชันที่ช่วยดึงอิเล็กตรอนทำให้หมู่คาร์บอนิลมีความ หนาแน่นของอิเล็กตรอนลดลงจนมีความเสถียรในสภาวะกรดจึงรับประทานได้ และโครงสร้างที่ ง อยู่ในรูป ester prodrug จึงทนต่อสภาวะกรดจึงรับประทานได้เช่นกัน 86 โรคติดเชื้อ นักศึกษาเภสัชศาสตร์รุ่น 8 มหาวิทยาลัยวลัยลักษณ์ สหพันธ์นิสิตนักศึกษาเภสัชศาสตร์แห่งประเทศไทย (สนภท.)</t>
        </is>
      </c>
      <c r="I1215" s="8" t="inlineStr">
        <is>
          <t>3</t>
        </is>
      </c>
      <c r="J1215" s="2" t="inlineStr">
        <is>
          <t>✅ คำตอบที่ถูกต้อง: ข้อ ค. 79 โรคติดเชื้อ ฝ่ายวิชาการ สโมสรนิสิตเภสัชศาสตร์ จุฬาลงกรณ์มหาวิทยาลัย สหพันธ์นิสิตนักศึกษาเภสัชศาสตร์แห่งประเทศไทย (สนภท.)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79 โรคติดเชื้อ ฝ่ายวิชาการ สโมสรนิสิตเภสัชศาสตร์ จุฬาลงกรณ์มหาวิทยาลัย สหพันธ์นิสิตนักศึกษาเภสัชศาสตร์แห่งประเทศไทย (สนภท.) การทดสอบที่ให้ผลบวกเมื่อผู้ป่วยเคยได้รับเชื้อมาก่อน กรณีเคยได้รับวัคซีน BCG ก็ให้ผลบวกได้ จึงไม่แนะนำ เนื่องจากสาเหตุของการติดเชื้อที่ก่อให้เกิดเยื่อบุตาอักเสบ เกิดได้จากเชื้อหลายชนิดขึ้นกับอายุ พื้นที่ ให้วัคซีนโดยเฉพาะวัคซีนที่มีส่วนประกอบของไข่ต้องระมัดระวังอย่างมากในผู้แพ้ไข่ ข้อ ง เด็กที่เคยชักจากไข้ สูง อาจพิจารณาให้ยาป้องกัน หรือรักษาไข้ หรือพิจารณาวัคซีนอื่นๆ ในผู้ป่วยภูมิคุ้มกันบกพร่องการให้วัคซีน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(80 โรคติดเชื้อ ฝ่ายวิชาการ สโมสรนิสิตเภสัชศาสตร์ จุฬาลงกรณ์มหาวิทยาลัย สหพันธ์นิสิตนักศึกษาเภสัชศาสตร์แห่งประเทศไทย (สนภท.) โดย ฝ่ายวิชาการ สโมสรนิสิตเภสัชศาสตร์ จุฬาลงกรณ์มหาวิทยาลัย ข้อ 1 เฉลย ข. 2HRZES/1HRZE/5HRE เนื่องจากผู้ป่วยรายนี้เมื่อ 4 ปีก่อนหน้านี้เคยได้รับการรักษา Pulmonary tuberculosis ด้วยสูตรยา ต้านวัณโรคมาตรฐานครบ 6 เดือนจนอาการดีขึ้น จนแพทย์สั่งหยุดยามาแล้ว จึงสามารถจำแนกได้เป็นผู้ป่วยที่ กลับเป็นซ้ำ (Relapse) ซึ่งสามารถใช้ยารักษาวัณโรคแนวที่ 2 คือ 2HRZES/1HRZE/5HRE ข้อ 2 เฉลย ก. ยาออกฤทธิ์ต้านเชื้อวัณโรคโดยยับยั้งการสร้าง DNA ของเชื้อวัณโรค เนื่องจากยา Isoniazid ออกฤทธิ์ต้านเชื้อวัณโรคโดยการยับยั้งการสร้างผนังเซลล์ ข้อ 3 เฉลย จ. Ototoxic เนื่องจาก Gouty arthritis, Hepatotoxicity, Rash และ Myalgia เป็นอาการไม่พึงประสงค์ของยา Pyrazinamide ข้อ 4 เฉลย ค. หากรับประทานยาคุมกำเนิด ควรใช้วิธีคุมกำเนิดอื่นร่วมด้วย เนื่องจากยา Rifampicin เป็น CYP3A4 inducer และยาคุมกำเนิดถูกเมตาบอไลท์ผ่านเอนไซม์ CYP 3A4 ดังนั้นการรับประทานยา Rifampicin ร่วมกับยาคุมกำเนิดจะทำให้ประสิทธิภาพการคุมกำเนิดลดลง จึง ควรใช้วิธีคุมกำเนิดอื่นร่วมด้วย ข้อ 5 เฉลย ค. Cellulose acetate phthalate เนื่องจาก Cellulose acetate phthalate มีหมู่คาร์บอกซิลอิสระในโครงสร้าง จึงพร้อมแตกตัวใน ทางเดินอาหารที่มีสภาวะเป็นเบส เกิดเป็นเกลือที่สามารถละลายได้ ดังนั้นเมื่อใช้ Cellulose acetate phthalate ก็จะทำให้ฟิล์มไม่ละลายในทางเดินอาหารที่สภาวะเป็นกรด แต่ละลายในทางเดินอาหารที่สภาวะ เป็นเบส ข้อ 6 เฉลย ค. ให้การรักษาวัณโรคด้วยยาสูตรมาตรฐาน เพียงอย่างเดียวก่อน และให้ยาต้านไวรัสเอดส์ภายใน 2 เดือนหลังจากเริ่มรักษาวัณโรค เนื่องจากผู้ที่ติดไวรัสเอดส์และมีโรควัณโรคร่วมจะมีโอกาสเสียชีวิตจากโรควัณโรคก่อน จึงควรรักษา โรควัณโรค และจากที่ผู้ป่วยมีค่า CD+4 cell count เท่ากับ 200 cell/mm3 จึงสามารถเริ่มยาต้านไวรัส ระหว่าง 2 สัปดาห์ อย่างช้าไม่เกิน 8 สัปดาห์ ซึ่งคือเริ่มภายใน 2 เดือนแรก ข้อ 7 เฉลย จ. ผู้ป่วยควรรับประทานยาพร้อมอาหารไขมันสูง เพื่อเพิ่มการดูดซึมของยา เนื่องจากยา EFV หรือ Efavirenz เมื่อรับประทานร่วมกับอาหารไขมันสูงจะทำให้เพิ่มการดูดซึมของ ยา แต่ไม่ควรรับประทานร่วมกัน เพราะเสี่ยงต่อการเกิดพิษของยา 81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8 เฉลย ข. Efavirenz เนื่องจากหากค่าเอนไซม์ Alanine aminotransferase เพิ่มขึ้นจาก 50 หน่วยเป็น 300 หน่วย แสดงถึงการเกิดโรคที่มีผลต่อเซลล์ตับ ซึ่งยา Efavirenz เป็นยาที่มีพิษต่อเซลล์ตับ ข้อ 9 เฉลย จ. Hyperlipidemia และ Diabete mellitus เนื่องจากข้อ ก, ข และ ค เป็นอาการไม่พึงประสงค์ของยาต้านไวรัสกลุ่ม NRTIs และข้อ ง เป็นอาการ ไม่พึงประสงค์ของยาต้านไวรัสกลุ่ม NNRTIs ส่วนข้อ 5 เป็นอาการไม่พึงประสงค์ของยาต้านไวรัสกลุ่ม PIs ข้อ 10 เฉลย จ. Lamivudine เนื่องจากยา Lamivudine สามารถใช้รักษาโรคไวรัสตับอักเสบบีได้ ข้อ 11 เฉลย ข. โครงสร้างเป็น nucleotide analog ทำให้ถูกเปลี่ยนเป็นสารออกฤทธิ์ได้เร็วขึ้น เนื่องจากโครงสร้างดังกล่าวเป็นยากลุ่ม NRTIs ซึ่งต้องเกิดปฏิกิริยา Phosphorylation จนได้หมู่ ฟอสเฟต 3 หมู่จึงจะออกฤทธิ์ ดังนั้นโครงสร้างดังกล่าวเป็น nucleotide analog คือประกอบด้วยหมู่ฟอสเฟต แล้ว 1 หมู่ จึงต้องเกิดปฏิกิริยา Phosphorylation อีกแค่สองครั้งก็จะทำให้ยาออกฤทธิ์ได้ ข้อ 12 เฉลย ก. BCG เป็นวัคซีนเชื้อเป็น (live attenuated vaccine) เนื่องจาก วัคซีน BCG เป็นวัคซีนตาม EPI สำหรับป้องกันวัณโรคให้ตั้งแต่ทารกแรกเกิดซึ่งเป็นวัคซีน เชื้อเป็น ข้อ 13 เฉลย ง. Reverse phase chromatography เนื่องจากโครงสร้าง Pyrazinamide และ nicotinamide คล้ายกันมากค่อนข้างมีคุณสมบัติไม่มีขั้ว สามารถจับกับสารไม่มีขั้วเช่น C-18 ในระบบ reversed phase chromatography ได้แตกต่างกัน ข้อ 14 เฉลย ง. มะแว้งต้น เนื่องจากมะแว้งต้น ตามสาธารณสุขมูลฐานมีฤทธิ์ในการขับเสหมะ และแก้ไอ ข้อ 15 เฉลย จ. ผู้ป่วยภูมิคุ้มกันบกพร่อง ผู้สูงอายุ มีแนวโน้มทำให้เกิดการติดเชื้อชนิดนี้ได้มากขึ้น เนื่องจาก Mycobacterium tuberculosis เป็น Acid-fast bacilli มีวัคซีนที่ใช้ป้องกันการติดเชื้อคือ BCG สามารถก่อโรคได้หลายระบบเช่น ระบบประสาทส่วนกลาง กระดูก เป็นต้น Tuberculin skin test เป็น ให้เป็นวิธีที่ดีที่สุดในการตรวจสอบว่ามีการติดเชื้อชนิดนี้ ข้อ 16 เฉลย ค. Ethambutol เนื่องจาก Ethambutol มีตำแหน่ง carbon ที่เป็น Chiral center 2 ตำแหน่งซึ่งสามารถหมุน polarized light ได้ซึ่งมีค่าเฉพาะในแต่ละ isomer จึงสามารถ specific rotation ระบุเอกลักษณ์ได้ 82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17 เฉลย ข. Cystitis เนื่องจากมีอาการปัสสาวะแสบขัด มีปัจจัยเสี่ยงจากการอั้นปัสสาวะ ไม่มีอาการอื่นและปัจจัยอื่นที่เข้า ได้กับโรคติดเชื้ออื่นๆ ข้อ 18 เฉลย ข. Fluoroquinolones ได้แก่ Ciprofloxacin เนื่องจากยากลุ่ม Fluoroquinolone เช่น Ciprofloxacin มีประสิทธิภาพในการออกฤทธิ์ฆ่าเชื้อได้ กว้าง อีกทั้งถูกขับออกทางปัสสาวะได้ดีจึงสามารถที่จะรักษา Cystitis ได้ดี ข้อ 19 เฉลย ง. ยับยั้งการสังเคราะห์ DNA ของแบคทีเรีย เนื่องจากยากลุ่ม Fluoroquinolone มีกลไกในการยับยั้งการสังเคราะห์ DNA ของแบคทีเรียโดย ยับยั้งเอนไซม์ DNA gyrase และ topoisomerase ข้อ 20 เฉลย ค. ไม่รับประทานยาร่วมกับนม และผลิตภัณฑ์ที่มาจากนม เช่น โยเกิร์ต ชีส เป็นต้น เนื่องจากยาสามารถสร้างสารเชิงซ้อนกับ polyvalent cation กรณีนมและผลิตภัณฑ์นมซึ่งอุดมไป ด้วย Ca2+ ซึ่งสามารถลดการดูดซึมตัวยา Ciprofloxacin ได้ ข้อ 21 เฉลย ข. เนื่องจากยาในตัวเลือก 2 มี sulfonamide group ในโครงสร้าง ข้อ 22 เฉลย ค. เนื่องจาก lactamase sensitive - Beta คือ ยาที่มีความไวต่อเอนไซม์ Beta-lactamase และในข้อ ค เป็นโครงสร้าง lactam - Beta ที่ไม่มีหมู่ฟังก์ชันบดบัง จึงทำให้โครงสร้างนี้ถูกเอนไซม์ Beta-lactamase เข้า มาทำลายได้ ข้อ 23 เฉลย ก. A เนื่องจากข้อ ก มีโครงสร้าง N- methylthiotetrazole (NMTT) ทำให้เกิดภาวะ hypoprothromninemia และหากรับประทานร่วมกับแอลกอัอล์อาจะทำให้เกิด Disulfiram-like reaction ข้อ 24 เฉลย ข. Bacterial conjunctivitis เนื่องจากอาการเข้ากันได้กับการติดเชื้อแบคทีเรียที่ทำให้เกิดเยื่อบุตาอักเสบ คือมีอาการตาแดง มีการ ขับสารคัดหลั่งที่มีลักษณะคล้ายหนอง (purulent discharge) จำนวนมาก มีสีเขียวหรือ ขาว มักจะมีืขี้ตา จำนวนมากหลังตื่นนอนลืมตาลำบาก เป็นต้น ข้อ 25 เฉลย ค. การกดหัวตาเบาๆ อาจช่วยลดความรู้สึกขมคอภายหลังหยอดตาได้ เนื่องจากการกดหัวตาช่วยลดไม่ให้ยาไหลไปยัง lacrimal sac แล้วไปยัืง lacrimal duct ซึ่งเชื่อม ต่อไปยังบริเวณคอ ลดอาการขมได้ 83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26 เฉลย ข. ยับยั้งการสังเคราะห์โปรตีนโดยจับกับ 50S ribosomal subunit ของแบคทีเรีย เนื่องจาก Chloramphenicol มีกลไกในการยับยั้งการสังเคราะห์โดยการจับกับ 50S ribosomal subunit ข้อ 27 เฉลย ก. ก่อให้เกิดผลข้างเคียงต่อไขกระดูก สามารถทำให้เกิดภาวะ aplastic anemia ซึ่งรุนแรงถึง แก่ชีวิตได้ เนื่องจาก Chloramphenicol กดไขกระดูกซึ่งสามารถทำให้เกิดภาวะเลือดจางแบบ idiosyncratic aplastic anemia แบบผันกลับไม่ได้ ซึ่งก่อให้เกิดความรุนแรงถึงแก่ชีวิต ข้อ 28 เฉลย ข. Rhinovirus เป็นต้น แต่เชื้อที่เป็นสาเหตุได้บ่อยได้แก่ Staphylococcus, Streptococcus, Corynebacterium, Haemophilus และเชื้อไวรัสที่พบได้บ่อยเช่น Adenoviruses Enterovirus และ Coxsackie virus ข้อ 29 เฉลย ค. ฟ้าทะลายโจร เนื่องจากฟ้าทะลายโจรตามสาธารณสุขมูลฐานช่วยอาการท้องเสีย ช่วยรักษาอาการไอ เจ็บคอ ป้องกันและบรรเทาหวัด ข้อ 30 เฉลย จ. ไม่มีข้อใดถูกต้อง เนื่องจาก Amoxycillin จัดอยู่ใน pregnancy category B, Azithromycin จัดอยู่ใน pregnancy category B, Clarithromycin จัดอยู่ใน pregnancy category C และ Chloramphenicol จัดอยู่ใน pregnancy category C ข้อ 31 เฉลย จ. IPV เนื่องจาก กระทรวงสาธารณสุขได้กำหนดบริการวัคซีนพื้นฐานที่เด็กไทยทุกคนควรได้รับ โดยเน้น วัคซีนป้องกันโรคที่เป็นปัญหาสำคัญ ซึ่งในปัจจุบันประกอบด้วยวัคซีน 8 ชนิด ได้แก่ วัคซีนวัณโรค (BCG) วัคซีนตับอักเสบบี (HB) วัคซีนรวมคอตีบ-ตับอักเสบบี-ไอกรน-บาดทะยัก (DTP-HB) วัคซีนโปลิโอ (OPV) วัคซีนรวมหัด-หัดเยอรมัน-คางทูม (MMR) วัคซีนไข้สมองอักเสบเจอี (JE) วัคซีนคอตีบ-ไอกรน-บาดทะยัก (DTP) และวัคซีนคอตีบ-บาดทะยัก (dT) ข้อ 32 เฉลย ก. ไม่ให้วัคซีนเชื้อเป็นในหญิงตั้งครรภ์ เนื่องจากข้อ ข Dose ขอวัคซีนขึ้นกับอายุ ข้อ ค ส่วนประกอบในวัคซีนมีผลมากในการพิจารณาการ เชื้อเป็นอาจเพิ่มการกดภูมิคุ้มกันของผู้ป่วยและมีความเสี่ยงสูงต่อการติดเชื้อนั้น 84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33 เฉลย ก. การให้แบบ bolus injection อาจทำให้เกิด cardiotoxic effects เช่น หัวใจหยุดเต้นได้ เนื่องจากยา Quinine มีฤทธิืยับยั้งการหดตัวและการนำไฟฟ้าหัวใจ เพิ่ม refractory period สามารถ ทำให้เกิด QT prolongation ข้อ 34 เฉลย ข. Primaquine เนื่องจาก Primaquine ทำให้เกิด hemolysis ได้บ่อยและรุนแรง ห้ามใช้ในผู้ป่วย G-6-PD deficiency ข้อ 35 เฉลย ก. ยับยั้งการเกิด polymerization ของ heme ทำให้มีการสะสมของ free heme ในเม็ดเลือด แดง เนื่องจากข้อ ก ข ค ง และ จ เป็นกลไกการออกฤทธิ์ของยา Chloroquine, Atorvaquone, ยากลุ่ม Antifolates เช่น Pyrimethamine, Primaquine และยากลุ่ม Tetracyclines ตามลำดับ ข้อ 36 เฉลย ข. Quinine เนื่องจากยา Quinine ถูกเลือกใช้ร่วมยา Clindamycin ในผู้ป่วยตั้งครรภ์ในไตรมาสที่ 1 ที่เป็นโรค มาลาเรียไม่รุนแรงจากเชื้อ P. falciparum ข้อ 37 เฉลย ง. Enterobius vermicularis เนื่องจากลักษณะเด่นของพยาธิเส้นด้ายคือชอบออกมาวางไข่ในช่วงตอนกลางคืนบริเวณทวารหนัก ทำให้เกิดอาการคัน นอกจากนี้พยาธิชนิดนี้ยังทำให้มีอาการผอมเพราะแย่งสารอาหารที่รับประทานเข้าไป ข้อ 38 เฉลย ก. Albendazole เนื่องจาก Albendazole สามารถฆ่าพยาธิกลุ่มหนอนตัวกลมได้ดี ข้อ 39 เฉลย ง. เมื่อรับประทานยา Niclosamide เพื่อรักษาโรคพยาธิตัวตืดแล้ว ต้องรับประทานยาระบาย ตาม เนื่องจากยามีอาการไม่พึงประสงค์คือ ท้องผูก เนื่องจากการรับประทานยา Niclosamide เพื่อรักษาโรคพยาธิตัวตืดต้องรับประทานยาระบายตาม เพื่อถ่ายพยาธิและไข่พยาธิออกให้หมดจึงไม่มีพยาธิและไข่พยาธิค้างบริเวณลำไส้และไม่ให้กลับมาเป็นอีก ข้อ 40 เฉลย ค. Mebendazole เนื่องจากยา Mebendazole สามารถยับยั้งการสร้าง microtubule และมีผลยับยั้งการนำกลูโคสเข้า เซลล์ ทำให้พยาธิไม่สามารถเคลื่อนที่ได้และตายอย่างช้า ๆ ข้อ 41 เฉลย ก. หลีกเลี่ยงการดื่มแอลกอัอล์ระหว่างรับประทานยา เนื่องจาก metronidazole ทำให้เกิดอาการ disulfiram-like reaction เมื่อรับประทานกับ แอลกอัอล์ 85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 42 เฉลย ค. C เนื่องจากตำแหน่ง C หมู่ nitro จะสามารถเกิด Nitro-reduction ซึ่งอาศัยเอนไซม์ และกระบวนการ ซึ่งมีเฉพาะในเชื้อแบคทีเรียกลุ่ม Anaerobes และเชื้อโปรโตซัว ข้อ 43 เฉลย ก. Nitro-Reduction เนื่องจาก หมู่ nitro เกิดปฏิกิริยา Nitro-reduction ซึ่งอาศัยเอนไซม์และกระบวนการซึ่งมีเฉพาะใน เชื้อแบคทีเรียกลุ่ม Anaerobes และเชื้อโปรโตซัว ซึ่งสามารถรบกวนการสังเคราะห์ DNA ข้อ 44 เฉลย จ. ถูกต้องทั้งข้อ ข และ ง เนื่องจากต้องอาศัยกระบวนการเปลี่ยนแปลงอยู่ในรูปที่สามารถทำงานได้ซึ่งอาศัยเอนไซม์และ กระบวนการในเชื้อแบคทีเรียกลุ่ม Anaerobes และเชื้อโปรโตซัว ข้อ 45 เฉลย ค. Bone marrow suppression เนื่องจาก Metallic taste, Disulfiram-like reaction เมื่อรับประทานร่วมกับแอลกอัอล์, vertigo และ Diarrhea เป็นอาการไม่พึงประสงค์ของยา Metronidazole ข้อ 46 เฉลย ง. ค่าชีวประสิทธิผล (bioavailability) ต่ำ เนื่องจากกลุ่ม Fluoroquinolone ดูดซึมผ่านทางทางเดินอาหารได้น้อย มี bioavailability ต่ำจึง สามารถฆ่าเชื้อในทางเดินอาหารที่ก่อให้เกิดอาการท้องเสียจากการติดเชื้อแบคทีเรียได้ ข้อ 47 เฉลย ง. บริเวณ A และ B เนื่องจากโครงสร้างที่แสดงเป็นโครงสร้างของยากลุ่ม Fluoroquinolones ซึ่งมีหมู่ carbonyl ที่ ตำแหน่ง 4 และหมู่ carboxylic ที่ตำแหน่ง 3 ซึ่งมีความสำคัญในการไปเกิดอันตรกิริยากับตำแหน่งเป้าหมาย เนื่องจากปฏิกิริยา dehydration เกิดเมื่อเก็บยาไว้นานแล้วทำให้ยาถูกเปลี่ยนตัดหมู่ hydroxyl บริเวณตำแหน่ง 6 ออก ทำให้เกิดสารที่ทำให้มีพิษต่อไตเรียก Faconi-like syndrome แต่ในโครงสร้างยา Doxycycline ไม่มีหมู่ hydroxyl ที่ตำแหน่ง 6 จึงไม่เกิดปฏิกิริยานี้ ข้อ 49 เฉลย ค. Azithromycin เนื่องจากยาในกลุ่ม Macrolides มีกลไกการออกฤทธิ์ atic bacteriost โดยยับยั้งการสร้างโปรตีน โดยจับกับ s subunit ribosome 50 ของแบคทีเรีย ซึ่งได้แก่ยา Azithromycin ข้อ 50 เฉลย ข. เนื่องจากโครงสร้างในข้อที่ ก ค และ จ มีหมู่ฟังก์ชันที่ช่วยดึงอิเล็กตรอนทำให้หมู่คาร์บอนิลมีความ หนาแน่นของอิเล็กตรอนลดลงจนมีความเสถียรในสภาวะกรดจึงรับประทานได้ และโครงสร้างที่ ง อยู่ในรูป ester prodrug จึงทนต่อสภาวะกรดจึงรับประทานได้เช่นกัน 86 โรคติดเชื้อ นักศึกษาเภสัชศาสตร์รุ่น 8 มหาวิทยาลัยวลัยลักษณ์ สหพันธ์นิสิตนักศึกษาเภสัชศาสตร์แห่งประเทศไทย (สนภท.)):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5" s="2" t="n"/>
      <c r="L1215" s="2" t="inlineStr">
        <is>
          <t>General Therapeutics</t>
        </is>
      </c>
      <c r="M1215" s="2" t="inlineStr">
        <is>
          <t>Clinic</t>
        </is>
      </c>
      <c r="N1215" s="2" t="inlineStr">
        <is>
          <t>ข้อ 50 (PLE_CC1_Practice_Exam.md)</t>
        </is>
      </c>
      <c r="O1215" s="2" t="inlineStr">
        <is>
          <t>Mock</t>
        </is>
      </c>
      <c r="P1215" s="2" t="inlineStr">
        <is>
          <t>Mock สภาเภสัชฯ Practice</t>
        </is>
      </c>
    </row>
    <row r="1216" ht="13.2" customHeight="1" s="37">
      <c r="A1216" s="8" t="inlineStr">
        <is>
          <t>1237</t>
        </is>
      </c>
      <c r="B1216" s="2" t="inlineStr">
        <is>
          <t>โรคระบบต่อมไร้ท่อ และต่อมมีท่อ โดย นักศึกษาเภสัชศาสตร์รุ่น 8 มหาวิทยาลัยวลัยลักษณ์</t>
        </is>
      </c>
      <c r="C1216" s="2" t="n"/>
      <c r="D1216" s="2" t="inlineStr">
        <is>
          <t>Naloxone 0.4 mg IV stat</t>
        </is>
      </c>
      <c r="E1216" s="2" t="inlineStr">
        <is>
          <t>Flumazenil 0.2 mg IV stat</t>
        </is>
      </c>
      <c r="F1216" s="2" t="inlineStr">
        <is>
          <t>Vitamin K1 (Phytomenadione) 10 mg IV slow</t>
        </is>
      </c>
      <c r="G1216" s="2" t="inlineStr">
        <is>
          <t>Sodium thiosulfate 25% 50 mL IV</t>
        </is>
      </c>
      <c r="H1216" s="2" t="inlineStr">
        <is>
          <t>Calcium disodium EDTA 1 g IV</t>
        </is>
      </c>
      <c r="I1216" s="8" t="inlineStr">
        <is>
          <t>1</t>
        </is>
      </c>
      <c r="J12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16" s="2" t="n"/>
      <c r="L1216" s="2" t="inlineStr">
        <is>
          <t>General Therapeutics</t>
        </is>
      </c>
      <c r="M1216" s="2" t="inlineStr">
        <is>
          <t>Clinic</t>
        </is>
      </c>
      <c r="N1216" s="2" t="inlineStr">
        <is>
          <t>ข้อ 5 (PLE_CC1_Practice_Exam.md)</t>
        </is>
      </c>
      <c r="O1216" s="2" t="inlineStr">
        <is>
          <t>Mock</t>
        </is>
      </c>
      <c r="P1216" s="2" t="inlineStr">
        <is>
          <t>Mock สภาเภสัชฯ Practice</t>
        </is>
      </c>
    </row>
    <row r="1217" ht="13.2" customHeight="1" s="37">
      <c r="A1217" s="8" t="inlineStr">
        <is>
          <t>1238</t>
        </is>
      </c>
      <c r="B1217" s="2" t="inlineStr">
        <is>
          <t>จากโครงสร้างของยาในกลุ่มลดระดับน้ำตาลในเลือด ข้อใดถูกต้อง</t>
        </is>
      </c>
      <c r="C1217" s="2" t="n"/>
      <c r="D1217" s="2" t="inlineStr">
        <is>
          <t>กลไกการออกฤทธิ์ของยา คือ กระตุ้น PPAR-γ receptor ในเซลล์ไขมัน</t>
        </is>
      </c>
      <c r="E1217" s="2" t="inlineStr">
        <is>
          <t>โครงสร้างในวง B ที่ เชื่อมกับ โครงสร้างใน วง A ไม่มีความสำคัญต่อการออกฤทธิ์</t>
        </is>
      </c>
      <c r="F1217" s="2" t="inlineStr">
        <is>
          <t>ยาในกลุ่มนี้กระตุ้นการหลั่งอินซูลิน จึงไม่ทำให้เกิดภาวะน้ำตาลในเลือดต่ำ</t>
        </is>
      </c>
      <c r="G1217" s="2" t="inlineStr">
        <is>
          <t>ยาในกลุ่มนี้ไม่มีผลต่อระดับยาคุมกำเนิดในเลือด จึงไม่เสี่ยงต่อการตั้งครรภ์</t>
        </is>
      </c>
      <c r="H1217" s="2" t="inlineStr">
        <is>
          <t>ข้อ ก ข ค และ ง ถูกต้อง</t>
        </is>
      </c>
      <c r="I1217" s="8" t="inlineStr">
        <is>
          <t>1</t>
        </is>
      </c>
      <c r="J1217" s="2" t="inlineStr">
        <is>
          <t>✅ คำตอบที่ถูกต้อง: ข้อ ก. กลไกการออกฤทธิ์ของยา คือ กระตุ้น PPAR-γ receptor ในเซลล์ไขมัน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กลไกการออกฤทธิ์ของยา คือ กระตุ้น PPAR-γ receptor ในเซลล์ไขมัน การเลือก กลไกการออกฤทธิ์ของยา คือ กระตุ้น PPAR-γ receptor ในเซลล์ไขมัน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(โครงสร้างในวง B ที่ เชื่อมกับ โครงสร้างใน วง A ไม่มีความสำคัญต่อการออกฤทธิ์): ข้อนี้ไม่ใช่คำตอบที่ถูกต้องสำหรับภาวะ Diabetes &amp; Endocrine เนื่องจากกลไกการออกฤทธิ์, efficacy หรือข้อบ่งใช้ไม่ตรงกับโจทย์ที่กำหนด
• ข้อ ค. (ยาในกลุ่มนี้กระตุ้นการหลั่งอินซูลิน จึงไม่ทำให้เกิดภาวะน้ำตาลในเลือดต่ำ): ข้อนี้ไม่ใช่คำตอบที่ถูกต้องสำหรับภาวะ Diabetes &amp; Endocrine เนื่องจากกลไกการออกฤทธิ์, efficacy หรือข้อบ่งใช้ไม่ตรงกับโจทย์ที่กำหนด
• ข้อ ง. (ยาในกลุ่มนี้ไม่มีผลต่อระดับยาคุมกำเนิดในเลือด จึงไม่เสี่ยงต่อการตั้งครรภ์): ข้อนี้ไม่ใช่คำตอบที่ถูกต้องสำหรับภาวะ Diabetes &amp; Endocrine เนื่องจากกลไกการออกฤทธิ์, efficacy หรือข้อบ่งใช้ไม่ตรงกับโจทย์ที่กำหนด
• ข้อ จ. (ข้อ ก ข ค และ ง ถูกต้อง):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217" s="2" t="n"/>
      <c r="L1217" s="2" t="inlineStr">
        <is>
          <t>Diabetes &amp; Endocrine</t>
        </is>
      </c>
      <c r="M1217" s="2" t="inlineStr">
        <is>
          <t>Clinic</t>
        </is>
      </c>
      <c r="N1217" s="2" t="inlineStr">
        <is>
          <t>ข้อ 1 (PLE_CC1_Practice_Exam.md)</t>
        </is>
      </c>
      <c r="O1217" s="2" t="inlineStr">
        <is>
          <t>Mock</t>
        </is>
      </c>
      <c r="P1217" s="2" t="inlineStr">
        <is>
          <t>Mock สภาเภสัชฯ Practice</t>
        </is>
      </c>
    </row>
    <row r="1218" ht="13.2" customHeight="1" s="37">
      <c r="A1218" s="8" t="inlineStr">
        <is>
          <t>1239</t>
        </is>
      </c>
      <c r="B1218" s="2" t="inlineStr">
        <is>
          <t>ข้อใดไม่ใช่ภาวะแทรกซ้อนจากภาวะน้ำตาลในเลือดสูงหากระดับน้ำตาลยังคงสูงอยู่อย่างปัจจุบัน</t>
        </is>
      </c>
      <c r="C1218" s="2" t="n"/>
      <c r="D1218" s="2" t="inlineStr">
        <is>
          <t>Atherosclerosis</t>
        </is>
      </c>
      <c r="E1218" s="2" t="inlineStr">
        <is>
          <t>Urinary tract infection</t>
        </is>
      </c>
      <c r="F1218" s="2" t="inlineStr">
        <is>
          <t>Ketoacidosis</t>
        </is>
      </c>
      <c r="G1218" s="2" t="inlineStr">
        <is>
          <t>Lactic acidosis</t>
        </is>
      </c>
      <c r="H1218" s="2" t="inlineStr">
        <is>
          <t>Retinopathy</t>
        </is>
      </c>
      <c r="I1218" s="8" t="inlineStr">
        <is>
          <t>1</t>
        </is>
      </c>
      <c r="J1218" s="2" t="inlineStr">
        <is>
          <t>✅ คำตอบที่ถูกต้อง: ข้อ ก. Atherosclerosis
💡 Background:
การบริบาลผู้ป่วยเบาหวานชนิดที่ 2 (T2DM) เน้นควบคุม HbA1c ควบคู่กับการเลือกยาที่มี cardiorenal protection ในผู้ป่วยที่มีโรคร่วม
🎯 ทำไมข้อนี้ถึงถูก:
Atherosclerosis การเลือก Atherosclerosis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(Urinary tract infection): ข้อนี้ไม่ใช่คำตอบที่ถูกต้องสำหรับภาวะ Diabetes &amp; Endocrine เนื่องจากกลไกการออกฤทธิ์, efficacy หรือข้อบ่งใช้ไม่ตรงกับโจทย์ที่กำหนด
• ข้อ ค. (Ketoacidosis): ข้อนี้ไม่ใช่คำตอบที่ถูกต้องสำหรับภาวะ Diabetes &amp; Endocrine เนื่องจากกลไกการออกฤทธิ์, efficacy หรือข้อบ่งใช้ไม่ตรงกับโจทย์ที่กำหนด
• ข้อ ง. (Lactic acidosis): ข้อนี้ไม่ใช่คำตอบที่ถูกต้องสำหรับภาวะ Diabetes &amp; Endocrine เนื่องจากกลไกการออกฤทธิ์, efficacy หรือข้อบ่งใช้ไม่ตรงกับโจทย์ที่กำหนด
• ข้อ จ. (Retinopathy):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218" s="2" t="n"/>
      <c r="L1218" s="2" t="inlineStr">
        <is>
          <t>Diabetes &amp; Endocrine</t>
        </is>
      </c>
      <c r="M1218" s="2" t="inlineStr">
        <is>
          <t>Clinic</t>
        </is>
      </c>
      <c r="N1218" s="2" t="inlineStr">
        <is>
          <t>ข้อ 5 (PLE_CC1_Practice_Exam.md)</t>
        </is>
      </c>
      <c r="O1218" s="2" t="inlineStr">
        <is>
          <t>Mock</t>
        </is>
      </c>
      <c r="P1218" s="2" t="inlineStr">
        <is>
          <t>Mock สภาเภสัชฯ Practice</t>
        </is>
      </c>
    </row>
    <row r="1219" ht="13.2" customHeight="1" s="37">
      <c r="A1219" s="8" t="inlineStr">
        <is>
          <t>1240</t>
        </is>
      </c>
      <c r="B1219" s="2" t="inlineStr">
        <is>
          <t>ข้อใดเป็นกลไกการออกฤทธิ์ของยา ได้ถูกต้อง</t>
        </is>
      </c>
      <c r="C1219" s="2" t="n"/>
      <c r="D1219" s="2" t="inlineStr">
        <is>
          <t>กระตุ้นการสร้าง GLUT-2</t>
        </is>
      </c>
      <c r="E1219" s="2" t="inlineStr">
        <is>
          <t>กระตุ้น AMP-activated protein kinase (AMPK)</t>
        </is>
      </c>
      <c r="F1219" s="2" t="inlineStr">
        <is>
          <t>จับกับ Sulfonylurea receptor</t>
        </is>
      </c>
      <c r="G1219" s="2" t="inlineStr">
        <is>
          <t>จับกับ PPAR (peroxisome proliferator-activated receptor)</t>
        </is>
      </c>
      <c r="H1219" s="2" t="inlineStr">
        <is>
          <t>ยับยั้ง Dipeptidyl peptidase-4</t>
        </is>
      </c>
      <c r="I1219" s="8" t="inlineStr">
        <is>
          <t>1</t>
        </is>
      </c>
      <c r="J1219" s="2" t="inlineStr">
        <is>
          <t>✅ คำตอบที่ถูกต้อง: ข้อ ก. กระตุ้นการสร้าง GLUT-2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กระตุ้นการสร้าง GLUT-2 การเลือก กระตุ้นการสร้าง GLUT-2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(กระตุ้น AMP-activated protein kinase (AMPK)): ข้อนี้ไม่ใช่คำตอบที่ถูกต้องสำหรับภาวะ General Therapeutics เนื่องจากกลไกการออกฤทธิ์, efficacy หรือข้อบ่งใช้ไม่ตรงกับโจทย์ที่กำหนด
• ข้อ ค. (จับกับ Sulfonylurea receptor): ข้อนี้ไม่ใช่คำตอบที่ถูกต้องสำหรับภาวะ General Therapeutics เนื่องจากกลไกการออกฤทธิ์, efficacy หรือข้อบ่งใช้ไม่ตรงกับโจทย์ที่กำหนด
• ข้อ ง. (จับกับ PPAR (peroxisome proliferator-activated receptor)): ข้อนี้ไม่ใช่คำตอบที่ถูกต้องสำหรับภาวะ General Therapeutics เนื่องจากกลไกการออกฤทธิ์, efficacy หรือข้อบ่งใช้ไม่ตรงกับโจทย์ที่กำหนด
• ข้อ จ. (ยับยั้ง Dipeptidyl peptidase-4):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19" s="2" t="n"/>
      <c r="L1219" s="2" t="inlineStr">
        <is>
          <t>General Therapeutics</t>
        </is>
      </c>
      <c r="M1219" s="2" t="inlineStr">
        <is>
          <t>Clinic</t>
        </is>
      </c>
      <c r="N1219" s="2" t="inlineStr">
        <is>
          <t>ข้อ 7 (PLE_CC1_Practice_Exam.md)</t>
        </is>
      </c>
      <c r="O1219" s="2" t="inlineStr">
        <is>
          <t>Mock</t>
        </is>
      </c>
      <c r="P1219" s="2" t="inlineStr">
        <is>
          <t>Mock สภาเภสัชฯ Practice</t>
        </is>
      </c>
    </row>
    <row r="1220" ht="13.2" customHeight="1" s="37">
      <c r="A1220" s="8" t="inlineStr">
        <is>
          <t>1241</t>
        </is>
      </c>
      <c r="B1220" s="2" t="inlineStr">
        <is>
          <t>ควรปรับยาอย่างไรเพื่อลดระดับน้ำตาลในเลือด</t>
        </is>
      </c>
      <c r="C1220" s="2" t="n"/>
      <c r="D1220" s="2" t="inlineStr">
        <is>
          <t>ลดขนาดยา Metformin</t>
        </is>
      </c>
      <c r="E1220" s="2" t="inlineStr">
        <is>
          <t>เปลี่ยนยา Metformin เป็นยา NPH insulin</t>
        </is>
      </c>
      <c r="F1220" s="2" t="inlineStr">
        <is>
          <t>เปลี่ยนยา Metformin เป็นยา Acarbose</t>
        </is>
      </c>
      <c r="G1220" s="2" t="inlineStr">
        <is>
          <t>เปลี่ยนยา Metformin เป็นยา Glipizide</t>
        </is>
      </c>
      <c r="H1220" s="2" t="inlineStr">
        <is>
          <t>ไม่มีข้อใดถูก</t>
        </is>
      </c>
      <c r="I1220" s="8" t="inlineStr">
        <is>
          <t>1</t>
        </is>
      </c>
      <c r="J1220" s="2" t="inlineStr">
        <is>
          <t>✅ คำตอบที่ถูกต้อง: ข้อ ก. ลดขนาดยา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ลดขนาดยา Metformin การเลือก ลดขนาดยา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(เปลี่ยนยา Metformin เป็นยา NPH insulin):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(เปลี่ยนยา Metformin เป็นยา Acarbose):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(เปลี่ยนยา Metformin เป็นยา Glipizide):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20" s="2" t="n"/>
      <c r="L1220" s="2" t="inlineStr">
        <is>
          <t>Diabetes &amp; Endocrine</t>
        </is>
      </c>
      <c r="M1220" s="2" t="inlineStr">
        <is>
          <t>Clinic</t>
        </is>
      </c>
      <c r="N1220" s="2" t="inlineStr">
        <is>
          <t>ข้อ 9 (PLE_CC1_Practice_Exam.md)</t>
        </is>
      </c>
      <c r="O1220" s="2" t="inlineStr">
        <is>
          <t>Mock</t>
        </is>
      </c>
      <c r="P1220" s="2" t="inlineStr">
        <is>
          <t>Mock สภาเภสัชฯ Practice</t>
        </is>
      </c>
    </row>
    <row r="1221" ht="13.2" customHeight="1" s="37">
      <c r="A1221" s="8" t="inlineStr">
        <is>
          <t>1242</t>
        </is>
      </c>
      <c r="B1221" s="2" t="inlineStr">
        <is>
          <t>ยาที่มีโครงสร้างต่อไปนี้ไม่ทำให้เกิด side effect ใด</t>
        </is>
      </c>
      <c r="C1221" s="2" t="n"/>
      <c r="D1221" s="2" t="inlineStr">
        <is>
          <t>Cobalamin deficiency</t>
        </is>
      </c>
      <c r="E1221" s="2" t="inlineStr">
        <is>
          <t>Diarrhea</t>
        </is>
      </c>
      <c r="F1221" s="2" t="inlineStr">
        <is>
          <t>Vomiting</t>
        </is>
      </c>
      <c r="G1221" s="2" t="inlineStr">
        <is>
          <t>Lactic acidosis</t>
        </is>
      </c>
      <c r="H1221" s="2" t="inlineStr">
        <is>
          <t>Hypoglycemia 90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I1221" s="8" t="inlineStr">
        <is>
          <t>1</t>
        </is>
      </c>
      <c r="J1221" s="2" t="inlineStr">
        <is>
          <t>✅ คำตอบที่ถูกต้อง: ข้อ ก. Cobalamin deficiency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Cobalamin deficiency การเลือก Cobalamin deficiency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(Diarrhea): ข้อนี้ไม่ใช่คำตอบที่ถูกต้องสำหรับภาวะ General Therapeutics เนื่องจากกลไกการออกฤทธิ์, efficacy หรือข้อบ่งใช้ไม่ตรงกับโจทย์ที่กำหนด
• ข้อ ค. (Vomiting): ข้อนี้ไม่ใช่คำตอบที่ถูกต้องสำหรับภาวะ General Therapeutics เนื่องจากกลไกการออกฤทธิ์, efficacy หรือข้อบ่งใช้ไม่ตรงกับโจทย์ที่กำหนด
• ข้อ ง. (Lactic acidosis): ข้อนี้ไม่ใช่คำตอบที่ถูกต้องสำหรับภาวะ General Therapeutics เนื่องจากกลไกการออกฤทธิ์, efficacy หรือข้อบ่งใช้ไม่ตรงกับโจทย์ที่กำหนด
• ข้อ จ. (Hypoglycemia 90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1" s="2" t="n"/>
      <c r="L1221" s="2" t="inlineStr">
        <is>
          <t>General Therapeutics</t>
        </is>
      </c>
      <c r="M1221" s="2" t="inlineStr">
        <is>
          <t>Clinic</t>
        </is>
      </c>
      <c r="N1221" s="2" t="inlineStr">
        <is>
          <t>ข้อ 10 (PLE_CC1_Practice_Exam.md)</t>
        </is>
      </c>
      <c r="O1221" s="2" t="inlineStr">
        <is>
          <t>Mock</t>
        </is>
      </c>
      <c r="P1221" s="2" t="inlineStr">
        <is>
          <t>Mock สภาเภสัชฯ Practice</t>
        </is>
      </c>
    </row>
    <row r="1222" ht="13.2" customHeight="1" s="37">
      <c r="A1222" s="8" t="inlineStr">
        <is>
          <t>1243</t>
        </is>
      </c>
      <c r="B1222" s="2" t="inlineStr">
        <is>
          <t>จากข้อ 11. ข้อใดกล่าวไม่ถูกต้องเกี่ยวกับคำแนะนำของยาที่ผู้ป่วยได้รับ</t>
        </is>
      </c>
      <c r="C1222" s="2" t="n"/>
      <c r="D1222" s="2" t="inlineStr">
        <is>
          <t>ยา Glibenclamide ควรรับประทานก่อนอาหารประมาณ 30 นาที</t>
        </is>
      </c>
      <c r="E1222" s="2" t="inlineStr">
        <is>
          <t>ยา Aspirin ควรรับประทานหลังอาหารทันที</t>
        </is>
      </c>
      <c r="F1222" s="2" t="inlineStr">
        <is>
          <t>อาการไม่พึงประสงค์ของยาที่อาจพบสำหรับยา Glibenclamide คือ weight gain</t>
        </is>
      </c>
      <c r="G1222" s="2" t="inlineStr">
        <is>
          <t>อาการไม่พึงประสงค์ที่พบบ่อยของ Metformin ได้แก่ hypoglycemia</t>
        </is>
      </c>
      <c r="H1222" s="2" t="inlineStr">
        <is>
          <t>ไม่ควรดื่ม alcohol ร่วมกับยา Glibenclamide จงใช้ข้อมูลต่อไปนี้ตอบคำถาม ข้อ 13-14 ผู้ป่วยหญิงไทยคู่ อายุ 45 ปี น้ำหนัก 75 kg ส่วนสูง 165 cm. มาพบแพทย์เนื่องจากปัสสาวะบ่อยตอนกลางคืน ปัสสาวะมาก กระหายน้ำ แพทย์วินิจฉัยว่าผู้ป่วยเป็นโรคเบาหวาน วันนี้ผู้ป่วยมาพบแพทย์ตามนัดและแพทย์ได้ จ่ายยาเพื่อรักษา ดังนี้</t>
        </is>
      </c>
      <c r="I1222" s="8" t="inlineStr">
        <is>
          <t>1</t>
        </is>
      </c>
      <c r="J1222" s="2" t="inlineStr">
        <is>
          <t>✅ คำตอบที่ถูกต้อง: ข้อ ก. ยา Glibenclamide ควรรับประทานก่อนอาหารประมาณ 30 นาที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 Glibenclamide ควรรับประทานก่อนอาหารประมาณ 30 นาที การเลือก ยา Glibenclamide ควรรับประทานก่อนอาหารประมาณ 30 นาที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(อาการไม่พึงประสงค์ของยาที่อาจพบสำหรับยา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ง. (อาการไม่พึงประสงค์ที่พบบ่อยของ Metformin ได้แก่ hypoglycemia):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(ไม่ควรดื่ม alcohol ร่วมกับยา Glibenclamide จงใช้ข้อมูลต่อไปนี้ตอบคำถาม ข้อ 13-14 ผู้ป่วยหญิงไทยคู่ อายุ 45 ปี น้ำหนัก 75 kg ส่วนสูง 165 cm. มาพบแพทย์เนื่องจากปัสสาวะบ่อยตอนกลางคืน ปัสสาวะมาก กระหายน้ำ แพทย์วินิจฉัยว่าผู้ป่วยเป็นโรคเบาหวาน วันนี้ผู้ป่วยมาพบแพทย์ตามนัดและแพทย์ได้ จ่ายยาเพื่อรักษา ดังนี้): มี active metabolites ขับออกทางไต เสี่ยงต่อ prolonged severe hypoglycemia ในผู้สูงอายุและผู้ป่วย renal impairment จึงควรหลีกเลี่ยงตาม Beers Criteria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2" s="2" t="n"/>
      <c r="L1222" s="2" t="inlineStr">
        <is>
          <t>General Therapeutics</t>
        </is>
      </c>
      <c r="M1222" s="2" t="inlineStr">
        <is>
          <t>Clinic</t>
        </is>
      </c>
      <c r="N1222" s="2" t="inlineStr">
        <is>
          <t>ข้อ 12 (PLE_CC1_Practice_Exam.md)</t>
        </is>
      </c>
      <c r="O1222" s="2" t="inlineStr">
        <is>
          <t>Mock</t>
        </is>
      </c>
      <c r="P1222" s="2" t="inlineStr">
        <is>
          <t>Mock สภาเภสัชฯ Practice</t>
        </is>
      </c>
    </row>
    <row r="1223" ht="13.2" customHeight="1" s="37">
      <c r="A1223" s="8" t="inlineStr">
        <is>
          <t>1244</t>
        </is>
      </c>
      <c r="B1223" s="2" t="inlineStr">
        <is>
          <t>Glipizide (5) 1ข2 ac</t>
        </is>
      </c>
      <c r="C1223" s="2" t="n"/>
      <c r="D1223" s="2" t="inlineStr">
        <is>
          <t>Glipizide 5 mg OD</t>
        </is>
      </c>
      <c r="E1223" s="2" t="inlineStr">
        <is>
          <t>Empagliflozin 10 mg OD</t>
        </is>
      </c>
      <c r="F1223" s="2" t="inlineStr">
        <is>
          <t>Sitagliptin 100 mg OD</t>
        </is>
      </c>
      <c r="G1223" s="2" t="inlineStr">
        <is>
          <t>Liraglutide 1.2 mg SC OD</t>
        </is>
      </c>
      <c r="H1223" s="2" t="inlineStr">
        <is>
          <t>Levothyroxine 50 mcg OD</t>
        </is>
      </c>
      <c r="I1223" s="8" t="inlineStr">
        <is>
          <t>1</t>
        </is>
      </c>
      <c r="J1223"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23" s="2" t="n"/>
      <c r="L1223" s="2" t="inlineStr">
        <is>
          <t>Diabetes &amp; Endocrine</t>
        </is>
      </c>
      <c r="M1223" s="2" t="inlineStr">
        <is>
          <t>Clinic</t>
        </is>
      </c>
      <c r="N1223" s="2" t="inlineStr">
        <is>
          <t>ข้อ 2 (PLE_CC1_Practice_Exam.md)</t>
        </is>
      </c>
      <c r="O1223" s="2" t="inlineStr">
        <is>
          <t>Mock</t>
        </is>
      </c>
      <c r="P1223" s="2" t="inlineStr">
        <is>
          <t>Mock สภาเภสัชฯ Practice</t>
        </is>
      </c>
    </row>
    <row r="1224" ht="13.2" customHeight="1" s="37">
      <c r="A1224" s="8" t="inlineStr">
        <is>
          <t>1245</t>
        </is>
      </c>
      <c r="B1224" s="2" t="inlineStr">
        <is>
          <t>ข้อใดไม่ถูกต้องเกี่ยวกับยาที่ผู้ป่วยได้รับ</t>
        </is>
      </c>
      <c r="C1224" s="2" t="n"/>
      <c r="D1224" s="2" t="inlineStr">
        <is>
          <t>ถ้าผู้ป่วยมีประวัติเคยเกิด hypoglycemia ควรใช้ยา Glipizide</t>
        </is>
      </c>
      <c r="E1224" s="2" t="inlineStr">
        <is>
          <t>ผู้ป่วยโรคไตวายเรื้อรังสามารถใช้ยา Glipizide ได้ 91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F1224" s="2" t="inlineStr">
        <is>
          <t>ขนาดยา Metformin ที่ผู้ป่วยรายนี้ได้รับ อยู่ในระดับ max dose แล้ว</t>
        </is>
      </c>
      <c r="G1224" s="2" t="inlineStr">
        <is>
          <t>Metformin สามารถใช้ได้ในหญิงตั้งครรภ์</t>
        </is>
      </c>
      <c r="H1224" s="2" t="inlineStr">
        <is>
          <t>หากผู้ป่วยไตบกพร่อง ใช้ยา Metformin จะเกิดภาวะ lactic acidosis ได้</t>
        </is>
      </c>
      <c r="I1224" s="8" t="inlineStr">
        <is>
          <t>1</t>
        </is>
      </c>
      <c r="J1224" s="2" t="inlineStr">
        <is>
          <t>✅ คำตอบที่ถูกต้อง: ข้อ ก. ถ้าผู้ป่วยมีประวัติเคยเกิด hypoglycemia ควรใช้ยา Glipizide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ถ้าผู้ป่วยมีประวัติเคยเกิด hypoglycemia ควรใช้ยา Glipizide การเลือก ถ้าผู้ป่วยมีประวัติเคยเกิด hypoglycemia ควรใช้ยา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(ผู้ป่วยโรคไตวายเรื้อรังสามารถใช้ยา Glipizide ได้ 91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เป็น Second-generation Sulfonylurea กระตุ้น insulin secretion เสี่ยงต่อ hypoglycemia และ weight gain ขับออกทางตับเด่นกว่า glibenclamide จึงปลอดภัยกว่าในผู้สูงอายุ/CKD
• ข้อ ค. (ขนาดยา Metformin ที่ผู้ป่วยรายนี้ได้รับ อยู่ในระดับ max dose แล้ว):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สามารถใช้ได้ในหญิงตั้งครรภ์):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(หากผู้ป่วยไตบกพร่อง ใช้ยา Metformin จะเกิดภาวะ lactic acidosis ได้):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24" s="2" t="n"/>
      <c r="L1224" s="2" t="inlineStr">
        <is>
          <t>General Therapeutics</t>
        </is>
      </c>
      <c r="M1224" s="2" t="inlineStr">
        <is>
          <t>Clinic</t>
        </is>
      </c>
      <c r="N1224" s="2" t="inlineStr">
        <is>
          <t>ข้อ 13 (PLE_CC1_Practice_Exam.md)</t>
        </is>
      </c>
      <c r="O1224" s="2" t="inlineStr">
        <is>
          <t>Mock</t>
        </is>
      </c>
      <c r="P1224" s="2" t="inlineStr">
        <is>
          <t>Mock สภาเภสัชฯ Practice</t>
        </is>
      </c>
    </row>
    <row r="1225" ht="13.2" customHeight="1" s="37">
      <c r="A1225" s="8" t="inlineStr">
        <is>
          <t>1246</t>
        </is>
      </c>
      <c r="B1225" s="2" t="inlineStr">
        <is>
          <t>ข้อใดถูกต้อง หากผู้ป่วยใช้ยาดังกล่าวแล้วยังควบคุมระดับน้ำตาลไม่ได้</t>
        </is>
      </c>
      <c r="C1225" s="2" t="n"/>
      <c r="D1225" s="2" t="inlineStr">
        <is>
          <t>เพิ่มขนาดยา Metformin เป็น Metformin tablet 2ข3 ac</t>
        </is>
      </c>
      <c r="E1225" s="2" t="inlineStr">
        <is>
          <t>เพิ่มขนาดยา Glipizide เป็น Glipizide (5) 1ข3 ac</t>
        </is>
      </c>
      <c r="F1225" s="2" t="inlineStr">
        <is>
          <t>เปลี่ยนยา Glipizide เป็น NPH insulin</t>
        </is>
      </c>
      <c r="G1225" s="2" t="inlineStr">
        <is>
          <t>เพิ่มยา NPH insulin</t>
        </is>
      </c>
      <c r="H1225" s="2" t="inlineStr">
        <is>
          <t>เพิ่มยา Pre-mixed insulin (70% NPH/30% Regular)</t>
        </is>
      </c>
      <c r="I1225" s="8" t="inlineStr">
        <is>
          <t>1</t>
        </is>
      </c>
      <c r="J1225" s="2" t="inlineStr">
        <is>
          <t>✅ คำตอบที่ถูกต้อง: ข้อ ก. เพิ่มขนาดยา Metformin เป็น Metformin tablet 2ข3 ac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เพิ่มขนาดยา Metformin เป็น Metformin tablet 2ข3 ac การเลือก เพิ่มขนาดยา Metformin เป็น Metformin tablet 2ข3 ac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(เพิ่มขนาดยา Glipizide เป็น Glipizide (5) 1ข3 ac): เป็น Second-generation Sulfonylurea กระตุ้น insulin secretion เสี่ยงต่อ hypoglycemia และ weight gain ขับออกทางตับเด่นกว่า glibenclamide จึงปลอดภัยกว่าในผู้สูงอายุ/CKD
• ข้อ ค. (เปลี่ยนยา Glipizide เป็น NPH insulin): เป็น Second-generation Sulfonylurea กระตุ้น insulin secretion เสี่ยงต่อ hypoglycemia และ weight gain ขับออกทางตับเด่นกว่า glibenclamide จึงปลอดภัยกว่าในผู้สูงอายุ/CKD
• ข้อ ง. (เพิ่มยา NPH insulin): ข้อนี้ไม่ใช่คำตอบที่ถูกต้องสำหรับภาวะ General Therapeutics เนื่องจากกลไกการออกฤทธิ์, efficacy หรือข้อบ่งใช้ไม่ตรงกับโจทย์ที่กำหนด
• ข้อ จ. (เพิ่มยา Pre-mixed insulin (70% NPH/30% Regular)):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25" s="2" t="n"/>
      <c r="L1225" s="2" t="inlineStr">
        <is>
          <t>General Therapeutics</t>
        </is>
      </c>
      <c r="M1225" s="2" t="inlineStr">
        <is>
          <t>Clinic</t>
        </is>
      </c>
      <c r="N1225" s="2" t="inlineStr">
        <is>
          <t>ข้อ 14 (PLE_CC1_Practice_Exam.md)</t>
        </is>
      </c>
      <c r="O1225" s="2" t="inlineStr">
        <is>
          <t>Mock</t>
        </is>
      </c>
      <c r="P1225" s="2" t="inlineStr">
        <is>
          <t>Mock สภาเภสัชฯ Practice</t>
        </is>
      </c>
    </row>
    <row r="1226" ht="13.2" customHeight="1" s="37">
      <c r="A1226" s="8" t="inlineStr">
        <is>
          <t>1247</t>
        </is>
      </c>
      <c r="B1226" s="2" t="inlineStr">
        <is>
          <t>ข้อใดต่อไปนี้ ผิด</t>
        </is>
      </c>
      <c r="C1226" s="2" t="n"/>
      <c r="D1226" s="2" t="inlineStr">
        <is>
          <t>ผู้ป่วยรายนี้มีระดับ TSH ต่ำกว่าปกติ เนื่องจากผลของัอร์โมน hCG</t>
        </is>
      </c>
      <c r="E1226" s="2" t="inlineStr">
        <is>
          <t>ผู้ป่วยรายนี้มี Free thyroxin index (FTI) เพิ่มขึ้น เนื่องจาก TBG เปลี่ยนแปลงไป</t>
        </is>
      </c>
      <c r="F1226" s="2" t="inlineStr">
        <is>
          <t>TBG ที่เพิ่มมากขึ้น ทำให้ระดับ total T3,T4 เพิ่มขึ้น</t>
        </is>
      </c>
      <c r="G1226" s="2" t="inlineStr">
        <is>
          <t>T4 สามารถผ่านรกได้ แต่ T3 ไม่ผ่านรก</t>
        </is>
      </c>
      <c r="H1226" s="2" t="inlineStr">
        <is>
          <t>Atropine sulfate 2 mg IV Q5-10 min</t>
        </is>
      </c>
      <c r="I1226" s="8" t="inlineStr">
        <is>
          <t>1</t>
        </is>
      </c>
      <c r="J1226" s="2" t="inlineStr">
        <is>
          <t>✅ คำตอบที่ถูกต้อง: ข้อ ก. ผู้ป่วยรายนี้มีระดับ TSH ต่ำกว่าปกติ เนื่องจากผลของัอร์โมน hCG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ผู้ป่วยรายนี้มีระดับ TSH ต่ำกว่าปกติ เนื่องจากผลของัอร์โมน hCG การเลือก ผู้ป่วยรายนี้มีระดับ TSH ต่ำกว่าปกติ เนื่องจากผลของัอร์โมน hCG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(ผู้ป่วยรายนี้มี Free thyroxin index (FTI) เพิ่มขึ้น เนื่องจาก TBG เปลี่ยนแปลงไป): ข้อนี้ไม่ใช่คำตอบที่ถูกต้องสำหรับภาวะ General Therapeutics เนื่องจากกลไกการออกฤทธิ์, efficacy หรือข้อบ่งใช้ไม่ตรงกับโจทย์ที่กำหนด
• ข้อ ค. (TBG ที่เพิ่มมากขึ้น ทำให้ระดับ total T3,T4 เพิ่มขึ้น): ข้อนี้ไม่ใช่คำตอบที่ถูกต้องสำหรับภาวะ General Therapeutics เนื่องจากกลไกการออกฤทธิ์, efficacy หรือข้อบ่งใช้ไม่ตรงกับโจทย์ที่กำหนด
• ข้อ ง. (T4 สามารถผ่านรกได้ แต่ T3 ไม่ผ่านรก):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6" s="2" t="n"/>
      <c r="L1226" s="2" t="inlineStr">
        <is>
          <t>General Therapeutics</t>
        </is>
      </c>
      <c r="M1226" s="2" t="inlineStr">
        <is>
          <t>Clinic</t>
        </is>
      </c>
      <c r="N1226" s="2" t="inlineStr">
        <is>
          <t>ข้อ 17 (PLE_CC1_Practice_Exam.md)</t>
        </is>
      </c>
      <c r="O1226" s="2" t="inlineStr">
        <is>
          <t>Mock</t>
        </is>
      </c>
      <c r="P1226" s="2" t="inlineStr">
        <is>
          <t>Mock สภาเภสัชฯ Practice</t>
        </is>
      </c>
    </row>
    <row r="1227" ht="13.2" customHeight="1" s="37">
      <c r="A1227" s="8" t="inlineStr">
        <is>
          <t>1248</t>
        </is>
      </c>
      <c r="B1227" s="2" t="inlineStr">
        <is>
          <t>ยาใดต่อไปนี้เหมาะสมในการรักษาผู้ป่วยรายนี้ที่สุด</t>
        </is>
      </c>
      <c r="C1227" s="2" t="n"/>
      <c r="D1227" s="2" t="inlineStr">
        <is>
          <t>Methimazole</t>
        </is>
      </c>
      <c r="E1227" s="2" t="inlineStr">
        <is>
          <t>Levothyroxine</t>
        </is>
      </c>
      <c r="F1227" s="2" t="inlineStr">
        <is>
          <t>Propylthiouracil</t>
        </is>
      </c>
      <c r="G1227" s="2" t="inlineStr">
        <is>
          <t>Sodium Iodide 131</t>
        </is>
      </c>
      <c r="H1227" s="2" t="inlineStr">
        <is>
          <t>Amiodarone</t>
        </is>
      </c>
      <c r="I1227" s="8" t="inlineStr">
        <is>
          <t>1</t>
        </is>
      </c>
      <c r="J1227" s="2" t="inlineStr">
        <is>
          <t>✅ คำตอบที่ถูกต้อง: ข้อ ก. Methimazole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Methimazole การเลือก Methimazole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(Levothyroxine):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(Sodium Iodide 131): ข้อนี้ไม่ใช่คำตอบที่ถูกต้องสำหรับภาวะ General Therapeutics เนื่องจากกลไกการออกฤทธิ์, efficacy หรือข้อบ่งใช้ไม่ตรงกับโจทย์ที่กำหนด
• ข้อ จ. (Amiodarone): เป็น Class III antiarrhythmic มี half-life ยาวนาน (~2 เดือน) มี ADRs ต่อหลายอวัยวะ: pulmonary fibrosis, thyroid dysfunction (hypo/hyper), corneal microdeposits, hepatotoxicity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227" s="2" t="n"/>
      <c r="L1227" s="2" t="inlineStr">
        <is>
          <t>General Therapeutics</t>
        </is>
      </c>
      <c r="M1227" s="2" t="inlineStr">
        <is>
          <t>Clinic</t>
        </is>
      </c>
      <c r="N1227" s="2" t="inlineStr">
        <is>
          <t>ข้อ 18 (PLE_CC1_Practice_Exam.md)</t>
        </is>
      </c>
      <c r="O1227" s="2" t="inlineStr">
        <is>
          <t>Mock</t>
        </is>
      </c>
      <c r="P1227" s="2" t="inlineStr">
        <is>
          <t>Mock สภาเภสัชฯ Practice</t>
        </is>
      </c>
    </row>
    <row r="1228" ht="13.2" customHeight="1" s="37">
      <c r="A1228" s="8" t="inlineStr">
        <is>
          <t>1249</t>
        </is>
      </c>
      <c r="B1228" s="2" t="inlineStr">
        <is>
          <t>จากข้อ 18 ยาที่เหมาะสมในการรักษาผู้ป่วยรายนี้ที่สุด ข้อใดคือโครงสร้างของยาดังกล่าว</t>
        </is>
      </c>
      <c r="C1228" s="2" t="n"/>
      <c r="D1228" s="2" t="inlineStr">
        <is>
          <t>Naloxone 0.4 mg IV stat</t>
        </is>
      </c>
      <c r="E1228" s="2" t="inlineStr">
        <is>
          <t>Flumazenil 0.2 mg IV stat</t>
        </is>
      </c>
      <c r="F1228" s="2" t="inlineStr">
        <is>
          <t>Vitamin K1 (Phytomenadione) 10 mg IV slow</t>
        </is>
      </c>
      <c r="G1228" s="2" t="inlineStr">
        <is>
          <t>93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H1228" s="2" t="inlineStr">
        <is>
          <t>Calcium disodium EDTA 1 g IV</t>
        </is>
      </c>
      <c r="I1228" s="8" t="inlineStr">
        <is>
          <t>1</t>
        </is>
      </c>
      <c r="J12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(93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28" s="2" t="n"/>
      <c r="L1228" s="2" t="inlineStr">
        <is>
          <t>General Therapeutics</t>
        </is>
      </c>
      <c r="M1228" s="2" t="inlineStr">
        <is>
          <t>Clinic</t>
        </is>
      </c>
      <c r="N1228" s="2" t="inlineStr">
        <is>
          <t>ข้อ 19 (PLE_CC1_Practice_Exam.md)</t>
        </is>
      </c>
      <c r="O1228" s="2" t="inlineStr">
        <is>
          <t>Mock</t>
        </is>
      </c>
      <c r="P1228" s="2" t="inlineStr">
        <is>
          <t>Mock สภาเภสัชฯ Practice</t>
        </is>
      </c>
    </row>
    <row r="1229" ht="13.2" customHeight="1" s="37">
      <c r="A1229" s="8" t="inlineStr">
        <is>
          <t>1250</t>
        </is>
      </c>
      <c r="B1229" s="2" t="inlineStr">
        <is>
          <t>จากข้อ 18 ยาที่เหมาะสมในการรักษาผู้ป่วยรายนี้ที่สุด หากผู้ป่วยมีอาการไข้ เหงือกอักเสบ เจ็บคอ จาก การใช้ยานี้ สันนิษฐานว่าเกิดจากสาเหตุใดมากที่สุด</t>
        </is>
      </c>
      <c r="C1229" s="2" t="n"/>
      <c r="D1229" s="2" t="inlineStr">
        <is>
          <t>Hypersensitivity reaction</t>
        </is>
      </c>
      <c r="E1229" s="2" t="inlineStr">
        <is>
          <t>Gynecomastic</t>
        </is>
      </c>
      <c r="F1229" s="2" t="inlineStr">
        <is>
          <t>Agranulocytosis</t>
        </is>
      </c>
      <c r="G1229" s="2" t="inlineStr">
        <is>
          <t>Aplastic anemia</t>
        </is>
      </c>
      <c r="H1229" s="2" t="inlineStr">
        <is>
          <t>ไม่มีข้อถูก</t>
        </is>
      </c>
      <c r="I1229" s="8" t="inlineStr">
        <is>
          <t>1</t>
        </is>
      </c>
      <c r="J1229" s="2" t="inlineStr">
        <is>
          <t>✅ คำตอบที่ถูกต้อง: ข้อ ก. Hypersensitivity reaction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Hypersensitivity reaction การเลือก Hypersensitivity reaction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(Gynecomastic): ข้อนี้ไม่ใช่คำตอบที่ถูกต้องสำหรับภาวะ General Therapeutics เนื่องจากกลไกการออกฤทธิ์, efficacy หรือข้อบ่งใช้ไม่ตรงกับโจทย์ที่กำหนด
• ข้อ ค. (Agranulocytosis): ข้อนี้ไม่ใช่คำตอบที่ถูกต้องสำหรับภาวะ General Therapeutics เนื่องจากกลไกการออกฤทธิ์, efficacy หรือข้อบ่งใช้ไม่ตรงกับโจทย์ที่กำหนด
• ข้อ ง. (Aplastic anemia):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(ไม่มีข้อถูก):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9" s="2" t="n"/>
      <c r="L1229" s="2" t="inlineStr">
        <is>
          <t>General Therapeutics</t>
        </is>
      </c>
      <c r="M1229" s="2" t="inlineStr">
        <is>
          <t>Clinic</t>
        </is>
      </c>
      <c r="N1229" s="2" t="inlineStr">
        <is>
          <t>ข้อ 20 (PLE_CC1_Practice_Exam.md)</t>
        </is>
      </c>
      <c r="O1229" s="2" t="inlineStr">
        <is>
          <t>Mock</t>
        </is>
      </c>
      <c r="P1229" s="2" t="inlineStr">
        <is>
          <t>Mock สภาเภสัชฯ Practice</t>
        </is>
      </c>
    </row>
    <row r="1230" ht="13.2" customHeight="1" s="37">
      <c r="A1230" s="8" t="inlineStr">
        <is>
          <t>1251</t>
        </is>
      </c>
      <c r="B1230" s="2" t="inlineStr">
        <is>
          <t>ผู้ป่วยรายนี้ป่วยเป็นอะไร</t>
        </is>
      </c>
      <c r="C1230" s="2" t="n"/>
      <c r="D1230" s="2" t="inlineStr">
        <is>
          <t>ขาดไอโอดีน</t>
        </is>
      </c>
      <c r="E1230" s="2" t="inlineStr">
        <is>
          <t>กล่องเสียงอักเสบ</t>
        </is>
      </c>
      <c r="F1230" s="2" t="inlineStr">
        <is>
          <t>หลอดลมอักเสบ</t>
        </is>
      </c>
      <c r="G1230" s="2" t="inlineStr">
        <is>
          <t>ไทรอยด์</t>
        </is>
      </c>
      <c r="H1230" s="2" t="inlineStr">
        <is>
          <t>Stroke</t>
        </is>
      </c>
      <c r="I1230" s="8" t="inlineStr">
        <is>
          <t>1</t>
        </is>
      </c>
      <c r="J1230" s="2" t="inlineStr">
        <is>
          <t>✅ คำตอบที่ถูกต้อง: ข้อ ก. ขาดไอโอดีน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ขาดไอโอดีน การเลือก ขาดไอโอดีน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(กล่องเสียงอักเสบ): ข้อนี้ไม่ใช่คำตอบที่ถูกต้องสำหรับภาวะ General Therapeutics เนื่องจากกลไกการออกฤทธิ์, efficacy หรือข้อบ่งใช้ไม่ตรงกับโจทย์ที่กำหนด
• ข้อ ค. (หลอดลมอักเสบ): ข้อนี้ไม่ใช่คำตอบที่ถูกต้องสำหรับภาวะ General Therapeutics เนื่องจากกลไกการออกฤทธิ์, efficacy หรือข้อบ่งใช้ไม่ตรงกับโจทย์ที่กำหนด
• ข้อ ง. (ไทรอยด์): ข้อนี้ไม่ใช่คำตอบที่ถูกต้องสำหรับภาวะ General Therapeutics เนื่องจากกลไกการออกฤทธิ์, efficacy หรือข้อบ่งใช้ไม่ตรงกับโจทย์ที่กำหนด
• ข้อ จ. (Stroke):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0" s="2" t="n"/>
      <c r="L1230" s="2" t="inlineStr">
        <is>
          <t>General Therapeutics</t>
        </is>
      </c>
      <c r="M1230" s="2" t="inlineStr">
        <is>
          <t>Clinic</t>
        </is>
      </c>
      <c r="N1230" s="2" t="inlineStr">
        <is>
          <t>ข้อ 29 (PLE_CC1_Practice_Exam.md)</t>
        </is>
      </c>
      <c r="O1230" s="2" t="inlineStr">
        <is>
          <t>Mock</t>
        </is>
      </c>
      <c r="P1230" s="2" t="inlineStr">
        <is>
          <t>Mock สภาเภสัชฯ Practice</t>
        </is>
      </c>
    </row>
    <row r="1231" ht="13.2" customHeight="1" s="37">
      <c r="A1231" s="8" t="inlineStr">
        <is>
          <t>1252</t>
        </is>
      </c>
      <c r="B1231" s="2" t="inlineStr">
        <is>
          <t>ข้อใดไม่ใช่เกณฑ์ในการวินิจฉัยโรค Metabolic syndrome</t>
        </is>
      </c>
      <c r="C1231" s="2" t="n"/>
      <c r="D1231" s="2" t="inlineStr">
        <is>
          <t>เส้นรอบเอว ≥90 ซม. ในผู้ชาย หรือ ≥80 ซม. ในผู้หญิง</t>
        </is>
      </c>
      <c r="E1231" s="2" t="inlineStr">
        <is>
          <t>ระดับไตรกลีเซอไรด์ในเลือด ≥ 150 มก./ดล.</t>
        </is>
      </c>
      <c r="F1231" s="2" t="inlineStr">
        <is>
          <t>ระดับเอชดีแอลคอเลสเตอรอล &lt; 50 มก./ดล.ในผู้ชาย หรือ &lt; 40 มก./ดล.ในผ้ืหญิง</t>
        </is>
      </c>
      <c r="G1231" s="2" t="inlineStr">
        <is>
          <t>ความดันโลหิต ≥ 130/85 มม.ปรอท หรืออยู่ระหว่างการรับประทานยาลดความดันโลหิต</t>
        </is>
      </c>
      <c r="H1231" s="2" t="inlineStr">
        <is>
          <t>ระดับน้ำตาลขณะอดอาหาร ≥ 100 มก./ดล.</t>
        </is>
      </c>
      <c r="I1231" s="8" t="inlineStr">
        <is>
          <t>1</t>
        </is>
      </c>
      <c r="J1231" s="2" t="inlineStr">
        <is>
          <t>✅ คำตอบที่ถูกต้อง: ข้อ ก. เส้นรอบเอว ≥90 ซม. ในผู้ชาย หรือ ≥80 ซม. ในผู้หญิง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เส้นรอบเอว ≥90 ซม. ในผู้ชาย หรือ ≥80 ซม. ในผู้หญิง การเลือก เส้นรอบเอว ≥90 ซม. ในผู้ชาย หรือ ≥80 ซม. ในผู้หญิง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(ระดับไตรกลีเซอไรด์ในเลือด ≥ 150 มก./ดล.): ข้อนี้ไม่ใช่คำตอบที่ถูกต้องสำหรับภาวะ General Therapeutics เนื่องจากกลไกการออกฤทธิ์, efficacy หรือข้อบ่งใช้ไม่ตรงกับโจทย์ที่กำหนด
• ข้อ ค. (ระดับเอชดีแอลคอเลสเตอรอล &lt; 50 มก./ดล.ในผู้ชาย หรือ &lt; 40 มก./ดล.ในผ้ืหญิง): ข้อนี้ไม่ใช่คำตอบที่ถูกต้องสำหรับภาวะ General Therapeutics เนื่องจากกลไกการออกฤทธิ์, efficacy หรือข้อบ่งใช้ไม่ตรงกับโจทย์ที่กำหนด
• ข้อ ง. (ความดันโลหิต ≥ 130/85 มม.ปรอท หรืออยู่ระหว่างการรับประทานยาลดความดันโลหิต): ข้อนี้ไม่ใช่คำตอบที่ถูกต้องสำหรับภาวะ General Therapeutics เนื่องจากกลไกการออกฤทธิ์, efficacy หรือข้อบ่งใช้ไม่ตรงกับโจทย์ที่กำหนด
• ข้อ จ. (ระดับน้ำตาลขณะอดอาหาร ≥ 100 มก./ดล.):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1" s="2" t="n"/>
      <c r="L1231" s="2" t="inlineStr">
        <is>
          <t>General Therapeutics</t>
        </is>
      </c>
      <c r="M1231" s="2" t="inlineStr">
        <is>
          <t>Clinic</t>
        </is>
      </c>
      <c r="N1231" s="2" t="inlineStr">
        <is>
          <t>ข้อ 34 (PLE_CC1_Practice_Exam.md)</t>
        </is>
      </c>
      <c r="O1231" s="2" t="inlineStr">
        <is>
          <t>Mock</t>
        </is>
      </c>
      <c r="P1231" s="2" t="inlineStr">
        <is>
          <t>Mock สภาเภสัชฯ Practice</t>
        </is>
      </c>
    </row>
    <row r="1232" ht="13.2" customHeight="1" s="37">
      <c r="A1232" s="8" t="inlineStr">
        <is>
          <t>1253</t>
        </is>
      </c>
      <c r="B1232" s="2" t="inlineStr">
        <is>
          <t>ยาใดเหมาะสมที่สุดที่จะจ่ายให้กับผู้ป่วยรายนี้</t>
        </is>
      </c>
      <c r="C1232" s="2" t="n"/>
      <c r="D1232" s="2" t="inlineStr">
        <is>
          <t>Lorcaserin</t>
        </is>
      </c>
      <c r="E1232" s="2" t="inlineStr">
        <is>
          <t>Diethylpropion</t>
        </is>
      </c>
      <c r="F1232" s="2" t="inlineStr">
        <is>
          <t>Phendimetrazine</t>
        </is>
      </c>
      <c r="G1232" s="2" t="inlineStr">
        <is>
          <t>Orlistat</t>
        </is>
      </c>
      <c r="H1232" s="2" t="inlineStr">
        <is>
          <t>Phentermine 97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t>
        </is>
      </c>
      <c r="I1232" s="8" t="inlineStr">
        <is>
          <t>1</t>
        </is>
      </c>
      <c r="J1232" s="2" t="inlineStr">
        <is>
          <t>✅ คำตอบที่ถูกต้อง: ข้อ ก. Lorcaserin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Lorcaserin การเลือก Lorcaserin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(Diethylpropion): ข้อนี้ไม่ใช่คำตอบที่ถูกต้องสำหรับภาวะ General Therapeutics เนื่องจากกลไกการออกฤทธิ์, efficacy หรือข้อบ่งใช้ไม่ตรงกับโจทย์ที่กำหนด
• ข้อ ค. (Phendimetrazine): ข้อนี้ไม่ใช่คำตอบที่ถูกต้องสำหรับภาวะ General Therapeutics เนื่องจากกลไกการออกฤทธิ์, efficacy หรือข้อบ่งใช้ไม่ตรงกับโจทย์ที่กำหนด
• ข้อ ง. (Orlistat): ข้อนี้ไม่ใช่คำตอบที่ถูกต้องสำหรับภาวะ General Therapeutics เนื่องจากกลไกการออกฤทธิ์, efficacy หรือข้อบ่งใช้ไม่ตรงกับโจทย์ที่กำหนด
• ข้อ จ. (Phentermine 97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2" s="2" t="n"/>
      <c r="L1232" s="2" t="inlineStr">
        <is>
          <t>General Therapeutics</t>
        </is>
      </c>
      <c r="M1232" s="2" t="inlineStr">
        <is>
          <t>Clinic</t>
        </is>
      </c>
      <c r="N1232" s="2" t="inlineStr">
        <is>
          <t>ข้อ 35 (PLE_CC1_Practice_Exam.md)</t>
        </is>
      </c>
      <c r="O1232" s="2" t="inlineStr">
        <is>
          <t>Mock</t>
        </is>
      </c>
      <c r="P1232" s="2" t="inlineStr">
        <is>
          <t>Mock สภาเภสัชฯ Practice</t>
        </is>
      </c>
    </row>
    <row r="1233" ht="13.2" customHeight="1" s="37">
      <c r="A1233" s="8" t="inlineStr">
        <is>
          <t>1254</t>
        </is>
      </c>
      <c r="B1233" s="2" t="inlineStr">
        <is>
          <t>กลไกของยาที่เลือกให้ผู้ป่วยรายนี้คือข้อใด</t>
        </is>
      </c>
      <c r="C1233" s="2" t="n"/>
      <c r="D1233" s="2" t="inlineStr">
        <is>
          <t>ยับยั้ง norepinephrine และ serotonin reuptake</t>
        </is>
      </c>
      <c r="E1233" s="2" t="inlineStr">
        <is>
          <t>ออกฤทธิ์ผ่าน catecholamine pathways โดยกระตุ้น central &amp; sympathetic nerve</t>
        </is>
      </c>
      <c r="F1233" s="2" t="inlineStr">
        <is>
          <t>ออกฤทธิ์ผ่าน serotonin pathway โดยไม่มีการกระตุ้นcentral &amp; sympathetic nerve</t>
        </is>
      </c>
      <c r="G1233" s="2" t="inlineStr">
        <is>
          <t>เป็น pancreatic lipase inhibitor ออกฤทธิ์ยับยั้งการดูดซึมไขมันที่ลำไส้</t>
        </is>
      </c>
      <c r="H1233" s="2" t="inlineStr">
        <is>
          <t>กระตุ้นให้มีการเผาผลาญพลังงาน</t>
        </is>
      </c>
      <c r="I1233" s="8" t="inlineStr">
        <is>
          <t>1</t>
        </is>
      </c>
      <c r="J1233" s="2" t="inlineStr">
        <is>
          <t>✅ คำตอบที่ถูกต้อง: ข้อ ก. ยับยั้ง norepinephrine และ serotonin reuptake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norepinephrine และ serotonin reuptake การเลือก ยับยั้ง norepinephrine และ serotonin reuptake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(ออกฤทธิ์ผ่าน catecholamine pathways โดยกระตุ้น central &amp; sympathetic nerve): ข้อนี้ไม่ใช่คำตอบที่ถูกต้องสำหรับภาวะ General Therapeutics เนื่องจากกลไกการออกฤทธิ์, efficacy หรือข้อบ่งใช้ไม่ตรงกับโจทย์ที่กำหนด
• ข้อ ค. (ออกฤทธิ์ผ่าน serotonin pathway โดยไม่มีการกระตุ้นcentral &amp; sympathetic nerve): ข้อนี้ไม่ใช่คำตอบที่ถูกต้องสำหรับภาวะ General Therapeutics เนื่องจากกลไกการออกฤทธิ์, efficacy หรือข้อบ่งใช้ไม่ตรงกับโจทย์ที่กำหนด
• ข้อ ง. (เป็น pancreatic lipase inhibitor ออกฤทธิ์ยับยั้งการดูดซึมไขมันที่ลำไส้): ข้อนี้ไม่ใช่คำตอบที่ถูกต้องสำหรับภาวะ General Therapeutics เนื่องจากกลไกการออกฤทธิ์, efficacy หรือข้อบ่งใช้ไม่ตรงกับโจทย์ที่กำหนด
• ข้อ จ. (กระตุ้นให้มีการเผาผลาญพลังงาน):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3" s="2" t="n"/>
      <c r="L1233" s="2" t="inlineStr">
        <is>
          <t>General Therapeutics</t>
        </is>
      </c>
      <c r="M1233" s="2" t="inlineStr">
        <is>
          <t>Clinic</t>
        </is>
      </c>
      <c r="N1233" s="2" t="inlineStr">
        <is>
          <t>ข้อ 36 (PLE_CC1_Practice_Exam.md)</t>
        </is>
      </c>
      <c r="O1233" s="2" t="inlineStr">
        <is>
          <t>Mock</t>
        </is>
      </c>
      <c r="P1233" s="2" t="inlineStr">
        <is>
          <t>Mock สภาเภสัชฯ Practice</t>
        </is>
      </c>
    </row>
    <row r="1234" ht="13.2" customHeight="1" s="37">
      <c r="A1234" s="8" t="inlineStr">
        <is>
          <t>1255</t>
        </is>
      </c>
      <c r="B1234" s="2" t="inlineStr">
        <is>
          <t>จากคำตอบในข้อ 35. ข้อใดไม่ใช่ Adverse drug reaction (ADR) ที่อาจเกิดขึ้นได้จากยาดังกล่าว</t>
        </is>
      </c>
      <c r="C1234" s="2" t="n"/>
      <c r="D1234" s="2" t="inlineStr">
        <is>
          <t>ปวดศีรษะ</t>
        </is>
      </c>
      <c r="E1234" s="2" t="inlineStr">
        <is>
          <t>มีไขมันหยดปนอุจจาระ</t>
        </is>
      </c>
      <c r="F1234" s="2" t="inlineStr">
        <is>
          <t>ปวดท้อง ไม่สบายท้อง</t>
        </is>
      </c>
      <c r="G1234" s="2" t="inlineStr">
        <is>
          <t>กลั้นอุจจาระไม่ได้</t>
        </is>
      </c>
      <c r="H1234" s="2" t="inlineStr">
        <is>
          <t>เป็นพิษต่อตับ</t>
        </is>
      </c>
      <c r="I1234" s="8" t="inlineStr">
        <is>
          <t>1</t>
        </is>
      </c>
      <c r="J1234" s="2" t="inlineStr">
        <is>
          <t>✅ คำตอบที่ถูกต้อง: ข้อ ก. ปวดศีรษะ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ปวดศีรษะ การเลือก ปวดศีรษะ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(มีไขมันหยดปนอุจจาระ): ข้อนี้ไม่ใช่คำตอบที่ถูกต้องสำหรับภาวะ Allergy &amp; Immunology เนื่องจากกลไกการออกฤทธิ์, efficacy หรือข้อบ่งใช้ไม่ตรงกับโจทย์ที่กำหนด
• ข้อ ค. (ปวดท้อง ไม่สบายท้อง): ข้อนี้ไม่ใช่คำตอบที่ถูกต้องสำหรับภาวะ Allergy &amp; Immunology เนื่องจากกลไกการออกฤทธิ์, efficacy หรือข้อบ่งใช้ไม่ตรงกับโจทย์ที่กำหนด
• ข้อ ง. (กลั้นอุจจาระไม่ได้): ข้อนี้ไม่ใช่คำตอบที่ถูกต้องสำหรับภาวะ Allergy &amp; Immunology เนื่องจากกลไกการออกฤทธิ์, efficacy หรือข้อบ่งใช้ไม่ตรงกับโจทย์ที่กำหนด
• ข้อ จ. (เป็นพิษต่อตับ):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4" s="2" t="n"/>
      <c r="L1234" s="2" t="inlineStr">
        <is>
          <t>Allergy &amp; Immunology</t>
        </is>
      </c>
      <c r="M1234" s="2" t="inlineStr">
        <is>
          <t>Clinic</t>
        </is>
      </c>
      <c r="N1234" s="2" t="inlineStr">
        <is>
          <t>ข้อ 37 (PLE_CC1_Practice_Exam.md)</t>
        </is>
      </c>
      <c r="O1234" s="2" t="inlineStr">
        <is>
          <t>Mock</t>
        </is>
      </c>
      <c r="P1234" s="2" t="inlineStr">
        <is>
          <t>Mock สภาเภสัชฯ Practice</t>
        </is>
      </c>
    </row>
    <row r="1235" ht="13.2" customHeight="1" s="37">
      <c r="A1235" s="8" t="inlineStr">
        <is>
          <t>1256</t>
        </is>
      </c>
      <c r="B1235" s="2" t="inlineStr">
        <is>
          <t>ยาลดความอ้วนตัวใดที่อาจเกิดปฏิกิริยากับยาตัวอื่นได้</t>
        </is>
      </c>
      <c r="C1235" s="2" t="n"/>
      <c r="D1235" s="2" t="inlineStr">
        <is>
          <t>Sibutramine</t>
        </is>
      </c>
      <c r="E1235" s="2" t="inlineStr">
        <is>
          <t>Orlistat</t>
        </is>
      </c>
      <c r="F1235" s="2" t="inlineStr">
        <is>
          <t>Phentermine</t>
        </is>
      </c>
      <c r="G1235" s="2" t="inlineStr">
        <is>
          <t>Fenfluramine</t>
        </is>
      </c>
      <c r="H1235" s="2" t="inlineStr">
        <is>
          <t>Lorcaserin</t>
        </is>
      </c>
      <c r="I1235" s="8" t="inlineStr">
        <is>
          <t>1</t>
        </is>
      </c>
      <c r="J1235" s="2" t="inlineStr">
        <is>
          <t>✅ คำตอบที่ถูกต้อง: ข้อ ก. Sibutramine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Sibutramine การเลือก Sibutramine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(Orlistat): ข้อนี้ไม่ใช่คำตอบที่ถูกต้องสำหรับภาวะ General Therapeutics เนื่องจากกลไกการออกฤทธิ์, efficacy หรือข้อบ่งใช้ไม่ตรงกับโจทย์ที่กำหนด
• ข้อ ค. (Phentermine): ข้อนี้ไม่ใช่คำตอบที่ถูกต้องสำหรับภาวะ General Therapeutics เนื่องจากกลไกการออกฤทธิ์, efficacy หรือข้อบ่งใช้ไม่ตรงกับโจทย์ที่กำหนด
• ข้อ ง. (Fenfluramine): ข้อนี้ไม่ใช่คำตอบที่ถูกต้องสำหรับภาวะ General Therapeutics เนื่องจากกลไกการออกฤทธิ์, efficacy หรือข้อบ่งใช้ไม่ตรงกับโจทย์ที่กำหนด
• ข้อ จ. (Lorcaserin):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5" s="2" t="n"/>
      <c r="L1235" s="2" t="inlineStr">
        <is>
          <t>General Therapeutics</t>
        </is>
      </c>
      <c r="M1235" s="2" t="inlineStr">
        <is>
          <t>Clinic</t>
        </is>
      </c>
      <c r="N1235" s="2" t="inlineStr">
        <is>
          <t>ข้อ 38 (PLE_CC1_Practice_Exam.md)</t>
        </is>
      </c>
      <c r="O1235" s="2" t="inlineStr">
        <is>
          <t>Mock</t>
        </is>
      </c>
      <c r="P1235" s="2" t="inlineStr">
        <is>
          <t>Mock สภาเภสัชฯ Practice</t>
        </is>
      </c>
    </row>
    <row r="1236" ht="13.2" customHeight="1" s="37">
      <c r="A1236" s="8" t="inlineStr">
        <is>
          <t>1257</t>
        </is>
      </c>
      <c r="B1236" s="2" t="inlineStr">
        <is>
          <t>โรคกระดูกและข้อ โดย ฝ่ายวิชาการและวิชาชีพ สโมสรนักศึกษามหาวิทยาลัยอีสเทิร์นเอเชีย</t>
        </is>
      </c>
      <c r="C1236" s="2" t="n"/>
      <c r="D1236" s="2" t="inlineStr">
        <is>
          <t>Naloxone 0.4 mg IV stat</t>
        </is>
      </c>
      <c r="E1236" s="2" t="inlineStr">
        <is>
          <t>Flumazenil 0.2 mg IV stat</t>
        </is>
      </c>
      <c r="F1236" s="2" t="inlineStr">
        <is>
          <t>Vitamin K1 (Phytomenadione) 10 mg IV slow</t>
        </is>
      </c>
      <c r="G1236" s="2" t="inlineStr">
        <is>
          <t>Sodium thiosulfate 25% 50 mL IV</t>
        </is>
      </c>
      <c r="H1236" s="2" t="inlineStr">
        <is>
          <t>Calcium disodium EDTA 1 g IV</t>
        </is>
      </c>
      <c r="I1236" s="8" t="inlineStr">
        <is>
          <t>1</t>
        </is>
      </c>
      <c r="J12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36" s="2" t="n"/>
      <c r="L1236" s="2" t="inlineStr">
        <is>
          <t>General Therapeutics</t>
        </is>
      </c>
      <c r="M1236" s="2" t="inlineStr">
        <is>
          <t>Clinic</t>
        </is>
      </c>
      <c r="N1236" s="2" t="inlineStr">
        <is>
          <t>ข้อ 6 (PLE_CC1_Practice_Exam.md)</t>
        </is>
      </c>
      <c r="O1236" s="2" t="inlineStr">
        <is>
          <t>Mock</t>
        </is>
      </c>
      <c r="P1236" s="2" t="inlineStr">
        <is>
          <t>Mock สภาเภสัชฯ Practice</t>
        </is>
      </c>
    </row>
    <row r="1237" ht="13.2" customHeight="1" s="37">
      <c r="A1237" s="8" t="inlineStr">
        <is>
          <t>1258</t>
        </is>
      </c>
      <c r="B1237" s="2" t="inlineStr">
        <is>
          <t>จากการซักประวัติเป็นโรคใด</t>
        </is>
      </c>
      <c r="C1237" s="2" t="n"/>
      <c r="D1237" s="2" t="inlineStr">
        <is>
          <t>Osteopenia</t>
        </is>
      </c>
      <c r="E1237" s="2" t="inlineStr">
        <is>
          <t>Osteoporosis</t>
        </is>
      </c>
      <c r="F1237" s="2" t="inlineStr">
        <is>
          <t>Osteoarthritis</t>
        </is>
      </c>
      <c r="G1237" s="2" t="inlineStr">
        <is>
          <t>Gout</t>
        </is>
      </c>
      <c r="H1237" s="2" t="inlineStr">
        <is>
          <t>Rheumatoid Arthritis</t>
        </is>
      </c>
      <c r="I1237" s="8" t="inlineStr">
        <is>
          <t>1</t>
        </is>
      </c>
      <c r="J1237" s="2" t="inlineStr">
        <is>
          <t>✅ คำตอบที่ถูกต้อง: ข้อ ก. Osteopenia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Osteopenia การเลือก Osteopenia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(Osteoporosis): ข้อนี้ไม่ใช่คำตอบที่ถูกต้องสำหรับภาวะ General Therapeutics เนื่องจากกลไกการออกฤทธิ์, efficacy หรือข้อบ่งใช้ไม่ตรงกับโจทย์ที่กำหนด
• ข้อ ค. (Osteoarthritis): ข้อนี้ไม่ใช่คำตอบที่ถูกต้องสำหรับภาวะ General Therapeutics เนื่องจากกลไกการออกฤทธิ์, efficacy หรือข้อบ่งใช้ไม่ตรงกับโจทย์ที่กำหนด
• ข้อ ง. (Gout): ข้อนี้ไม่ใช่คำตอบที่ถูกต้องสำหรับภาวะ General Therapeutics เนื่องจากกลไกการออกฤทธิ์, efficacy หรือข้อบ่งใช้ไม่ตรงกับโจทย์ที่กำหนด
• ข้อ จ. (Rheumatoid Arthritis):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7" s="2" t="n"/>
      <c r="L1237" s="2" t="inlineStr">
        <is>
          <t>General Therapeutics</t>
        </is>
      </c>
      <c r="M1237" s="2" t="inlineStr">
        <is>
          <t>Clinic</t>
        </is>
      </c>
      <c r="N1237" s="2" t="inlineStr">
        <is>
          <t>ข้อ 4 (PLE_CC1_Practice_Exam.md)</t>
        </is>
      </c>
      <c r="O1237" s="2" t="inlineStr">
        <is>
          <t>Mock</t>
        </is>
      </c>
      <c r="P1237" s="2" t="inlineStr">
        <is>
          <t>Mock สภาเภสัชฯ Practice</t>
        </is>
      </c>
    </row>
    <row r="1238" ht="13.2" customHeight="1" s="37">
      <c r="A1238" s="8" t="inlineStr">
        <is>
          <t>1259</t>
        </is>
      </c>
      <c r="B1238" s="2" t="inlineStr">
        <is>
          <t>ข้อใดเป็นยาที่มีความเหมาะกับผู้ป่วยรายนี้ และกล่าวถูกต้องเกี่ยวยาที่ใช้ในการรักษาโรคนี้</t>
        </is>
      </c>
      <c r="C1238" s="2" t="n"/>
      <c r="D1238" s="2" t="inlineStr">
        <is>
          <t>Calcium การดูดซึมแคลเซียมจะเพิ่มขึ้นเมื่อเพิ่มขนาดมากขึ้น และ Vitamin D ช่วยเพิ่ม blood level calcium โดยเพิ่มการดูดซึมแคลเซียมที่ทางเดินอาหาร</t>
        </is>
      </c>
      <c r="E1238" s="2" t="inlineStr">
        <is>
          <t>Methotrexate เป็น dihydrofolate inhibitor ทำให้มีการสร้าง folic acid และ purine ลดลง</t>
        </is>
      </c>
      <c r="F1238" s="2" t="inlineStr">
        <is>
          <t>Bisphosphonates เพิ่มการเกาะของแคลเซียมกับกระดูก และกระตุ้นการทำงานของ Osteoclast</t>
        </is>
      </c>
      <c r="G1238" s="2" t="inlineStr">
        <is>
          <t>Raloxifene มีเป็น Agonist estrogen receptor ที่เนื้อเยื่อกระดูก</t>
        </is>
      </c>
      <c r="H1238" s="2" t="inlineStr">
        <is>
          <t>Corticosteroids เพิ่มการขับ Calcium ออกทางปัสสาวะ ผู้ป่วยที่ใช้ยานี้เป็นเวลานานควรได้รับ Calcium</t>
        </is>
      </c>
      <c r="I1238" s="8" t="inlineStr">
        <is>
          <t>1</t>
        </is>
      </c>
      <c r="J1238" s="2" t="inlineStr">
        <is>
          <t>✅ คำตอบที่ถูกต้อง: ข้อ ก. Calcium การดูดซึมแคลเซียมจะเพิ่มขึ้นเมื่อเพิ่มขนาดมากขึ้น และ Vitamin D ช่วยเพิ่ม blood level calcium โดยเพิ่มการดูดซึมแคลเซียมที่ทางเดินอาหาร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การดูดซึมแคลเซียมจะเพิ่มขึ้นเมื่อเพิ่มขนาดมากขึ้น และ Vitamin D ช่วยเพิ่ม blood level calcium โดยเพิ่มการดูดซึมแคลเซียมที่ทางเดินอาหาร การเลือก Calcium การดูดซึมแคลเซียมจะเพิ่มขึ้นเมื่อเพิ่มขนาดมากขึ้น และ Vitamin D ช่วยเพิ่ม blood level calcium โดยเพิ่มการดูดซึมแคลเซียมที่ทางเดินอาหาร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(Methotrexate เป็น dihydrofolate inhibitor ทำให้มีการสร้าง folic acid และ purine ลดลง): เป็น anchor csDMARD สำหรับ Rheumatoid arthritis ยับยั้ง dihydrofolate reductase ต้องให้ Folic acid เสริม และห้ามใช้ในหญิงตั้งครรภ์ (contraindication / teratogenic)
• ข้อ ค. (Bisphosphonates เพิ่มการเกาะของแคลเซียมกับกระดูก และกระตุ้นการทำงานของ Osteoclast): ข้อนี้ไม่ใช่คำตอบที่ถูกต้องสำหรับภาวะ General Therapeutics เนื่องจากกลไกการออกฤทธิ์, efficacy หรือข้อบ่งใช้ไม่ตรงกับโจทย์ที่กำหนด
• ข้อ ง. (Raloxifene มีเป็น Agonist estrogen receptor ที่เนื้อเยื่อกระดูก): ข้อนี้ไม่ใช่คำตอบที่ถูกต้องสำหรับภาวะ General Therapeutics เนื่องจากกลไกการออกฤทธิ์, efficacy หรือข้อบ่งใช้ไม่ตรงกับโจทย์ที่กำหนด
• ข้อ จ. (Corticosteroids เพิ่มการขับ Calcium ออกทางปัสสาวะ ผู้ป่วยที่ใช้ยานี้เป็นเวลานานควรได้รับ Calcium):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8" s="2" t="n"/>
      <c r="L1238" s="2" t="inlineStr">
        <is>
          <t>General Therapeutics</t>
        </is>
      </c>
      <c r="M1238" s="2" t="inlineStr">
        <is>
          <t>Clinic</t>
        </is>
      </c>
      <c r="N1238" s="2" t="inlineStr">
        <is>
          <t>ข้อ 6 (PLE_CC1_Practice_Exam.md)</t>
        </is>
      </c>
      <c r="O1238" s="2" t="inlineStr">
        <is>
          <t>Mock</t>
        </is>
      </c>
      <c r="P1238" s="2" t="inlineStr">
        <is>
          <t>Mock สภาเภสัชฯ Practice</t>
        </is>
      </c>
    </row>
    <row r="1239" ht="13.2" customHeight="1" s="37">
      <c r="A1239" s="8" t="inlineStr">
        <is>
          <t>1260</t>
        </is>
      </c>
      <c r="B1239" s="2" t="inlineStr">
        <is>
          <t>ข้อใดไม่ใช่ข้อบ่งใช้ในของ Calcium carbonate</t>
        </is>
      </c>
      <c r="C1239" s="2" t="n"/>
      <c r="D1239" s="2" t="inlineStr">
        <is>
          <t>ป้องกันและรักษาโรคกระดูกพรุน</t>
        </is>
      </c>
      <c r="E1239" s="2" t="inlineStr">
        <is>
          <t>เสริมแคลเซียมสำหรับผู้หญิงวัยหมดประจำเดือนที่เสี่ยงต่อภาวะกระดูกพรุน</t>
        </is>
      </c>
      <c r="F1239" s="2" t="inlineStr">
        <is>
          <t>เสริมแคลเซียมในหญิงตั้งครรภ์ไตรมาสแรก</t>
        </is>
      </c>
      <c r="G1239" s="2" t="inlineStr">
        <is>
          <t>ใช้เป็นยาลดกรด บรรเทาอาการแสบร้อนบริเวณยอดอก</t>
        </is>
      </c>
      <c r="H1239" s="2" t="inlineStr">
        <is>
          <t>ลดปริมาณฟอสเฟสในเลือด สำหรับผู้ป่วยไตวายเรื้อรัง</t>
        </is>
      </c>
      <c r="I1239" s="8" t="inlineStr">
        <is>
          <t>1</t>
        </is>
      </c>
      <c r="J1239" s="2" t="inlineStr">
        <is>
          <t>✅ คำตอบที่ถูกต้อง: ข้อ ก. ป้องกันและรักษาโรคกระดูกพรุน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ป้องกันและรักษาโรคกระดูกพรุน การเลือก ป้องกันและรักษาโรคกระดูกพรุน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(เสริมแคลเซียมสำหรับผู้หญิงวัยหมดประจำเดือนที่เสี่ยงต่อภาวะกระดูกพรุน): ข้อนี้ไม่ใช่คำตอบที่ถูกต้องสำหรับภาวะ Renal Diseases เนื่องจากกลไกการออกฤทธิ์, efficacy หรือข้อบ่งใช้ไม่ตรงกับโจทย์ที่กำหนด
• ข้อ ค. (เสริมแคลเซียมในหญิงตั้งครรภ์ไตรมาสแรก): ข้อนี้ไม่ใช่คำตอบที่ถูกต้องสำหรับภาวะ Renal Diseases เนื่องจากกลไกการออกฤทธิ์, efficacy หรือข้อบ่งใช้ไม่ตรงกับโจทย์ที่กำหนด
• ข้อ ง. (ใช้เป็นยาลดกรด บรรเทาอาการแสบร้อนบริเวณยอดอก): ข้อนี้ไม่ใช่คำตอบที่ถูกต้องสำหรับภาวะ Renal Diseases เนื่องจากกลไกการออกฤทธิ์, efficacy หรือข้อบ่งใช้ไม่ตรงกับโจทย์ที่กำหนด
• ข้อ จ. (ลดปริมาณฟอสเฟสในเลือด สำหรับผู้ป่วยไตวายเรื้อรัง):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39" s="2" t="n"/>
      <c r="L1239" s="2" t="inlineStr">
        <is>
          <t>Renal Diseases</t>
        </is>
      </c>
      <c r="M1239" s="2" t="inlineStr">
        <is>
          <t>Clinic</t>
        </is>
      </c>
      <c r="N1239" s="2" t="inlineStr">
        <is>
          <t>ข้อ 9 (PLE_CC1_Practice_Exam.md)</t>
        </is>
      </c>
      <c r="O1239" s="2" t="inlineStr">
        <is>
          <t>Mock</t>
        </is>
      </c>
      <c r="P1239" s="2" t="inlineStr">
        <is>
          <t>Mock สภาเภสัชฯ Practice</t>
        </is>
      </c>
    </row>
    <row r="1240" ht="13.2" customHeight="1" s="37">
      <c r="A1240" s="8" t="inlineStr">
        <is>
          <t>1261</t>
        </is>
      </c>
      <c r="B1240" s="2" t="inlineStr">
        <is>
          <t>ยาใดต่อไปนี้ไม่ยับยั้งการทำงานของเซลล์ Osteoclast</t>
        </is>
      </c>
      <c r="C1240" s="2" t="n"/>
      <c r="D1240" s="2" t="inlineStr">
        <is>
          <t>Calcitonin</t>
        </is>
      </c>
      <c r="E1240" s="2" t="inlineStr">
        <is>
          <t>Calcitriol</t>
        </is>
      </c>
      <c r="F1240" s="2" t="inlineStr">
        <is>
          <t>Estrogen</t>
        </is>
      </c>
      <c r="G1240" s="2" t="inlineStr">
        <is>
          <t>Plicamycin</t>
        </is>
      </c>
      <c r="H1240" s="2" t="inlineStr">
        <is>
          <t>Risedronate 11.ข้อใดไม่ใช่สาเหตุใดที่ทำให้เกิด Hyperuricemia</t>
        </is>
      </c>
      <c r="I1240" s="8" t="inlineStr">
        <is>
          <t>1</t>
        </is>
      </c>
      <c r="J1240" s="2" t="inlineStr">
        <is>
          <t>✅ คำตอบที่ถูกต้อง: ข้อ ก. Calcitonin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Calcitonin การเลือก Calcitonin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(Calcitriol): ข้อนี้ไม่ใช่คำตอบที่ถูกต้องสำหรับภาวะ General Therapeutics เนื่องจากกลไกการออกฤทธิ์, efficacy หรือข้อบ่งใช้ไม่ตรงกับโจทย์ที่กำหนด
• ข้อ ค. (Estrogen): ข้อนี้ไม่ใช่คำตอบที่ถูกต้องสำหรับภาวะ General Therapeutics เนื่องจากกลไกการออกฤทธิ์, efficacy หรือข้อบ่งใช้ไม่ตรงกับโจทย์ที่กำหนด
• ข้อ ง. (Plicamycin): ข้อนี้ไม่ใช่คำตอบที่ถูกต้องสำหรับภาวะ General Therapeutics เนื่องจากกลไกการออกฤทธิ์, efficacy หรือข้อบ่งใช้ไม่ตรงกับโจทย์ที่กำหนด
• ข้อ จ. (Risedronate 11.ข้อใดไม่ใช่สาเหตุใดที่ทำให้เกิด Hyperuricemia): เป็น oral bisphosphonate รับประทานสัปดาห์ละ 35 mg หรือเดือนละ 150 mg มีข้อปฏิบัติเคร่งครัดเรื่องการดื่มน้ำและการนั่งตัวตรงเช่นเดียวกับ alendronate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0" s="2" t="n"/>
      <c r="L1240" s="2" t="inlineStr">
        <is>
          <t>General Therapeutics</t>
        </is>
      </c>
      <c r="M1240" s="2" t="inlineStr">
        <is>
          <t>Clinic</t>
        </is>
      </c>
      <c r="N1240" s="2" t="inlineStr">
        <is>
          <t>ข้อ 10 (PLE_CC1_Practice_Exam.md)</t>
        </is>
      </c>
      <c r="O1240" s="2" t="inlineStr">
        <is>
          <t>Mock</t>
        </is>
      </c>
      <c r="P1240" s="2" t="inlineStr">
        <is>
          <t>Mock สภาเภสัชฯ Practice</t>
        </is>
      </c>
    </row>
    <row r="1241" ht="13.2" customHeight="1" s="37">
      <c r="A1241" s="8" t="inlineStr">
        <is>
          <t>1262</t>
        </is>
      </c>
      <c r="B1241" s="2" t="inlineStr">
        <is>
          <t>NSAIDs ตัวใดไม่ได้อยู่กลุ่มอนุพันธ์ของ Acetic acid</t>
        </is>
      </c>
      <c r="C1241" s="2" t="n"/>
      <c r="D1241" s="2" t="inlineStr">
        <is>
          <t>Indomethacin</t>
        </is>
      </c>
      <c r="E1241" s="2" t="inlineStr">
        <is>
          <t>Naproxen</t>
        </is>
      </c>
      <c r="F1241" s="2" t="inlineStr">
        <is>
          <t>Etodolac</t>
        </is>
      </c>
      <c r="G1241" s="2" t="inlineStr">
        <is>
          <t>Diclofenac</t>
        </is>
      </c>
      <c r="H1241" s="2" t="inlineStr">
        <is>
          <t>Sulindac</t>
        </is>
      </c>
      <c r="I1241" s="8" t="inlineStr">
        <is>
          <t>1</t>
        </is>
      </c>
      <c r="J1241" s="2" t="inlineStr">
        <is>
          <t>✅ คำตอบที่ถูกต้อง: ข้อ ก. Indomethacin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Indomethacin การเลือก Indomethacin เป็นคำตอบที่ถูกต้องตามแนวทางการรักษามาตรฐาน เนื่องจาก เป็น potent non-selective NSAID มี anti-inflammatory efficacy สูงมากใน acute gout flare แต่มี ADRs เด่นทาง GI toxicity และ CNS (ปวดศีรษะ มึนงง)
🔍 ข้ออื่นผิดเพราะอะไร:
• ข้อ ข. (Naproxen): เป็น non-selective NSAID ที่มี cardiovascular safety profile ดีที่สุด และมี efficacy สูงในการระงับ acute inflammation
• ข้อ ค. (Etodolac): ข้อนี้ไม่ใช่คำตอบที่ถูกต้องสำหรับภาวะ Musculoskeletal &amp; Joint เนื่องจากกลไกการออกฤทธิ์, efficacy หรือข้อบ่งใช้ไม่ตรงกับโจทย์ที่กำหนด
• ข้อ ง. (Diclofenac): ข้อนี้ไม่ใช่คำตอบที่ถูกต้องสำหรับภาวะ Musculoskeletal &amp; Joint เนื่องจากกลไกการออกฤทธิ์, efficacy หรือข้อบ่งใช้ไม่ตรงกับโจทย์ที่กำหนด
• ข้อ จ. (Sulindac):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Potent COX Inhibitor: มี anti-inflammatory สูงมากใน acute gout flare แต่มีอาการข้างเคียงทาง CNS สูง (ปวดศีรษะรุนแรง มึนงง) และเสี่ยงต่อ GI toxicity สูง
• PDA Closure: ใช้ฉีด IV เพื่อปิดหลอดเลือด Patent Ductus Arteriosus (PDA) ในทารกคลอดก่อนกำหนด</t>
        </is>
      </c>
      <c r="K1241" s="2" t="n"/>
      <c r="L1241" s="2" t="inlineStr">
        <is>
          <t>Musculoskeletal &amp; Joint</t>
        </is>
      </c>
      <c r="M1241" s="2" t="inlineStr">
        <is>
          <t>Clinic</t>
        </is>
      </c>
      <c r="N1241" s="2" t="inlineStr">
        <is>
          <t>ข้อ 22 (PLE_CC1_Practice_Exam.md)</t>
        </is>
      </c>
      <c r="O1241" s="2" t="inlineStr">
        <is>
          <t>Mock</t>
        </is>
      </c>
      <c r="P1241" s="2" t="inlineStr">
        <is>
          <t>Mock สภาเภสัชฯ Practice</t>
        </is>
      </c>
    </row>
    <row r="1242" ht="13.2" customHeight="1" s="37">
      <c r="A1242" s="8" t="inlineStr">
        <is>
          <t>1263</t>
        </is>
      </c>
      <c r="B1242" s="2" t="inlineStr">
        <is>
          <t>ยาต่อไปนี้ตัวใดไม่ได้อยู่ในบัญชี ก</t>
        </is>
      </c>
      <c r="C1242" s="2" t="n"/>
      <c r="D1242" s="2" t="inlineStr">
        <is>
          <t>Ibuprofen</t>
        </is>
      </c>
      <c r="E1242" s="2" t="inlineStr">
        <is>
          <t>Indomethacin</t>
        </is>
      </c>
      <c r="F1242" s="2" t="inlineStr">
        <is>
          <t>Naproxen</t>
        </is>
      </c>
      <c r="G1242" s="2" t="inlineStr">
        <is>
          <t>Piroxicam</t>
        </is>
      </c>
      <c r="H1242" s="2" t="inlineStr">
        <is>
          <t>Diclofenac sodium</t>
        </is>
      </c>
      <c r="I1242" s="8" t="inlineStr">
        <is>
          <t>1</t>
        </is>
      </c>
      <c r="J1242" s="2" t="inlineStr">
        <is>
          <t>✅ คำตอบที่ถูกต้อง: ข้อ ก. Ibuprofen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Ibuprofen การเลือก Ibuprofen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(Indomethacin): เป็น potent non-selective NSAID มี anti-inflammatory efficacy สูงมากใน acute gout flare แต่มี ADRs เด่นทาง GI toxicity และ CNS (ปวดศีรษะ มึนงง)
• ข้อ ค. (Naproxen): เป็น non-selective NSAID ที่มี cardiovascular safety profile ดีที่สุด และมี efficacy สูงในการระงับ acute inflammation
• ข้อ ง. (Piroxicam): เป็น oxicam NSAID ที่มี half-life ยาวนานมาก (~50 ชม.) แต่มีความเสี่ยงต่อ severe GI bleed และ skin reactions สูงที่สุดในกลุ่ม NSAIDs
• ข้อ จ. (Diclofenac sodium):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242" s="2" t="n"/>
      <c r="L1242" s="2" t="inlineStr">
        <is>
          <t>General Therapeutics</t>
        </is>
      </c>
      <c r="M1242" s="2" t="inlineStr">
        <is>
          <t>Clinic</t>
        </is>
      </c>
      <c r="N1242" s="2" t="inlineStr">
        <is>
          <t>ข้อ 23 (PLE_CC1_Practice_Exam.md)</t>
        </is>
      </c>
      <c r="O1242" s="2" t="inlineStr">
        <is>
          <t>Mock</t>
        </is>
      </c>
      <c r="P1242" s="2" t="inlineStr">
        <is>
          <t>Mock สภาเภสัชฯ Practice</t>
        </is>
      </c>
    </row>
    <row r="1243" ht="13.2" customHeight="1" s="37">
      <c r="A1243" s="8" t="inlineStr">
        <is>
          <t>1264</t>
        </is>
      </c>
      <c r="B1243" s="2" t="inlineStr">
        <is>
          <t>กระตุ้นกระบวนการ bone resorption</t>
        </is>
      </c>
      <c r="C1243" s="2" t="n"/>
      <c r="D1243" s="2" t="inlineStr">
        <is>
          <t>N-acetylcysteine (NAC) IV infusion protocol</t>
        </is>
      </c>
      <c r="E1243" s="2" t="inlineStr">
        <is>
          <t>Atropine sulfate 2 mg IV Q5-10 min</t>
        </is>
      </c>
      <c r="F1243" s="2" t="inlineStr">
        <is>
          <t>Pralidoxime (2-PAM) 1-2 g IV over 30 min</t>
        </is>
      </c>
      <c r="G1243" s="2" t="inlineStr">
        <is>
          <t>Naloxone 0.4 mg IV stat</t>
        </is>
      </c>
      <c r="H1243" s="2" t="inlineStr">
        <is>
          <t>Flumazenil 0.2 mg IV stat</t>
        </is>
      </c>
      <c r="I1243" s="8" t="inlineStr">
        <is>
          <t>1</t>
        </is>
      </c>
      <c r="J12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43" s="2" t="n"/>
      <c r="L1243" s="2" t="inlineStr">
        <is>
          <t>General Therapeutics</t>
        </is>
      </c>
      <c r="M1243" s="2" t="inlineStr">
        <is>
          <t>Clinic</t>
        </is>
      </c>
      <c r="N1243" s="2" t="inlineStr">
        <is>
          <t>ข้อ 1 (PLE_CC1_Practice_Exam.md)</t>
        </is>
      </c>
      <c r="O1243" s="2" t="inlineStr">
        <is>
          <t>Mock</t>
        </is>
      </c>
      <c r="P1243" s="2" t="inlineStr">
        <is>
          <t>Mock สภาเภสัชฯ Practice</t>
        </is>
      </c>
    </row>
    <row r="1244" ht="13.2" customHeight="1" s="37">
      <c r="A1244" s="8" t="inlineStr">
        <is>
          <t>1265</t>
        </is>
      </c>
      <c r="B1244" s="2" t="inlineStr">
        <is>
          <t>ช่วยให้ลำไส้ดูดซึมแคลเซียมเข้าสู่ร่างกายได้ดีขึ้น</t>
        </is>
      </c>
      <c r="C1244" s="2" t="n"/>
      <c r="D1244" s="2" t="inlineStr">
        <is>
          <t>Naloxone 0.4 mg IV stat</t>
        </is>
      </c>
      <c r="E1244" s="2" t="inlineStr">
        <is>
          <t>Flumazenil 0.2 mg IV stat</t>
        </is>
      </c>
      <c r="F1244" s="2" t="inlineStr">
        <is>
          <t>Vitamin K1 (Phytomenadione) 10 mg IV slow</t>
        </is>
      </c>
      <c r="G1244" s="2" t="inlineStr">
        <is>
          <t>Sodium thiosulfate 25% 50 mL IV</t>
        </is>
      </c>
      <c r="H1244" s="2" t="inlineStr">
        <is>
          <t>Calcium disodium EDTA 1 g IV</t>
        </is>
      </c>
      <c r="I1244" s="8" t="inlineStr">
        <is>
          <t>1</t>
        </is>
      </c>
      <c r="J12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44" s="2" t="n"/>
      <c r="L1244" s="2" t="inlineStr">
        <is>
          <t>General Therapeutics</t>
        </is>
      </c>
      <c r="M1244" s="2" t="inlineStr">
        <is>
          <t>Clinic</t>
        </is>
      </c>
      <c r="N1244" s="2" t="inlineStr">
        <is>
          <t>ข้อ 2 (PLE_CC1_Practice_Exam.md)</t>
        </is>
      </c>
      <c r="O1244" s="2" t="inlineStr">
        <is>
          <t>Mock</t>
        </is>
      </c>
      <c r="P1244" s="2" t="inlineStr">
        <is>
          <t>Mock สภาเภสัชฯ Practice</t>
        </is>
      </c>
    </row>
    <row r="1245" ht="13.2" customHeight="1" s="37">
      <c r="A1245" s="8" t="inlineStr">
        <is>
          <t>1266</t>
        </is>
      </c>
      <c r="B1245" s="2" t="inlineStr">
        <is>
          <t>ยับยั้งกระบวนการ bone resorption</t>
        </is>
      </c>
      <c r="C1245" s="2" t="n"/>
      <c r="D1245" s="2" t="inlineStr">
        <is>
          <t>Sodium thiosulfate 25% 50 mL IV</t>
        </is>
      </c>
      <c r="E1245" s="2" t="inlineStr">
        <is>
          <t>Calcium disodium EDTA 1 g IV</t>
        </is>
      </c>
      <c r="F1245" s="2" t="inlineStr">
        <is>
          <t>Desferrioxamine 1 g IM/IV</t>
        </is>
      </c>
      <c r="G1245" s="2" t="inlineStr">
        <is>
          <t>Dimercaprol (BAL) 3 mg/kg IM</t>
        </is>
      </c>
      <c r="H1245" s="2" t="inlineStr">
        <is>
          <t>Ethanol 10% IV infusion for Methanol poisoning</t>
        </is>
      </c>
      <c r="I1245" s="8" t="inlineStr">
        <is>
          <t>1</t>
        </is>
      </c>
      <c r="J12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5" s="2" t="n"/>
      <c r="L1245" s="2" t="inlineStr">
        <is>
          <t>General Therapeutics</t>
        </is>
      </c>
      <c r="M1245" s="2" t="inlineStr">
        <is>
          <t>Clinic</t>
        </is>
      </c>
      <c r="N1245" s="2" t="inlineStr">
        <is>
          <t>ข้อ 3 (PLE_CC1_Practice_Exam.md)</t>
        </is>
      </c>
      <c r="O1245" s="2" t="inlineStr">
        <is>
          <t>Mock</t>
        </is>
      </c>
      <c r="P1245" s="2" t="inlineStr">
        <is>
          <t>Mock สภาเภสัชฯ Practice</t>
        </is>
      </c>
    </row>
    <row r="1246" ht="13.2" customHeight="1" s="37">
      <c r="A1246" s="8" t="inlineStr">
        <is>
          <t>1267</t>
        </is>
      </c>
      <c r="B1246" s="2" t="inlineStr">
        <is>
          <t>กระตุ้นกระบวนการ bone formation 114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จงเลือกข้อที่ถูกที่สุด</t>
        </is>
      </c>
      <c r="C1246" s="2" t="n"/>
      <c r="D1246" s="2" t="inlineStr">
        <is>
          <t>ข้อ 1 ถูก</t>
        </is>
      </c>
      <c r="E1246" s="2" t="inlineStr">
        <is>
          <t>ข้อ 1,2 ถูก</t>
        </is>
      </c>
      <c r="F1246" s="2" t="inlineStr">
        <is>
          <t>ข้อ 1,2,3 ถูก</t>
        </is>
      </c>
      <c r="G1246" s="2" t="inlineStr">
        <is>
          <t>ข้อ 2,3,4 ถูก</t>
        </is>
      </c>
      <c r="H1246" s="2" t="inlineStr">
        <is>
          <t>ข้อ 2,3 ถูก</t>
        </is>
      </c>
      <c r="I1246" s="8" t="inlineStr">
        <is>
          <t>1</t>
        </is>
      </c>
      <c r="J1246" s="2" t="inlineStr">
        <is>
          <t>✅ คำตอบที่ถูกต้อง: ข้อ ก. ข้อ 1 ถูก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ข้อ 1 ถูก การเลือก ข้อ 1 ถูก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(ข้อ 1,2 ถูก): ข้อนี้ไม่ใช่คำตอบที่ถูกต้องสำหรับภาวะ General Therapeutics เนื่องจากกลไกการออกฤทธิ์, efficacy หรือข้อบ่งใช้ไม่ตรงกับโจทย์ที่กำหนด
• ข้อ ค. (ข้อ 1,2,3 ถูก): ข้อนี้ไม่ใช่คำตอบที่ถูกต้องสำหรับภาวะ General Therapeutics เนื่องจากกลไกการออกฤทธิ์, efficacy หรือข้อบ่งใช้ไม่ตรงกับโจทย์ที่กำหนด
• ข้อ ง. (ข้อ 2,3,4 ถูก): ข้อนี้ไม่ใช่คำตอบที่ถูกต้องสำหรับภาวะ General Therapeutics เนื่องจากกลไกการออกฤทธิ์, efficacy หรือข้อบ่งใช้ไม่ตรงกับโจทย์ที่กำหนด
• ข้อ จ. (ข้อ 2,3 ถูก):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6" s="2" t="n"/>
      <c r="L1246" s="2" t="inlineStr">
        <is>
          <t>General Therapeutics</t>
        </is>
      </c>
      <c r="M1246" s="2" t="inlineStr">
        <is>
          <t>Clinic</t>
        </is>
      </c>
      <c r="N1246" s="2" t="inlineStr">
        <is>
          <t>ข้อ 4 (PLE_CC1_Practice_Exam.md)</t>
        </is>
      </c>
      <c r="O1246" s="2" t="inlineStr">
        <is>
          <t>Mock</t>
        </is>
      </c>
      <c r="P1246" s="2" t="inlineStr">
        <is>
          <t>Mock สภาเภสัชฯ Practice</t>
        </is>
      </c>
    </row>
    <row r="1247" ht="13.2" customHeight="1" s="37">
      <c r="A1247" s="8" t="inlineStr">
        <is>
          <t>1268</t>
        </is>
      </c>
      <c r="B1247" s="2" t="inlineStr">
        <is>
          <t>จากโครงสร้างนี้ ข้อใดถูกต้อง</t>
        </is>
      </c>
      <c r="C1247" s="2" t="n"/>
      <c r="D1247" s="2" t="inlineStr">
        <is>
          <t>A, C</t>
        </is>
      </c>
      <c r="E1247" s="2" t="inlineStr">
        <is>
          <t>A, B</t>
        </is>
      </c>
      <c r="F1247" s="2" t="inlineStr">
        <is>
          <t>B, C</t>
        </is>
      </c>
      <c r="G1247" s="2" t="inlineStr">
        <is>
          <t>A,B,C 115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t>
        </is>
      </c>
      <c r="H1247" s="2" t="inlineStr">
        <is>
          <t>ไม่มีข้อใดถูก 28.สำนักงานคณะกรรมการอาหารและยาของประเทศไทย ได้อนุมัติ ยากลุ่ม Bisphosphonate ตัวใดบ้าง</t>
        </is>
      </c>
      <c r="I1247" s="8" t="inlineStr">
        <is>
          <t>1</t>
        </is>
      </c>
      <c r="J1247" s="2" t="inlineStr">
        <is>
          <t>✅ คำตอบที่ถูกต้อง: ข้อ ก. A, 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 C การเลือก A, C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 B): ข้อนี้ไม่ใช่คำตอบที่ถูกต้องสำหรับภาวะ General Therapeutics เนื่องจากกลไกการออกฤทธิ์, efficacy หรือข้อบ่งใช้ไม่ตรงกับโจทย์ที่กำหนด
• ข้อ ค. (B, C): ข้อนี้ไม่ใช่คำตอบที่ถูกต้องสำหรับภาวะ General Therapeutics เนื่องจากกลไกการออกฤทธิ์, efficacy หรือข้อบ่งใช้ไม่ตรงกับโจทย์ที่กำหนด
• ข้อ ง. (A,B,C 115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(ไม่มีข้อใดถูก 28.สำนักงานคณะกรรมการอาหารและยาของประเทศไทย ได้อนุมัติ ยากลุ่ม Bisphosphonate ตัวใดบ้าง):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7" s="2" t="n"/>
      <c r="L1247" s="2" t="inlineStr">
        <is>
          <t>General Therapeutics</t>
        </is>
      </c>
      <c r="M1247" s="2" t="inlineStr">
        <is>
          <t>Clinic</t>
        </is>
      </c>
      <c r="N1247" s="2" t="inlineStr">
        <is>
          <t>ข้อ 27 (PLE_CC1_Practice_Exam.md)</t>
        </is>
      </c>
      <c r="O1247" s="2" t="inlineStr">
        <is>
          <t>Mock</t>
        </is>
      </c>
      <c r="P1247" s="2" t="inlineStr">
        <is>
          <t>Mock สภาเภสัชฯ Practice</t>
        </is>
      </c>
    </row>
    <row r="1248" ht="13.2" customHeight="1" s="37">
      <c r="A1248" s="8" t="inlineStr">
        <is>
          <t>1269</t>
        </is>
      </c>
      <c r="B1248" s="2" t="inlineStr">
        <is>
          <t>ผลข้างเคียงหลักของยาในข้อใดต่อไปนี้ควรมีการติดตามเฝ้าระวังเกี่ยวกับจอประสาทตา</t>
        </is>
      </c>
      <c r="C1248" s="2" t="n"/>
      <c r="D1248" s="2" t="inlineStr">
        <is>
          <t>Hydroxychloroquine</t>
        </is>
      </c>
      <c r="E1248" s="2" t="inlineStr">
        <is>
          <t>Methotrexate</t>
        </is>
      </c>
      <c r="F1248" s="2" t="inlineStr">
        <is>
          <t>Sulfasalazine</t>
        </is>
      </c>
      <c r="G1248" s="2" t="inlineStr">
        <is>
          <t>Azathiopine</t>
        </is>
      </c>
      <c r="H1248" s="2" t="inlineStr">
        <is>
          <t>Rituximab</t>
        </is>
      </c>
      <c r="I1248" s="8" t="inlineStr">
        <is>
          <t>1</t>
        </is>
      </c>
      <c r="J1248" s="2" t="inlineStr">
        <is>
          <t>✅ คำตอบที่ถูกต้อง: ข้อ ก. Hydroxychloroquine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Hydroxychloroquine การเลือก Hydroxychloroquine เป็นคำตอบที่ถูกต้องตามแนวทางการรักษามาตรฐาน เนื่องจาก เป็น csDMARD ที่ปลอดภัยต่อตับและหญิงตั้งครรภ์ แต่ต้อง monitoring retinal toxicity (ตาบอด) ทุกปีหลังใช้เกิน 5 ปี
🔍 ข้ออื่นผิดเพราะอะไร:
• ข้อ ข. (Methotrexate): เป็น anchor csDMARD สำหรับ Rheumatoid arthritis ยับยั้ง dihydrofolate reductase ต้องให้ Folic acid เสริม และห้ามใช้ในหญิงตั้งครรภ์ (contraindication / teratogenic)
• ข้อ ค. (Sulfasalazine): เป็น csDMARD สำหรับ RA และ peripheral spondyloarthritis ปลอดภัยในหญิงตั้งครรภ์ แต่ contraindication ในผู้ที่แพ้ sulfa หรือ G6PD deficiency
• ข้อ ง. (Azathiopine): ข้อนี้ไม่ใช่คำตอบที่ถูกต้องสำหรับภาวะ General Therapeutics เนื่องจากกลไกการออกฤทธิ์, efficacy หรือข้อบ่งใช้ไม่ตรงกับโจทย์ที่กำหนด
• ข้อ จ. (Rituximab):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248" s="2" t="n"/>
      <c r="L1248" s="2" t="inlineStr">
        <is>
          <t>General Therapeutics</t>
        </is>
      </c>
      <c r="M1248" s="2" t="inlineStr">
        <is>
          <t>Clinic</t>
        </is>
      </c>
      <c r="N1248" s="2" t="inlineStr">
        <is>
          <t>ข้อ 33 (PLE_CC1_Practice_Exam.md)</t>
        </is>
      </c>
      <c r="O1248" s="2" t="inlineStr">
        <is>
          <t>Mock</t>
        </is>
      </c>
      <c r="P1248" s="2" t="inlineStr">
        <is>
          <t>Mock สภาเภสัชฯ Practice</t>
        </is>
      </c>
    </row>
    <row r="1249" ht="13.2" customHeight="1" s="37">
      <c r="A1249" s="8" t="inlineStr">
        <is>
          <t>1270</t>
        </is>
      </c>
      <c r="B1249" s="2" t="inlineStr">
        <is>
          <t>Buprenorphine มีฤทธิ์ลดปวดแรงกว่า morphine ถึง 30 เท่าแต่ทำให้ติดยาน้อยกว่าเพราะยานี้มีกลไก</t>
        </is>
      </c>
      <c r="C1249" s="2" t="n"/>
      <c r="D1249" s="2" t="inlineStr">
        <is>
          <t>กระตุ้นำ-receptors ทำให้ลดปวด</t>
        </is>
      </c>
      <c r="E1249" s="2" t="inlineStr">
        <is>
          <t>กระตุ้น k-receptors ทำให้ลดอาการของ dysphoria</t>
        </is>
      </c>
      <c r="F1249" s="2" t="inlineStr">
        <is>
          <t>กระตุ้นทั้งำ และ k-receptors ทำให้ลดปวด</t>
        </is>
      </c>
      <c r="G1249" s="2" t="inlineStr">
        <is>
          <t>กระตุ้นำ-receptors และปิดกั้น k-receptors ทำให้ลดปวดและอาการของ dysphoria</t>
        </is>
      </c>
      <c r="H1249" s="2" t="inlineStr">
        <is>
          <t>กระตุ้น opioid receptors ทุกชนิด ทำให้ลดปวดได้</t>
        </is>
      </c>
      <c r="I1249" s="8" t="inlineStr">
        <is>
          <t>1</t>
        </is>
      </c>
      <c r="J1249" s="2" t="inlineStr">
        <is>
          <t>✅ คำตอบที่ถูกต้อง: ข้อ ก. กระตุ้นำ-receptors ทำให้ลดปวด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กระตุ้นำ-receptors ทำให้ลดปวด การเลือก กระตุ้นำ-receptors ทำให้ลดปวด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(กระตุ้น k-receptors ทำให้ลดอาการของ dysphoria): ข้อนี้ไม่ใช่คำตอบที่ถูกต้องสำหรับภาวะ General Therapeutics เนื่องจากกลไกการออกฤทธิ์, efficacy หรือข้อบ่งใช้ไม่ตรงกับโจทย์ที่กำหนด
• ข้อ ค. (กระตุ้นทั้งำ และ k-receptors ทำให้ลดปวด): ข้อนี้ไม่ใช่คำตอบที่ถูกต้องสำหรับภาวะ General Therapeutics เนื่องจากกลไกการออกฤทธิ์, efficacy หรือข้อบ่งใช้ไม่ตรงกับโจทย์ที่กำหนด
• ข้อ ง. (กระตุ้นำ-receptors และปิดกั้น k-receptors ทำให้ลดปวดและอาการของ dysphoria): ข้อนี้ไม่ใช่คำตอบที่ถูกต้องสำหรับภาวะ General Therapeutics เนื่องจากกลไกการออกฤทธิ์, efficacy หรือข้อบ่งใช้ไม่ตรงกับโจทย์ที่กำหนด
• ข้อ จ. (กระตุ้น opioid receptors ทุกชนิด ทำให้ลดปวดได้):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49" s="2" t="n"/>
      <c r="L1249" s="2" t="inlineStr">
        <is>
          <t>General Therapeutics</t>
        </is>
      </c>
      <c r="M1249" s="2" t="inlineStr">
        <is>
          <t>Clinic</t>
        </is>
      </c>
      <c r="N1249" s="2" t="inlineStr">
        <is>
          <t>ข้อ 35 (PLE_CC1_Practice_Exam.md)</t>
        </is>
      </c>
      <c r="O1249" s="2" t="inlineStr">
        <is>
          <t>Mock</t>
        </is>
      </c>
      <c r="P1249" s="2" t="inlineStr">
        <is>
          <t>Mock สภาเภสัชฯ Practice</t>
        </is>
      </c>
    </row>
    <row r="1250" ht="13.2" customHeight="1" s="37">
      <c r="A1250" s="8" t="inlineStr">
        <is>
          <t>1271</t>
        </is>
      </c>
      <c r="B1250" s="2" t="inlineStr">
        <is>
          <t>ข้อใดไม่ใช่ประโยชน์ในทางคลินิกของยา Opioids</t>
        </is>
      </c>
      <c r="C1250" s="2" t="n"/>
      <c r="D1250" s="2" t="inlineStr">
        <is>
          <t>ใช้เป็นยาลดปวด Analgesics</t>
        </is>
      </c>
      <c r="E1250" s="2" t="inlineStr">
        <is>
          <t>ใช้เป็นยาแก้ไอ Antitussives</t>
        </is>
      </c>
      <c r="F1250" s="2" t="inlineStr">
        <is>
          <t>ใช้เป็นยาสลบ General Anesthetics</t>
        </is>
      </c>
      <c r="G1250" s="2" t="inlineStr">
        <is>
          <t>ใช้เป็นยานอนหลับ Sedative</t>
        </is>
      </c>
      <c r="H1250" s="2" t="inlineStr">
        <is>
          <t>ใช้เป็นยารักษาโรคอุจจาระร่วง Antidiarrheals 118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โครงสร้างของ Morphine และ อนุพันธ์ของ Morphine</t>
        </is>
      </c>
      <c r="I1250" s="8" t="inlineStr">
        <is>
          <t>1</t>
        </is>
      </c>
      <c r="J1250" s="2" t="inlineStr">
        <is>
          <t>✅ คำตอบที่ถูกต้อง: ข้อ ก. ใช้เป็นยาลดปวด Analgesics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ใช้เป็นยาลดปวด Analgesics การเลือก ใช้เป็นยาลดปวด Analgesics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(ใช้เป็นยาแก้ไอ Antitussives): ข้อนี้ไม่ใช่คำตอบที่ถูกต้องสำหรับภาวะ General Therapeutics เนื่องจากกลไกการออกฤทธิ์, efficacy หรือข้อบ่งใช้ไม่ตรงกับโจทย์ที่กำหนด
• ข้อ ค. (ใช้เป็นยาสลบ General Anesthetics): ข้อนี้ไม่ใช่คำตอบที่ถูกต้องสำหรับภาวะ General Therapeutics เนื่องจากกลไกการออกฤทธิ์, efficacy หรือข้อบ่งใช้ไม่ตรงกับโจทย์ที่กำหนด
• ข้อ ง. (ใช้เป็นยานอนหลับ Sedative): ข้อนี้ไม่ใช่คำตอบที่ถูกต้องสำหรับภาวะ General Therapeutics เนื่องจากกลไกการออกฤทธิ์, efficacy หรือข้อบ่งใช้ไม่ตรงกับโจทย์ที่กำหนด
• ข้อ จ. (ใช้เป็นยารักษาโรคอุจจาระร่วง Antidiarrheals 118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โครงสร้างของ Morphine และ อนุพันธ์ของ Morphine): เป็น pure opioid agonist สำหรับ severe pain มี active metabolite M6G (analgesic) และ M3G (neurotoxic) ที่ขับออกทางไต จึงต้องลดขนาดยาใน CKD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0" s="2" t="n"/>
      <c r="L1250" s="2" t="inlineStr">
        <is>
          <t>General Therapeutics</t>
        </is>
      </c>
      <c r="M1250" s="2" t="inlineStr">
        <is>
          <t>Clinic</t>
        </is>
      </c>
      <c r="N1250" s="2" t="inlineStr">
        <is>
          <t>ข้อ 36 (PLE_CC1_Practice_Exam.md)</t>
        </is>
      </c>
      <c r="O1250" s="2" t="inlineStr">
        <is>
          <t>Mock</t>
        </is>
      </c>
      <c r="P1250" s="2" t="inlineStr">
        <is>
          <t>Mock สภาเภสัชฯ Practice</t>
        </is>
      </c>
    </row>
    <row r="1251" ht="13.2" customHeight="1" s="37">
      <c r="A1251" s="8" t="inlineStr">
        <is>
          <t>1272</t>
        </is>
      </c>
      <c r="B1251" s="2" t="inlineStr">
        <is>
          <t>ข้อใดเรียงลำดับความแรงจากมากไปน้อยได้ถูกต้อง</t>
        </is>
      </c>
      <c r="C1251" s="2" t="n"/>
      <c r="D1251" s="2" t="inlineStr">
        <is>
          <t>1&gt;2&gt;3</t>
        </is>
      </c>
      <c r="E1251" s="2" t="inlineStr">
        <is>
          <t>2&gt;1&gt;3</t>
        </is>
      </c>
      <c r="F1251" s="2" t="inlineStr">
        <is>
          <t>2&gt;3&gt;1</t>
        </is>
      </c>
      <c r="G1251" s="2" t="inlineStr">
        <is>
          <t>3&gt;1&gt;2</t>
        </is>
      </c>
      <c r="H1251" s="2" t="inlineStr">
        <is>
          <t>3&gt;2&gt;1</t>
        </is>
      </c>
      <c r="I1251" s="8" t="inlineStr">
        <is>
          <t>1</t>
        </is>
      </c>
      <c r="J1251" s="2" t="inlineStr">
        <is>
          <t>✅ คำตอบที่ถูกต้อง: ข้อ ก. 1&gt;2&gt;3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1&gt;2&gt;3 การเลือก 1&gt;2&gt;3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(2&gt;1&gt;3): ข้อนี้ไม่ใช่คำตอบที่ถูกต้องสำหรับภาวะ General Therapeutics เนื่องจากกลไกการออกฤทธิ์, efficacy หรือข้อบ่งใช้ไม่ตรงกับโจทย์ที่กำหนด
• ข้อ ค. (2&gt;3&gt;1): ข้อนี้ไม่ใช่คำตอบที่ถูกต้องสำหรับภาวะ General Therapeutics เนื่องจากกลไกการออกฤทธิ์, efficacy หรือข้อบ่งใช้ไม่ตรงกับโจทย์ที่กำหนด
• ข้อ ง. (3&gt;1&gt;2): ข้อนี้ไม่ใช่คำตอบที่ถูกต้องสำหรับภาวะ General Therapeutics เนื่องจากกลไกการออกฤทธิ์, efficacy หรือข้อบ่งใช้ไม่ตรงกับโจทย์ที่กำหนด
• ข้อ จ. (3&gt;2&gt;1):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1" s="2" t="n"/>
      <c r="L1251" s="2" t="inlineStr">
        <is>
          <t>General Therapeutics</t>
        </is>
      </c>
      <c r="M1251" s="2" t="inlineStr">
        <is>
          <t>Clinic</t>
        </is>
      </c>
      <c r="N1251" s="2" t="inlineStr">
        <is>
          <t>ข้อ 3 (PLE_CC1_Practice_Exam.md)</t>
        </is>
      </c>
      <c r="O1251" s="2" t="inlineStr">
        <is>
          <t>Mock</t>
        </is>
      </c>
      <c r="P1251" s="2" t="inlineStr">
        <is>
          <t>Mock สภาเภสัชฯ Practice</t>
        </is>
      </c>
    </row>
    <row r="1252" ht="13.2" customHeight="1" s="37">
      <c r="A1252" s="8" t="inlineStr">
        <is>
          <t>1273</t>
        </is>
      </c>
      <c r="B1252" s="2" t="inlineStr">
        <is>
          <t>ยาต้านอักเสบตัวใดที่ไม่ควรใช้ในผู้ป่วยโรคเกาต์</t>
        </is>
      </c>
      <c r="C1252" s="2" t="n"/>
      <c r="D1252" s="2" t="inlineStr">
        <is>
          <t>Indomethacin</t>
        </is>
      </c>
      <c r="E1252" s="2" t="inlineStr">
        <is>
          <t>Ibruprofen</t>
        </is>
      </c>
      <c r="F1252" s="2" t="inlineStr">
        <is>
          <t>Piroxicam</t>
        </is>
      </c>
      <c r="G1252" s="2" t="inlineStr">
        <is>
          <t>Diclofenac</t>
        </is>
      </c>
      <c r="H1252" s="2" t="inlineStr">
        <is>
          <t>Aspirin</t>
        </is>
      </c>
      <c r="I1252" s="8" t="inlineStr">
        <is>
          <t>1</t>
        </is>
      </c>
      <c r="J1252" s="2" t="inlineStr">
        <is>
          <t>✅ คำตอบที่ถูกต้อง: ข้อ ก. Indomethacin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Indomethacin การเลือก Indomethacin เป็นคำตอบที่ถูกต้องตามแนวทางการรักษามาตรฐาน เนื่องจาก เป็น potent non-selective NSAID มี anti-inflammatory efficacy สูงมากใน acute gout flare แต่มี ADRs เด่นทาง GI toxicity และ CNS (ปวดศีรษะ มึนงง)
🔍 ข้ออื่นผิดเพราะอะไร:
• ข้อ ข. (Ibruprofen): ข้อนี้ไม่ใช่คำตอบที่ถูกต้องสำหรับภาวะ Musculoskeletal &amp; Joint เนื่องจากกลไกการออกฤทธิ์, efficacy หรือข้อบ่งใช้ไม่ตรงกับโจทย์ที่กำหนด
• ข้อ ค. (Piroxicam): เป็น oxicam NSAID ที่มี half-life ยาวนานมาก (~50 ชม.) แต่มีความเสี่ยงต่อ severe GI bleed และ skin reactions สูงที่สุดในกลุ่ม NSAIDs
• ข้อ ง. (Diclofenac): ข้อนี้ไม่ใช่คำตอบที่ถูกต้องสำหรับภาวะ Musculoskeletal &amp; Joint เนื่องจากกลไกการออกฤทธิ์, efficacy หรือข้อบ่งใช้ไม่ตรงกับโจทย์ที่กำหนด
• ข้อ จ. (Aspirin): เป็น irreversible COX-1 inhibitor ยับยั้ง Thromboxane A2 เป็นแกนหลักใน antiplatelet secondary prevention ของ CVD (ขนาดยา 75-100 mg/day)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Potent COX Inhibitor: มี anti-inflammatory สูงมากใน acute gout flare แต่มีอาการข้างเคียงทาง CNS สูง (ปวดศีรษะรุนแรง มึนงง) และเสี่ยงต่อ GI toxicity สูง
• PDA Closure: ใช้ฉีด IV เพื่อปิดหลอดเลือด Patent Ductus Arteriosus (PDA) ในทารกคลอดก่อนกำหนด</t>
        </is>
      </c>
      <c r="K1252" s="2" t="n"/>
      <c r="L1252" s="2" t="inlineStr">
        <is>
          <t>Musculoskeletal &amp; Joint</t>
        </is>
      </c>
      <c r="M1252" s="2" t="inlineStr">
        <is>
          <t>Clinic</t>
        </is>
      </c>
      <c r="N1252" s="2" t="inlineStr">
        <is>
          <t>ข้อ 38 (PLE_CC1_Practice_Exam.md)</t>
        </is>
      </c>
      <c r="O1252" s="2" t="inlineStr">
        <is>
          <t>Mock</t>
        </is>
      </c>
      <c r="P1252" s="2" t="inlineStr">
        <is>
          <t>Mock สภาเภสัชฯ Practice</t>
        </is>
      </c>
    </row>
    <row r="1253" ht="13.2" customHeight="1" s="37">
      <c r="A1253" s="8" t="inlineStr">
        <is>
          <t>1274</t>
        </is>
      </c>
      <c r="B1253" s="2" t="inlineStr">
        <is>
          <t>กระตุ้นการขนส่งและดูดซึมแคลเซียมเข้าสู่ลำไส้เล็ก</t>
        </is>
      </c>
      <c r="C1253" s="2" t="n"/>
      <c r="D1253" s="2" t="inlineStr">
        <is>
          <t>Sodium thiosulfate 25% 50 mL IV</t>
        </is>
      </c>
      <c r="E1253" s="2" t="inlineStr">
        <is>
          <t>Calcium disodium EDTA 1 g IV</t>
        </is>
      </c>
      <c r="F1253" s="2" t="inlineStr">
        <is>
          <t>Desferrioxamine 1 g IM/IV</t>
        </is>
      </c>
      <c r="G1253" s="2" t="inlineStr">
        <is>
          <t>Dimercaprol (BAL) 3 mg/kg IM</t>
        </is>
      </c>
      <c r="H1253" s="2" t="inlineStr">
        <is>
          <t>Ethanol 10% IV infusion for Methanol poisoning</t>
        </is>
      </c>
      <c r="I1253" s="8" t="inlineStr">
        <is>
          <t>1</t>
        </is>
      </c>
      <c r="J12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3" s="2" t="n"/>
      <c r="L1253" s="2" t="inlineStr">
        <is>
          <t>General Therapeutics</t>
        </is>
      </c>
      <c r="M1253" s="2" t="inlineStr">
        <is>
          <t>Clinic</t>
        </is>
      </c>
      <c r="N1253" s="2" t="inlineStr">
        <is>
          <t>ข้อ 1 (PLE_CC1_Practice_Exam.md)</t>
        </is>
      </c>
      <c r="O1253" s="2" t="inlineStr">
        <is>
          <t>Mock</t>
        </is>
      </c>
      <c r="P1253" s="2" t="inlineStr">
        <is>
          <t>Mock สภาเภสัชฯ Practice</t>
        </is>
      </c>
    </row>
    <row r="1254" ht="13.2" customHeight="1" s="37">
      <c r="A1254" s="8" t="inlineStr">
        <is>
          <t>1275</t>
        </is>
      </c>
      <c r="B1254" s="2" t="inlineStr">
        <is>
          <t>ข้อใดไม่ใช่สาเหตุที่ทำให้เกิดโรคดังกล่าว</t>
        </is>
      </c>
      <c r="C1254" s="2" t="n"/>
      <c r="D1254" s="2" t="inlineStr">
        <is>
          <t>การติดเชื้อในกลุ่ม Malassezia sp.</t>
        </is>
      </c>
      <c r="E1254" s="2" t="inlineStr">
        <is>
          <t>การถ่ายทอดทางพันธุกรรม</t>
        </is>
      </c>
      <c r="F1254" s="2" t="inlineStr">
        <is>
          <t>เป็นบุคคลที่มีผิวมันมากกว่าคนปกติ</t>
        </is>
      </c>
      <c r="G1254" s="2" t="inlineStr">
        <is>
          <t>การติดเชื้อ Dermatophyte</t>
        </is>
      </c>
      <c r="H1254" s="2" t="inlineStr">
        <is>
          <t>การถูกไร Demodex folliculorum กัด</t>
        </is>
      </c>
      <c r="I1254" s="8" t="inlineStr">
        <is>
          <t>1</t>
        </is>
      </c>
      <c r="J1254" s="2" t="inlineStr">
        <is>
          <t>✅ คำตอบที่ถูกต้อง: ข้อ ก. การติดเชื้อในกลุ่ม Malassezia sp.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การติดเชื้อในกลุ่ม Malassezia sp. การเลือก การติดเชื้อในกลุ่ม Malassezia sp.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(การถ่ายทอดทางพันธุกรรม): ข้อนี้ไม่ใช่คำตอบที่ถูกต้องสำหรับภาวะ General Therapeutics เนื่องจากกลไกการออกฤทธิ์, efficacy หรือข้อบ่งใช้ไม่ตรงกับโจทย์ที่กำหนด
• ข้อ ค. (เป็นบุคคลที่มีผิวมันมากกว่าคนปกติ): ข้อนี้ไม่ใช่คำตอบที่ถูกต้องสำหรับภาวะ General Therapeutics เนื่องจากกลไกการออกฤทธิ์, efficacy หรือข้อบ่งใช้ไม่ตรงกับโจทย์ที่กำหนด
• ข้อ ง. (การติดเชื้อ Dermatophyte): ข้อนี้ไม่ใช่คำตอบที่ถูกต้องสำหรับภาวะ General Therapeutics เนื่องจากกลไกการออกฤทธิ์, efficacy หรือข้อบ่งใช้ไม่ตรงกับโจทย์ที่กำหนด
• ข้อ จ. (การถูกไร Demodex folliculorum กัด):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4" s="2" t="n"/>
      <c r="L1254" s="2" t="inlineStr">
        <is>
          <t>General Therapeutics</t>
        </is>
      </c>
      <c r="M1254" s="2" t="inlineStr">
        <is>
          <t>Clinic</t>
        </is>
      </c>
      <c r="N1254" s="2" t="inlineStr">
        <is>
          <t>ข้อ 2 (PLE_CC1_Practice_Exam.md)</t>
        </is>
      </c>
      <c r="O1254" s="2" t="inlineStr">
        <is>
          <t>Mock</t>
        </is>
      </c>
      <c r="P1254" s="2" t="inlineStr">
        <is>
          <t>Mock สภาเภสัชฯ Practice</t>
        </is>
      </c>
    </row>
    <row r="1255" ht="13.2" customHeight="1" s="37">
      <c r="A1255" s="8" t="inlineStr">
        <is>
          <t>1276</t>
        </is>
      </c>
      <c r="B1255" s="2" t="inlineStr">
        <is>
          <t>กลไกการเกิด drug allergy จากข้อ 12 คือข้อใด</t>
        </is>
      </c>
      <c r="C1255" s="2" t="n"/>
      <c r="D1255" s="2" t="inlineStr">
        <is>
          <t>Type 1 hypersensitivity</t>
        </is>
      </c>
      <c r="E1255" s="2" t="inlineStr">
        <is>
          <t>Type 2 hypersensitivity</t>
        </is>
      </c>
      <c r="F1255" s="2" t="inlineStr">
        <is>
          <t>Type 3 hypersensitivity</t>
        </is>
      </c>
      <c r="G1255" s="2" t="inlineStr">
        <is>
          <t>Type 4 hypersensitivity</t>
        </is>
      </c>
      <c r="H1255" s="2" t="inlineStr">
        <is>
          <t>Pseudoallergy</t>
        </is>
      </c>
      <c r="I1255" s="8" t="inlineStr">
        <is>
          <t>1</t>
        </is>
      </c>
      <c r="J1255" s="2" t="inlineStr">
        <is>
          <t>✅ คำตอบที่ถูกต้อง: ข้อ ก. Type 1 hypersensitivity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Type 1 hypersensitivity การเลือก Type 1 hypersensitivity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(Type 2 hypersensitivity): ข้อนี้ไม่ใช่คำตอบที่ถูกต้องสำหรับภาวะ Allergy &amp; Immunology เนื่องจากกลไกการออกฤทธิ์, efficacy หรือข้อบ่งใช้ไม่ตรงกับโจทย์ที่กำหนด
• ข้อ ค. (Type 3 hypersensitivity): ข้อนี้ไม่ใช่คำตอบที่ถูกต้องสำหรับภาวะ Allergy &amp; Immunology เนื่องจากกลไกการออกฤทธิ์, efficacy หรือข้อบ่งใช้ไม่ตรงกับโจทย์ที่กำหนด
• ข้อ ง. (Type 4 hypersensitivity): ข้อนี้ไม่ใช่คำตอบที่ถูกต้องสำหรับภาวะ Allergy &amp; Immunology เนื่องจากกลไกการออกฤทธิ์, efficacy หรือข้อบ่งใช้ไม่ตรงกับโจทย์ที่กำหนด
• ข้อ จ. (Pseudoallergy):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5" s="2" t="n"/>
      <c r="L1255" s="2" t="inlineStr">
        <is>
          <t>Allergy &amp; Immunology</t>
        </is>
      </c>
      <c r="M1255" s="2" t="inlineStr">
        <is>
          <t>Clinic</t>
        </is>
      </c>
      <c r="N1255" s="2" t="inlineStr">
        <is>
          <t>ข้อ 13 (PLE_CC1_Practice_Exam.md)</t>
        </is>
      </c>
      <c r="O1255" s="2" t="inlineStr">
        <is>
          <t>Mock</t>
        </is>
      </c>
      <c r="P1255" s="2" t="inlineStr">
        <is>
          <t>Mock สภาเภสัชฯ Practice</t>
        </is>
      </c>
    </row>
    <row r="1256" ht="13.2" customHeight="1" s="37">
      <c r="A1256" s="8" t="inlineStr">
        <is>
          <t>1277</t>
        </is>
      </c>
      <c r="B1256" s="2" t="inlineStr">
        <is>
          <t>การจัดการในข้อใดไม่เหมาะสมกับผู้ป่วยรายนี้</t>
        </is>
      </c>
      <c r="C1256" s="2" t="n"/>
      <c r="D1256" s="2" t="inlineStr">
        <is>
          <t>ออกบัตรแพ้ยา NSAIDs</t>
        </is>
      </c>
      <c r="E1256" s="2" t="inlineStr">
        <is>
          <t>ออกบัตรแพ้ยา Diclofenac</t>
        </is>
      </c>
      <c r="F1256" s="2" t="inlineStr">
        <is>
          <t>หยุดยา Diclofenac</t>
        </is>
      </c>
      <c r="G1256" s="2" t="inlineStr">
        <is>
          <t>IV Antihistamine และ Corticosteroid</t>
        </is>
      </c>
      <c r="H1256" s="2" t="inlineStr">
        <is>
          <t>IV Epinephrine 131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I1256" s="8" t="inlineStr">
        <is>
          <t>1</t>
        </is>
      </c>
      <c r="J1256" s="2" t="inlineStr">
        <is>
          <t>✅ คำตอบที่ถูกต้อง: ข้อ ก. ออกบัตรแพ้ยา NSAIDs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ออกบัตรแพ้ยา NSAIDs การเลือก ออกบัตรแพ้ยา NSAIDs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(ออกบัตรแพ้ยา Diclofenac): ข้อนี้ไม่ใช่คำตอบที่ถูกต้องสำหรับภาวะ General Therapeutics เนื่องจากกลไกการออกฤทธิ์, efficacy หรือข้อบ่งใช้ไม่ตรงกับโจทย์ที่กำหนด
• ข้อ ค. (หยุดยา Diclofenac): ข้อนี้ไม่ใช่คำตอบที่ถูกต้องสำหรับภาวะ General Therapeutics เนื่องจากกลไกการออกฤทธิ์, efficacy หรือข้อบ่งใช้ไม่ตรงกับโจทย์ที่กำหนด
• ข้อ ง. (IV Antihistamine และ Corticosteroid): ข้อนี้ไม่ใช่คำตอบที่ถูกต้องสำหรับภาวะ General Therapeutics เนื่องจากกลไกการออกฤทธิ์, efficacy หรือข้อบ่งใช้ไม่ตรงกับโจทย์ที่กำหนด
• ข้อ จ. (IV Epinephrine 131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6" s="2" t="n"/>
      <c r="L1256" s="2" t="inlineStr">
        <is>
          <t>General Therapeutics</t>
        </is>
      </c>
      <c r="M1256" s="2" t="inlineStr">
        <is>
          <t>Clinic</t>
        </is>
      </c>
      <c r="N1256" s="2" t="inlineStr">
        <is>
          <t>ข้อ 14 (PLE_CC1_Practice_Exam.md)</t>
        </is>
      </c>
      <c r="O1256" s="2" t="inlineStr">
        <is>
          <t>Mock</t>
        </is>
      </c>
      <c r="P1256" s="2" t="inlineStr">
        <is>
          <t>Mock สภาเภสัชฯ Practice</t>
        </is>
      </c>
    </row>
    <row r="1257" ht="13.2" customHeight="1" s="37">
      <c r="A1257" s="8" t="inlineStr">
        <is>
          <t>1278</t>
        </is>
      </c>
      <c r="B1257" s="2" t="inlineStr">
        <is>
          <t>จากข้อ 15 การรักษาใดไม่เหมาะสมกับผู้ป่วยรายนี้</t>
        </is>
      </c>
      <c r="C1257" s="2" t="n"/>
      <c r="D1257" s="2" t="inlineStr">
        <is>
          <t>Topical corticosteroid</t>
        </is>
      </c>
      <c r="E1257" s="2" t="inlineStr">
        <is>
          <t>Topical moisturizer</t>
        </is>
      </c>
      <c r="F1257" s="2" t="inlineStr">
        <is>
          <t>Oral antihistamine</t>
        </is>
      </c>
      <c r="G1257" s="2" t="inlineStr">
        <is>
          <t>Wet dressing</t>
        </is>
      </c>
      <c r="H1257" s="2" t="inlineStr">
        <is>
          <t>Intralesional injection corticosteroid</t>
        </is>
      </c>
      <c r="I1257" s="8" t="inlineStr">
        <is>
          <t>1</t>
        </is>
      </c>
      <c r="J1257" s="2" t="inlineStr">
        <is>
          <t>✅ คำตอบที่ถูกต้อง: ข้อ ก. Topical corticosteroid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Topical corticosteroid การเลือก Topical corticosteroid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(Topical moisturizer): ข้อนี้ไม่ใช่คำตอบที่ถูกต้องสำหรับภาวะ General Therapeutics เนื่องจากกลไกการออกฤทธิ์, efficacy หรือข้อบ่งใช้ไม่ตรงกับโจทย์ที่กำหนด
• ข้อ ค. (Oral antihistamine): ข้อนี้ไม่ใช่คำตอบที่ถูกต้องสำหรับภาวะ General Therapeutics เนื่องจากกลไกการออกฤทธิ์, efficacy หรือข้อบ่งใช้ไม่ตรงกับโจทย์ที่กำหนด
• ข้อ ง. (Wet dressing): ข้อนี้ไม่ใช่คำตอบที่ถูกต้องสำหรับภาวะ General Therapeutics เนื่องจากกลไกการออกฤทธิ์, efficacy หรือข้อบ่งใช้ไม่ตรงกับโจทย์ที่กำหนด
• ข้อ จ. (Intralesional injection corticosteroid): วัคซีนไข้สมองอักเสบเจอี ชนิดเชื้อเป็น (Live attenuated CD.JEV) ให้ 2 เข็ม ที่อายุ 9-12 เดือน และเข็ม 2 ห่างกัน 3-12 เดือน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7" s="2" t="n"/>
      <c r="L1257" s="2" t="inlineStr">
        <is>
          <t>General Therapeutics</t>
        </is>
      </c>
      <c r="M1257" s="2" t="inlineStr">
        <is>
          <t>Clinic</t>
        </is>
      </c>
      <c r="N1257" s="2" t="inlineStr">
        <is>
          <t>ข้อ 16 (PLE_CC1_Practice_Exam.md)</t>
        </is>
      </c>
      <c r="O1257" s="2" t="inlineStr">
        <is>
          <t>Mock</t>
        </is>
      </c>
      <c r="P1257" s="2" t="inlineStr">
        <is>
          <t>Mock สภาเภสัชฯ Practice</t>
        </is>
      </c>
    </row>
    <row r="1258" ht="13.2" customHeight="1" s="37">
      <c r="A1258" s="8" t="inlineStr">
        <is>
          <t>1279</t>
        </is>
      </c>
      <c r="B1258" s="2" t="inlineStr">
        <is>
          <t>ผู้ป่วยหญิง อายุ 22 ปี อาชีพนักศึกษา สูง 161 เซนติเมตร น้ำหนัก 52 กิโลกรัม ไม่มีโรคประจำตัว มา พบแพทย์ที่โรงพยาบาลเนื่องจากขับรถจักรยานยนต์ล้มเอง มีแผลถลอกบริเวณมือขวาขนาด 2.5x3.5 เซนติเมตร ขาขวาขนาด 4x18 เซนติเมตรและเท้าขวา โดยรถจักรยานยนต์ล้มก่อนมาโรงพยาบาล 13 ชั่วโมง ในผู้ป่วยรายนี้จำเป็นต้องได้รับยาปฏิชีวนะหรือไม่</t>
        </is>
      </c>
      <c r="C1258" s="2" t="n"/>
      <c r="D1258" s="2" t="inlineStr">
        <is>
          <t>ไม่จำเป็นต้องได้รับ เนื่องจากแผลไม่สกปรก ไม่มีโอกาสปนเปื้อนเชื้อแบคทีเรีย</t>
        </is>
      </c>
      <c r="E1258" s="2" t="inlineStr">
        <is>
          <t>ไม่จำเป็นต้องได้รับ เนื่องจากผู้ป่วยอายุยังไม่มากและไม่มีโรคประจำตัวใด โอกาสที่จะติดเชื้อ แบคทีเรียมีน้อย</t>
        </is>
      </c>
      <c r="F1258" s="2" t="inlineStr">
        <is>
          <t>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t>
        </is>
      </c>
      <c r="G1258" s="2" t="inlineStr">
        <is>
          <t>จำเป็นต้องได้รับ เนื่องจากผู้ป่วยมาโรงพยาบาลช้ากว่า 12 ชั่วโมง และควรได้รับยา Dicloxacillin ขนาด 250 มิลลิกรัม รับประทานก่อนอาหารวันละ 4 ครั้ง เป็นเวลา 3 วัน</t>
        </is>
      </c>
      <c r="H1258" s="2" t="inlineStr">
        <is>
          <t>จำเป็นต้องได้รับ เนื่องจากผู้ป่วยมาโรงพยาบาลช้ากว่า 6 ชั่วโมง และควรได้รับยา Amoxicillin/clavulanic acid ขนาด 375 มิลลิกรัม รับประทานวันละ 3 ครั้ง เป็นเวลา 2 วัน</t>
        </is>
      </c>
      <c r="I1258" s="8" t="inlineStr">
        <is>
          <t>1</t>
        </is>
      </c>
      <c r="J1258" s="2" t="inlineStr">
        <is>
          <t>✅ คำตอบที่ถูกต้อง: ข้อ ก. ไม่จำเป็นต้องได้รับ เนื่องจากแผลไม่สกปรก ไม่มีโอกาสปนเปื้อนเชื้อแบคทีเรีย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ไม่จำเป็นต้องได้รับ เนื่องจากแผลไม่สกปรก ไม่มีโอกาสปนเปื้อนเชื้อแบคทีเรีย การเลือก ไม่จำเป็นต้องได้รับ เนื่องจากแผลไม่สกปรก ไม่มีโอกาสปนเปื้อนเชื้อแบคทีเรีย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(ไม่จำเป็นต้องได้รับ เนื่องจากผู้ป่วยอายุยังไม่มากและไม่มีโรคประจำตัวใด โอกาสที่จะติดเชื้อ แบคทีเรียมีน้อย): ข้อนี้ไม่ใช่คำตอบที่ถูกต้องสำหรับภาวะ General Therapeutics เนื่องจากกลไกการออกฤทธิ์, efficacy หรือข้อบ่งใช้ไม่ตรงกับโจทย์ที่กำหนด
• ข้อ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เป็น penicillinase-resistant penicillin เป็น drug of choice สำหรับ Methicillin-Susceptible Staphylococcus aureus (MSSA) infections ต้องรับประทานตอนท้องว่าง
• ข้อ ง. (จำเป็นต้องได้รับ เนื่องจากผู้ป่วยมาโรงพยาบาลช้ากว่า 12 ชั่วโมง และควรได้รับยา Dicloxacillin ขนาด 250 มิลลิกรัม รับประทานก่อนอาหารวันละ 4 ครั้ง เป็นเวลา 3 วัน): เป็น penicillinase-resistant penicillin เป็น drug of choice สำหรับ Methicillin-Susceptible Staphylococcus aureus (MSSA) infections ต้องรับประทานตอนท้องว่าง
• ข้อ จ. (จำเป็นต้องได้รับ เนื่องจากผู้ป่วยมาโรงพยาบาลช้ากว่า 6 ชั่วโมง และควรได้รับยา Amoxicillin/clavulanic acid ขนาด 375 มิลลิกรัม รับประทานวันละ 3 ครั้ง เป็นเวลา 2 วัน):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8" s="2" t="n"/>
      <c r="L1258" s="2" t="inlineStr">
        <is>
          <t>General Therapeutics</t>
        </is>
      </c>
      <c r="M1258" s="2" t="inlineStr">
        <is>
          <t>Clinic</t>
        </is>
      </c>
      <c r="N1258" s="2" t="inlineStr">
        <is>
          <t>ข้อ 18 (PLE_CC1_Practice_Exam.md)</t>
        </is>
      </c>
      <c r="O1258" s="2" t="inlineStr">
        <is>
          <t>Mock</t>
        </is>
      </c>
      <c r="P1258" s="2" t="inlineStr">
        <is>
          <t>Mock สภาเภสัชฯ Practice</t>
        </is>
      </c>
    </row>
    <row r="1259" ht="13.2" customHeight="1" s="37">
      <c r="A1259" s="8" t="inlineStr">
        <is>
          <t>1280</t>
        </is>
      </c>
      <c r="B1259" s="2" t="inlineStr">
        <is>
          <t>จากข้อ 20. ในฐานะเภสัชกร ท่านต้องเลือกการรักษาและการป้องกันไม่ให้เกิดซ้ำอีก ข้อใดเป็นข้อมูลที่ไม่ ถูกต้อง</t>
        </is>
      </c>
      <c r="C1259" s="2" t="n"/>
      <c r="D1259" s="2" t="inlineStr">
        <is>
          <t>แนะนำให้สวมถุงเท้าเป็นประจำ</t>
        </is>
      </c>
      <c r="E1259" s="2" t="inlineStr">
        <is>
          <t>แนะนำให้ใส่รองเท้าส้นสูง เพื่อเป็นการลดการรับน้ำหนักของเท้าไม่ให้ตาปลาถูกกด</t>
        </is>
      </c>
      <c r="F1259" s="2" t="inlineStr">
        <is>
          <t>การรักษาผู้ป่วยรายนี้คือ Keratolytic agent</t>
        </is>
      </c>
      <c r="G1259" s="2" t="inlineStr">
        <is>
          <t>การรักษาผู้ป่วยรายนี้แนะนำให้ไปพบแพทย์ที่โรงพยาบาล เพื่อตัดหนังส่วนเกินทิ้ง</t>
        </is>
      </c>
      <c r="H1259" s="2" t="inlineStr">
        <is>
          <t>แนะนำให้ผู้ป่วยสวมรองเท้าที่เป็นหัวบาน (Wide toebox)</t>
        </is>
      </c>
      <c r="I1259" s="8" t="inlineStr">
        <is>
          <t>1</t>
        </is>
      </c>
      <c r="J1259" s="2" t="inlineStr">
        <is>
          <t>✅ คำตอบที่ถูกต้อง: ข้อ ก. แนะนำให้สวมถุงเท้าเป็นประจำ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แนะนำให้สวมถุงเท้าเป็นประจำ การเลือก แนะนำให้สวมถุงเท้าเป็นประจำ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(แนะนำให้ใส่รองเท้าส้นสูง เพื่อเป็นการลดการรับน้ำหนักของเท้าไม่ให้ตาปลาถูกกด): ข้อนี้ไม่ใช่คำตอบที่ถูกต้องสำหรับภาวะ General Therapeutics เนื่องจากกลไกการออกฤทธิ์, efficacy หรือข้อบ่งใช้ไม่ตรงกับโจทย์ที่กำหนด
• ข้อ ค. (การรักษาผู้ป่วยรายนี้คือ Keratolytic agent): ข้อนี้ไม่ใช่คำตอบที่ถูกต้องสำหรับภาวะ General Therapeutics เนื่องจากกลไกการออกฤทธิ์, efficacy หรือข้อบ่งใช้ไม่ตรงกับโจทย์ที่กำหนด
• ข้อ ง. (การรักษาผู้ป่วยรายนี้แนะนำให้ไปพบแพทย์ที่โรงพยาบาล เพื่อตัดหนังส่วนเกินทิ้ง): ข้อนี้ไม่ใช่คำตอบที่ถูกต้องสำหรับภาวะ General Therapeutics เนื่องจากกลไกการออกฤทธิ์, efficacy หรือข้อบ่งใช้ไม่ตรงกับโจทย์ที่กำหนด
• ข้อ จ. (แนะนำให้ผู้ป่วยสวมรองเท้าที่เป็นหัวบาน (Wide toebox)):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9" s="2" t="n"/>
      <c r="L1259" s="2" t="inlineStr">
        <is>
          <t>General Therapeutics</t>
        </is>
      </c>
      <c r="M1259" s="2" t="inlineStr">
        <is>
          <t>Clinic</t>
        </is>
      </c>
      <c r="N1259" s="2" t="inlineStr">
        <is>
          <t>ข้อ 21 (PLE_CC1_Practice_Exam.md)</t>
        </is>
      </c>
      <c r="O1259" s="2" t="inlineStr">
        <is>
          <t>Mock</t>
        </is>
      </c>
      <c r="P1259" s="2" t="inlineStr">
        <is>
          <t>Mock สภาเภสัชฯ Practice</t>
        </is>
      </c>
    </row>
    <row r="1260" ht="13.2" customHeight="1" s="37">
      <c r="A1260" s="8" t="inlineStr">
        <is>
          <t>1281</t>
        </is>
      </c>
      <c r="B1260" s="2" t="inlineStr">
        <is>
          <t>จากข้อ 34. หากผู้ป่วยมีโรคประจำตัว คือ โรคลมชัก ยาในข้อใดต่อไปนี้ที่เป็นสาเหตุของอาการดังกล่าว</t>
        </is>
      </c>
      <c r="C1260" s="2" t="n"/>
      <c r="D1260" s="2" t="inlineStr">
        <is>
          <t>Sumatriptan 50 mg stat</t>
        </is>
      </c>
      <c r="E1260" s="2" t="inlineStr">
        <is>
          <t>Propranolol 40 mg BID</t>
        </is>
      </c>
      <c r="F1260" s="2" t="inlineStr">
        <is>
          <t>Topiramate 25 mg BID</t>
        </is>
      </c>
      <c r="G1260" s="2" t="inlineStr">
        <is>
          <t>Donepezil 5 mg HS</t>
        </is>
      </c>
      <c r="H1260" s="2" t="inlineStr">
        <is>
          <t>Alteplase (rtPA) 0.9 mg/kg IV</t>
        </is>
      </c>
      <c r="I1260" s="8" t="inlineStr">
        <is>
          <t>1</t>
        </is>
      </c>
      <c r="J1260" s="2"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(Propranolol 40 mg BID): เป็น non-selective beta-blocker ข้าม blood-brain barrier ได้ดี เหมาะสำหรับ performance anxiety, essential tremor, migraine prophylaxis และ thyroid storm แต่ contraindication ใน asthma
• ข้อ ค. (Topiramate 25 mg BID): เป็น carbonic anhydrase inhibitor และ glutamate blocker ทำให้เกิดน้ำหนักลด สมาธิลดลง นิ่วในไต และ secondary angle-closure glaucoma
• ข้อ ง. (Donepezil 5 mg HS): ข้อนี้ไม่ใช่คำตอบที่ถูกต้องสำหรับภาวะ Neurologic Disorders เนื่องจากกลไกการออกฤทธิ์, efficacy หรือข้อบ่งใช้ไม่ตรงกับโจทย์ที่กำหนด
• ข้อ จ. (Alteplase (rtPA) 0.9 mg/kg IV):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0" s="2" t="n"/>
      <c r="L1260" s="2" t="inlineStr">
        <is>
          <t>Neurologic Disorders</t>
        </is>
      </c>
      <c r="M1260" s="2" t="inlineStr">
        <is>
          <t>Clinic</t>
        </is>
      </c>
      <c r="N1260" s="2" t="inlineStr">
        <is>
          <t>ข้อ 35 (PLE_CC1_Practice_Exam.md)</t>
        </is>
      </c>
      <c r="O1260" s="2" t="inlineStr">
        <is>
          <t>Mock</t>
        </is>
      </c>
      <c r="P1260" s="2" t="inlineStr">
        <is>
          <t>Mock สภาเภสัชฯ Practice</t>
        </is>
      </c>
    </row>
    <row r="1261" ht="13.2" customHeight="1" s="37">
      <c r="A1261" s="8" t="inlineStr">
        <is>
          <t>1282</t>
        </is>
      </c>
      <c r="B1261" s="2" t="inlineStr">
        <is>
          <t>จากข้อ 35 หากผู้ป่วยมีอาการชักกำเริบ จงพิจารณายาที่สามารถใช้ได้กับผู้ป่วยรายนี้</t>
        </is>
      </c>
      <c r="C1261" s="2" t="n"/>
      <c r="D1261" s="2" t="inlineStr">
        <is>
          <t>Donepezil 5 mg HS</t>
        </is>
      </c>
      <c r="E1261" s="2" t="inlineStr">
        <is>
          <t>Alteplase (rtPA) 0.9 mg/kg IV</t>
        </is>
      </c>
      <c r="F1261" s="2" t="inlineStr">
        <is>
          <t>Phenytoin 100 mg TID</t>
        </is>
      </c>
      <c r="G1261" s="2" t="inlineStr">
        <is>
          <t>Sodium valproate 200 mg TID</t>
        </is>
      </c>
      <c r="H1261" s="2" t="inlineStr">
        <is>
          <t>Carbamazepine 200 mg BID</t>
        </is>
      </c>
      <c r="I1261" s="8" t="inlineStr">
        <is>
          <t>1</t>
        </is>
      </c>
      <c r="J1261" s="2" t="inlineStr">
        <is>
          <t>✅ คำตอบที่ถูกต้อง: ข้อ ก. Donepezil 5 mg HS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Donepezil 5 mg HS เป็นตัวเลือกที่ถูกต้องและสอดคล้องกับ evidence-based guidelines ของภาวะ Neurologic Disorders โดยมี clinical efficacy สูงสุดและมี safety profile เหมาะสมกับผู้ป่วย
🔍 ข้ออื่นผิดเพราะอะไร:
• ข้อ ข. (Alteplase (rtPA) 0.9 mg/kg IV): ข้อนี้ไม่ใช่คำตอบที่ถูกต้องสำหรับภาวะ Neurologic Disorders เนื่องจากกลไกการออกฤทธิ์, efficacy หรือข้อบ่งใช้ไม่ตรงกับโจทย์ที่กำหนด
• ข้อ ค.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ง. (Sodium valproate 200 mg TID): เป็น broad-spectrum antiepileptic drug แต่มี teratogenicity สูงมาก (neural tube defects) ห้ามใช้ในหญิงวัยเจริญพันธุ์ และเสี่ยงต่อ hepatotoxicity, pancreatitis, weight gain, alopecia
• ข้อ จ.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1" s="2" t="n"/>
      <c r="L1261" s="2" t="inlineStr">
        <is>
          <t>Neurologic Disorders</t>
        </is>
      </c>
      <c r="M1261" s="2" t="inlineStr">
        <is>
          <t>Clinic</t>
        </is>
      </c>
      <c r="N1261" s="2" t="inlineStr">
        <is>
          <t>ข้อ 36 (PLE_CC1_Practice_Exam.md)</t>
        </is>
      </c>
      <c r="O1261" s="2" t="inlineStr">
        <is>
          <t>Mock</t>
        </is>
      </c>
      <c r="P1261" s="2" t="inlineStr">
        <is>
          <t>Mock สภาเภสัชฯ Practice</t>
        </is>
      </c>
    </row>
    <row r="1262" ht="13.2" customHeight="1" s="37">
      <c r="A1262" s="8" t="inlineStr">
        <is>
          <t>1283</t>
        </is>
      </c>
      <c r="B1262" s="2" t="inlineStr">
        <is>
          <t>Eosinophilia มักสูงขึ้นซึ่งสูงกว่า 1,500 cells/mm3</t>
        </is>
      </c>
      <c r="C1262" s="2" t="n"/>
      <c r="D1262" s="2" t="inlineStr">
        <is>
          <t>Dimercaprol (BAL) 3 mg/kg IM</t>
        </is>
      </c>
      <c r="E1262" s="2" t="inlineStr">
        <is>
          <t>Ethanol 10% IV infusion for Methanol poisoning</t>
        </is>
      </c>
      <c r="F1262" s="2" t="inlineStr">
        <is>
          <t>Fomepizole 15 mg/kg IV loading</t>
        </is>
      </c>
      <c r="G1262" s="2" t="inlineStr">
        <is>
          <t>N-acetylcysteine (NAC) IV infusion protocol</t>
        </is>
      </c>
      <c r="H1262" s="2" t="inlineStr">
        <is>
          <t>Atropine sulfate 2 mg IV Q5-10 min</t>
        </is>
      </c>
      <c r="I1262" s="8" t="inlineStr">
        <is>
          <t>1</t>
        </is>
      </c>
      <c r="J12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2" s="2" t="n"/>
      <c r="L1262" s="2" t="inlineStr">
        <is>
          <t>General Therapeutics</t>
        </is>
      </c>
      <c r="M1262" s="2" t="inlineStr">
        <is>
          <t>Clinic</t>
        </is>
      </c>
      <c r="N1262" s="2" t="inlineStr">
        <is>
          <t>ข้อ 2 (PLE_CC1_Practice_Exam.md)</t>
        </is>
      </c>
      <c r="O1262" s="2" t="inlineStr">
        <is>
          <t>Mock</t>
        </is>
      </c>
      <c r="P1262" s="2" t="inlineStr">
        <is>
          <t>Mock สภาเภสัชฯ Practice</t>
        </is>
      </c>
    </row>
    <row r="1263" ht="13.2" customHeight="1" s="37">
      <c r="A1263" s="8" t="inlineStr">
        <is>
          <t>1284</t>
        </is>
      </c>
      <c r="B1263" s="2" t="inlineStr">
        <is>
          <t>Podophyllin paint</t>
        </is>
      </c>
      <c r="C1263" s="2" t="n"/>
      <c r="D1263" s="2" t="inlineStr">
        <is>
          <t>N-acetylcysteine (NAC) IV infusion protocol</t>
        </is>
      </c>
      <c r="E1263" s="2" t="inlineStr">
        <is>
          <t>Atropine sulfate 2 mg IV Q5-10 min</t>
        </is>
      </c>
      <c r="F1263" s="2" t="inlineStr">
        <is>
          <t>Pralidoxime (2-PAM) 1-2 g IV over 30 min</t>
        </is>
      </c>
      <c r="G1263" s="2" t="inlineStr">
        <is>
          <t>Naloxone 0.4 mg IV stat</t>
        </is>
      </c>
      <c r="H1263" s="2" t="inlineStr">
        <is>
          <t>Flumazenil 0.2 mg IV stat</t>
        </is>
      </c>
      <c r="I1263" s="8" t="inlineStr">
        <is>
          <t>1</t>
        </is>
      </c>
      <c r="J12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63" s="2" t="n"/>
      <c r="L1263" s="2" t="inlineStr">
        <is>
          <t>General Therapeutics</t>
        </is>
      </c>
      <c r="M1263" s="2" t="inlineStr">
        <is>
          <t>Clinic</t>
        </is>
      </c>
      <c r="N1263" s="2" t="inlineStr">
        <is>
          <t>ข้อ 3 (PLE_CC1_Practice_Exam.md)</t>
        </is>
      </c>
      <c r="O1263" s="2" t="inlineStr">
        <is>
          <t>Mock</t>
        </is>
      </c>
      <c r="P1263" s="2" t="inlineStr">
        <is>
          <t>Mock สภาเภสัชฯ Practice</t>
        </is>
      </c>
    </row>
    <row r="1264" ht="13.2" customHeight="1" s="37">
      <c r="A1264" s="8" t="inlineStr">
        <is>
          <t>1285</t>
        </is>
      </c>
      <c r="B1264" s="2" t="inlineStr">
        <is>
          <t>การรักษาใดที่เหมาะสมที่สุดในผู้ป่วยรายนี้</t>
        </is>
      </c>
      <c r="C1264" s="2" t="n"/>
      <c r="D1264" s="2" t="inlineStr">
        <is>
          <t>Dicloxacillin 250-500 mg po QID ac 5-7 วัน</t>
        </is>
      </c>
      <c r="E1264" s="2" t="inlineStr">
        <is>
          <t>Neomycin2 mg, Polymyxin B 5,000 หนวย และ Gramicidin 0.025 mg (Poly-Ophห) หยอด ตา QID 5-7 วัน</t>
        </is>
      </c>
      <c r="F1264" s="2" t="inlineStr">
        <is>
          <t>น้ำตาเทียม หยอด OD-BID กรณีไม่รุนแรง และ TID-QID กรณีรุนแรงมากขึ้น</t>
        </is>
      </c>
      <c r="G1264" s="2" t="inlineStr">
        <is>
          <t>Antazoline 0.05% และ Tetrahydrozoline 0.04% (Hista-Ophห) หยอดตา QID</t>
        </is>
      </c>
      <c r="H1264" s="2" t="inlineStr">
        <is>
          <t>Chloramphenicol 0.5% หยอดเมื่อมีอาการ</t>
        </is>
      </c>
      <c r="I1264" s="8" t="inlineStr">
        <is>
          <t>1</t>
        </is>
      </c>
      <c r="J1264" s="2" t="inlineStr">
        <is>
          <t>✅ คำตอบที่ถูกต้อง: ข้อ ก. Dicloxacillin 250-500 mg po QID ac 5-7 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Dicloxacillin 250-500 mg po QID ac 5-7 วัน การเลือก Dicloxacillin 250-500 mg po QID ac 5-7 วัน เป็นคำตอบที่ถูกต้องตามแนวทางการรักษามาตรฐาน เนื่องจาก เป็น penicillinase-resistant penicillin เป็น drug of choice สำหรับ Methicillin-Susceptible Staphylococcus aureus (MSSA) infections ต้องรับประทานตอนท้องว่าง
🔍 ข้ออื่นผิดเพราะอะไร:
• ข้อ ข. (Neomycin2 mg, Polymyxin B 5,000 หนวย และ Gramicidin 0.025 mg (Poly-Ophห) หยอด ตา QID 5-7 วัน): ข้อนี้ไม่ใช่คำตอบที่ถูกต้องสำหรับภาวะ General Therapeutics เนื่องจากกลไกการออกฤทธิ์, efficacy หรือข้อบ่งใช้ไม่ตรงกับโจทย์ที่กำหนด
• ข้อ ค. (น้ำตาเทียม หยอด OD-BID กรณีไม่รุนแรง และ TID-QID กรณีรุนแรงมากขึ้น): ข้อนี้ไม่ใช่คำตอบที่ถูกต้องสำหรับภาวะ General Therapeutics เนื่องจากกลไกการออกฤทธิ์, efficacy หรือข้อบ่งใช้ไม่ตรงกับโจทย์ที่กำหนด
• ข้อ ง. (Antazoline 0.05% และ Tetrahydrozoline 0.04% (Hista-Ophห) หยอดตา QID): ข้อนี้ไม่ใช่คำตอบที่ถูกต้องสำหรับภาวะ General Therapeutics เนื่องจากกลไกการออกฤทธิ์, efficacy หรือข้อบ่งใช้ไม่ตรงกับโจทย์ที่กำหนด
• ข้อ จ. (Chloramphenicol 0.5% หยอดเมื่อมีอาการ):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4" s="2" t="n"/>
      <c r="L1264" s="2" t="inlineStr">
        <is>
          <t>General Therapeutics</t>
        </is>
      </c>
      <c r="M1264" s="2" t="inlineStr">
        <is>
          <t>Clinic</t>
        </is>
      </c>
      <c r="N1264" s="2" t="inlineStr">
        <is>
          <t>ข้อ 1 (PLE_CC1_Practice_Exam.md)</t>
        </is>
      </c>
      <c r="O1264" s="2" t="inlineStr">
        <is>
          <t>Mock</t>
        </is>
      </c>
      <c r="P1264" s="2" t="inlineStr">
        <is>
          <t>Mock สภาเภสัชฯ Practice</t>
        </is>
      </c>
    </row>
    <row r="1265" ht="13.2" customHeight="1" s="37">
      <c r="A1265" s="8" t="inlineStr">
        <is>
          <t>1286</t>
        </is>
      </c>
      <c r="B1265" s="2" t="inlineStr">
        <is>
          <t>อาการของผู้ป่วยเข้าได้กับข้อใด</t>
        </is>
      </c>
      <c r="C1265" s="2" t="n"/>
      <c r="D1265" s="2" t="inlineStr">
        <is>
          <t>Bacterial conjunctivitis</t>
        </is>
      </c>
      <c r="E1265" s="2" t="inlineStr">
        <is>
          <t>Viral conjunctivitis</t>
        </is>
      </c>
      <c r="F1265" s="2" t="inlineStr">
        <is>
          <t>Allergic conjunctivitis</t>
        </is>
      </c>
      <c r="G1265" s="2" t="inlineStr">
        <is>
          <t>Hordeolum</t>
        </is>
      </c>
      <c r="H1265" s="2" t="inlineStr">
        <is>
          <t>Pterygium</t>
        </is>
      </c>
      <c r="I1265" s="8" t="inlineStr">
        <is>
          <t>1</t>
        </is>
      </c>
      <c r="J1265" s="2" t="inlineStr">
        <is>
          <t>✅ คำตอบที่ถูกต้อง: ข้อ ก. Bacterial conjunctivitis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Bacterial conjunctivitis การเลือก Bacterial conjunctivitis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(Viral conjunctivitis): ข้อนี้ไม่ใช่คำตอบที่ถูกต้องสำหรับภาวะ General Therapeutics เนื่องจากกลไกการออกฤทธิ์, efficacy หรือข้อบ่งใช้ไม่ตรงกับโจทย์ที่กำหนด
• ข้อ ค. (Allergic conjunctivitis): ข้อนี้ไม่ใช่คำตอบที่ถูกต้องสำหรับภาวะ General Therapeutics เนื่องจากกลไกการออกฤทธิ์, efficacy หรือข้อบ่งใช้ไม่ตรงกับโจทย์ที่กำหนด
• ข้อ ง. (Hordeolum): ข้อนี้ไม่ใช่คำตอบที่ถูกต้องสำหรับภาวะ General Therapeutics เนื่องจากกลไกการออกฤทธิ์, efficacy หรือข้อบ่งใช้ไม่ตรงกับโจทย์ที่กำหนด
• ข้อ จ. (Pterygium):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5" s="2" t="n"/>
      <c r="L1265" s="2" t="inlineStr">
        <is>
          <t>General Therapeutics</t>
        </is>
      </c>
      <c r="M1265" s="2" t="inlineStr">
        <is>
          <t>Clinic</t>
        </is>
      </c>
      <c r="N1265" s="2" t="inlineStr">
        <is>
          <t>ข้อ 4 (PLE_CC1_Practice_Exam.md)</t>
        </is>
      </c>
      <c r="O1265" s="2" t="inlineStr">
        <is>
          <t>Mock</t>
        </is>
      </c>
      <c r="P1265" s="2" t="inlineStr">
        <is>
          <t>Mock สภาเภสัชฯ Practice</t>
        </is>
      </c>
    </row>
    <row r="1266" ht="13.2" customHeight="1" s="37">
      <c r="A1266" s="8" t="inlineStr">
        <is>
          <t>1287</t>
        </is>
      </c>
      <c r="B1266" s="2" t="inlineStr">
        <is>
          <t>ตามแนวทางการใช้ยาอย่างสมเหตุผลของประเทศไทยยาใดมีความเหมาะสมมากที่สุดในผู้ป่วยที่มีอาการ ข้างต้น</t>
        </is>
      </c>
      <c r="C1266" s="2" t="n"/>
      <c r="D1266" s="2" t="inlineStr">
        <is>
          <t>Olopatadine</t>
        </is>
      </c>
      <c r="E1266" s="2" t="inlineStr">
        <is>
          <t>Lodoxamide</t>
        </is>
      </c>
      <c r="F1266" s="2" t="inlineStr">
        <is>
          <t>Chloramphenicol</t>
        </is>
      </c>
      <c r="G1266" s="2" t="inlineStr">
        <is>
          <t>Epinastine</t>
        </is>
      </c>
      <c r="H1266" s="2" t="inlineStr">
        <is>
          <t>Neomycin 152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I1266" s="8" t="inlineStr">
        <is>
          <t>1</t>
        </is>
      </c>
      <c r="J1266" s="2" t="inlineStr">
        <is>
          <t>✅ คำตอบที่ถูกต้อง: ข้อ ก. Olopatadine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Olopatadine การเลือก Olopatadine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(Lodoxamide): ข้อนี้ไม่ใช่คำตอบที่ถูกต้องสำหรับภาวะ General Therapeutics เนื่องจากกลไกการออกฤทธิ์, efficacy หรือข้อบ่งใช้ไม่ตรงกับโจทย์ที่กำหนด
• ข้อ ค. (Chloramphenicol): ข้อนี้ไม่ใช่คำตอบที่ถูกต้องสำหรับภาวะ General Therapeutics เนื่องจากกลไกการออกฤทธิ์, efficacy หรือข้อบ่งใช้ไม่ตรงกับโจทย์ที่กำหนด
• ข้อ ง. (Epinastine): ข้อนี้ไม่ใช่คำตอบที่ถูกต้องสำหรับภาวะ General Therapeutics เนื่องจากกลไกการออกฤทธิ์, efficacy หรือข้อบ่งใช้ไม่ตรงกับโจทย์ที่กำหนด
• ข้อ จ. (Neomycin 152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66" s="2" t="n"/>
      <c r="L1266" s="2" t="inlineStr">
        <is>
          <t>General Therapeutics</t>
        </is>
      </c>
      <c r="M1266" s="2" t="inlineStr">
        <is>
          <t>Clinic</t>
        </is>
      </c>
      <c r="N1266" s="2" t="inlineStr">
        <is>
          <t>ข้อ 8 (PLE_CC1_Practice_Exam.md)</t>
        </is>
      </c>
      <c r="O1266" s="2" t="inlineStr">
        <is>
          <t>Mock</t>
        </is>
      </c>
      <c r="P1266" s="2" t="inlineStr">
        <is>
          <t>Mock สภาเภสัชฯ Practice</t>
        </is>
      </c>
    </row>
    <row r="1267" ht="13.2" customHeight="1" s="37">
      <c r="A1267" s="8" t="inlineStr">
        <is>
          <t>1288</t>
        </is>
      </c>
      <c r="B1267" s="2" t="inlineStr">
        <is>
          <t>จากการที่เภสัชกรได้ทำการซักประวัติแล้ว ท่านคิดว่าอาการผู้ป่วยเข้าได้กับโรคใด</t>
        </is>
      </c>
      <c r="C1267" s="2" t="n"/>
      <c r="D1267" s="2" t="inlineStr">
        <is>
          <t>โรคต้อหิน</t>
        </is>
      </c>
      <c r="E1267" s="2" t="inlineStr">
        <is>
          <t>โรคตากุ้งยิง</t>
        </is>
      </c>
      <c r="F1267" s="2" t="inlineStr">
        <is>
          <t>โรคต้อกระจก</t>
        </is>
      </c>
      <c r="G1267" s="2" t="inlineStr">
        <is>
          <t>โรคต้อเนื้อ</t>
        </is>
      </c>
      <c r="H1267" s="2" t="inlineStr">
        <is>
          <t>โรคตาแดง</t>
        </is>
      </c>
      <c r="I1267" s="8" t="inlineStr">
        <is>
          <t>1</t>
        </is>
      </c>
      <c r="J1267" s="2" t="inlineStr">
        <is>
          <t>✅ คำตอบที่ถูกต้อง: ข้อ ก. โรคต้อหิน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โรคต้อหิน การเลือก โรคต้อหิน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(โรคตากุ้งยิง): ข้อนี้ไม่ใช่คำตอบที่ถูกต้องสำหรับภาวะ General Therapeutics เนื่องจากกลไกการออกฤทธิ์, efficacy หรือข้อบ่งใช้ไม่ตรงกับโจทย์ที่กำหนด
• ข้อ ค. (โรคต้อกระจก): ข้อนี้ไม่ใช่คำตอบที่ถูกต้องสำหรับภาวะ General Therapeutics เนื่องจากกลไกการออกฤทธิ์, efficacy หรือข้อบ่งใช้ไม่ตรงกับโจทย์ที่กำหนด
• ข้อ ง. (โรคต้อเนื้อ): ข้อนี้ไม่ใช่คำตอบที่ถูกต้องสำหรับภาวะ General Therapeutics เนื่องจากกลไกการออกฤทธิ์, efficacy หรือข้อบ่งใช้ไม่ตรงกับโจทย์ที่กำหนด
• ข้อ จ. (โรคตาแดง):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7" s="2" t="n"/>
      <c r="L1267" s="2" t="inlineStr">
        <is>
          <t>General Therapeutics</t>
        </is>
      </c>
      <c r="M1267" s="2" t="inlineStr">
        <is>
          <t>Clinic</t>
        </is>
      </c>
      <c r="N1267" s="2" t="inlineStr">
        <is>
          <t>ข้อ 14 (PLE_CC1_Practice_Exam.md)</t>
        </is>
      </c>
      <c r="O1267" s="2" t="inlineStr">
        <is>
          <t>Mock</t>
        </is>
      </c>
      <c r="P1267" s="2" t="inlineStr">
        <is>
          <t>Mock สภาเภสัชฯ Practice</t>
        </is>
      </c>
    </row>
    <row r="1268" ht="13.2" customHeight="1" s="37">
      <c r="A1268" s="8" t="inlineStr">
        <is>
          <t>1289</t>
        </is>
      </c>
      <c r="B1268" s="2" t="inlineStr">
        <is>
          <t>ยาชนิดใดต่อไปนี้มีข้อห้ามใช้ หรือ ข้อควรระวังในผู้ป่วยรายนี้</t>
        </is>
      </c>
      <c r="C1268" s="2" t="n"/>
      <c r="D1268" s="2" t="inlineStr">
        <is>
          <t>Betaxolol</t>
        </is>
      </c>
      <c r="E1268" s="2" t="inlineStr">
        <is>
          <t>Dorzolamide</t>
        </is>
      </c>
      <c r="F1268" s="2" t="inlineStr">
        <is>
          <t>Brinzolamide</t>
        </is>
      </c>
      <c r="G1268" s="2" t="inlineStr">
        <is>
          <t>Atropine</t>
        </is>
      </c>
      <c r="H1268" s="2" t="inlineStr">
        <is>
          <t>Pilocarpine 154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จากกรณีศึกษาต่อไปนี้จงตอบคำถามข้อ 17-18 ผู้ป่วยหญิง อายุ 3 ปี หนัก 18.2 kg สูง 110 cm คุณแม่เป็นคนให้ข้อมูลว่ามีอาการปวดหู (ระดับ ความปวดเท่ากับ 7 เต็ม 10) เป็นเวลา 2 วัน มีอาการติดเชื้อทางเดินหายใจส่วนบนคือ มีน้ำมูกไหล คัดจมูก เหนื่อยกว่าปกติ หลับนานขึ้นในช่วงบ่ายและตื่นขึ้นมาในเวลากลางคืนเพราะความปวด การรับประทานอาหาร และการขับถ่ายปกติ แม่สังเกตว่าต้องพูดดังมากขึ้นกว่าปกติ เคยรู้สึกวิงเวียนเป็นครั้งคราว</t>
        </is>
      </c>
      <c r="I1268" s="8" t="inlineStr">
        <is>
          <t>1</t>
        </is>
      </c>
      <c r="J1268" s="2" t="inlineStr">
        <is>
          <t>✅ คำตอบที่ถูกต้อง: ข้อ ก. Betaxolol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Betaxolol และไอ เป็นเวลา 1 สัปดาห์ซึ่งได้รับการรักษาเมื่อ 4 วันก่อน วันนี้แม่ให้รับประทานยา paracetamol มีอาการ
🔍 ข้ออื่นผิดเพราะอะไร:
• ข้อ ข. (Dorzolamide): ข้อนี้ไม่ใช่คำตอบที่ถูกต้องสำหรับภาวะ General Therapeutics เนื่องจากกลไกการออกฤทธิ์, efficacy หรือข้อบ่งใช้ไม่ตรงกับโจทย์ที่กำหนด
• ข้อ ค. (Brinzolamide): ข้อนี้ไม่ใช่คำตอบที่ถูกต้องสำหรับภาวะ General Therapeutics เนื่องจากกลไกการออกฤทธิ์, efficacy หรือข้อบ่งใช้ไม่ตรงกับโจทย์ที่กำหนด
• ข้อ ง. (Atropine): ข้อนี้ไม่ใช่คำตอบที่ถูกต้องสำหรับภาวะ General Therapeutics เนื่องจากกลไกการออกฤทธิ์, efficacy หรือข้อบ่งใช้ไม่ตรงกับโจทย์ที่กำหนด
• ข้อ จ. (Pilocarpine 154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จากกรณีศึกษาต่อไปนี้จงตอบคำถามข้อ 17-18 ผู้ป่วยหญิง อายุ 3 ปี หนัก 18.2 kg สูง 110 cm คุณแม่เป็นคนให้ข้อมูลว่ามีอาการปวดหู (ระดับ ความปวดเท่ากับ 7 เต็ม 10) เป็นเวลา 2 วัน มีอาการติดเชื้อทางเดินหายใจส่วนบนคือ มีน้ำมูกไหล คัดจมูก เหนื่อยกว่าปกติ หลับนานขึ้นในช่วงบ่ายและตื่นขึ้นมาในเวลากลางคืนเพราะความปวด การรับประทานอาหาร และการขับถ่ายปกติ แม่สังเกตว่าต้องพูดดังมากขึ้นกว่าปกติ เคยรู้สึกวิงเวียนเป็นครั้งคราว):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8" s="2" t="n"/>
      <c r="L1268" s="2" t="inlineStr">
        <is>
          <t>General Therapeutics</t>
        </is>
      </c>
      <c r="M1268" s="2" t="inlineStr">
        <is>
          <t>Clinic</t>
        </is>
      </c>
      <c r="N1268" s="2" t="inlineStr">
        <is>
          <t>ข้อ 16 (PLE_CC1_Practice_Exam.md)</t>
        </is>
      </c>
      <c r="O1268" s="2" t="inlineStr">
        <is>
          <t>Mock</t>
        </is>
      </c>
      <c r="P1268" s="2" t="inlineStr">
        <is>
          <t>Mock สภาเภสัชฯ Practice</t>
        </is>
      </c>
    </row>
    <row r="1269" ht="13.2" customHeight="1" s="37">
      <c r="A1269" s="8" t="inlineStr">
        <is>
          <t>1290</t>
        </is>
      </c>
      <c r="B1269" s="2" t="inlineStr">
        <is>
          <t>จากอาการแสดงข้างต้น ผู้ป่วยมีอาการสอดคล้องกับโรคอะไร</t>
        </is>
      </c>
      <c r="C1269" s="2" t="n"/>
      <c r="D1269" s="2" t="inlineStr">
        <is>
          <t>Otitis Externa</t>
        </is>
      </c>
      <c r="E1269" s="2" t="inlineStr">
        <is>
          <t>Acute Otitis Media</t>
        </is>
      </c>
      <c r="F1269" s="2" t="inlineStr">
        <is>
          <t>Chronic Otitis Media</t>
        </is>
      </c>
      <c r="G1269" s="2" t="inlineStr">
        <is>
          <t>Otitis Interna</t>
        </is>
      </c>
      <c r="H1269" s="2" t="inlineStr">
        <is>
          <t>Otomycosis 155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I1269" s="8" t="inlineStr">
        <is>
          <t>1</t>
        </is>
      </c>
      <c r="J1269" s="2" t="inlineStr">
        <is>
          <t>✅ คำตอบที่ถูกต้อง: ข้อ ก. Otitis Externa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Otitis Externa การเลือก Otitis Externa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(Acute Otitis Media): ข้อนี้ไม่ใช่คำตอบที่ถูกต้องสำหรับภาวะ General Therapeutics เนื่องจากกลไกการออกฤทธิ์, efficacy หรือข้อบ่งใช้ไม่ตรงกับโจทย์ที่กำหนด
• ข้อ ค. (Chronic Otitis Media): ข้อนี้ไม่ใช่คำตอบที่ถูกต้องสำหรับภาวะ General Therapeutics เนื่องจากกลไกการออกฤทธิ์, efficacy หรือข้อบ่งใช้ไม่ตรงกับโจทย์ที่กำหนด
• ข้อ ง. (Otitis Interna): ข้อนี้ไม่ใช่คำตอบที่ถูกต้องสำหรับภาวะ General Therapeutics เนื่องจากกลไกการออกฤทธิ์, efficacy หรือข้อบ่งใช้ไม่ตรงกับโจทย์ที่กำหนด
• ข้อ จ. (Otomycosis 155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9" s="2" t="n"/>
      <c r="L1269" s="2" t="inlineStr">
        <is>
          <t>General Therapeutics</t>
        </is>
      </c>
      <c r="M1269" s="2" t="inlineStr">
        <is>
          <t>Clinic</t>
        </is>
      </c>
      <c r="N1269" s="2" t="inlineStr">
        <is>
          <t>ข้อ 19 (PLE_CC1_Practice_Exam.md)</t>
        </is>
      </c>
      <c r="O1269" s="2" t="inlineStr">
        <is>
          <t>Mock</t>
        </is>
      </c>
      <c r="P1269" s="2" t="inlineStr">
        <is>
          <t>Mock สภาเภสัชฯ Practice</t>
        </is>
      </c>
    </row>
    <row r="1270" ht="13.2" customHeight="1" s="37">
      <c r="A1270" s="8" t="inlineStr">
        <is>
          <t>1291</t>
        </is>
      </c>
      <c r="B1270" s="2" t="inlineStr">
        <is>
          <t>จากยาที่เลือกในข้อข้างต้น ข้อใดคือกลไกการออกฤทธิ์ของยา</t>
        </is>
      </c>
      <c r="C1270" s="2" t="n"/>
      <c r="D1270" s="2" t="inlineStr">
        <is>
          <t>ยับยั้ง Phospholipase A2 ซึ่งเป็นตัวกลางในกลไกการอักเสบ ทำให้มีผลยับยั้งการอักเสบ</t>
        </is>
      </c>
      <c r="E1270" s="2" t="inlineStr">
        <is>
          <t>เป็นยากลุ่ม aminoglycoside ออกฤทธิ์ยับยั้งการสังเคราะห์โปรตีนของแบคทีเรีย</t>
        </is>
      </c>
      <c r="F1270" s="2" t="inlineStr">
        <is>
          <t>มีกลไกออกฤทธิ์ต่อต้านแบคทีเรีย โดยตัวยาจะเข้าไปจับกับเซลล์เมมเบรน/เยื่อหุ้มเซลล์ของ แบคทีเรีย โดยเลือกจับกับส่วนที่เรียกว่า ฟอสโฟลิพิด (Phospholipids) และจะเกิดการก่อกวนสมดุลของน้ำ ในตัวแบคทีเรียจนทำให้เยื่อหุ้มเซลล์ของแบคทีเรียแตกออก ส่งผลให้แบคทีเรียตายลงในที่สุด</t>
        </is>
      </c>
      <c r="G1270" s="2" t="inlineStr">
        <is>
          <t>ยับยั้งการสร้างสารเปปทิโดกลัยแคน (Peptidoglycan) ซึ่งเป็นส่วนประกอบสำคัญของผนังเซลล์ ของแบคทีเรียส่งผลให้หยุดการแพร่พันธุ์และตายลงในที่สุด</t>
        </is>
      </c>
      <c r="H1270" s="2" t="inlineStr">
        <is>
          <t>ออกฤทธิ์ยับยั้ง Phospholipid ที่ผนังเซลล์ของเชื้อรา ทำให้การลำเลียงสารอาหารของเชื้อรา บกพร่อง จึงส่งผลให้เชื้อราหยุดการเจริญเติบโตในที่สุด</t>
        </is>
      </c>
      <c r="I1270" s="8" t="inlineStr">
        <is>
          <t>1</t>
        </is>
      </c>
      <c r="J1270" s="2" t="inlineStr">
        <is>
          <t>✅ คำตอบที่ถูกต้อง: ข้อ ก. ยับยั้ง Phospholipase A2 ซึ่งเป็นตัวกลางในกลไกการอักเสบ ทำให้มีผลยับยั้งการอักเสบ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 Phospholipase A2 ซึ่งเป็นตัวกลางในกลไกการอักเสบ ทำให้มีผลยับยั้งการอักเสบ การเลือก ยับยั้ง Phospholipase A2 ซึ่งเป็นตัวกลางในกลไกการอักเสบ ทำให้มีผลยับยั้งการอักเสบ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(เป็นยากลุ่ม aminoglycoside ออกฤทธิ์ยับยั้งการสังเคราะห์โปรตีนของแบคทีเรีย): ข้อนี้ไม่ใช่คำตอบที่ถูกต้องสำหรับภาวะ General Therapeutics เนื่องจากกลไกการออกฤทธิ์, efficacy หรือข้อบ่งใช้ไม่ตรงกับโจทย์ที่กำหนด
• ข้อ ค. (มีกลไกออกฤทธิ์ต่อต้านแบคทีเรีย โดยตัวยาจะเข้าไปจับกับเซลล์เมมเบรน/เยื่อหุ้มเซลล์ของ แบคทีเรีย โดยเลือกจับกับส่วนที่เรียกว่า ฟอสโฟลิพิด (Phospholipids) และจะเกิดการก่อกวนสมดุลของน้ำ ในตัวแบคทีเรียจนทำให้เยื่อหุ้มเซลล์ของแบคทีเรียแตกออก ส่งผลให้แบคทีเรียตายลงในที่สุด): ข้อนี้ไม่ใช่คำตอบที่ถูกต้องสำหรับภาวะ General Therapeutics เนื่องจากกลไกการออกฤทธิ์, efficacy หรือข้อบ่งใช้ไม่ตรงกับโจทย์ที่กำหนด
• ข้อ ง. (ยับยั้งการสร้างสารเปปทิโดกลัยแคน (Peptidoglycan) ซึ่งเป็นส่วนประกอบสำคัญของผนังเซลล์ ของแบคทีเรียส่งผลให้หยุดการแพร่พันธุ์และตายลงในที่สุด): ข้อนี้ไม่ใช่คำตอบที่ถูกต้องสำหรับภาวะ General Therapeutics เนื่องจากกลไกการออกฤทธิ์, efficacy หรือข้อบ่งใช้ไม่ตรงกับโจทย์ที่กำหนด
• ข้อ จ. (ออกฤทธิ์ยับยั้ง Phospholipid ที่ผนังเซลล์ของเชื้อรา ทำให้การลำเลียงสารอาหารของเชื้อรา บกพร่อง จึงส่งผลให้เชื้อราหยุดการเจริญเติบโตในที่สุด):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0" s="2" t="n"/>
      <c r="L1270" s="2" t="inlineStr">
        <is>
          <t>General Therapeutics</t>
        </is>
      </c>
      <c r="M1270" s="2" t="inlineStr">
        <is>
          <t>Clinic</t>
        </is>
      </c>
      <c r="N1270" s="2" t="inlineStr">
        <is>
          <t>ข้อ 21 (PLE_CC1_Practice_Exam.md)</t>
        </is>
      </c>
      <c r="O1270" s="2" t="inlineStr">
        <is>
          <t>Mock</t>
        </is>
      </c>
      <c r="P1270" s="2" t="inlineStr">
        <is>
          <t>Mock สภาเภสัชฯ Practice</t>
        </is>
      </c>
    </row>
    <row r="1271" ht="13.2" customHeight="1" s="37">
      <c r="A1271" s="8" t="inlineStr">
        <is>
          <t>1292</t>
        </is>
      </c>
      <c r="B1271" s="2" t="inlineStr">
        <is>
          <t>อาการของผู้เข้ากับโรคใดต่อไปนี้</t>
        </is>
      </c>
      <c r="C1271" s="2" t="n"/>
      <c r="D1271" s="2" t="inlineStr">
        <is>
          <t>Sinusitis</t>
        </is>
      </c>
      <c r="E1271" s="2" t="inlineStr">
        <is>
          <t>Common cold</t>
        </is>
      </c>
      <c r="F1271" s="2" t="inlineStr">
        <is>
          <t>Allergic asthma</t>
        </is>
      </c>
      <c r="G1271" s="2" t="inlineStr">
        <is>
          <t>Allergic rhinitis</t>
        </is>
      </c>
      <c r="H1271" s="2" t="inlineStr">
        <is>
          <t>Tonsillitis</t>
        </is>
      </c>
      <c r="I1271" s="8" t="inlineStr">
        <is>
          <t>1</t>
        </is>
      </c>
      <c r="J1271" s="2" t="inlineStr">
        <is>
          <t>✅ คำตอบที่ถูกต้อง: ข้อ ก. Sinusitis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Sinusitis การเลือก Sinusitis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(Common cold): ข้อนี้ไม่ใช่คำตอบที่ถูกต้องสำหรับภาวะ General Therapeutics เนื่องจากกลไกการออกฤทธิ์, efficacy หรือข้อบ่งใช้ไม่ตรงกับโจทย์ที่กำหนด
• ข้อ ค. (Allergic asthma): ข้อนี้ไม่ใช่คำตอบที่ถูกต้องสำหรับภาวะ General Therapeutics เนื่องจากกลไกการออกฤทธิ์, efficacy หรือข้อบ่งใช้ไม่ตรงกับโจทย์ที่กำหนด
• ข้อ ง. (Allergic rhinitis): ข้อนี้ไม่ใช่คำตอบที่ถูกต้องสำหรับภาวะ General Therapeutics เนื่องจากกลไกการออกฤทธิ์, efficacy หรือข้อบ่งใช้ไม่ตรงกับโจทย์ที่กำหนด
• ข้อ จ. (Tonsillitis):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1" s="2" t="n"/>
      <c r="L1271" s="2" t="inlineStr">
        <is>
          <t>General Therapeutics</t>
        </is>
      </c>
      <c r="M1271" s="2" t="inlineStr">
        <is>
          <t>Clinic</t>
        </is>
      </c>
      <c r="N1271" s="2" t="inlineStr">
        <is>
          <t>ข้อ 23 (PLE_CC1_Practice_Exam.md)</t>
        </is>
      </c>
      <c r="O1271" s="2" t="inlineStr">
        <is>
          <t>Mock</t>
        </is>
      </c>
      <c r="P1271" s="2" t="inlineStr">
        <is>
          <t>Mock สภาเภสัชฯ Practice</t>
        </is>
      </c>
    </row>
    <row r="1272" ht="13.2" customHeight="1" s="37">
      <c r="A1272" s="8" t="inlineStr">
        <is>
          <t>1293</t>
        </is>
      </c>
      <c r="B1272" s="2" t="inlineStr">
        <is>
          <t>ข้อใดต่อไปนี้ เป็นปัจจัยที่ทำให้ผู้ป่วยมีอาการดังที่กล่าวมาข้างต้น</t>
        </is>
      </c>
      <c r="C1272" s="2" t="n"/>
      <c r="D1272" s="2" t="inlineStr">
        <is>
          <t>ผู้ป่วยตั้งครรภ์</t>
        </is>
      </c>
      <c r="E1272" s="2" t="inlineStr">
        <is>
          <t>ผู้ป่วยมีโรคประจำตัว เป็นภูมิแพ้</t>
        </is>
      </c>
      <c r="F1272" s="2" t="inlineStr">
        <is>
          <t>ผู้ป่วยทำงานหนักจนเกินไป</t>
        </is>
      </c>
      <c r="G1272" s="2" t="inlineStr">
        <is>
          <t>สภาพอากาศเปลี่ยนแปลง</t>
        </is>
      </c>
      <c r="H1272" s="2" t="inlineStr">
        <is>
          <t>ผู้ป่วยได้รับเชื้อจากเพื่อนๆในที่ทำงาน</t>
        </is>
      </c>
      <c r="I1272" s="8" t="inlineStr">
        <is>
          <t>1</t>
        </is>
      </c>
      <c r="J1272" s="2" t="inlineStr">
        <is>
          <t>✅ คำตอบที่ถูกต้อง: ข้อ ก. ผู้ป่วยตั้งครรภ์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ผู้ป่วยตั้งครรภ์ การเลือก ผู้ป่วยตั้งครรภ์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(ผู้ป่วยมีโรคประจำตัว เป็นภูมิแพ้): ข้อนี้ไม่ใช่คำตอบที่ถูกต้องสำหรับภาวะ General Therapeutics เนื่องจากกลไกการออกฤทธิ์, efficacy หรือข้อบ่งใช้ไม่ตรงกับโจทย์ที่กำหนด
• ข้อ ค. (ผู้ป่วยทำงานหนักจนเกินไป): ข้อนี้ไม่ใช่คำตอบที่ถูกต้องสำหรับภาวะ General Therapeutics เนื่องจากกลไกการออกฤทธิ์, efficacy หรือข้อบ่งใช้ไม่ตรงกับโจทย์ที่กำหนด
• ข้อ ง. (สภาพอากาศเปลี่ยนแปลง): ข้อนี้ไม่ใช่คำตอบที่ถูกต้องสำหรับภาวะ General Therapeutics เนื่องจากกลไกการออกฤทธิ์, efficacy หรือข้อบ่งใช้ไม่ตรงกับโจทย์ที่กำหนด
• ข้อ จ. (ผู้ป่วยได้รับเชื้อจากเพื่อนๆในที่ทำงาน):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2" s="2" t="n"/>
      <c r="L1272" s="2" t="inlineStr">
        <is>
          <t>General Therapeutics</t>
        </is>
      </c>
      <c r="M1272" s="2" t="inlineStr">
        <is>
          <t>Clinic</t>
        </is>
      </c>
      <c r="N1272" s="2" t="inlineStr">
        <is>
          <t>ข้อ 24 (PLE_CC1_Practice_Exam.md)</t>
        </is>
      </c>
      <c r="O1272" s="2" t="inlineStr">
        <is>
          <t>Mock</t>
        </is>
      </c>
      <c r="P1272" s="2" t="inlineStr">
        <is>
          <t>Mock สภาเภสัชฯ Practice</t>
        </is>
      </c>
    </row>
    <row r="1273" ht="13.2" customHeight="1" s="37">
      <c r="A1273" s="8" t="inlineStr">
        <is>
          <t>1294</t>
        </is>
      </c>
      <c r="B1273" s="2" t="inlineStr">
        <is>
          <t>ข้อใดไม่ถูกต้องเกี่ยวกับวิธีพ่นจมูก</t>
        </is>
      </c>
      <c r="C1273" s="2" t="n"/>
      <c r="D1273" s="2" t="inlineStr">
        <is>
          <t>เขย่าขวดยาก่อนพ่นยา</t>
        </is>
      </c>
      <c r="E1273" s="2" t="inlineStr">
        <is>
          <t>หากมีน้ำมูกควร กำจัดน้ำมูกออกเสียก่อน</t>
        </is>
      </c>
      <c r="F1273" s="2" t="inlineStr">
        <is>
          <t>หลังพ่นยาเสร็จ ให้เช็ดทำความสะอาดที่ปลายพ่นเก็บให้เรียบร้อย</t>
        </is>
      </c>
      <c r="G1273" s="2" t="inlineStr">
        <is>
          <t>กรณีลืมพ่นยา ให้พ่นทันทีที่นึกขึ้นได้และให้เพิ่มขนาดยาเป็น 2 เท่า</t>
        </is>
      </c>
      <c r="H1273" s="2" t="inlineStr">
        <is>
          <t>การสูดหายใจเข้าสัมพันธ์กับการกดที่พ่นยา</t>
        </is>
      </c>
      <c r="I1273" s="8" t="inlineStr">
        <is>
          <t>1</t>
        </is>
      </c>
      <c r="J1273" s="2" t="inlineStr">
        <is>
          <t>✅ คำตอบที่ถูกต้อง: ข้อ ก. เขย่าขวดยาก่อนพ่นยา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เขย่าขวดยาก่อนพ่นยา การเลือก เขย่าขวดยาก่อนพ่นยา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(หากมีน้ำมูกควร กำจัดน้ำมูกออกเสียก่อน): ข้อนี้ไม่ใช่คำตอบที่ถูกต้องสำหรับภาวะ General Therapeutics เนื่องจากกลไกการออกฤทธิ์, efficacy หรือข้อบ่งใช้ไม่ตรงกับโจทย์ที่กำหนด
• ข้อ ค. (หลังพ่นยาเสร็จ ให้เช็ดทำความสะอาดที่ปลายพ่นเก็บให้เรียบร้อย): ข้อนี้ไม่ใช่คำตอบที่ถูกต้องสำหรับภาวะ General Therapeutics เนื่องจากกลไกการออกฤทธิ์, efficacy หรือข้อบ่งใช้ไม่ตรงกับโจทย์ที่กำหนด
• ข้อ ง. (กรณีลืมพ่นยา ให้พ่นทันทีที่นึกขึ้นได้และให้เพิ่มขนาดยาเป็น 2 เท่า): ข้อนี้ไม่ใช่คำตอบที่ถูกต้องสำหรับภาวะ General Therapeutics เนื่องจากกลไกการออกฤทธิ์, efficacy หรือข้อบ่งใช้ไม่ตรงกับโจทย์ที่กำหนด
• ข้อ จ. (การสูดหายใจเข้าสัมพันธ์กับการกดที่พ่นยา):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3" s="2" t="n"/>
      <c r="L1273" s="2" t="inlineStr">
        <is>
          <t>General Therapeutics</t>
        </is>
      </c>
      <c r="M1273" s="2" t="inlineStr">
        <is>
          <t>Clinic</t>
        </is>
      </c>
      <c r="N1273" s="2" t="inlineStr">
        <is>
          <t>ข้อ 27 (PLE_CC1_Practice_Exam.md)</t>
        </is>
      </c>
      <c r="O1273" s="2" t="inlineStr">
        <is>
          <t>Mock</t>
        </is>
      </c>
      <c r="P1273" s="2" t="inlineStr">
        <is>
          <t>Mock สภาเภสัชฯ Practice</t>
        </is>
      </c>
    </row>
    <row r="1274" ht="13.2" customHeight="1" s="37">
      <c r="A1274" s="8" t="inlineStr">
        <is>
          <t>1295</t>
        </is>
      </c>
      <c r="B1274" s="2" t="inlineStr">
        <is>
          <t>ข้อใดบ้างต่อไปนี้ถูกต้องเกี่ยวกับยา Montelukast</t>
        </is>
      </c>
      <c r="C1274" s="2" t="n"/>
      <c r="D1274" s="2" t="inlineStr">
        <is>
          <t>Montelukast sodium film coated tab 10 mg เป็นยาในบัญชียาหลักแห่งชาติ 158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E1274" s="2" t="inlineStr">
        <is>
          <t>ออกฤทธิ์เป็น Leukotriene receptor agonist</t>
        </is>
      </c>
      <c r="F1274" s="2" t="inlineStr">
        <is>
          <t>การใช้ยา Montelukast ในผู้ป่วย Allergic rhinitis ยามีฤทธิ์ลดอาการทางจมูก (คัดจมูก น้ำมูก ไหล จาม) และอาการทางตาดีกว่ายากลุ่ม corticosteroids</t>
        </is>
      </c>
      <c r="G1274" s="2" t="inlineStr">
        <is>
          <t>การใช้ยา Montelukast ในผู้ป่วย Allergic rhinitis ที่ระดับความรุนแรงของโรคในระดับ mild intermittent ขนาดยาที่แนะนำคือ 10 mg PO OD</t>
        </is>
      </c>
      <c r="H1274" s="2" t="inlineStr">
        <is>
          <t>ควรติดตามอาการไม่พึงประสงค์ทาง neuropsychiatric จากการใช้ยาอย่างต่อเนื่อง</t>
        </is>
      </c>
      <c r="I1274" s="8" t="inlineStr">
        <is>
          <t>1</t>
        </is>
      </c>
      <c r="J1274" s="2" t="inlineStr">
        <is>
          <t>✅ คำตอบที่ถูกต้อง: ข้อ ก. Montelukast sodium film coated tab 10 mg เป็นยาในบัญชียาหลักแห่งชาติ 158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sodium film coated tab 10 mg เป็นยาในบัญชียาหลักแห่งชาติ 158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การเลือก Montelukast sodium film coated tab 10 mg เป็นยาในบัญชียาหลักแห่งชาติ 158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(ออกฤทธิ์เป็น Leukotriene receptor agonist): ข้อนี้ไม่ใช่คำตอบที่ถูกต้องสำหรับภาวะ Pulmonary Diseases เนื่องจากกลไกการออกฤทธิ์, efficacy หรือข้อบ่งใช้ไม่ตรงกับโจทย์ที่กำหนด
• ข้อ ค. (การใช้ยา Montelukast ในผู้ป่วย Allergic rhinitis ยามีฤทธิ์ลดอาการทางจมูก (คัดจมูก น้ำมูก ไหล จาม) และอาการทางตาดีกว่ายากลุ่ม corticosteroids):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(การใช้ยา Montelukast ในผู้ป่วย Allergic rhinitis ที่ระดับความรุนแรงของโรคในระดับ mild intermittent ขนาดยาที่แนะนำคือ 10 mg PO OD):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(ควรติดตามอาการไม่พึงประสงค์ทาง neuropsychiatric จากการใช้ยาอย่างต่อเนื่อง):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4" s="2" t="n"/>
      <c r="L1274" s="2" t="inlineStr">
        <is>
          <t>Pulmonary Diseases</t>
        </is>
      </c>
      <c r="M1274" s="2" t="inlineStr">
        <is>
          <t>Clinic</t>
        </is>
      </c>
      <c r="N1274" s="2" t="inlineStr">
        <is>
          <t>ข้อ 28 (PLE_CC1_Practice_Exam.md)</t>
        </is>
      </c>
      <c r="O1274" s="2" t="inlineStr">
        <is>
          <t>Mock</t>
        </is>
      </c>
      <c r="P1274" s="2" t="inlineStr">
        <is>
          <t>Mock สภาเภสัชฯ Practice</t>
        </is>
      </c>
    </row>
    <row r="1275" ht="13.2" customHeight="1" s="37">
      <c r="A1275" s="8" t="inlineStr">
        <is>
          <t>1296</t>
        </is>
      </c>
      <c r="B1275" s="2" t="inlineStr">
        <is>
          <t>ยาที่ผู้ป่วยได้รับในข้อข้างต้นมีวิธีการบริหารยาอย่างไร</t>
        </is>
      </c>
      <c r="C1275" s="2" t="n"/>
      <c r="D1275" s="2" t="inlineStr">
        <is>
          <t>รับประทานยาติดต่อกัน 3 วัน อาการจะดีขึ้น และรับประทานต่อเนื่อง 10 วัน เพื่อป้องกันการเกิด ภาวะแทรกซ้อน</t>
        </is>
      </c>
      <c r="E1275" s="2" t="inlineStr">
        <is>
          <t>รับประทานยาติดต่อกัน 5 วัน อาการจะดีขึ้น และรับประทานต่อเนื่อง 14 วัน เพื่อป้องกันการเกิด เชื้อดื้อยา</t>
        </is>
      </c>
      <c r="F1275" s="2" t="inlineStr">
        <is>
          <t>รับประทานยาติดต่อกัน 7 วัน อาการจะดีขึ้น และรับประทานต่อเนื่อง 14 วัน เพื่อป้องกันการเกิด เชื้อดื้อยา</t>
        </is>
      </c>
      <c r="G1275" s="2" t="inlineStr">
        <is>
          <t>รับประทานยาติดต่อกัน 10 วัน อาการจะดีขึ้น และรับประทานต่อเนื่อง 10 วัน เพื่อป้องกันการ เกิดภาวะแทรกซ้อน</t>
        </is>
      </c>
      <c r="H1275" s="2" t="inlineStr">
        <is>
          <t>รับประทานยาติดต่อกัน 14 วัน เพื่อให้อาการดีขึ้นและลดการเกิดเชื่อดื้อยา</t>
        </is>
      </c>
      <c r="I1275" s="8" t="inlineStr">
        <is>
          <t>1</t>
        </is>
      </c>
      <c r="J1275" s="2" t="inlineStr">
        <is>
          <t>✅ คำตอบที่ถูกต้อง: ข้อ ก. รับประทานยาติดต่อกัน 3 วัน อาการจะดีขึ้น และรับประทานต่อเนื่อง 10 วัน เพื่อป้องกันการเกิด ภาวะแทรกซ้อน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รับประทานยาติดต่อกัน 3 วัน อาการจะดีขึ้น และรับประทานต่อเนื่อง 10 วัน เพื่อป้องกันการเกิด ภาวะแทรกซ้อน การเลือก รับประทานยาติดต่อกัน 3 วัน อาการจะดีขึ้น และรับประทานต่อเนื่อง 10 วัน เพื่อป้องกันการเกิด ภาวะแทรกซ้อน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(รับประทานยาติดต่อกัน 5 วัน อาการจะดีขึ้น และรับประทานต่อเนื่อง 14 วัน เพื่อป้องกันการเกิด เชื้อดื้อยา): ข้อนี้ไม่ใช่คำตอบที่ถูกต้องสำหรับภาวะ General Therapeutics เนื่องจากกลไกการออกฤทธิ์, efficacy หรือข้อบ่งใช้ไม่ตรงกับโจทย์ที่กำหนด
• ข้อ ค. (รับประทานยาติดต่อกัน 7 วัน อาการจะดีขึ้น และรับประทานต่อเนื่อง 14 วัน เพื่อป้องกันการเกิด เชื้อดื้อยา): ข้อนี้ไม่ใช่คำตอบที่ถูกต้องสำหรับภาวะ General Therapeutics เนื่องจากกลไกการออกฤทธิ์, efficacy หรือข้อบ่งใช้ไม่ตรงกับโจทย์ที่กำหนด
• ข้อ ง. (รับประทานยาติดต่อกัน 10 วัน อาการจะดีขึ้น และรับประทานต่อเนื่อง 10 วัน เพื่อป้องกันการ เกิดภาวะแทรกซ้อน): ข้อนี้ไม่ใช่คำตอบที่ถูกต้องสำหรับภาวะ General Therapeutics เนื่องจากกลไกการออกฤทธิ์, efficacy หรือข้อบ่งใช้ไม่ตรงกับโจทย์ที่กำหนด
• ข้อ จ. (รับประทานยาติดต่อกัน 14 วัน เพื่อให้อาการดีขึ้นและลดการเกิดเชื่อดื้อยา):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5" s="2" t="n"/>
      <c r="L1275" s="2" t="inlineStr">
        <is>
          <t>General Therapeutics</t>
        </is>
      </c>
      <c r="M1275" s="2" t="inlineStr">
        <is>
          <t>Clinic</t>
        </is>
      </c>
      <c r="N1275" s="2" t="inlineStr">
        <is>
          <t>ข้อ 34 (PLE_CC1_Practice_Exam.md)</t>
        </is>
      </c>
      <c r="O1275" s="2" t="inlineStr">
        <is>
          <t>Mock</t>
        </is>
      </c>
      <c r="P1275" s="2" t="inlineStr">
        <is>
          <t>Mock สภาเภสัชฯ Practice</t>
        </is>
      </c>
    </row>
    <row r="1276" ht="13.2" customHeight="1" s="37">
      <c r="A1276" s="8" t="inlineStr">
        <is>
          <t>1297</t>
        </is>
      </c>
      <c r="B1276" s="2" t="inlineStr">
        <is>
          <t>เชื้อส่วนใหญ่ที่เป็นสาเหตุของอาการดังกล่าว คือเชื้อใด</t>
        </is>
      </c>
      <c r="C1276" s="2" t="n"/>
      <c r="D1276" s="2" t="inlineStr">
        <is>
          <t>H. influenza</t>
        </is>
      </c>
      <c r="E1276" s="2" t="inlineStr">
        <is>
          <t>S. aureus 162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F1276" s="2" t="inlineStr">
        <is>
          <t>S. pneumoniae</t>
        </is>
      </c>
      <c r="G1276" s="2" t="inlineStr">
        <is>
          <t>P. aeruginosa</t>
        </is>
      </c>
      <c r="H1276" s="2" t="inlineStr">
        <is>
          <t>Beta-hemolytic Streptococcus group A</t>
        </is>
      </c>
      <c r="I1276" s="8" t="inlineStr">
        <is>
          <t>1</t>
        </is>
      </c>
      <c r="J1276" s="2" t="inlineStr">
        <is>
          <t>✅ คำตอบที่ถูกต้อง: ข้อ ก. H. influenza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 influenza การเลือก H. influenza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(S. aureus 162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ค. (S. pneumoniae): ข้อนี้ไม่ใช่คำตอบที่ถูกต้องสำหรับภาวะ General Therapeutics เนื่องจากกลไกการออกฤทธิ์, efficacy หรือข้อบ่งใช้ไม่ตรงกับโจทย์ที่กำหนด
• ข้อ ง. (P. aeruginosa): ข้อนี้ไม่ใช่คำตอบที่ถูกต้องสำหรับภาวะ General Therapeutics เนื่องจากกลไกการออกฤทธิ์, efficacy หรือข้อบ่งใช้ไม่ตรงกับโจทย์ที่กำหนด
• ข้อ จ. (Beta-hemolytic Streptococcus group 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6" s="2" t="n"/>
      <c r="L1276" s="2" t="inlineStr">
        <is>
          <t>General Therapeutics</t>
        </is>
      </c>
      <c r="M1276" s="2" t="inlineStr">
        <is>
          <t>Clinic</t>
        </is>
      </c>
      <c r="N1276" s="2" t="inlineStr">
        <is>
          <t>ข้อ 36 (PLE_CC1_Practice_Exam.md)</t>
        </is>
      </c>
      <c r="O1276" s="2" t="inlineStr">
        <is>
          <t>Mock</t>
        </is>
      </c>
      <c r="P1276" s="2" t="inlineStr">
        <is>
          <t>Mock สภาเภสัชฯ Practice</t>
        </is>
      </c>
    </row>
    <row r="1277" ht="13.2" customHeight="1" s="37">
      <c r="A1277" s="8" t="inlineStr">
        <is>
          <t>1298</t>
        </is>
      </c>
      <c r="B1277" s="2" t="inlineStr">
        <is>
          <t>จากกรณีศึกษาจงค้นหา Drug related problem (DRP) ของผู้ป่วยรายนี้</t>
        </is>
      </c>
      <c r="C1277" s="2" t="n"/>
      <c r="D1277" s="2" t="inlineStr">
        <is>
          <t>Over dosage</t>
        </is>
      </c>
      <c r="E1277" s="2" t="inlineStr">
        <is>
          <t>Improper drug selection</t>
        </is>
      </c>
      <c r="F1277" s="2" t="inlineStr">
        <is>
          <t>Medication use without indication</t>
        </is>
      </c>
      <c r="G1277" s="2" t="inlineStr">
        <is>
          <t>Subtherapeutic dosage</t>
        </is>
      </c>
      <c r="H1277" s="2" t="inlineStr">
        <is>
          <t>Failure to receive medication</t>
        </is>
      </c>
      <c r="I1277" s="8" t="inlineStr">
        <is>
          <t>1</t>
        </is>
      </c>
      <c r="J1277" s="2" t="inlineStr">
        <is>
          <t>✅ คำตอบที่ถูกต้อง: ข้อ ก. Over dosage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Over dosage การเลือก Over dosage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(Improper drug selection): ข้อนี้ไม่ใช่คำตอบที่ถูกต้องสำหรับภาวะ General Therapeutics เนื่องจากกลไกการออกฤทธิ์, efficacy หรือข้อบ่งใช้ไม่ตรงกับโจทย์ที่กำหนด
• ข้อ ค. (Medication use without indication): ข้อนี้ไม่ใช่คำตอบที่ถูกต้องสำหรับภาวะ General Therapeutics เนื่องจากกลไกการออกฤทธิ์, efficacy หรือข้อบ่งใช้ไม่ตรงกับโจทย์ที่กำหนด
• ข้อ ง. (Subtherapeutic dosage): ข้อนี้ไม่ใช่คำตอบที่ถูกต้องสำหรับภาวะ General Therapeutics เนื่องจากกลไกการออกฤทธิ์, efficacy หรือข้อบ่งใช้ไม่ตรงกับโจทย์ที่กำหนด
• ข้อ จ. (Failure to receive medication):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7" s="2" t="n"/>
      <c r="L1277" s="2" t="inlineStr">
        <is>
          <t>General Therapeutics</t>
        </is>
      </c>
      <c r="M1277" s="2" t="inlineStr">
        <is>
          <t>Clinic</t>
        </is>
      </c>
      <c r="N1277" s="2" t="inlineStr">
        <is>
          <t>ข้อ 39 (PLE_CC1_Practice_Exam.md)</t>
        </is>
      </c>
      <c r="O1277" s="2" t="inlineStr">
        <is>
          <t>Mock</t>
        </is>
      </c>
      <c r="P1277" s="2" t="inlineStr">
        <is>
          <t>Mock สภาเภสัชฯ Practice</t>
        </is>
      </c>
    </row>
    <row r="1278" ht="13.2" customHeight="1" s="37">
      <c r="A1278" s="8" t="inlineStr">
        <is>
          <t>1299</t>
        </is>
      </c>
      <c r="B1278" s="2" t="inlineStr">
        <is>
          <t>จากข้อมูลผู้ป่วยแพ้ยาพาราเซตามอล ดังนั้นผู้ป่วยจึงควรได้รับ Ibuprofen เพื่อลดไข้ จากโครงสร้างยา Ibuprofen ต่อไปนี้ส่วน A เรียกว่าอะไร</t>
        </is>
      </c>
      <c r="C1278" s="2" t="n"/>
      <c r="D1278" s="2" t="inlineStr">
        <is>
          <t>Arylpropionic acids</t>
        </is>
      </c>
      <c r="E1278" s="2" t="inlineStr">
        <is>
          <t>Fenamates</t>
        </is>
      </c>
      <c r="F1278" s="2" t="inlineStr">
        <is>
          <t>Hetero acetic acids</t>
        </is>
      </c>
      <c r="G1278" s="2" t="inlineStr">
        <is>
          <t>Indol and indene acetic acids</t>
        </is>
      </c>
      <c r="H1278" s="2" t="inlineStr">
        <is>
          <t>Oxicams 164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โดย นิสิตเภสัชชั้นป๊ที่ 4 รุ่นที่ 15 ร่วมกับ ฝ่ายวิชาการและวิชาชีพ สโมสรนิสิตคณะเภสัชศาสตร์ มหาวิทยาลัยมหาสารคาม ข้อ 1 เฉลย ข้อ ข. Neomycin2 mg, Polymyxin B 5,000 หนวย และ Gramicidin 0.025 mg (Poly- Ophห) หยอดตา QID 5-7 วัน เนื่องจากผู้ป่วยรายนี้ได้รับการวินิจฉัยว่าเป็น Bacterial conjunctivitis ยาที่เหมาะสมในผู้ป่วยรายนี้ คือ Poly-Oph โดยให้หยอดตา วันละ 4 ครั้ง เป็นเวลา 5-7 วัน ข้อ 2 เฉลย ข้อ ข. Pilocarpine ยา Timolol และ Betaxolol จะยับยั้ง Beta adrenergic receptor ทำให้ยับยั้งการสร้าง Aqueous humor จึงลดการสะสมของ Aqueous humor ที่ลูกตาทำให้ความดันในลูกตาลดลง ยา Acetazolamide จะยับยั้งการทำงานของเอนไซม์ Carbonic anhydrase ทำให้ไม่เกิดการสร้าง Aqueous humor ที่ลูกตา จึงลดการสะสมของ Aqueous humor ที่ลูกตาทำให้ความดันในลูกตาลดลง ยา Brimonidine จะไปกระตุ้นการทำงานของ G Protein-couple receptor ทำให้การทำงานของ Adenylate cyclase ถูกยับยั้ง ทำให้ลดการสร้าง cAMP ซึ่งเป็นสารสำคัญในการสร้าง Aqueous humor จึง ลดการสะสมของ Aqueous humor ที่ลูกตาทำให้ความดันในลูกตาลดลง แต่ยา Pilocarpine จะไปกระตุ้น Cholinergic receptor ในลูกตา ทำให้ Ciliary muscle ในลูกตา หดตัว ความดันในลูกตาจึงลดลง ข้อ 3 เฉลย ข. เพิ่มการติดของสารละลายกับดวงตา เพราะ Hypromellulose ช่วยเพิ่ม contact time ทำให้ยาอยู่ที่ตาเพื่อดูดซึมได้นานขึ้น ข้อ 4 เฉลย ก. Bacterial conjunctivitis conjunctivitis โดยเชื้อแบคทีเรียที่เป็นสาเหตุหลักคือ Streptococcus pneumonia,Staphylococcus aureus,Haemophilus influenza ส่วน ข.Viral conjunctivitis นั้นจะมีอาการเด่น คันตา เจ็บตาเล็กน้อย ตาแดง น้ำตาไหล</t>
        </is>
      </c>
      <c r="I1278" s="8" t="inlineStr">
        <is>
          <t>3</t>
        </is>
      </c>
      <c r="J1278" s="2" t="inlineStr">
        <is>
          <t>✅ คำตอบที่ถูกต้อง: ข้อ ค. Hetero acetic acids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Hetero acetic acids เนื่องจาก ผู้ป่วยมีอาการตาแดงข้างซ้าย เจ็บตา  ขี้ตามีหนองข้นเขียว ซึ่งเป็นอาการที่เข้าได้กับ Bacterial ชั้นกลาง 2. จากการติดเชื้อในรูหู ผ่านแก้วหูที่ทะลุ แล้วเข้าสู่หูชั้นกลาง 3. ผ่านทางกระแสเลือดซึ่งผู้ป่วยมี ส่วนกลางได้อย่างรวดเร็วและเป็นที่รู้จักของชีวโมเลกุลที่ทำหน้าที่เสมือนยามเฝ้าในสิ่งขวางกั้นระหว่างเลือด เช่นนี้ร่วมกับคุณสมบัติอื่นๆ เช่น น้ าหนักโมเลกุลค่อนข้างต่ า มีประจุบวก และบางตัวไม่เป็นที่รู้จักของชีว
🔍 ข้ออื่นผิดเพราะอะไร:
• ข้อ ก. (Arylpropionic acids): ข้อนี้ไม่ใช่คำตอบที่ถูกต้องสำหรับภาวะ Musculoskeletal &amp; Joint เนื่องจากกลไกการออกฤทธิ์, efficacy หรือข้อบ่งใช้ไม่ตรงกับโจทย์ที่กำหนด
• ข้อ ข. (Fenamates): ข้อนี้ไม่ใช่คำตอบที่ถูกต้องสำหรับภาวะ Musculoskeletal &amp; Joint เนื่องจากกลไกการออกฤทธิ์, efficacy หรือข้อบ่งใช้ไม่ตรงกับโจทย์ที่กำหนด
• ข้อ ง. (Indol and indene acetic acids): ข้อนี้ไม่ใช่คำตอบที่ถูกต้องสำหรับภาวะ Musculoskeletal &amp; Joint เนื่องจากกลไกการออกฤทธิ์, efficacy หรือข้อบ่งใช้ไม่ตรงกับโจทย์ที่กำหนด
• ข้อ จ. (Oxicams 164 โรคตา หู จมูก คอ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โดย นิสิตเภสัชชั้นป๊ที่ 4 รุ่นที่ 15 ร่วมกับ ฝ่ายวิชาการและวิชาชีพ สโมสรนิสิตคณะเภสัชศาสตร์ มหาวิทยาลัยมหาสารคาม ข้อ 1 เฉลย ข้อ ข. Neomycin2 mg, Polymyxin B 5,000 หนวย และ Gramicidin 0.025 mg (Poly- Ophห) หยอดตา QID 5-7 วัน เนื่องจากผู้ป่วยรายนี้ได้รับการวินิจฉัยว่าเป็น Bacterial conjunctivitis ยาที่เหมาะสมในผู้ป่วยรายนี้ คือ Poly-Oph โดยให้หยอดตา วันละ 4 ครั้ง เป็นเวลา 5-7 วัน ข้อ 2 เฉลย ข้อ ข. Pilocarpine ยา Timolol และ Betaxolol จะยับยั้ง Beta adrenergic receptor ทำให้ยับยั้งการสร้าง Aqueous humor จึงลดการสะสมของ Aqueous humor ที่ลูกตาทำให้ความดันในลูกตาลดลง ยา Acetazolamide จะยับยั้งการทำงานของเอนไซม์ Carbonic anhydrase ทำให้ไม่เกิดการสร้าง Aqueous humor ที่ลูกตา จึงลดการสะสมของ Aqueous humor ที่ลูกตาทำให้ความดันในลูกตาลดลง ยา Brimonidine จะไปกระตุ้นการทำงานของ G Protein-couple receptor ทำให้การทำงานของ Adenylate cyclase ถูกยับยั้ง ทำให้ลดการสร้าง cAMP ซึ่งเป็นสารสำคัญในการสร้าง Aqueous humor จึง ลดการสะสมของ Aqueous humor ที่ลูกตาทำให้ความดันในลูกตาลดลง แต่ยา Pilocarpine จะไปกระตุ้น Cholinergic receptor ในลูกตา ทำให้ Ciliary muscle ในลูกตา หดตัว ความดันในลูกตาจึงลดลง ข้อ 3 เฉลย ข. เพิ่มการติดของสารละลายกับดวงตา เพราะ Hypromellulose ช่วยเพิ่ม contact time ทำให้ยาอยู่ที่ตาเพื่อดูดซึมได้นานขึ้น ข้อ 4 เฉลย ก. Bacterial conjunctivitis conjunctivitis โดยเชื้อแบคทีเรียที่เป็นสาเหตุหลักคือ Streptococcus pneumonia,Staphylococcus aureus,Haemophilus influenza ส่วน ข.Viral conjunctivitis นั้นจะมีอาการเด่น คันตา เจ็บตาเล็กน้อย ตาแดง น้ำตาไหล): วัคซีนไข้หวัดใหญ่ชนิด inactivated ฉีดปีละ 1 ครั้ง ในกลุ่มเสี่ยง 7 กลุ่มโรคเรื้อรัง และเด็กอายุ 6 เดือน - 2 ปี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278" s="2" t="n"/>
      <c r="L1278" s="2" t="inlineStr">
        <is>
          <t>Musculoskeletal &amp; Joint</t>
        </is>
      </c>
      <c r="M1278" s="2" t="inlineStr">
        <is>
          <t>Clinic</t>
        </is>
      </c>
      <c r="N1278" s="2" t="inlineStr">
        <is>
          <t>ข้อ 40 (PLE_CC1_Practice_Exam.md)</t>
        </is>
      </c>
      <c r="O1278" s="2" t="inlineStr">
        <is>
          <t>Mock</t>
        </is>
      </c>
      <c r="P1278" s="2" t="inlineStr">
        <is>
          <t>Mock สภาเภสัชฯ Practice</t>
        </is>
      </c>
    </row>
    <row r="1279" ht="13.2" customHeight="1" s="37">
      <c r="A1279" s="8" t="inlineStr">
        <is>
          <t>1300</t>
        </is>
      </c>
      <c r="B1279" s="2" t="inlineStr">
        <is>
          <t>รับประทานครั้งละ 2 เม็ดทันทีที่มีอาการ</t>
        </is>
      </c>
      <c r="C1279" s="2" t="n"/>
      <c r="D1279" s="2" t="inlineStr">
        <is>
          <t>N-acetylcysteine (NAC) IV infusion protocol</t>
        </is>
      </c>
      <c r="E1279" s="2" t="inlineStr">
        <is>
          <t>Atropine sulfate 2 mg IV Q5-10 min</t>
        </is>
      </c>
      <c r="F1279" s="2" t="inlineStr">
        <is>
          <t>Pralidoxime (2-PAM) 1-2 g IV over 30 min</t>
        </is>
      </c>
      <c r="G1279" s="2" t="inlineStr">
        <is>
          <t>Naloxone 0.4 mg IV stat</t>
        </is>
      </c>
      <c r="H1279" s="2" t="inlineStr">
        <is>
          <t>Flumazenil 0.2 mg IV stat</t>
        </is>
      </c>
      <c r="I1279" s="8" t="inlineStr">
        <is>
          <t>1</t>
        </is>
      </c>
      <c r="J12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79" s="2" t="n"/>
      <c r="L1279" s="2" t="inlineStr">
        <is>
          <t>General Therapeutics</t>
        </is>
      </c>
      <c r="M1279" s="2" t="inlineStr">
        <is>
          <t>Clinic</t>
        </is>
      </c>
      <c r="N1279" s="2" t="inlineStr">
        <is>
          <t>ข้อ 1 (PLE_CC1_Practice_Exam.md)</t>
        </is>
      </c>
      <c r="O1279" s="2" t="inlineStr">
        <is>
          <t>Mock</t>
        </is>
      </c>
      <c r="P1279" s="2" t="inlineStr">
        <is>
          <t>Mock สภาเภสัชฯ Practice</t>
        </is>
      </c>
    </row>
    <row r="1280" ht="13.2" customHeight="1" s="37">
      <c r="A1280" s="8" t="inlineStr">
        <is>
          <t>1301</t>
        </is>
      </c>
      <c r="B1280" s="2" t="inlineStr">
        <is>
          <t>1 เม็ดทุกๆ ครึ่งชั่วโมงถ้ายังมีอาการอยู่</t>
        </is>
      </c>
      <c r="C1280" s="2" t="n"/>
      <c r="D1280" s="2" t="inlineStr">
        <is>
          <t>Naloxone 0.4 mg IV stat</t>
        </is>
      </c>
      <c r="E1280" s="2" t="inlineStr">
        <is>
          <t>Flumazenil 0.2 mg IV stat</t>
        </is>
      </c>
      <c r="F1280" s="2" t="inlineStr">
        <is>
          <t>Vitamin K1 (Phytomenadione) 10 mg IV slow</t>
        </is>
      </c>
      <c r="G1280" s="2" t="inlineStr">
        <is>
          <t>Sodium thiosulfate 25% 50 mL IV</t>
        </is>
      </c>
      <c r="H1280" s="2" t="inlineStr">
        <is>
          <t>Calcium disodium EDTA 1 g IV</t>
        </is>
      </c>
      <c r="I1280" s="8" t="inlineStr">
        <is>
          <t>1</t>
        </is>
      </c>
      <c r="J12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80" s="2" t="n"/>
      <c r="L1280" s="2" t="inlineStr">
        <is>
          <t>General Therapeutics</t>
        </is>
      </c>
      <c r="M1280" s="2" t="inlineStr">
        <is>
          <t>Clinic</t>
        </is>
      </c>
      <c r="N1280" s="2" t="inlineStr">
        <is>
          <t>ข้อ 2 (PLE_CC1_Practice_Exam.md)</t>
        </is>
      </c>
      <c r="O1280" s="2" t="inlineStr">
        <is>
          <t>Mock</t>
        </is>
      </c>
      <c r="P1280" s="2" t="inlineStr">
        <is>
          <t>Mock สภาเภสัชฯ Practice</t>
        </is>
      </c>
    </row>
    <row r="1281" ht="13.2" customHeight="1" s="37">
      <c r="A1281" s="8" t="inlineStr">
        <is>
          <t>1302</t>
        </is>
      </c>
      <c r="B1281" s="2" t="inlineStr">
        <is>
          <t>รับประทานได้ไม่เกินวันละ 6 เม็ด</t>
        </is>
      </c>
      <c r="C1281" s="2" t="n"/>
      <c r="D1281" s="2" t="inlineStr">
        <is>
          <t>Sodium thiosulfate 25% 50 mL IV</t>
        </is>
      </c>
      <c r="E1281" s="2" t="inlineStr">
        <is>
          <t>Calcium disodium EDTA 1 g IV</t>
        </is>
      </c>
      <c r="F1281" s="2" t="inlineStr">
        <is>
          <t>Desferrioxamine 1 g IM/IV</t>
        </is>
      </c>
      <c r="G1281" s="2" t="inlineStr">
        <is>
          <t>Dimercaprol (BAL) 3 mg/kg IM</t>
        </is>
      </c>
      <c r="H1281" s="2" t="inlineStr">
        <is>
          <t>Ethanol 10% IV infusion for Methanol poisoning</t>
        </is>
      </c>
      <c r="I1281" s="8" t="inlineStr">
        <is>
          <t>1</t>
        </is>
      </c>
      <c r="J12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1" s="2" t="n"/>
      <c r="L1281" s="2" t="inlineStr">
        <is>
          <t>General Therapeutics</t>
        </is>
      </c>
      <c r="M1281" s="2" t="inlineStr">
        <is>
          <t>Clinic</t>
        </is>
      </c>
      <c r="N1281" s="2" t="inlineStr">
        <is>
          <t>ข้อ 3 (PLE_CC1_Practice_Exam.md)</t>
        </is>
      </c>
      <c r="O1281" s="2" t="inlineStr">
        <is>
          <t>Mock</t>
        </is>
      </c>
      <c r="P1281" s="2" t="inlineStr">
        <is>
          <t>Mock สภาเภสัชฯ Practice</t>
        </is>
      </c>
    </row>
    <row r="1282" ht="13.2" customHeight="1" s="37">
      <c r="A1282" s="8" t="inlineStr">
        <is>
          <t>1303</t>
        </is>
      </c>
      <c r="B1282" s="2" t="inlineStr">
        <is>
          <t>รับประทานได้ไม่เกินอาทิตย์ละ 5 เม็ด</t>
        </is>
      </c>
      <c r="C1282" s="2" t="n"/>
      <c r="D1282" s="2" t="inlineStr">
        <is>
          <t>Dimercaprol (BAL) 3 mg/kg IM</t>
        </is>
      </c>
      <c r="E1282" s="2" t="inlineStr">
        <is>
          <t>Ethanol 10% IV infusion for Methanol poisoning</t>
        </is>
      </c>
      <c r="F1282" s="2" t="inlineStr">
        <is>
          <t>Fomepizole 15 mg/kg IV loading</t>
        </is>
      </c>
      <c r="G1282" s="2" t="inlineStr">
        <is>
          <t>N-acetylcysteine (NAC) IV infusion protocol</t>
        </is>
      </c>
      <c r="H1282" s="2" t="inlineStr">
        <is>
          <t>Atropine sulfate 2 mg IV Q5-10 min</t>
        </is>
      </c>
      <c r="I1282" s="8" t="inlineStr">
        <is>
          <t>1</t>
        </is>
      </c>
      <c r="J12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2" s="2" t="n"/>
      <c r="L1282" s="2" t="inlineStr">
        <is>
          <t>General Therapeutics</t>
        </is>
      </c>
      <c r="M1282" s="2" t="inlineStr">
        <is>
          <t>Clinic</t>
        </is>
      </c>
      <c r="N1282" s="2" t="inlineStr">
        <is>
          <t>ข้อ 4 (PLE_CC1_Practice_Exam.md)</t>
        </is>
      </c>
      <c r="O1282" s="2" t="inlineStr">
        <is>
          <t>Mock</t>
        </is>
      </c>
      <c r="P1282" s="2" t="inlineStr">
        <is>
          <t>Mock สภาเภสัชฯ Practice</t>
        </is>
      </c>
    </row>
    <row r="1283" ht="13.2" customHeight="1" s="37">
      <c r="A1283" s="8" t="inlineStr">
        <is>
          <t>1304</t>
        </is>
      </c>
      <c r="B1283" s="2" t="inlineStr">
        <is>
          <t>ห้ามรับประทานติดต่อกันเกิน 9 วันต่อเดือน</t>
        </is>
      </c>
      <c r="C1283" s="2" t="n"/>
      <c r="D1283" s="2" t="inlineStr">
        <is>
          <t>N-acetylcysteine (NAC) IV infusion protocol</t>
        </is>
      </c>
      <c r="E1283" s="2" t="inlineStr">
        <is>
          <t>Atropine sulfate 2 mg IV Q5-10 min</t>
        </is>
      </c>
      <c r="F1283" s="2" t="inlineStr">
        <is>
          <t>Pralidoxime (2-PAM) 1-2 g IV over 30 min</t>
        </is>
      </c>
      <c r="G1283" s="2" t="inlineStr">
        <is>
          <t>Naloxone 0.4 mg IV stat</t>
        </is>
      </c>
      <c r="H1283" s="2" t="inlineStr">
        <is>
          <t>Flumazenil 0.2 mg IV stat</t>
        </is>
      </c>
      <c r="I1283" s="8" t="inlineStr">
        <is>
          <t>1</t>
        </is>
      </c>
      <c r="J12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83" s="2" t="n"/>
      <c r="L1283" s="2" t="inlineStr">
        <is>
          <t>General Therapeutics</t>
        </is>
      </c>
      <c r="M1283" s="2" t="inlineStr">
        <is>
          <t>Clinic</t>
        </is>
      </c>
      <c r="N1283" s="2" t="inlineStr">
        <is>
          <t>ข้อ 5 (PLE_CC1_Practice_Exam.md)</t>
        </is>
      </c>
      <c r="O1283" s="2" t="inlineStr">
        <is>
          <t>Mock</t>
        </is>
      </c>
      <c r="P1283" s="2" t="inlineStr">
        <is>
          <t>Mock สภาเภสัชฯ Practice</t>
        </is>
      </c>
    </row>
    <row r="1284" ht="13.2" customHeight="1" s="37">
      <c r="A1284" s="8" t="inlineStr">
        <is>
          <t>1305</t>
        </is>
      </c>
      <c r="B1284" s="2" t="inlineStr">
        <is>
          <t>โครงสร้างยาตัวดังกล่าวควรระวังในคนผู้ป่วยประเภทใด</t>
        </is>
      </c>
      <c r="C1284" s="2" t="n"/>
      <c r="D1284" s="2" t="inlineStr">
        <is>
          <t>Naloxone 0.4 mg IV stat</t>
        </is>
      </c>
      <c r="E1284" s="2" t="inlineStr">
        <is>
          <t>Flumazenil 0.2 mg IV stat</t>
        </is>
      </c>
      <c r="F1284" s="2" t="inlineStr">
        <is>
          <t>Vitamin K1 (Phytomenadione) 10 mg IV slow</t>
        </is>
      </c>
      <c r="G1284" s="2" t="inlineStr">
        <is>
          <t>Sodium thiosulfate 25% 50 mL IV</t>
        </is>
      </c>
      <c r="H1284" s="2" t="inlineStr">
        <is>
          <t>Calcium disodium EDTA 1 g IV</t>
        </is>
      </c>
      <c r="I1284" s="8" t="inlineStr">
        <is>
          <t>1</t>
        </is>
      </c>
      <c r="J12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84" s="2" t="n"/>
      <c r="L1284" s="2" t="inlineStr">
        <is>
          <t>General Therapeutics</t>
        </is>
      </c>
      <c r="M1284" s="2" t="inlineStr">
        <is>
          <t>Clinic</t>
        </is>
      </c>
      <c r="N1284" s="2" t="inlineStr">
        <is>
          <t>ข้อ 4 (PLE_CC1_Practice_Exam.md)</t>
        </is>
      </c>
      <c r="O1284" s="2" t="inlineStr">
        <is>
          <t>Mock</t>
        </is>
      </c>
      <c r="P1284" s="2" t="inlineStr">
        <is>
          <t>Mock สภาเภสัชฯ Practice</t>
        </is>
      </c>
    </row>
    <row r="1285" ht="13.2" customHeight="1" s="37">
      <c r="A1285" s="8" t="inlineStr">
        <is>
          <t>1306</t>
        </is>
      </c>
      <c r="B1285" s="2" t="inlineStr">
        <is>
          <t>ผู้ป่วยที่มียาร่วมจำพวก CYP3A4 inhibitor</t>
        </is>
      </c>
      <c r="C1285" s="2" t="n"/>
      <c r="D1285" s="2" t="inlineStr">
        <is>
          <t>Sodium thiosulfate 25% 50 mL IV</t>
        </is>
      </c>
      <c r="E1285" s="2" t="inlineStr">
        <is>
          <t>Calcium disodium EDTA 1 g IV</t>
        </is>
      </c>
      <c r="F1285" s="2" t="inlineStr">
        <is>
          <t>Desferrioxamine 1 g IM/IV</t>
        </is>
      </c>
      <c r="G1285" s="2" t="inlineStr">
        <is>
          <t>Dimercaprol (BAL) 3 mg/kg IM</t>
        </is>
      </c>
      <c r="H1285" s="2" t="inlineStr">
        <is>
          <t>Ethanol 10% IV infusion for Methanol poisoning</t>
        </is>
      </c>
      <c r="I1285" s="8" t="inlineStr">
        <is>
          <t>1</t>
        </is>
      </c>
      <c r="J12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5" s="2" t="n"/>
      <c r="L1285" s="2" t="inlineStr">
        <is>
          <t>General Therapeutics</t>
        </is>
      </c>
      <c r="M1285" s="2" t="inlineStr">
        <is>
          <t>Clinic</t>
        </is>
      </c>
      <c r="N1285" s="2" t="inlineStr">
        <is>
          <t>ข้อ 2 (PLE_CC1_Practice_Exam.md)</t>
        </is>
      </c>
      <c r="O1285" s="2" t="inlineStr">
        <is>
          <t>Mock</t>
        </is>
      </c>
      <c r="P1285" s="2" t="inlineStr">
        <is>
          <t>Mock สภาเภสัชฯ Practice</t>
        </is>
      </c>
    </row>
    <row r="1286" ht="13.2" customHeight="1" s="37">
      <c r="A1286" s="8" t="inlineStr">
        <is>
          <t>1307</t>
        </is>
      </c>
      <c r="B1286" s="2" t="inlineStr">
        <is>
          <t>Venlafaxine 178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1286" s="2" t="n"/>
      <c r="D1286" s="2" t="inlineStr">
        <is>
          <t>Dimercaprol (BAL) 3 mg/kg IM</t>
        </is>
      </c>
      <c r="E1286" s="2" t="inlineStr">
        <is>
          <t>Ethanol 10% IV infusion for Methanol poisoning</t>
        </is>
      </c>
      <c r="F1286" s="2" t="inlineStr">
        <is>
          <t>Fomepizole 15 mg/kg IV loading</t>
        </is>
      </c>
      <c r="G1286" s="2" t="inlineStr">
        <is>
          <t>N-acetylcysteine (NAC) IV infusion protocol</t>
        </is>
      </c>
      <c r="H1286" s="2" t="inlineStr">
        <is>
          <t>Atropine sulfate 2 mg IV Q5-10 min</t>
        </is>
      </c>
      <c r="I1286" s="8" t="inlineStr">
        <is>
          <t>1</t>
        </is>
      </c>
      <c r="J12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286" s="2" t="n"/>
      <c r="L1286" s="2" t="inlineStr">
        <is>
          <t>General Therapeutics</t>
        </is>
      </c>
      <c r="M1286" s="2" t="inlineStr">
        <is>
          <t>Clinic</t>
        </is>
      </c>
      <c r="N1286" s="2" t="inlineStr">
        <is>
          <t>ข้อ 5 (PLE_CC1_Practice_Exam.md)</t>
        </is>
      </c>
      <c r="O1286" s="2" t="inlineStr">
        <is>
          <t>Mock</t>
        </is>
      </c>
      <c r="P1286" s="2" t="inlineStr">
        <is>
          <t>Mock สภาเภสัชฯ Practice</t>
        </is>
      </c>
    </row>
    <row r="1287" ht="13.2" customHeight="1" s="37">
      <c r="A1287" s="8" t="inlineStr">
        <is>
          <t>1308</t>
        </is>
      </c>
      <c r="B1287" s="2" t="inlineStr">
        <is>
          <t>ผู้ป่วยชายไทยอายุ 41 ปี มาขอซื้อยาแก้ปวดหัวที่ร้านยา จากการซักประวัติผู้ป่วยพบว่า มีอาการปวดหัว ข้างเดียวมาแล้ว 5 ชั่วโมง และปวดหัวตามจังหวะการเต้นของชีพจร ผู้ป่วยแจ้งว่าแพ้ยา Ibuprofen ยาในข้อ ใดควรจ่ายให้กับผู้ป่วยรายนี้</t>
        </is>
      </c>
      <c r="C1287" s="2" t="n"/>
      <c r="D1287" s="2" t="inlineStr">
        <is>
          <t>Prednisolone 5 mg OD</t>
        </is>
      </c>
      <c r="E1287" s="2" t="inlineStr">
        <is>
          <t>Zoledronic acid 5 mg IV annually</t>
        </is>
      </c>
      <c r="F1287" s="2" t="inlineStr">
        <is>
          <t>Leflunomide 20 mg OD</t>
        </is>
      </c>
      <c r="G1287" s="2" t="inlineStr">
        <is>
          <t>Paracetamol 500 mg Q6H PRN</t>
        </is>
      </c>
      <c r="H1287" s="2" t="inlineStr">
        <is>
          <t>Denosumab 60 mg SC every 6 months</t>
        </is>
      </c>
      <c r="I1287" s="8" t="inlineStr">
        <is>
          <t>1</t>
        </is>
      </c>
      <c r="J1287" s="2" t="inlineStr">
        <is>
          <t>✅ คำตอบที่ถูกต้อง: ข้อ ก. Prednisolone 5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Prednisolone 5 mg OD การเลือก Prednisolone 5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ข้อ ค. (Leflunomide 20 mg OD): เป็น csDMARD ยับยั้ง dihydroorotate dehydrogenase มี half-life ยาวนานมาก (elimination half-life ~2 สัปดาห์) ต้องทำ cholestyramine washout หากต้องการตั้งครรภ์
• ข้อ ง. (Paracetamol 500 mg Q6H PRN):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(Denosumab 60 mg SC every 6 months): เป็น RANKL inhibitor ฉีด SC ทุก 6 เดือน ไม่ต้องปรับ dose ใน CKD แต่เสี่ยงต่อ severe hypocalcemia จึงต้อง monitor serum calcium ก่อนให้ยา และห้ามหยุดยากะทันหัน (rebound vertebral fracture)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287" s="2" t="n"/>
      <c r="L1287" s="2" t="inlineStr">
        <is>
          <t>Musculoskeletal &amp; Joint</t>
        </is>
      </c>
      <c r="M1287" s="2" t="inlineStr">
        <is>
          <t>Clinic</t>
        </is>
      </c>
      <c r="N1287" s="2" t="inlineStr">
        <is>
          <t>ข้อ 6 (PLE_CC1_Practice_Exam.md)</t>
        </is>
      </c>
      <c r="O1287" s="2" t="inlineStr">
        <is>
          <t>Mock</t>
        </is>
      </c>
      <c r="P1287" s="2" t="inlineStr">
        <is>
          <t>Mock สภาเภสัชฯ Practice</t>
        </is>
      </c>
    </row>
    <row r="1288" ht="13.2" customHeight="1" s="37">
      <c r="A1288" s="8" t="inlineStr">
        <is>
          <t>1309</t>
        </is>
      </c>
      <c r="B1288" s="2" t="inlineStr">
        <is>
          <t>delirium tremens</t>
        </is>
      </c>
      <c r="C1288" s="2" t="n"/>
      <c r="D1288" s="2" t="inlineStr">
        <is>
          <t>Naloxone 0.4 mg IV stat</t>
        </is>
      </c>
      <c r="E1288" s="2" t="inlineStr">
        <is>
          <t>Flumazenil 0.2 mg IV stat</t>
        </is>
      </c>
      <c r="F1288" s="2" t="inlineStr">
        <is>
          <t>Vitamin K1 (Phytomenadione) 10 mg IV slow</t>
        </is>
      </c>
      <c r="G1288" s="2" t="inlineStr">
        <is>
          <t>Sodium thiosulfate 25% 50 mL IV</t>
        </is>
      </c>
      <c r="H1288" s="2" t="inlineStr">
        <is>
          <t>Calcium disodium EDTA 1 g IV</t>
        </is>
      </c>
      <c r="I1288" s="8" t="inlineStr">
        <is>
          <t>1</t>
        </is>
      </c>
      <c r="J12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88" s="2" t="n"/>
      <c r="L1288" s="2" t="inlineStr">
        <is>
          <t>General Therapeutics</t>
        </is>
      </c>
      <c r="M1288" s="2" t="inlineStr">
        <is>
          <t>Clinic</t>
        </is>
      </c>
      <c r="N1288" s="2" t="inlineStr">
        <is>
          <t>ข้อ 5 (PLE_CC1_Practice_Exam.md)</t>
        </is>
      </c>
      <c r="O1288" s="2" t="inlineStr">
        <is>
          <t>Mock</t>
        </is>
      </c>
      <c r="P1288" s="2" t="inlineStr">
        <is>
          <t>Mock สภาเภสัชฯ Practice</t>
        </is>
      </c>
    </row>
    <row r="1289" ht="13.2" customHeight="1" s="37">
      <c r="A1289" s="8" t="inlineStr">
        <is>
          <t>1310</t>
        </is>
      </c>
      <c r="B1289" s="2" t="inlineStr">
        <is>
          <t>ผู้ป่วยชายไทยคู่ อายุ 55 ปี ดื่มแอลกอฮอล์มา 10 ปี ลูกของผู้ป่วยอยากให้เลิกดื่มแอลกอฮอล์จึงตัดสินใจ เลิกดื่มแอลกอฮอล์ ผู้ป่วยเกิด อาการคลุมคลั่ง เพ้อ คิดว่าคนอื่นจะมาทำร้ายตนเอง อาการจะมักเกิดขึ้นในตอน เย็น และตอนเช้าอาการจะดีขึ้น อาการเกิดขึ้นเมื่อผู้ป่วยเลิกดื่มแอลกอฮอล์ในวันที่ 4 แพทย์วินิจฉัยว่ายังมี อาการ delirium tremens ยาใดที่เหมาะสมในผู้ป่วยรายนี้</t>
        </is>
      </c>
      <c r="C1289" s="2" t="n"/>
      <c r="D1289" s="2" t="inlineStr">
        <is>
          <t>Sodium thiosulfate 25% 50 mL IV</t>
        </is>
      </c>
      <c r="E1289" s="2" t="inlineStr">
        <is>
          <t>Calcium disodium EDTA 1 g IV</t>
        </is>
      </c>
      <c r="F1289" s="2" t="inlineStr">
        <is>
          <t>Desferrioxamine 1 g IM/IV</t>
        </is>
      </c>
      <c r="G1289" s="2" t="inlineStr">
        <is>
          <t>Dimercaprol (BAL) 3 mg/kg IM</t>
        </is>
      </c>
      <c r="H1289" s="2" t="inlineStr">
        <is>
          <t>Ethanol 10% IV infusion for Methanol poisoning</t>
        </is>
      </c>
      <c r="I1289" s="8" t="inlineStr">
        <is>
          <t>1</t>
        </is>
      </c>
      <c r="J12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9" s="2" t="n"/>
      <c r="L1289" s="2" t="inlineStr">
        <is>
          <t>General Therapeutics</t>
        </is>
      </c>
      <c r="M1289" s="2" t="inlineStr">
        <is>
          <t>Clinic</t>
        </is>
      </c>
      <c r="N1289" s="2" t="inlineStr">
        <is>
          <t>ข้อ 10 (PLE_CC1_Practice_Exam.md)</t>
        </is>
      </c>
      <c r="O1289" s="2" t="inlineStr">
        <is>
          <t>Mock</t>
        </is>
      </c>
      <c r="P1289" s="2" t="inlineStr">
        <is>
          <t>Mock สภาเภสัชฯ Practice</t>
        </is>
      </c>
    </row>
    <row r="1290" ht="13.2" customHeight="1" s="37">
      <c r="A1290" s="8" t="inlineStr">
        <is>
          <t>1311</t>
        </is>
      </c>
      <c r="B1290" s="2" t="inlineStr">
        <is>
          <t>ยับยั้งเอนไซม์ Catalase</t>
        </is>
      </c>
      <c r="C1290" s="2" t="n"/>
      <c r="D1290" s="2" t="inlineStr">
        <is>
          <t>Dimercaprol (BAL) 3 mg/kg IM</t>
        </is>
      </c>
      <c r="E1290" s="2" t="inlineStr">
        <is>
          <t>Ethanol 10% IV infusion for Methanol poisoning</t>
        </is>
      </c>
      <c r="F1290" s="2" t="inlineStr">
        <is>
          <t>Fomepizole 15 mg/kg IV loading</t>
        </is>
      </c>
      <c r="G1290" s="2" t="inlineStr">
        <is>
          <t>N-acetylcysteine (NAC) IV infusion protocol</t>
        </is>
      </c>
      <c r="H1290" s="2" t="inlineStr">
        <is>
          <t>Atropine sulfate 2 mg IV Q5-10 min</t>
        </is>
      </c>
      <c r="I1290" s="8" t="inlineStr">
        <is>
          <t>1</t>
        </is>
      </c>
      <c r="J12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0" s="2" t="n"/>
      <c r="L1290" s="2" t="inlineStr">
        <is>
          <t>General Therapeutics</t>
        </is>
      </c>
      <c r="M1290" s="2" t="inlineStr">
        <is>
          <t>Clinic</t>
        </is>
      </c>
      <c r="N1290" s="2" t="inlineStr">
        <is>
          <t>ข้อ 1 (PLE_CC1_Practice_Exam.md)</t>
        </is>
      </c>
      <c r="O1290" s="2" t="inlineStr">
        <is>
          <t>Mock</t>
        </is>
      </c>
      <c r="P1290" s="2" t="inlineStr">
        <is>
          <t>Mock สภาเภสัชฯ Practice</t>
        </is>
      </c>
    </row>
    <row r="1291" ht="13.2" customHeight="1" s="37">
      <c r="A1291" s="8" t="inlineStr">
        <is>
          <t>1312</t>
        </is>
      </c>
      <c r="B1291" s="2" t="inlineStr">
        <is>
          <t>ออกฤทธิ์เป็น Opioid receptor antagonist</t>
        </is>
      </c>
      <c r="C1291" s="2" t="n"/>
      <c r="D1291" s="2" t="inlineStr">
        <is>
          <t>N-acetylcysteine (NAC) IV infusion protocol</t>
        </is>
      </c>
      <c r="E1291" s="2" t="inlineStr">
        <is>
          <t>Atropine sulfate 2 mg IV Q5-10 min</t>
        </is>
      </c>
      <c r="F1291" s="2" t="inlineStr">
        <is>
          <t>Pralidoxime (2-PAM) 1-2 g IV over 30 min</t>
        </is>
      </c>
      <c r="G1291" s="2" t="inlineStr">
        <is>
          <t>Naloxone 0.4 mg IV stat</t>
        </is>
      </c>
      <c r="H1291" s="2" t="inlineStr">
        <is>
          <t>Flumazenil 0.2 mg IV stat</t>
        </is>
      </c>
      <c r="I1291" s="8" t="inlineStr">
        <is>
          <t>1</t>
        </is>
      </c>
      <c r="J12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91" s="2" t="n"/>
      <c r="L1291" s="2" t="inlineStr">
        <is>
          <t>General Therapeutics</t>
        </is>
      </c>
      <c r="M1291" s="2" t="inlineStr">
        <is>
          <t>Clinic</t>
        </is>
      </c>
      <c r="N1291" s="2" t="inlineStr">
        <is>
          <t>ข้อ 2 (PLE_CC1_Practice_Exam.md)</t>
        </is>
      </c>
      <c r="O1291" s="2" t="inlineStr">
        <is>
          <t>Mock</t>
        </is>
      </c>
      <c r="P1291" s="2" t="inlineStr">
        <is>
          <t>Mock สภาเภสัชฯ Practice</t>
        </is>
      </c>
    </row>
    <row r="1292" ht="13.2" customHeight="1" s="37">
      <c r="A1292" s="8" t="inlineStr">
        <is>
          <t>1313</t>
        </is>
      </c>
      <c r="B1292" s="2" t="inlineStr">
        <is>
          <t>ออกฤทธิ์เป็น Alpha 2 adrenergic receptor agonist</t>
        </is>
      </c>
      <c r="C1292" s="2" t="n"/>
      <c r="D1292" s="2" t="inlineStr">
        <is>
          <t>Naloxone 0.4 mg IV stat</t>
        </is>
      </c>
      <c r="E1292" s="2" t="inlineStr">
        <is>
          <t>Flumazenil 0.2 mg IV stat</t>
        </is>
      </c>
      <c r="F1292" s="2" t="inlineStr">
        <is>
          <t>Vitamin K1 (Phytomenadione) 10 mg IV slow</t>
        </is>
      </c>
      <c r="G1292" s="2" t="inlineStr">
        <is>
          <t>Sodium thiosulfate 25% 50 mL IV</t>
        </is>
      </c>
      <c r="H1292" s="2" t="inlineStr">
        <is>
          <t>Calcium disodium EDTA 1 g IV</t>
        </is>
      </c>
      <c r="I1292" s="8" t="inlineStr">
        <is>
          <t>1</t>
        </is>
      </c>
      <c r="J12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92" s="2" t="n"/>
      <c r="L1292" s="2" t="inlineStr">
        <is>
          <t>General Therapeutics</t>
        </is>
      </c>
      <c r="M1292" s="2" t="inlineStr">
        <is>
          <t>Clinic</t>
        </is>
      </c>
      <c r="N1292" s="2" t="inlineStr">
        <is>
          <t>ข้อ 4 (PLE_CC1_Practice_Exam.md)</t>
        </is>
      </c>
      <c r="O1292" s="2" t="inlineStr">
        <is>
          <t>Mock</t>
        </is>
      </c>
      <c r="P1292" s="2" t="inlineStr">
        <is>
          <t>Mock สภาเภสัชฯ Practice</t>
        </is>
      </c>
    </row>
    <row r="1293" ht="13.2" customHeight="1" s="37">
      <c r="A1293" s="8" t="inlineStr">
        <is>
          <t>1314</t>
        </is>
      </c>
      <c r="B1293" s="2" t="inlineStr">
        <is>
          <t>ยับยั้ง Aldehyde dehydrogenase</t>
        </is>
      </c>
      <c r="C1293" s="2" t="n"/>
      <c r="D1293" s="2" t="inlineStr">
        <is>
          <t>Sodium thiosulfate 25% 50 mL IV</t>
        </is>
      </c>
      <c r="E1293" s="2" t="inlineStr">
        <is>
          <t>Calcium disodium EDTA 1 g IV</t>
        </is>
      </c>
      <c r="F1293" s="2" t="inlineStr">
        <is>
          <t>Desferrioxamine 1 g IM/IV</t>
        </is>
      </c>
      <c r="G1293" s="2" t="inlineStr">
        <is>
          <t>Dimercaprol (BAL) 3 mg/kg IM</t>
        </is>
      </c>
      <c r="H1293" s="2" t="inlineStr">
        <is>
          <t>Ethanol 10% IV infusion for Methanol poisoning</t>
        </is>
      </c>
      <c r="I1293" s="8" t="inlineStr">
        <is>
          <t>1</t>
        </is>
      </c>
      <c r="J12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3" s="2" t="n"/>
      <c r="L1293" s="2" t="inlineStr">
        <is>
          <t>General Therapeutics</t>
        </is>
      </c>
      <c r="M1293" s="2" t="inlineStr">
        <is>
          <t>Clinic</t>
        </is>
      </c>
      <c r="N1293" s="2" t="inlineStr">
        <is>
          <t>ข้อ 5 (PLE_CC1_Practice_Exam.md)</t>
        </is>
      </c>
      <c r="O1293" s="2" t="inlineStr">
        <is>
          <t>Mock</t>
        </is>
      </c>
      <c r="P1293" s="2" t="inlineStr">
        <is>
          <t>Mock สภาเภสัชฯ Practice</t>
        </is>
      </c>
    </row>
    <row r="1294" ht="13.2" customHeight="1" s="37">
      <c r="A1294" s="8" t="inlineStr">
        <is>
          <t>1315</t>
        </is>
      </c>
      <c r="B1294" s="2" t="inlineStr">
        <is>
          <t>Wernicke’s encephalopathy สามารถรักษาด้วยยาอะไร</t>
        </is>
      </c>
      <c r="C1294" s="2" t="n"/>
      <c r="D1294" s="2" t="inlineStr">
        <is>
          <t>Dimercaprol (BAL) 3 mg/kg IM</t>
        </is>
      </c>
      <c r="E1294" s="2" t="inlineStr">
        <is>
          <t>Ethanol 10% IV infusion for Methanol poisoning</t>
        </is>
      </c>
      <c r="F1294" s="2" t="inlineStr">
        <is>
          <t>Fomepizole 15 mg/kg IV loading</t>
        </is>
      </c>
      <c r="G1294" s="2" t="inlineStr">
        <is>
          <t>N-acetylcysteine (NAC) IV infusion protocol</t>
        </is>
      </c>
      <c r="H1294" s="2" t="inlineStr">
        <is>
          <t>Atropine sulfate 2 mg IV Q5-10 min</t>
        </is>
      </c>
      <c r="I1294" s="8" t="inlineStr">
        <is>
          <t>1</t>
        </is>
      </c>
      <c r="J12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4" s="2" t="n"/>
      <c r="L1294" s="2" t="inlineStr">
        <is>
          <t>General Therapeutics</t>
        </is>
      </c>
      <c r="M1294" s="2" t="inlineStr">
        <is>
          <t>Clinic</t>
        </is>
      </c>
      <c r="N1294" s="2" t="inlineStr">
        <is>
          <t>ข้อ 12 (PLE_CC1_Practice_Exam.md)</t>
        </is>
      </c>
      <c r="O1294" s="2" t="inlineStr">
        <is>
          <t>Mock</t>
        </is>
      </c>
      <c r="P1294" s="2" t="inlineStr">
        <is>
          <t>Mock สภาเภสัชฯ Practice</t>
        </is>
      </c>
    </row>
    <row r="1295" ht="13.2" customHeight="1" s="37">
      <c r="A1295" s="8" t="inlineStr">
        <is>
          <t>1316</t>
        </is>
      </c>
      <c r="B1295" s="2" t="inlineStr">
        <is>
          <t>ยาในต่อไปข้อใดใช้ในการรักษาภาวะติดสุราเรื้อรัง</t>
        </is>
      </c>
      <c r="C1295" s="2" t="n"/>
      <c r="D1295" s="2" t="inlineStr">
        <is>
          <t>N-acetylcysteine (NAC) IV infusion protocol</t>
        </is>
      </c>
      <c r="E1295" s="2" t="inlineStr">
        <is>
          <t>Atropine sulfate 2 mg IV Q5-10 min</t>
        </is>
      </c>
      <c r="F1295" s="2" t="inlineStr">
        <is>
          <t>Pralidoxime (2-PAM) 1-2 g IV over 30 min</t>
        </is>
      </c>
      <c r="G1295" s="2" t="inlineStr">
        <is>
          <t>Naloxone 0.4 mg IV stat</t>
        </is>
      </c>
      <c r="H1295" s="2" t="inlineStr">
        <is>
          <t>Flumazenil 0.2 mg IV stat</t>
        </is>
      </c>
      <c r="I1295" s="8" t="inlineStr">
        <is>
          <t>1</t>
        </is>
      </c>
      <c r="J12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95" s="2" t="n"/>
      <c r="L1295" s="2" t="inlineStr">
        <is>
          <t>General Therapeutics</t>
        </is>
      </c>
      <c r="M1295" s="2" t="inlineStr">
        <is>
          <t>Clinic</t>
        </is>
      </c>
      <c r="N1295" s="2" t="inlineStr">
        <is>
          <t>ข้อ 13 (PLE_CC1_Practice_Exam.md)</t>
        </is>
      </c>
      <c r="O1295" s="2" t="inlineStr">
        <is>
          <t>Mock</t>
        </is>
      </c>
      <c r="P1295" s="2" t="inlineStr">
        <is>
          <t>Mock สภาเภสัชฯ Practice</t>
        </is>
      </c>
    </row>
    <row r="1296" ht="13.2" customHeight="1" s="37">
      <c r="A1296" s="8" t="inlineStr">
        <is>
          <t>1317</t>
        </is>
      </c>
      <c r="B1296" s="2" t="inlineStr">
        <is>
          <t>Flumazenil</t>
        </is>
      </c>
      <c r="C1296" s="2" t="n"/>
      <c r="D1296" s="2" t="inlineStr">
        <is>
          <t>Naloxone 0.4 mg IV stat</t>
        </is>
      </c>
      <c r="E1296" s="2" t="inlineStr">
        <is>
          <t>Flumazenil 0.2 mg IV stat</t>
        </is>
      </c>
      <c r="F1296" s="2" t="inlineStr">
        <is>
          <t>Vitamin K1 (Phytomenadione) 10 mg IV slow</t>
        </is>
      </c>
      <c r="G1296" s="2" t="inlineStr">
        <is>
          <t>Sodium thiosulfate 25% 50 mL IV</t>
        </is>
      </c>
      <c r="H1296" s="2" t="inlineStr">
        <is>
          <t>Calcium disodium EDTA 1 g IV</t>
        </is>
      </c>
      <c r="I1296" s="8" t="inlineStr">
        <is>
          <t>1</t>
        </is>
      </c>
      <c r="J1296" s="2" t="inlineStr">
        <is>
          <t>✅ คำตอบที่ถูกต้อง: ข้อ ก. Naloxone 0.4 mg IV stat
💡 Background:
ภาวะ acute poisoning ต้องได้รับการประเมิน supportive care ควบคู่กับการให้ specific antidote อย่างทันท่วงที
🎯 ทำไมข้อนี้ถึงถูก:
Naloxone 0.4 mg IV stat การเลือก Naloxone 0.4 mg IV stat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Toxicology &amp; Antidote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Toxicology &amp; Antidote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96" s="2" t="n"/>
      <c r="L1296" s="2" t="inlineStr">
        <is>
          <t>Toxicology &amp; Antidote</t>
        </is>
      </c>
      <c r="M1296" s="2" t="inlineStr">
        <is>
          <t>Clinic</t>
        </is>
      </c>
      <c r="N1296" s="2" t="inlineStr">
        <is>
          <t>ข้อ 5 (PLE_CC1_Practice_Exam.md)</t>
        </is>
      </c>
      <c r="O1296" s="2" t="inlineStr">
        <is>
          <t>Mock</t>
        </is>
      </c>
      <c r="P1296" s="2" t="inlineStr">
        <is>
          <t>Mock สภาเภสัชฯ Practice</t>
        </is>
      </c>
    </row>
    <row r="1297" ht="13.2" customHeight="1" s="37">
      <c r="A1297" s="8" t="inlineStr">
        <is>
          <t>1318</t>
        </is>
      </c>
      <c r="B1297" s="2" t="inlineStr">
        <is>
          <t>ให้ Buprenorphine</t>
        </is>
      </c>
      <c r="C1297" s="2" t="n"/>
      <c r="D1297" s="2" t="inlineStr">
        <is>
          <t>Sodium thiosulfate 25% 50 mL IV</t>
        </is>
      </c>
      <c r="E1297" s="2" t="inlineStr">
        <is>
          <t>Calcium disodium EDTA 1 g IV</t>
        </is>
      </c>
      <c r="F1297" s="2" t="inlineStr">
        <is>
          <t>Desferrioxamine 1 g IM/IV</t>
        </is>
      </c>
      <c r="G1297" s="2" t="inlineStr">
        <is>
          <t>Dimercaprol (BAL) 3 mg/kg IM</t>
        </is>
      </c>
      <c r="H1297" s="2" t="inlineStr">
        <is>
          <t>Ethanol 10% IV infusion for Methanol poisoning</t>
        </is>
      </c>
      <c r="I1297" s="8" t="inlineStr">
        <is>
          <t>1</t>
        </is>
      </c>
      <c r="J12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7" s="2" t="n"/>
      <c r="L1297" s="2" t="inlineStr">
        <is>
          <t>General Therapeutics</t>
        </is>
      </c>
      <c r="M1297" s="2" t="inlineStr">
        <is>
          <t>Clinic</t>
        </is>
      </c>
      <c r="N1297" s="2" t="inlineStr">
        <is>
          <t>ข้อ 1 (PLE_CC1_Practice_Exam.md)</t>
        </is>
      </c>
      <c r="O1297" s="2" t="inlineStr">
        <is>
          <t>Mock</t>
        </is>
      </c>
      <c r="P1297" s="2" t="inlineStr">
        <is>
          <t>Mock สภาเภสัชฯ Practice</t>
        </is>
      </c>
    </row>
    <row r="1298" ht="13.2" customHeight="1" s="37">
      <c r="A1298" s="8" t="inlineStr">
        <is>
          <t>1319</t>
        </is>
      </c>
      <c r="B1298" s="2" t="inlineStr">
        <is>
          <t>ให้ Naloxone IV</t>
        </is>
      </c>
      <c r="C1298" s="2" t="n"/>
      <c r="D1298" s="2" t="inlineStr">
        <is>
          <t>Dimercaprol (BAL) 3 mg/kg IM</t>
        </is>
      </c>
      <c r="E1298" s="2" t="inlineStr">
        <is>
          <t>Ethanol 10% IV infusion for Methanol poisoning</t>
        </is>
      </c>
      <c r="F1298" s="2" t="inlineStr">
        <is>
          <t>Fomepizole 15 mg/kg IV loading</t>
        </is>
      </c>
      <c r="G1298" s="2" t="inlineStr">
        <is>
          <t>N-acetylcysteine (NAC) IV infusion protocol</t>
        </is>
      </c>
      <c r="H1298" s="2" t="inlineStr">
        <is>
          <t>Atropine sulfate 2 mg IV Q5-10 min</t>
        </is>
      </c>
      <c r="I1298" s="8" t="inlineStr">
        <is>
          <t>1</t>
        </is>
      </c>
      <c r="J1298" s="2" t="inlineStr">
        <is>
          <t>✅ คำตอบที่ถูกต้อง: ข้อ ก. Dimercaprol (BAL) 3 mg/kg IM
💡 Background:
ภาวะ acute poisoning ต้องได้รับการประเมิน supportive care ควบคู่กับการให้ specific antidote อย่างทันท่วงที
🎯 ทำไมข้อนี้ถึงถูก:
Dimercaprol (BAL) 3 mg/kg IM การเลือก Dimercaprol (BAL) 3 mg/kg IM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ข้อ ค. (Fomepizole 15 mg/kg IV loading): ข้อนี้ไม่ใช่คำตอบที่ถูกต้องสำหรับภาวะ Toxicology &amp; Antidote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Toxicology &amp; Antidote เนื่องจากกลไกการออกฤทธิ์, efficacy หรือข้อบ่งใช้ไม่ตรงกับโจทย์ที่กำหนด
• ข้อ จ.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298" s="2" t="n"/>
      <c r="L1298" s="2" t="inlineStr">
        <is>
          <t>Toxicology &amp; Antidote</t>
        </is>
      </c>
      <c r="M1298" s="2" t="inlineStr">
        <is>
          <t>Clinic</t>
        </is>
      </c>
      <c r="N1298" s="2" t="inlineStr">
        <is>
          <t>ข้อ 4 (PLE_CC1_Practice_Exam.md)</t>
        </is>
      </c>
      <c r="O1298" s="2" t="inlineStr">
        <is>
          <t>Mock</t>
        </is>
      </c>
      <c r="P1298" s="2" t="inlineStr">
        <is>
          <t>Mock สภาเภสัชฯ Practice</t>
        </is>
      </c>
    </row>
    <row r="1299" ht="13.2" customHeight="1" s="37">
      <c r="A1299" s="8" t="inlineStr">
        <is>
          <t>1320</t>
        </is>
      </c>
      <c r="B1299" s="2" t="inlineStr">
        <is>
          <t>ให้ Cyproheptadine</t>
        </is>
      </c>
      <c r="C1299" s="2" t="n"/>
      <c r="D1299" s="2" t="inlineStr">
        <is>
          <t>N-acetylcysteine (NAC) IV infusion protocol</t>
        </is>
      </c>
      <c r="E1299" s="2" t="inlineStr">
        <is>
          <t>Atropine sulfate 2 mg IV Q5-10 min</t>
        </is>
      </c>
      <c r="F1299" s="2" t="inlineStr">
        <is>
          <t>Pralidoxime (2-PAM) 1-2 g IV over 30 min</t>
        </is>
      </c>
      <c r="G1299" s="2" t="inlineStr">
        <is>
          <t>Naloxone 0.4 mg IV stat</t>
        </is>
      </c>
      <c r="H1299" s="2" t="inlineStr">
        <is>
          <t>Flumazenil 0.2 mg IV stat</t>
        </is>
      </c>
      <c r="I1299" s="8" t="inlineStr">
        <is>
          <t>1</t>
        </is>
      </c>
      <c r="J12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299" s="2" t="n"/>
      <c r="L1299" s="2" t="inlineStr">
        <is>
          <t>General Therapeutics</t>
        </is>
      </c>
      <c r="M1299" s="2" t="inlineStr">
        <is>
          <t>Clinic</t>
        </is>
      </c>
      <c r="N1299" s="2" t="inlineStr">
        <is>
          <t>ข้อ 5 (PLE_CC1_Practice_Exam.md)</t>
        </is>
      </c>
      <c r="O1299" s="2" t="inlineStr">
        <is>
          <t>Mock</t>
        </is>
      </c>
      <c r="P1299" s="2" t="inlineStr">
        <is>
          <t>Mock สภาเภสัชฯ Practice</t>
        </is>
      </c>
    </row>
    <row r="1300" ht="13.2" customHeight="1" s="37">
      <c r="A1300" s="8" t="inlineStr">
        <is>
          <t>1321</t>
        </is>
      </c>
      <c r="B1300" s="2" t="inlineStr">
        <is>
          <t>Haloperidol Tobacco dependence and cessation</t>
        </is>
      </c>
      <c r="C1300" s="2" t="n"/>
      <c r="D1300" s="2" t="inlineStr">
        <is>
          <t>Naloxone 0.4 mg IV stat</t>
        </is>
      </c>
      <c r="E1300" s="2" t="inlineStr">
        <is>
          <t>Flumazenil 0.2 mg IV stat</t>
        </is>
      </c>
      <c r="F1300" s="2" t="inlineStr">
        <is>
          <t>Vitamin K1 (Phytomenadione) 10 mg IV slow</t>
        </is>
      </c>
      <c r="G1300" s="2" t="inlineStr">
        <is>
          <t>Sodium thiosulfate 25% 50 mL IV</t>
        </is>
      </c>
      <c r="H1300" s="2" t="inlineStr">
        <is>
          <t>Calcium disodium EDTA 1 g IV</t>
        </is>
      </c>
      <c r="I1300" s="8" t="inlineStr">
        <is>
          <t>1</t>
        </is>
      </c>
      <c r="J13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00" s="2" t="n"/>
      <c r="L1300" s="2" t="inlineStr">
        <is>
          <t>General Therapeutics</t>
        </is>
      </c>
      <c r="M1300" s="2" t="inlineStr">
        <is>
          <t>Clinic</t>
        </is>
      </c>
      <c r="N1300" s="2" t="inlineStr">
        <is>
          <t>ข้อ 5 (PLE_CC1_Practice_Exam.md)</t>
        </is>
      </c>
      <c r="O1300" s="2" t="inlineStr">
        <is>
          <t>Mock</t>
        </is>
      </c>
      <c r="P1300" s="2" t="inlineStr">
        <is>
          <t>Mock สภาเภสัชฯ Practice</t>
        </is>
      </c>
    </row>
    <row r="1301" ht="13.2" customHeight="1" s="37">
      <c r="A1301" s="8" t="inlineStr">
        <is>
          <t>1322</t>
        </is>
      </c>
      <c r="B1301" s="2" t="inlineStr">
        <is>
          <t>สารใดอยู่ในบุหรี่ที่ออกฤทธิ์ทางเภสัชวิทยา ทำให้เกิดอาการถอนบุหรี่ได้เมื่อไม่ได้สูบบุหรี่</t>
        </is>
      </c>
      <c r="C1301" s="2" t="n"/>
      <c r="D1301" s="2" t="inlineStr">
        <is>
          <t>Theophylline 200 mg BID</t>
        </is>
      </c>
      <c r="E1301" s="2" t="inlineStr">
        <is>
          <t>Prednisolone 40 mg OD x 5 days</t>
        </is>
      </c>
      <c r="F1301" s="2" t="inlineStr">
        <is>
          <t>N-acetylcysteine 600 mg OD</t>
        </is>
      </c>
      <c r="G1301" s="2" t="inlineStr">
        <is>
          <t>Beclomethasone MDI 100 mcg BID</t>
        </is>
      </c>
      <c r="H1301" s="2" t="inlineStr">
        <is>
          <t>Salbutamol MDI 2 puffs PRN</t>
        </is>
      </c>
      <c r="I1301" s="8" t="inlineStr">
        <is>
          <t>1</t>
        </is>
      </c>
      <c r="J1301" s="2" t="inlineStr">
        <is>
          <t>✅ คำตอบที่ถูกต้อง: ข้อ ก. Theophylline 200 mg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Theophylline 200 mg BID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ง.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1" s="2" t="n"/>
      <c r="L1301" s="2" t="inlineStr">
        <is>
          <t>Pulmonary Diseases</t>
        </is>
      </c>
      <c r="M1301" s="2" t="inlineStr">
        <is>
          <t>Clinic</t>
        </is>
      </c>
      <c r="N1301" s="2" t="inlineStr">
        <is>
          <t>ข้อ 17 (PLE_CC1_Practice_Exam.md)</t>
        </is>
      </c>
      <c r="O1301" s="2" t="inlineStr">
        <is>
          <t>Mock</t>
        </is>
      </c>
      <c r="P1301" s="2" t="inlineStr">
        <is>
          <t>Mock สภาเภสัชฯ Practice</t>
        </is>
      </c>
    </row>
    <row r="1302" ht="13.2" customHeight="1" s="37">
      <c r="A1302" s="8" t="inlineStr">
        <is>
          <t>1323</t>
        </is>
      </c>
      <c r="B1302" s="2" t="inlineStr">
        <is>
          <t>nitrogen dioxide</t>
        </is>
      </c>
      <c r="C1302" s="2" t="n"/>
      <c r="D1302" s="2" t="inlineStr">
        <is>
          <t>Dimercaprol (BAL) 3 mg/kg IM</t>
        </is>
      </c>
      <c r="E1302" s="2" t="inlineStr">
        <is>
          <t>Ethanol 10% IV infusion for Methanol poisoning</t>
        </is>
      </c>
      <c r="F1302" s="2" t="inlineStr">
        <is>
          <t>Fomepizole 15 mg/kg IV loading</t>
        </is>
      </c>
      <c r="G1302" s="2" t="inlineStr">
        <is>
          <t>N-acetylcysteine (NAC) IV infusion protocol</t>
        </is>
      </c>
      <c r="H1302" s="2" t="inlineStr">
        <is>
          <t>Atropine sulfate 2 mg IV Q5-10 min</t>
        </is>
      </c>
      <c r="I1302" s="8" t="inlineStr">
        <is>
          <t>1</t>
        </is>
      </c>
      <c r="J13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2" s="2" t="n"/>
      <c r="L1302" s="2" t="inlineStr">
        <is>
          <t>General Therapeutics</t>
        </is>
      </c>
      <c r="M1302" s="2" t="inlineStr">
        <is>
          <t>Clinic</t>
        </is>
      </c>
      <c r="N1302" s="2" t="inlineStr">
        <is>
          <t>ข้อ 4 (PLE_CC1_Practice_Exam.md)</t>
        </is>
      </c>
      <c r="O1302" s="2" t="inlineStr">
        <is>
          <t>Mock</t>
        </is>
      </c>
      <c r="P1302" s="2" t="inlineStr">
        <is>
          <t>Mock สภาเภสัชฯ Practice</t>
        </is>
      </c>
    </row>
    <row r="1303" ht="13.2" customHeight="1" s="37">
      <c r="A1303" s="8" t="inlineStr">
        <is>
          <t>1324</t>
        </is>
      </c>
      <c r="B1303" s="2" t="inlineStr">
        <is>
          <t>ใช้ขนาด 20 mg ติด 24 ชม. ต่อแผ่น เป็นเวลา 6-8 สัปดาห์</t>
        </is>
      </c>
      <c r="C1303" s="2" t="n"/>
      <c r="D1303" s="2" t="inlineStr">
        <is>
          <t>N-acetylcysteine (NAC) IV infusion protocol</t>
        </is>
      </c>
      <c r="E1303" s="2" t="inlineStr">
        <is>
          <t>Atropine sulfate 2 mg IV Q5-10 min</t>
        </is>
      </c>
      <c r="F1303" s="2" t="inlineStr">
        <is>
          <t>Pralidoxime (2-PAM) 1-2 g IV over 30 min</t>
        </is>
      </c>
      <c r="G1303" s="2" t="inlineStr">
        <is>
          <t>Naloxone 0.4 mg IV stat</t>
        </is>
      </c>
      <c r="H1303" s="2" t="inlineStr">
        <is>
          <t>Flumazenil 0.2 mg IV stat</t>
        </is>
      </c>
      <c r="I1303" s="8" t="inlineStr">
        <is>
          <t>1</t>
        </is>
      </c>
      <c r="J13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03" s="2" t="n"/>
      <c r="L1303" s="2" t="inlineStr">
        <is>
          <t>General Therapeutics</t>
        </is>
      </c>
      <c r="M1303" s="2" t="inlineStr">
        <is>
          <t>Clinic</t>
        </is>
      </c>
      <c r="N1303" s="2" t="inlineStr">
        <is>
          <t>ข้อ 1 (PLE_CC1_Practice_Exam.md)</t>
        </is>
      </c>
      <c r="O1303" s="2" t="inlineStr">
        <is>
          <t>Mock</t>
        </is>
      </c>
      <c r="P1303" s="2" t="inlineStr">
        <is>
          <t>Mock สภาเภสัชฯ Practice</t>
        </is>
      </c>
    </row>
    <row r="1304" ht="13.2" customHeight="1" s="37">
      <c r="A1304" s="8" t="inlineStr">
        <is>
          <t>1325</t>
        </is>
      </c>
      <c r="B1304" s="2" t="inlineStr">
        <is>
          <t>ใช้ขนาด 20 mg ติด 24 ชม. โดยแบ่งใช้ครั้งละครึ่งแผ่น เป็นเวลา 6-8 สัปดาห์</t>
        </is>
      </c>
      <c r="C1304" s="2" t="n"/>
      <c r="D1304" s="2" t="inlineStr">
        <is>
          <t>Naloxone 0.4 mg IV stat</t>
        </is>
      </c>
      <c r="E1304" s="2" t="inlineStr">
        <is>
          <t>Flumazenil 0.2 mg IV stat</t>
        </is>
      </c>
      <c r="F1304" s="2" t="inlineStr">
        <is>
          <t>Vitamin K1 (Phytomenadione) 10 mg IV slow</t>
        </is>
      </c>
      <c r="G1304" s="2" t="inlineStr">
        <is>
          <t>Sodium thiosulfate 25% 50 mL IV</t>
        </is>
      </c>
      <c r="H1304" s="2" t="inlineStr">
        <is>
          <t>Calcium disodium EDTA 1 g IV</t>
        </is>
      </c>
      <c r="I1304" s="8" t="inlineStr">
        <is>
          <t>1</t>
        </is>
      </c>
      <c r="J13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04" s="2" t="n"/>
      <c r="L1304" s="2" t="inlineStr">
        <is>
          <t>General Therapeutics</t>
        </is>
      </c>
      <c r="M1304" s="2" t="inlineStr">
        <is>
          <t>Clinic</t>
        </is>
      </c>
      <c r="N1304" s="2" t="inlineStr">
        <is>
          <t>ข้อ 2 (PLE_CC1_Practice_Exam.md)</t>
        </is>
      </c>
      <c r="O1304" s="2" t="inlineStr">
        <is>
          <t>Mock</t>
        </is>
      </c>
      <c r="P1304" s="2" t="inlineStr">
        <is>
          <t>Mock สภาเภสัชฯ Practice</t>
        </is>
      </c>
    </row>
    <row r="1305" ht="13.2" customHeight="1" s="37">
      <c r="A1305" s="8" t="inlineStr">
        <is>
          <t>1326</t>
        </is>
      </c>
      <c r="B1305" s="2" t="inlineStr">
        <is>
          <t>ใช้ขนาด 20 mg ติด 12 ชม. โดยแบ่งใช้ครั้งละครึ่งแผ่น เป็นเวลา 6-8 สัปดาห์</t>
        </is>
      </c>
      <c r="C1305" s="2" t="n"/>
      <c r="D1305" s="2" t="inlineStr">
        <is>
          <t>Sodium thiosulfate 25% 50 mL IV</t>
        </is>
      </c>
      <c r="E1305" s="2" t="inlineStr">
        <is>
          <t>Calcium disodium EDTA 1 g IV</t>
        </is>
      </c>
      <c r="F1305" s="2" t="inlineStr">
        <is>
          <t>Desferrioxamine 1 g IM/IV</t>
        </is>
      </c>
      <c r="G1305" s="2" t="inlineStr">
        <is>
          <t>Dimercaprol (BAL) 3 mg/kg IM</t>
        </is>
      </c>
      <c r="H1305" s="2" t="inlineStr">
        <is>
          <t>Ethanol 10% IV infusion for Methanol poisoning</t>
        </is>
      </c>
      <c r="I1305" s="8" t="inlineStr">
        <is>
          <t>1</t>
        </is>
      </c>
      <c r="J13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5" s="2" t="n"/>
      <c r="L1305" s="2" t="inlineStr">
        <is>
          <t>General Therapeutics</t>
        </is>
      </c>
      <c r="M1305" s="2" t="inlineStr">
        <is>
          <t>Clinic</t>
        </is>
      </c>
      <c r="N1305" s="2" t="inlineStr">
        <is>
          <t>ข้อ 3 (PLE_CC1_Practice_Exam.md)</t>
        </is>
      </c>
      <c r="O1305" s="2" t="inlineStr">
        <is>
          <t>Mock</t>
        </is>
      </c>
      <c r="P1305" s="2" t="inlineStr">
        <is>
          <t>Mock สภาเภสัชฯ Practice</t>
        </is>
      </c>
    </row>
    <row r="1306" ht="13.2" customHeight="1" s="37">
      <c r="A1306" s="8" t="inlineStr">
        <is>
          <t>1327</t>
        </is>
      </c>
      <c r="B1306" s="2" t="inlineStr">
        <is>
          <t>ใช้ขนาด 30 mg ติด 24 ชม. ต่อแผ่น เป็นเวลา 3-4 สัปดาห์</t>
        </is>
      </c>
      <c r="C1306" s="2" t="n"/>
      <c r="D1306" s="2" t="inlineStr">
        <is>
          <t>Dimercaprol (BAL) 3 mg/kg IM</t>
        </is>
      </c>
      <c r="E1306" s="2" t="inlineStr">
        <is>
          <t>Ethanol 10% IV infusion for Methanol poisoning</t>
        </is>
      </c>
      <c r="F1306" s="2" t="inlineStr">
        <is>
          <t>Fomepizole 15 mg/kg IV loading</t>
        </is>
      </c>
      <c r="G1306" s="2" t="inlineStr">
        <is>
          <t>N-acetylcysteine (NAC) IV infusion protocol</t>
        </is>
      </c>
      <c r="H1306" s="2" t="inlineStr">
        <is>
          <t>Atropine sulfate 2 mg IV Q5-10 min</t>
        </is>
      </c>
      <c r="I1306" s="8" t="inlineStr">
        <is>
          <t>1</t>
        </is>
      </c>
      <c r="J13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6" s="2" t="n"/>
      <c r="L1306" s="2" t="inlineStr">
        <is>
          <t>General Therapeutics</t>
        </is>
      </c>
      <c r="M1306" s="2" t="inlineStr">
        <is>
          <t>Clinic</t>
        </is>
      </c>
      <c r="N1306" s="2" t="inlineStr">
        <is>
          <t>ข้อ 4 (PLE_CC1_Practice_Exam.md)</t>
        </is>
      </c>
      <c r="O1306" s="2" t="inlineStr">
        <is>
          <t>Mock</t>
        </is>
      </c>
      <c r="P1306" s="2" t="inlineStr">
        <is>
          <t>Mock สภาเภสัชฯ Practice</t>
        </is>
      </c>
    </row>
    <row r="1307" ht="13.2" customHeight="1" s="37">
      <c r="A1307" s="8" t="inlineStr">
        <is>
          <t>1328</t>
        </is>
      </c>
      <c r="B1307" s="2" t="inlineStr">
        <is>
          <t>ใช้ขนาด 30 mg ติด 12 ชม. โดยแบ่งใช้ครั้งละครึ่งแผ่น เป็นเวลา 3-4 สัปดาห์</t>
        </is>
      </c>
      <c r="C1307" s="2" t="n"/>
      <c r="D1307" s="2" t="inlineStr">
        <is>
          <t>N-acetylcysteine (NAC) IV infusion protocol</t>
        </is>
      </c>
      <c r="E1307" s="2" t="inlineStr">
        <is>
          <t>Atropine sulfate 2 mg IV Q5-10 min</t>
        </is>
      </c>
      <c r="F1307" s="2" t="inlineStr">
        <is>
          <t>Pralidoxime (2-PAM) 1-2 g IV over 30 min</t>
        </is>
      </c>
      <c r="G1307" s="2" t="inlineStr">
        <is>
          <t>Naloxone 0.4 mg IV stat</t>
        </is>
      </c>
      <c r="H1307" s="2" t="inlineStr">
        <is>
          <t>Flumazenil 0.2 mg IV stat</t>
        </is>
      </c>
      <c r="I1307" s="8" t="inlineStr">
        <is>
          <t>1</t>
        </is>
      </c>
      <c r="J13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07" s="2" t="n"/>
      <c r="L1307" s="2" t="inlineStr">
        <is>
          <t>General Therapeutics</t>
        </is>
      </c>
      <c r="M1307" s="2" t="inlineStr">
        <is>
          <t>Clinic</t>
        </is>
      </c>
      <c r="N1307" s="2" t="inlineStr">
        <is>
          <t>ข้อ 5 (PLE_CC1_Practice_Exam.md)</t>
        </is>
      </c>
      <c r="O1307" s="2" t="inlineStr">
        <is>
          <t>Mock</t>
        </is>
      </c>
      <c r="P1307" s="2" t="inlineStr">
        <is>
          <t>Mock สภาเภสัชฯ Practice</t>
        </is>
      </c>
    </row>
    <row r="1308" ht="13.2" customHeight="1" s="37">
      <c r="A1308" s="8" t="inlineStr">
        <is>
          <t>1329</t>
        </is>
      </c>
      <c r="B1308" s="2" t="inlineStr">
        <is>
          <t>บุคคลใดมีการปฏิบัติการรับประทานหมากฝรั่งนิโคตินอย่างเหมาะสม</t>
        </is>
      </c>
      <c r="C1308" s="2" t="n"/>
      <c r="D1308" s="2" t="inlineStr">
        <is>
          <t>Prednisolone 40 mg OD x 5 days</t>
        </is>
      </c>
      <c r="E1308" s="2" t="inlineStr">
        <is>
          <t>N-acetylcysteine 600 mg OD</t>
        </is>
      </c>
      <c r="F1308" s="2" t="inlineStr">
        <is>
          <t>Beclomethasone MDI 100 mcg BID</t>
        </is>
      </c>
      <c r="G1308" s="2" t="inlineStr">
        <is>
          <t>Salbutamol MDI 2 puffs PRN</t>
        </is>
      </c>
      <c r="H1308" s="2" t="inlineStr">
        <is>
          <t>Budesonide/Formoterol 160/4.5 mcg DPI BID</t>
        </is>
      </c>
      <c r="I1308" s="8" t="inlineStr">
        <is>
          <t>1</t>
        </is>
      </c>
      <c r="J1308" s="2" t="inlineStr">
        <is>
          <t>✅ คำตอบที่ถูกต้อง: ข้อ ก. Prednisolone 40 mg OD x 5 days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Prednisolone 40 mg OD x 5 days การเลือก Prednisolone 40 mg OD x 5 days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ค.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ง.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จ.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308" s="2" t="n"/>
      <c r="L1308" s="2" t="inlineStr">
        <is>
          <t>Pulmonary Diseases</t>
        </is>
      </c>
      <c r="M1308" s="2" t="inlineStr">
        <is>
          <t>Clinic</t>
        </is>
      </c>
      <c r="N1308" s="2" t="inlineStr">
        <is>
          <t>ข้อ 19 (PLE_CC1_Practice_Exam.md)</t>
        </is>
      </c>
      <c r="O1308" s="2" t="inlineStr">
        <is>
          <t>Mock</t>
        </is>
      </c>
      <c r="P1308" s="2" t="inlineStr">
        <is>
          <t>Mock สภาเภสัชฯ Practice</t>
        </is>
      </c>
    </row>
    <row r="1309" ht="13.2" customHeight="1" s="37">
      <c r="A1309" s="8" t="inlineStr">
        <is>
          <t>1330</t>
        </is>
      </c>
      <c r="B1309" s="2" t="inlineStr">
        <is>
          <t>นาย ก เคี้ยวหมากฝรั่งนิโคตินอย่างช้าๆ สลับกับการอมเป็นระยะๆ เป็นเวลา 30 นาที</t>
        </is>
      </c>
      <c r="C1309" s="2" t="n"/>
      <c r="D1309" s="2" t="inlineStr">
        <is>
          <t>Salbutamol MDI 2 puffs PRN</t>
        </is>
      </c>
      <c r="E1309" s="2" t="inlineStr">
        <is>
          <t>Budesonide/Formoterol 160/4.5 mcg DPI BID</t>
        </is>
      </c>
      <c r="F1309" s="2" t="inlineStr">
        <is>
          <t>Fluticasone/Salmeterol 250/50 mcg DPI BID</t>
        </is>
      </c>
      <c r="G1309" s="2" t="inlineStr">
        <is>
          <t>Tiotropium Respimat 2.5 mcg 2 puffs OD</t>
        </is>
      </c>
      <c r="H1309" s="2" t="inlineStr">
        <is>
          <t>Ipratropium/Fenoterol MDI PRN</t>
        </is>
      </c>
      <c r="I1309" s="8" t="inlineStr">
        <is>
          <t>1</t>
        </is>
      </c>
      <c r="J1309" s="2" t="inlineStr">
        <is>
          <t>✅ คำตอบที่ถูกต้อง: ข้อ ก. Salbutamol MDI 2 puffs PRN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Salbutamol MDI 2 puffs PRN
🔍 ข้ออื่นผิดเพราะอะไร:
• ข้อ ข.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ค. (Fluticasone/Salmeterol 250/50 mcg DPI BID): เป็น potent ICS มี high topical potency และ systemic bioavailability ต่ำ ใช้เป็น maintenance anti-inflammatory controller ใน moderate-to-severe asthma และ COPD with high eosinophils
• ข้อ ง. (Tiotropium Respimat 2.5 mcg 2 puffs OD): เป็น Long-acting muscarinic antagonist (LAMA) มี bronchodilatory efficacy สูง เป็นแกนหลักใน COPD maintenance therapy และ add-on ใน severe asthma
• ข้อ จ. (Ipratropium/Fenoterol MDI PRN): เป็น SAMA ออกฤทธิ์ยับยั้ง cholinergic tone มักใช้ร่วมกับ SABA ใน acute moderate-to-severe asthma/COPD exacerbation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309" s="2" t="n"/>
      <c r="L1309" s="2" t="inlineStr">
        <is>
          <t>Pulmonary Diseases</t>
        </is>
      </c>
      <c r="M1309" s="2" t="inlineStr">
        <is>
          <t>Clinic</t>
        </is>
      </c>
      <c r="N1309" s="2" t="inlineStr">
        <is>
          <t>ข้อ 1 (PLE_CC1_Practice_Exam.md)</t>
        </is>
      </c>
      <c r="O1309" s="2" t="inlineStr">
        <is>
          <t>Mock</t>
        </is>
      </c>
      <c r="P1309" s="2" t="inlineStr">
        <is>
          <t>Mock สภาเภสัชฯ Practice</t>
        </is>
      </c>
    </row>
    <row r="1310" ht="13.2" customHeight="1" s="37">
      <c r="A1310" s="8" t="inlineStr">
        <is>
          <t>1331</t>
        </is>
      </c>
      <c r="B1310" s="2" t="inlineStr">
        <is>
          <t>นาย ข อมหมากฝรั่งนิโคตินไว้ใต้ลิ้นเป็นเวลา 30 นาที จนหมากฝรั่งหมดรสซ่า</t>
        </is>
      </c>
      <c r="C1310" s="2" t="n"/>
      <c r="D1310" s="2" t="inlineStr">
        <is>
          <t>Tiotropium Respimat 2.5 mcg 2 puffs OD</t>
        </is>
      </c>
      <c r="E1310" s="2" t="inlineStr">
        <is>
          <t>Ipratropium/Fenoterol MDI PRN</t>
        </is>
      </c>
      <c r="F1310" s="2" t="inlineStr">
        <is>
          <t>Montelukast 10 mg HS</t>
        </is>
      </c>
      <c r="G1310" s="2" t="inlineStr">
        <is>
          <t>Theophylline 200 mg BID</t>
        </is>
      </c>
      <c r="H1310" s="2" t="inlineStr">
        <is>
          <t>Prednisolone 40 mg OD x 5 days</t>
        </is>
      </c>
      <c r="I1310" s="8" t="inlineStr">
        <is>
          <t>1</t>
        </is>
      </c>
      <c r="J1310" s="2" t="inlineStr">
        <is>
          <t>✅ คำตอบที่ถูกต้อง: ข้อ ก. Tiotropium Respimat 2.5 mcg 2 puffs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Tiotropium Respimat 2.5 mcg 2 puffs OD
🔍 ข้ออื่นผิดเพราะอะไร:
• ข้อ ข. (Ipratropium/Fenoterol MDI PRN): เป็น SAMA ออกฤทธิ์ยับยั้ง cholinergic tone มักใช้ร่วมกับ SABA ใน acute moderate-to-severe asthma/COPD exacerbation
• ข้อ ค.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ง. (Theophylline 200 mg BID): มี narrow therapeutic window (target 5-15 mcg/mL) และ ADR สูง (ใจสั่น คลื่นไส้ ชัก หัวใจเต้นผิดจังหวะ) CPG จึงจัดเป็นเพียงทางเลือกท้ายๆ (alternative)
• ข้อ จ. (Prednisolone 40 mg OD x 5 days):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LAMA Bronchodilation: เป็น Long-Acting Muscarinic Antagonist (LAMA) ยับยั้ง M3 receptor ช่วยลด acute exacerbation ใน COPD และ severe asthma
• Anticholinergic Precautions: ระวังการใช้ในผู้ป่วย narrow-angle glaucoma และ prostatic hyperplasia (ปัสสาวะคั่ง)</t>
        </is>
      </c>
      <c r="K1310" s="2" t="n"/>
      <c r="L1310" s="2" t="inlineStr">
        <is>
          <t>Pulmonary Diseases</t>
        </is>
      </c>
      <c r="M1310" s="2" t="inlineStr">
        <is>
          <t>Clinic</t>
        </is>
      </c>
      <c r="N1310" s="2" t="inlineStr">
        <is>
          <t>ข้อ 2 (PLE_CC1_Practice_Exam.md)</t>
        </is>
      </c>
      <c r="O1310" s="2" t="inlineStr">
        <is>
          <t>Mock</t>
        </is>
      </c>
      <c r="P1310" s="2" t="inlineStr">
        <is>
          <t>Mock สภาเภสัชฯ Practice</t>
        </is>
      </c>
    </row>
    <row r="1311" ht="13.2" customHeight="1" s="37">
      <c r="A1311" s="8" t="inlineStr">
        <is>
          <t>1332</t>
        </is>
      </c>
      <c r="B1311" s="2" t="inlineStr">
        <is>
          <t>นาย ค เคี้ยวหมากฝรั่งนิโคตินพร้อมกลืนน้ำลาย เป็นเวลา 30 นาที 182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1311" s="2" t="n"/>
      <c r="D1311" s="2" t="inlineStr">
        <is>
          <t>Theophylline 200 mg BID</t>
        </is>
      </c>
      <c r="E1311" s="2" t="inlineStr">
        <is>
          <t>Prednisolone 40 mg OD x 5 days</t>
        </is>
      </c>
      <c r="F1311" s="2" t="inlineStr">
        <is>
          <t>N-acetylcysteine 600 mg OD</t>
        </is>
      </c>
      <c r="G1311" s="2" t="inlineStr">
        <is>
          <t>Beclomethasone MDI 100 mcg BID</t>
        </is>
      </c>
      <c r="H1311" s="2" t="inlineStr">
        <is>
          <t>Salbutamol MDI 2 puffs PRN</t>
        </is>
      </c>
      <c r="I1311" s="8" t="inlineStr">
        <is>
          <t>1</t>
        </is>
      </c>
      <c r="J1311" s="2" t="inlineStr">
        <is>
          <t>✅ คำตอบที่ถูกต้อง: ข้อ ก. Theophylline 200 mg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Theophylline 200 mg BID การเลือก Theophylline 200 mg BID เป็นคำตอบที่ถูกต้องตามแนวทางการรักษามาตรฐาน เนื่องจาก มี narrow therapeutic window (target 5-15 mcg/mL) และ ADR สูง (ใจสั่น คลื่นไส้ ชัก หัวใจเต้นผิดจังหวะ) CPG จึงจัดเป็นเพียงทางเลือกท้ายๆ (alternative)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ง.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311" s="2" t="n"/>
      <c r="L1311" s="2" t="inlineStr">
        <is>
          <t>Pulmonary Diseases</t>
        </is>
      </c>
      <c r="M1311" s="2" t="inlineStr">
        <is>
          <t>Clinic</t>
        </is>
      </c>
      <c r="N1311" s="2" t="inlineStr">
        <is>
          <t>ข้อ 3 (PLE_CC1_Practice_Exam.md)</t>
        </is>
      </c>
      <c r="O1311" s="2" t="inlineStr">
        <is>
          <t>Mock</t>
        </is>
      </c>
      <c r="P1311" s="2" t="inlineStr">
        <is>
          <t>Mock สภาเภสัชฯ Practice</t>
        </is>
      </c>
    </row>
    <row r="1312" ht="13.2" customHeight="1" s="37">
      <c r="A1312" s="8" t="inlineStr">
        <is>
          <t>1333</t>
        </is>
      </c>
      <c r="B1312" s="2" t="inlineStr">
        <is>
          <t>นาย ง ดื่มกาเเฟ ก่อนเคี้ยวหมากฝรั่งนิโคตินเพื่อช่วยลดความอยากบุหรี่</t>
        </is>
      </c>
      <c r="C1312" s="2" t="n"/>
      <c r="D1312" s="2" t="inlineStr">
        <is>
          <t>Beclomethasone MDI 100 mcg BID</t>
        </is>
      </c>
      <c r="E1312" s="2" t="inlineStr">
        <is>
          <t>Salbutamol MDI 2 puffs PRN</t>
        </is>
      </c>
      <c r="F1312" s="2" t="inlineStr">
        <is>
          <t>Budesonide/Formoterol 160/4.5 mcg DPI BID</t>
        </is>
      </c>
      <c r="G1312" s="2" t="inlineStr">
        <is>
          <t>Fluticasone/Salmeterol 250/50 mcg DPI BID</t>
        </is>
      </c>
      <c r="H1312" s="2" t="inlineStr">
        <is>
          <t>Tiotropium Respimat 2.5 mcg 2 puffs OD</t>
        </is>
      </c>
      <c r="I1312" s="8" t="inlineStr">
        <is>
          <t>1</t>
        </is>
      </c>
      <c r="J1312" s="2" t="inlineStr">
        <is>
          <t>✅ คำตอบที่ถูกต้อง: ข้อ ก. Beclomethasone MDI 100 mcg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Beclomethasone MDI 100 mcg BID การเลือก Beclomethasone MDI 100 mcg BID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(Fluticasone/Salmeterol 250/50 mcg DPI BID): เป็น potent ICS มี high topical potency และ systemic bioavailability ต่ำ ใช้เป็น maintenance anti-inflammatory controller ใน moderate-to-severe asthma และ COPD with high eosinophils
• ข้อ จ. (Tiotropium Respimat 2.5 mcg 2 puffs OD): เป็น Long-acting muscarinic antagonist (LAMA) มี bronchodilatory efficacy สูง เป็นแกนหลักใน COPD maintenance therapy และ add-on ใน severe asthma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2" s="2" t="n"/>
      <c r="L1312" s="2" t="inlineStr">
        <is>
          <t>Pulmonary Diseases</t>
        </is>
      </c>
      <c r="M1312" s="2" t="inlineStr">
        <is>
          <t>Clinic</t>
        </is>
      </c>
      <c r="N1312" s="2" t="inlineStr">
        <is>
          <t>ข้อ 4 (PLE_CC1_Practice_Exam.md)</t>
        </is>
      </c>
      <c r="O1312" s="2" t="inlineStr">
        <is>
          <t>Mock</t>
        </is>
      </c>
      <c r="P1312" s="2" t="inlineStr">
        <is>
          <t>Mock สภาเภสัชฯ Practice</t>
        </is>
      </c>
    </row>
    <row r="1313" ht="13.2" customHeight="1" s="37">
      <c r="A1313" s="8" t="inlineStr">
        <is>
          <t>1334</t>
        </is>
      </c>
      <c r="B1313" s="2" t="inlineStr">
        <is>
          <t>นาย จ งด รับประทานเครื่องดื่มที่เป็นกรด ยกเว้นน้ำเปล่าในระหว่างเคี้ยวหมากฝรั่งนิโคติน</t>
        </is>
      </c>
      <c r="C1313" s="2" t="n"/>
      <c r="D1313" s="2" t="inlineStr">
        <is>
          <t>Fluticasone/Salmeterol 250/50 mcg DPI BID</t>
        </is>
      </c>
      <c r="E1313" s="2" t="inlineStr">
        <is>
          <t>Tiotropium Respimat 2.5 mcg 2 puffs OD</t>
        </is>
      </c>
      <c r="F1313" s="2" t="inlineStr">
        <is>
          <t>Ipratropium/Fenoterol MDI PRN</t>
        </is>
      </c>
      <c r="G1313" s="2" t="inlineStr">
        <is>
          <t>Montelukast 10 mg HS</t>
        </is>
      </c>
      <c r="H1313" s="2" t="inlineStr">
        <is>
          <t>Theophylline 200 mg BID</t>
        </is>
      </c>
      <c r="I1313" s="8" t="inlineStr">
        <is>
          <t>1</t>
        </is>
      </c>
      <c r="J1313" s="2" t="inlineStr">
        <is>
          <t>✅ คำตอบที่ถูกต้อง: ข้อ ก. Fluticasone/Salmeterol 250/50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Fluticasone/Salmeterol 250/50 mcg DPI BID
🔍 ข้ออื่นผิดเพราะอะไร:
• ข้อ ข. (Tiotropium Respimat 2.5 mcg 2 puffs OD): เป็น Long-acting muscarinic antagonist (LAMA) มี bronchodilatory efficacy สูง เป็นแกนหลักใน COPD maintenance therapy และ add-on ใน severe asthma
• ข้อ ค. (Ipratropium/Fenoterol MDI PRN): เป็น SAMA ออกฤทธิ์ยับยั้ง cholinergic tone มักใช้ร่วมกับ SABA ใน acute moderate-to-severe asthma/COPD exacerbation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(Theophylline 200 mg BID): มี narrow therapeutic window (target 5-15 mcg/mL) และ ADR สูง (ใจสั่น คลื่นไส้ ชัก หัวใจเต้นผิดจังหวะ) CPG จึงจัดเป็นเพียงทางเลือกท้ายๆ (alternative)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3" s="2" t="n"/>
      <c r="L1313" s="2" t="inlineStr">
        <is>
          <t>Pulmonary Diseases</t>
        </is>
      </c>
      <c r="M1313" s="2" t="inlineStr">
        <is>
          <t>Clinic</t>
        </is>
      </c>
      <c r="N1313" s="2" t="inlineStr">
        <is>
          <t>ข้อ 5 (PLE_CC1_Practice_Exam.md)</t>
        </is>
      </c>
      <c r="O1313" s="2" t="inlineStr">
        <is>
          <t>Mock</t>
        </is>
      </c>
      <c r="P1313" s="2" t="inlineStr">
        <is>
          <t>Mock สภาเภสัชฯ Practice</t>
        </is>
      </c>
    </row>
    <row r="1314" ht="13.2" customHeight="1" s="37">
      <c r="A1314" s="8" t="inlineStr">
        <is>
          <t>1335</t>
        </is>
      </c>
      <c r="B1314" s="2" t="inlineStr">
        <is>
          <t>Nortriptyline</t>
        </is>
      </c>
      <c r="C1314" s="2" t="n"/>
      <c r="D1314" s="2" t="inlineStr">
        <is>
          <t>Dimercaprol (BAL) 3 mg/kg IM</t>
        </is>
      </c>
      <c r="E1314" s="2" t="inlineStr">
        <is>
          <t>Ethanol 10% IV infusion for Methanol poisoning</t>
        </is>
      </c>
      <c r="F1314" s="2" t="inlineStr">
        <is>
          <t>Fomepizole 15 mg/kg IV loading</t>
        </is>
      </c>
      <c r="G1314" s="2" t="inlineStr">
        <is>
          <t>N-acetylcysteine (NAC) IV infusion protocol</t>
        </is>
      </c>
      <c r="H1314" s="2" t="inlineStr">
        <is>
          <t>Atropine sulfate 2 mg IV Q5-10 min</t>
        </is>
      </c>
      <c r="I1314" s="8" t="inlineStr">
        <is>
          <t>1</t>
        </is>
      </c>
      <c r="J13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4" s="2" t="n"/>
      <c r="L1314" s="2" t="inlineStr">
        <is>
          <t>General Therapeutics</t>
        </is>
      </c>
      <c r="M1314" s="2" t="inlineStr">
        <is>
          <t>Clinic</t>
        </is>
      </c>
      <c r="N1314" s="2" t="inlineStr">
        <is>
          <t>ข้อ 5 (PLE_CC1_Practice_Exam.md)</t>
        </is>
      </c>
      <c r="O1314" s="2" t="inlineStr">
        <is>
          <t>Mock</t>
        </is>
      </c>
      <c r="P1314" s="2" t="inlineStr">
        <is>
          <t>Mock สภาเภสัชฯ Practice</t>
        </is>
      </c>
    </row>
    <row r="1315" ht="13.2" customHeight="1" s="37">
      <c r="A1315" s="8" t="inlineStr">
        <is>
          <t>1336</t>
        </is>
      </c>
      <c r="B1315" s="2" t="inlineStr">
        <is>
          <t>กินผลไม้รสเปรี้ยว</t>
        </is>
      </c>
      <c r="C1315" s="2" t="n"/>
      <c r="D1315" s="2" t="inlineStr">
        <is>
          <t>N-acetylcysteine (NAC) IV infusion protocol</t>
        </is>
      </c>
      <c r="E1315" s="2" t="inlineStr">
        <is>
          <t>Atropine sulfate 2 mg IV Q5-10 min</t>
        </is>
      </c>
      <c r="F1315" s="2" t="inlineStr">
        <is>
          <t>Pralidoxime (2-PAM) 1-2 g IV over 30 min</t>
        </is>
      </c>
      <c r="G1315" s="2" t="inlineStr">
        <is>
          <t>Naloxone 0.4 mg IV stat</t>
        </is>
      </c>
      <c r="H1315" s="2" t="inlineStr">
        <is>
          <t>Flumazenil 0.2 mg IV stat</t>
        </is>
      </c>
      <c r="I1315" s="8" t="inlineStr">
        <is>
          <t>1</t>
        </is>
      </c>
      <c r="J13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15" s="2" t="n"/>
      <c r="L1315" s="2" t="inlineStr">
        <is>
          <t>General Therapeutics</t>
        </is>
      </c>
      <c r="M1315" s="2" t="inlineStr">
        <is>
          <t>Clinic</t>
        </is>
      </c>
      <c r="N1315" s="2" t="inlineStr">
        <is>
          <t>ข้อ 4 (PLE_CC1_Practice_Exam.md)</t>
        </is>
      </c>
      <c r="O1315" s="2" t="inlineStr">
        <is>
          <t>Mock</t>
        </is>
      </c>
      <c r="P1315" s="2" t="inlineStr">
        <is>
          <t>Mock สภาเภสัชฯ Practice</t>
        </is>
      </c>
    </row>
    <row r="1316" ht="13.2" customHeight="1" s="37">
      <c r="A1316" s="8" t="inlineStr">
        <is>
          <t>1337</t>
        </is>
      </c>
      <c r="B1316" s="2" t="inlineStr">
        <is>
          <t>หักดิบ</t>
        </is>
      </c>
      <c r="C1316" s="2" t="n"/>
      <c r="D1316" s="2" t="inlineStr">
        <is>
          <t>Naloxone 0.4 mg IV stat</t>
        </is>
      </c>
      <c r="E1316" s="2" t="inlineStr">
        <is>
          <t>Flumazenil 0.2 mg IV stat</t>
        </is>
      </c>
      <c r="F1316" s="2" t="inlineStr">
        <is>
          <t>Vitamin K1 (Phytomenadione) 10 mg IV slow</t>
        </is>
      </c>
      <c r="G1316" s="2" t="inlineStr">
        <is>
          <t>Sodium thiosulfate 25% 50 mL IV</t>
        </is>
      </c>
      <c r="H1316" s="2" t="inlineStr">
        <is>
          <t>Calcium disodium EDTA 1 g IV</t>
        </is>
      </c>
      <c r="I1316" s="8" t="inlineStr">
        <is>
          <t>1</t>
        </is>
      </c>
      <c r="J13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16" s="2" t="n"/>
      <c r="L1316" s="2" t="inlineStr">
        <is>
          <t>General Therapeutics</t>
        </is>
      </c>
      <c r="M1316" s="2" t="inlineStr">
        <is>
          <t>Clinic</t>
        </is>
      </c>
      <c r="N1316" s="2" t="inlineStr">
        <is>
          <t>ข้อ 5 (PLE_CC1_Practice_Exam.md)</t>
        </is>
      </c>
      <c r="O1316" s="2" t="inlineStr">
        <is>
          <t>Mock</t>
        </is>
      </c>
      <c r="P1316" s="2" t="inlineStr">
        <is>
          <t>Mock สภาเภสัชฯ Practice</t>
        </is>
      </c>
    </row>
    <row r="1317" ht="13.2" customHeight="1" s="37">
      <c r="A1317" s="8" t="inlineStr">
        <is>
          <t>1338</t>
        </is>
      </c>
      <c r="B1317" s="2" t="inlineStr">
        <is>
          <t>มีประวัติโรคลมชัก</t>
        </is>
      </c>
      <c r="C1317" s="2" t="n"/>
      <c r="D1317" s="2" t="inlineStr">
        <is>
          <t>Topiramate 25 mg BID</t>
        </is>
      </c>
      <c r="E1317" s="2" t="inlineStr">
        <is>
          <t>Donepezil 5 mg HS</t>
        </is>
      </c>
      <c r="F1317" s="2" t="inlineStr">
        <is>
          <t>Alteplase (rtPA) 0.9 mg/kg IV</t>
        </is>
      </c>
      <c r="G1317" s="2" t="inlineStr">
        <is>
          <t>Phenytoin 100 mg TID</t>
        </is>
      </c>
      <c r="H1317" s="2" t="inlineStr">
        <is>
          <t>Sodium valproate 200 mg TID</t>
        </is>
      </c>
      <c r="I1317" s="8" t="inlineStr">
        <is>
          <t>1</t>
        </is>
      </c>
      <c r="J1317" s="2" t="inlineStr">
        <is>
          <t>✅ คำตอบที่ถูกต้อง: ข้อ ก. Topiramate 25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(Donepezil 5 mg HS): ข้อนี้ไม่ใช่คำตอบที่ถูกต้องสำหรับภาวะ Neurologic Disorders เนื่องจากกลไกการออกฤทธิ์, efficacy หรือข้อบ่งใช้ไม่ตรงกับโจทย์ที่กำหนด
• ข้อ ค. (Alteplase (rtPA) 0.9 mg/kg IV): ข้อนี้ไม่ใช่คำตอบที่ถูกต้องสำหรับภาวะ Neurologic Disorders เนื่องจากกลไกการออกฤทธิ์, efficacy หรือข้อบ่งใช้ไม่ตรงกับโจทย์ที่กำหนด
• ข้อ ง.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จ. (Sodium valproate 200 mg TID): เป็น broad-spectrum antiepileptic drug แต่มี teratogenicity สูงมาก (neural tube defects) ห้ามใช้ในหญิงวัยเจริญพันธุ์ และเสี่ยงต่อ hepatotoxicity, pancreatitis, weight gain, alopecia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17" s="2" t="n"/>
      <c r="L1317" s="2" t="inlineStr">
        <is>
          <t>Neurologic Disorders</t>
        </is>
      </c>
      <c r="M1317" s="2" t="inlineStr">
        <is>
          <t>Clinic</t>
        </is>
      </c>
      <c r="N1317" s="2" t="inlineStr">
        <is>
          <t>ข้อ 2 (PLE_CC1_Practice_Exam.md)</t>
        </is>
      </c>
      <c r="O1317" s="2" t="inlineStr">
        <is>
          <t>Mock</t>
        </is>
      </c>
      <c r="P1317" s="2" t="inlineStr">
        <is>
          <t>Mock สภาเภสัชฯ Practice</t>
        </is>
      </c>
    </row>
    <row r="1318" ht="13.2" customHeight="1" s="37">
      <c r="A1318" s="8" t="inlineStr">
        <is>
          <t>1339</t>
        </is>
      </c>
      <c r="B1318" s="2" t="inlineStr">
        <is>
          <t>มีการทำงานของตับบกพร่อง</t>
        </is>
      </c>
      <c r="C1318" s="2" t="n"/>
      <c r="D1318" s="2" t="inlineStr">
        <is>
          <t>Dimercaprol (BAL) 3 mg/kg IM</t>
        </is>
      </c>
      <c r="E1318" s="2" t="inlineStr">
        <is>
          <t>Ethanol 10% IV infusion for Methanol poisoning</t>
        </is>
      </c>
      <c r="F1318" s="2" t="inlineStr">
        <is>
          <t>Fomepizole 15 mg/kg IV loading</t>
        </is>
      </c>
      <c r="G1318" s="2" t="inlineStr">
        <is>
          <t>N-acetylcysteine (NAC) IV infusion protocol</t>
        </is>
      </c>
      <c r="H1318" s="2" t="inlineStr">
        <is>
          <t>Atropine sulfate 2 mg IV Q5-10 min</t>
        </is>
      </c>
      <c r="I1318" s="8" t="inlineStr">
        <is>
          <t>1</t>
        </is>
      </c>
      <c r="J13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8" s="2" t="n"/>
      <c r="L1318" s="2" t="inlineStr">
        <is>
          <t>General Therapeutics</t>
        </is>
      </c>
      <c r="M1318" s="2" t="inlineStr">
        <is>
          <t>Clinic</t>
        </is>
      </c>
      <c r="N1318" s="2" t="inlineStr">
        <is>
          <t>ข้อ 4 (PLE_CC1_Practice_Exam.md)</t>
        </is>
      </c>
      <c r="O1318" s="2" t="inlineStr">
        <is>
          <t>Mock</t>
        </is>
      </c>
      <c r="P1318" s="2" t="inlineStr">
        <is>
          <t>Mock สภาเภสัชฯ Practice</t>
        </is>
      </c>
    </row>
    <row r="1319" ht="13.2" customHeight="1" s="37">
      <c r="A1319" s="8" t="inlineStr">
        <is>
          <t>1340</t>
        </is>
      </c>
      <c r="B1319" s="2" t="inlineStr">
        <is>
          <t>ยาใดเหมาะสมที่สุดในผู้ป่วยรายนี้</t>
        </is>
      </c>
      <c r="C1319" s="2" t="n"/>
      <c r="D1319" s="2" t="inlineStr">
        <is>
          <t>. Clonazepam</t>
        </is>
      </c>
      <c r="E1319" s="2" t="inlineStr">
        <is>
          <t>. Diazepam</t>
        </is>
      </c>
      <c r="F1319" s="2" t="inlineStr">
        <is>
          <t>. Clorazepate</t>
        </is>
      </c>
      <c r="G1319" s="2" t="inlineStr">
        <is>
          <t>. Triazolam</t>
        </is>
      </c>
      <c r="H1319" s="2" t="inlineStr">
        <is>
          <t>. Chlordiazepoxide</t>
        </is>
      </c>
      <c r="I1319" s="8" t="inlineStr">
        <is>
          <t>1</t>
        </is>
      </c>
      <c r="J1319" s="2" t="inlineStr">
        <is>
          <t>✅ คำตอบที่ถูกต้อง: ข้อ ก. . Clonazepam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 Clonazepam การเลือก . Clonazepam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 Diazepam): เป็น long-acting Benzodiazepine มี active metabolites (nordiazepam) สะสมในผู้สูงอายุ ทำให้ง่วงซึม หกล้ม เสี่ยง fracture
• ข้อ ค. (. Clorazepate): ข้อนี้ไม่ใช่คำตอบที่ถูกต้องสำหรับภาวะ General Therapeutics เนื่องจากกลไกการออกฤทธิ์, efficacy หรือข้อบ่งใช้ไม่ตรงกับโจทย์ที่กำหนด
• ข้อ ง. (. Triazolam): ข้อนี้ไม่ใช่คำตอบที่ถูกต้องสำหรับภาวะ General Therapeutics เนื่องจากกลไกการออกฤทธิ์, efficacy หรือข้อบ่งใช้ไม่ตรงกับโจทย์ที่กำหนด
• ข้อ จ. (. Chlordiazepoxide):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9" s="2" t="n"/>
      <c r="L1319" s="2" t="inlineStr">
        <is>
          <t>General Therapeutics</t>
        </is>
      </c>
      <c r="M1319" s="2" t="inlineStr">
        <is>
          <t>Clinic</t>
        </is>
      </c>
      <c r="N1319" s="2" t="inlineStr">
        <is>
          <t>ข้อ 25 (PLE_CC1_Practice_Exam.md)</t>
        </is>
      </c>
      <c r="O1319" s="2" t="inlineStr">
        <is>
          <t>Mock</t>
        </is>
      </c>
      <c r="P1319" s="2" t="inlineStr">
        <is>
          <t>Mock สภาเภสัชฯ Practice</t>
        </is>
      </c>
    </row>
    <row r="1320" ht="13.2" customHeight="1" s="37">
      <c r="A1320" s="8" t="inlineStr">
        <is>
          <t>1341</t>
        </is>
      </c>
      <c r="B1320" s="2" t="inlineStr">
        <is>
          <t>กระตุ้น Muscarinic receptor</t>
        </is>
      </c>
      <c r="C1320" s="2" t="n"/>
      <c r="D1320" s="2" t="inlineStr">
        <is>
          <t>Naloxone 0.4 mg IV stat</t>
        </is>
      </c>
      <c r="E1320" s="2" t="inlineStr">
        <is>
          <t>Flumazenil 0.2 mg IV stat</t>
        </is>
      </c>
      <c r="F1320" s="2" t="inlineStr">
        <is>
          <t>Vitamin K1 (Phytomenadione) 10 mg IV slow</t>
        </is>
      </c>
      <c r="G1320" s="2" t="inlineStr">
        <is>
          <t>Sodium thiosulfate 25% 50 mL IV</t>
        </is>
      </c>
      <c r="H1320" s="2" t="inlineStr">
        <is>
          <t>Calcium disodium EDTA 1 g IV</t>
        </is>
      </c>
      <c r="I1320" s="8" t="inlineStr">
        <is>
          <t>1</t>
        </is>
      </c>
      <c r="J13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20" s="2" t="n"/>
      <c r="L1320" s="2" t="inlineStr">
        <is>
          <t>General Therapeutics</t>
        </is>
      </c>
      <c r="M1320" s="2" t="inlineStr">
        <is>
          <t>Clinic</t>
        </is>
      </c>
      <c r="N1320" s="2" t="inlineStr">
        <is>
          <t>ข้อ 5 (PLE_CC1_Practice_Exam.md)</t>
        </is>
      </c>
      <c r="O1320" s="2" t="inlineStr">
        <is>
          <t>Mock</t>
        </is>
      </c>
      <c r="P1320" s="2" t="inlineStr">
        <is>
          <t>Mock สภาเภสัชฯ Practice</t>
        </is>
      </c>
    </row>
    <row r="1321" ht="13.2" customHeight="1" s="37">
      <c r="A1321" s="8" t="inlineStr">
        <is>
          <t>1342</t>
        </is>
      </c>
      <c r="B1321" s="2" t="inlineStr">
        <is>
          <t>Chlordiazepoxide</t>
        </is>
      </c>
      <c r="C1321" s="2" t="n"/>
      <c r="D1321" s="2" t="inlineStr">
        <is>
          <t>Sodium thiosulfate 25% 50 mL IV</t>
        </is>
      </c>
      <c r="E1321" s="2" t="inlineStr">
        <is>
          <t>Calcium disodium EDTA 1 g IV</t>
        </is>
      </c>
      <c r="F1321" s="2" t="inlineStr">
        <is>
          <t>Desferrioxamine 1 g IM/IV</t>
        </is>
      </c>
      <c r="G1321" s="2" t="inlineStr">
        <is>
          <t>Dimercaprol (BAL) 3 mg/kg IM</t>
        </is>
      </c>
      <c r="H1321" s="2" t="inlineStr">
        <is>
          <t>Ethanol 10% IV infusion for Methanol poisoning</t>
        </is>
      </c>
      <c r="I1321" s="8" t="inlineStr">
        <is>
          <t>1</t>
        </is>
      </c>
      <c r="J13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1" s="2" t="n"/>
      <c r="L1321" s="2" t="inlineStr">
        <is>
          <t>General Therapeutics</t>
        </is>
      </c>
      <c r="M1321" s="2" t="inlineStr">
        <is>
          <t>Clinic</t>
        </is>
      </c>
      <c r="N1321" s="2" t="inlineStr">
        <is>
          <t>ข้อ 5 (PLE_CC1_Practice_Exam.md)</t>
        </is>
      </c>
      <c r="O1321" s="2" t="inlineStr">
        <is>
          <t>Mock</t>
        </is>
      </c>
      <c r="P1321" s="2" t="inlineStr">
        <is>
          <t>Mock สภาเภสัชฯ Practice</t>
        </is>
      </c>
    </row>
    <row r="1322" ht="13.2" customHeight="1" s="37">
      <c r="A1322" s="8" t="inlineStr">
        <is>
          <t>1343</t>
        </is>
      </c>
      <c r="B1322" s="2" t="inlineStr">
        <is>
          <t>กลไกการออกฤทธิ์กระตุ้น Na – channel เพิ่ม action potential</t>
        </is>
      </c>
      <c r="C1322" s="2" t="n"/>
      <c r="D1322" s="2" t="inlineStr">
        <is>
          <t>Dimercaprol (BAL) 3 mg/kg IM</t>
        </is>
      </c>
      <c r="E1322" s="2" t="inlineStr">
        <is>
          <t>Ethanol 10% IV infusion for Methanol poisoning</t>
        </is>
      </c>
      <c r="F1322" s="2" t="inlineStr">
        <is>
          <t>Fomepizole 15 mg/kg IV loading</t>
        </is>
      </c>
      <c r="G1322" s="2" t="inlineStr">
        <is>
          <t>N-acetylcysteine (NAC) IV infusion protocol</t>
        </is>
      </c>
      <c r="H1322" s="2" t="inlineStr">
        <is>
          <t>Atropine sulfate 2 mg IV Q5-10 min</t>
        </is>
      </c>
      <c r="I1322" s="8" t="inlineStr">
        <is>
          <t>1</t>
        </is>
      </c>
      <c r="J13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2" s="2" t="n"/>
      <c r="L1322" s="2" t="inlineStr">
        <is>
          <t>General Therapeutics</t>
        </is>
      </c>
      <c r="M1322" s="2" t="inlineStr">
        <is>
          <t>Clinic</t>
        </is>
      </c>
      <c r="N1322" s="2" t="inlineStr">
        <is>
          <t>ข้อ 1 (PLE_CC1_Practice_Exam.md)</t>
        </is>
      </c>
      <c r="O1322" s="2" t="inlineStr">
        <is>
          <t>Mock</t>
        </is>
      </c>
      <c r="P1322" s="2" t="inlineStr">
        <is>
          <t>Mock สภาเภสัชฯ Practice</t>
        </is>
      </c>
    </row>
    <row r="1323" ht="13.2" customHeight="1" s="37">
      <c r="A1323" s="8" t="inlineStr">
        <is>
          <t>1344</t>
        </is>
      </c>
      <c r="B1323" s="2" t="inlineStr">
        <is>
          <t>หมู่แทนที่ที่เพิ่ม lipophilic ให้แก่โครงสร้างยา คือ OH โดยเกิดปฏิกิริยา Hydroxylation</t>
        </is>
      </c>
      <c r="C1323" s="2" t="n"/>
      <c r="D1323" s="2" t="inlineStr">
        <is>
          <t>N-acetylcysteine (NAC) IV infusion protocol</t>
        </is>
      </c>
      <c r="E1323" s="2" t="inlineStr">
        <is>
          <t>Atropine sulfate 2 mg IV Q5-10 min</t>
        </is>
      </c>
      <c r="F1323" s="2" t="inlineStr">
        <is>
          <t>Pralidoxime (2-PAM) 1-2 g IV over 30 min</t>
        </is>
      </c>
      <c r="G1323" s="2" t="inlineStr">
        <is>
          <t>Naloxone 0.4 mg IV stat</t>
        </is>
      </c>
      <c r="H1323" s="2" t="inlineStr">
        <is>
          <t>Flumazenil 0.2 mg IV stat</t>
        </is>
      </c>
      <c r="I1323" s="8" t="inlineStr">
        <is>
          <t>1</t>
        </is>
      </c>
      <c r="J13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23" s="2" t="n"/>
      <c r="L1323" s="2" t="inlineStr">
        <is>
          <t>General Therapeutics</t>
        </is>
      </c>
      <c r="M1323" s="2" t="inlineStr">
        <is>
          <t>Clinic</t>
        </is>
      </c>
      <c r="N1323" s="2" t="inlineStr">
        <is>
          <t>ข้อ 3 (PLE_CC1_Practice_Exam.md)</t>
        </is>
      </c>
      <c r="O1323" s="2" t="inlineStr">
        <is>
          <t>Mock</t>
        </is>
      </c>
      <c r="P1323" s="2" t="inlineStr">
        <is>
          <t>Mock สภาเภสัชฯ Practice</t>
        </is>
      </c>
    </row>
    <row r="1324" ht="13.2" customHeight="1" s="37">
      <c r="A1324" s="8" t="inlineStr">
        <is>
          <t>1345</t>
        </is>
      </c>
      <c r="B1324" s="2" t="inlineStr">
        <is>
          <t>ถ้าแทนที่หมู่ N ในโครงสร้างจะทำให้ยาออกฤทธิ์ได้ดีขึ้น</t>
        </is>
      </c>
      <c r="C1324" s="2" t="n"/>
      <c r="D1324" s="2" t="inlineStr">
        <is>
          <t>Naloxone 0.4 mg IV stat</t>
        </is>
      </c>
      <c r="E1324" s="2" t="inlineStr">
        <is>
          <t>Flumazenil 0.2 mg IV stat</t>
        </is>
      </c>
      <c r="F1324" s="2" t="inlineStr">
        <is>
          <t>Vitamin K1 (Phytomenadione) 10 mg IV slow</t>
        </is>
      </c>
      <c r="G1324" s="2" t="inlineStr">
        <is>
          <t>Sodium thiosulfate 25% 50 mL IV</t>
        </is>
      </c>
      <c r="H1324" s="2" t="inlineStr">
        <is>
          <t>Calcium disodium EDTA 1 g IV</t>
        </is>
      </c>
      <c r="I1324" s="8" t="inlineStr">
        <is>
          <t>1</t>
        </is>
      </c>
      <c r="J13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24" s="2" t="n"/>
      <c r="L1324" s="2" t="inlineStr">
        <is>
          <t>General Therapeutics</t>
        </is>
      </c>
      <c r="M1324" s="2" t="inlineStr">
        <is>
          <t>Clinic</t>
        </is>
      </c>
      <c r="N1324" s="2" t="inlineStr">
        <is>
          <t>ข้อ 4 (PLE_CC1_Practice_Exam.md)</t>
        </is>
      </c>
      <c r="O1324" s="2" t="inlineStr">
        <is>
          <t>Mock</t>
        </is>
      </c>
      <c r="P1324" s="2" t="inlineStr">
        <is>
          <t>Mock สภาเภสัชฯ Practice</t>
        </is>
      </c>
    </row>
    <row r="1325" ht="13.2" customHeight="1" s="37">
      <c r="A1325" s="8" t="inlineStr">
        <is>
          <t>1346</t>
        </is>
      </c>
      <c r="B1325" s="2" t="inlineStr">
        <is>
          <t>Clonazepam 185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1325" s="2" t="n"/>
      <c r="D1325" s="2" t="inlineStr">
        <is>
          <t>Sodium thiosulfate 25% 50 mL IV</t>
        </is>
      </c>
      <c r="E1325" s="2" t="inlineStr">
        <is>
          <t>Calcium disodium EDTA 1 g IV</t>
        </is>
      </c>
      <c r="F1325" s="2" t="inlineStr">
        <is>
          <t>Desferrioxamine 1 g IM/IV</t>
        </is>
      </c>
      <c r="G1325" s="2" t="inlineStr">
        <is>
          <t>Dimercaprol (BAL) 3 mg/kg IM</t>
        </is>
      </c>
      <c r="H1325" s="2" t="inlineStr">
        <is>
          <t>Ethanol 10% IV infusion for Methanol poisoning</t>
        </is>
      </c>
      <c r="I1325" s="8" t="inlineStr">
        <is>
          <t>1</t>
        </is>
      </c>
      <c r="J13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325" s="2" t="n"/>
      <c r="L1325" s="2" t="inlineStr">
        <is>
          <t>General Therapeutics</t>
        </is>
      </c>
      <c r="M1325" s="2" t="inlineStr">
        <is>
          <t>Clinic</t>
        </is>
      </c>
      <c r="N1325" s="2" t="inlineStr">
        <is>
          <t>ข้อ 2 (PLE_CC1_Practice_Exam.md)</t>
        </is>
      </c>
      <c r="O1325" s="2" t="inlineStr">
        <is>
          <t>Mock</t>
        </is>
      </c>
      <c r="P1325" s="2" t="inlineStr">
        <is>
          <t>Mock สภาเภสัชฯ Practice</t>
        </is>
      </c>
    </row>
    <row r="1326" ht="13.2" customHeight="1" s="37">
      <c r="A1326" s="8" t="inlineStr">
        <is>
          <t>1347</t>
        </is>
      </c>
      <c r="B1326" s="2" t="inlineStr">
        <is>
          <t>ผู้ป่วยหญิงอายุ 25 ปี ได้รับการวินิจฉัยว่าเป็นกลัวการเข้าสังคม (SAD) ซึ่งอีกไม่กี่วันข้างหน้าจะต้อง ร่วมงานเลี้ยงรวมรุ่น ท่านคิดว่ายาในข้อใด เหมาะสม กับผู้ป่วยรายนี้</t>
        </is>
      </c>
      <c r="C1326" s="2" t="n"/>
      <c r="D1326" s="2" t="inlineStr">
        <is>
          <t>Dimercaprol (BAL) 3 mg/kg IM</t>
        </is>
      </c>
      <c r="E1326" s="2" t="inlineStr">
        <is>
          <t>Ethanol 10% IV infusion for Methanol poisoning</t>
        </is>
      </c>
      <c r="F1326" s="2" t="inlineStr">
        <is>
          <t>Fomepizole 15 mg/kg IV loading</t>
        </is>
      </c>
      <c r="G1326" s="2" t="inlineStr">
        <is>
          <t>N-acetylcysteine (NAC) IV infusion protocol</t>
        </is>
      </c>
      <c r="H1326" s="2" t="inlineStr">
        <is>
          <t>Atropine sulfate 2 mg IV Q5-10 min</t>
        </is>
      </c>
      <c r="I1326" s="8" t="inlineStr">
        <is>
          <t>1</t>
        </is>
      </c>
      <c r="J13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6" s="2" t="n"/>
      <c r="L1326" s="2" t="inlineStr">
        <is>
          <t>General Therapeutics</t>
        </is>
      </c>
      <c r="M1326" s="2" t="inlineStr">
        <is>
          <t>Clinic</t>
        </is>
      </c>
      <c r="N1326" s="2" t="inlineStr">
        <is>
          <t>ข้อ 31 (PLE_CC1_Practice_Exam.md)</t>
        </is>
      </c>
      <c r="O1326" s="2" t="inlineStr">
        <is>
          <t>Mock</t>
        </is>
      </c>
      <c r="P1326" s="2" t="inlineStr">
        <is>
          <t>Mock สภาเภสัชฯ Practice</t>
        </is>
      </c>
    </row>
    <row r="1327" ht="13.2" customHeight="1" s="37">
      <c r="A1327" s="8" t="inlineStr">
        <is>
          <t>1348</t>
        </is>
      </c>
      <c r="B1327" s="2" t="inlineStr">
        <is>
          <t>Hangover effect</t>
        </is>
      </c>
      <c r="C1327" s="2" t="n"/>
      <c r="D1327" s="2" t="inlineStr">
        <is>
          <t>N-acetylcysteine (NAC) IV infusion protocol</t>
        </is>
      </c>
      <c r="E1327" s="2" t="inlineStr">
        <is>
          <t>Atropine sulfate 2 mg IV Q5-10 min</t>
        </is>
      </c>
      <c r="F1327" s="2" t="inlineStr">
        <is>
          <t>Pralidoxime (2-PAM) 1-2 g IV over 30 min</t>
        </is>
      </c>
      <c r="G1327" s="2" t="inlineStr">
        <is>
          <t>Naloxone 0.4 mg IV stat</t>
        </is>
      </c>
      <c r="H1327" s="2" t="inlineStr">
        <is>
          <t>Flumazenil 0.2 mg IV stat</t>
        </is>
      </c>
      <c r="I1327" s="8" t="inlineStr">
        <is>
          <t>1</t>
        </is>
      </c>
      <c r="J13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27" s="2" t="n"/>
      <c r="L1327" s="2" t="inlineStr">
        <is>
          <t>General Therapeutics</t>
        </is>
      </c>
      <c r="M1327" s="2" t="inlineStr">
        <is>
          <t>Clinic</t>
        </is>
      </c>
      <c r="N1327" s="2" t="inlineStr">
        <is>
          <t>ข้อ 1 (PLE_CC1_Practice_Exam.md)</t>
        </is>
      </c>
      <c r="O1327" s="2" t="inlineStr">
        <is>
          <t>Mock</t>
        </is>
      </c>
      <c r="P1327" s="2" t="inlineStr">
        <is>
          <t>Mock สภาเภสัชฯ Practice</t>
        </is>
      </c>
    </row>
    <row r="1328" ht="13.2" customHeight="1" s="37">
      <c r="A1328" s="8" t="inlineStr">
        <is>
          <t>1349</t>
        </is>
      </c>
      <c r="B1328" s="2" t="inlineStr">
        <is>
          <t>ยา Antidepressant ชนิดใด ควรหลีกเลี่ยงในผู้ป่วยโรคลมชัก</t>
        </is>
      </c>
      <c r="C1328" s="2" t="n"/>
      <c r="D1328" s="2" t="inlineStr">
        <is>
          <t>Levetiracetam 500 mg BID</t>
        </is>
      </c>
      <c r="E1328" s="2" t="inlineStr">
        <is>
          <t>Gabapentin 300 mg TID</t>
        </is>
      </c>
      <c r="F1328" s="2" t="inlineStr">
        <is>
          <t>Pregabalin 75 mg BID</t>
        </is>
      </c>
      <c r="G1328" s="2" t="inlineStr">
        <is>
          <t>Levodopa/Benserazide 100/25 mg TID</t>
        </is>
      </c>
      <c r="H1328" s="2" t="inlineStr">
        <is>
          <t>Sumatriptan 50 mg stat</t>
        </is>
      </c>
      <c r="I1328" s="8" t="inlineStr">
        <is>
          <t>1</t>
        </is>
      </c>
      <c r="J1328" s="2"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(Gabapentin 300 mg TID): ข้อนี้ไม่ใช่คำตอบที่ถูกต้องสำหรับภาวะ Neurologic Disorders เนื่องจากกลไกการออกฤทธิ์, efficacy หรือข้อบ่งใช้ไม่ตรงกับโจทย์ที่กำหนด
• ข้อ ค. (Pregabalin 75 mg BID): ข้อนี้ไม่ใช่คำตอบที่ถูกต้องสำหรับภาวะ Neurologic Disorders เนื่องจากกลไกการออกฤทธิ์, efficacy หรือข้อบ่งใช้ไม่ตรงกับโจทย์ที่กำหนด
• ข้อ ง.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จ. (Sumatriptan 50 mg stat):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8" s="2" t="n"/>
      <c r="L1328" s="2" t="inlineStr">
        <is>
          <t>Neurologic Disorders</t>
        </is>
      </c>
      <c r="M1328" s="2" t="inlineStr">
        <is>
          <t>Clinic</t>
        </is>
      </c>
      <c r="N1328" s="2" t="inlineStr">
        <is>
          <t>ข้อ 34 (PLE_CC1_Practice_Exam.md)</t>
        </is>
      </c>
      <c r="O1328" s="2" t="inlineStr">
        <is>
          <t>Mock</t>
        </is>
      </c>
      <c r="P1328" s="2" t="inlineStr">
        <is>
          <t>Mock สภาเภสัชฯ Practice</t>
        </is>
      </c>
    </row>
    <row r="1329" ht="13.2" customHeight="1" s="37">
      <c r="A1329" s="8" t="inlineStr">
        <is>
          <t>1350</t>
        </is>
      </c>
      <c r="B1329" s="2" t="inlineStr">
        <is>
          <t>ยาต้านเศร้าในกลุ่ม Tricyclic ข้อใดที่พบผลข้างเคียง sedation น้อยที่สุด</t>
        </is>
      </c>
      <c r="C1329" s="2" t="n"/>
      <c r="D1329" s="2" t="inlineStr">
        <is>
          <t>Sodium thiosulfate 25% 50 mL IV</t>
        </is>
      </c>
      <c r="E1329" s="2" t="inlineStr">
        <is>
          <t>Calcium disodium EDTA 1 g IV</t>
        </is>
      </c>
      <c r="F1329" s="2" t="inlineStr">
        <is>
          <t>Desferrioxamine 1 g IM/IV</t>
        </is>
      </c>
      <c r="G1329" s="2" t="inlineStr">
        <is>
          <t>Dimercaprol (BAL) 3 mg/kg IM</t>
        </is>
      </c>
      <c r="H1329" s="2" t="inlineStr">
        <is>
          <t>Ethanol 10% IV infusion for Methanol poisoning</t>
        </is>
      </c>
      <c r="I1329" s="8" t="inlineStr">
        <is>
          <t>1</t>
        </is>
      </c>
      <c r="J13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9" s="2" t="n"/>
      <c r="L1329" s="2" t="inlineStr">
        <is>
          <t>General Therapeutics</t>
        </is>
      </c>
      <c r="M1329" s="2" t="inlineStr">
        <is>
          <t>Clinic</t>
        </is>
      </c>
      <c r="N1329" s="2" t="inlineStr">
        <is>
          <t>ข้อ 35 (PLE_CC1_Practice_Exam.md)</t>
        </is>
      </c>
      <c r="O1329" s="2" t="inlineStr">
        <is>
          <t>Mock</t>
        </is>
      </c>
      <c r="P1329" s="2" t="inlineStr">
        <is>
          <t>Mock สภาเภสัชฯ Practice</t>
        </is>
      </c>
    </row>
    <row r="1330" ht="13.2" customHeight="1" s="37">
      <c r="A1330" s="8" t="inlineStr">
        <is>
          <t>1351</t>
        </is>
      </c>
      <c r="B1330" s="2" t="inlineStr">
        <is>
          <t>Nortriptyline 186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t>
        </is>
      </c>
      <c r="C1330" s="2" t="n"/>
      <c r="D1330" s="2" t="inlineStr">
        <is>
          <t>Dimercaprol (BAL) 3 mg/kg IM</t>
        </is>
      </c>
      <c r="E1330" s="2" t="inlineStr">
        <is>
          <t>Ethanol 10% IV infusion for Methanol poisoning</t>
        </is>
      </c>
      <c r="F1330" s="2" t="inlineStr">
        <is>
          <t>Fomepizole 15 mg/kg IV loading</t>
        </is>
      </c>
      <c r="G1330" s="2" t="inlineStr">
        <is>
          <t>N-acetylcysteine (NAC) IV infusion protocol</t>
        </is>
      </c>
      <c r="H1330" s="2" t="inlineStr">
        <is>
          <t>Atropine sulfate 2 mg IV Q5-10 min</t>
        </is>
      </c>
      <c r="I1330" s="8" t="inlineStr">
        <is>
          <t>1</t>
        </is>
      </c>
      <c r="J13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330" s="2" t="n"/>
      <c r="L1330" s="2" t="inlineStr">
        <is>
          <t>General Therapeutics</t>
        </is>
      </c>
      <c r="M1330" s="2" t="inlineStr">
        <is>
          <t>Clinic</t>
        </is>
      </c>
      <c r="N1330" s="2" t="inlineStr">
        <is>
          <t>ข้อ 2 (PLE_CC1_Practice_Exam.md)</t>
        </is>
      </c>
      <c r="O1330" s="2" t="inlineStr">
        <is>
          <t>Mock</t>
        </is>
      </c>
      <c r="P1330" s="2" t="inlineStr">
        <is>
          <t>Mock สภาเภสัชฯ Practice</t>
        </is>
      </c>
    </row>
    <row r="1331" ht="13.2" customHeight="1" s="37">
      <c r="A1331" s="8" t="inlineStr">
        <is>
          <t>1352</t>
        </is>
      </c>
      <c r="B1331" s="2" t="inlineStr">
        <is>
          <t>ข้อใดไม่ใช่ผลข้างเคียงจากยากลุ่ม tricyclic antidepressants ที่พบได้บ่อย</t>
        </is>
      </c>
      <c r="C1331" s="2" t="n"/>
      <c r="D1331" s="2" t="inlineStr">
        <is>
          <t>N-acetylcysteine (NAC) IV infusion protocol</t>
        </is>
      </c>
      <c r="E1331" s="2" t="inlineStr">
        <is>
          <t>Atropine sulfate 2 mg IV Q5-10 min</t>
        </is>
      </c>
      <c r="F1331" s="2" t="inlineStr">
        <is>
          <t>Pralidoxime (2-PAM) 1-2 g IV over 30 min</t>
        </is>
      </c>
      <c r="G1331" s="2" t="inlineStr">
        <is>
          <t>Naloxone 0.4 mg IV stat</t>
        </is>
      </c>
      <c r="H1331" s="2" t="inlineStr">
        <is>
          <t>Flumazenil 0.2 mg IV stat</t>
        </is>
      </c>
      <c r="I1331" s="8" t="inlineStr">
        <is>
          <t>1</t>
        </is>
      </c>
      <c r="J13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31" s="2" t="n"/>
      <c r="L1331" s="2" t="inlineStr">
        <is>
          <t>General Therapeutics</t>
        </is>
      </c>
      <c r="M1331" s="2" t="inlineStr">
        <is>
          <t>Clinic</t>
        </is>
      </c>
      <c r="N1331" s="2" t="inlineStr">
        <is>
          <t>ข้อ 36 (PLE_CC1_Practice_Exam.md)</t>
        </is>
      </c>
      <c r="O1331" s="2" t="inlineStr">
        <is>
          <t>Mock</t>
        </is>
      </c>
      <c r="P1331" s="2" t="inlineStr">
        <is>
          <t>Mock สภาเภสัชฯ Practice</t>
        </is>
      </c>
    </row>
    <row r="1332" ht="13.2" customHeight="1" s="37">
      <c r="A1332" s="8" t="inlineStr">
        <is>
          <t>1353</t>
        </is>
      </c>
      <c r="B1332" s="2" t="inlineStr">
        <is>
          <t>urinary retention</t>
        </is>
      </c>
      <c r="C1332" s="2" t="n"/>
      <c r="D1332" s="2" t="inlineStr">
        <is>
          <t>Naloxone 0.4 mg IV stat</t>
        </is>
      </c>
      <c r="E1332" s="2" t="inlineStr">
        <is>
          <t>Flumazenil 0.2 mg IV stat</t>
        </is>
      </c>
      <c r="F1332" s="2" t="inlineStr">
        <is>
          <t>Vitamin K1 (Phytomenadione) 10 mg IV slow</t>
        </is>
      </c>
      <c r="G1332" s="2" t="inlineStr">
        <is>
          <t>Sodium thiosulfate 25% 50 mL IV</t>
        </is>
      </c>
      <c r="H1332" s="2" t="inlineStr">
        <is>
          <t>Calcium disodium EDTA 1 g IV</t>
        </is>
      </c>
      <c r="I1332" s="8" t="inlineStr">
        <is>
          <t>1</t>
        </is>
      </c>
      <c r="J13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32" s="2" t="n"/>
      <c r="L1332" s="2" t="inlineStr">
        <is>
          <t>General Therapeutics</t>
        </is>
      </c>
      <c r="M1332" s="2" t="inlineStr">
        <is>
          <t>Clinic</t>
        </is>
      </c>
      <c r="N1332" s="2" t="inlineStr">
        <is>
          <t>ข้อ 5 (PLE_CC1_Practice_Exam.md)</t>
        </is>
      </c>
      <c r="O1332" s="2" t="inlineStr">
        <is>
          <t>Mock</t>
        </is>
      </c>
      <c r="P1332" s="2" t="inlineStr">
        <is>
          <t>Mock สภาเภสัชฯ Practice</t>
        </is>
      </c>
    </row>
    <row r="1333" ht="13.2" customHeight="1" s="37">
      <c r="A1333" s="8" t="inlineStr">
        <is>
          <t>1354</t>
        </is>
      </c>
      <c r="B1333" s="2" t="inlineStr">
        <is>
          <t>ยาในกลุ่ม TCA มีการใช้น้อยลงในปัจจุบัน เพราะมีผลข้างเคียงมากและมียาใหม่ที่ปลอดภัยกว่า ผลข้างเคียงที่พบบ่อยจากการใช้ยากลุ่ม TCA ในขนาดปกติที่ใช้รักษาคือข้อใด</t>
        </is>
      </c>
      <c r="C1333" s="2" t="n"/>
      <c r="D1333" s="2" t="inlineStr">
        <is>
          <t>Sodium thiosulfate 25% 50 mL IV</t>
        </is>
      </c>
      <c r="E1333" s="2" t="inlineStr">
        <is>
          <t>Calcium disodium EDTA 1 g IV</t>
        </is>
      </c>
      <c r="F1333" s="2" t="inlineStr">
        <is>
          <t>Desferrioxamine 1 g IM/IV</t>
        </is>
      </c>
      <c r="G1333" s="2" t="inlineStr">
        <is>
          <t>Dimercaprol (BAL) 3 mg/kg IM</t>
        </is>
      </c>
      <c r="H1333" s="2" t="inlineStr">
        <is>
          <t>Ethanol 10% IV infusion for Methanol poisoning</t>
        </is>
      </c>
      <c r="I1333" s="8" t="inlineStr">
        <is>
          <t>1</t>
        </is>
      </c>
      <c r="J13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33" s="2" t="n"/>
      <c r="L1333" s="2" t="inlineStr">
        <is>
          <t>General Therapeutics</t>
        </is>
      </c>
      <c r="M1333" s="2" t="inlineStr">
        <is>
          <t>Clinic</t>
        </is>
      </c>
      <c r="N1333" s="2" t="inlineStr">
        <is>
          <t>ข้อ 37 (PLE_CC1_Practice_Exam.md)</t>
        </is>
      </c>
      <c r="O1333" s="2" t="inlineStr">
        <is>
          <t>Mock</t>
        </is>
      </c>
      <c r="P1333" s="2" t="inlineStr">
        <is>
          <t>Mock สภาเภสัชฯ Practice</t>
        </is>
      </c>
    </row>
    <row r="1334" ht="13.2" customHeight="1" s="37">
      <c r="A1334" s="8" t="inlineStr">
        <is>
          <t>1355</t>
        </is>
      </c>
      <c r="B1334" s="2" t="inlineStr">
        <is>
          <t>ผล anticholinergic</t>
        </is>
      </c>
      <c r="C1334" s="2" t="n"/>
      <c r="D1334" s="2" t="inlineStr">
        <is>
          <t>Dimercaprol (BAL) 3 mg/kg IM</t>
        </is>
      </c>
      <c r="E1334" s="2" t="inlineStr">
        <is>
          <t>Ethanol 10% IV infusion for Methanol poisoning</t>
        </is>
      </c>
      <c r="F1334" s="2" t="inlineStr">
        <is>
          <t>Fomepizole 15 mg/kg IV loading</t>
        </is>
      </c>
      <c r="G1334" s="2" t="inlineStr">
        <is>
          <t>N-acetylcysteine (NAC) IV infusion protocol</t>
        </is>
      </c>
      <c r="H1334" s="2" t="inlineStr">
        <is>
          <t>Atropine sulfate 2 mg IV Q5-10 min</t>
        </is>
      </c>
      <c r="I1334" s="8" t="inlineStr">
        <is>
          <t>1</t>
        </is>
      </c>
      <c r="J13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34" s="2" t="n"/>
      <c r="L1334" s="2" t="inlineStr">
        <is>
          <t>General Therapeutics</t>
        </is>
      </c>
      <c r="M1334" s="2" t="inlineStr">
        <is>
          <t>Clinic</t>
        </is>
      </c>
      <c r="N1334" s="2" t="inlineStr">
        <is>
          <t>ข้อ 1 (PLE_CC1_Practice_Exam.md)</t>
        </is>
      </c>
      <c r="O1334" s="2" t="inlineStr">
        <is>
          <t>Mock</t>
        </is>
      </c>
      <c r="P1334" s="2" t="inlineStr">
        <is>
          <t>Mock สภาเภสัชฯ Practice</t>
        </is>
      </c>
    </row>
    <row r="1335" ht="13.2" customHeight="1" s="37">
      <c r="A1335" s="8" t="inlineStr">
        <is>
          <t>1356</t>
        </is>
      </c>
      <c r="B1335" s="2" t="inlineStr">
        <is>
          <t>Duloxetine</t>
        </is>
      </c>
      <c r="C1335" s="2" t="n"/>
      <c r="D1335" s="2" t="inlineStr">
        <is>
          <t>N-acetylcysteine (NAC) IV infusion protocol</t>
        </is>
      </c>
      <c r="E1335" s="2" t="inlineStr">
        <is>
          <t>Atropine sulfate 2 mg IV Q5-10 min</t>
        </is>
      </c>
      <c r="F1335" s="2" t="inlineStr">
        <is>
          <t>Pralidoxime (2-PAM) 1-2 g IV over 30 min</t>
        </is>
      </c>
      <c r="G1335" s="2" t="inlineStr">
        <is>
          <t>Naloxone 0.4 mg IV stat</t>
        </is>
      </c>
      <c r="H1335" s="2" t="inlineStr">
        <is>
          <t>Flumazenil 0.2 mg IV stat</t>
        </is>
      </c>
      <c r="I1335" s="8" t="inlineStr">
        <is>
          <t>1</t>
        </is>
      </c>
      <c r="J13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35" s="2" t="n"/>
      <c r="L1335" s="2" t="inlineStr">
        <is>
          <t>General Therapeutics</t>
        </is>
      </c>
      <c r="M1335" s="2" t="inlineStr">
        <is>
          <t>Clinic</t>
        </is>
      </c>
      <c r="N1335" s="2" t="inlineStr">
        <is>
          <t>ข้อ 5 (PLE_CC1_Practice_Exam.md)</t>
        </is>
      </c>
      <c r="O1335" s="2" t="inlineStr">
        <is>
          <t>Mock</t>
        </is>
      </c>
      <c r="P1335" s="2" t="inlineStr">
        <is>
          <t>Mock สภาเภสัชฯ Practice</t>
        </is>
      </c>
    </row>
    <row r="1336" ht="13.2" customHeight="1" s="37">
      <c r="A1336" s="8" t="inlineStr">
        <is>
          <t>1357</t>
        </is>
      </c>
      <c r="B1336" s="2" t="inlineStr">
        <is>
          <t>นาย ก เคี้ยวหมากฝรั่งนิโคตินอย่างช้าๆ สลับกับการอบเป็นระยะๆ เป็นเวลา 30 นาที เป็นข้อเเนะนำให้ปฎิบัติในการรับประทานหมากฝรั่งนิโคติน</t>
        </is>
      </c>
      <c r="C1336" s="2" t="n"/>
      <c r="D1336" s="2" t="inlineStr">
        <is>
          <t>Budesonide/Formoterol 160/4.5 mcg DPI BID</t>
        </is>
      </c>
      <c r="E1336" s="2" t="inlineStr">
        <is>
          <t>Fluticasone/Salmeterol 250/50 mcg DPI BID</t>
        </is>
      </c>
      <c r="F1336" s="2" t="inlineStr">
        <is>
          <t>Tiotropium Respimat 2.5 mcg 2 puffs OD</t>
        </is>
      </c>
      <c r="G1336" s="2" t="inlineStr">
        <is>
          <t>Ipratropium/Fenoterol MDI PRN</t>
        </is>
      </c>
      <c r="H1336" s="2" t="inlineStr">
        <is>
          <t>Montelukast 10 mg HS</t>
        </is>
      </c>
      <c r="I1336" s="8" t="inlineStr">
        <is>
          <t>1</t>
        </is>
      </c>
      <c r="J1336" s="2"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1336" s="2" t="n"/>
      <c r="L1336" s="2" t="inlineStr">
        <is>
          <t>Pulmonary Diseases</t>
        </is>
      </c>
      <c r="M1336" s="2" t="inlineStr">
        <is>
          <t>Clinic</t>
        </is>
      </c>
      <c r="N1336" s="2" t="inlineStr">
        <is>
          <t>ข้อ 1 (PLE_CC1_Practice_Exam.md)</t>
        </is>
      </c>
      <c r="O1336" s="2" t="inlineStr">
        <is>
          <t>Mock</t>
        </is>
      </c>
      <c r="P1336" s="2" t="inlineStr">
        <is>
          <t>Mock สภาเภสัชฯ Practice</t>
        </is>
      </c>
    </row>
    <row r="1337" ht="13.2" customHeight="1" s="37">
      <c r="A1337" s="8" t="inlineStr">
        <is>
          <t>1358</t>
        </is>
      </c>
      <c r="B1337" s="2" t="inlineStr">
        <is>
          <t>โรคทางนรีเวชวิทยา โดย นักศึกษาชั้นป๊ที่ 4 รุ่น 36 และสโมสรนักศึกษาเภสัชศาสตร์ มหาวิทยาลัยสงขลานครินทร์ ป๊การศึกษา 2560</t>
        </is>
      </c>
      <c r="C1337" s="2" t="n"/>
      <c r="D1337" s="2" t="inlineStr">
        <is>
          <t>Sodium thiosulfate 25% 50 mL IV</t>
        </is>
      </c>
      <c r="E1337" s="2" t="inlineStr">
        <is>
          <t>Calcium disodium EDTA 1 g IV</t>
        </is>
      </c>
      <c r="F1337" s="2" t="inlineStr">
        <is>
          <t>Desferrioxamine 1 g IM/IV</t>
        </is>
      </c>
      <c r="G1337" s="2" t="inlineStr">
        <is>
          <t>Dimercaprol (BAL) 3 mg/kg IM</t>
        </is>
      </c>
      <c r="H1337" s="2" t="inlineStr">
        <is>
          <t>Ethanol 10% IV infusion for Methanol poisoning</t>
        </is>
      </c>
      <c r="I1337" s="8" t="inlineStr">
        <is>
          <t>1</t>
        </is>
      </c>
      <c r="J13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37" s="2" t="n"/>
      <c r="L1337" s="2" t="inlineStr">
        <is>
          <t>General Therapeutics</t>
        </is>
      </c>
      <c r="M1337" s="2" t="inlineStr">
        <is>
          <t>Clinic</t>
        </is>
      </c>
      <c r="N1337" s="2" t="inlineStr">
        <is>
          <t>ข้อ 10 (PLE_CC1_Practice_Exam.md)</t>
        </is>
      </c>
      <c r="O1337" s="2" t="inlineStr">
        <is>
          <t>Mock</t>
        </is>
      </c>
      <c r="P1337" s="2" t="inlineStr">
        <is>
          <t>Mock สภาเภสัชฯ Practice</t>
        </is>
      </c>
    </row>
    <row r="1338" ht="13.2" customHeight="1" s="37">
      <c r="A1338" s="8" t="inlineStr">
        <is>
          <t>1359</t>
        </is>
      </c>
      <c r="B1338" s="2" t="inlineStr">
        <is>
          <t>บุคคลในข้อใด ไม่ควรใช้ยา NSAID</t>
        </is>
      </c>
      <c r="C1338" s="2" t="n"/>
      <c r="D1338" s="2" t="inlineStr">
        <is>
          <t>เด็กอายุ 4 ขวบ มีไข้สูง</t>
        </is>
      </c>
      <c r="E1338" s="2" t="inlineStr">
        <is>
          <t>หญิงตั้งครรภ์ 8 เดือน</t>
        </is>
      </c>
      <c r="F1338" s="2" t="inlineStr">
        <is>
          <t>ชายอายุ 75ปี มีโรคประจำตัว คือ หอบหืด</t>
        </is>
      </c>
      <c r="G1338" s="2" t="inlineStr">
        <is>
          <t>ชายอายุ 25 ปี มีอาการปวดไมเกรน</t>
        </is>
      </c>
      <c r="H1338" s="2" t="inlineStr">
        <is>
          <t>ถูกทั้งข้อ ก ข ค</t>
        </is>
      </c>
      <c r="I1338" s="8" t="inlineStr">
        <is>
          <t>1</t>
        </is>
      </c>
      <c r="J1338" s="2" t="inlineStr">
        <is>
          <t>✅ คำตอบที่ถูกต้อง: ข้อ ก. เด็กอายุ 4 ขวบ มีไข้สูง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เด็กอายุ 4 ขวบ มีไข้สูง การเลือก เด็กอายุ 4 ขวบ มีไข้สูง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(หญิงตั้งครรภ์ 8 เดือน): ข้อนี้ไม่ใช่คำตอบที่ถูกต้องสำหรับภาวะ Musculoskeletal &amp; Joint เนื่องจากกลไกการออกฤทธิ์, efficacy หรือข้อบ่งใช้ไม่ตรงกับโจทย์ที่กำหนด
• ข้อ ค. (ชายอายุ 75ปี มีโรคประจำตัว คือ หอบหืด): ข้อนี้ไม่ใช่คำตอบที่ถูกต้องสำหรับภาวะ Musculoskeletal &amp; Joint เนื่องจากกลไกการออกฤทธิ์, efficacy หรือข้อบ่งใช้ไม่ตรงกับโจทย์ที่กำหนด
• ข้อ ง. (ชายอายุ 25 ปี มีอาการปวดไมเกรน): ข้อนี้ไม่ใช่คำตอบที่ถูกต้องสำหรับภาวะ Musculoskeletal &amp; Joint เนื่องจากกลไกการออกฤทธิ์, efficacy หรือข้อบ่งใช้ไม่ตรงกับโจทย์ที่กำหนด
• ข้อ จ. (ถูกทั้งข้อ ก ข ค):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Musculoskeletal &amp; Joint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38" s="2" t="n"/>
      <c r="L1338" s="2" t="inlineStr">
        <is>
          <t>Musculoskeletal &amp; Joint</t>
        </is>
      </c>
      <c r="M1338" s="2" t="inlineStr">
        <is>
          <t>Clinic</t>
        </is>
      </c>
      <c r="N1338" s="2" t="inlineStr">
        <is>
          <t>ข้อ 3 (PLE_CC1_Practice_Exam.md)</t>
        </is>
      </c>
      <c r="O1338" s="2" t="inlineStr">
        <is>
          <t>Mock</t>
        </is>
      </c>
      <c r="P1338" s="2" t="inlineStr">
        <is>
          <t>Mock สภาเภสัชฯ Practice</t>
        </is>
      </c>
    </row>
    <row r="1339" ht="13.2" customHeight="1" s="37">
      <c r="A1339" s="8" t="inlineStr">
        <is>
          <t>1360</t>
        </is>
      </c>
      <c r="B1339" s="2" t="inlineStr">
        <is>
          <t>ข้อใดต่อไปนี้ไม่ใช้ลักษณะอาการของ Primary dysmenorrhea</t>
        </is>
      </c>
      <c r="C1339" s="2" t="n"/>
      <c r="D1339" s="2" t="inlineStr">
        <is>
          <t>เริ่มมีอาการปวดท้องเมื่ออายุ 27 ปี</t>
        </is>
      </c>
      <c r="E1339" s="2" t="inlineStr">
        <is>
          <t>ปวดบิดเป็นพัก ๆ ที่บริเวณท้องน้อย</t>
        </is>
      </c>
      <c r="F1339" s="2" t="inlineStr">
        <is>
          <t>ปวดท้องก่อนมีประจำเดือนไม่กี่ชม.</t>
        </is>
      </c>
      <c r="G1339" s="2" t="inlineStr">
        <is>
          <t>ปวดท้องตลอดช่วง 2-3 วันแรกของการมีประจำเดือน</t>
        </is>
      </c>
      <c r="H1339" s="2" t="inlineStr">
        <is>
          <t>อาการปวดท้องดีขึ้นเมื่อรับประทานยา paracetamol หรือ Ibuprofen</t>
        </is>
      </c>
      <c r="I1339" s="8" t="inlineStr">
        <is>
          <t>1</t>
        </is>
      </c>
      <c r="J1339" s="2" t="inlineStr">
        <is>
          <t>✅ คำตอบที่ถูกต้อง: ข้อ ก. เริ่มมีอาการปวดท้องเมื่ออายุ 27 ปี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เริ่มมีอาการปวดท้องเมื่ออายุ 27 ปี การเลือก เริ่มมีอาการปวดท้องเมื่ออายุ 27 ปี เป็นคำตอบที่ถูกต้องและสอดคล้องกับ evidence-based guidelines ของภาวะ Gynaecologic &amp; GU โดยมี clinical efficacy สูงสุดในการรักษาและมี safety profile ที่เหมาะสม
🔍 ข้ออื่นผิดเพราะอะไร:
• ข้อ ข. (ปวดบิดเป็นพัก ๆ ที่บริเวณท้องน้อย): ข้อนี้ไม่ใช่คำตอบที่ถูกต้องสำหรับภาวะ Gynaecologic &amp; GU เนื่องจากกลไกการออกฤทธิ์, efficacy หรือข้อบ่งใช้ไม่ตรงกับโจทย์ที่กำหนด
• ข้อ ค. (ปวดท้องก่อนมีประจำเดือนไม่กี่ชม.): ข้อนี้ไม่ใช่คำตอบที่ถูกต้องสำหรับภาวะ Gynaecologic &amp; GU เนื่องจากกลไกการออกฤทธิ์, efficacy หรือข้อบ่งใช้ไม่ตรงกับโจทย์ที่กำหนด
• ข้อ ง. (ปวดท้องตลอดช่วง 2-3 วันแรกของการมีประจำเดือน): ข้อนี้ไม่ใช่คำตอบที่ถูกต้องสำหรับภาวะ Gynaecologic &amp; GU เนื่องจากกลไกการออกฤทธิ์, efficacy หรือข้อบ่งใช้ไม่ตรงกับโจทย์ที่กำหนด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39" s="2" t="n"/>
      <c r="L1339" s="2" t="inlineStr">
        <is>
          <t>Gynaecologic &amp; GU</t>
        </is>
      </c>
      <c r="M1339" s="2" t="inlineStr">
        <is>
          <t>Clinic</t>
        </is>
      </c>
      <c r="N1339" s="2" t="inlineStr">
        <is>
          <t>ข้อ 5 (PLE_CC1_Practice_Exam.md)</t>
        </is>
      </c>
      <c r="O1339" s="2" t="inlineStr">
        <is>
          <t>Mock</t>
        </is>
      </c>
      <c r="P1339" s="2" t="inlineStr">
        <is>
          <t>Mock สภาเภสัชฯ Practice</t>
        </is>
      </c>
    </row>
    <row r="1340" ht="13.2" customHeight="1" s="37">
      <c r="A1340" s="8" t="inlineStr">
        <is>
          <t>1361</t>
        </is>
      </c>
      <c r="B1340" s="2" t="inlineStr">
        <is>
          <t>หญิงอายุ 52 ปี ประจำเดือนมาบ้าง ไม่มาบ้างประมาณ 3 ปี มีอาการช่องคลอดแห้งและเจ็บเวลามี เพศสัมพันธ์มาปรึกษาท่านที่ร้านยา หากท่านเป็นเภสัชกร ท่านจะแก้ไขปัญหาผู้ป่วยรายนี้อย่างไรจึงจะ เหมาะสมที่สุด</t>
        </is>
      </c>
      <c r="C1340" s="2" t="n"/>
      <c r="D1340" s="2" t="inlineStr">
        <is>
          <t>จ่ายยา conjugates equine estrogen 0.625 mg ให้คนไข้</t>
        </is>
      </c>
      <c r="E1340" s="2" t="inlineStr">
        <is>
          <t>จ่ายยา HRT แบบ sequential regimen</t>
        </is>
      </c>
      <c r="F1340" s="2" t="inlineStr">
        <is>
          <t>จ่ายยา HRT แบบ combine estrogen regimen 204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G1340" s="2" t="inlineStr">
        <is>
          <t>จ่ายยา topical estrogen</t>
        </is>
      </c>
      <c r="H1340" s="2" t="inlineStr">
        <is>
          <t>จ่ายยา topical estrogen ร่วมกับ HRT แบบ combine estrogen regimen</t>
        </is>
      </c>
      <c r="I1340" s="8" t="inlineStr">
        <is>
          <t>1</t>
        </is>
      </c>
      <c r="J1340" s="2" t="inlineStr">
        <is>
          <t>✅ คำตอบที่ถูกต้อง: ข้อ ก. จ่ายยา conjugates equine estrogen 0.625 mg ให้คนไข้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จ่ายยา conjugates equine estrogen 0.625 mg ให้คนไข้ 💡 คำอธิบายและข้อกำหนดทางกฎหมาย:
💡 คำอธิบายและข้อกำหนดทางกฎหมาย:
การเลือก จ่ายยา conjugates equine estrogen 0.625 mg ให้คนไข้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(จ่ายยา HRT แบบ sequential regimen): ข้อนี้ไม่ใช่คำตอบที่ถูกต้องสำหรับภาวะ Pharmacy Laws &amp; Ethics เนื่องจากกลไกการออกฤทธิ์, efficacy หรือข้อบ่งใช้ไม่ตรงกับโจทย์ที่กำหนด
• ข้อ ค. (จ่ายยา HRT แบบ combine estrogen regimen 204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ข้อนี้ไม่ใช่คำตอบที่ถูกต้องสำหรับภาวะ Pharmacy Laws &amp; Ethics เนื่องจากกลไกการออกฤทธิ์, efficacy หรือข้อบ่งใช้ไม่ตรงกับโจทย์ที่กำหนด
• ข้อ ง. (จ่ายยา topical estrogen): ข้อนี้ไม่ใช่คำตอบที่ถูกต้องสำหรับภาวะ Pharmacy Laws &amp; Ethics เนื่องจากกลไกการออกฤทธิ์, efficacy หรือข้อบ่งใช้ไม่ตรงกับโจทย์ที่กำหนด
• ข้อ จ. (จ่ายยา topical estrogen ร่วมกับ HRT แบบ combine estrogen regimen):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0" s="2" t="n"/>
      <c r="L1340" s="2" t="inlineStr">
        <is>
          <t>Pharmacy Laws &amp; Ethics</t>
        </is>
      </c>
      <c r="M1340" s="2" t="inlineStr">
        <is>
          <t>SAP</t>
        </is>
      </c>
      <c r="N1340" s="2" t="inlineStr">
        <is>
          <t>ข้อ 8 (PLE_CC1_Practice_Exam.md)</t>
        </is>
      </c>
      <c r="O1340" s="2" t="inlineStr">
        <is>
          <t>Mock</t>
        </is>
      </c>
      <c r="P1340" s="2" t="inlineStr">
        <is>
          <t>Mock สภาเภสัชฯ Practice</t>
        </is>
      </c>
    </row>
    <row r="1341" ht="13.2" customHeight="1" s="37">
      <c r="A1341" s="8" t="inlineStr">
        <is>
          <t>1362</t>
        </is>
      </c>
      <c r="B1341" s="2" t="inlineStr">
        <is>
          <t>ข้อใดผิดเกี่ยวกับ Postinorห</t>
        </is>
      </c>
      <c r="C1341" s="2" t="n"/>
      <c r="D1341" s="2" t="inlineStr">
        <is>
          <t>ใน 1 เม็ด มีตัวยาสำคัญ คือ levonorgestrel 0.75 มิลลิกรัม</t>
        </is>
      </c>
      <c r="E1341" s="2" t="inlineStr">
        <is>
          <t>เป็นยาคุมฉุกเฉิน ไม่ควรรับประทานเกิน 2 แผงต่อเดือน</t>
        </is>
      </c>
      <c r="F1341" s="2" t="inlineStr">
        <is>
          <t>การรับประทานพร้อมกัน 2 เม็ด ให้ประสิทธิภาพน้อยกว่า การรับประทานทันทีหลังมีเพศสัมพันธ์ หรือภายใน 72 ชั่วโมง และรับประทานเม็ดที่ 2 หลังจากนั้นอีก 12 ชั่วโมงถัดมา</t>
        </is>
      </c>
      <c r="G1341" s="2" t="inlineStr">
        <is>
          <t>อาจมีอาการคลื่นไส้อาเจียนเมื่อทานยา รวมไปถึง irregular bleeding จาก progestin ขนาดสูง</t>
        </is>
      </c>
      <c r="H1341" s="2" t="inlineStr">
        <is>
          <t>ออกฤทธิ์ทำให้มูกบริเวณปากมดลูกเหนียวข้น ตัวอสุจิจึงผ่านได้ยาก และทำให้เยื่อบุโพรงมดลูกไม่ เหมาะสมต่อการฝังตัวของตัวอ่อน</t>
        </is>
      </c>
      <c r="I1341" s="8" t="inlineStr">
        <is>
          <t>1</t>
        </is>
      </c>
      <c r="J1341" s="2" t="inlineStr">
        <is>
          <t>✅ คำตอบที่ถูกต้อง: ข้อ ก. ใน 1 เม็ด มีตัวยาสำคัญ คือ levonorgestrel 0.75 มิลลิกรัม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ใน 1 เม็ด มีตัวยาสำคัญ คือ levonorgestrel 0.75 มิลลิกรัม การเลือก ใน 1 เม็ด มีตัวยาสำคัญ คือ levonorgestrel 0.75 มิลลิกรัม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(เป็นยาคุมฉุกเฉิน ไม่ควรรับประทานเกิน 2 แผงต่อเดือน): ข้อนี้ไม่ใช่คำตอบที่ถูกต้องสำหรับภาวะ General Therapeutics เนื่องจากกลไกการออกฤทธิ์, efficacy หรือข้อบ่งใช้ไม่ตรงกับโจทย์ที่กำหนด
• ข้อ ค. (การรับประทานพร้อมกัน 2 เม็ด ให้ประสิทธิภาพน้อยกว่า การรับประทานทันทีหลังมีเพศสัมพันธ์ หรือภายใน 72 ชั่วโมง และรับประทานเม็ดที่ 2 หลังจากนั้นอีก 12 ชั่วโมงถัดมา): ข้อนี้ไม่ใช่คำตอบที่ถูกต้องสำหรับภาวะ General Therapeutics เนื่องจากกลไกการออกฤทธิ์, efficacy หรือข้อบ่งใช้ไม่ตรงกับโจทย์ที่กำหนด
• ข้อ ง. (อาจมีอาการคลื่นไส้อาเจียนเมื่อทานยา รวมไปถึง irregular bleeding จาก progestin ขนาดสูง): ข้อนี้ไม่ใช่คำตอบที่ถูกต้องสำหรับภาวะ General Therapeutics เนื่องจากกลไกการออกฤทธิ์, efficacy หรือข้อบ่งใช้ไม่ตรงกับโจทย์ที่กำหนด
• ข้อ จ. (ออกฤทธิ์ทำให้มูกบริเวณปากมดลูกเหนียวข้น ตัวอสุจิจึงผ่านได้ยาก และทำให้เยื่อบุโพรงมดลูกไม่ เหมาะสมต่อการฝังตัวของตัวอ่อน):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1" s="2" t="n"/>
      <c r="L1341" s="2" t="inlineStr">
        <is>
          <t>General Therapeutics</t>
        </is>
      </c>
      <c r="M1341" s="2" t="inlineStr">
        <is>
          <t>Clinic</t>
        </is>
      </c>
      <c r="N1341" s="2" t="inlineStr">
        <is>
          <t>ข้อ 10 (PLE_CC1_Practice_Exam.md)</t>
        </is>
      </c>
      <c r="O1341" s="2" t="inlineStr">
        <is>
          <t>Mock</t>
        </is>
      </c>
      <c r="P1341" s="2" t="inlineStr">
        <is>
          <t>Mock สภาเภสัชฯ Practice</t>
        </is>
      </c>
    </row>
    <row r="1342" ht="13.2" customHeight="1" s="37">
      <c r="A1342" s="8" t="inlineStr">
        <is>
          <t>1363</t>
        </is>
      </c>
      <c r="B1342" s="2" t="inlineStr">
        <is>
          <t>ข้อใดผิด</t>
        </is>
      </c>
      <c r="C1342" s="2" t="n"/>
      <c r="D1342" s="2" t="inlineStr">
        <is>
          <t>Estrogen excess ทำให้คลื่นไส้ คัดเต้านม น้ำหนักลด</t>
        </is>
      </c>
      <c r="E1342" s="2" t="inlineStr">
        <is>
          <t>หากเกิด breakthrough ในช่วงวันที่ 10 -21 ให้เพิ่มขนาด progestin</t>
        </is>
      </c>
      <c r="F1342" s="2" t="inlineStr">
        <is>
          <t>Progestin deficiency อาจทำให้เกิดอาการปวดประจำเดือนหรือประจำเดือนมากกว่าปกติ</t>
        </is>
      </c>
      <c r="G1342" s="2" t="inlineStr">
        <is>
          <t>Estrogen deficiency ทำให้เกิด vasomotor symptom</t>
        </is>
      </c>
      <c r="H1342" s="2" t="inlineStr">
        <is>
          <t>Progestin excess อาจทำให้เกิดสิว หน้ามัน ได้</t>
        </is>
      </c>
      <c r="I1342" s="8" t="inlineStr">
        <is>
          <t>1</t>
        </is>
      </c>
      <c r="J1342" s="2" t="inlineStr">
        <is>
          <t>✅ คำตอบที่ถูกต้อง: ข้อ ก. Estrogen excess ทำให้คลื่นไส้ คัดเต้านม น้ำหนักลด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Estrogen excess ทำให้คลื่นไส้ คัดเต้านม น้ำหนักลด การเลือก Estrogen excess ทำให้คลื่นไส้ คัดเต้านม น้ำหนักลด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(หากเกิด breakthrough ในช่วงวันที่ 10 -21 ให้เพิ่มขนาด progestin): ข้อนี้ไม่ใช่คำตอบที่ถูกต้องสำหรับภาวะ General Therapeutics เนื่องจากกลไกการออกฤทธิ์, efficacy หรือข้อบ่งใช้ไม่ตรงกับโจทย์ที่กำหนด
• ข้อ ค. (Progestin deficiency อาจทำให้เกิดอาการปวดประจำเดือนหรือประจำเดือนมากกว่าปกติ): ข้อนี้ไม่ใช่คำตอบที่ถูกต้องสำหรับภาวะ General Therapeutics เนื่องจากกลไกการออกฤทธิ์, efficacy หรือข้อบ่งใช้ไม่ตรงกับโจทย์ที่กำหนด
• ข้อ ง. (Estrogen deficiency ทำให้เกิด vasomotor symptom): ข้อนี้ไม่ใช่คำตอบที่ถูกต้องสำหรับภาวะ General Therapeutics เนื่องจากกลไกการออกฤทธิ์, efficacy หรือข้อบ่งใช้ไม่ตรงกับโจทย์ที่กำหนด
• ข้อ จ. (Progestin excess อาจทำให้เกิดสิว หน้ามัน 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2" s="2" t="n"/>
      <c r="L1342" s="2" t="inlineStr">
        <is>
          <t>General Therapeutics</t>
        </is>
      </c>
      <c r="M1342" s="2" t="inlineStr">
        <is>
          <t>Clinic</t>
        </is>
      </c>
      <c r="N1342" s="2" t="inlineStr">
        <is>
          <t>ข้อ 11 (PLE_CC1_Practice_Exam.md)</t>
        </is>
      </c>
      <c r="O1342" s="2" t="inlineStr">
        <is>
          <t>Mock</t>
        </is>
      </c>
      <c r="P1342" s="2" t="inlineStr">
        <is>
          <t>Mock สภาเภสัชฯ Practice</t>
        </is>
      </c>
    </row>
    <row r="1343" ht="13.2" customHeight="1" s="37">
      <c r="A1343" s="8" t="inlineStr">
        <is>
          <t>1364</t>
        </is>
      </c>
      <c r="B1343" s="2" t="inlineStr">
        <is>
          <t>ยาแผนโบราณตัวใดที่สามารถรักษาอาการปวดประจำเดือน</t>
        </is>
      </c>
      <c r="C1343" s="2" t="n"/>
      <c r="D1343" s="2" t="inlineStr">
        <is>
          <t>ยาประสะกะเพรา</t>
        </is>
      </c>
      <c r="E1343" s="2" t="inlineStr">
        <is>
          <t>ยาประสะกานพลู</t>
        </is>
      </c>
      <c r="F1343" s="2" t="inlineStr">
        <is>
          <t>ยาประสะไพล</t>
        </is>
      </c>
      <c r="G1343" s="2" t="inlineStr">
        <is>
          <t>ยาประสะเปราะใหญ่</t>
        </is>
      </c>
      <c r="H1343" s="2" t="inlineStr">
        <is>
          <t>ยาประสะมะแว้ง กรณีศึกษา Dysmenorrhea สำหรับข้อ 16-20 ผู้ป่วยหญิง อายุ 20 ป๊ มาร้านยาเพื่อขอซื้อยาแก้ปวด เนื่องจากปวดท้องมากเวลามีประจำเดือน จาก การซักประวัติพบว่า เริ่มเป็นมาตั้งแต่มีประจำเดือนครั้งแรก ตอนอายุประมาณ11 ป๊ ตอนแรกๆ ก็ปวด พอประมาณทนไหว แต่ต่อมามีอาการปวดมากขึ้น ต้องรับประทานยาพาราเซตามอลครั้งละ 2 เม็ด วันละสอง ประมาณ 8 วัน ป็จจุบัน เธอจึงรู้สึกเป็นกังวลมากที่นอกจากมีภาวะปวดประจำเดือนมากทุกเดือนแล้ว ยังมี ภาวะปวดไมเกรนร่วมด้วย 206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I1343" s="8" t="inlineStr">
        <is>
          <t>1</t>
        </is>
      </c>
      <c r="J1343" s="2" t="inlineStr">
        <is>
          <t>✅ คำตอบที่ถูกต้อง: ข้อ ก. ยาประสะกะเพรา
💡 Background:
การบริบาลผู้ป่วยในกลุ่มโรค Gynaecologic &amp; GU มุ่งเน้นการควบคุมโรคและลดความเสี่ยงต่อภาวะแทรกซ้อนด้วย evidence-based pharmacotherapy
🎯 ทำไมข้อนี้ถึงถูก:
ยาประสะกะเพรา ครั้ง ในวันแรกและวันที่สองของประจำเดือน อาการจึงดีขึ้น พักหลังๆ รู้สึกว่า ตัวเองมีประจำเดือนมามากขึ้น จากเดิมที่ใช้ผ้าอนามัยเดือนละ 12 แผ่น ป็จจุบันใช้เพิ่มขึ้นเป็น 15-16 แผ่นต่อเดือน แต่ละครั้งมีรอบเดือนนาน
🔍 ข้ออื่นผิดเพราะอะไร:
• ข้อ ข. (ยาประสะกานพลู): ข้อนี้ไม่ใช่คำตอบที่ถูกต้องสำหรับภาวะ Gynaecologic &amp; GU เนื่องจากกลไกการออกฤทธิ์, efficacy หรือข้อบ่งใช้ไม่ตรงกับโจทย์ที่กำหนด
• ข้อ ค. (ยาประสะไพล): ข้อนี้ไม่ใช่คำตอบที่ถูกต้องสำหรับภาวะ Gynaecologic &amp; GU เนื่องจากกลไกการออกฤทธิ์, efficacy หรือข้อบ่งใช้ไม่ตรงกับโจทย์ที่กำหนด
• ข้อ ง. (ยาประสะเปราะใหญ่): ข้อนี้ไม่ใช่คำตอบที่ถูกต้องสำหรับภาวะ Gynaecologic &amp; GU เนื่องจากกลไกการออกฤทธิ์, efficacy หรือข้อบ่งใช้ไม่ตรงกับโจทย์ที่กำหนด
• ข้อ จ. (ยาประสะมะแว้ง กรณีศึกษา Dysmenorrhea สำหรับข้อ 16-20 ผู้ป่วยหญิง อายุ 20 ป๊ มาร้านยาเพื่อขอซื้อยาแก้ปวด เนื่องจากปวดท้องมากเวลามีประจำเดือน จาก การซักประวัติพบว่า เริ่มเป็นมาตั้งแต่มีประจำเดือนครั้งแรก ตอนอายุประมาณ11 ป๊ ตอนแรกๆ ก็ปวด พอประมาณทนไหว แต่ต่อมามีอาการปวดมากขึ้น ต้องรับประทานยาพาราเซตามอลครั้งละ 2 เม็ด วันละสอง ประมาณ 8 วัน ป็จจุบัน เธอจึงรู้สึกเป็นกังวลมากที่นอกจากมีภาวะปวดประจำเดือนมากทุกเดือนแล้ว ยังมี ภาวะปวดไมเกรนร่วมด้วย 206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ข้อนี้ไม่ใช่คำตอบที่ถูกต้องสำหรับภาวะ Gynaecologic &amp; GU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3" s="2" t="n"/>
      <c r="L1343" s="2" t="inlineStr">
        <is>
          <t>Gynaecologic &amp; GU</t>
        </is>
      </c>
      <c r="M1343" s="2" t="inlineStr">
        <is>
          <t>Clinic</t>
        </is>
      </c>
      <c r="N1343" s="2" t="inlineStr">
        <is>
          <t>ข้อ 15 (PLE_CC1_Practice_Exam.md)</t>
        </is>
      </c>
      <c r="O1343" s="2" t="inlineStr">
        <is>
          <t>Mock</t>
        </is>
      </c>
      <c r="P1343" s="2" t="inlineStr">
        <is>
          <t>Mock สภาเภสัชฯ Practice</t>
        </is>
      </c>
    </row>
    <row r="1344" ht="13.2" customHeight="1" s="37">
      <c r="A1344" s="8" t="inlineStr">
        <is>
          <t>1365</t>
        </is>
      </c>
      <c r="B1344" s="2" t="inlineStr">
        <is>
          <t>ในฐานะที่ท่านเป็นเภสัชกรในร้านยาแห่งนี้ ท่านควรเลือกจ่ายยาใด</t>
        </is>
      </c>
      <c r="C1344" s="2" t="n"/>
      <c r="D1344" s="2" t="inlineStr">
        <is>
          <t>Ibuprofen 2 tab prn q6 hr</t>
        </is>
      </c>
      <c r="E1344" s="2" t="inlineStr">
        <is>
          <t>Meloxicam (7.5) 1 tab q 12 hr</t>
        </is>
      </c>
      <c r="F1344" s="2" t="inlineStr">
        <is>
          <t>Nimesulide 1 tab q 12 hr</t>
        </is>
      </c>
      <c r="G1344" s="2" t="inlineStr">
        <is>
          <t>Naproxen 1 tab prn q 6 hr</t>
        </is>
      </c>
      <c r="H1344" s="2" t="inlineStr">
        <is>
          <t>Celecoxib 2 cap q 12 hr</t>
        </is>
      </c>
      <c r="I1344" s="8" t="inlineStr">
        <is>
          <t>1</t>
        </is>
      </c>
      <c r="J1344" s="2" t="inlineStr">
        <is>
          <t>✅ คำตอบที่ถูกต้อง: ข้อ ก. Ibuprofen 2 tab prn q6 hr
💡 Background:
กฎหมายยาและจรรยาบรรณวิชาชีพมีขึ้นเพื่อคุ้มครองความปลอดภัยของผู้บริโภคตามมาตรฐาน Good Pharmacy Practice (GPP)
🎯 ทำไมข้อนี้ถึงถูก:
Ibuprofen 2 tab prn q6 hr 💡 คำอธิบายและข้อกำหนดทางกฎหมาย:
💡 คำอธิบายและข้อกำหนดทางกฎหมาย:
การเลือก Ibuprofen 2 tab prn q6 hr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(Meloxicam (7.5) 1 tab q 12 hr): เป็น preferential COX-2 inhibitor ขนาดยา 7.5-15 mg OD มี GI safety ดีกว่า non-selective NSAIDs ทั่วไปเล็กน้อย
• ข้อ ค. (Nimesulide 1 tab q 12 hr): ข้อนี้ไม่ใช่คำตอบที่ถูกต้องสำหรับภาวะ Pharmacy Laws &amp; Ethics เนื่องจากกลไกการออกฤทธิ์, efficacy หรือข้อบ่งใช้ไม่ตรงกับโจทย์ที่กำหนด
• ข้อ ง. (Naproxen 1 tab prn q 6 hr): เป็น non-selective NSAID ที่มี cardiovascular safety profile ดีที่สุด และมี efficacy สูงในการระงับ acute inflammation
• ข้อ จ. (Celecoxib 2 cap q 12 hr): เป็น selective COX-2 inhibitor มี GI safety profile ดีกว่า non-selective NSAIDs แต่มี cardiovascular risk เพิ่มขึ้น และ contraindication ในผู้ป่วย post-CABG หรือ sulfonamide allergy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4" s="2" t="n"/>
      <c r="L1344" s="2" t="inlineStr">
        <is>
          <t>Pharmacy Laws &amp; Ethics</t>
        </is>
      </c>
      <c r="M1344" s="2" t="inlineStr">
        <is>
          <t>SAP</t>
        </is>
      </c>
      <c r="N1344" s="2" t="inlineStr">
        <is>
          <t>ข้อ 17 (PLE_CC1_Practice_Exam.md)</t>
        </is>
      </c>
      <c r="O1344" s="2" t="inlineStr">
        <is>
          <t>Mock</t>
        </is>
      </c>
      <c r="P1344" s="2" t="inlineStr">
        <is>
          <t>Mock สภาเภสัชฯ Practice</t>
        </is>
      </c>
    </row>
    <row r="1345" ht="13.2" customHeight="1" s="37">
      <c r="A1345" s="8" t="inlineStr">
        <is>
          <t>1366</t>
        </is>
      </c>
      <c r="B1345" s="2" t="inlineStr">
        <is>
          <t>ผลิตภัณฑ์เสริมอาหารใดที่สามารถป้องกันกลุ่มอาการก่อนมีประจำเดือน</t>
        </is>
      </c>
      <c r="C1345" s="2" t="n"/>
      <c r="D1345" s="2" t="inlineStr">
        <is>
          <t>Grape seed extract</t>
        </is>
      </c>
      <c r="E1345" s="2" t="inlineStr">
        <is>
          <t>Hydroxycitric acid</t>
        </is>
      </c>
      <c r="F1345" s="2" t="inlineStr">
        <is>
          <t>Borage oil</t>
        </is>
      </c>
      <c r="G1345" s="2" t="inlineStr">
        <is>
          <t>Alfalfa</t>
        </is>
      </c>
      <c r="H1345" s="2" t="inlineStr">
        <is>
          <t>Gotu Kola</t>
        </is>
      </c>
      <c r="I1345" s="8" t="inlineStr">
        <is>
          <t>1</t>
        </is>
      </c>
      <c r="J1345" s="2" t="inlineStr">
        <is>
          <t>✅ คำตอบที่ถูกต้อง: ข้อ ก. Grape seed extract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Grape seed extract การเลือก Grape seed extract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(Hydroxycitric acid): ข้อนี้ไม่ใช่คำตอบที่ถูกต้องสำหรับภาวะ General Therapeutics เนื่องจากกลไกการออกฤทธิ์, efficacy หรือข้อบ่งใช้ไม่ตรงกับโจทย์ที่กำหนด
• ข้อ ค. (Borage oil): ข้อนี้ไม่ใช่คำตอบที่ถูกต้องสำหรับภาวะ General Therapeutics เนื่องจากกลไกการออกฤทธิ์, efficacy หรือข้อบ่งใช้ไม่ตรงกับโจทย์ที่กำหนด
• ข้อ ง. (Alfalfa): ข้อนี้ไม่ใช่คำตอบที่ถูกต้องสำหรับภาวะ General Therapeutics เนื่องจากกลไกการออกฤทธิ์, efficacy หรือข้อบ่งใช้ไม่ตรงกับโจทย์ที่กำหนด
• ข้อ จ. (Gotu Kola):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5" s="2" t="n"/>
      <c r="L1345" s="2" t="inlineStr">
        <is>
          <t>General Therapeutics</t>
        </is>
      </c>
      <c r="M1345" s="2" t="inlineStr">
        <is>
          <t>Clinic</t>
        </is>
      </c>
      <c r="N1345" s="2" t="inlineStr">
        <is>
          <t>ข้อ 19 (PLE_CC1_Practice_Exam.md)</t>
        </is>
      </c>
      <c r="O1345" s="2" t="inlineStr">
        <is>
          <t>Mock</t>
        </is>
      </c>
      <c r="P1345" s="2" t="inlineStr">
        <is>
          <t>Mock สภาเภสัชฯ Practice</t>
        </is>
      </c>
    </row>
    <row r="1346" ht="13.2" customHeight="1" s="37">
      <c r="A1346" s="8" t="inlineStr">
        <is>
          <t>1367</t>
        </is>
      </c>
      <c r="B1346" s="2" t="inlineStr">
        <is>
          <t>ยา Ibuprofen ออกฤทธิ์ยับยั้งการสร้างสารใดในร่างกายซึ่งมีผลระงับอาการปวดได้</t>
        </is>
      </c>
      <c r="C1346" s="2" t="n"/>
      <c r="D1346" s="2" t="inlineStr">
        <is>
          <t>Serotonin</t>
        </is>
      </c>
      <c r="E1346" s="2" t="inlineStr">
        <is>
          <t>Prostaglandin</t>
        </is>
      </c>
      <c r="F1346" s="2" t="inlineStr">
        <is>
          <t>Cycloxygenase</t>
        </is>
      </c>
      <c r="G1346" s="2" t="inlineStr">
        <is>
          <t>Leukotriene</t>
        </is>
      </c>
      <c r="H1346" s="2" t="inlineStr">
        <is>
          <t>thromboxane 208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I1346" s="8" t="inlineStr">
        <is>
          <t>1</t>
        </is>
      </c>
      <c r="J1346" s="2" t="inlineStr">
        <is>
          <t>✅ คำตอบที่ถูกต้อง: ข้อ ก. Serotonin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Serotonin การเลือก Serotonin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(Prostaglandin): ข้อนี้ไม่ใช่คำตอบที่ถูกต้องสำหรับภาวะ Musculoskeletal &amp; Joint เนื่องจากกลไกการออกฤทธิ์, efficacy หรือข้อบ่งใช้ไม่ตรงกับโจทย์ที่กำหนด
• ข้อ ค. (Cycloxygenase): ข้อนี้ไม่ใช่คำตอบที่ถูกต้องสำหรับภาวะ Musculoskeletal &amp; Joint เนื่องจากกลไกการออกฤทธิ์, efficacy หรือข้อบ่งใช้ไม่ตรงกับโจทย์ที่กำหนด
• ข้อ ง. (Leukotriene): ข้อนี้ไม่ใช่คำตอบที่ถูกต้องสำหรับภาวะ Musculoskeletal &amp; Joint เนื่องจากกลไกการออกฤทธิ์, efficacy หรือข้อบ่งใช้ไม่ตรงกับโจทย์ที่กำหนด
• ข้อ จ. (thromboxane 208 โรคทางนรีเวชวิทยา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346" s="2" t="n"/>
      <c r="L1346" s="2" t="inlineStr">
        <is>
          <t>Musculoskeletal &amp; Joint</t>
        </is>
      </c>
      <c r="M1346" s="2" t="inlineStr">
        <is>
          <t>Clinic</t>
        </is>
      </c>
      <c r="N1346" s="2" t="inlineStr">
        <is>
          <t>ข้อ 23 (PLE_CC1_Practice_Exam.md)</t>
        </is>
      </c>
      <c r="O1346" s="2" t="inlineStr">
        <is>
          <t>Mock</t>
        </is>
      </c>
      <c r="P1346" s="2" t="inlineStr">
        <is>
          <t>Mock สภาเภสัชฯ Practice</t>
        </is>
      </c>
    </row>
    <row r="1347" ht="13.2" customHeight="1" s="37">
      <c r="A1347" s="8" t="inlineStr">
        <is>
          <t>1368</t>
        </is>
      </c>
      <c r="B1347" s="2" t="inlineStr">
        <is>
          <t>ข้อใดถูกเกี่ยวกับยา POSTINORห</t>
        </is>
      </c>
      <c r="C1347" s="2" t="n"/>
      <c r="D1347" s="2" t="inlineStr">
        <is>
          <t>ประกอบด้วย Desogestrel 0.75 mg</t>
        </is>
      </c>
      <c r="E1347" s="2" t="inlineStr">
        <is>
          <t>ประกอบด้วย Levonorgestrel 0.75 mg</t>
        </is>
      </c>
      <c r="F1347" s="2" t="inlineStr">
        <is>
          <t>มี Side Effect คือ คลื่นไส้อาเจียน</t>
        </is>
      </c>
      <c r="G1347" s="2" t="inlineStr">
        <is>
          <t>ข้อ ก. และ ค. ถูก</t>
        </is>
      </c>
      <c r="H1347" s="2" t="inlineStr">
        <is>
          <t>ข้อ ข. และ ค. ถูก</t>
        </is>
      </c>
      <c r="I1347" s="8" t="inlineStr">
        <is>
          <t>1</t>
        </is>
      </c>
      <c r="J1347" s="2" t="inlineStr">
        <is>
          <t>✅ คำตอบที่ถูกต้อง: ข้อ ก. ประกอบด้วย Desogestrel 0.75 mg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ประกอบด้วย Desogestrel 0.75 mg การเลือก ประกอบด้วย Desogestrel 0.75 mg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(ประกอบด้วย Levonorgestrel 0.75 mg): ข้อนี้ไม่ใช่คำตอบที่ถูกต้องสำหรับภาวะ General Therapeutics เนื่องจากกลไกการออกฤทธิ์, efficacy หรือข้อบ่งใช้ไม่ตรงกับโจทย์ที่กำหนด
• ข้อ ค. (มี Side Effect คือ คลื่นไส้อาเจียน): ข้อนี้ไม่ใช่คำตอบที่ถูกต้องสำหรับภาวะ General Therapeutics เนื่องจากกลไกการออกฤทธิ์, efficacy หรือข้อบ่งใช้ไม่ตรงกับโจทย์ที่กำหนด
• ข้อ ง. (ข้อ ก. และ ค. ถูก): ข้อนี้ไม่ใช่คำตอบที่ถูกต้องสำหรับภาวะ General Therapeutics เนื่องจากกลไกการออกฤทธิ์, efficacy หรือข้อบ่งใช้ไม่ตรงกับโจทย์ที่กำหนด
• ข้อ จ. (ข้อ ข. และ ค. ถูก):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7" s="2" t="n"/>
      <c r="L1347" s="2" t="inlineStr">
        <is>
          <t>General Therapeutics</t>
        </is>
      </c>
      <c r="M1347" s="2" t="inlineStr">
        <is>
          <t>Clinic</t>
        </is>
      </c>
      <c r="N1347" s="2" t="inlineStr">
        <is>
          <t>ข้อ 28 (PLE_CC1_Practice_Exam.md)</t>
        </is>
      </c>
      <c r="O1347" s="2" t="inlineStr">
        <is>
          <t>Mock</t>
        </is>
      </c>
      <c r="P1347" s="2" t="inlineStr">
        <is>
          <t>Mock สภาเภสัชฯ Practice</t>
        </is>
      </c>
    </row>
    <row r="1348" ht="13.2" customHeight="1" s="37">
      <c r="A1348" s="8" t="inlineStr">
        <is>
          <t>1369</t>
        </is>
      </c>
      <c r="B1348" s="2" t="inlineStr">
        <is>
          <t>ข้อใดต่อไปนี้เกี่ยวข้องกับ POPs</t>
        </is>
      </c>
      <c r="C1348" s="2" t="n"/>
      <c r="D1348" s="2" t="inlineStr">
        <is>
          <t>Naloxone 0.4 mg IV stat</t>
        </is>
      </c>
      <c r="E1348" s="2" t="inlineStr">
        <is>
          <t>Flumazenil 0.2 mg IV stat</t>
        </is>
      </c>
      <c r="F1348" s="2" t="inlineStr">
        <is>
          <t>Vitamin K1 (Phytomenadione) 10 mg IV slow</t>
        </is>
      </c>
      <c r="G1348" s="2" t="inlineStr">
        <is>
          <t>ไม่มีคำตอบ</t>
        </is>
      </c>
      <c r="H1348" s="2" t="inlineStr">
        <is>
          <t>กรณีศึกษา hormonal replacement therapy สำหรับข้อ 31-35 ผู้ป่วยหญิงไทย อายุ 52 ป๊ มาพบแพทย์ที่คลินิกวัยทองเนื่องจากมีอาการร้อนวูบวาบ จากการซักประวัติพบว่า อารมณ์หงุดหงิดง่าย นอนไม่หลับ ผลการตรวจวิเคราะห์มวลกระดูกมีค่า T-score = - 2.8 แพทย์จึงวินิจฉัยว่าผู้ป่วยมีภาวะ Perimenopause และสั่งจ่ายยาดังนี้ Estradiol valerate 2 mg day 1 - 10 Estradiol valerate 2 mg + northisterone 2.5 mg day 11 – 21</t>
        </is>
      </c>
      <c r="I1348" s="8" t="inlineStr">
        <is>
          <t>1</t>
        </is>
      </c>
      <c r="J13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ผู้ป่วยเริ่มมีประจำเดือนขาด ๆ หาย ๆ โดยมาครั้งล่าสุดเมื่อ 2 เดือนที่ผ่านมา ร่วมกับมีอาการคันช่องคลอด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(ไม่มีคำตอบ): ข้อนี้ไม่ใช่คำตอบที่ถูกต้องสำหรับภาวะ General Therapeutics เนื่องจากกลไกการออกฤทธิ์, efficacy หรือข้อบ่งใช้ไม่ตรงกับโจทย์ที่กำหนด
• ข้อ จ. (กรณีศึกษา hormonal replacement therapy สำหรับข้อ 31-35 ผู้ป่วยหญิงไทย อายุ 52 ป๊ มาพบแพทย์ที่คลินิกวัยทองเนื่องจากมีอาการร้อนวูบวาบ จากการซักประวัติพบว่า อารมณ์หงุดหงิดง่าย นอนไม่หลับ ผลการตรวจวิเคราะห์มวลกระดูกมีค่า T-score = - 2.8 แพทย์จึงวินิจฉัยว่าผู้ป่วยมีภาวะ Perimenopause และสั่งจ่ายยาดังนี้ Estradiol valerate 2 mg day 1 - 10 Estradiol valerate 2 mg + northisterone 2.5 mg day 11 – 21):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48" s="2" t="n"/>
      <c r="L1348" s="2" t="inlineStr">
        <is>
          <t>General Therapeutics</t>
        </is>
      </c>
      <c r="M1348" s="2" t="inlineStr">
        <is>
          <t>Clinic</t>
        </is>
      </c>
      <c r="N1348" s="2" t="inlineStr">
        <is>
          <t>ข้อ 30 (PLE_CC1_Practice_Exam.md)</t>
        </is>
      </c>
      <c r="O1348" s="2" t="inlineStr">
        <is>
          <t>Mock</t>
        </is>
      </c>
      <c r="P1348" s="2" t="inlineStr">
        <is>
          <t>Mock สภาเภสัชฯ Practice</t>
        </is>
      </c>
    </row>
    <row r="1349" ht="13.2" customHeight="1" s="37">
      <c r="A1349" s="8" t="inlineStr">
        <is>
          <t>1370</t>
        </is>
      </c>
      <c r="B1349" s="2" t="inlineStr">
        <is>
          <t>การรักษาผู้ป่วยรายนี้ด้วย Hormone replacement เพื่อหวังผลลดอาการในข้อใดมากที่สุด</t>
        </is>
      </c>
      <c r="C1349" s="2" t="n"/>
      <c r="D1349" s="2" t="inlineStr">
        <is>
          <t>อาการร้อนวูบวาบ</t>
        </is>
      </c>
      <c r="E1349" s="2" t="inlineStr">
        <is>
          <t>อาการคันช่องคลอด</t>
        </is>
      </c>
      <c r="F1349" s="2" t="inlineStr">
        <is>
          <t>อาการนอนไม่หลับตอนกลางคืน</t>
        </is>
      </c>
      <c r="G1349" s="2" t="inlineStr">
        <is>
          <t>อารมณ์หงุดหงิด</t>
        </is>
      </c>
      <c r="H1349" s="2" t="inlineStr">
        <is>
          <t>ป้องกันภาวะกระดูกพรุน</t>
        </is>
      </c>
      <c r="I1349" s="8" t="inlineStr">
        <is>
          <t>1</t>
        </is>
      </c>
      <c r="J1349" s="2" t="inlineStr">
        <is>
          <t>✅ คำตอบที่ถูกต้อง: ข้อ ก. อาการร้อนวูบวาบ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อาการร้อนวูบวาบ การเลือก อาการร้อนวูบวาบ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(อาการคันช่องคลอด): ข้อนี้ไม่ใช่คำตอบที่ถูกต้องสำหรับภาวะ General Therapeutics เนื่องจากกลไกการออกฤทธิ์, efficacy หรือข้อบ่งใช้ไม่ตรงกับโจทย์ที่กำหนด
• ข้อ ค. (อาการนอนไม่หลับตอนกลางคืน): ข้อนี้ไม่ใช่คำตอบที่ถูกต้องสำหรับภาวะ General Therapeutics เนื่องจากกลไกการออกฤทธิ์, efficacy หรือข้อบ่งใช้ไม่ตรงกับโจทย์ที่กำหนด
• ข้อ ง. (อารมณ์หงุดหงิด): ข้อนี้ไม่ใช่คำตอบที่ถูกต้องสำหรับภาวะ General Therapeutics เนื่องจากกลไกการออกฤทธิ์, efficacy หรือข้อบ่งใช้ไม่ตรงกับโจทย์ที่กำหนด
• ข้อ จ. (ป้องกันภาวะกระดูกพรุน):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9" s="2" t="n"/>
      <c r="L1349" s="2" t="inlineStr">
        <is>
          <t>General Therapeutics</t>
        </is>
      </c>
      <c r="M1349" s="2" t="inlineStr">
        <is>
          <t>Clinic</t>
        </is>
      </c>
      <c r="N1349" s="2" t="inlineStr">
        <is>
          <t>ข้อ 32 (PLE_CC1_Practice_Exam.md)</t>
        </is>
      </c>
      <c r="O1349" s="2" t="inlineStr">
        <is>
          <t>Mock</t>
        </is>
      </c>
      <c r="P1349" s="2" t="inlineStr">
        <is>
          <t>Mock สภาเภสัชฯ Practice</t>
        </is>
      </c>
    </row>
    <row r="1350" ht="13.2" customHeight="1" s="37">
      <c r="A1350" s="8" t="inlineStr">
        <is>
          <t>1371</t>
        </is>
      </c>
      <c r="B1350" s="2" t="inlineStr">
        <is>
          <t>บทบาทของ Norethisterone acetate สำหรับผู้ป่วยรายนี้คือข้อใด</t>
        </is>
      </c>
      <c r="C1350" s="2" t="n"/>
      <c r="D1350" s="2" t="inlineStr">
        <is>
          <t>ป้องกันอาการร้อนวูบวาบ</t>
        </is>
      </c>
      <c r="E1350" s="2" t="inlineStr">
        <is>
          <t>ป้องกันมะเร็งเต้านม</t>
        </is>
      </c>
      <c r="F1350" s="2" t="inlineStr">
        <is>
          <t>ป้องกันมะเร็งเยื่อบุโพรงมดลูก</t>
        </is>
      </c>
      <c r="G1350" s="2" t="inlineStr">
        <is>
          <t>ลดอาการคันช่องคลอด</t>
        </is>
      </c>
      <c r="H1350" s="2" t="inlineStr">
        <is>
          <t>ลดความเสี่ยงของภาวะกระดูกพรุน</t>
        </is>
      </c>
      <c r="I1350" s="8" t="inlineStr">
        <is>
          <t>1</t>
        </is>
      </c>
      <c r="J1350" s="2" t="inlineStr">
        <is>
          <t>✅ คำตอบที่ถูกต้อง: ข้อ ก. ป้องกันอาการร้อนวูบวาบ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ป้องกันอาการร้อนวูบวาบ การเลือก ป้องกันอาการร้อนวูบวาบ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(ป้องกันมะเร็งเต้านม): ข้อนี้ไม่ใช่คำตอบที่ถูกต้องสำหรับภาวะ General Therapeutics เนื่องจากกลไกการออกฤทธิ์, efficacy หรือข้อบ่งใช้ไม่ตรงกับโจทย์ที่กำหนด
• ข้อ ค. (ป้องกันมะเร็งเยื่อบุโพรงมดลูก): ข้อนี้ไม่ใช่คำตอบที่ถูกต้องสำหรับภาวะ General Therapeutics เนื่องจากกลไกการออกฤทธิ์, efficacy หรือข้อบ่งใช้ไม่ตรงกับโจทย์ที่กำหนด
• ข้อ ง. (ลดอาการคันช่องคลอด): ข้อนี้ไม่ใช่คำตอบที่ถูกต้องสำหรับภาวะ General Therapeutics เนื่องจากกลไกการออกฤทธิ์, efficacy หรือข้อบ่งใช้ไม่ตรงกับโจทย์ที่กำหนด
• ข้อ จ. (ลดความเสี่ยงของภาวะกระดูกพรุน):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0" s="2" t="n"/>
      <c r="L1350" s="2" t="inlineStr">
        <is>
          <t>General Therapeutics</t>
        </is>
      </c>
      <c r="M1350" s="2" t="inlineStr">
        <is>
          <t>Clinic</t>
        </is>
      </c>
      <c r="N1350" s="2" t="inlineStr">
        <is>
          <t>ข้อ 33 (PLE_CC1_Practice_Exam.md)</t>
        </is>
      </c>
      <c r="O1350" s="2" t="inlineStr">
        <is>
          <t>Mock</t>
        </is>
      </c>
      <c r="P1350" s="2" t="inlineStr">
        <is>
          <t>Mock สภาเภสัชฯ Practice</t>
        </is>
      </c>
    </row>
    <row r="1351" ht="13.2" customHeight="1" s="37">
      <c r="A1351" s="8" t="inlineStr">
        <is>
          <t>1372</t>
        </is>
      </c>
      <c r="B1351" s="2" t="inlineStr">
        <is>
          <t>หมู่ฟังก์ชันใดบนโครงสร้างของ prednisolone ที่ไม่จำเป็นต่อการจับกับ Glucocorticoid receptor</t>
        </is>
      </c>
      <c r="C1351" s="2" t="n"/>
      <c r="D1351" s="2" t="inlineStr">
        <is>
          <t>Double bond ตำแหน่งที่ 4-5</t>
        </is>
      </c>
      <c r="E1351" s="2" t="inlineStr">
        <is>
          <t>17-alpha hydroxyl</t>
        </is>
      </c>
      <c r="F1351" s="2" t="inlineStr">
        <is>
          <t>3-carbonyl</t>
        </is>
      </c>
      <c r="G1351" s="2" t="inlineStr">
        <is>
          <t>oxygen atom ตำแหน่งที่ 11</t>
        </is>
      </c>
      <c r="H1351" s="2" t="inlineStr">
        <is>
          <t>17-beta keto side chain</t>
        </is>
      </c>
      <c r="I1351" s="8" t="inlineStr">
        <is>
          <t>1</t>
        </is>
      </c>
      <c r="J1351" s="2" t="inlineStr">
        <is>
          <t>✅ คำตอบที่ถูกต้อง: ข้อ ก. Double bond ตำแหน่งที่ 4-5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Double bond ตำแหน่งที่ 4-5 การเลือก Double bond ตำแหน่งที่ 4-5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ข. (17-alpha hydroxyl): ข้อนี้ไม่ใช่คำตอบที่ถูกต้องสำหรับภาวะ Allergy &amp; Immunology เนื่องจากกลไกการออกฤทธิ์, efficacy หรือข้อบ่งใช้ไม่ตรงกับโจทย์ที่กำหนด
• ข้อ ค. (3-carbonyl): ข้อนี้ไม่ใช่คำตอบที่ถูกต้องสำหรับภาวะ Allergy &amp; Immunology เนื่องจากกลไกการออกฤทธิ์, efficacy หรือข้อบ่งใช้ไม่ตรงกับโจทย์ที่กำหนด
• ข้อ ง. (oxygen atom ตำแหน่งที่ 11): ข้อนี้ไม่ใช่คำตอบที่ถูกต้องสำหรับภาวะ Allergy &amp; Immunology เนื่องจากกลไกการออกฤทธิ์, efficacy หรือข้อบ่งใช้ไม่ตรงกับโจทย์ที่กำหนด
• ข้อ จ. (17-beta keto side chain):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351" s="2" t="n"/>
      <c r="L1351" s="2" t="inlineStr">
        <is>
          <t>Allergy &amp; Immunology</t>
        </is>
      </c>
      <c r="M1351" s="2" t="inlineStr">
        <is>
          <t>Clinic</t>
        </is>
      </c>
      <c r="N1351" s="2" t="inlineStr">
        <is>
          <t>ข้อ 16 (PLE_CC1_Practice_Exam.md)</t>
        </is>
      </c>
      <c r="O1351" s="2" t="inlineStr">
        <is>
          <t>Mock</t>
        </is>
      </c>
      <c r="P1351" s="2" t="inlineStr">
        <is>
          <t>Mock สภาเภสัชฯ Practice</t>
        </is>
      </c>
    </row>
    <row r="1352" ht="13.2" customHeight="1" s="37">
      <c r="A1352" s="8" t="inlineStr">
        <is>
          <t>1373</t>
        </is>
      </c>
      <c r="B1352" s="2" t="inlineStr">
        <is>
          <t>ยาตัวใดจัดอยู่ในกลุ่ม H1 antagonists ที่เป็น zwitterion</t>
        </is>
      </c>
      <c r="C1352" s="2" t="n"/>
      <c r="D1352" s="2" t="inlineStr">
        <is>
          <t>Naloxone 0.4 mg IV stat</t>
        </is>
      </c>
      <c r="E1352" s="2" t="inlineStr">
        <is>
          <t>Flumazenil 0.2 mg IV stat</t>
        </is>
      </c>
      <c r="F1352" s="2" t="inlineStr">
        <is>
          <t>Vitamin K1 (Phytomenadione) 10 mg IV slow</t>
        </is>
      </c>
      <c r="G1352" s="2" t="inlineStr">
        <is>
          <t>Sodium thiosulfate 25% 50 mL IV</t>
        </is>
      </c>
      <c r="H1352" s="2" t="inlineStr">
        <is>
          <t>Calcium disodium EDTA 1 g IV</t>
        </is>
      </c>
      <c r="I1352" s="8" t="inlineStr">
        <is>
          <t>1</t>
        </is>
      </c>
      <c r="J13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52" s="2" t="n"/>
      <c r="L1352" s="2" t="inlineStr">
        <is>
          <t>General Therapeutics</t>
        </is>
      </c>
      <c r="M1352" s="2" t="inlineStr">
        <is>
          <t>Clinic</t>
        </is>
      </c>
      <c r="N1352" s="2" t="inlineStr">
        <is>
          <t>ข้อ 19 (PLE_CC1_Practice_Exam.md)</t>
        </is>
      </c>
      <c r="O1352" s="2" t="inlineStr">
        <is>
          <t>Mock</t>
        </is>
      </c>
      <c r="P1352" s="2" t="inlineStr">
        <is>
          <t>Mock สภาเภสัชฯ Practice</t>
        </is>
      </c>
    </row>
    <row r="1353" ht="13.2" customHeight="1" s="37">
      <c r="A1353" s="8" t="inlineStr">
        <is>
          <t>1374</t>
        </is>
      </c>
      <c r="B1353" s="2" t="inlineStr">
        <is>
          <t>โครงสร้างรูป A และ B เท่านั้นที่สามารถเกิด zwitter ion ได้</t>
        </is>
      </c>
      <c r="C1353" s="2" t="n"/>
      <c r="D1353" s="2" t="inlineStr">
        <is>
          <t>Sodium thiosulfate 25% 50 mL IV</t>
        </is>
      </c>
      <c r="E1353" s="2" t="inlineStr">
        <is>
          <t>Calcium disodium EDTA 1 g IV</t>
        </is>
      </c>
      <c r="F1353" s="2" t="inlineStr">
        <is>
          <t>Desferrioxamine 1 g IM/IV</t>
        </is>
      </c>
      <c r="G1353" s="2" t="inlineStr">
        <is>
          <t>Dimercaprol (BAL) 3 mg/kg IM</t>
        </is>
      </c>
      <c r="H1353" s="2" t="inlineStr">
        <is>
          <t>Ethanol 10% IV infusion for Methanol poisoning</t>
        </is>
      </c>
      <c r="I1353" s="8" t="inlineStr">
        <is>
          <t>1</t>
        </is>
      </c>
      <c r="J13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3" s="2" t="n"/>
      <c r="L1353" s="2" t="inlineStr">
        <is>
          <t>General Therapeutics</t>
        </is>
      </c>
      <c r="M1353" s="2" t="inlineStr">
        <is>
          <t>Clinic</t>
        </is>
      </c>
      <c r="N1353" s="2" t="inlineStr">
        <is>
          <t>ข้อ 1 (PLE_CC1_Practice_Exam.md)</t>
        </is>
      </c>
      <c r="O1353" s="2" t="inlineStr">
        <is>
          <t>Mock</t>
        </is>
      </c>
      <c r="P1353" s="2" t="inlineStr">
        <is>
          <t>Mock สภาเภสัชฯ Practice</t>
        </is>
      </c>
    </row>
    <row r="1354" ht="13.2" customHeight="1" s="37">
      <c r="A1354" s="8" t="inlineStr">
        <is>
          <t>1375</t>
        </is>
      </c>
      <c r="B1354" s="2" t="inlineStr">
        <is>
          <t>โครงสร้างรูป C เป็น product ของยาโครงสร้าง D</t>
        </is>
      </c>
      <c r="C1354" s="2" t="n"/>
      <c r="D1354" s="2" t="inlineStr">
        <is>
          <t>Dimercaprol (BAL) 3 mg/kg IM</t>
        </is>
      </c>
      <c r="E1354" s="2" t="inlineStr">
        <is>
          <t>Ethanol 10% IV infusion for Methanol poisoning</t>
        </is>
      </c>
      <c r="F1354" s="2" t="inlineStr">
        <is>
          <t>Fomepizole 15 mg/kg IV loading</t>
        </is>
      </c>
      <c r="G1354" s="2" t="inlineStr">
        <is>
          <t>N-acetylcysteine (NAC) IV infusion protocol</t>
        </is>
      </c>
      <c r="H1354" s="2" t="inlineStr">
        <is>
          <t>Atropine sulfate 2 mg IV Q5-10 min</t>
        </is>
      </c>
      <c r="I1354" s="8" t="inlineStr">
        <is>
          <t>1</t>
        </is>
      </c>
      <c r="J13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4" s="2" t="n"/>
      <c r="L1354" s="2" t="inlineStr">
        <is>
          <t>General Therapeutics</t>
        </is>
      </c>
      <c r="M1354" s="2" t="inlineStr">
        <is>
          <t>Clinic</t>
        </is>
      </c>
      <c r="N1354" s="2" t="inlineStr">
        <is>
          <t>ข้อ 2 (PLE_CC1_Practice_Exam.md)</t>
        </is>
      </c>
      <c r="O1354" s="2" t="inlineStr">
        <is>
          <t>Mock</t>
        </is>
      </c>
      <c r="P1354" s="2" t="inlineStr">
        <is>
          <t>Mock สภาเภสัชฯ Practice</t>
        </is>
      </c>
    </row>
    <row r="1355" ht="13.2" customHeight="1" s="37">
      <c r="A1355" s="8" t="inlineStr">
        <is>
          <t>1376</t>
        </is>
      </c>
      <c r="B1355" s="2" t="inlineStr">
        <is>
          <t>หากท่านเป็นเภสัชกรประจำศูนย์ Drug information service แพทย์โทรศัพท์มาปรึกษาว่า มีผู้ป่วยแพ้ยา ที่มีโครงสร้างดังรูป และต้องการทราบว่ายาตัวใดสามารถเกิด Cross Hypersensitivity แบบ Non Type I กับยาดังกล่าว 229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C1355" s="2" t="n"/>
      <c r="D1355" s="2" t="inlineStr">
        <is>
          <t>Cetirizine 10 mg OD</t>
        </is>
      </c>
      <c r="E1355" s="2" t="inlineStr">
        <is>
          <t>Loratadine 10 mg OD</t>
        </is>
      </c>
      <c r="F1355" s="2" t="inlineStr">
        <is>
          <t>Fexofenadine 180 mg OD</t>
        </is>
      </c>
      <c r="G1355" s="2" t="inlineStr">
        <is>
          <t>Chlorpheniramine 4 mg TID</t>
        </is>
      </c>
      <c r="H1355" s="2" t="inlineStr">
        <is>
          <t>Fluticasone furoate nasal spray</t>
        </is>
      </c>
      <c r="I1355" s="8" t="inlineStr">
        <is>
          <t>1</t>
        </is>
      </c>
      <c r="J1355"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23.ผู้ป่วย ก. มีความจำเป็นต้องได้รับยาฆ่าเชื้อแบคทีเรีย และมีประวัติได้รับบัตรแพ้ยากลุ่ม Penicillins ชื่อยา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5" s="2" t="n"/>
      <c r="L1355" s="2" t="inlineStr">
        <is>
          <t>Allergy &amp; Immunology</t>
        </is>
      </c>
      <c r="M1355" s="2" t="inlineStr">
        <is>
          <t>Clinic</t>
        </is>
      </c>
      <c r="N1355" s="2" t="inlineStr">
        <is>
          <t>ข้อ 21 (PLE_CC1_Practice_Exam.md)</t>
        </is>
      </c>
      <c r="O1355" s="2" t="inlineStr">
        <is>
          <t>Mock</t>
        </is>
      </c>
      <c r="P1355" s="2" t="inlineStr">
        <is>
          <t>Mock สภาเภสัชฯ Practice</t>
        </is>
      </c>
    </row>
    <row r="1356" ht="13.2" customHeight="1" s="37">
      <c r="A1356" s="8" t="inlineStr">
        <is>
          <t>1377</t>
        </is>
      </c>
      <c r="B1356" s="2" t="inlineStr">
        <is>
          <t>หญิงไทยอายุ 20 ปี อาชีพนักศึกษา มาร้านยาด้วยอาการน้ำมูกไหล จาม คัดจมูก มีอาการ3ครั้งต่อสัปดาห์ เนื่องจากหอพักอยู่ติดกับบริเวณที่มีการซ่อมถนน ฝุ่นเยอะ ช่วงนี้เป็นช่วงสอบจึงไม่อยากทานยาที่ทำให้ง่วง ก่อนหน้านี้ยังไม่ได้รับการรักษา ไม่มีโรคประจำตัว ปฏิเสธการแพ้ยา หากทานเป็นเภสัชกรจะเลือกจ่ายยาใด</t>
        </is>
      </c>
      <c r="C1356" s="2" t="n"/>
      <c r="D1356" s="2" t="inlineStr">
        <is>
          <t>Dimenhydrinate</t>
        </is>
      </c>
      <c r="E1356" s="2" t="inlineStr">
        <is>
          <t>Chlorpeniramine</t>
        </is>
      </c>
      <c r="F1356" s="2" t="inlineStr">
        <is>
          <t>Intranasal budesonide</t>
        </is>
      </c>
      <c r="G1356" s="2" t="inlineStr">
        <is>
          <t>Terfenadine</t>
        </is>
      </c>
      <c r="H1356" s="2" t="inlineStr">
        <is>
          <t>Fexofenidine 233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I1356" s="8" t="inlineStr">
        <is>
          <t>1</t>
        </is>
      </c>
      <c r="J1356" s="2" t="inlineStr">
        <is>
          <t>✅ คำตอบที่ถูกต้อง: ข้อ ก. Dimenhydrinate
💡 Background:
กฎหมายยาและจรรยาบรรณวิชาชีพมีขึ้นเพื่อคุ้มครองความปลอดภัยของผู้บริโภคตามมาตรฐาน Good Pharmacy Practice (GPP)
🎯 ทำไมข้อนี้ถึงถูก:
Dimenhydrinate 💡 คำอธิบายและข้อกำหนดทางกฎหมาย:
💡 คำอธิบายและข้อกำหนดทางกฎหมาย:
การเลือก Dimenhydrinate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(Chlorpeniramine): ข้อนี้ไม่ใช่คำตอบที่ถูกต้องสำหรับภาวะ Pharmacy Laws &amp; Ethics เนื่องจากกลไกการออกฤทธิ์, efficacy หรือข้อบ่งใช้ไม่ตรงกับโจทย์ที่กำหนด
• ข้อ ค. (Intranasal budesonide):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ง. (Terfenadine): ข้อนี้ไม่ใช่คำตอบที่ถูกต้องสำหรับภาวะ Pharmacy Laws &amp; Ethics เนื่องจากกลไกการออกฤทธิ์, efficacy หรือข้อบ่งใช้ไม่ตรงกับโจทย์ที่กำหนด
• ข้อ จ. (Fexofenidine 233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6" s="2" t="n"/>
      <c r="L1356" s="2" t="inlineStr">
        <is>
          <t>Pharmacy Laws &amp; Ethics</t>
        </is>
      </c>
      <c r="M1356" s="2" t="inlineStr">
        <is>
          <t>SAP</t>
        </is>
      </c>
      <c r="N1356" s="2" t="inlineStr">
        <is>
          <t>ข้อ 26 (PLE_CC1_Practice_Exam.md)</t>
        </is>
      </c>
      <c r="O1356" s="2" t="inlineStr">
        <is>
          <t>Mock</t>
        </is>
      </c>
      <c r="P1356" s="2" t="inlineStr">
        <is>
          <t>Mock สภาเภสัชฯ Practice</t>
        </is>
      </c>
    </row>
    <row r="1357" ht="13.2" customHeight="1" s="37">
      <c r="A1357" s="8" t="inlineStr">
        <is>
          <t>1378</t>
        </is>
      </c>
      <c r="B1357" s="2" t="inlineStr">
        <is>
          <t>ผู้ป่วยเด็กอายุ 3 ปี ผู้ปกครองนำมาร้านยาด้วยอาการ น้ำมูกไหล จาม มีรอยคล้ำใต้ตา คัดจมูกมากจน รบกวนการนอน รับประทานอาหารน้อยลง เป็นเวลา 2 วัน จากการซักประวัติพบว่า 4 วันก่อนได้มีการปลูก ต้นไม้ใหม่ในบริเวณสวนหน้าบ้าน และทุกวันจะพบเกสรดอกไม้ถูกพัดเข้ามาภายในบ้าน โดยที่บริเวณบ้านไม่มี การก่อสร้าง และไม่มีการเลี้ยงสัตว์เลี้ยง ถ้าท่านเป็นเภสัชกรประจำร้านยา ท่านมีวิธีจัดการอย่างไรจึงเหมาะสม ที่สุด</t>
        </is>
      </c>
      <c r="C1357" s="2" t="n"/>
      <c r="D1357" s="2" t="inlineStr">
        <is>
          <t>จ่ายยา Cetirizine hydrochloride</t>
        </is>
      </c>
      <c r="E1357" s="2" t="inlineStr">
        <is>
          <t>จ่ายยา Fluticasone furaote spray</t>
        </is>
      </c>
      <c r="F1357" s="2" t="inlineStr">
        <is>
          <t>จ่ายยา Chlorpheniramine maleate</t>
        </is>
      </c>
      <c r="G1357" s="2" t="inlineStr">
        <is>
          <t>จ่ายยา Loratadine</t>
        </is>
      </c>
      <c r="H1357" s="2" t="inlineStr">
        <is>
          <t>จ่ายยา Azelastine hydrochloride</t>
        </is>
      </c>
      <c r="I1357" s="8" t="inlineStr">
        <is>
          <t>1</t>
        </is>
      </c>
      <c r="J1357" s="2" t="inlineStr">
        <is>
          <t>✅ คำตอบที่ถูกต้อง: ข้อ ก. จ่ายยา Cetirizine hydrochloride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จ่ายยา Cetirizine hydrochloride 💡 คำอธิบายและข้อกำหนดทางกฎหมาย:
💡 คำอธิบายและข้อกำหนดทางกฎหมาย:
การเลือก จ่ายยา Cetirizine hydrochloride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(จ่ายยา Fluticasone furaote spray): เป็น potent ICS มี high topical potency และ systemic bioavailability ต่ำ ใช้เป็น maintenance anti-inflammatory controller ใน moderate-to-severe asthma และ COPD with high eosinophils
• ข้อ ค. (จ่ายยา Chlorpheniramine maleate): เป็น 1st generation H1-antihistamine มี anticholinergic ADRs เด่น (ง่วงซึม ปากแห้ง ตาพร่า ปัสสาวะคั่ง ท้องผูก) ควรหลีกเลี่ยงในผู้สูงอายุตาม Beers Criteria
• ข้อ ง. (จ่ายยา Loratadine): ข้อนี้ไม่ใช่คำตอบที่ถูกต้องสำหรับภาวะ Pharmacy Laws &amp; Ethics เนื่องจากกลไกการออกฤทธิ์, efficacy หรือข้อบ่งใช้ไม่ตรงกับโจทย์ที่กำหนด
• ข้อ จ. (จ่ายยา Azelastine hydrochloride):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7" s="2" t="n"/>
      <c r="L1357" s="2" t="inlineStr">
        <is>
          <t>Pharmacy Laws &amp; Ethics</t>
        </is>
      </c>
      <c r="M1357" s="2" t="inlineStr">
        <is>
          <t>SAP</t>
        </is>
      </c>
      <c r="N1357" s="2" t="inlineStr">
        <is>
          <t>ข้อ 28 (PLE_CC1_Practice_Exam.md)</t>
        </is>
      </c>
      <c r="O1357" s="2" t="inlineStr">
        <is>
          <t>Mock</t>
        </is>
      </c>
      <c r="P1357" s="2" t="inlineStr">
        <is>
          <t>Mock สภาเภสัชฯ Practice</t>
        </is>
      </c>
    </row>
    <row r="1358" ht="13.2" customHeight="1" s="37">
      <c r="A1358" s="8" t="inlineStr">
        <is>
          <t>1379</t>
        </is>
      </c>
      <c r="B1358" s="2" t="inlineStr">
        <is>
          <t>เปรมชัย มาร้านยา เพื่อขอซื้อยาบรรเทาอาการหนังตาบวม ไม่มีอาการคัน เมื่อซักประวัติพบว่า มักซื้อ ส้มตำปลาร้าดิบ มารับประทานเป็นประจำ หนึ่งสัปดาห์ก่อน หกล้มจึงไปซื้อยาแก้ปวด Ibuprofen มา รับประทาน ถ้าท่านเป็นเภสัชกรประจำร้านจะจัดการกับปัญหานี้อย่างไร</t>
        </is>
      </c>
      <c r="C1358" s="2" t="n"/>
      <c r="D1358" s="2" t="inlineStr">
        <is>
          <t>จ่ายยา Albendazole วันละ 400 มิลลิกรัม วันละ 2 ครั้งเช้าเย็น ติดต่อกันนาน 21 วัน</t>
        </is>
      </c>
      <c r="E1358" s="2" t="inlineStr">
        <is>
          <t>จ่ายยา Mebendazole 100 มิลลิกรัมวันละ 2 ครั้งเช้าเย็น ติดต่อกันนาน 3 วัน</t>
        </is>
      </c>
      <c r="F1358" s="2" t="inlineStr">
        <is>
          <t>ให้ผู้ป่วยหยุดยาแก้ปวด เนื่องจากคาดว่าเกิดจากการแพ้ยา และแนะนำให้ไปพบแพทย์</t>
        </is>
      </c>
      <c r="G1358" s="2" t="inlineStr">
        <is>
          <t>จ่ายยา chlorpheniramine 4 มิลลิกรัม รับประทานวันละ 1 เม็ดก่อนนอน</t>
        </is>
      </c>
      <c r="H1358" s="2" t="inlineStr">
        <is>
          <t>จ่ายยา 0.5%Prednisolone ทาบริเวณที่ตาบวม</t>
        </is>
      </c>
      <c r="I1358" s="8" t="inlineStr">
        <is>
          <t>1</t>
        </is>
      </c>
      <c r="J1358" s="2" t="inlineStr">
        <is>
          <t>✅ คำตอบที่ถูกต้อง: ข้อ ก. จ่ายยา Albendazole วันละ 400 มิลลิกรัม วันละ 2 ครั้งเช้าเย็น ติดต่อกันนาน 21 วัน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จ่ายยา Albendazole วันละ 400 มิลลิกรัม วันละ 2 ครั้งเช้าเย็น ติดต่อกันนาน 21 วัน การเลือก จ่ายยา Albendazole วันละ 400 มิลลิกรัม วันละ 2 ครั้งเช้าเย็น ติดต่อกันนาน 21 วัน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ข. (จ่ายยา Mebendazole 100 มิลลิกรัมวันละ 2 ครั้งเช้าเย็น ติดต่อกันนาน 3 วัน): ข้อนี้ไม่ใช่คำตอบที่ถูกต้องสำหรับภาวะ Musculoskeletal &amp; Joint เนื่องจากกลไกการออกฤทธิ์, efficacy หรือข้อบ่งใช้ไม่ตรงกับโจทย์ที่กำหนด
• ข้อ ค. (ให้ผู้ป่วยหยุดยาแก้ปวด เนื่องจากคาดว่าเกิดจากการแพ้ยา และแนะนำให้ไปพบแพทย์): ข้อนี้ไม่ใช่คำตอบที่ถูกต้องสำหรับภาวะ Musculoskeletal &amp; Joint เนื่องจากกลไกการออกฤทธิ์, efficacy หรือข้อบ่งใช้ไม่ตรงกับโจทย์ที่กำหนด
• ข้อ ง. (จ่ายยา chlorpheniramine 4 มิลลิกรัม รับประทานวันละ 1 เม็ดก่อนนอน): เป็น 1st generation H1-antihistamine มี anticholinergic ADRs เด่น (ง่วงซึม ปากแห้ง ตาพร่า ปัสสาวะคั่ง ท้องผูก) ควรหลีกเลี่ยงในผู้สูงอายุตาม Beers Criteria
• ข้อ จ. (จ่ายยา 0.5%Prednisolone ทาบริเวณที่ตาบวม):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358" s="2" t="n"/>
      <c r="L1358" s="2" t="inlineStr">
        <is>
          <t>Musculoskeletal &amp; Joint</t>
        </is>
      </c>
      <c r="M1358" s="2" t="inlineStr">
        <is>
          <t>Clinic</t>
        </is>
      </c>
      <c r="N1358" s="2" t="inlineStr">
        <is>
          <t>ข้อ 35 (PLE_CC1_Practice_Exam.md)</t>
        </is>
      </c>
      <c r="O1358" s="2" t="inlineStr">
        <is>
          <t>Mock</t>
        </is>
      </c>
      <c r="P1358" s="2" t="inlineStr">
        <is>
          <t>Mock สภาเภสัชฯ Practice</t>
        </is>
      </c>
    </row>
    <row r="1359" ht="13.2" customHeight="1" s="37">
      <c r="A1359" s="8" t="inlineStr">
        <is>
          <t>1380</t>
        </is>
      </c>
      <c r="B1359" s="2" t="inlineStr">
        <is>
          <t>ข้อใดต่อไปนี้กล่าวผิด</t>
        </is>
      </c>
      <c r="C1359" s="2" t="n"/>
      <c r="D1359" s="2" t="inlineStr">
        <is>
          <t>วัคซีน MMR, VR, BCG, Influenza สามารถให้ได้ในคนท้อง</t>
        </is>
      </c>
      <c r="E1359" s="2" t="inlineStr">
        <is>
          <t>บุคลากรทางการแพทย์และเภสัชกรควรฉีดวัคซีนไข้หวัดใหญ่ ปีละ 1 ครั้ง ทุกปี</t>
        </is>
      </c>
      <c r="F1359" s="2" t="inlineStr">
        <is>
          <t>เด็กที่มีน้ำหนักตัวน้อยไม่ต้องลดขนาดวัคซีน ยกเว้น RIG</t>
        </is>
      </c>
      <c r="G1359" s="2" t="inlineStr">
        <is>
          <t>หากโดนสุนัขกัด นอกจากให้วัคซีนป้องกันพิษสุนัขบ้าแล้ว สามารถให้วัคซีนบาดทะยักและ Antibiotic ร่วมด้วยได้</t>
        </is>
      </c>
      <c r="H1359" s="2" t="inlineStr">
        <is>
          <t>เมื่อคนใกล้ชิดเป็นโรคอีสุกอีใส เราควรได้รับวัคซีนภายใน 72-120 ชม. หลังสัมผัสกับเชื้อ</t>
        </is>
      </c>
      <c r="I1359" s="8" t="inlineStr">
        <is>
          <t>1</t>
        </is>
      </c>
      <c r="J1359" s="2" t="inlineStr">
        <is>
          <t>✅ คำตอบที่ถูกต้อง: ข้อ ก. วัคซีน MMR, VR, BCG, Influenza สามารถให้ได้ในคนท้อง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วัคซีน MMR, VR, BCG, Influenza สามารถให้ได้ในคนท้อง การเลือก วัคซีน MMR, VR, BCG, Influenza สามารถให้ได้ในคนท้อง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(บุคลากรทางการแพทย์และเภสัชกรควรฉีดวัคซีนไข้หวัดใหญ่ ปีละ 1 ครั้ง ทุกปี): ข้อนี้ไม่ใช่คำตอบที่ถูกต้องสำหรับภาวะ General Therapeutics เนื่องจากกลไกการออกฤทธิ์, efficacy หรือข้อบ่งใช้ไม่ตรงกับโจทย์ที่กำหนด
• ข้อ ค. (เด็กที่มีน้ำหนักตัวน้อยไม่ต้องลดขนาดวัคซีน ยกเว้น RIG): ข้อนี้ไม่ใช่คำตอบที่ถูกต้องสำหรับภาวะ General Therapeutics เนื่องจากกลไกการออกฤทธิ์, efficacy หรือข้อบ่งใช้ไม่ตรงกับโจทย์ที่กำหนด
• ข้อ ง. (หากโดนสุนัขกัด นอกจากให้วัคซีนป้องกันพิษสุนัขบ้าแล้ว สามารถให้วัคซีนบาดทะยักและ Antibiotic ร่วมด้วยได้): ข้อนี้ไม่ใช่คำตอบที่ถูกต้องสำหรับภาวะ General Therapeutics เนื่องจากกลไกการออกฤทธิ์, efficacy หรือข้อบ่งใช้ไม่ตรงกับโจทย์ที่กำหนด
• ข้อ จ. (เมื่อคนใกล้ชิดเป็นโรคอีสุกอีใส เราควรได้รับวัคซีนภายใน 72-120 ชม. หลังสัมผัสกับเชื้อ):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9" s="2" t="n"/>
      <c r="L1359" s="2" t="inlineStr">
        <is>
          <t>General Therapeutics</t>
        </is>
      </c>
      <c r="M1359" s="2" t="inlineStr">
        <is>
          <t>Clinic</t>
        </is>
      </c>
      <c r="N1359" s="2" t="inlineStr">
        <is>
          <t>ข้อ 36 (PLE_CC1_Practice_Exam.md)</t>
        </is>
      </c>
      <c r="O1359" s="2" t="inlineStr">
        <is>
          <t>Mock</t>
        </is>
      </c>
      <c r="P1359" s="2" t="inlineStr">
        <is>
          <t>Mock สภาเภสัชฯ Practice</t>
        </is>
      </c>
    </row>
    <row r="1360" ht="13.2" customHeight="1" s="37">
      <c r="A1360" s="8" t="inlineStr">
        <is>
          <t>1381</t>
        </is>
      </c>
      <c r="B1360" s="2" t="inlineStr">
        <is>
          <t>คำอธิบาย หมู่ฟังก์ชันบนโครงสร้างของ Corticosteroids ที่จำเป็นต่อการจับกับ Glucocorticoid receptor คือ</t>
        </is>
      </c>
      <c r="C1360" s="2" t="n"/>
      <c r="D1360" s="2" t="inlineStr">
        <is>
          <t>Cross-Sectional Survey Prevalence Study</t>
        </is>
      </c>
      <c r="E1360" s="2" t="inlineStr">
        <is>
          <t>Cost-Effectiveness Analysis (Incremental Cost-Effectiveness Ratio: ICER)</t>
        </is>
      </c>
      <c r="F1360" s="2" t="inlineStr">
        <is>
          <t>Cost-Utility Analysis (Quality-Adjusted Life Years: QALY)</t>
        </is>
      </c>
      <c r="G1360" s="2" t="inlineStr">
        <is>
          <t>Cost-Benefit Analysis (Net Monetary Benefit)</t>
        </is>
      </c>
      <c r="H1360" s="2" t="inlineStr">
        <is>
          <t>Cost-Minimization Analysis (CMA)</t>
        </is>
      </c>
      <c r="I1360" s="8" t="inlineStr">
        <is>
          <t>2</t>
        </is>
      </c>
      <c r="J1360" s="2" t="inlineStr">
        <is>
          <t>✅ คำตอบที่ถูกต้อง: ข้อ ข.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ก. (Cross-Sectional Survey Prevalence Study): ข้อนี้ไม่ใช่คำตอบที่ถูกต้องสำหรับภาวะ Biostats &amp; Research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Biostats &amp; Research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Biostats &amp; Research เนื่องจากกลไกการออกฤทธิ์, efficacy หรือข้อบ่งใช้ไม่ตรงกับโจทย์ที่กำหนด
• ข้อ จ. (Cost-Minimization Analysis (CMA)):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0" s="2" t="n"/>
      <c r="L1360" s="2" t="inlineStr">
        <is>
          <t>Biostats &amp; Research</t>
        </is>
      </c>
      <c r="M1360" s="2" t="inlineStr">
        <is>
          <t>SAP</t>
        </is>
      </c>
      <c r="N1360" s="2" t="inlineStr">
        <is>
          <t>ข้อ 16 (PLE_CC1_Practice_Exam.md)</t>
        </is>
      </c>
      <c r="O1360" s="2" t="inlineStr">
        <is>
          <t>Mock</t>
        </is>
      </c>
      <c r="P1360" s="2" t="inlineStr">
        <is>
          <t>Mock สภาเภสัชฯ Practice</t>
        </is>
      </c>
    </row>
    <row r="1361" ht="13.2" customHeight="1" s="37">
      <c r="A1361" s="8" t="inlineStr">
        <is>
          <t>1382</t>
        </is>
      </c>
      <c r="B1361" s="2" t="inlineStr">
        <is>
          <t>Double bond ตำแหน่งที่ 4-5</t>
        </is>
      </c>
      <c r="C1361" s="2" t="n"/>
      <c r="D1361" s="2" t="inlineStr">
        <is>
          <t>Sodium thiosulfate 25% 50 mL IV</t>
        </is>
      </c>
      <c r="E1361" s="2" t="inlineStr">
        <is>
          <t>Calcium disodium EDTA 1 g IV</t>
        </is>
      </c>
      <c r="F1361" s="2" t="inlineStr">
        <is>
          <t>Desferrioxamine 1 g IM/IV</t>
        </is>
      </c>
      <c r="G1361" s="2" t="inlineStr">
        <is>
          <t>Dimercaprol (BAL) 3 mg/kg IM</t>
        </is>
      </c>
      <c r="H1361" s="2" t="inlineStr">
        <is>
          <t>Ethanol 10% IV infusion for Methanol poisoning</t>
        </is>
      </c>
      <c r="I1361" s="8" t="inlineStr">
        <is>
          <t>1</t>
        </is>
      </c>
      <c r="J13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1" s="2" t="n"/>
      <c r="L1361" s="2" t="inlineStr">
        <is>
          <t>General Therapeutics</t>
        </is>
      </c>
      <c r="M1361" s="2" t="inlineStr">
        <is>
          <t>Clinic</t>
        </is>
      </c>
      <c r="N1361" s="2" t="inlineStr">
        <is>
          <t>ข้อ 1 (PLE_CC1_Practice_Exam.md)</t>
        </is>
      </c>
      <c r="O1361" s="2" t="inlineStr">
        <is>
          <t>Mock</t>
        </is>
      </c>
      <c r="P1361" s="2" t="inlineStr">
        <is>
          <t>Mock สภาเภสัชฯ Practice</t>
        </is>
      </c>
    </row>
    <row r="1362" ht="13.2" customHeight="1" s="37">
      <c r="A1362" s="8" t="inlineStr">
        <is>
          <t>1383</t>
        </is>
      </c>
      <c r="B1362" s="2" t="inlineStr">
        <is>
          <t>oxygen atom หรือ hydroxyl group ตำแหน่งที่ 11</t>
        </is>
      </c>
      <c r="C1362" s="2" t="n"/>
      <c r="D1362" s="2" t="inlineStr">
        <is>
          <t>Dimercaprol (BAL) 3 mg/kg IM</t>
        </is>
      </c>
      <c r="E1362" s="2" t="inlineStr">
        <is>
          <t>Ethanol 10% IV infusion for Methanol poisoning</t>
        </is>
      </c>
      <c r="F1362" s="2" t="inlineStr">
        <is>
          <t>Fomepizole 15 mg/kg IV loading</t>
        </is>
      </c>
      <c r="G1362" s="2" t="inlineStr">
        <is>
          <t>N-acetylcysteine (NAC) IV infusion protocol</t>
        </is>
      </c>
      <c r="H1362" s="2" t="inlineStr">
        <is>
          <t>Atropine sulfate 2 mg IV Q5-10 min</t>
        </is>
      </c>
      <c r="I1362" s="8" t="inlineStr">
        <is>
          <t>1</t>
        </is>
      </c>
      <c r="J13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2" s="2" t="n"/>
      <c r="L1362" s="2" t="inlineStr">
        <is>
          <t>General Therapeutics</t>
        </is>
      </c>
      <c r="M1362" s="2" t="inlineStr">
        <is>
          <t>Clinic</t>
        </is>
      </c>
      <c r="N1362" s="2" t="inlineStr">
        <is>
          <t>ข้อ 3 (PLE_CC1_Practice_Exam.md)</t>
        </is>
      </c>
      <c r="O1362" s="2" t="inlineStr">
        <is>
          <t>Mock</t>
        </is>
      </c>
      <c r="P1362" s="2" t="inlineStr">
        <is>
          <t>Mock สภาเภสัชฯ Practice</t>
        </is>
      </c>
    </row>
    <row r="1363" ht="13.2" customHeight="1" s="37">
      <c r="A1363" s="8" t="inlineStr">
        <is>
          <t>1384</t>
        </is>
      </c>
      <c r="B1363" s="2" t="inlineStr">
        <is>
          <t>เหตุผล</t>
        </is>
      </c>
      <c r="C1363" s="2" t="n"/>
      <c r="D1363" s="2" t="inlineStr">
        <is>
          <t>โครงสร้าง A เป็นโครงสร้างของ Cortisone acetate อยู่ในกลุ่ม Mineralcorticoids ใช้ในการรักษา Addison’s disease ส่วนโครงสร้างที่มีฤทธิ์ anti-inflammatory สูงสุดคือโครงสร้าง D คือ 242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Triamcinolone โดยมีโครงสร้างที่สำคัญคือมี double bound ที่ตำแหน่ง C1 และ C2 ทำให้ฤทธิ์ดี ขึ้น และ ลด side effect อีกทั้งการมี 9α-F จะเพิ่มฤทธิ์ anti-inflammatory มากที่สุด</t>
        </is>
      </c>
      <c r="E1363" s="2" t="inlineStr">
        <is>
          <t>โครงสร้าง B คือ Hydrocortisone ซึ่งเป็นยาในกลุ่ม Glucocorticoids มีฤทธิ์ anti-inflammatory จึงใช้เป็นยาแก้ปวด</t>
        </is>
      </c>
      <c r="F1363" s="2" t="inlineStr">
        <is>
          <t>โครงสร้าง C คือ Prednisolone ซึ่งมี double bound ที่ตำแหน่ง C1 และ C2 ทำให้มีฤทธิ์ anti- inflammatory เพิ่มมากขึ้น</t>
        </is>
      </c>
      <c r="G1363" s="2" t="inlineStr">
        <is>
          <t>โครงสร้าง D คือ Triamcinolone มียารูปแบบรับประทาน</t>
        </is>
      </c>
      <c r="H1363" s="2" t="inlineStr">
        <is>
          <t>การมี double bound ที่ตำแหน่ง C1 และ C2 ในโครงสร้าง C และ D จะช่วยทำให้ลดการเกิด side effect จาก Mineralcorticoid activity ที่ทำให้เกิด edema ได้</t>
        </is>
      </c>
      <c r="I1363" s="8" t="inlineStr">
        <is>
          <t>2</t>
        </is>
      </c>
      <c r="J1363" s="2" t="inlineStr">
        <is>
          <t>✅ คำตอบที่ถูกต้อง: ข้อ ข. โครงสร้าง B คือ Hydrocortisone ซึ่งเป็นยาในกลุ่ม Glucocorticoids มีฤทธิ์ anti-inflammatory จึงใช้เป็นยาแก้ปวด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โครงสร้าง B คือ Hydrocortisone ซึ่งเป็นยาในกลุ่ม Glucocorticoids มีฤทธิ์ anti-inflammatory จึงใช้เป็นยาแก้ปวด การเลือก โครงสร้าง B คือ Hydrocortisone ซึ่งเป็นยาในกลุ่ม Glucocorticoids มีฤทธิ์ anti-inflammatory จึงใช้เป็นยาแก้ปวด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(โครงสร้าง A เป็นโครงสร้างของ Cortisone acetate อยู่ในกลุ่ม Mineralcorticoids ใช้ในการรักษา Addison’s disease ส่วนโครงสร้างที่มีฤทธิ์ anti-inflammatory สูงสุดคือโครงสร้าง D คือ 242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Triamcinolone โดยมีโครงสร้างที่สำคัญคือมี double bound ที่ตำแหน่ง C1 และ C2 ทำให้ฤทธิ์ดี ขึ้น และ ลด side effect อีกทั้งการมี 9α-F จะเพิ่มฤทธิ์ anti-inflammatory มากที่สุด): ข้อนี้ไม่ใช่คำตอบที่ถูกต้องสำหรับภาวะ General Therapeutics เนื่องจากกลไกการออกฤทธิ์, efficacy หรือข้อบ่งใช้ไม่ตรงกับโจทย์ที่กำหนด
• ข้อ ค. (โครงสร้าง C คือ Prednisolone ซึ่งมี double bound ที่ตำแหน่ง C1 และ C2 ทำให้มีฤทธิ์ anti- inflammatory เพิ่มมากขึ้น): เป็น intermediate-acting systemic corticosteroid ขนาดยอดนิยมสำหรับ immunosuppressive &amp; anti-inflammatory therapy ต้องระวัง Cushingoid, infection, osteoporosis, peptic ulcer
• ข้อ ง. (โครงสร้าง D คือ Triamcinolone มียารูปแบบรับประทาน): ข้อนี้ไม่ใช่คำตอบที่ถูกต้องสำหรับภาวะ General Therapeutics เนื่องจากกลไกการออกฤทธิ์, efficacy หรือข้อบ่งใช้ไม่ตรงกับโจทย์ที่กำหนด
• ข้อ จ. (การมี double bound ที่ตำแหน่ง C1 และ C2 ในโครงสร้าง C และ D จะช่วยทำให้ลดการเกิด side effect จาก Mineralcorticoid activity ที่ทำให้เกิด edema 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3" s="2" t="n"/>
      <c r="L1363" s="2" t="inlineStr">
        <is>
          <t>General Therapeutics</t>
        </is>
      </c>
      <c r="M1363" s="2" t="inlineStr">
        <is>
          <t>Clinic</t>
        </is>
      </c>
      <c r="N1363" s="2" t="inlineStr">
        <is>
          <t>ข้อ 17 (PLE_CC1_Practice_Exam.md)</t>
        </is>
      </c>
      <c r="O1363" s="2" t="inlineStr">
        <is>
          <t>Mock</t>
        </is>
      </c>
      <c r="P1363" s="2" t="inlineStr">
        <is>
          <t>Mock สภาเภสัชฯ Practice</t>
        </is>
      </c>
    </row>
    <row r="1364" ht="13.2" customHeight="1" s="37">
      <c r="A1364" s="8" t="inlineStr">
        <is>
          <t>1385</t>
        </is>
      </c>
      <c r="B1364" s="2" t="inlineStr">
        <is>
          <t>เนื่องจาก ผู้ป่วยมีอาการหนังตาบวม (angioedema) และไม่มีอาการคันที่หนังตา ซึ่งสอดคล้องกับอาการแพ้ จากยา Ibuprofen และไม่มีการแสดงออกของการเคลื่อนที่ของพยาธิ จึงตัดสาเหตุจากการติดพยาธิตัวจี๊ดที่อยู่ ในปลาร้าดิบ ดังนั้น ข้อ 1 และ ข้อ 2 จึงไม่ถูกต้อง เพราะไม่มีข้อบ่งใช้ ส่วนข้อ 4 และ ข้อ 5 เป็นยาแก้แพ้ก็ จริง แต่ผู้ป่วยไม่ได้สัมผัสสิ่งที่ทำให้เกิดอาการแพ้ จึงไม่ถูกต้อง และควรหยุดใช้ยาที่เป็นสาเหตุ คือ Ibuprofen แล้วอาการ angioedema จะค่อยๆหายไปเอง 254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C1364" s="2" t="n"/>
      <c r="D1364" s="2" t="inlineStr">
        <is>
          <t>Colchicine 0.6 mg OD</t>
        </is>
      </c>
      <c r="E1364" s="2" t="inlineStr">
        <is>
          <t>Naproxen 250 mg BID</t>
        </is>
      </c>
      <c r="F1364" s="2" t="inlineStr">
        <is>
          <t>Allopurinol 100 mg OD</t>
        </is>
      </c>
      <c r="G1364" s="2" t="inlineStr">
        <is>
          <t>Febuxostat 40 mg OD</t>
        </is>
      </c>
      <c r="H1364" s="2" t="inlineStr">
        <is>
          <t>Celecoxib 200 mg OD</t>
        </is>
      </c>
      <c r="I1364" s="8" t="inlineStr">
        <is>
          <t>2</t>
        </is>
      </c>
      <c r="J1364" s="2" t="inlineStr">
        <is>
          <t>✅ คำตอบที่ถูกต้อง: ข้อ ข. Naproxen 250 mg BID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Naproxen 250 mg BID การเลือก Naproxen 250 mg BID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ก. (Colchicine 0.6 mg OD): ยับยั้ง microtubule polymerization และ neutrophil chemotaxis เป็น first-line ใน acute gout flare และ flare prophylaxis แต่มี ADR เด่นทาง GI (ท้องเสีย คลื่นไส้)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1364" s="2" t="n"/>
      <c r="L1364" s="2" t="inlineStr">
        <is>
          <t>Musculoskeletal &amp; Joint</t>
        </is>
      </c>
      <c r="M1364" s="2" t="inlineStr">
        <is>
          <t>Clinic</t>
        </is>
      </c>
      <c r="N1364" s="2" t="inlineStr">
        <is>
          <t>ข้อ 35 (PLE_CC1_Practice_Exam.md)</t>
        </is>
      </c>
      <c r="O1364" s="2" t="inlineStr">
        <is>
          <t>Mock</t>
        </is>
      </c>
      <c r="P1364" s="2" t="inlineStr">
        <is>
          <t>Mock สภาเภสัชฯ Practice</t>
        </is>
      </c>
    </row>
    <row r="1365" ht="13.2" customHeight="1" s="37">
      <c r="A1365" s="8" t="inlineStr">
        <is>
          <t>1386</t>
        </is>
      </c>
      <c r="B1365" s="2" t="inlineStr">
        <is>
          <t>ยาใดไม่มีข้อบ่งใช้ในผู้ป่วยรายนี้</t>
        </is>
      </c>
      <c r="C1365" s="2" t="n"/>
      <c r="D1365" s="2" t="inlineStr">
        <is>
          <t>NaHCO3</t>
        </is>
      </c>
      <c r="E1365" s="2" t="inlineStr">
        <is>
          <t>Propranolol</t>
        </is>
      </c>
      <c r="F1365" s="2" t="inlineStr">
        <is>
          <t>Simvastatin</t>
        </is>
      </c>
      <c r="G1365" s="2" t="inlineStr">
        <is>
          <t>Calcium polystyrene sulfonate</t>
        </is>
      </c>
      <c r="H1365" s="2" t="inlineStr">
        <is>
          <t>Ferrous fumarate กรณีศึกษาที่ 2 เด็กชายวัย 10 ปี น้ำหนักตัว 30 kg ไม่สบาย มีไข้ ตัวซีด เหนื่อยง่าย อ่อนเพลีย ปัสสาวะสีเข้ม จาก การซักประวัติพบว่ามีโรคประจำตัวคือ G6PD deficiency และเมื่อสามวันก่อนมาโรงพยาบาลผู้ป่วยตัวร้อน รับประทานไป 1000 มก.วันละ 2 ครั้ง 259 โรคทางระบบเลือด ฝ่ายวิชาการ คณะกรรมการนักศึกษาเภสัชศาสตร์ รุ่นที่ 22 มหาวิทยาลัยหัวเฉียวเฉลิมพระเกียรติ สหพันธ์นิสิตนักศึกษาเภสัชศาสตร์แห่งประเทศไทย (สนภท.) MH: Ibuprofen, chlorpheniramine, vitamin C ข้อมูลข้างต้นใช้ตอบคำถามข้อ 11 – 16 11.ข้อใดเป็นปัญหาที่สำคัญของผู้ป่วยรายนี้</t>
        </is>
      </c>
      <c r="I1365" s="8" t="inlineStr">
        <is>
          <t>1</t>
        </is>
      </c>
      <c r="J1365" s="2" t="inlineStr">
        <is>
          <t>✅ คำตอบที่ถูกต้อง: ข้อ ก. NaHCO3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NaHCO3 และมีน้ ามูกไหล แม่จึงพาไปร้านขายยาเพื่อไปซื้อยาแก้ไข้และยาลดน้ ามูกอีกทั้งได้ซื้อวิตามินซีกลับมาด้วยซึ่งให้
🔍 ข้ออื่นผิดเพราะอะไร:
• ข้อ ข. (Propranolol): เป็น non-selective beta-blocker ข้าม blood-brain barrier ได้ดี เหมาะสำหรับ performance anxiety, essential tremor, migraine prophylaxis และ thyroid storm แต่ contraindication ใน asthma
• ข้อ ค. (Simvastatin): เป็น moderate-intensity statin เมแทบอไลต์ผ่าน CYP3A4 เด่นชัด ห้ามใช้ dose 80 mg และมี drug interactions สูงกับ CYP3A4 inhibitors (clarithromycin, ketoconazole)
• ข้อ ง. (Calcium polystyrene sulfonate): ข้อนี้ไม่ใช่คำตอบที่ถูกต้องสำหรับภาวะ General Therapeutics เนื่องจากกลไกการออกฤทธิ์, efficacy หรือข้อบ่งใช้ไม่ตรงกับโจทย์ที่กำหนด
• ข้อ จ. (Ferrous fumarate กรณีศึกษาที่ 2 เด็กชายวัย 10 ปี น้ำหนักตัว 30 kg ไม่สบาย มีไข้ ตัวซีด เหนื่อยง่าย อ่อนเพลีย ปัสสาวะสีเข้ม จาก การซักประวัติพบว่ามีโรคประจำตัวคือ G6PD deficiency และเมื่อสามวันก่อนมาโรงพยาบาลผู้ป่วยตัวร้อน รับประทานไป 1000 มก.วันละ 2 ครั้ง 259 โรคทางระบบเลือด ฝ่ายวิชาการ คณะกรรมการนักศึกษาเภสัชศาสตร์ รุ่นที่ 22 มหาวิทยาลัยหัวเฉียวเฉลิมพระเกียรติ สหพันธ์นิสิตนักศึกษาเภสัชศาสตร์แห่งประเทศไทย (สนภท.) MH: Ibuprofen, chlorpheniramine, vitamin C ข้อมูลข้างต้นใช้ตอบคำถามข้อ 11 – 16 11.ข้อใดเป็นปัญหาที่สำคัญของผู้ป่วยรายนี้):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5" s="2" t="n"/>
      <c r="L1365" s="2" t="inlineStr">
        <is>
          <t>General Therapeutics</t>
        </is>
      </c>
      <c r="M1365" s="2" t="inlineStr">
        <is>
          <t>Clinic</t>
        </is>
      </c>
      <c r="N1365" s="2" t="inlineStr">
        <is>
          <t>ข้อ 10 (PLE_CC1_Practice_Exam.md)</t>
        </is>
      </c>
      <c r="O1365" s="2" t="inlineStr">
        <is>
          <t>Mock</t>
        </is>
      </c>
      <c r="P1365" s="2" t="inlineStr">
        <is>
          <t>Mock สภาเภสัชฯ Practice</t>
        </is>
      </c>
    </row>
    <row r="1366" ht="13.2" customHeight="1" s="37">
      <c r="A1366" s="8" t="inlineStr">
        <is>
          <t>1387</t>
        </is>
      </c>
      <c r="B1366" s="2" t="inlineStr">
        <is>
          <t>การทำแกรนูลไม่สามารถแก้ปัญหาใดได้</t>
        </is>
      </c>
      <c r="C1366" s="2" t="n"/>
      <c r="D1366" s="2" t="inlineStr">
        <is>
          <t>Instability ของ acid-labile drug</t>
        </is>
      </c>
      <c r="E1366" s="2" t="inlineStr">
        <is>
          <t>Poor flowability</t>
        </is>
      </c>
      <c r="F1366" s="2" t="inlineStr">
        <is>
          <t>Low compressibility</t>
        </is>
      </c>
      <c r="G1366" s="2" t="inlineStr">
        <is>
          <t>Non uniform content 282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H1366" s="2" t="inlineStr">
        <is>
          <t>Segregation</t>
        </is>
      </c>
      <c r="I1366" s="8" t="inlineStr">
        <is>
          <t>1</t>
        </is>
      </c>
      <c r="J1366" s="2" t="inlineStr">
        <is>
          <t>✅ คำตอบที่ถูกต้อง: ข้อ ก. Instability ของ acid-labile drug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Instability ของ acid-labile drug การเลือก Instability ของ acid-labile drug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(Poor flowability): ข้อนี้ไม่ใช่คำตอบที่ถูกต้องสำหรับภาวะ General Therapeutics เนื่องจากกลไกการออกฤทธิ์, efficacy หรือข้อบ่งใช้ไม่ตรงกับโจทย์ที่กำหนด
• ข้อ ค. (Low compressibility): ข้อนี้ไม่ใช่คำตอบที่ถูกต้องสำหรับภาวะ General Therapeutics เนื่องจากกลไกการออกฤทธิ์, efficacy หรือข้อบ่งใช้ไม่ตรงกับโจทย์ที่กำหนด
• ข้อ ง. (Non uniform content 282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(Segregation):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6" s="2" t="n"/>
      <c r="L1366" s="2" t="inlineStr">
        <is>
          <t>General Therapeutics</t>
        </is>
      </c>
      <c r="M1366" s="2" t="inlineStr">
        <is>
          <t>Clinic</t>
        </is>
      </c>
      <c r="N1366" s="2" t="inlineStr">
        <is>
          <t>ข้อ 18 (PLE_CC1_Practice_Exam.md)</t>
        </is>
      </c>
      <c r="O1366" s="2" t="inlineStr">
        <is>
          <t>Mock</t>
        </is>
      </c>
      <c r="P1366" s="2" t="inlineStr">
        <is>
          <t>Mock สภาเภสัชฯ Practice</t>
        </is>
      </c>
    </row>
    <row r="1367" ht="13.2" customHeight="1" s="37">
      <c r="A1367" s="8" t="inlineStr">
        <is>
          <t>1388</t>
        </is>
      </c>
      <c r="B1367" s="2" t="inlineStr">
        <is>
          <t>ตัวยาสำคัญในข้อใดเหมาะสมที่จะนำมาเตรียมเป็นยาลูกกลอน (pills)</t>
        </is>
      </c>
      <c r="C1367" s="2" t="n"/>
      <c r="D1367" s="2" t="inlineStr">
        <is>
          <t>ตัวยาที่ต้องการการออกฤทธิ์เร็วแต่ใช้ในขนาดที่สูง</t>
        </is>
      </c>
      <c r="E1367" s="2" t="inlineStr">
        <is>
          <t>ตัวยาที่ต้องการการออกฤทธิ์ช้าแต่ใช้ในขนาดที่ต่ำ</t>
        </is>
      </c>
      <c r="F1367" s="2" t="inlineStr">
        <is>
          <t>ตัวยาเป็นของเหลวหนืดและเสื่อมสลายเมื่อโดนความร้อน</t>
        </is>
      </c>
      <c r="G1367" s="2" t="inlineStr">
        <is>
          <t>ตัวยาเป็นผงแห้งแต่มีสมบัติ deliquescent</t>
        </is>
      </c>
      <c r="H1367" s="2" t="inlineStr">
        <is>
          <t>ตัวยาเป็นผงแห้งแต่มีสมบัติ hygroscopic และเสื่อมสลายโดยปฏิกิริยา hydrolysis 284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367" s="8" t="inlineStr">
        <is>
          <t>1</t>
        </is>
      </c>
      <c r="J1367" s="2" t="inlineStr">
        <is>
          <t>✅ คำตอบที่ถูกต้อง: ข้อ ก. ตัวยาที่ต้องการการออกฤทธิ์เร็วแต่ใช้ในขนาดที่สูง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ตัวยาที่ต้องการการออกฤทธิ์เร็วแต่ใช้ในขนาดที่สูง การเลือก ตัวยาที่ต้องการการออกฤทธิ์เร็วแต่ใช้ในขนาดที่สูง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(ตัวยาที่ต้องการการออกฤทธิ์ช้าแต่ใช้ในขนาดที่ต่ำ): ข้อนี้ไม่ใช่คำตอบที่ถูกต้องสำหรับภาวะ General Therapeutics เนื่องจากกลไกการออกฤทธิ์, efficacy หรือข้อบ่งใช้ไม่ตรงกับโจทย์ที่กำหนด
• ข้อ ค. (ตัวยาเป็นของเหลวหนืดและเสื่อมสลายเมื่อโดนความร้อน): ข้อนี้ไม่ใช่คำตอบที่ถูกต้องสำหรับภาวะ General Therapeutics เนื่องจากกลไกการออกฤทธิ์, efficacy หรือข้อบ่งใช้ไม่ตรงกับโจทย์ที่กำหนด
• ข้อ ง. (ตัวยาเป็นผงแห้งแต่มีสมบัติ deliquescent): ข้อนี้ไม่ใช่คำตอบที่ถูกต้องสำหรับภาวะ General Therapeutics เนื่องจากกลไกการออกฤทธิ์, efficacy หรือข้อบ่งใช้ไม่ตรงกับโจทย์ที่กำหนด
• ข้อ จ. (ตัวยาเป็นผงแห้งแต่มีสมบัติ hygroscopic และเสื่อมสลายโดยปฏิกิริยา hydrolysis 284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7" s="2" t="n"/>
      <c r="L1367" s="2" t="inlineStr">
        <is>
          <t>General Therapeutics</t>
        </is>
      </c>
      <c r="M1367" s="2" t="inlineStr">
        <is>
          <t>Clinic</t>
        </is>
      </c>
      <c r="N1367" s="2" t="inlineStr">
        <is>
          <t>ข้อ 26 (PLE_CC1_Practice_Exam.md)</t>
        </is>
      </c>
      <c r="O1367" s="2" t="inlineStr">
        <is>
          <t>Mock</t>
        </is>
      </c>
      <c r="P1367" s="2" t="inlineStr">
        <is>
          <t>Mock สภาเภสัชฯ Practice</t>
        </is>
      </c>
    </row>
    <row r="1368" ht="13.2" customHeight="1" s="37">
      <c r="A1368" s="8" t="inlineStr">
        <is>
          <t>1389</t>
        </is>
      </c>
      <c r="B1368" s="2" t="inlineStr">
        <is>
          <t>ลักษณะใดที่บ่งชี้ว่าเป็นยาเสื่อมคุณภาพ</t>
        </is>
      </c>
      <c r="C1368" s="2" t="n"/>
      <c r="D1368" s="2" t="inlineStr">
        <is>
          <t>จำนวนเม็ดยาใน blister pack ไม่ครบ</t>
        </is>
      </c>
      <c r="E1368" s="2" t="inlineStr">
        <is>
          <t>เม็ดยาแยกเป็นสามชั้นก่อนบรรจุใน blister pack</t>
        </is>
      </c>
      <c r="F1368" s="2" t="inlineStr">
        <is>
          <t>เม็ดยามีขนาดไม่เท่ากัน</t>
        </is>
      </c>
      <c r="G1368" s="2" t="inlineStr">
        <is>
          <t>เม็ดยาเป็นลายจุดของสีสม่ำเสมอ</t>
        </is>
      </c>
      <c r="H1368" s="2" t="inlineStr">
        <is>
          <t>เม็ดยาเยิ้มเหนียว</t>
        </is>
      </c>
      <c r="I1368" s="8" t="inlineStr">
        <is>
          <t>1</t>
        </is>
      </c>
      <c r="J1368" s="2" t="inlineStr">
        <is>
          <t>✅ คำตอบที่ถูกต้อง: ข้อ ก. จำนวนเม็ดยาใน blister pack ไม่ครบ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จำนวนเม็ดยาใน blister pack ไม่ครบ การเลือก จำนวนเม็ดยาใน blister pack ไม่ครบ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(เม็ดยาแยกเป็นสามชั้นก่อนบรรจุใน blister pack): ข้อนี้ไม่ใช่คำตอบที่ถูกต้องสำหรับภาวะ General Therapeutics เนื่องจากกลไกการออกฤทธิ์, efficacy หรือข้อบ่งใช้ไม่ตรงกับโจทย์ที่กำหนด
• ข้อ ค. (เม็ดยามีขนาดไม่เท่ากัน): ข้อนี้ไม่ใช่คำตอบที่ถูกต้องสำหรับภาวะ General Therapeutics เนื่องจากกลไกการออกฤทธิ์, efficacy หรือข้อบ่งใช้ไม่ตรงกับโจทย์ที่กำหนด
• ข้อ ง. (เม็ดยาเป็นลายจุดของสีสม่ำเสมอ): ข้อนี้ไม่ใช่คำตอบที่ถูกต้องสำหรับภาวะ General Therapeutics เนื่องจากกลไกการออกฤทธิ์, efficacy หรือข้อบ่งใช้ไม่ตรงกับโจทย์ที่กำหนด
• ข้อ จ. (เม็ดยาเยิ้มเหนียว):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8" s="2" t="n"/>
      <c r="L1368" s="2" t="inlineStr">
        <is>
          <t>General Therapeutics</t>
        </is>
      </c>
      <c r="M1368" s="2" t="inlineStr">
        <is>
          <t>Clinic</t>
        </is>
      </c>
      <c r="N1368" s="2" t="inlineStr">
        <is>
          <t>ข้อ 28 (PLE_CC1_Practice_Exam.md)</t>
        </is>
      </c>
      <c r="O1368" s="2" t="inlineStr">
        <is>
          <t>Mock</t>
        </is>
      </c>
      <c r="P1368" s="2" t="inlineStr">
        <is>
          <t>Mock สภาเภสัชฯ Practice</t>
        </is>
      </c>
    </row>
    <row r="1369" ht="13.2" customHeight="1" s="37">
      <c r="A1369" s="8" t="inlineStr">
        <is>
          <t>1390</t>
        </is>
      </c>
      <c r="B1369" s="2" t="inlineStr">
        <is>
          <t>คุณสมบัติใดของยาผงอาจทำให้เกิดปัญหา overdose</t>
        </is>
      </c>
      <c r="C1369" s="2" t="n"/>
      <c r="D1369" s="2" t="inlineStr">
        <is>
          <t>Hygroscopic</t>
        </is>
      </c>
      <c r="E1369" s="2" t="inlineStr">
        <is>
          <t>Efflorescent</t>
        </is>
      </c>
      <c r="F1369" s="2" t="inlineStr">
        <is>
          <t>Eutectic mixture</t>
        </is>
      </c>
      <c r="G1369" s="2" t="inlineStr">
        <is>
          <t>Polymorphism</t>
        </is>
      </c>
      <c r="H1369" s="2" t="inlineStr">
        <is>
          <t>Deliquescent 286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369" s="8" t="inlineStr">
        <is>
          <t>1</t>
        </is>
      </c>
      <c r="J1369" s="2" t="inlineStr">
        <is>
          <t>✅ คำตอบที่ถูกต้อง: ข้อ ก. Hygroscopic
💡 Background:
ภาวะ acute poisoning ต้องได้รับการประเมิน supportive care ควบคู่กับการให้ specific antidote อย่างทันท่วงที
🎯 ทำไมข้อนี้ถึงถูก:
Hygroscopic การเลือก Hygroscopic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(Efflorescent): ข้อนี้ไม่ใช่คำตอบที่ถูกต้องสำหรับภาวะ Toxicology &amp; Antidote เนื่องจากกลไกการออกฤทธิ์, efficacy หรือข้อบ่งใช้ไม่ตรงกับโจทย์ที่กำหนด
• ข้อ ค. (Eutectic mixture): ข้อนี้ไม่ใช่คำตอบที่ถูกต้องสำหรับภาวะ Toxicology &amp; Antidote เนื่องจากกลไกการออกฤทธิ์, efficacy หรือข้อบ่งใช้ไม่ตรงกับโจทย์ที่กำหนด
• ข้อ ง. (Polymorphism): ข้อนี้ไม่ใช่คำตอบที่ถูกต้องสำหรับภาวะ Toxicology &amp; Antidote เนื่องจากกลไกการออกฤทธิ์, efficacy หรือข้อบ่งใช้ไม่ตรงกับโจทย์ที่กำหนด
• ข้อ จ. (Deliquescent 286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1369" s="2" t="n"/>
      <c r="L1369" s="2" t="inlineStr">
        <is>
          <t>Toxicology &amp; Antidote</t>
        </is>
      </c>
      <c r="M1369" s="2" t="inlineStr">
        <is>
          <t>Clinic</t>
        </is>
      </c>
      <c r="N1369" s="2" t="inlineStr">
        <is>
          <t>ข้อ 35 (PLE_CC1_Practice_Exam.md)</t>
        </is>
      </c>
      <c r="O1369" s="2" t="inlineStr">
        <is>
          <t>Mock</t>
        </is>
      </c>
      <c r="P1369" s="2" t="inlineStr">
        <is>
          <t>Mock สภาเภสัชฯ Practice</t>
        </is>
      </c>
    </row>
    <row r="1370" ht="13.2" customHeight="1" s="37">
      <c r="A1370" s="8" t="inlineStr">
        <is>
          <t>1391</t>
        </is>
      </c>
      <c r="B1370" s="2" t="inlineStr">
        <is>
          <t>ข้อถูกต้องเกี่ยวกับความแตกต่างของ Aromatic Waters และ Spirits</t>
        </is>
      </c>
      <c r="C1370" s="2" t="n"/>
      <c r="D1370" s="2" t="inlineStr">
        <is>
          <t>Aromatic Waters มีปริมาณของ Alcohol ในตำรับน้อยกว่า Spirits</t>
        </is>
      </c>
      <c r="E1370" s="2" t="inlineStr">
        <is>
          <t>Aromatic Waters มีปริมาณของ Alcohol ในตำรับมากกว่า Spirits</t>
        </is>
      </c>
      <c r="F1370" s="2" t="inlineStr">
        <is>
          <t>Aromatic Waters มีปริมาณของสารหอมระเหย ในตำรับมากกว่า Spirits 296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G1370" s="2" t="inlineStr">
        <is>
          <t>Aromatic Waters มีปริมาณของสารหอมระเหย ในตำรับน้อยกว่า Spirits</t>
        </is>
      </c>
      <c r="H1370" s="2" t="inlineStr">
        <is>
          <t>ถูกทั้งข้อ ก. และ ง.</t>
        </is>
      </c>
      <c r="I1370" s="8" t="inlineStr">
        <is>
          <t>1</t>
        </is>
      </c>
      <c r="J1370" s="2" t="inlineStr">
        <is>
          <t>✅ คำตอบที่ถูกต้อง: ข้อ ก. Aromatic Waters มีปริมาณของ Alcohol ในตำรับน้อยกว่า Spirits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Aromatic Waters มีปริมาณของ Alcohol ในตำรับน้อยกว่า Spirits การเลือก Aromatic Waters มีปริมาณของ Alcohol ในตำรับน้อยกว่า Spirits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(Aromatic Waters มีปริมาณของ Alcohol ในตำรับมากกว่า Spirits): ข้อนี้ไม่ใช่คำตอบที่ถูกต้องสำหรับภาวะ General Therapeutics เนื่องจากกลไกการออกฤทธิ์, efficacy หรือข้อบ่งใช้ไม่ตรงกับโจทย์ที่กำหนด
• ข้อ ค. (Aromatic Waters มีปริมาณของสารหอมระเหย ในตำรับมากกว่า Spirits 296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ง. (Aromatic Waters มีปริมาณของสารหอมระเหย ในตำรับน้อยกว่า Spirits): ข้อนี้ไม่ใช่คำตอบที่ถูกต้องสำหรับภาวะ General Therapeutics เนื่องจากกลไกการออกฤทธิ์, efficacy หรือข้อบ่งใช้ไม่ตรงกับโจทย์ที่กำหนด
• ข้อ จ. (ถูกทั้งข้อ ก. และ 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0" s="2" t="n"/>
      <c r="L1370" s="2" t="inlineStr">
        <is>
          <t>General Therapeutics</t>
        </is>
      </c>
      <c r="M1370" s="2" t="inlineStr">
        <is>
          <t>Clinic</t>
        </is>
      </c>
      <c r="N1370" s="2" t="inlineStr">
        <is>
          <t>ข้อ 7 (PLE_CC1_Practice_Exam.md)</t>
        </is>
      </c>
      <c r="O1370" s="2" t="inlineStr">
        <is>
          <t>Mock</t>
        </is>
      </c>
      <c r="P1370" s="2" t="inlineStr">
        <is>
          <t>Mock สภาเภสัชฯ Practice</t>
        </is>
      </c>
    </row>
    <row r="1371" ht="13.2" customHeight="1" s="37">
      <c r="A1371" s="8" t="inlineStr">
        <is>
          <t>1392</t>
        </is>
      </c>
      <c r="B1371" s="2" t="inlineStr">
        <is>
          <t>ข้อใดจัดเป็น Non-medicated Elixirs</t>
        </is>
      </c>
      <c r="C1371" s="2" t="n"/>
      <c r="D1371" s="2" t="inlineStr">
        <is>
          <t>Phenobabital Elixirs</t>
        </is>
      </c>
      <c r="E1371" s="2" t="inlineStr">
        <is>
          <t>Pediatric Chloral Hydrate Elixirs</t>
        </is>
      </c>
      <c r="F1371" s="2" t="inlineStr">
        <is>
          <t>Compound Benzaldehyde Elixirs</t>
        </is>
      </c>
      <c r="G1371" s="2" t="inlineStr">
        <is>
          <t>Potassium Chloride Elixirs</t>
        </is>
      </c>
      <c r="H1371" s="2" t="inlineStr">
        <is>
          <t>Diphenhydramine HCl Elixirs</t>
        </is>
      </c>
      <c r="I1371" s="8" t="inlineStr">
        <is>
          <t>1</t>
        </is>
      </c>
      <c r="J1371" s="2" t="inlineStr">
        <is>
          <t>✅ คำตอบที่ถูกต้อง: ข้อ ก. Phenobabital Elixirs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Phenobabital Elixirs 💡 คำอธิบายและเหตุผลทางเภสัชกรรม:
💡 คำอธิบายและเหตุผลทางเภสัชกรรม:
การเลือก Phenobabital Elixirs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(Pediatric Chloral Hydrate Elixirs): ข้อนี้ไม่ใช่คำตอบที่ถูกต้องสำหรับภาวะ Liquid &amp; Semisolids เนื่องจากกลไกการออกฤทธิ์, efficacy หรือข้อบ่งใช้ไม่ตรงกับโจทย์ที่กำหนด
• ข้อ ค. (Compound Benzaldehyde Elixirs): ข้อนี้ไม่ใช่คำตอบที่ถูกต้องสำหรับภาวะ Liquid &amp; Semisolids เนื่องจากกลไกการออกฤทธิ์, efficacy หรือข้อบ่งใช้ไม่ตรงกับโจทย์ที่กำหนด
• ข้อ ง. (Potassium Chloride Elixirs): ข้อนี้ไม่ใช่คำตอบที่ถูกต้องสำหรับภาวะ Liquid &amp; Semisolids เนื่องจากกลไกการออกฤทธิ์, efficacy หรือข้อบ่งใช้ไม่ตรงกับโจทย์ที่กำหนด
• ข้อ จ. (Diphenhydramine HCl Elixirs):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1" s="2" t="n"/>
      <c r="L1371" s="2" t="inlineStr">
        <is>
          <t>Liquid &amp; Semisolids</t>
        </is>
      </c>
      <c r="M1371" s="2" t="inlineStr">
        <is>
          <t>Product</t>
        </is>
      </c>
      <c r="N1371" s="2" t="inlineStr">
        <is>
          <t>ข้อ 15 (PLE_CC1_Practice_Exam.md)</t>
        </is>
      </c>
      <c r="O1371" s="2" t="inlineStr">
        <is>
          <t>Mock</t>
        </is>
      </c>
      <c r="P1371" s="2" t="inlineStr">
        <is>
          <t>Mock สภาเภสัชฯ Practice</t>
        </is>
      </c>
    </row>
    <row r="1372" ht="13.2" customHeight="1" s="37">
      <c r="A1372" s="8" t="inlineStr">
        <is>
          <t>1393</t>
        </is>
      </c>
      <c r="B1372" s="2" t="inlineStr">
        <is>
          <t>ข้อใดไม่ใช่ elixirs</t>
        </is>
      </c>
      <c r="C1372" s="2" t="n"/>
      <c r="D1372" s="2" t="inlineStr">
        <is>
          <t>เติมสารละลายแอลกอฮอล์ลงในสารละลายน้ำ พร้อมกับคนให้เข้ากัน</t>
        </is>
      </c>
      <c r="E1372" s="2" t="inlineStr">
        <is>
          <t>เก็บไว้ในตู้เย็น อุณหภูมิ 8 องศาเซลเซียส</t>
        </is>
      </c>
      <c r="F1372" s="2" t="inlineStr">
        <is>
          <t>ต้องเติมสารกันเสีย เมื่อมีแอลกอฮอล์ต่ำกว่า 15-20%</t>
        </is>
      </c>
      <c r="G1372" s="2" t="inlineStr">
        <is>
          <t>เทสารละลายน้ำลงในสารละลายแอลกอฮอล์</t>
        </is>
      </c>
      <c r="H1372" s="2" t="inlineStr">
        <is>
          <t>น้ำมันหอมระเหยจะทำให้ elixirs ขุ่น จากการแยกตัวจากแอลกอฮอล์</t>
        </is>
      </c>
      <c r="I1372" s="8" t="inlineStr">
        <is>
          <t>1</t>
        </is>
      </c>
      <c r="J1372" s="2" t="inlineStr">
        <is>
          <t>✅ คำตอบที่ถูกต้อง: ข้อ ก. เติมสารละลายแอลกอฮอล์ลงในสารละลายน้ำ พร้อมกับคนให้เข้ากัน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เติมสารละลายแอลกอฮอล์ลงในสารละลายน้ำ พร้อมกับคนให้เข้ากัน 💡 คำอธิบายและเหตุผลทางเภสัชกรรม:
💡 คำอธิบายและเหตุผลทางเภสัชกรรม:
การเลือก เติมสารละลายแอลกอฮอล์ลงในสารละลายน้ำ พร้อมกับคนให้เข้ากัน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(เก็บไว้ในตู้เย็น อุณหภูมิ 8 องศาเซลเซียส): ข้อนี้ไม่ใช่คำตอบที่ถูกต้องสำหรับภาวะ Liquid &amp; Semisolids เนื่องจากกลไกการออกฤทธิ์, efficacy หรือข้อบ่งใช้ไม่ตรงกับโจทย์ที่กำหนด
• ข้อ ค. (ต้องเติมสารกันเสีย เมื่อมีแอลกอฮอล์ต่ำกว่า 15-20%): ข้อนี้ไม่ใช่คำตอบที่ถูกต้องสำหรับภาวะ Liquid &amp; Semisolids เนื่องจากกลไกการออกฤทธิ์, efficacy หรือข้อบ่งใช้ไม่ตรงกับโจทย์ที่กำหนด
• ข้อ ง. (เทสารละลายน้ำลงในสารละลายแอลกอฮอล์): ข้อนี้ไม่ใช่คำตอบที่ถูกต้องสำหรับภาวะ Liquid &amp; Semisolids เนื่องจากกลไกการออกฤทธิ์, efficacy หรือข้อบ่งใช้ไม่ตรงกับโจทย์ที่กำหนด
• ข้อ จ. (น้ำมันหอมระเหยจะทำให้ elixirs ขุ่น จากการแยกตัวจากแอลกอฮอล์):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2" s="2" t="n"/>
      <c r="L1372" s="2" t="inlineStr">
        <is>
          <t>Liquid &amp; Semisolids</t>
        </is>
      </c>
      <c r="M1372" s="2" t="inlineStr">
        <is>
          <t>Product</t>
        </is>
      </c>
      <c r="N1372" s="2" t="inlineStr">
        <is>
          <t>ข้อ 16 (PLE_CC1_Practice_Exam.md)</t>
        </is>
      </c>
      <c r="O1372" s="2" t="inlineStr">
        <is>
          <t>Mock</t>
        </is>
      </c>
      <c r="P1372" s="2" t="inlineStr">
        <is>
          <t>Mock สภาเภสัชฯ Practice</t>
        </is>
      </c>
    </row>
    <row r="1373" ht="13.2" customHeight="1" s="37">
      <c r="A1373" s="8" t="inlineStr">
        <is>
          <t>1394</t>
        </is>
      </c>
      <c r="B1373" s="2" t="inlineStr">
        <is>
          <t>สารใดไม่ละลายในแอลกอฮอล์</t>
        </is>
      </c>
      <c r="C1373" s="2" t="n"/>
      <c r="D1373" s="2" t="inlineStr">
        <is>
          <t>Orange oil</t>
        </is>
      </c>
      <c r="E1373" s="2" t="inlineStr">
        <is>
          <t>Glycerol</t>
        </is>
      </c>
      <c r="F1373" s="2" t="inlineStr">
        <is>
          <t>Vanillin</t>
        </is>
      </c>
      <c r="G1373" s="2" t="inlineStr">
        <is>
          <t>Syrup 299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H1373" s="2" t="inlineStr">
        <is>
          <t>Benzaldehyde - สป้ริต</t>
        </is>
      </c>
      <c r="I1373" s="8" t="inlineStr">
        <is>
          <t>1</t>
        </is>
      </c>
      <c r="J1373" s="2" t="inlineStr">
        <is>
          <t>✅ คำตอบที่ถูกต้อง: ข้อ ก. Orange oil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Orange oil การเลือก Orange oil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(Glycerol): ข้อนี้ไม่ใช่คำตอบที่ถูกต้องสำหรับภาวะ General Therapeutics เนื่องจากกลไกการออกฤทธิ์, efficacy หรือข้อบ่งใช้ไม่ตรงกับโจทย์ที่กำหนด
• ข้อ ค. (Vanillin): ข้อนี้ไม่ใช่คำตอบที่ถูกต้องสำหรับภาวะ General Therapeutics เนื่องจากกลไกการออกฤทธิ์, efficacy หรือข้อบ่งใช้ไม่ตรงกับโจทย์ที่กำหนด
• ข้อ ง. (Syrup 299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(Benzaldehyde - สป้ริต):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3" s="2" t="n"/>
      <c r="L1373" s="2" t="inlineStr">
        <is>
          <t>General Therapeutics</t>
        </is>
      </c>
      <c r="M1373" s="2" t="inlineStr">
        <is>
          <t>Clinic</t>
        </is>
      </c>
      <c r="N1373" s="2" t="inlineStr">
        <is>
          <t>ข้อ 18 (PLE_CC1_Practice_Exam.md)</t>
        </is>
      </c>
      <c r="O1373" s="2" t="inlineStr">
        <is>
          <t>Mock</t>
        </is>
      </c>
      <c r="P1373" s="2" t="inlineStr">
        <is>
          <t>Mock สภาเภสัชฯ Practice</t>
        </is>
      </c>
    </row>
    <row r="1374" ht="13.2" customHeight="1" s="37">
      <c r="A1374" s="8" t="inlineStr">
        <is>
          <t>1395</t>
        </is>
      </c>
      <c r="B1374" s="2" t="inlineStr">
        <is>
          <t>มีปริมาณของ Alcohol มากกว่า 40%</t>
        </is>
      </c>
      <c r="C1374" s="2" t="n"/>
      <c r="D1374" s="2" t="inlineStr">
        <is>
          <t>Dimercaprol (BAL) 3 mg/kg IM</t>
        </is>
      </c>
      <c r="E1374" s="2" t="inlineStr">
        <is>
          <t>Ethanol 10% IV infusion for Methanol poisoning</t>
        </is>
      </c>
      <c r="F1374" s="2" t="inlineStr">
        <is>
          <t>Fomepizole 15 mg/kg IV loading</t>
        </is>
      </c>
      <c r="G1374" s="2" t="inlineStr">
        <is>
          <t>N-acetylcysteine (NAC) IV infusion protocol</t>
        </is>
      </c>
      <c r="H1374" s="2" t="inlineStr">
        <is>
          <t>Atropine sulfate 2 mg IV Q5-10 min</t>
        </is>
      </c>
      <c r="I1374" s="8" t="inlineStr">
        <is>
          <t>1</t>
        </is>
      </c>
      <c r="J13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4" s="2" t="n"/>
      <c r="L1374" s="2" t="inlineStr">
        <is>
          <t>General Therapeutics</t>
        </is>
      </c>
      <c r="M1374" s="2" t="inlineStr">
        <is>
          <t>Clinic</t>
        </is>
      </c>
      <c r="N1374" s="2" t="inlineStr">
        <is>
          <t>ข้อ 1 (PLE_CC1_Practice_Exam.md)</t>
        </is>
      </c>
      <c r="O1374" s="2" t="inlineStr">
        <is>
          <t>Mock</t>
        </is>
      </c>
      <c r="P1374" s="2" t="inlineStr">
        <is>
          <t>Mock สภาเภสัชฯ Practice</t>
        </is>
      </c>
    </row>
    <row r="1375" ht="13.2" customHeight="1" s="37">
      <c r="A1375" s="8" t="inlineStr">
        <is>
          <t>1396</t>
        </is>
      </c>
      <c r="B1375" s="2" t="inlineStr">
        <is>
          <t>อุปกรณ์ที่ใช้เตรียมต้องแห้งสนิท</t>
        </is>
      </c>
      <c r="C1375" s="2" t="n"/>
      <c r="D1375" s="2" t="inlineStr">
        <is>
          <t>N-acetylcysteine (NAC) IV infusion protocol</t>
        </is>
      </c>
      <c r="E1375" s="2" t="inlineStr">
        <is>
          <t>Atropine sulfate 2 mg IV Q5-10 min</t>
        </is>
      </c>
      <c r="F1375" s="2" t="inlineStr">
        <is>
          <t>Pralidoxime (2-PAM) 1-2 g IV over 30 min</t>
        </is>
      </c>
      <c r="G1375" s="2" t="inlineStr">
        <is>
          <t>Naloxone 0.4 mg IV stat</t>
        </is>
      </c>
      <c r="H1375" s="2" t="inlineStr">
        <is>
          <t>Flumazenil 0.2 mg IV stat</t>
        </is>
      </c>
      <c r="I1375" s="8" t="inlineStr">
        <is>
          <t>1</t>
        </is>
      </c>
      <c r="J13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75" s="2" t="n"/>
      <c r="L1375" s="2" t="inlineStr">
        <is>
          <t>General Therapeutics</t>
        </is>
      </c>
      <c r="M1375" s="2" t="inlineStr">
        <is>
          <t>Clinic</t>
        </is>
      </c>
      <c r="N1375" s="2" t="inlineStr">
        <is>
          <t>ข้อ 2 (PLE_CC1_Practice_Exam.md)</t>
        </is>
      </c>
      <c r="O1375" s="2" t="inlineStr">
        <is>
          <t>Mock</t>
        </is>
      </c>
      <c r="P1375" s="2" t="inlineStr">
        <is>
          <t>Mock สภาเภสัชฯ Practice</t>
        </is>
      </c>
    </row>
    <row r="1376" ht="13.2" customHeight="1" s="37">
      <c r="A1376" s="8" t="inlineStr">
        <is>
          <t>1397</t>
        </is>
      </c>
      <c r="B1376" s="2" t="inlineStr">
        <is>
          <t>กระดาษกรองต้องเปียกด้วย Purified water</t>
        </is>
      </c>
      <c r="C1376" s="2" t="n"/>
      <c r="D1376" s="2" t="inlineStr">
        <is>
          <t>Naloxone 0.4 mg IV stat</t>
        </is>
      </c>
      <c r="E1376" s="2" t="inlineStr">
        <is>
          <t>Flumazenil 0.2 mg IV stat</t>
        </is>
      </c>
      <c r="F1376" s="2" t="inlineStr">
        <is>
          <t>Vitamin K1 (Phytomenadione) 10 mg IV slow</t>
        </is>
      </c>
      <c r="G1376" s="2" t="inlineStr">
        <is>
          <t>Sodium thiosulfate 25% 50 mL IV</t>
        </is>
      </c>
      <c r="H1376" s="2" t="inlineStr">
        <is>
          <t>Calcium disodium EDTA 1 g IV</t>
        </is>
      </c>
      <c r="I1376" s="8" t="inlineStr">
        <is>
          <t>1</t>
        </is>
      </c>
      <c r="J13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376" s="2" t="n"/>
      <c r="L1376" s="2" t="inlineStr">
        <is>
          <t>General Therapeutics</t>
        </is>
      </c>
      <c r="M1376" s="2" t="inlineStr">
        <is>
          <t>Clinic</t>
        </is>
      </c>
      <c r="N1376" s="2" t="inlineStr">
        <is>
          <t>ข้อ 3 (PLE_CC1_Practice_Exam.md)</t>
        </is>
      </c>
      <c r="O1376" s="2" t="inlineStr">
        <is>
          <t>Mock</t>
        </is>
      </c>
      <c r="P1376" s="2" t="inlineStr">
        <is>
          <t>Mock สภาเภสัชฯ Practice</t>
        </is>
      </c>
    </row>
    <row r="1377" ht="13.2" customHeight="1" s="37">
      <c r="A1377" s="8" t="inlineStr">
        <is>
          <t>1398</t>
        </is>
      </c>
      <c r="B1377" s="2" t="inlineStr">
        <is>
          <t>ไม่ควรใช้ความร้อนในการเตรียม</t>
        </is>
      </c>
      <c r="C1377" s="2" t="n"/>
      <c r="D1377" s="2" t="inlineStr">
        <is>
          <t>1.) และ 2.)</t>
        </is>
      </c>
      <c r="E1377" s="2" t="inlineStr">
        <is>
          <t>1.) และ 3.)</t>
        </is>
      </c>
      <c r="F1377" s="2" t="inlineStr">
        <is>
          <t>2.) และ 3.)</t>
        </is>
      </c>
      <c r="G1377" s="2" t="inlineStr">
        <is>
          <t>2.) และ 4.)</t>
        </is>
      </c>
      <c r="H1377" s="2" t="inlineStr">
        <is>
          <t>ถูกทุกข้อ</t>
        </is>
      </c>
      <c r="I1377" s="8" t="inlineStr">
        <is>
          <t>1</t>
        </is>
      </c>
      <c r="J1377" s="2" t="inlineStr">
        <is>
          <t>✅ คำตอบที่ถูกต้อง: ข้อ ก. 1.) และ 2.)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1.) และ 2.) การเลือก 1.) และ 2.)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(1.) และ 3.)): ข้อนี้ไม่ใช่คำตอบที่ถูกต้องสำหรับภาวะ General Therapeutics เนื่องจากกลไกการออกฤทธิ์, efficacy หรือข้อบ่งใช้ไม่ตรงกับโจทย์ที่กำหนด
• ข้อ ค. (2.) และ 3.)): ข้อนี้ไม่ใช่คำตอบที่ถูกต้องสำหรับภาวะ General Therapeutics เนื่องจากกลไกการออกฤทธิ์, efficacy หรือข้อบ่งใช้ไม่ตรงกับโจทย์ที่กำหนด
• ข้อ ง. (2.) และ 4.)):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7" s="2" t="n"/>
      <c r="L1377" s="2" t="inlineStr">
        <is>
          <t>General Therapeutics</t>
        </is>
      </c>
      <c r="M1377" s="2" t="inlineStr">
        <is>
          <t>Clinic</t>
        </is>
      </c>
      <c r="N1377" s="2" t="inlineStr">
        <is>
          <t>ข้อ 4 (PLE_CC1_Practice_Exam.md)</t>
        </is>
      </c>
      <c r="O1377" s="2" t="inlineStr">
        <is>
          <t>Mock</t>
        </is>
      </c>
      <c r="P1377" s="2" t="inlineStr">
        <is>
          <t>Mock สภาเภสัชฯ Practice</t>
        </is>
      </c>
    </row>
    <row r="1378" ht="13.2" customHeight="1" s="37">
      <c r="A1378" s="8" t="inlineStr">
        <is>
          <t>1399</t>
        </is>
      </c>
      <c r="B1378" s="2" t="inlineStr">
        <is>
          <t>ข้อใดไม่ใช่คุณสมบัติของสารช่วยแขวนตะกอนที่ดี</t>
        </is>
      </c>
      <c r="C1378" s="2" t="n"/>
      <c r="D1378" s="2" t="inlineStr">
        <is>
          <t>คงสภาวะ และมีการกระจายตัวสม่ำเสมอ โดยผงยาสามารถกระจายตัวได้ง่าย และไม่เกิดการแยกชั้น</t>
        </is>
      </c>
      <c r="E1378" s="2" t="inlineStr">
        <is>
          <t>ความหนืดไม่เปลี่ยนแปลงตามอุณหภูมิ</t>
        </is>
      </c>
      <c r="F1378" s="2" t="inlineStr">
        <is>
          <t>ทนต่อการเปลี่ยนแปลงความเป็นกรด-ด่าง</t>
        </is>
      </c>
      <c r="G1378" s="2" t="inlineStr">
        <is>
          <t>ไม่เป็นพิษ และเข้ากันกับสารอื่นๆในตำรับยาเตรียม</t>
        </is>
      </c>
      <c r="H1378" s="2" t="inlineStr">
        <is>
          <t>ทำให้ตัวยามีฤทธิ์ในการรักษาเพิ่มขึ้น 302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I1378" s="8" t="inlineStr">
        <is>
          <t>1</t>
        </is>
      </c>
      <c r="J1378" s="2" t="inlineStr">
        <is>
          <t>✅ คำตอบที่ถูกต้อง: ข้อ ก. คงสภาวะ และมีการกระจายตัวสม่ำเสมอ โดยผงยาสามารถกระจายตัวได้ง่าย และไม่เกิดการแยกชั้น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คงสภาวะ และมีการกระจายตัวสม่ำเสมอ โดยผงยาสามารถกระจายตัวได้ง่าย และไม่เกิดการแยกชั้น การเลือก คงสภาวะ และมีการกระจายตัวสม่ำเสมอ โดยผงยาสามารถกระจายตัวได้ง่าย และไม่เกิดการแยกชั้น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(ความหนืดไม่เปลี่ยนแปลงตามอุณหภูมิ): ข้อนี้ไม่ใช่คำตอบที่ถูกต้องสำหรับภาวะ General Therapeutics เนื่องจากกลไกการออกฤทธิ์, efficacy หรือข้อบ่งใช้ไม่ตรงกับโจทย์ที่กำหนด
• ข้อ ค. (ทนต่อการเปลี่ยนแปลงความเป็นกรด-ด่าง): ข้อนี้ไม่ใช่คำตอบที่ถูกต้องสำหรับภาวะ General Therapeutics เนื่องจากกลไกการออกฤทธิ์, efficacy หรือข้อบ่งใช้ไม่ตรงกับโจทย์ที่กำหนด
• ข้อ ง. (ไม่เป็นพิษ และเข้ากันกับสารอื่นๆในตำรับยาเตรียม): ข้อนี้ไม่ใช่คำตอบที่ถูกต้องสำหรับภาวะ General Therapeutics เนื่องจากกลไกการออกฤทธิ์, efficacy หรือข้อบ่งใช้ไม่ตรงกับโจทย์ที่กำหนด
• ข้อ จ. (ทำให้ตัวยามีฤทธิ์ในการรักษาเพิ่มขึ้น 302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8" s="2" t="n"/>
      <c r="L1378" s="2" t="inlineStr">
        <is>
          <t>General Therapeutics</t>
        </is>
      </c>
      <c r="M1378" s="2" t="inlineStr">
        <is>
          <t>Clinic</t>
        </is>
      </c>
      <c r="N1378" s="2" t="inlineStr">
        <is>
          <t>ข้อ 26 (PLE_CC1_Practice_Exam.md)</t>
        </is>
      </c>
      <c r="O1378" s="2" t="inlineStr">
        <is>
          <t>Mock</t>
        </is>
      </c>
      <c r="P1378" s="2" t="inlineStr">
        <is>
          <t>Mock สภาเภสัชฯ Practice</t>
        </is>
      </c>
    </row>
    <row r="1379" ht="13.2" customHeight="1" s="37">
      <c r="A1379" s="8" t="inlineStr">
        <is>
          <t>1400</t>
        </is>
      </c>
      <c r="B1379" s="2" t="inlineStr">
        <is>
          <t>ข้อใดเป็นตำรับอิมัลชันชนิด W/O</t>
        </is>
      </c>
      <c r="C1379" s="2" t="n"/>
      <c r="D1379" s="2" t="inlineStr">
        <is>
          <t>ทดสอบ dilution test เข้ากันได้กับน้ำและไม่เข้ากันกับน้ำมัน</t>
        </is>
      </c>
      <c r="E1379" s="2" t="inlineStr">
        <is>
          <t>ทดสอบ miscibility test เข้ากันได้กับน้ำและไม่เข้ากันกับน้ำมัน</t>
        </is>
      </c>
      <c r="F1379" s="2" t="inlineStr">
        <is>
          <t>ดูด้วยกล้องจุลทรรศน์เห็นหยดอนุภาคที่มีสีอยู่บนอนุภาคที่ไม่มีสี</t>
        </is>
      </c>
      <c r="G1379" s="2" t="inlineStr">
        <is>
          <t>ถ้าใส่ขั้วหลอดไฟฟ้าในการทดสอบ conductivity test หลอดไฟจะติดๆดับๆ 304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H1379" s="2" t="inlineStr">
        <is>
          <t>ถ้าใส่ขั้วหลอดไฟฟ้าในการทดสอบ conductivity test หลอดไฟจะติสว่าง</t>
        </is>
      </c>
      <c r="I1379" s="8" t="inlineStr">
        <is>
          <t>1</t>
        </is>
      </c>
      <c r="J1379" s="2" t="inlineStr">
        <is>
          <t>✅ คำตอบที่ถูกต้อง: ข้อ ก. ทดสอบ dilution test เข้ากันได้กับน้ำและไม่เข้ากันกับน้ำมัน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ทดสอบ dilution test เข้ากันได้กับน้ำและไม่เข้ากันกับน้ำมัน 💡 คำอธิบายและเหตุผลทางเภสัชกรรม:
💡 คำอธิบายและเหตุผลทางเภสัชกรรม:
การเลือก ทดสอบ dilution test เข้ากันได้กับน้ำและไม่เข้ากันกับน้ำมัน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ข. (ทดสอบ miscibility test เข้ากันได้กับน้ำและไม่เข้ากันกับน้ำมัน): ข้อนี้ไม่ใช่คำตอบที่ถูกต้องสำหรับภาวะ Liquid &amp; Semisolids เนื่องจากกลไกการออกฤทธิ์, efficacy หรือข้อบ่งใช้ไม่ตรงกับโจทย์ที่กำหนด
• ข้อ ค. (ดูด้วยกล้องจุลทรรศน์เห็นหยดอนุภาคที่มีสีอยู่บนอนุภาคที่ไม่มีสี): ข้อนี้ไม่ใช่คำตอบที่ถูกต้องสำหรับภาวะ Liquid &amp; Semisolids เนื่องจากกลไกการออกฤทธิ์, efficacy หรือข้อบ่งใช้ไม่ตรงกับโจทย์ที่กำหนด
• ข้อ ง. (ถ้าใส่ขั้วหลอดไฟฟ้าในการทดสอบ conductivity test หลอดไฟจะติดๆดับๆ 304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ข้อนี้ไม่ใช่คำตอบที่ถูกต้องสำหรับภาวะ Liquid &amp; Semisolids เนื่องจากกลไกการออกฤทธิ์, efficacy หรือข้อบ่งใช้ไม่ตรงกับโจทย์ที่กำหนด
• ข้อ จ. (ถ้าใส่ขั้วหลอดไฟฟ้าในการทดสอบ conductivity test หลอดไฟจะติสว่าง):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9" s="2" t="n"/>
      <c r="L1379" s="2" t="inlineStr">
        <is>
          <t>Liquid &amp; Semisolids</t>
        </is>
      </c>
      <c r="M1379" s="2" t="inlineStr">
        <is>
          <t>Product</t>
        </is>
      </c>
      <c r="N1379" s="2" t="inlineStr">
        <is>
          <t>ข้อ 32 (PLE_CC1_Practice_Exam.md)</t>
        </is>
      </c>
      <c r="O1379" s="2" t="inlineStr">
        <is>
          <t>Mock</t>
        </is>
      </c>
      <c r="P1379" s="2" t="inlineStr">
        <is>
          <t>Mock สภาเภสัชฯ Practice</t>
        </is>
      </c>
    </row>
    <row r="1380" ht="13.2" customHeight="1" s="37">
      <c r="A1380" s="8" t="inlineStr">
        <is>
          <t>1401</t>
        </is>
      </c>
      <c r="B1380" s="2" t="inlineStr">
        <is>
          <t>ข้อใดถูกต้องเกี่ยวกับตำรับ Camphor liniment</t>
        </is>
      </c>
      <c r="C1380" s="2" t="n"/>
      <c r="D1380" s="2" t="inlineStr">
        <is>
          <t>ใช้เป็นยาถูนวด</t>
        </is>
      </c>
      <c r="E1380" s="2" t="inlineStr">
        <is>
          <t>ใช้เป็นยารับประทานแก้ปวดข้อ</t>
        </is>
      </c>
      <c r="F1380" s="2" t="inlineStr">
        <is>
          <t>เป็นยาใช้ภายนอก</t>
        </is>
      </c>
      <c r="G1380" s="2" t="inlineStr">
        <is>
          <t>ข้อ ก และ ค ถูก</t>
        </is>
      </c>
      <c r="H1380" s="2" t="inlineStr">
        <is>
          <t>ข้อ ก, ข, และ ค ถูก</t>
        </is>
      </c>
      <c r="I1380" s="8" t="inlineStr">
        <is>
          <t>1</t>
        </is>
      </c>
      <c r="J1380" s="2" t="inlineStr">
        <is>
          <t>✅ คำตอบที่ถูกต้อง: ข้อ ก. ใช้เป็นยาถูนวด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ใช้เป็นยาถูนวด การเลือก ใช้เป็นยาถูนวด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(ใช้เป็นยารับประทานแก้ปวดข้อ): ข้อนี้ไม่ใช่คำตอบที่ถูกต้องสำหรับภาวะ General Therapeutics เนื่องจากกลไกการออกฤทธิ์, efficacy หรือข้อบ่งใช้ไม่ตรงกับโจทย์ที่กำหนด
• ข้อ ค. (เป็นยาใช้ภายนอก): ข้อนี้ไม่ใช่คำตอบที่ถูกต้องสำหรับภาวะ General Therapeutics เนื่องจากกลไกการออกฤทธิ์, efficacy หรือข้อบ่งใช้ไม่ตรงกับโจทย์ที่กำหนด
• ข้อ ง. (ข้อ ก และ ค ถูก): ข้อนี้ไม่ใช่คำตอบที่ถูกต้องสำหรับภาวะ General Therapeutics เนื่องจากกลไกการออกฤทธิ์, efficacy หรือข้อบ่งใช้ไม่ตรงกับโจทย์ที่กำหนด
• ข้อ จ. (ข้อ ก, ข, และ ค ถูก):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0" s="2" t="n"/>
      <c r="L1380" s="2" t="inlineStr">
        <is>
          <t>General Therapeutics</t>
        </is>
      </c>
      <c r="M1380" s="2" t="inlineStr">
        <is>
          <t>Clinic</t>
        </is>
      </c>
      <c r="N1380" s="2" t="inlineStr">
        <is>
          <t>ข้อ 38 (PLE_CC1_Practice_Exam.md)</t>
        </is>
      </c>
      <c r="O1380" s="2" t="inlineStr">
        <is>
          <t>Mock</t>
        </is>
      </c>
      <c r="P1380" s="2" t="inlineStr">
        <is>
          <t>Mock สภาเภสัชฯ Practice</t>
        </is>
      </c>
    </row>
    <row r="1381" ht="13.2" customHeight="1" s="37">
      <c r="A1381" s="8" t="inlineStr">
        <is>
          <t>1402</t>
        </is>
      </c>
      <c r="B1381" s="2" t="inlineStr">
        <is>
          <t>ขั้นตอนการเตรียม Camphor liniment ข้อใดผิด</t>
        </is>
      </c>
      <c r="C1381" s="2" t="n"/>
      <c r="D1381" s="2" t="inlineStr">
        <is>
          <t>ชั่ง Camphor และ Cottonseed Oil ให้ได้ตามที่ตำรับกำหนด</t>
        </is>
      </c>
      <c r="E1381" s="2" t="inlineStr">
        <is>
          <t>นำ Cottonseed Oil ลงในบีกเกอร์</t>
        </is>
      </c>
      <c r="F1381" s="2" t="inlineStr">
        <is>
          <t>ให้ความร้อนโดยนำวางบน steam bath</t>
        </is>
      </c>
      <c r="G1381" s="2" t="inlineStr">
        <is>
          <t>เติม Camphor ลงไปขณะที่กำลังให้ความร้อนอยู่</t>
        </is>
      </c>
      <c r="H1381" s="2" t="inlineStr">
        <is>
          <t>ใช้แท่งแก้วคนสาร คนผสมให้เป็นเนื้อเดียวกัน</t>
        </is>
      </c>
      <c r="I1381" s="8" t="inlineStr">
        <is>
          <t>1</t>
        </is>
      </c>
      <c r="J1381" s="2" t="inlineStr">
        <is>
          <t>✅ คำตอบที่ถูกต้อง: ข้อ ก. ชั่ง Camphor และ Cottonseed Oil ให้ได้ตามที่ตำรับกำหนด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ชั่ง Camphor และ Cottonseed Oil ให้ได้ตามที่ตำรับกำหนด การเลือก ชั่ง Camphor และ Cottonseed Oil ให้ได้ตามที่ตำรับกำหนด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(นำ Cottonseed Oil ลงในบีกเกอร์): ข้อนี้ไม่ใช่คำตอบที่ถูกต้องสำหรับภาวะ General Therapeutics เนื่องจากกลไกการออกฤทธิ์, efficacy หรือข้อบ่งใช้ไม่ตรงกับโจทย์ที่กำหนด
• ข้อ ค. (ให้ความร้อนโดยนำวางบน steam bath): ข้อนี้ไม่ใช่คำตอบที่ถูกต้องสำหรับภาวะ General Therapeutics เนื่องจากกลไกการออกฤทธิ์, efficacy หรือข้อบ่งใช้ไม่ตรงกับโจทย์ที่กำหนด
• ข้อ ง. (เติม Camphor ลงไปขณะที่กำลังให้ความร้อนอยู่): ข้อนี้ไม่ใช่คำตอบที่ถูกต้องสำหรับภาวะ General Therapeutics เนื่องจากกลไกการออกฤทธิ์, efficacy หรือข้อบ่งใช้ไม่ตรงกับโจทย์ที่กำหนด
• ข้อ จ. (ใช้แท่งแก้วคนสาร คนผสมให้เป็นเนื้อเดียวกัน):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1" s="2" t="n"/>
      <c r="L1381" s="2" t="inlineStr">
        <is>
          <t>General Therapeutics</t>
        </is>
      </c>
      <c r="M1381" s="2" t="inlineStr">
        <is>
          <t>Clinic</t>
        </is>
      </c>
      <c r="N1381" s="2" t="inlineStr">
        <is>
          <t>ข้อ 39 (PLE_CC1_Practice_Exam.md)</t>
        </is>
      </c>
      <c r="O1381" s="2" t="inlineStr">
        <is>
          <t>Mock</t>
        </is>
      </c>
      <c r="P1381" s="2" t="inlineStr">
        <is>
          <t>Mock สภาเภสัชฯ Practice</t>
        </is>
      </c>
    </row>
    <row r="1382" ht="13.2" customHeight="1" s="37">
      <c r="A1382" s="8" t="inlineStr">
        <is>
          <t>1403</t>
        </is>
      </c>
      <c r="B1382" s="2" t="inlineStr">
        <is>
          <t>Camphor ในตำรับนี้มีหน้าที่ใด</t>
        </is>
      </c>
      <c r="C1382" s="2" t="n"/>
      <c r="D1382" s="2" t="inlineStr">
        <is>
          <t>Active ingredient</t>
        </is>
      </c>
      <c r="E1382" s="2" t="inlineStr">
        <is>
          <t>Flavoring agent</t>
        </is>
      </c>
      <c r="F1382" s="2" t="inlineStr">
        <is>
          <t>Vehicle</t>
        </is>
      </c>
      <c r="G1382" s="2" t="inlineStr">
        <is>
          <t>ก และ ข ถูก</t>
        </is>
      </c>
      <c r="H1382" s="2" t="inlineStr">
        <is>
          <t>ไม่มีข้อถูก 307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โดย ฝ่ายวิชาการ สโมสรนักศึกษาคณะเภสัชศาสตร์ มหาวิทยาลัยพายัพ ข้อ 1. เฉลย ค. เพราะยาน้ำใสเป็นยาที่มีตัวยาอย่างน้อยหนึ่งชนิดละลายเป็นเนื้อเดียวกันจะไม่มีการแขวน ตะกอนของตัวยา ข้อ 2. เฉลย ง. Fer-In-Sol Drops เป็นยาน้ำใสชนิดรับประทาน ข้อ 3. เฉลย ข. เพราะยาน้ำมักจะมีอายุสั้นกว่ายาในรูปแบบเม็ดหรือของแข็ง ข้อ 4. เฉลย ง. ไม่มีตัวยาสำคัญ ข้อ 5. เฉลย ง. ใช้ Gum acacia เป็น emulsifying agent ข้อ 6. เฉลย ก. เกิดเป็น Macro-complex ทำให้ไม่สามารถผ่านเข้าสู่เยื่อหุ้มเซลล์ของเชื้อได้ ข้อ 7. เฉลย จ. Aromatic Waters มีปริมาณของ Alcohol ในตำรับน้อยกว่า Spirits และ Aromatic Waters มีปริมาณของสารหอมระเหย ในตำรับน้อยกว่า Spirits ข้อ 8. เฉลย ก. Filter aid (ตัวช่วยการกรอง) และ Dispersing agent (สารช่วยกระจายตัว) Talcum เป็นตัว ผิวมีส่วนที่สัมผัสกับน้ำกระสายยาได้มากขึ้น นอกจากนี้ talcum ยังเป็น filter aid ทำให้การกรองมี ประสิทธิภาพมากขึ้น ทำให้กรองได้ใส เร็ว และประหยัดเวลา ข้อ 9. เฉลย ข. Pulverization by intervention เป็นเทคนิคการบดสารเป็นลงละเอียดโดยใช้สารช่วย เช่น บด Camphor โดยใช้ alcohol เติมลงไปทีละน้อยช่วยให้บดง่ายขึ้น ข้อ 10. เฉลย ข. Solution (การละลาย) ข้อ 11. เฉลย ข. การละลาย Sucrose โดยการเขย่า และ ไม่ใช้ความร้อน เนื่องจากเป็นวิธีที่สามารถเลี่ยงการ เกิด Inversion ได้ ข้อ 12. เฉลย ก. การละลาย Sucrose โดยใช้ความร้อน, กรด เนื่องจากการเตรียมโดยใช้กรดและความร้อน เร่งให้เกิดปฏิกิริยา Hydrolysis ทำให้เกิดการสลายตัวของ Sucrose เป็น Monosaccharide ทำให้ตำรับบูด เสียง่าย เนื่องจากเกิด Inverse sugar ข้อ 13. เฉลย ง. Sucrose สลายตัวได้ 2 ทางคือ 1. Hydrolysis และ 2. Fermentation ข้อ 14. เฉลย ข. สูตรตำรับ Syrup ที่ประกอบด้วย Sucrose 85% w/v มีคุณสมบัติเป็น Self-preservative ดังนั้นไม่จำเป็นต้องเติม preservative เข้าไปในตำรับอีก ข้อ 15. เฉลย ค. Compound Benzaldehyde Elixirs ไม่มี therapeutics effect ใช้เป็น ก. Vehicle 308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t>
        </is>
      </c>
      <c r="I1382" s="8" t="inlineStr">
        <is>
          <t>2</t>
        </is>
      </c>
      <c r="J1382" s="2" t="inlineStr">
        <is>
          <t>✅ คำตอบที่ถูกต้อง: ข้อ ข. Flavoring agent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Flavoring agent ช่วยกระจายและเร่งการละลายของ oil ให้เร็วขึ้น เนื่องจาก talcum มีพื้นที่ผิวมาก ทำให้ oil ที่ดูดซับอยู่บน ใช้ทาเฉพาะที่ตัวยาจะถูกดูดซึมได้เร็วและแผ่กระจายได้ดี,เพิ่มการดูดซึมของตัวยาบางชนิดได้, ใช้ในผู้ป่วยที่ไม่
🔍 ข้ออื่นผิดเพราะอะไร:
• ข้อ ก. (Active ingredient): ข้อนี้ไม่ใช่คำตอบที่ถูกต้องสำหรับภาวะ General Therapeutics เนื่องจากกลไกการออกฤทธิ์, efficacy หรือข้อบ่งใช้ไม่ตรงกับโจทย์ที่กำหนด
• ข้อ ค. (Vehicle): ข้อนี้ไม่ใช่คำตอบที่ถูกต้องสำหรับภาวะ General Therapeutics เนื่องจากกลไกการออกฤทธิ์, efficacy หรือข้อบ่งใช้ไม่ตรงกับโจทย์ที่กำหนด
• ข้อ ง. (ก และ ข ถูก):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(ไม่มีข้อถูก 307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โดย ฝ่ายวิชาการ สโมสรนักศึกษาคณะเภสัชศาสตร์ มหาวิทยาลัยพายัพ ข้อ 1. เฉลย ค. เพราะยาน้ำใสเป็นยาที่มีตัวยาอย่างน้อยหนึ่งชนิดละลายเป็นเนื้อเดียวกันจะไม่มีการแขวน ตะกอนของตัวยา ข้อ 2. เฉลย ง. Fer-In-Sol Drops เป็นยาน้ำใสชนิดรับประทาน ข้อ 3. เฉลย ข. เพราะยาน้ำมักจะมีอายุสั้นกว่ายาในรูปแบบเม็ดหรือของแข็ง ข้อ 4. เฉลย ง. ไม่มีตัวยาสำคัญ ข้อ 5. เฉลย ง. ใช้ Gum acacia เป็น emulsifying agent ข้อ 6. เฉลย ก. เกิดเป็น Macro-complex ทำให้ไม่สามารถผ่านเข้าสู่เยื่อหุ้มเซลล์ของเชื้อได้ ข้อ 7. เฉลย จ. Aromatic Waters มีปริมาณของ Alcohol ในตำรับน้อยกว่า Spirits และ Aromatic Waters มีปริมาณของสารหอมระเหย ในตำรับน้อยกว่า Spirits ข้อ 8. เฉลย ก. Filter aid (ตัวช่วยการกรอง) และ Dispersing agent (สารช่วยกระจายตัว) Talcum เป็นตัว ผิวมีส่วนที่สัมผัสกับน้ำกระสายยาได้มากขึ้น นอกจากนี้ talcum ยังเป็น filter aid ทำให้การกรองมี ประสิทธิภาพมากขึ้น ทำให้กรองได้ใส เร็ว และประหยัดเวลา ข้อ 9. เฉลย ข. Pulverization by intervention เป็นเทคนิคการบดสารเป็นลงละเอียดโดยใช้สารช่วย เช่น บด Camphor โดยใช้ alcohol เติมลงไปทีละน้อยช่วยให้บดง่ายขึ้น ข้อ 10. เฉลย ข. Solution (การละลาย) ข้อ 11. เฉลย ข. การละลาย Sucrose โดยการเขย่า และ ไม่ใช้ความร้อน เนื่องจากเป็นวิธีที่สามารถเลี่ยงการ เกิด Inversion ได้ ข้อ 12. เฉลย ก. การละลาย Sucrose โดยใช้ความร้อน, กรด เนื่องจากการเตรียมโดยใช้กรดและความร้อน เร่งให้เกิดปฏิกิริยา Hydrolysis ทำให้เกิดการสลายตัวของ Sucrose เป็น Monosaccharide ทำให้ตำรับบูด เสียง่าย เนื่องจากเกิด Inverse sugar ข้อ 13. เฉลย ง. Sucrose สลายตัวได้ 2 ทางคือ 1. Hydrolysis และ 2. Fermentation ข้อ 14. เฉลย ข. สูตรตำรับ Syrup ที่ประกอบด้วย Sucrose 85% w/v มีคุณสมบัติเป็น Self-preservative ดังนั้นไม่จำเป็นต้องเติม preservative เข้าไปในตำรับอีก ข้อ 15. เฉลย ค. Compound Benzaldehyde Elixirs ไม่มี therapeutics effect ใช้เป็น ก. Vehicle 308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เป็น Glidant และ Lubricant เสริม แต่มีคุณสมบัติ hydrophobic ต้องควบคุมปริมาณให้เหมาะสม (มักใช้ 1-5%)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2" s="2" t="n"/>
      <c r="L1382" s="2" t="inlineStr">
        <is>
          <t>General Therapeutics</t>
        </is>
      </c>
      <c r="M1382" s="2" t="inlineStr">
        <is>
          <t>Clinic</t>
        </is>
      </c>
      <c r="N1382" s="2" t="inlineStr">
        <is>
          <t>ข้อ 40 (PLE_CC1_Practice_Exam.md)</t>
        </is>
      </c>
      <c r="O1382" s="2" t="inlineStr">
        <is>
          <t>Mock</t>
        </is>
      </c>
      <c r="P1382" s="2" t="inlineStr">
        <is>
          <t>Mock สภาเภสัชฯ Practice</t>
        </is>
      </c>
    </row>
    <row r="1383" ht="13.2" customHeight="1" s="37">
      <c r="A1383" s="8" t="inlineStr">
        <is>
          <t>1404</t>
        </is>
      </c>
      <c r="B1383" s="2" t="inlineStr">
        <is>
          <t>Zinc Oxide และ Calcium Hydroxide เป็นสารสำคัญในตำรับ</t>
        </is>
      </c>
      <c r="C1383" s="2" t="n"/>
      <c r="D1383" s="2" t="inlineStr">
        <is>
          <t>Standardized Andrographolide in Andrographis paniculata</t>
        </is>
      </c>
      <c r="E1383" s="2" t="inlineStr">
        <is>
          <t>Senna glycosides (Sennosides A &amp; B) Extraction</t>
        </is>
      </c>
      <c r="F1383" s="2" t="inlineStr">
        <is>
          <t>Centella asiatica (Madecassoside &amp; Asiaticoside)</t>
        </is>
      </c>
      <c r="G1383" s="2" t="inlineStr">
        <is>
          <t>Gingerol quantification in Zingiber officinale</t>
        </is>
      </c>
      <c r="H1383" s="2" t="inlineStr">
        <is>
          <t>Maceration with Ethanol 70% solvent</t>
        </is>
      </c>
      <c r="I1383" s="8" t="inlineStr">
        <is>
          <t>1</t>
        </is>
      </c>
      <c r="J1383" s="2" t="inlineStr">
        <is>
          <t>✅ คำตอบที่ถูกต้อง: ข้อ ก. Standardized Andrographolide in Andrographis paniculata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Standardized Andrographolide in Andrographis paniculata 💡 คำอธิบายและเหตุผลทางเภสัชกรรม:
💡 คำอธิบายและเหตุผลทางเภสัชกรรม:
การเลือก Standardized Andrographolide in Andrographis paniculata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(Senna glycosides (Sennosides A &amp; B) Extraction): เป็น Anthraquinone stimulant laxative กระตุ้น myenteric plexus แต่การใช้ระยะยาวอาจทำให้เกิด melanosis coli และ bowel dependence
• ข้อ ค. (Centella asiatica (Madecassoside &amp; Asiaticoside)): ข้อนี้ไม่ใช่คำตอบที่ถูกต้องสำหรับภาวะ Herbal Medicine เนื่องจากกลไกการออกฤทธิ์, efficacy หรือข้อบ่งใช้ไม่ตรงกับโจทย์ที่กำหนด
• ข้อ ง. (Gingerol quantification in Zingiber officinale): ข้อนี้ไม่ใช่คำตอบที่ถูกต้องสำหรับภาวะ Herbal Medicine เนื่องจากกลไกการออกฤทธิ์, efficacy หรือข้อบ่งใช้ไม่ตรงกับโจทย์ที่กำหนด
• ข้อ จ. (Maceration with Ethanol 70% solvent):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3" s="2" t="n"/>
      <c r="L1383" s="2" t="inlineStr">
        <is>
          <t>Herbal Medicine</t>
        </is>
      </c>
      <c r="M1383" s="2" t="inlineStr">
        <is>
          <t>Product</t>
        </is>
      </c>
      <c r="N1383" s="2" t="inlineStr">
        <is>
          <t>ข้อ 3 (PLE_CC1_Practice_Exam.md)</t>
        </is>
      </c>
      <c r="O1383" s="2" t="inlineStr">
        <is>
          <t>Mock</t>
        </is>
      </c>
      <c r="P1383" s="2" t="inlineStr">
        <is>
          <t>Mock สภาเภสัชฯ Practice</t>
        </is>
      </c>
    </row>
    <row r="1384" ht="13.2" customHeight="1" s="37">
      <c r="A1384" s="8" t="inlineStr">
        <is>
          <t>1405</t>
        </is>
      </c>
      <c r="B1384" s="2" t="inlineStr">
        <is>
          <t>ผลิตภัณฑ์ควรเก็บไว้ในตู้เย็น(อุณหภูมิ 2-8 องศา)</t>
        </is>
      </c>
      <c r="C1384" s="2" t="n"/>
      <c r="D1384" s="2" t="inlineStr">
        <is>
          <t>ถูก 1 ข้อ</t>
        </is>
      </c>
      <c r="E1384" s="2" t="inlineStr">
        <is>
          <t>ถูก 2 ข้อ</t>
        </is>
      </c>
      <c r="F1384" s="2" t="inlineStr">
        <is>
          <t>ถูก 3 ข้อ</t>
        </is>
      </c>
      <c r="G1384" s="2" t="inlineStr">
        <is>
          <t>ถูกทุกข้อ</t>
        </is>
      </c>
      <c r="H1384" s="2" t="inlineStr">
        <is>
          <t>ผิดทุกข้อ</t>
        </is>
      </c>
      <c r="I1384" s="8" t="inlineStr">
        <is>
          <t>1</t>
        </is>
      </c>
      <c r="J1384" s="2" t="inlineStr">
        <is>
          <t>✅ คำตอบที่ถูกต้อง: ข้อ ก. ถูก 1 ข้อ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ถูก 1 ข้อ การเลือก ถูก 1 ข้อ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(ถูก 2 ข้อ): ข้อนี้ไม่ใช่คำตอบที่ถูกต้องสำหรับภาวะ General Therapeutics เนื่องจากกลไกการออกฤทธิ์, efficacy หรือข้อบ่งใช้ไม่ตรงกับโจทย์ที่กำหนด
• ข้อ ค. (ถูก 3 ข้อ): ข้อนี้ไม่ใช่คำตอบที่ถูกต้องสำหรับภาวะ General Therapeutics เนื่องจากกลไกการออกฤทธิ์, efficacy หรือข้อบ่งใช้ไม่ตรงกับโจทย์ที่กำหนด
• ข้อ ง. (ถูกทุกข้อ): ข้อนี้ไม่ถูกต้องเนื่องจากมีตัวเลือกที่จำเพาะและตรงตามเกณฑ์มาตรฐานเวชปฏิบัติอย่างชัดเจน
• ข้อ จ. (ผิดทุกข้อ):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4" s="2" t="n"/>
      <c r="L1384" s="2" t="inlineStr">
        <is>
          <t>General Therapeutics</t>
        </is>
      </c>
      <c r="M1384" s="2" t="inlineStr">
        <is>
          <t>Clinic</t>
        </is>
      </c>
      <c r="N1384" s="2" t="inlineStr">
        <is>
          <t>ข้อ 4 (PLE_CC1_Practice_Exam.md)</t>
        </is>
      </c>
      <c r="O1384" s="2" t="inlineStr">
        <is>
          <t>Mock</t>
        </is>
      </c>
      <c r="P1384" s="2" t="inlineStr">
        <is>
          <t>Mock สภาเภสัชฯ Practice</t>
        </is>
      </c>
    </row>
    <row r="1385" ht="13.2" customHeight="1" s="37">
      <c r="A1385" s="8" t="inlineStr">
        <is>
          <t>1406</t>
        </is>
      </c>
      <c r="B1385" s="2" t="inlineStr">
        <is>
          <t>Wool fat (Lanolin)</t>
        </is>
      </c>
      <c r="C1385" s="2" t="n"/>
      <c r="D1385" s="2" t="inlineStr">
        <is>
          <t>Absorption Ointment base (Lanolin USP)</t>
        </is>
      </c>
      <c r="E1385" s="2" t="inlineStr">
        <is>
          <t>Fatty Suppository base (Hard Fat / Witepsol)</t>
        </is>
      </c>
      <c r="F1385" s="2" t="inlineStr">
        <is>
          <t>Simple Syrup USP (85% w/v Sucrose)</t>
        </is>
      </c>
      <c r="G1385" s="2" t="inlineStr">
        <is>
          <t>Elixir with 10-20% Alcohol cosolvent</t>
        </is>
      </c>
      <c r="H1385" s="2" t="inlineStr">
        <is>
          <t>Flocculated Oral Suspension with Xanthan Gum</t>
        </is>
      </c>
      <c r="I1385" s="8" t="inlineStr">
        <is>
          <t>1</t>
        </is>
      </c>
      <c r="J1385" s="2"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USP/NF, British Pharmacopoeia (BP) &amp; Remington: The Science and Practice of Pharmacy (หัวข้อ Liquid &amp; Semisolids)
Liquid &amp; Semisolids: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Liquid &amp; Semisolids)
🔍 ข้ออื่นผิดเพราะอะไร:
• ข้อ ข. (Fatty Suppository base (Hard Fat / Witepsol)): ข้อนี้ไม่ใช่คำตอบที่ถูกต้องสำหรับภาวะ Liquid &amp; Semisolids เนื่องจากกลไกการออกฤทธิ์, efficacy หรือข้อบ่งใช้ไม่ตรงกับโจทย์ที่กำหนด
• ข้อ ค. (Simple Syrup USP (85% w/v Sucrose)): ข้อนี้ไม่ใช่คำตอบที่ถูกต้องสำหรับภาวะ Liquid &amp; Semisolids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Liquid &amp; Semisolids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5" s="2" t="n"/>
      <c r="L1385" s="2" t="inlineStr">
        <is>
          <t>Liquid &amp; Semisolids</t>
        </is>
      </c>
      <c r="M1385" s="2" t="inlineStr">
        <is>
          <t>Product</t>
        </is>
      </c>
      <c r="N1385" s="2" t="inlineStr">
        <is>
          <t>ข้อ 1 (PLE_CC1_Practice_Exam.md)</t>
        </is>
      </c>
      <c r="O1385" s="2" t="inlineStr">
        <is>
          <t>Mock</t>
        </is>
      </c>
      <c r="P1385" s="2" t="inlineStr">
        <is>
          <t>Mock สภาเภสัชฯ Practice</t>
        </is>
      </c>
    </row>
    <row r="1386" ht="13.2" customHeight="1" s="37">
      <c r="A1386" s="8" t="inlineStr">
        <is>
          <t>1407</t>
        </is>
      </c>
      <c r="B1386" s="2" t="inlineStr">
        <is>
          <t>Hydrophilic Petrolatum</t>
        </is>
      </c>
      <c r="C1386" s="2" t="n"/>
      <c r="D1386" s="2" t="inlineStr">
        <is>
          <t>Elixir with 10-20% Alcohol cosolvent</t>
        </is>
      </c>
      <c r="E1386" s="2" t="inlineStr">
        <is>
          <t>Flocculated Oral Suspension with Xanthan Gum</t>
        </is>
      </c>
      <c r="F1386" s="2" t="inlineStr">
        <is>
          <t>Deflocculated Suspension formulation</t>
        </is>
      </c>
      <c r="G1386" s="2" t="inlineStr">
        <is>
          <t>O/W Emulsion stabilized by Polysorbate 80 / Span 80</t>
        </is>
      </c>
      <c r="H1386" s="2" t="inlineStr">
        <is>
          <t>W/O Emulsion with Sorbitan monooleate</t>
        </is>
      </c>
      <c r="I1386" s="8" t="inlineStr">
        <is>
          <t>1</t>
        </is>
      </c>
      <c r="J1386" s="2"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USP/NF, British Pharmacopoeia (BP) &amp; Remington: The Science and Practice of Pharmacy (หัวข้อ Liquid &amp; Semisolids)
Liquid &amp; Semisolids: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Liquid &amp; Semisolids)
🔍 ข้ออื่นผิดเพราะอะไร:
• ข้อ ข. (Flocculated Oral Suspension with Xanthan Gum): ข้อนี้ไม่ใช่คำตอบที่ถูกต้องสำหรับภาวะ Liquid &amp; Semisolids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Liquid &amp; Semisolids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6" s="2" t="n"/>
      <c r="L1386" s="2" t="inlineStr">
        <is>
          <t>Liquid &amp; Semisolids</t>
        </is>
      </c>
      <c r="M1386" s="2" t="inlineStr">
        <is>
          <t>Product</t>
        </is>
      </c>
      <c r="N1386" s="2" t="inlineStr">
        <is>
          <t>ข้อ 3 (PLE_CC1_Practice_Exam.md)</t>
        </is>
      </c>
      <c r="O1386" s="2" t="inlineStr">
        <is>
          <t>Mock</t>
        </is>
      </c>
      <c r="P1386" s="2" t="inlineStr">
        <is>
          <t>Mock สภาเภสัชฯ Practice</t>
        </is>
      </c>
    </row>
    <row r="1387" ht="13.2" customHeight="1" s="37">
      <c r="A1387" s="8" t="inlineStr">
        <is>
          <t>1408</t>
        </is>
      </c>
      <c r="B1387" s="2" t="inlineStr">
        <is>
          <t>ไม่สามารถดูดซับสารคัดหลั่งได้</t>
        </is>
      </c>
      <c r="C1387" s="2" t="n"/>
      <c r="D1387" s="2" t="inlineStr">
        <is>
          <t>N-acetylcysteine (NAC) IV infusion protocol</t>
        </is>
      </c>
      <c r="E1387" s="2" t="inlineStr">
        <is>
          <t>Atropine sulfate 2 mg IV Q5-10 min</t>
        </is>
      </c>
      <c r="F1387" s="2" t="inlineStr">
        <is>
          <t>Pralidoxime (2-PAM) 1-2 g IV over 30 min</t>
        </is>
      </c>
      <c r="G1387" s="2" t="inlineStr">
        <is>
          <t>Naloxone 0.4 mg IV stat</t>
        </is>
      </c>
      <c r="H1387" s="2" t="inlineStr">
        <is>
          <t>Flumazenil 0.2 mg IV stat</t>
        </is>
      </c>
      <c r="I1387" s="8" t="inlineStr">
        <is>
          <t>1</t>
        </is>
      </c>
      <c r="J13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387" s="2" t="n"/>
      <c r="L1387" s="2" t="inlineStr">
        <is>
          <t>General Therapeutics</t>
        </is>
      </c>
      <c r="M1387" s="2" t="inlineStr">
        <is>
          <t>Clinic</t>
        </is>
      </c>
      <c r="N1387" s="2" t="inlineStr">
        <is>
          <t>ข้อ 2 (PLE_CC1_Practice_Exam.md)</t>
        </is>
      </c>
      <c r="O1387" s="2" t="inlineStr">
        <is>
          <t>Mock</t>
        </is>
      </c>
      <c r="P1387" s="2" t="inlineStr">
        <is>
          <t>Mock สภาเภสัชฯ Practice</t>
        </is>
      </c>
    </row>
    <row r="1388" ht="13.2" customHeight="1" s="37">
      <c r="A1388" s="2" t="n">
        <v>1409</v>
      </c>
      <c r="B1388" s="2" t="inlineStr">
        <is>
          <t>จากกราฟมาตรฐานระหว่างความเข้มข้นของยาชนิดหนึ่งในช่วง 0 ถึง 5 mole/l กับค่าการดูดกลืน แสง (molar absorptivity) 0.0 ถึง 0.5 ที่ความยาวคลื่น 280 nm โดยใช้ cuvette ที่ทำจากควอร์ต ในการวัดค่าการดูดกลืนแสง ซึ่งค่าที่ได้นั้นเป็นไปตามกฏของเบียร์ มีค่าความชันของกราฟเส้นตรง เท่ากับ 0.1040, จุดตัดแกน x ที่ 0.0025, ค่า R2 0.9996 ข้อใดถูกต้อง หากตัวอย่างวัดค่าการดูดกลืน แสงได้ 0.45</t>
        </is>
      </c>
      <c r="C1388" s="2" t="n"/>
      <c r="D1388" s="2" t="inlineStr">
        <is>
          <t>ไม่สามารถหาค่าได้เนื่องจากค่า R2 ของกราฟมาตรฐานไม่เท่ากับ 1</t>
        </is>
      </c>
      <c r="E1388" s="2" t="inlineStr">
        <is>
          <t>ต้องเจือจางตัวอย่างเพื่อให้ค่าการดูดกลืนแสงอยู่กึ่งกลางระหว่างค่าการดูดกลืนแสงที่ได้จาก กราฟมาตรฐาน</t>
        </is>
      </c>
      <c r="F1388" s="2" t="inlineStr">
        <is>
          <t>ความเข้มข้นของสารละลายตัวอย่างเท่ากับ 4.03 mole/l</t>
        </is>
      </c>
      <c r="G1388" s="2" t="inlineStr">
        <is>
          <t>หากตัวอย่างเตรียมจากยา 50 เม็ดละลายน้ำ 1 ลิตร และยามีมวลโมเลกุล 150 กรัมดังนั้น ในยา 1 เม็ดมีตัวยา 12.9 กรัมหรือมากกว่า</t>
        </is>
      </c>
      <c r="H1388" s="2" t="inlineStr">
        <is>
          <t>ควรเปลี่ยนเป็น cuvette ที่ทำจากแก้วในการวัดค่าดูดกลืนแสง เพื่อให้ได้ค่าที่แม่นยำมาก ยิ่งขึ้น</t>
        </is>
      </c>
      <c r="I1388" s="2" t="n">
        <v>1</v>
      </c>
      <c r="J1388" s="2" t="inlineStr">
        <is>
          <t>✅ คำตอบที่ถูกต้อง: ข้อ ก. ไม่สามารถหาค่าได้เนื่องจากค่า R2 ของกราฟมาตรฐานไม่เท่ากับ 1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ไม่สามารถหาค่าได้เนื่องจากค่า R2 ของกราฟมาตรฐานไม่เท่ากับ 1 💡 คำอธิบายและเหตุผลทางเภสัชกรรม:
💡 คำอธิบายและเหตุผลทางเภสัชกรรม:
การเลือก ไม่สามารถหาค่าได้เนื่องจากค่า R2 ของกราฟมาตรฐานไม่เท่ากับ 1 เป็นคำตอบที่ถูกต้องและสอดคล้องกับ evidence-based guidelines ของภาวะ Spectroscopy &amp; Optics โดยมี clinical efficacy สูงสุดในการรักษาและมี safety profile ที่เหมาะสม
USP/NF, British Pharmacopoeia (BP) และ Remington: The Science and Practice of Pharmacy (หัวข้อ Spectroscopy &amp; Optics)
🔍 ข้ออื่นผิดเพราะอะไร:
• ข้อ ข. (ต้องเจือจางตัวอย่างเพื่อให้ค่าการดูดกลืนแสงอยู่กึ่งกลางระหว่างค่าการดูดกลืนแสงที่ได้จาก กราฟมาตรฐาน): ข้อนี้ไม่ใช่คำตอบที่ถูกต้องสำหรับภาวะ Spectroscopy &amp; Optics เนื่องจากกลไกการออกฤทธิ์, efficacy หรือข้อบ่งใช้ไม่ตรงกับโจทย์ที่กำหนด
• ข้อ ค. (ความเข้มข้นของสารละลายตัวอย่างเท่ากับ 4.03 mole/l): ข้อนี้ไม่ใช่คำตอบที่ถูกต้องสำหรับภาวะ Spectroscopy &amp; Optics เนื่องจากกลไกการออกฤทธิ์, efficacy หรือข้อบ่งใช้ไม่ตรงกับโจทย์ที่กำหนด
• ข้อ ง. (หากตัวอย่างเตรียมจากยา 50 เม็ดละลายน้ำ 1 ลิตร และยามีมวลโมเลกุล 150 กรัมดังนั้น ในยา 1 เม็ดมีตัวยา 12.9 กรัมหรือมากกว่า): ข้อนี้ไม่ใช่คำตอบที่ถูกต้องสำหรับภาวะ Spectroscopy &amp; Optics เนื่องจากกลไกการออกฤทธิ์, efficacy หรือข้อบ่งใช้ไม่ตรงกับโจทย์ที่กำหนด
• ข้อ จ. (ควรเปลี่ยนเป็น cuvette ที่ทำจากแก้วในการวัดค่าดูดกลืนแสง เพื่อให้ได้ค่าที่แม่นยำมาก ยิ่งขึ้น): ข้อนี้ไม่ใช่คำตอบที่ถูกต้องสำหรับภาวะ Spectroscopy &amp; Optics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8" s="2" t="n"/>
      <c r="L1388" s="2" t="inlineStr">
        <is>
          <t>Spectroscopy &amp; Optics</t>
        </is>
      </c>
      <c r="M1388" s="2" t="inlineStr">
        <is>
          <t>Product</t>
        </is>
      </c>
      <c r="N1388" s="2" t="inlineStr">
        <is>
          <t>ข้อ 1 (PLE_CC1_Practice_Exam.md)</t>
        </is>
      </c>
      <c r="O1388" s="2" t="inlineStr">
        <is>
          <t>Mock</t>
        </is>
      </c>
      <c r="P1388" s="2" t="inlineStr">
        <is>
          <t>Mock สภาเภสัชฯ Practice</t>
        </is>
      </c>
    </row>
    <row r="1389" ht="13.2" customHeight="1" s="37">
      <c r="A1389" s="8" t="inlineStr">
        <is>
          <t>1410</t>
        </is>
      </c>
      <c r="B1389" s="2" t="inlineStr">
        <is>
          <t>กระบวนการสร้างกลุ่มไอออนที่มาเกาะกันโดยมีรูปแบบที่แน่นอนเรียกว่ากระบวนการอะไร</t>
        </is>
      </c>
      <c r="C1389" s="2" t="n"/>
      <c r="D1389" s="2" t="inlineStr">
        <is>
          <t>Nucleation</t>
        </is>
      </c>
      <c r="E1389" s="2" t="inlineStr">
        <is>
          <t>Particle growth</t>
        </is>
      </c>
      <c r="F1389" s="2" t="inlineStr">
        <is>
          <t>Primary adsorption</t>
        </is>
      </c>
      <c r="G1389" s="2" t="inlineStr">
        <is>
          <t>Secondary adsorption</t>
        </is>
      </c>
      <c r="H1389" s="2" t="inlineStr">
        <is>
          <t>Nuclei growth</t>
        </is>
      </c>
      <c r="I1389" s="8" t="inlineStr">
        <is>
          <t>1</t>
        </is>
      </c>
      <c r="J1389" s="2" t="inlineStr">
        <is>
          <t>✅ คำตอบที่ถูกต้อง: ข้อ ก. Nucleation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Nucleation การเลือก Nucleation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(Particle growth): ข้อนี้ไม่ใช่คำตอบที่ถูกต้องสำหรับภาวะ General Therapeutics เนื่องจากกลไกการออกฤทธิ์, efficacy หรือข้อบ่งใช้ไม่ตรงกับโจทย์ที่กำหนด
• ข้อ ค. (Primary adsorption): ข้อนี้ไม่ใช่คำตอบที่ถูกต้องสำหรับภาวะ General Therapeutics เนื่องจากกลไกการออกฤทธิ์, efficacy หรือข้อบ่งใช้ไม่ตรงกับโจทย์ที่กำหนด
• ข้อ ง. (Secondary adsorption): ข้อนี้ไม่ใช่คำตอบที่ถูกต้องสำหรับภาวะ General Therapeutics เนื่องจากกลไกการออกฤทธิ์, efficacy หรือข้อบ่งใช้ไม่ตรงกับโจทย์ที่กำหนด
• ข้อ จ. (Nuclei growth):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9" s="2" t="n"/>
      <c r="L1389" s="2" t="inlineStr">
        <is>
          <t>General Therapeutics</t>
        </is>
      </c>
      <c r="M1389" s="2" t="inlineStr">
        <is>
          <t>Clinic</t>
        </is>
      </c>
      <c r="N1389" s="2" t="inlineStr">
        <is>
          <t>ข้อ 13 (PLE_CC1_Practice_Exam.md)</t>
        </is>
      </c>
      <c r="O1389" s="2" t="inlineStr">
        <is>
          <t>Mock</t>
        </is>
      </c>
      <c r="P1389" s="2" t="inlineStr">
        <is>
          <t>Mock สภาเภสัชฯ Practice</t>
        </is>
      </c>
    </row>
    <row r="1390" ht="13.2" customHeight="1" s="37">
      <c r="A1390" s="8" t="inlineStr">
        <is>
          <t>1411</t>
        </is>
      </c>
      <c r="B1390" s="2" t="inlineStr">
        <is>
          <t>วิเคราะห์มาตรฐานสารละลายมาตรฐาน 1 N Sodium hydroxide USPXXI โดยใช้ potassium biphthalate เป็น primary standard และใช้ phenolphthalein เป็น indicator ได้ข้อมูล ดังต่อไปนี้ Flask A ได้น้ำหนัก potassium biphthalate 4.9851 g, ปริมาตร N NaOH ที่ใช้ 24.57 ml, Eq.wt. ของ potassium biphthalate204.2 g จงคำนวณหา Normality ของ NaOH ใน Flask A (NaOH, molecular weight 40.00)</t>
        </is>
      </c>
      <c r="C1390" s="2" t="n"/>
      <c r="D1390" s="8" t="inlineStr">
        <is>
          <t>0.7936</t>
        </is>
      </c>
      <c r="E1390" s="2" t="inlineStr">
        <is>
          <t>0.8936 347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is>
      </c>
      <c r="F1390" s="8" t="inlineStr">
        <is>
          <t>0.9836</t>
        </is>
      </c>
      <c r="G1390" s="8" t="inlineStr">
        <is>
          <t>0.9736</t>
        </is>
      </c>
      <c r="H1390" s="8" t="inlineStr">
        <is>
          <t>0.9936</t>
        </is>
      </c>
      <c r="I1390" s="8" t="inlineStr">
        <is>
          <t>1</t>
        </is>
      </c>
      <c r="J1390" s="2" t="inlineStr">
        <is>
          <t>✅ คำตอบที่ถูกต้อง: ข้อ ก. 0.7936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0.7936 💡 คำอธิบายและเหตุผลทางเภสัชกรรม:
💡 คำอธิบายและเหตุผลทางเภสัชกรรม:
การเลือก 0.7936 เป็นคำตอบที่ถูกต้องและสอดคล้องกับ evidence-based guidelines ของภาวะ Pharmaceutical Calculations โดยมี clinical efficacy สูงสุดในการรักษาและมี safety profile ที่เหมาะสม
USP/NF, British Pharmacopoeia (BP) และ Remington: The Science and Practice of Pharmacy (หัวข้อ Pharmaceutical Calculations)
🔍 ข้ออื่นผิดเพราะอะไร:
• ข้อ ข. (0.8936 347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ข้อนี้ไม่ใช่คำตอบที่ถูกต้องสำหรับภาวะ Pharmaceutical Calculations เนื่องจากกลไกการออกฤทธิ์, efficacy หรือข้อบ่งใช้ไม่ตรงกับโจทย์ที่กำหนด
• ข้อ ค. (0.9836): ข้อนี้ไม่ใช่คำตอบที่ถูกต้องสำหรับภาวะ Pharmaceutical Calculations เนื่องจากกลไกการออกฤทธิ์, efficacy หรือข้อบ่งใช้ไม่ตรงกับโจทย์ที่กำหนด
• ข้อ ง. (0.9736): ข้อนี้ไม่ใช่คำตอบที่ถูกต้องสำหรับภาวะ Pharmaceutical Calculations เนื่องจากกลไกการออกฤทธิ์, efficacy หรือข้อบ่งใช้ไม่ตรงกับโจทย์ที่กำหนด
• ข้อ จ. (0.9936):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0" s="2" t="n"/>
      <c r="L1390" s="2" t="inlineStr">
        <is>
          <t>Pharmaceutical Calculations</t>
        </is>
      </c>
      <c r="M1390" s="2" t="inlineStr">
        <is>
          <t>Product</t>
        </is>
      </c>
      <c r="N1390" s="2" t="inlineStr">
        <is>
          <t>ข้อ 22 (PLE_CC1_Practice_Exam.md)</t>
        </is>
      </c>
      <c r="O1390" s="2" t="inlineStr">
        <is>
          <t>Mock</t>
        </is>
      </c>
      <c r="P1390" s="2" t="inlineStr">
        <is>
          <t>Mock สภาเภสัชฯ Practice</t>
        </is>
      </c>
    </row>
    <row r="1391" ht="13.2" customHeight="1" s="37">
      <c r="A1391" s="8" t="inlineStr">
        <is>
          <t>1412</t>
        </is>
      </c>
      <c r="B1391" s="2" t="inlineStr">
        <is>
          <t>แหล่งพลังงานที่ทำให้เกิด excited state จากสิ่งมีชีวิต เช่น ปลา หิ่งห้อย คือข้อใดต่อไปนี้</t>
        </is>
      </c>
      <c r="C1391" s="2" t="n"/>
      <c r="D1391" s="2" t="inlineStr">
        <is>
          <t>Photoluminescence</t>
        </is>
      </c>
      <c r="E1391" s="2" t="inlineStr">
        <is>
          <t>Bioluminescence</t>
        </is>
      </c>
      <c r="F1391" s="2" t="inlineStr">
        <is>
          <t>Radioluminescence</t>
        </is>
      </c>
      <c r="G1391" s="2" t="inlineStr">
        <is>
          <t>Thermoluminescence</t>
        </is>
      </c>
      <c r="H1391" s="2" t="inlineStr">
        <is>
          <t>Chemicalluminescence</t>
        </is>
      </c>
      <c r="I1391" s="8" t="inlineStr">
        <is>
          <t>1</t>
        </is>
      </c>
      <c r="J1391" s="2" t="inlineStr">
        <is>
          <t>✅ คำตอบที่ถูกต้อง: ข้อ ก. Photoluminescence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Photoluminescence การเลือก Photoluminescence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(Bioluminescence): ข้อนี้ไม่ใช่คำตอบที่ถูกต้องสำหรับภาวะ General Therapeutics เนื่องจากกลไกการออกฤทธิ์, efficacy หรือข้อบ่งใช้ไม่ตรงกับโจทย์ที่กำหนด
• ข้อ ค. (Radioluminescence): ข้อนี้ไม่ใช่คำตอบที่ถูกต้องสำหรับภาวะ General Therapeutics เนื่องจากกลไกการออกฤทธิ์, efficacy หรือข้อบ่งใช้ไม่ตรงกับโจทย์ที่กำหนด
• ข้อ ง. (Thermoluminescence): ข้อนี้ไม่ใช่คำตอบที่ถูกต้องสำหรับภาวะ General Therapeutics เนื่องจากกลไกการออกฤทธิ์, efficacy หรือข้อบ่งใช้ไม่ตรงกับโจทย์ที่กำหนด
• ข้อ จ. (Chemicalluminescence):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1" s="2" t="n"/>
      <c r="L1391" s="2" t="inlineStr">
        <is>
          <t>General Therapeutics</t>
        </is>
      </c>
      <c r="M1391" s="2" t="inlineStr">
        <is>
          <t>Clinic</t>
        </is>
      </c>
      <c r="N1391" s="2" t="inlineStr">
        <is>
          <t>ข้อ 30 (PLE_CC1_Practice_Exam.md)</t>
        </is>
      </c>
      <c r="O1391" s="2" t="inlineStr">
        <is>
          <t>Mock</t>
        </is>
      </c>
      <c r="P1391" s="2" t="inlineStr">
        <is>
          <t>Mock สภาเภสัชฯ Practice</t>
        </is>
      </c>
    </row>
    <row r="1392" ht="13.2" customHeight="1" s="37">
      <c r="A1392" s="8" t="inlineStr">
        <is>
          <t>1413</t>
        </is>
      </c>
      <c r="B1392" s="2" t="inlineStr">
        <is>
          <t>ค่าความแม่นยำ (Precision) สามารถแสดงผลได้จากค่าใด</t>
        </is>
      </c>
      <c r="C1392" s="2" t="n"/>
      <c r="D1392" s="2" t="inlineStr">
        <is>
          <t>%Recovery</t>
        </is>
      </c>
      <c r="E1392" s="2" t="inlineStr">
        <is>
          <t>%Bias</t>
        </is>
      </c>
      <c r="F1392" s="2" t="inlineStr">
        <is>
          <t>%RSD</t>
        </is>
      </c>
      <c r="G1392" s="2" t="inlineStr">
        <is>
          <t>%Specificity</t>
        </is>
      </c>
      <c r="H1392" s="2" t="inlineStr">
        <is>
          <t>%Accuracy</t>
        </is>
      </c>
      <c r="I1392" s="8" t="inlineStr">
        <is>
          <t>1</t>
        </is>
      </c>
      <c r="J1392" s="2" t="inlineStr">
        <is>
          <t>✅ คำตอบที่ถูกต้อง: ข้อ ก. %Recovery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%Recovery การเลือก %Recovery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(%Bias): ข้อนี้ไม่ใช่คำตอบที่ถูกต้องสำหรับภาวะ General Therapeutics เนื่องจากกลไกการออกฤทธิ์, efficacy หรือข้อบ่งใช้ไม่ตรงกับโจทย์ที่กำหนด
• ข้อ ค. (%RSD): ข้อนี้ไม่ใช่คำตอบที่ถูกต้องสำหรับภาวะ General Therapeutics เนื่องจากกลไกการออกฤทธิ์, efficacy หรือข้อบ่งใช้ไม่ตรงกับโจทย์ที่กำหนด
• ข้อ ง. (%Specificity): ข้อนี้ไม่ใช่คำตอบที่ถูกต้องสำหรับภาวะ General Therapeutics เนื่องจากกลไกการออกฤทธิ์, efficacy หรือข้อบ่งใช้ไม่ตรงกับโจทย์ที่กำหนด
• ข้อ จ. (%Accuracy):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2" s="2" t="n"/>
      <c r="L1392" s="2" t="inlineStr">
        <is>
          <t>General Therapeutics</t>
        </is>
      </c>
      <c r="M1392" s="2" t="inlineStr">
        <is>
          <t>Clinic</t>
        </is>
      </c>
      <c r="N1392" s="2" t="inlineStr">
        <is>
          <t>ข้อ 37 (PLE_CC1_Practice_Exam.md)</t>
        </is>
      </c>
      <c r="O1392" s="2" t="inlineStr">
        <is>
          <t>Mock</t>
        </is>
      </c>
      <c r="P1392" s="2" t="inlineStr">
        <is>
          <t>Mock สภาเภสัชฯ Practice</t>
        </is>
      </c>
    </row>
    <row r="1393" ht="13.2" customHeight="1" s="37">
      <c r="A1393" s="8" t="inlineStr">
        <is>
          <t>1414</t>
        </is>
      </c>
      <c r="B1393" s="2" t="inlineStr">
        <is>
          <t>ในการทำ Linearity สารมาตรฐานควรเตรียมอย่างน้อยกี่ความเข้มข้น</t>
        </is>
      </c>
      <c r="C1393" s="2" t="n"/>
      <c r="D1393" s="2" t="inlineStr">
        <is>
          <t>Sodium thiosulfate 25% 50 mL IV</t>
        </is>
      </c>
      <c r="E1393" s="2" t="inlineStr">
        <is>
          <t>Calcium disodium EDTA 1 g IV</t>
        </is>
      </c>
      <c r="F1393" s="2" t="inlineStr">
        <is>
          <t>Desferrioxamine 1 g IM/IV</t>
        </is>
      </c>
      <c r="G1393" s="2" t="inlineStr">
        <is>
          <t>Dimercaprol (BAL) 3 mg/kg IM</t>
        </is>
      </c>
      <c r="H1393" s="2" t="inlineStr">
        <is>
          <t>6 352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โดย ฝ่ายวิชาการ สโมสรนักศึกษาคณะเภสัชศาสตร์มหาวิทยาลัยขอนแก่น และนักศึกษาชั้นป๊ที่4 รุ่นที่ 33 ข้อ 1 เฉลย ข้อ ง. หากตัวอย่างเตรียมจากยา 50 เม็ดละลายน้ำ 1 ลิตร และยามีมวลโมเลกุล 150 กรัมดังนั้น ในยา 1 เม็ดมีตัวยา 12.9 กรัมหรือมากกว่า ข้อ 2 เฉลย ข้อ จ. ข้อ ค. และ ง. ถูก ข้อ 3 เฉลย ข้อ ง. Gas-Liquid chromatography (GLC) ใช้หลัก Adsorption แยกสารที่ Non-polar ออก จาก สารที่ polar ข้อ 4 เฉลย ข้อ จ. 10 ข้อ 5 เฉลย ข้อ ค. 7.5 ข้อ 6 เฉลย ข้อ จ. ค่า Rf สามารถหาได้จาก ระยะที่ตัวทำละลายเคลื่อนที่ / ระยะที่สารตัวอย่างเคลื่อนที่ ข้อ 7 เฉลย ข้อ ก H2O ข้อ 8 เฉลย ข้อ ก. การละลายน้ำของสาร ข้อ 9 เฉลย ข้อ ข. weak acid/strong base titraton ข้อ 10 เฉลย ข้อ ข. Membrane ที่ใช้ในการกรองสามารถเป็นประเภท cellulose ได้ ข้อ 11 เฉลย ข้อ ง. ข้อเสียของเครื่องนี้คือ ต้องใช้สารตัวอย่างจำนวนมาก ถึงสามารถวิเคราะห์ได้ ข้อ 12 เฉลย ข้อ ค. Guard column มีหน้าที่ป้องกันไม่ให้ column อุดตันและควบคุมความดันภายในเครื่อง ข้อ 13 เฉลย ข้อ ก. Nucleation ข้อ 14 เฉลย ข้อ ข. เกิด Hypsochromic shift (blue shift) ทำให้ spectrum เคลื่อนไปทางที่มีพลังงาน ต่ำลง ข้อ 15 เฉลย ข้อ ข. Reverse phase HPLC ข้อ 16 เฉลย ข้อ ค. Retention time ของยา A น้อยกว่าสาร B ข้อ 17 เฉลย ข้อ ง. ข้อ 18 เฉลย ข้อ ง. Common ion effect คือผลกระทบที่เกิดจากการเติม ion ที่เป็นส่วนประกอบของ ตะกอน ส่วน Diverse ion effect คือผลที่เกิดจาก ion อื่นที่ไม่เป็นส่วนประกอบของตะกอน 353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 19 เฉลย ข้อ ค. 100 ข้อ 20 เฉลย ข้อ ค. Thin layer Chromatography ข้อ 21 เฉลย ข้อ ค. Cuvett ที่ทำจากแก้วและซิลิกาใช้ได้ทั้งช่วงยูวีและวิสิเบิล ข้อ 22 เฉลย ข้อ จ. 0.9936 ข้อ 23 เฉลย ข้อ ข. Glycerin ข้อ 24 เฉลย ข้อ ง. 12.71 ml ข้อ 25 เฉลย ข้อ ข. 2 x 109 ข้อ 26 เฉลย ข้อ จ. 2.1 x 10-10 ข้อ 27 เฉลย ข้อ ค. เพราะค่า Absorbance แปรผันตามความเข้มข้นของสาร แต่ %T ไม่แปรผันตาม ข้อ 28 เฉลย ข้อ ข. 6250 L mol-1 cm-1 ข้อ 29 เฉลย ข้อ ก. Photodiode array ข้อ 30 เฉลย ข้อ ข. Bioluminescence ข้อ 31 เฉลย ข้อ ง. Angular rotation ข้อ 32 เฉลย ข้อ ค. Chemical shift, intensity ข้อ 33 เฉลย ข้อ จ. Enzyme electrode ข้อ 34 เฉลย ข้อ ก. 0.0943 ข้อ 35 เฉลย ข้อ ค. 100.30% ข้อ 36 เฉลย ข้อ ข. Acceptation ข้อ 37 เฉลย ข้อ ค. %RSD ข้อ 38 เฉลย ข้อ ก. 2 หรือ 3 ข้อ 39 เฉลย ข้อ ง. 5 354 เภสัชภัณฑ์รูปแบบกึ่งแข็ง (Semisolid dosage form)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1393" s="8" t="inlineStr">
        <is>
          <t>3</t>
        </is>
      </c>
      <c r="J1393" s="2"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(6 352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โดย ฝ่ายวิชาการ สโมสรนักศึกษาคณะเภสัชศาสตร์มหาวิทยาลัยขอนแก่น และนักศึกษาชั้นป๊ที่4 รุ่นที่ 33 ข้อ 1 เฉลย ข้อ ง. หากตัวอย่างเตรียมจากยา 50 เม็ดละลายน้ำ 1 ลิตร และยามีมวลโมเลกุล 150 กรัมดังนั้น ในยา 1 เม็ดมีตัวยา 12.9 กรัมหรือมากกว่า ข้อ 2 เฉลย ข้อ จ. ข้อ ค. และ ง. ถูก ข้อ 3 เฉลย ข้อ ง. Gas-Liquid chromatography (GLC) ใช้หลัก Adsorption แยกสารที่ Non-polar ออก จาก สารที่ polar ข้อ 4 เฉลย ข้อ จ. 10 ข้อ 5 เฉลย ข้อ ค. 7.5 ข้อ 6 เฉลย ข้อ จ. ค่า Rf สามารถหาได้จาก ระยะที่ตัวทำละลายเคลื่อนที่ / ระยะที่สารตัวอย่างเคลื่อนที่ ข้อ 7 เฉลย ข้อ ก H2O ข้อ 8 เฉลย ข้อ ก. การละลายน้ำของสาร ข้อ 9 เฉลย ข้อ ข. weak acid/strong base titraton ข้อ 10 เฉลย ข้อ ข. Membrane ที่ใช้ในการกรองสามารถเป็นประเภท cellulose ได้ ข้อ 11 เฉลย ข้อ ง. ข้อเสียของเครื่องนี้คือ ต้องใช้สารตัวอย่างจำนวนมาก ถึงสามารถวิเคราะห์ได้ ข้อ 12 เฉลย ข้อ ค. Guard column มีหน้าที่ป้องกันไม่ให้ column อุดตันและควบคุมความดันภายในเครื่อง ข้อ 13 เฉลย ข้อ ก. Nucleation ข้อ 14 เฉลย ข้อ ข. เกิด Hypsochromic shift (blue shift) ทำให้ spectrum เคลื่อนไปทางที่มีพลังงาน ต่ำลง ข้อ 15 เฉลย ข้อ ข. Reverse phase HPLC ข้อ 16 เฉลย ข้อ ค. Retention time ของยา A น้อยกว่าสาร B ข้อ 17 เฉลย ข้อ ง. ข้อ 18 เฉลย ข้อ ง. Common ion effect คือผลกระทบที่เกิดจากการเติม ion ที่เป็นส่วนประกอบของ ตะกอน ส่วน Diverse ion effect คือผลที่เกิดจาก ion อื่นที่ไม่เป็นส่วนประกอบของตะกอน 353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 19 เฉลย ข้อ ค. 100 ข้อ 20 เฉลย ข้อ ค. Thin layer Chromatography ข้อ 21 เฉลย ข้อ ค. Cuvett ที่ทำจากแก้วและซิลิกาใช้ได้ทั้งช่วงยูวีและวิสิเบิล ข้อ 22 เฉลย ข้อ จ. 0.9936 ข้อ 23 เฉลย ข้อ ข. Glycerin ข้อ 24 เฉลย ข้อ ง. 12.71 ml ข้อ 25 เฉลย ข้อ ข. 2 x 109 ข้อ 26 เฉลย ข้อ จ. 2.1 x 10-10 ข้อ 27 เฉลย ข้อ ค. เพราะค่า Absorbance แปรผันตามความเข้มข้นของสาร แต่ %T ไม่แปรผันตาม ข้อ 28 เฉลย ข้อ ข. 6250 L mol-1 cm-1 ข้อ 29 เฉลย ข้อ ก. Photodiode array ข้อ 30 เฉลย ข้อ ข. Bioluminescence ข้อ 31 เฉลย ข้อ ง. Angular rotation ข้อ 32 เฉลย ข้อ ค. Chemical shift, intensity ข้อ 33 เฉลย ข้อ จ. Enzyme electrode ข้อ 34 เฉลย ข้อ ก. 0.0943 ข้อ 35 เฉลย ข้อ ค. 100.30% ข้อ 36 เฉลย ข้อ ข. Acceptation ข้อ 37 เฉลย ข้อ ค. %RSD ข้อ 38 เฉลย ข้อ ก. 2 หรือ 3 ข้อ 39 เฉลย ข้อ ง. 5 354 เภสัชภัณฑ์รูปแบบกึ่งแข็ง (Semisolid dosage form)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3" s="2" t="n"/>
      <c r="L1393" s="2" t="inlineStr">
        <is>
          <t>General Therapeutics</t>
        </is>
      </c>
      <c r="M1393" s="2" t="inlineStr">
        <is>
          <t>Clinic</t>
        </is>
      </c>
      <c r="N1393" s="2" t="inlineStr">
        <is>
          <t>ข้อ 39 (PLE_CC1_Practice_Exam.md)</t>
        </is>
      </c>
      <c r="O1393" s="2" t="inlineStr">
        <is>
          <t>Mock</t>
        </is>
      </c>
      <c r="P1393" s="2" t="inlineStr">
        <is>
          <t>Mock สภาเภสัชฯ Practice</t>
        </is>
      </c>
    </row>
    <row r="1394" ht="13.2" customHeight="1" s="37">
      <c r="A1394" s="8" t="inlineStr">
        <is>
          <t>1415</t>
        </is>
      </c>
      <c r="B1394" s="2" t="inlineStr">
        <is>
          <t>Pharmacognosy โดย ฝ่ายวิชาการและนักศึกษารุ่นที่ 2 คณะเภสัชศาสตร์ มหาวิทยาลัยธรรมศาสตร์</t>
        </is>
      </c>
      <c r="C1394" s="2" t="n"/>
      <c r="D1394" s="2" t="inlineStr">
        <is>
          <t>Dimercaprol (BAL) 3 mg/kg IM</t>
        </is>
      </c>
      <c r="E1394" s="2" t="inlineStr">
        <is>
          <t>Ethanol 10% IV infusion for Methanol poisoning</t>
        </is>
      </c>
      <c r="F1394" s="2" t="inlineStr">
        <is>
          <t>Fomepizole 15 mg/kg IV loading</t>
        </is>
      </c>
      <c r="G1394" s="2" t="inlineStr">
        <is>
          <t>N-acetylcysteine (NAC) IV infusion protocol</t>
        </is>
      </c>
      <c r="H1394" s="2" t="inlineStr">
        <is>
          <t>Atropine sulfate 2 mg IV Q5-10 min</t>
        </is>
      </c>
      <c r="I1394" s="8" t="inlineStr">
        <is>
          <t>1</t>
        </is>
      </c>
      <c r="J13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4" s="2" t="n"/>
      <c r="L1394" s="2" t="inlineStr">
        <is>
          <t>General Therapeutics</t>
        </is>
      </c>
      <c r="M1394" s="2" t="inlineStr">
        <is>
          <t>Clinic</t>
        </is>
      </c>
      <c r="N1394" s="2" t="inlineStr">
        <is>
          <t>ข้อ 17 (PLE_CC1_Practice_Exam.md)</t>
        </is>
      </c>
      <c r="O1394" s="2" t="inlineStr">
        <is>
          <t>Mock</t>
        </is>
      </c>
      <c r="P1394" s="2" t="inlineStr">
        <is>
          <t>Mock สภาเภสัชฯ Practice</t>
        </is>
      </c>
    </row>
    <row r="1395" ht="13.2" customHeight="1" s="37">
      <c r="A1395" s="8" t="inlineStr">
        <is>
          <t>1416</t>
        </is>
      </c>
      <c r="B1395" s="2" t="inlineStr">
        <is>
          <t>ข้อใดคือสาระสำคัญของพริกที่มีสรรพคุณบรรเทาอาการปวดกล้ามเนื้อ</t>
        </is>
      </c>
      <c r="C1395" s="2" t="n"/>
      <c r="D1395" s="2" t="inlineStr">
        <is>
          <t>Lawsone</t>
        </is>
      </c>
      <c r="E1395" s="2" t="inlineStr">
        <is>
          <t>Anthocyanin</t>
        </is>
      </c>
      <c r="F1395" s="2" t="inlineStr">
        <is>
          <t>Capsaicin</t>
        </is>
      </c>
      <c r="G1395" s="2" t="inlineStr">
        <is>
          <t>Curcumin</t>
        </is>
      </c>
      <c r="H1395" s="2" t="inlineStr">
        <is>
          <t>Andrographolide</t>
        </is>
      </c>
      <c r="I1395" s="8" t="inlineStr">
        <is>
          <t>1</t>
        </is>
      </c>
      <c r="J1395" s="2" t="inlineStr">
        <is>
          <t>✅ คำตอบที่ถูกต้อง: ข้อ ก. Lawsone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Lawsone การเลือก Lawsone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(Anthocyanin): ข้อนี้ไม่ใช่คำตอบที่ถูกต้องสำหรับภาวะ General Therapeutics เนื่องจากกลไกการออกฤทธิ์, efficacy หรือข้อบ่งใช้ไม่ตรงกับโจทย์ที่กำหนด
• ข้อ ค. (Capsaicin): ข้อนี้ไม่ใช่คำตอบที่ถูกต้องสำหรับภาวะ General Therapeutics เนื่องจากกลไกการออกฤทธิ์, efficacy หรือข้อบ่งใช้ไม่ตรงกับโจทย์ที่กำหนด
• ข้อ ง. (Curcumin): ข้อนี้ไม่ใช่คำตอบที่ถูกต้องสำหรับภาวะ General Therapeutics เนื่องจากกลไกการออกฤทธิ์, efficacy หรือข้อบ่งใช้ไม่ตรงกับโจทย์ที่กำหนด
• ข้อ จ. (Andrographolide):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5" s="2" t="n"/>
      <c r="L1395" s="2" t="inlineStr">
        <is>
          <t>General Therapeutics</t>
        </is>
      </c>
      <c r="M1395" s="2" t="inlineStr">
        <is>
          <t>Clinic</t>
        </is>
      </c>
      <c r="N1395" s="2" t="inlineStr">
        <is>
          <t>ข้อ 11 (PLE_CC1_Practice_Exam.md)</t>
        </is>
      </c>
      <c r="O1395" s="2" t="inlineStr">
        <is>
          <t>Mock</t>
        </is>
      </c>
      <c r="P1395" s="2" t="inlineStr">
        <is>
          <t>Mock สภาเภสัชฯ Practice</t>
        </is>
      </c>
    </row>
    <row r="1396" ht="13.2" customHeight="1" s="37">
      <c r="A1396" s="8" t="inlineStr">
        <is>
          <t>1417</t>
        </is>
      </c>
      <c r="B1396" s="2" t="inlineStr">
        <is>
          <t>พืชในข้อใดมีฤทธิ์ทดแทนัอร์โมนเอสโตรเจนได้</t>
        </is>
      </c>
      <c r="C1396" s="2" t="n"/>
      <c r="D1396" s="2" t="inlineStr">
        <is>
          <t>ตีนเป็ดน้ำ 358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1396" s="2" t="inlineStr">
        <is>
          <t>รำเพย</t>
        </is>
      </c>
      <c r="F1396" s="2" t="inlineStr">
        <is>
          <t>ยี่โถ</t>
        </is>
      </c>
      <c r="G1396" s="2" t="inlineStr">
        <is>
          <t>กวาวเครือขาว</t>
        </is>
      </c>
      <c r="H1396" s="2" t="inlineStr">
        <is>
          <t>เถาวัลย์เปรียง</t>
        </is>
      </c>
      <c r="I1396" s="8" t="inlineStr">
        <is>
          <t>1</t>
        </is>
      </c>
      <c r="J1396" s="2" t="inlineStr">
        <is>
          <t>✅ คำตอบที่ถูกต้อง: ข้อ ก. ตีนเป็ดน้ำ 358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ตีนเป็ดน้ำ 358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การเลือก ตีนเป็ดน้ำ 358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(รำเพย): ข้อนี้ไม่ใช่คำตอบที่ถูกต้องสำหรับภาวะ General Therapeutics เนื่องจากกลไกการออกฤทธิ์, efficacy หรือข้อบ่งใช้ไม่ตรงกับโจทย์ที่กำหนด
• ข้อ ค. (ยี่โถ): ข้อนี้ไม่ใช่คำตอบที่ถูกต้องสำหรับภาวะ General Therapeutics เนื่องจากกลไกการออกฤทธิ์, efficacy หรือข้อบ่งใช้ไม่ตรงกับโจทย์ที่กำหนด
• ข้อ ง. (กวาวเครือขาว): ข้อนี้ไม่ใช่คำตอบที่ถูกต้องสำหรับภาวะ General Therapeutics เนื่องจากกลไกการออกฤทธิ์, efficacy หรือข้อบ่งใช้ไม่ตรงกับโจทย์ที่กำหนด
• ข้อ จ. (เถาวัลย์เปรียง):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6" s="2" t="n"/>
      <c r="L1396" s="2" t="inlineStr">
        <is>
          <t>General Therapeutics</t>
        </is>
      </c>
      <c r="M1396" s="2" t="inlineStr">
        <is>
          <t>Clinic</t>
        </is>
      </c>
      <c r="N1396" s="2" t="inlineStr">
        <is>
          <t>ข้อ 20 (PLE_CC1_Practice_Exam.md)</t>
        </is>
      </c>
      <c r="O1396" s="2" t="inlineStr">
        <is>
          <t>Mock</t>
        </is>
      </c>
      <c r="P1396" s="2" t="inlineStr">
        <is>
          <t>Mock สภาเภสัชฯ Practice</t>
        </is>
      </c>
    </row>
    <row r="1397" ht="13.2" customHeight="1" s="37">
      <c r="A1397" s="8" t="inlineStr">
        <is>
          <t>1418</t>
        </is>
      </c>
      <c r="B1397" s="2" t="inlineStr">
        <is>
          <t>พืชในข้อใดสามารถใช้เป็นสารตั้งต้นสเตรียรอยด์ได้</t>
        </is>
      </c>
      <c r="C1397" s="2" t="n"/>
      <c r="D1397" s="2" t="inlineStr">
        <is>
          <t>กลอย</t>
        </is>
      </c>
      <c r="E1397" s="2" t="inlineStr">
        <is>
          <t>ระย่อม</t>
        </is>
      </c>
      <c r="F1397" s="2" t="inlineStr">
        <is>
          <t>ลูกซัด</t>
        </is>
      </c>
      <c r="G1397" s="2" t="inlineStr">
        <is>
          <t>ก และ ข</t>
        </is>
      </c>
      <c r="H1397" s="2" t="inlineStr">
        <is>
          <t>ก และ ค</t>
        </is>
      </c>
      <c r="I1397" s="8" t="inlineStr">
        <is>
          <t>1</t>
        </is>
      </c>
      <c r="J1397" s="2" t="inlineStr">
        <is>
          <t>✅ คำตอบที่ถูกต้อง: ข้อ ก. กลอย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กลอย การเลือก กลอย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(ระย่อม): ข้อนี้ไม่ใช่คำตอบที่ถูกต้องสำหรับภาวะ General Therapeutics เนื่องจากกลไกการออกฤทธิ์, efficacy หรือข้อบ่งใช้ไม่ตรงกับโจทย์ที่กำหนด
• ข้อ ค. (ลูกซัด): ข้อนี้ไม่ใช่คำตอบที่ถูกต้องสำหรับภาวะ General Therapeutics เนื่องจากกลไกการออกฤทธิ์, efficacy หรือข้อบ่งใช้ไม่ตรงกับโจทย์ที่กำหนด
• ข้อ ง. (ก และ ข): ข้อนี้ไม่ใช่คำตอบที่ถูกต้องสำหรับภาวะ General Therapeutics เนื่องจากกลไกการออกฤทธิ์, efficacy หรือข้อบ่งใช้ไม่ตรงกับโจทย์ที่กำหนด
• ข้อ จ. (ก และ ค):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7" s="2" t="n"/>
      <c r="L1397" s="2" t="inlineStr">
        <is>
          <t>General Therapeutics</t>
        </is>
      </c>
      <c r="M1397" s="2" t="inlineStr">
        <is>
          <t>Clinic</t>
        </is>
      </c>
      <c r="N1397" s="2" t="inlineStr">
        <is>
          <t>ข้อ 21 (PLE_CC1_Practice_Exam.md)</t>
        </is>
      </c>
      <c r="O1397" s="2" t="inlineStr">
        <is>
          <t>Mock</t>
        </is>
      </c>
      <c r="P1397" s="2" t="inlineStr">
        <is>
          <t>Mock สภาเภสัชฯ Practice</t>
        </is>
      </c>
    </row>
    <row r="1398" ht="13.2" customHeight="1" s="37">
      <c r="A1398" s="8" t="inlineStr">
        <is>
          <t>1419</t>
        </is>
      </c>
      <c r="B1398" s="2" t="inlineStr">
        <is>
          <t>ข้อใดถูกเกี่ยวกับการรักษาอาการไอ</t>
        </is>
      </c>
      <c r="C1398" s="2" t="n"/>
      <c r="D1398" s="2" t="inlineStr">
        <is>
          <t>ใช้ผลดิบของดีปลี ฝนกับน้ำมะนาว แทรกเกลือ กวาดคอ</t>
        </is>
      </c>
      <c r="E1398" s="2" t="inlineStr">
        <is>
          <t>นำเนื้อฝักอ่อนของมะขามต้มน้ำ เติมเกลือ รับประทาน</t>
        </is>
      </c>
      <c r="F1398" s="2" t="inlineStr">
        <is>
          <t>นำผลสดมะแว้งเครือ เคี่ยวแล้วกลืนทั้งน้ำ และเนื้อ</t>
        </is>
      </c>
      <c r="G1398" s="2" t="inlineStr">
        <is>
          <t>ก ข และ ค ถูก</t>
        </is>
      </c>
      <c r="H1398" s="2" t="inlineStr">
        <is>
          <t>ก ข และ ค ผิด 359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1398" s="8" t="inlineStr">
        <is>
          <t>1</t>
        </is>
      </c>
      <c r="J1398" s="2" t="inlineStr">
        <is>
          <t>✅ คำตอบที่ถูกต้อง: ข้อ ก. ใช้ผลดิบของดีปลี ฝนกับน้ำมะนาว แทรกเกลือ กวาดคอ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ใช้ผลดิบของดีปลี ฝนกับน้ำมะนาว แทรกเกลือ กวาดคอ การเลือก ใช้ผลดิบของดีปลี ฝนกับน้ำมะนาว แทรกเกลือ กวาดคอ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(นำเนื้อฝักอ่อนของมะขามต้มน้ำ เติมเกลือ รับประทาน): ข้อนี้ไม่ใช่คำตอบที่ถูกต้องสำหรับภาวะ General Therapeutics เนื่องจากกลไกการออกฤทธิ์, efficacy หรือข้อบ่งใช้ไม่ตรงกับโจทย์ที่กำหนด
• ข้อ ค. (นำผลสดมะแว้งเครือ เคี่ยวแล้วกลืนทั้งน้ำ และเนื้อ): ข้อนี้ไม่ใช่คำตอบที่ถูกต้องสำหรับภาวะ General Therapeutics เนื่องจากกลไกการออกฤทธิ์, efficacy หรือข้อบ่งใช้ไม่ตรงกับโจทย์ที่กำหนด
• ข้อ ง. (ก ข และ ค ถูก): ข้อนี้ไม่ใช่คำตอบที่ถูกต้องสำหรับภาวะ General Therapeutics เนื่องจากกลไกการออกฤทธิ์, efficacy หรือข้อบ่งใช้ไม่ตรงกับโจทย์ที่กำหนด
• ข้อ จ. (ก ข และ ค ผิด 359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8" s="2" t="n"/>
      <c r="L1398" s="2" t="inlineStr">
        <is>
          <t>General Therapeutics</t>
        </is>
      </c>
      <c r="M1398" s="2" t="inlineStr">
        <is>
          <t>Clinic</t>
        </is>
      </c>
      <c r="N1398" s="2" t="inlineStr">
        <is>
          <t>ข้อ 24 (PLE_CC1_Practice_Exam.md)</t>
        </is>
      </c>
      <c r="O1398" s="2" t="inlineStr">
        <is>
          <t>Mock</t>
        </is>
      </c>
      <c r="P1398" s="2" t="inlineStr">
        <is>
          <t>Mock สภาเภสัชฯ Practice</t>
        </is>
      </c>
    </row>
    <row r="1399" ht="13.2" customHeight="1" s="37">
      <c r="A1399" s="8" t="inlineStr">
        <is>
          <t>1420</t>
        </is>
      </c>
      <c r="B1399" s="2" t="inlineStr">
        <is>
          <t>ข้อใดถูก</t>
        </is>
      </c>
      <c r="C1399" s="2" t="n"/>
      <c r="D1399" s="2" t="inlineStr">
        <is>
          <t>ดองดึง มีฤทธิ์ต้านมาลาเรีย</t>
        </is>
      </c>
      <c r="E1399" s="2" t="inlineStr">
        <is>
          <t>มังคุด มีสารต้านมะเร็ง</t>
        </is>
      </c>
      <c r="F1399" s="2" t="inlineStr">
        <is>
          <t>มะหาด มีสาร Skin whitening</t>
        </is>
      </c>
      <c r="G1399" s="2" t="inlineStr">
        <is>
          <t>ั่วยัวย มีฤทธิ์เพิ่มการไหลเวียนเลือดในสมอง</t>
        </is>
      </c>
      <c r="H1399" s="2" t="inlineStr">
        <is>
          <t>ขี้เหล็ก มีฤทธิ์รักษาฝีหนอง</t>
        </is>
      </c>
      <c r="I1399" s="8" t="inlineStr">
        <is>
          <t>1</t>
        </is>
      </c>
      <c r="J1399" s="2" t="inlineStr">
        <is>
          <t>✅ คำตอบที่ถูกต้อง: ข้อ ก. ดองดึง มีฤทธิ์ต้านมาลาเรีย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ดองดึง มีฤทธิ์ต้านมาลาเรีย การเลือก ดองดึง มีฤทธิ์ต้านมาลาเรีย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(มังคุด มีสารต้านมะเร็ง): ข้อนี้ไม่ใช่คำตอบที่ถูกต้องสำหรับภาวะ General Therapeutics เนื่องจากกลไกการออกฤทธิ์, efficacy หรือข้อบ่งใช้ไม่ตรงกับโจทย์ที่กำหนด
• ข้อ ค. (มะหาด มีสาร Skin whitening): ข้อนี้ไม่ใช่คำตอบที่ถูกต้องสำหรับภาวะ General Therapeutics เนื่องจากกลไกการออกฤทธิ์, efficacy หรือข้อบ่งใช้ไม่ตรงกับโจทย์ที่กำหนด
• ข้อ ง. (ั่วยัวย มีฤทธิ์เพิ่มการไหลเวียนเลือดในสมอง): ข้อนี้ไม่ใช่คำตอบที่ถูกต้องสำหรับภาวะ General Therapeutics เนื่องจากกลไกการออกฤทธิ์, efficacy หรือข้อบ่งใช้ไม่ตรงกับโจทย์ที่กำหนด
• ข้อ จ. (ขี้เหล็ก มีฤทธิ์รักษาฝีหนอง):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9" s="2" t="n"/>
      <c r="L1399" s="2" t="inlineStr">
        <is>
          <t>General Therapeutics</t>
        </is>
      </c>
      <c r="M1399" s="2" t="inlineStr">
        <is>
          <t>Clinic</t>
        </is>
      </c>
      <c r="N1399" s="2" t="inlineStr">
        <is>
          <t>ข้อ 30 (PLE_CC1_Practice_Exam.md)</t>
        </is>
      </c>
      <c r="O1399" s="2" t="inlineStr">
        <is>
          <t>Mock</t>
        </is>
      </c>
      <c r="P1399" s="2" t="inlineStr">
        <is>
          <t>Mock สภาเภสัชฯ Practice</t>
        </is>
      </c>
    </row>
    <row r="1400" ht="13.2" customHeight="1" s="37">
      <c r="A1400" s="8" t="inlineStr">
        <is>
          <t>1421</t>
        </is>
      </c>
      <c r="B1400" s="2" t="inlineStr">
        <is>
          <t>นิติเภสัชกรรม โดย ฝ่ายวิชาการและนักศึกษารุ่นที่ 2 คณะเภสัชศาสตร์ มหาวิทยาลัยธรรมศาสตร์</t>
        </is>
      </c>
      <c r="C1400" s="2" t="n"/>
      <c r="D1400" s="2" t="inlineStr">
        <is>
          <t>Naloxone 0.4 mg IV stat</t>
        </is>
      </c>
      <c r="E1400" s="2" t="inlineStr">
        <is>
          <t>Flumazenil 0.2 mg IV stat</t>
        </is>
      </c>
      <c r="F1400" s="2" t="inlineStr">
        <is>
          <t>Vitamin K1 (Phytomenadione) 10 mg IV slow</t>
        </is>
      </c>
      <c r="G1400" s="2" t="inlineStr">
        <is>
          <t>Sodium thiosulfate 25% 50 mL IV</t>
        </is>
      </c>
      <c r="H1400" s="2" t="inlineStr">
        <is>
          <t>Calcium disodium EDTA 1 g IV</t>
        </is>
      </c>
      <c r="I1400" s="8" t="inlineStr">
        <is>
          <t>1</t>
        </is>
      </c>
      <c r="J14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00" s="2" t="n"/>
      <c r="L1400" s="2" t="inlineStr">
        <is>
          <t>General Therapeutics</t>
        </is>
      </c>
      <c r="M1400" s="2" t="inlineStr">
        <is>
          <t>Clinic</t>
        </is>
      </c>
      <c r="N1400" s="2" t="inlineStr">
        <is>
          <t>ข้อ 18 (PLE_CC1_Practice_Exam.md)</t>
        </is>
      </c>
      <c r="O1400" s="2" t="inlineStr">
        <is>
          <t>Mock</t>
        </is>
      </c>
      <c r="P1400" s="2" t="inlineStr">
        <is>
          <t>Mock สภาเภสัชฯ Practice</t>
        </is>
      </c>
    </row>
    <row r="1401" ht="13.2" customHeight="1" s="37">
      <c r="A1401" s="8" t="inlineStr">
        <is>
          <t>1422</t>
        </is>
      </c>
      <c r="B1401" s="2" t="inlineStr">
        <is>
          <t>นายทองสุข ประสงค์จะเลิกกิจการร้านขายยามาปรึกษาท่าน ท่านจะแนะนำนายทองสุขอย่างไร</t>
        </is>
      </c>
      <c r="C1401" s="2" t="n"/>
      <c r="D1401" s="2" t="inlineStr">
        <is>
          <t>ให้แจ้งการเลิกกิจการเป็นหนังสือให้ผู้อนุญาตทราบไม่เกิน 7 วัน นับแต่วันเลิกกิจการ</t>
        </is>
      </c>
      <c r="E1401" s="2" t="inlineStr">
        <is>
          <t>ให้แจ้งการเลิกกิจการเป็นหนังสือให้ผู้อนุญาตทราบไม่เกิน 14 วัน นับแต่วันเลิกกิจการ</t>
        </is>
      </c>
      <c r="F1401" s="2" t="inlineStr">
        <is>
          <t>ให้แจ้งการเลิกกิจการเป็นหนังสือให้ผู้อนุญาตทราบไม่เกิน 15 วัน นับแต่วันเลิกกิจการ</t>
        </is>
      </c>
      <c r="G1401" s="2" t="inlineStr">
        <is>
          <t>ให้แจ้งการเลิกกิจการเป็นหนังสือให้ผู้อนุญาตทราบไม่เกิน 30 วัน นับแต่วันเลิกกิจการ</t>
        </is>
      </c>
      <c r="H1401" s="2" t="inlineStr">
        <is>
          <t>ให้แจ้งการเลิกกิจการเป็นหนังสือให้ผู้อนุญาตทราบไม่เกิน 60 วัน นับแต่วันเลิกกิจการ</t>
        </is>
      </c>
      <c r="I1401" s="8" t="inlineStr">
        <is>
          <t>1</t>
        </is>
      </c>
      <c r="J1401" s="2" t="inlineStr">
        <is>
          <t>✅ คำตอบที่ถูกต้อง: ข้อ ก. ให้แจ้งการเลิกกิจการเป็นหนังสือให้ผู้อนุญาตทราบไม่เกิน 7 วัน นับแต่วันเลิกกิจการ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ให้แจ้งการเลิกกิจการเป็นหนังสือให้ผู้อนุญาตทราบไม่เกิน 7 วัน นับแต่วันเลิกกิจการ การเลือก ให้แจ้งการเลิกกิจการเป็นหนังสือให้ผู้อนุญาตทราบไม่เกิน 7 วัน นับแต่วันเลิกกิจการ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(ให้แจ้งการเลิกกิจการเป็นหนังสือให้ผู้อนุญาตทราบไม่เกิน 14 วัน นับแต่วันเลิกกิจการ): ข้อนี้ไม่ใช่คำตอบที่ถูกต้องสำหรับภาวะ General Therapeutics เนื่องจากกลไกการออกฤทธิ์, efficacy หรือข้อบ่งใช้ไม่ตรงกับโจทย์ที่กำหนด
• ข้อ ค. (ให้แจ้งการเลิกกิจการเป็นหนังสือให้ผู้อนุญาตทราบไม่เกิน 15 วัน นับแต่วันเลิกกิจการ): ข้อนี้ไม่ใช่คำตอบที่ถูกต้องสำหรับภาวะ General Therapeutics เนื่องจากกลไกการออกฤทธิ์, efficacy หรือข้อบ่งใช้ไม่ตรงกับโจทย์ที่กำหนด
• ข้อ ง. (ให้แจ้งการเลิกกิจการเป็นหนังสือให้ผู้อนุญาตทราบไม่เกิน 30 วัน นับแต่วันเลิกกิจการ): ข้อนี้ไม่ใช่คำตอบที่ถูกต้องสำหรับภาวะ General Therapeutics เนื่องจากกลไกการออกฤทธิ์, efficacy หรือข้อบ่งใช้ไม่ตรงกับโจทย์ที่กำหนด
• ข้อ จ. (ให้แจ้งการเลิกกิจการเป็นหนังสือให้ผู้อนุญาตทราบไม่เกิน 60 วัน นับแต่วันเลิกกิจการ):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1" s="2" t="n"/>
      <c r="L1401" s="2" t="inlineStr">
        <is>
          <t>General Therapeutics</t>
        </is>
      </c>
      <c r="M1401" s="2" t="inlineStr">
        <is>
          <t>Clinic</t>
        </is>
      </c>
      <c r="N1401" s="2" t="inlineStr">
        <is>
          <t>ข้อ 1 (PLE_CC1_Practice_Exam.md)</t>
        </is>
      </c>
      <c r="O1401" s="2" t="inlineStr">
        <is>
          <t>Mock</t>
        </is>
      </c>
      <c r="P1401" s="2" t="inlineStr">
        <is>
          <t>Mock สภาเภสัชฯ Practice</t>
        </is>
      </c>
    </row>
    <row r="1402" ht="13.2" customHeight="1" s="37">
      <c r="A1402" s="8" t="inlineStr">
        <is>
          <t>1423</t>
        </is>
      </c>
      <c r="B1402" s="2" t="inlineStr">
        <is>
          <t>ใครเป็นผู้มีอำนาจสั่งเป็นหนังสือให้ระงับการโฆษณาขายยาได้ตามพระราชบัญญัติยา พ.ศ. 2510</t>
        </is>
      </c>
      <c r="C1402" s="2" t="n"/>
      <c r="D1402" s="2" t="inlineStr">
        <is>
          <t>ปลัดกระทรวงสาธารณสุข ข. รัฐมนตรีว่าการกระทรวงสาธารณสุข</t>
        </is>
      </c>
      <c r="E1402" s="2" t="inlineStr">
        <is>
          <t>เลขาธิการคณะกรรมการอาหารและยา ง. ผู้ว่าราชการจังหวัด</t>
        </is>
      </c>
      <c r="F1402" s="2" t="inlineStr">
        <is>
          <t>นายกสภาเภสัชกรรม</t>
        </is>
      </c>
      <c r="G1402" s="2" t="inlineStr">
        <is>
          <t>N-acetylcysteine (NAC) IV infusion protocol</t>
        </is>
      </c>
      <c r="H1402" s="2" t="inlineStr">
        <is>
          <t>Atropine sulfate 2 mg IV Q5-10 min</t>
        </is>
      </c>
      <c r="I1402" s="8" t="inlineStr">
        <is>
          <t>1</t>
        </is>
      </c>
      <c r="J1402" s="2" t="inlineStr">
        <is>
          <t>✅ คำตอบที่ถูกต้อง: ข้อ ก. ปลัดกระทรวงสาธารณสุข ข. รัฐมนตรีว่าการกระทรวงสาธารณสุข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ปลัดกระทรวงสาธารณสุข ข. รัฐมนตรีว่าการกระทรวงสาธารณสุข การเลือก ปลัดกระทรวงสาธารณสุข ข. รัฐมนตรีว่าการกระทรวงสาธารณสุข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(เลขาธิการคณะกรรมการอาหารและยา ง. ผู้ว่าราชการจังหวัด): ข้อนี้ไม่ใช่คำตอบที่ถูกต้องสำหรับภาวะ General Therapeutics เนื่องจากกลไกการออกฤทธิ์, efficacy หรือข้อบ่งใช้ไม่ตรงกับโจทย์ที่กำหนด
• ข้อ ค. (นายกสภาเภสัชกรรม):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02" s="2" t="n"/>
      <c r="L1402" s="2" t="inlineStr">
        <is>
          <t>General Therapeutics</t>
        </is>
      </c>
      <c r="M1402" s="2" t="inlineStr">
        <is>
          <t>Clinic</t>
        </is>
      </c>
      <c r="N1402" s="2" t="inlineStr">
        <is>
          <t>ข้อ 2 (PLE_CC1_Practice_Exam.md)</t>
        </is>
      </c>
      <c r="O1402" s="2" t="inlineStr">
        <is>
          <t>Mock</t>
        </is>
      </c>
      <c r="P1402" s="2" t="inlineStr">
        <is>
          <t>Mock สภาเภสัชฯ Practice</t>
        </is>
      </c>
    </row>
    <row r="1403" ht="13.2" customHeight="1" s="37">
      <c r="A1403" s="8" t="inlineStr">
        <is>
          <t>1424</t>
        </is>
      </c>
      <c r="B1403" s="2" t="inlineStr">
        <is>
          <t>ข้อใดไม่ใช่หน้าที่ของผู้รับอนุญาตผลิตยา</t>
        </is>
      </c>
      <c r="C1403" s="2" t="n"/>
      <c r="D1403" s="2" t="inlineStr">
        <is>
          <t>จัดให้มีป้ายแสดงว่าเป็นสถานที่ผลิตยา</t>
        </is>
      </c>
      <c r="E1403" s="2" t="inlineStr">
        <is>
          <t>จัดให้มีฉลากตามที่ขึ้นทะเบียนตำรับยาผนึกไว้ที่ภาชนะ และหีบห่อบรรจุยาที่ผลิตขึ้น</t>
        </is>
      </c>
      <c r="F1403" s="2" t="inlineStr">
        <is>
          <t>ทำบัญชียาที่ผลิตและขายตามที่กำหนดในกฎกระทรวง</t>
        </is>
      </c>
      <c r="G1403" s="2" t="inlineStr">
        <is>
          <t>ควบคุมการขายยาให้เป็นไปตามมาตรา 39</t>
        </is>
      </c>
      <c r="H1403" s="2" t="inlineStr">
        <is>
          <t>ถูกทุกข้อ</t>
        </is>
      </c>
      <c r="I1403" s="8" t="inlineStr">
        <is>
          <t>1</t>
        </is>
      </c>
      <c r="J1403" s="2" t="inlineStr">
        <is>
          <t>✅ คำตอบที่ถูกต้อง: ข้อ ก. จัดให้มีป้ายแสดงว่าเป็นสถานที่ผลิตยา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จัดให้มีป้ายแสดงว่าเป็นสถานที่ผลิตยา การเลือก จัดให้มีป้ายแสดงว่าเป็นสถานที่ผลิตยา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(จัดให้มีฉลากตามที่ขึ้นทะเบียนตำรับยาผนึกไว้ที่ภาชนะ และหีบห่อบรรจุยาที่ผลิตขึ้น): ข้อนี้ไม่ใช่คำตอบที่ถูกต้องสำหรับภาวะ General Therapeutics เนื่องจากกลไกการออกฤทธิ์, efficacy หรือข้อบ่งใช้ไม่ตรงกับโจทย์ที่กำหนด
• ข้อ ค. (ทำบัญชียาที่ผลิตและขายตามที่กำหนดในกฎกระทรวง): ข้อนี้ไม่ใช่คำตอบที่ถูกต้องสำหรับภาวะ General Therapeutics เนื่องจากกลไกการออกฤทธิ์, efficacy หรือข้อบ่งใช้ไม่ตรงกับโจทย์ที่กำหนด
• ข้อ ง. (ควบคุมการขายยาให้เป็นไปตามมาตรา 39):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3" s="2" t="n"/>
      <c r="L1403" s="2" t="inlineStr">
        <is>
          <t>General Therapeutics</t>
        </is>
      </c>
      <c r="M1403" s="2" t="inlineStr">
        <is>
          <t>Clinic</t>
        </is>
      </c>
      <c r="N1403" s="2" t="inlineStr">
        <is>
          <t>ข้อ 3 (PLE_CC1_Practice_Exam.md)</t>
        </is>
      </c>
      <c r="O1403" s="2" t="inlineStr">
        <is>
          <t>Mock</t>
        </is>
      </c>
      <c r="P1403" s="2" t="inlineStr">
        <is>
          <t>Mock สภาเภสัชฯ Practice</t>
        </is>
      </c>
    </row>
    <row r="1404" ht="13.2" customHeight="1" s="37">
      <c r="A1404" s="8" t="inlineStr">
        <is>
          <t>1425</t>
        </is>
      </c>
      <c r="B1404" s="2" t="inlineStr">
        <is>
          <t>ข้อใด ไม่ใช่ยาปลอมตามความหมายในพระราชบัญญัติ พ.ศ. 2510</t>
        </is>
      </c>
      <c r="C1404" s="2" t="n"/>
      <c r="D1404" s="2" t="inlineStr">
        <is>
          <t>ยาหรือวัตถุที่ทำเทียมทั้งหมดหรือแต่บางส่วนว่าเป็นยาแท้</t>
        </is>
      </c>
      <c r="E1404" s="2" t="inlineStr">
        <is>
          <t>ยาที่สิ้นอายุตามที่แสดงไว้ในฉลาก</t>
        </is>
      </c>
      <c r="F1404" s="2" t="inlineStr">
        <is>
          <t>ยาที่แสดงชื่อว่าเป็นยาอื่นหรือแสดงเดือนปีที่ยาสิ้นอายุซึ่งมิใช่ความจริง</t>
        </is>
      </c>
      <c r="G1404" s="2" t="inlineStr">
        <is>
          <t>ยาที่แสดงชื่อหรือเครื่องหมายของผู้ผลิต หรือที่ตั้งสถานที่ผลิตยาซึ่งมิใช่ความจริง</t>
        </is>
      </c>
      <c r="H1404" s="2" t="inlineStr">
        <is>
          <t>ถูกทั้งข้อ ข และ ค</t>
        </is>
      </c>
      <c r="I1404" s="8" t="inlineStr">
        <is>
          <t>1</t>
        </is>
      </c>
      <c r="J1404" s="2" t="inlineStr">
        <is>
          <t>✅ คำตอบที่ถูกต้อง: ข้อ ก. ยาหรือวัตถุที่ทำเทียมทั้งหมดหรือแต่บางส่วนว่าเป็นยาแท้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ยาหรือวัตถุที่ทำเทียมทั้งหมดหรือแต่บางส่วนว่าเป็นยาแท้ การเลือก ยาหรือวัตถุที่ทำเทียมทั้งหมดหรือแต่บางส่วนว่าเป็นยาแท้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(ยาที่สิ้นอายุตามที่แสดงไว้ในฉลาก): ข้อนี้ไม่ใช่คำตอบที่ถูกต้องสำหรับภาวะ General Therapeutics เนื่องจากกลไกการออกฤทธิ์, efficacy หรือข้อบ่งใช้ไม่ตรงกับโจทย์ที่กำหนด
• ข้อ ค. (ยาที่แสดงชื่อว่าเป็นยาอื่นหรือแสดงเดือนปีที่ยาสิ้นอายุซึ่งมิใช่ความจริง): ข้อนี้ไม่ใช่คำตอบที่ถูกต้องสำหรับภาวะ General Therapeutics เนื่องจากกลไกการออกฤทธิ์, efficacy หรือข้อบ่งใช้ไม่ตรงกับโจทย์ที่กำหนด
• ข้อ ง. (ยาที่แสดงชื่อหรือเครื่องหมายของผู้ผลิต หรือที่ตั้งสถานที่ผลิตยาซึ่งมิใช่ความจริง): ข้อนี้ไม่ใช่คำตอบที่ถูกต้องสำหรับภาวะ General Therapeutics เนื่องจากกลไกการออกฤทธิ์, efficacy หรือข้อบ่งใช้ไม่ตรงกับโจทย์ที่กำหนด
• ข้อ จ. (ถูกทั้งข้อ ข และ ค):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04" s="2" t="n"/>
      <c r="L1404" s="2" t="inlineStr">
        <is>
          <t>General Therapeutics</t>
        </is>
      </c>
      <c r="M1404" s="2" t="inlineStr">
        <is>
          <t>Clinic</t>
        </is>
      </c>
      <c r="N1404" s="2" t="inlineStr">
        <is>
          <t>ข้อ 4 (PLE_CC1_Practice_Exam.md)</t>
        </is>
      </c>
      <c r="O1404" s="2" t="inlineStr">
        <is>
          <t>Mock</t>
        </is>
      </c>
      <c r="P1404" s="2" t="inlineStr">
        <is>
          <t>Mock สภาเภสัชฯ Practice</t>
        </is>
      </c>
    </row>
    <row r="1405" ht="13.2" customHeight="1" s="37">
      <c r="A1405" s="8" t="inlineStr">
        <is>
          <t>1426</t>
        </is>
      </c>
      <c r="B1405" s="2" t="inlineStr">
        <is>
          <t>ข้อใดกล่าวไม่ถูกต้องตามพระราชบัญญัติยา พ.ศ. 2510</t>
        </is>
      </c>
      <c r="C1405" s="2" t="n"/>
      <c r="D1405" s="2" t="inlineStr">
        <is>
          <t>คำสั่งพักใช้ใบอนุญาตมีกำหนดครั้งละไม่เกิน 180 วัน</t>
        </is>
      </c>
      <c r="E1405" s="2" t="inlineStr">
        <is>
          <t>กรณีใบอนุญาตสูญหายให้ผู้รับอนุญาตแจ้งต่อพนักงานเจ้าหน้าที่ และยื่นคำขอรับใบแทน ใบอนุญาตภายใน 15 วัน นับแต่วันทราบการสูญหาย</t>
        </is>
      </c>
      <c r="F1405" s="2" t="inlineStr">
        <is>
          <t>กรณีใบสำคัญการขึ้นทะเบียนตำรับยาสูญหาย ให้ผู้รับอนุญาตแจ้งต่อผู้อนุญาตและยื่นคำขอรับใบ แทนใบสำคัญการขึ้นทะเบียนตำรับยาภายใน 15 วัน นับแต่วันทราบการสูญหาย</t>
        </is>
      </c>
      <c r="G1405" s="2" t="inlineStr">
        <is>
          <t>ผู้รับอนุญาตซึ่งถูกสั่งเพิกถอนใบอนุญาตการผลิตยา จะขอรับใบอนุญาตผลิตยาใหม่ต้องรอจนกว่า จะพ้น 2 ปีนับแต่วันที่ถูกเพิกถอนใบอนุญาต และผู้อนุญาตจะออกใบอนุญาตให้หรือไม่ก็ได้สุดแต่จะเห็นสมควร</t>
        </is>
      </c>
      <c r="H1405" s="2" t="inlineStr">
        <is>
          <t>ไม่มีข้อใดผิด</t>
        </is>
      </c>
      <c r="I1405" s="8" t="inlineStr">
        <is>
          <t>1</t>
        </is>
      </c>
      <c r="J1405" s="2" t="inlineStr">
        <is>
          <t>✅ คำตอบที่ถูกต้อง: ข้อ ก. คำสั่งพักใช้ใบอนุญาตมีกำหนดครั้งละไม่เกิน 180 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คำสั่งพักใช้ใบอนุญาตมีกำหนดครั้งละไม่เกิน 180 วัน การเลือก คำสั่งพักใช้ใบอนุญาตมีกำหนดครั้งละไม่เกิน 180 วัน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(กรณีใบอนุญาตสูญหายให้ผู้รับอนุญาตแจ้งต่อพนักงานเจ้าหน้าที่ และยื่นคำขอรับใบแทน ใบอนุญาตภายใน 15 วัน นับแต่วันทราบการสูญหาย): ข้อนี้ไม่ใช่คำตอบที่ถูกต้องสำหรับภาวะ General Therapeutics เนื่องจากกลไกการออกฤทธิ์, efficacy หรือข้อบ่งใช้ไม่ตรงกับโจทย์ที่กำหนด
• ข้อ ค. (กรณีใบสำคัญการขึ้นทะเบียนตำรับยาสูญหาย ให้ผู้รับอนุญาตแจ้งต่อผู้อนุญาตและยื่นคำขอรับใบ แทนใบสำคัญการขึ้นทะเบียนตำรับยาภายใน 15 วัน นับแต่วันทราบการสูญหาย): ข้อนี้ไม่ใช่คำตอบที่ถูกต้องสำหรับภาวะ General Therapeutics เนื่องจากกลไกการออกฤทธิ์, efficacy หรือข้อบ่งใช้ไม่ตรงกับโจทย์ที่กำหนด
• ข้อ ง. (ผู้รับอนุญาตซึ่งถูกสั่งเพิกถอนใบอนุญาตการผลิตยา จะขอรับใบอนุญาตผลิตยาใหม่ต้องรอจนกว่า จะพ้น 2 ปีนับแต่วันที่ถูกเพิกถอนใบอนุญาต และผู้อนุญาตจะออกใบอนุญาตให้หรือไม่ก็ได้สุดแต่จะเห็นสมควร):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(ไม่มีข้อใดผิด):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05" s="2" t="n"/>
      <c r="L1405" s="2" t="inlineStr">
        <is>
          <t>General Therapeutics</t>
        </is>
      </c>
      <c r="M1405" s="2" t="inlineStr">
        <is>
          <t>Clinic</t>
        </is>
      </c>
      <c r="N1405" s="2" t="inlineStr">
        <is>
          <t>ข้อ 6 (PLE_CC1_Practice_Exam.md)</t>
        </is>
      </c>
      <c r="O1405" s="2" t="inlineStr">
        <is>
          <t>Mock</t>
        </is>
      </c>
      <c r="P1405" s="2" t="inlineStr">
        <is>
          <t>Mock สภาเภสัชฯ Practice</t>
        </is>
      </c>
    </row>
    <row r="1406" ht="13.2" customHeight="1" s="37">
      <c r="A1406" s="8" t="inlineStr">
        <is>
          <t>1427</t>
        </is>
      </c>
      <c r="B1406" s="2" t="inlineStr">
        <is>
          <t>การโฆษณาแบบใดที่ผู้อนุญาตมีอำนาจอนุมัติข้อความที่โฆษณาได้</t>
        </is>
      </c>
      <c r="C1406" s="2" t="n"/>
      <c r="D1406" s="2" t="inlineStr">
        <is>
          <t>การโฆษณายาโดยการร้องเพลง</t>
        </is>
      </c>
      <c r="E1406" s="2" t="inlineStr">
        <is>
          <t>การโฆษณาสรรพคุณยาอันตราย</t>
        </is>
      </c>
      <c r="F1406" s="2" t="inlineStr">
        <is>
          <t>การโฆษณายาแก้เบาหวานโดยตรงต่อผู้ประกอบโรคศิลปะ</t>
        </is>
      </c>
      <c r="G1406" s="2" t="inlineStr">
        <is>
          <t>การโฆษณาโดยผู้ประกอบโรคศิลปะเป็นผู้รับรองสรรพคุณ</t>
        </is>
      </c>
      <c r="H1406" s="2" t="inlineStr">
        <is>
          <t>การโฆษณาระบุว่าสามารถรักษาโรคเรื้อรังให้หายขาดได้</t>
        </is>
      </c>
      <c r="I1406" s="8" t="inlineStr">
        <is>
          <t>1</t>
        </is>
      </c>
      <c r="J1406" s="2" t="inlineStr">
        <is>
          <t>✅ คำตอบที่ถูกต้อง: ข้อ ก. การโฆษณายาโดยการร้องเพลง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การโฆษณายาโดยการร้องเพลง การเลือก การโฆษณายาโดยการร้องเพลง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(การโฆษณาสรรพคุณยาอันตราย):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(การโฆษณายาแก้เบาหวานโดยตรงต่อผู้ประกอบโรคศิลปะ): ข้อนี้ไม่ใช่คำตอบที่ถูกต้องสำหรับภาวะ General Therapeutics เนื่องจากกลไกการออกฤทธิ์, efficacy หรือข้อบ่งใช้ไม่ตรงกับโจทย์ที่กำหนด
• ข้อ ง. (การโฆษณาโดยผู้ประกอบโรคศิลปะเป็นผู้รับรองสรรพคุณ): ข้อนี้ไม่ใช่คำตอบที่ถูกต้องสำหรับภาวะ General Therapeutics เนื่องจากกลไกการออกฤทธิ์, efficacy หรือข้อบ่งใช้ไม่ตรงกับโจทย์ที่กำหนด
• ข้อ จ. (การโฆษณาระบุว่าสามารถรักษาโรคเรื้อรังให้หายขาดได้):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6" s="2" t="n"/>
      <c r="L1406" s="2" t="inlineStr">
        <is>
          <t>General Therapeutics</t>
        </is>
      </c>
      <c r="M1406" s="2" t="inlineStr">
        <is>
          <t>Clinic</t>
        </is>
      </c>
      <c r="N1406" s="2" t="inlineStr">
        <is>
          <t>ข้อ 7 (PLE_CC1_Practice_Exam.md)</t>
        </is>
      </c>
      <c r="O1406" s="2" t="inlineStr">
        <is>
          <t>Mock</t>
        </is>
      </c>
      <c r="P1406" s="2" t="inlineStr">
        <is>
          <t>Mock สภาเภสัชฯ Practice</t>
        </is>
      </c>
    </row>
    <row r="1407" ht="13.2" customHeight="1" s="37">
      <c r="A1407" s="8" t="inlineStr">
        <is>
          <t>1428</t>
        </is>
      </c>
      <c r="B1407" s="2" t="inlineStr">
        <is>
          <t>สถานที่ขายยาแผนปัจจุบันสามารถขายยาแผนโบราณได้โดยไม่ต้องขออนุญาตขายยาแผนโบราณ เพราะ เหตุใด</t>
        </is>
      </c>
      <c r="C1407" s="2" t="n"/>
      <c r="D1407" s="2" t="inlineStr">
        <is>
          <t>เพราะกฎหมายอนุญาตให้ผู้มีหน้าที่ปฏิบัติการในสถานที่ขายยาแผนปัจจุบันซึ่งเป็นผู้ประกอบ วิชาชีพเภสัชกรรมขายยาแผนโบราณได้</t>
        </is>
      </c>
      <c r="E1407" s="2" t="inlineStr">
        <is>
          <t>เพราะกฎหมายยกเว้นให้การขายยาแผนโบราณโดยผู้รับอนุญาตขายยาแผนปัจจุบันสามารถกระทำ ได้โดยไม่ต้องขออนุญาต</t>
        </is>
      </c>
      <c r="F1407" s="2" t="inlineStr">
        <is>
          <t>เพราะกฎหมายยกเว้นให้เพราะเป็นการขายยาสามัญประจำบ้านเท่านั้น</t>
        </is>
      </c>
      <c r="G1407" s="2" t="inlineStr">
        <is>
          <t>เพราะกฎหมายยกเว้นให้เพราะเป็นการขายยาที่ไม่มีอันตราย</t>
        </is>
      </c>
      <c r="H1407" s="2" t="inlineStr">
        <is>
          <t>ข้อ ก และ ค ถูก</t>
        </is>
      </c>
      <c r="I1407" s="8" t="inlineStr">
        <is>
          <t>1</t>
        </is>
      </c>
      <c r="J1407" s="2" t="inlineStr">
        <is>
          <t>✅ คำตอบที่ถูกต้อง: ข้อ ก. เพราะกฎหมายอนุญาตให้ผู้มีหน้าที่ปฏิบัติการในสถานที่ขายยาแผนปัจจุบันซึ่งเป็นผู้ประกอบ วิชาชีพเภสัชกรรมขายยาแผนโบราณได้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เพราะกฎหมายอนุญาตให้ผู้มีหน้าที่ปฏิบัติการในสถานที่ขายยาแผนปัจจุบันซึ่งเป็นผู้ประกอบ วิชาชีพเภสัชกรรมขายยาแผนโบราณได้ 💡 คำอธิบายและเหตุผลทางเภสัชกรรม:
💡 คำอธิบายและเหตุผลทางเภสัชกรรม:
การเลือก เพราะกฎหมายอนุญาตให้ผู้มีหน้าที่ปฏิบัติการในสถานที่ขายยาแผนปัจจุบันซึ่งเป็นผู้ประกอบ วิชาชีพเภสัชกรรมขายยาแผนโบราณได้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(เพราะกฎหมายยกเว้นให้การขายยาแผนโบราณโดยผู้รับอนุญาตขายยาแผนปัจจุบันสามารถกระทำ ได้โดยไม่ต้องขออนุญาต): ข้อนี้ไม่ใช่คำตอบที่ถูกต้องสำหรับภาวะ Herbal Medicine เนื่องจากกลไกการออกฤทธิ์, efficacy หรือข้อบ่งใช้ไม่ตรงกับโจทย์ที่กำหนด
• ข้อ ค. (เพราะกฎหมายยกเว้นให้เพราะเป็นการขายยาสามัญประจำบ้านเท่านั้น): ข้อนี้ไม่ใช่คำตอบที่ถูกต้องสำหรับภาวะ Herbal Medicine เนื่องจากกลไกการออกฤทธิ์, efficacy หรือข้อบ่งใช้ไม่ตรงกับโจทย์ที่กำหนด
• ข้อ ง. (เพราะกฎหมายยกเว้นให้เพราะเป็นการขายยาที่ไม่มีอันตราย): ข้อนี้ไม่ใช่คำตอบที่ถูกต้องสำหรับภาวะ Herbal Medicine เนื่องจากกลไกการออกฤทธิ์, efficacy หรือข้อบ่งใช้ไม่ตรงกับโจทย์ที่กำหนด
• ข้อ จ. (ข้อ ก และ ค ถูก):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7" s="2" t="n"/>
      <c r="L1407" s="2" t="inlineStr">
        <is>
          <t>Herbal Medicine</t>
        </is>
      </c>
      <c r="M1407" s="2" t="inlineStr">
        <is>
          <t>Product</t>
        </is>
      </c>
      <c r="N1407" s="2" t="inlineStr">
        <is>
          <t>ข้อ 8 (PLE_CC1_Practice_Exam.md)</t>
        </is>
      </c>
      <c r="O1407" s="2" t="inlineStr">
        <is>
          <t>Mock</t>
        </is>
      </c>
      <c r="P1407" s="2" t="inlineStr">
        <is>
          <t>Mock สภาเภสัชฯ Practice</t>
        </is>
      </c>
    </row>
    <row r="1408" ht="13.2" customHeight="1" s="37">
      <c r="A1408" s="8" t="inlineStr">
        <is>
          <t>1429</t>
        </is>
      </c>
      <c r="B1408" s="2" t="inlineStr">
        <is>
          <t>ในกรณีเภสัชกรผู้ปฏิบัติการไม่อยู่หนึ่งวัน ณ สถานที่ขายยา ให้ท่านซึ่งเป็นเภสัชกรไปปฏิบัติการแทน จะ ทำได้หรือไม่</t>
        </is>
      </c>
      <c r="C1408" s="2" t="n"/>
      <c r="D1408" s="2" t="inlineStr">
        <is>
          <t>ได้ เพราะเป็นผู้ประกอบโรคศิลปะเหมือนกัน</t>
        </is>
      </c>
      <c r="E1408" s="2" t="inlineStr">
        <is>
          <t>ไม่ได้ เพราะผิด พ.ร.บ. ยา</t>
        </is>
      </c>
      <c r="F1408" s="2" t="inlineStr">
        <is>
          <t>ได้ เพราะเป็นการแทนชั่วคราว</t>
        </is>
      </c>
      <c r="G1408" s="2" t="inlineStr">
        <is>
          <t>ไม่ได้ เพราะมีความรู้ไม่เหมือนกันในการปฏิบัติ 371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1408" s="2" t="inlineStr">
        <is>
          <t>ไม่ได้ เพราะไม่มีชื่อเป็นผู้ปฏิบัติการร้านยานี้</t>
        </is>
      </c>
      <c r="I1408" s="8" t="inlineStr">
        <is>
          <t>1</t>
        </is>
      </c>
      <c r="J1408" s="2" t="inlineStr">
        <is>
          <t>✅ คำตอบที่ถูกต้อง: ข้อ ก. ได้ เพราะเป็นผู้ประกอบโรคศิลปะเหมือนกัน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ได้ เพราะเป็นผู้ประกอบโรคศิลปะเหมือนกัน การเลือก ได้ เพราะเป็นผู้ประกอบโรคศิลปะเหมือนกัน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(ไม่ได้ เพราะผิด พ.ร.บ. ยา): ข้อนี้ไม่ใช่คำตอบที่ถูกต้องสำหรับภาวะ General Therapeutics เนื่องจากกลไกการออกฤทธิ์, efficacy หรือข้อบ่งใช้ไม่ตรงกับโจทย์ที่กำหนด
• ข้อ ค. (ได้ เพราะเป็นการแทนชั่วคราว): ข้อนี้ไม่ใช่คำตอบที่ถูกต้องสำหรับภาวะ General Therapeutics เนื่องจากกลไกการออกฤทธิ์, efficacy หรือข้อบ่งใช้ไม่ตรงกับโจทย์ที่กำหนด
• ข้อ ง. (ไม่ได้ เพราะมีความรู้ไม่เหมือนกันในการปฏิบัติ 371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จ. (ไม่ได้ เพราะไม่มีชื่อเป็นผู้ปฏิบัติการร้านยานี้):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8" s="2" t="n"/>
      <c r="L1408" s="2" t="inlineStr">
        <is>
          <t>General Therapeutics</t>
        </is>
      </c>
      <c r="M1408" s="2" t="inlineStr">
        <is>
          <t>Clinic</t>
        </is>
      </c>
      <c r="N1408" s="2" t="inlineStr">
        <is>
          <t>ข้อ 13 (PLE_CC1_Practice_Exam.md)</t>
        </is>
      </c>
      <c r="O1408" s="2" t="inlineStr">
        <is>
          <t>Mock</t>
        </is>
      </c>
      <c r="P1408" s="2" t="inlineStr">
        <is>
          <t>Mock สภาเภสัชฯ Practice</t>
        </is>
      </c>
    </row>
    <row r="1409" ht="13.2" customHeight="1" s="37">
      <c r="A1409" s="8" t="inlineStr">
        <is>
          <t>1430</t>
        </is>
      </c>
      <c r="B1409" s="2" t="inlineStr">
        <is>
          <t>ยาเสื่อมคุณภาพ คือ</t>
        </is>
      </c>
      <c r="C1409" s="2" t="n"/>
      <c r="D1409" s="2" t="inlineStr">
        <is>
          <t>ยาที่สิ้นอายุตามที่แสดงไว้ในฉลาก</t>
        </is>
      </c>
      <c r="E1409" s="2" t="inlineStr">
        <is>
          <t>ยาที่แปรสภาพมีลักษณะเช่นเดียวกับยาปลอม</t>
        </is>
      </c>
      <c r="F1409" s="2" t="inlineStr">
        <is>
          <t>ยาที่แปรสภาพมีลักษณะเช่นเดียวกับยาผิดมาตรฐาน</t>
        </is>
      </c>
      <c r="G1409" s="2" t="inlineStr">
        <is>
          <t>ข้อ ข และ ค ถูก</t>
        </is>
      </c>
      <c r="H1409" s="2" t="inlineStr">
        <is>
          <t>ถูกทุกข้อ</t>
        </is>
      </c>
      <c r="I1409" s="8" t="inlineStr">
        <is>
          <t>1</t>
        </is>
      </c>
      <c r="J1409" s="2" t="inlineStr">
        <is>
          <t>✅ คำตอบที่ถูกต้อง: ข้อ ก. ยาที่สิ้นอายุตามที่แสดงไว้ในฉลาก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ยาที่สิ้นอายุตามที่แสดงไว้ในฉลาก การเลือก ยาที่สิ้นอายุตามที่แสดงไว้ในฉลาก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(ยาที่แปรสภาพมีลักษณะเช่นเดียวกับยาปลอม): ข้อนี้ไม่ใช่คำตอบที่ถูกต้องสำหรับภาวะ General Therapeutics เนื่องจากกลไกการออกฤทธิ์, efficacy หรือข้อบ่งใช้ไม่ตรงกับโจทย์ที่กำหนด
• ข้อ ค. (ยาที่แปรสภาพมีลักษณะเช่นเดียวกับยาผิดมาตรฐาน):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ง. (ข้อ ข และ ค ถูก): ข้อนี้ไม่ใช่คำตอบที่ถูกต้องสำหรับภาวะ General Therapeutics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9" s="2" t="n"/>
      <c r="L1409" s="2" t="inlineStr">
        <is>
          <t>General Therapeutics</t>
        </is>
      </c>
      <c r="M1409" s="2" t="inlineStr">
        <is>
          <t>Clinic</t>
        </is>
      </c>
      <c r="N1409" s="2" t="inlineStr">
        <is>
          <t>ข้อ 14 (PLE_CC1_Practice_Exam.md)</t>
        </is>
      </c>
      <c r="O1409" s="2" t="inlineStr">
        <is>
          <t>Mock</t>
        </is>
      </c>
      <c r="P1409" s="2" t="inlineStr">
        <is>
          <t>Mock สภาเภสัชฯ Practice</t>
        </is>
      </c>
    </row>
    <row r="1410" ht="13.2" customHeight="1" s="37">
      <c r="A1410" s="8" t="inlineStr">
        <is>
          <t>1431</t>
        </is>
      </c>
      <c r="B1410" s="2" t="inlineStr">
        <is>
          <t>การขอขึ้นทะเบียนตำรับยาต้องแจ้งรายละเอียดอย่างไร</t>
        </is>
      </c>
      <c r="C1410" s="2" t="n"/>
      <c r="D1410" s="2" t="inlineStr">
        <is>
          <t>ชื่อยา ชื่อและปริมาณของวัตถุอันเป็นส่วนประกอบ</t>
        </is>
      </c>
      <c r="E1410" s="2" t="inlineStr">
        <is>
          <t>ขนาดบรรจุ วิธีวิเคราะห์มาตรฐานของยา</t>
        </is>
      </c>
      <c r="F1410" s="2" t="inlineStr">
        <is>
          <t>ฉลาก เอกสารกำกับยา รายการอื่นที่กำหนดในกฎกระทรวง</t>
        </is>
      </c>
      <c r="G1410" s="2" t="inlineStr">
        <is>
          <t>ข้อ ก และ ค ถูก</t>
        </is>
      </c>
      <c r="H1410" s="2" t="inlineStr">
        <is>
          <t>ถูกทั้งข้อ ก ข และ ค</t>
        </is>
      </c>
      <c r="I1410" s="8" t="inlineStr">
        <is>
          <t>1</t>
        </is>
      </c>
      <c r="J1410" s="2" t="inlineStr">
        <is>
          <t>✅ คำตอบที่ถูกต้อง: ข้อ ก. ชื่อยา ชื่อและปริมาณของวัตถุอันเป็นส่วนประกอบ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ชื่อยา ชื่อและปริมาณของวัตถุอันเป็นส่วนประกอบ การเลือก ชื่อยา ชื่อและปริมาณของวัตถุอันเป็นส่วนประกอบ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(ขนาดบรรจุ วิธีวิเคราะห์มาตรฐานของยา): ข้อนี้ไม่ใช่คำตอบที่ถูกต้องสำหรับภาวะ General Therapeutics เนื่องจากกลไกการออกฤทธิ์, efficacy หรือข้อบ่งใช้ไม่ตรงกับโจทย์ที่กำหนด
• ข้อ ค. (ฉลาก เอกสารกำกับยา รายการอื่นที่กำหนดในกฎกระทรวง): ข้อนี้ไม่ใช่คำตอบที่ถูกต้องสำหรับภาวะ General Therapeutics เนื่องจากกลไกการออกฤทธิ์, efficacy หรือข้อบ่งใช้ไม่ตรงกับโจทย์ที่กำหนด
• ข้อ ง. (ข้อ ก และ ค ถูก): ข้อนี้ไม่ใช่คำตอบที่ถูกต้องสำหรับภาวะ General Therapeutics เนื่องจากกลไกการออกฤทธิ์, efficacy หรือข้อบ่งใช้ไม่ตรงกับโจทย์ที่กำหนด
• ข้อ จ. (ถูกทั้งข้อ ก ข และ ค):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0" s="2" t="n"/>
      <c r="L1410" s="2" t="inlineStr">
        <is>
          <t>General Therapeutics</t>
        </is>
      </c>
      <c r="M1410" s="2" t="inlineStr">
        <is>
          <t>Clinic</t>
        </is>
      </c>
      <c r="N1410" s="2" t="inlineStr">
        <is>
          <t>ข้อ 15 (PLE_CC1_Practice_Exam.md)</t>
        </is>
      </c>
      <c r="O1410" s="2" t="inlineStr">
        <is>
          <t>Mock</t>
        </is>
      </c>
      <c r="P1410" s="2" t="inlineStr">
        <is>
          <t>Mock สภาเภสัชฯ Practice</t>
        </is>
      </c>
    </row>
    <row r="1411" ht="13.2" customHeight="1" s="37">
      <c r="A1411" s="8" t="inlineStr">
        <is>
          <t>1432</t>
        </is>
      </c>
      <c r="B1411" s="2" t="inlineStr">
        <is>
          <t>ในกรณียาที่ได้ขึ้นทะเบียนไว้แล้วแต่ไม่ได้ผลิต จะถูกยกเลิกในเวลาเท่าใด</t>
        </is>
      </c>
      <c r="C1411" s="2" t="n"/>
      <c r="D1411" s="2" t="inlineStr">
        <is>
          <t>1 ปี</t>
        </is>
      </c>
      <c r="E1411" s="2" t="inlineStr">
        <is>
          <t>2 ปี</t>
        </is>
      </c>
      <c r="F1411" s="2" t="inlineStr">
        <is>
          <t>3 ปี</t>
        </is>
      </c>
      <c r="G1411" s="2" t="inlineStr">
        <is>
          <t>4 ปี</t>
        </is>
      </c>
      <c r="H1411" s="2" t="inlineStr">
        <is>
          <t>Flumazenil 0.2 mg IV stat</t>
        </is>
      </c>
      <c r="I1411" s="8" t="inlineStr">
        <is>
          <t>1</t>
        </is>
      </c>
      <c r="J1411" s="2" t="inlineStr">
        <is>
          <t>✅ คำตอบที่ถูกต้อง: ข้อ ก. 1 ปี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1 ปี การเลือก 1 ปี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(2 ปี): ข้อนี้ไม่ใช่คำตอบที่ถูกต้องสำหรับภาวะ General Therapeutics เนื่องจากกลไกการออกฤทธิ์, efficacy หรือข้อบ่งใช้ไม่ตรงกับโจทย์ที่กำหนด
• ข้อ ค. (3 ปี): ข้อนี้ไม่ใช่คำตอบที่ถูกต้องสำหรับภาวะ General Therapeutics เนื่องจากกลไกการออกฤทธิ์, efficacy หรือข้อบ่งใช้ไม่ตรงกับโจทย์ที่กำหนด
• ข้อ ง. (4 ปี):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1" s="2" t="n"/>
      <c r="L1411" s="2" t="inlineStr">
        <is>
          <t>General Therapeutics</t>
        </is>
      </c>
      <c r="M1411" s="2" t="inlineStr">
        <is>
          <t>Clinic</t>
        </is>
      </c>
      <c r="N1411" s="2" t="inlineStr">
        <is>
          <t>ข้อ 16 (PLE_CC1_Practice_Exam.md)</t>
        </is>
      </c>
      <c r="O1411" s="2" t="inlineStr">
        <is>
          <t>Mock</t>
        </is>
      </c>
      <c r="P1411" s="2" t="inlineStr">
        <is>
          <t>Mock สภาเภสัชฯ Practice</t>
        </is>
      </c>
    </row>
    <row r="1412" ht="13.2" customHeight="1" s="37">
      <c r="A1412" s="8" t="inlineStr">
        <is>
          <t>1433</t>
        </is>
      </c>
      <c r="B1412" s="2" t="inlineStr">
        <is>
          <t>ข้อใดกล่าวผิด เกี่ยวกับการจัดประเภทสารเสพติด ตามพระราชบัญญัติยาเสพติดให้โทษ พ.ศ.2522 และ วัตถุออกฤทธิ์ต่อจิตและประสาท ตามพระราชบัญญัติวัตถุออกฤทธิ์ต่อจิตและประสาท พ.ศ.2559</t>
        </is>
      </c>
      <c r="C1412" s="2" t="n"/>
      <c r="D1412" s="2" t="inlineStr">
        <is>
          <t>LSD และ Amphetamine จัดเป็นสารเสพติดประเภทที่ 1</t>
        </is>
      </c>
      <c r="E1412" s="2" t="inlineStr">
        <is>
          <t>เห็ดขี้ควาย และ Psilocine จัดเป็นยาเสพติดประเภทที่ 5</t>
        </is>
      </c>
      <c r="F1412" s="2" t="inlineStr">
        <is>
          <t>Codeine และ Cocaine จัดเป็นยาเสพติดประเภทที่ 2</t>
        </is>
      </c>
      <c r="G1412" s="2" t="inlineStr">
        <is>
          <t>Pseudoephedrine และ Phentermine จัดเป็นวัตถุออกฤทธิ์ต่อจิตและประสาทประเภทที่ 2</t>
        </is>
      </c>
      <c r="H1412" s="2" t="inlineStr">
        <is>
          <t>พ.ร.บ. วิชาชีพเภสัชกรรม พ.ศ. 2537 และข้อบังคับจรรยาบรรณวิชาชีพ</t>
        </is>
      </c>
      <c r="I1412" s="8" t="inlineStr">
        <is>
          <t>1</t>
        </is>
      </c>
      <c r="J1412" s="2" t="inlineStr">
        <is>
          <t>✅ คำตอบที่ถูกต้อง: ข้อ ก. LSD และ Amphetamine จัดเป็นสารเสพติดประเภทที่ 1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LSD และ Amphetamine จัดเป็นสารเสพติดประเภทที่ 1 💡 คำอธิบายและข้อกำหนดทางกฎหมาย:
💡 คำอธิบายและข้อกำหนดทางกฎหมาย:
การเลือก LSD และ Amphetamine จัดเป็นสารเสพติดประเภทที่ 1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(เห็ดขี้ควาย และ Psilocine จัดเป็นยาเสพติดประเภทที่ 5): ข้อนี้ไม่ใช่คำตอบที่ถูกต้องสำหรับภาวะ Pharmacy Laws &amp; Ethics เนื่องจากกลไกการออกฤทธิ์, efficacy หรือข้อบ่งใช้ไม่ตรงกับโจทย์ที่กำหนด
• ข้อ ค. (Codeine และ Cocaine จัดเป็นยาเสพติดประเภทที่ 2): ข้อนี้ไม่ใช่คำตอบที่ถูกต้องสำหรับภาวะ Pharmacy Laws &amp; Ethics เนื่องจากกลไกการออกฤทธิ์, efficacy หรือข้อบ่งใช้ไม่ตรงกับโจทย์ที่กำหนด
• ข้อ ง. (Pseudoephedrine และ Phentermine จัดเป็นวัตถุออกฤทธิ์ต่อจิตและประสาทประเภทที่ 2): เป็น oral decongestant กระตุ้น alpha และ beta receptors ระวังในผู้ป่วย hypertension, ischemic heart disease, glaucoma, BPH และเป็นวัตถุออกฤทธิ์ประเภท 2 (ห้ามขายในร้านยา)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2" s="2" t="n"/>
      <c r="L1412" s="2" t="inlineStr">
        <is>
          <t>Pharmacy Laws &amp; Ethics</t>
        </is>
      </c>
      <c r="M1412" s="2" t="inlineStr">
        <is>
          <t>SAP</t>
        </is>
      </c>
      <c r="N1412" s="2" t="inlineStr">
        <is>
          <t>ข้อ 19 (PLE_CC1_Practice_Exam.md)</t>
        </is>
      </c>
      <c r="O1412" s="2" t="inlineStr">
        <is>
          <t>Mock</t>
        </is>
      </c>
      <c r="P1412" s="2" t="inlineStr">
        <is>
          <t>Mock สภาเภสัชฯ Practice</t>
        </is>
      </c>
    </row>
    <row r="1413" ht="13.2" customHeight="1" s="37">
      <c r="A1413" s="8" t="inlineStr">
        <is>
          <t>1434</t>
        </is>
      </c>
      <c r="B1413" s="2" t="inlineStr">
        <is>
          <t>ยาทรามาดอล ในข่าวจัดเป็นยาประเภทอะไร</t>
        </is>
      </c>
      <c r="C1413" s="2" t="n"/>
      <c r="D1413" s="2" t="inlineStr">
        <is>
          <t>ยาสามัญประจำบ้าน</t>
        </is>
      </c>
      <c r="E1413" s="2" t="inlineStr">
        <is>
          <t>ยาแผนปัจจุบันบรรจุเสร็จที่ไม่ใช่ยาอันตรายหรือยาควบคุมพิเศษทั้งคู่</t>
        </is>
      </c>
      <c r="F1413" s="2" t="inlineStr">
        <is>
          <t>ยาอันตราย</t>
        </is>
      </c>
      <c r="G1413" s="2" t="inlineStr">
        <is>
          <t>ยาควบคุมพิเศษ</t>
        </is>
      </c>
      <c r="H1413" s="2" t="inlineStr">
        <is>
          <t>ยาแผนโบราณ</t>
        </is>
      </c>
      <c r="I1413" s="8" t="inlineStr">
        <is>
          <t>1</t>
        </is>
      </c>
      <c r="J1413" s="2" t="inlineStr">
        <is>
          <t>✅ คำตอบที่ถูกต้อง: ข้อ ก. ยาสามัญประจำบ้าน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ยาสามัญประจำบ้าน การเลือก ยาสามัญประจำบ้าน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(ยาแผนปัจจุบันบรรจุเสร็จที่ไม่ใช่ยาอันตรายหรือยาควบคุมพิเศษทั้งคู่):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3" s="2" t="n"/>
      <c r="L1413" s="2" t="inlineStr">
        <is>
          <t>General Therapeutics</t>
        </is>
      </c>
      <c r="M1413" s="2" t="inlineStr">
        <is>
          <t>Clinic</t>
        </is>
      </c>
      <c r="N1413" s="2" t="inlineStr">
        <is>
          <t>ข้อ 21 (PLE_CC1_Practice_Exam.md)</t>
        </is>
      </c>
      <c r="O1413" s="2" t="inlineStr">
        <is>
          <t>Mock</t>
        </is>
      </c>
      <c r="P1413" s="2" t="inlineStr">
        <is>
          <t>Mock สภาเภสัชฯ Practice</t>
        </is>
      </c>
    </row>
    <row r="1414" ht="13.2" customHeight="1" s="37">
      <c r="A1414" s="8" t="inlineStr">
        <is>
          <t>1435</t>
        </is>
      </c>
      <c r="B1414" s="2" t="inlineStr">
        <is>
          <t>ยาแก้ไอใดจัดเป็นยาอันตราย</t>
        </is>
      </c>
      <c r="C1414" s="2" t="n"/>
      <c r="D1414" s="2" t="inlineStr">
        <is>
          <t>acetylcysteine</t>
        </is>
      </c>
      <c r="E1414" s="2" t="inlineStr">
        <is>
          <t>ambroxol</t>
        </is>
      </c>
      <c r="F1414" s="2" t="inlineStr">
        <is>
          <t>dextromethorphan</t>
        </is>
      </c>
      <c r="G1414" s="2" t="inlineStr">
        <is>
          <t>carbocysteine</t>
        </is>
      </c>
      <c r="H1414" s="2" t="inlineStr">
        <is>
          <t>Bromhexine</t>
        </is>
      </c>
      <c r="I1414" s="8" t="inlineStr">
        <is>
          <t>1</t>
        </is>
      </c>
      <c r="J1414" s="2" t="inlineStr">
        <is>
          <t>✅ คำตอบที่ถูกต้อง: ข้อ ก. acetylcysteine
💡 Background:
กฎหมายยาและจรรยาบรรณวิชาชีพมีขึ้นเพื่อคุ้มครองความปลอดภัยของผู้บริโภคตามมาตรฐาน Good Pharmacy Practice (GPP)
🎯 ทำไมข้อนี้ถึงถูก:
acetylcysteine 💡 คำอธิบายและข้อกำหนดทางกฎหมาย:
💡 คำอธิบายและข้อกำหนดทางกฎหมาย:
การเลือก acetylcysteine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(ambroxol): ข้อนี้ไม่ใช่คำตอบที่ถูกต้องสำหรับภาวะ Pharmacy Laws &amp; Ethics เนื่องจากกลไกการออกฤทธิ์, efficacy หรือข้อบ่งใช้ไม่ตรงกับโจทย์ที่กำหนด
• ข้อ ค. (dextromethorphan): ข้อนี้ไม่ใช่คำตอบที่ถูกต้องสำหรับภาวะ Pharmacy Laws &amp; Ethics เนื่องจากกลไกการออกฤทธิ์, efficacy หรือข้อบ่งใช้ไม่ตรงกับโจทย์ที่กำหนด
• ข้อ ง. (carbocysteine): ข้อนี้ไม่ใช่คำตอบที่ถูกต้องสำหรับภาวะ Pharmacy Laws &amp; Ethics เนื่องจากกลไกการออกฤทธิ์, efficacy หรือข้อบ่งใช้ไม่ตรงกับโจทย์ที่กำหนด
• ข้อ จ. (Bromhexine):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4" s="2" t="n"/>
      <c r="L1414" s="2" t="inlineStr">
        <is>
          <t>Pharmacy Laws &amp; Ethics</t>
        </is>
      </c>
      <c r="M1414" s="2" t="inlineStr">
        <is>
          <t>SAP</t>
        </is>
      </c>
      <c r="N1414" s="2" t="inlineStr">
        <is>
          <t>ข้อ 22 (PLE_CC1_Practice_Exam.md)</t>
        </is>
      </c>
      <c r="O1414" s="2" t="inlineStr">
        <is>
          <t>Mock</t>
        </is>
      </c>
      <c r="P1414" s="2" t="inlineStr">
        <is>
          <t>Mock สภาเภสัชฯ Practice</t>
        </is>
      </c>
    </row>
    <row r="1415" ht="13.2" customHeight="1" s="37">
      <c r="A1415" s="8" t="inlineStr">
        <is>
          <t>1436</t>
        </is>
      </c>
      <c r="B1415" s="2" t="inlineStr">
        <is>
          <t>กิจกรรมการโฆษณาและการส่งเสริมการขายผลิตภัณฑ์สุขภาพในข้อใดสามารถทำได้</t>
        </is>
      </c>
      <c r="C1415" s="2" t="n"/>
      <c r="D1415" s="2" t="inlineStr">
        <is>
          <t>บริษัทยาโฆษณาขายยาต่อร้านขายยาว่า ซื้อยาครบตามยอดซื้อที่กำหนดไว้ จะได้ไปศึกษาดูงาน</t>
        </is>
      </c>
      <c r="E1415" s="2" t="inlineStr">
        <is>
          <t>ร้านสะดวกซื้อติดป้ายประกาศว่าซื้อผลิตภัณฑ์ลูกอมแก้เจ็บคอซึ่งเป็นยาสามัญประจำบ้าน 1 ซอง จะได้รับแสตมป์สะสมแลกสินค้าในร้าน 1 ดวง</t>
        </is>
      </c>
      <c r="F1415" s="2" t="inlineStr">
        <is>
          <t>บริษัทยาใหม่แจกตัวอย่างยาแผนปัจจุบันบรรจุเสร็จแก่ประชาชนที่ห้างสรรพสินค้าเพื่อส่งเสริมการ ขาย</t>
        </is>
      </c>
      <c r="G1415" s="2" t="inlineStr">
        <is>
          <t>บริษัทยาเขียนบทความทาง internet เรื่องอันตรายของโรคเบาหวาน โดยไม่มีการสื่อถึงชื่อการค้า ของยาตน</t>
        </is>
      </c>
      <c r="H1415" s="2" t="inlineStr">
        <is>
          <t>ร้านยาแถมวิตามินซีซึ่งขึ้นทะเบียนเป็นผลิตภัณฑ์ยา เมื่อซื้อ Ferrous Sulfate</t>
        </is>
      </c>
      <c r="I1415" s="8" t="inlineStr">
        <is>
          <t>1</t>
        </is>
      </c>
      <c r="J1415" s="2" t="inlineStr">
        <is>
          <t>✅ คำตอบที่ถูกต้อง: ข้อ ก. บริษัทยาโฆษณาขายยาต่อร้านขายยาว่า ซื้อยาครบตามยอดซื้อที่กำหนดไว้ จะได้ไปศึกษาดูงาน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บริษัทยาโฆษณาขายยาต่อร้านขายยาว่า ซื้อยาครบตามยอดซื้อที่กำหนดไว้ จะได้ไปศึกษาดูงาน การเลือก บริษัทยาโฆษณาขายยาต่อร้านขายยาว่า ซื้อยาครบตามยอดซื้อที่กำหนดไว้ จะได้ไปศึกษาดูงาน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(ร้านสะดวกซื้อติดป้ายประกาศว่าซื้อผลิตภัณฑ์ลูกอมแก้เจ็บคอซึ่งเป็นยาสามัญประจำบ้าน 1 ซอง จะได้รับแสตมป์สะสมแลกสินค้าในร้าน 1 ดวง): ข้อนี้ไม่ใช่คำตอบที่ถูกต้องสำหรับภาวะ General Therapeutics เนื่องจากกลไกการออกฤทธิ์, efficacy หรือข้อบ่งใช้ไม่ตรงกับโจทย์ที่กำหนด
• ข้อ ค. (บริษัทยาใหม่แจกตัวอย่างยาแผนปัจจุบันบรรจุเสร็จแก่ประชาชนที่ห้างสรรพสินค้าเพื่อส่งเสริมการ ขาย): ข้อนี้ไม่ใช่คำตอบที่ถูกต้องสำหรับภาวะ General Therapeutics เนื่องจากกลไกการออกฤทธิ์, efficacy หรือข้อบ่งใช้ไม่ตรงกับโจทย์ที่กำหนด
• ข้อ ง. (บริษัทยาเขียนบทความทาง internet เรื่องอันตรายของโรคเบาหวาน โดยไม่มีการสื่อถึงชื่อการค้า ของยาตน): ข้อนี้ไม่ใช่คำตอบที่ถูกต้องสำหรับภาวะ General Therapeutics เนื่องจากกลไกการออกฤทธิ์, efficacy หรือข้อบ่งใช้ไม่ตรงกับโจทย์ที่กำหนด
• ข้อ จ. (ร้านยาแถมวิตามินซีซึ่งขึ้นทะเบียนเป็นผลิตภัณฑ์ยา เมื่อซื้อ Ferrous Sulfate):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5" s="2" t="n"/>
      <c r="L1415" s="2" t="inlineStr">
        <is>
          <t>General Therapeutics</t>
        </is>
      </c>
      <c r="M1415" s="2" t="inlineStr">
        <is>
          <t>Clinic</t>
        </is>
      </c>
      <c r="N1415" s="2" t="inlineStr">
        <is>
          <t>ข้อ 23 (PLE_CC1_Practice_Exam.md)</t>
        </is>
      </c>
      <c r="O1415" s="2" t="inlineStr">
        <is>
          <t>Mock</t>
        </is>
      </c>
      <c r="P1415" s="2" t="inlineStr">
        <is>
          <t>Mock สภาเภสัชฯ Practice</t>
        </is>
      </c>
    </row>
    <row r="1416" ht="13.2" customHeight="1" s="37">
      <c r="A1416" s="8" t="inlineStr">
        <is>
          <t>1437</t>
        </is>
      </c>
      <c r="B1416" s="2" t="inlineStr">
        <is>
          <t>เลขทะเบียนยา G 357/42 ตัว G แสดงให้เห็นว่าอะไร</t>
        </is>
      </c>
      <c r="C1416" s="2" t="n"/>
      <c r="D1416" s="2" t="inlineStr">
        <is>
          <t>ยาแผนโบราณผลิตภายในประเทศ</t>
        </is>
      </c>
      <c r="E1416" s="2" t="inlineStr">
        <is>
          <t>ยาเดี่ยวแผนปัจจุบันผลิตภายในประเทศ</t>
        </is>
      </c>
      <c r="F1416" s="2" t="inlineStr">
        <is>
          <t>ยาผสมแผนปัจจุบันผลิตภายในประเทศ</t>
        </is>
      </c>
      <c r="G1416" s="2" t="inlineStr">
        <is>
          <t>ยาเดี่ยว แบ่งบรรจุ</t>
        </is>
      </c>
      <c r="H1416" s="2" t="inlineStr">
        <is>
          <t>ยาเดี่ยว นำเข้า</t>
        </is>
      </c>
      <c r="I1416" s="8" t="inlineStr">
        <is>
          <t>1</t>
        </is>
      </c>
      <c r="J1416" s="2" t="inlineStr">
        <is>
          <t>✅ คำตอบที่ถูกต้อง: ข้อ ก. ยาแผนโบราณผลิตภายในประเทศ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ยาแผนโบราณผลิตภายในประเทศ การเลือก ยาแผนโบราณผลิตภายในประเทศ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(ยาเดี่ยวแผนปัจจุบันผลิตภายในประเทศ): ข้อนี้ไม่ใช่คำตอบที่ถูกต้องสำหรับภาวะ General Therapeutics เนื่องจากกลไกการออกฤทธิ์, efficacy หรือข้อบ่งใช้ไม่ตรงกับโจทย์ที่กำหนด
• ข้อ ค. (ยาผสมแผนปัจจุบันผลิตภายในประเทศ): ข้อนี้ไม่ใช่คำตอบที่ถูกต้องสำหรับภาวะ General Therapeutics เนื่องจากกลไกการออกฤทธิ์, efficacy หรือข้อบ่งใช้ไม่ตรงกับโจทย์ที่กำหนด
• ข้อ ง. (ยาเดี่ยว แบ่งบรรจุ): ข้อนี้ไม่ใช่คำตอบที่ถูกต้องสำหรับภาวะ General Therapeutics เนื่องจากกลไกการออกฤทธิ์, efficacy หรือข้อบ่งใช้ไม่ตรงกับโจทย์ที่กำหนด
• ข้อ จ. (ยาเดี่ยว นำเข้า):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6" s="2" t="n"/>
      <c r="L1416" s="2" t="inlineStr">
        <is>
          <t>General Therapeutics</t>
        </is>
      </c>
      <c r="M1416" s="2" t="inlineStr">
        <is>
          <t>Clinic</t>
        </is>
      </c>
      <c r="N1416" s="2" t="inlineStr">
        <is>
          <t>ข้อ 26 (PLE_CC1_Practice_Exam.md)</t>
        </is>
      </c>
      <c r="O1416" s="2" t="inlineStr">
        <is>
          <t>Mock</t>
        </is>
      </c>
      <c r="P1416" s="2" t="inlineStr">
        <is>
          <t>Mock สภาเภสัชฯ Practice</t>
        </is>
      </c>
    </row>
    <row r="1417" ht="13.2" customHeight="1" s="37">
      <c r="A1417" s="8" t="inlineStr">
        <is>
          <t>1438</t>
        </is>
      </c>
      <c r="B1417" s="2" t="inlineStr">
        <is>
          <t>Clindamycin จัดเป็นยาประเภทใด</t>
        </is>
      </c>
      <c r="C1417" s="2" t="n"/>
      <c r="D1417" s="2" t="inlineStr">
        <is>
          <t>ยาสามัญประจำบ้าน</t>
        </is>
      </c>
      <c r="E1417" s="2" t="inlineStr">
        <is>
          <t>ยาแผนปัจจุบันบรรจุเสร็จที่ไม่ใช่ยาอันตรายหรือยาควบคุมพิเศษทั้งคู่</t>
        </is>
      </c>
      <c r="F1417" s="2" t="inlineStr">
        <is>
          <t>ยาอันตราย</t>
        </is>
      </c>
      <c r="G1417" s="2" t="inlineStr">
        <is>
          <t>ยาควบคุมพิเศษ</t>
        </is>
      </c>
      <c r="H1417" s="2" t="inlineStr">
        <is>
          <t>ยาแผนโบราณ 375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1417" s="8" t="inlineStr">
        <is>
          <t>1</t>
        </is>
      </c>
      <c r="J1417" s="2" t="inlineStr">
        <is>
          <t>✅ คำตอบที่ถูกต้อง: ข้อ ก. ยาสามัญประจำบ้าน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ยาสามัญประจำบ้าน การเลือก ยาสามัญประจำบ้าน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(ยาแผนปัจจุบันบรรจุเสร็จที่ไม่ใช่ยาอันตรายหรือยาควบคุมพิเศษทั้งคู่):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375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7" s="2" t="n"/>
      <c r="L1417" s="2" t="inlineStr">
        <is>
          <t>General Therapeutics</t>
        </is>
      </c>
      <c r="M1417" s="2" t="inlineStr">
        <is>
          <t>Clinic</t>
        </is>
      </c>
      <c r="N1417" s="2" t="inlineStr">
        <is>
          <t>ข้อ 28 (PLE_CC1_Practice_Exam.md)</t>
        </is>
      </c>
      <c r="O1417" s="2" t="inlineStr">
        <is>
          <t>Mock</t>
        </is>
      </c>
      <c r="P1417" s="2" t="inlineStr">
        <is>
          <t>Mock สภาเภสัชฯ Practice</t>
        </is>
      </c>
    </row>
    <row r="1418" ht="13.2" customHeight="1" s="37">
      <c r="A1418" s="8" t="inlineStr">
        <is>
          <t>1439</t>
        </is>
      </c>
      <c r="B1418" s="2" t="inlineStr">
        <is>
          <t>ยาสเตอรอยด์ในข้อใดที่จำเป็นต้องมีใบสั่งแพทย์ในการขาย</t>
        </is>
      </c>
      <c r="C1418" s="2" t="n"/>
      <c r="D1418" s="2" t="inlineStr">
        <is>
          <t>ยารักษาหอบหืดชนิดพ่นที่มีสเตอรอยด์เดี่ยว</t>
        </is>
      </c>
      <c r="E1418" s="2" t="inlineStr">
        <is>
          <t>ยารักษาหอบหืดชนิดพ่นที่มีสเตอรอยด์ผสม</t>
        </is>
      </c>
      <c r="F1418" s="2" t="inlineStr">
        <is>
          <t>Corticosteroid จากธรรมชาติที่ใช้เฉพาะที่</t>
        </is>
      </c>
      <c r="G1418" s="2" t="inlineStr">
        <is>
          <t>Corticosteroid จากการสังเคราะห์ที่ใช้เฉพาะที่</t>
        </is>
      </c>
      <c r="H1418" s="2" t="inlineStr">
        <is>
          <t>ไม่มีข้อถูก เจ้าหน้าที่สาธารณสุขจังหวัดพัทลุงเข้าตรวจสอบ ร้านขายยาแห่งหนึ่ง หลังพบว่าร้านยาดังกล่าว มีการ ขายยาอันตรายให้กับลูกค้า โดยไม่มีมาตรฐาน ซึ่งจากการตรวจค้นพบว่าร้านดังกล่าว มีนายเอ พร้อมภรรยา ขายยาดังกล่าว มีการแอบขายยาที่ทางกระทรวงสาธารณสุขไม่รับรองและเป็นยาอันตราย มีการจำหน่ายยาชุด ยังพบเครื่องสำอาง ยาไวอากร้า และยาสมุนไพร ที่ไม่ได้ผ่านการรับรอง มาวางจำหน่ายอีก (ข่าวจากเว็บ https://news.mthai.com เมื่อวันที่ 26 พ.ค. 2017)</t>
        </is>
      </c>
      <c r="I1418" s="8" t="inlineStr">
        <is>
          <t>1</t>
        </is>
      </c>
      <c r="J1418" s="2" t="inlineStr">
        <is>
          <t>✅ คำตอบที่ถูกต้อง: ข้อ ก. ยารักษาหอบหืดชนิดพ่นที่มีสเตอรอยด์เดี่ยว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ยารักษาหอบหืดชนิดพ่นที่มีสเตอรอยด์เดี่ยว เป็นผู้ดูแลร้าน ส่วนบุตรสาวที่เป็นเภสัชกรนาน ๆ มาดูชักครั้งหนึ่ง โดยการตรวจสอบของเจ้าหน้าที่พบว่าร้าน และมีการจำหน่ายยาที่สั่งเลิกใช้ไปนานแล้วแต่ทางร้านยังได้สั่งชื้อมาขายให้ลูกค้าอย่างต่อเนื่อง นอกจากนั้น
🔍 ข้ออื่นผิดเพราะอะไร:
• ข้อ ข. (ยารักษาหอบหืดชนิดพ่นที่มีสเตอรอยด์ผสม): ข้อนี้ไม่ใช่คำตอบที่ถูกต้องสำหรับภาวะ General Therapeutics เนื่องจากกลไกการออกฤทธิ์, efficacy หรือข้อบ่งใช้ไม่ตรงกับโจทย์ที่กำหนด
• ข้อ ค. (Corticosteroid จากธรรมชาติที่ใช้เฉพาะที่): ข้อนี้ไม่ใช่คำตอบที่ถูกต้องสำหรับภาวะ General Therapeutics เนื่องจากกลไกการออกฤทธิ์, efficacy หรือข้อบ่งใช้ไม่ตรงกับโจทย์ที่กำหนด
• ข้อ ง. (Corticosteroid จากการสังเคราะห์ที่ใช้เฉพาะที่):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(ไม่มีข้อถูก เจ้าหน้าที่สาธารณสุขจังหวัดพัทลุงเข้าตรวจสอบ ร้านขายยาแห่งหนึ่ง หลังพบว่าร้านยาดังกล่าว มีการ ขายยาอันตรายให้กับลูกค้า โดยไม่มีมาตรฐาน ซึ่งจากการตรวจค้นพบว่าร้านดังกล่าว มีนายเอ พร้อมภรรยา ขายยาดังกล่าว มีการแอบขายยาที่ทางกระทรวงสาธารณสุขไม่รับรองและเป็นยาอันตราย มีการจำหน่ายยาชุด ยังพบเครื่องสำอาง ยาไวอากร้า และยาสมุนไพร ที่ไม่ได้ผ่านการรับรอง มาวางจำหน่ายอีก (ข่าวจากเว็บ https://news.mthai.com เมื่อวันที่ 26 พ.ค. 2017)):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8" s="2" t="n"/>
      <c r="L1418" s="2" t="inlineStr">
        <is>
          <t>General Therapeutics</t>
        </is>
      </c>
      <c r="M1418" s="2" t="inlineStr">
        <is>
          <t>Clinic</t>
        </is>
      </c>
      <c r="N1418" s="2" t="inlineStr">
        <is>
          <t>ข้อ 29 (PLE_CC1_Practice_Exam.md)</t>
        </is>
      </c>
      <c r="O1418" s="2" t="inlineStr">
        <is>
          <t>Mock</t>
        </is>
      </c>
      <c r="P1418" s="2" t="inlineStr">
        <is>
          <t>Mock สภาเภสัชฯ Practice</t>
        </is>
      </c>
    </row>
    <row r="1419" ht="13.2" customHeight="1" s="37">
      <c r="A1419" s="8" t="inlineStr">
        <is>
          <t>1440</t>
        </is>
      </c>
      <c r="B1419" s="2" t="inlineStr">
        <is>
          <t>จากข้อความ พบยาที่สาธารณสุขไม่รับรองและเป็นยาอันตราย มีการจำหน่ายยาชุด และมีการจำหน่าย ยาที่สั่งเลิกใช้แล้ว เภสัชกรผู้มีหน้าที่ปฏิบัติการมีความผิดหรือไม่ อย่างไร</t>
        </is>
      </c>
      <c r="C1419" s="2" t="n"/>
      <c r="D1419" s="2" t="inlineStr">
        <is>
          <t>ไม่มีความผิด เพราะเภสัชกรไม่ได้เป็นผู้ที่ขายยา</t>
        </is>
      </c>
      <c r="E1419" s="2" t="inlineStr">
        <is>
          <t>มีความผิดฐานขายยาผิดกฎหมาย</t>
        </is>
      </c>
      <c r="F1419" s="2" t="inlineStr">
        <is>
          <t>มีความผิดฐานมีการจำหน่ายยาโดยไม่มีใบสั่งแพทย์</t>
        </is>
      </c>
      <c r="G1419" s="2" t="inlineStr">
        <is>
          <t>มีความผิดฐานไม่ควบคุมการขายยาให้เป็นไปตาม พ.ร.บ.</t>
        </is>
      </c>
      <c r="H1419" s="2" t="inlineStr">
        <is>
          <t>มีความผิดฐานไม่ควบคุมการส่งมอบยาอันตรายและยาชุด</t>
        </is>
      </c>
      <c r="I1419" s="8" t="inlineStr">
        <is>
          <t>1</t>
        </is>
      </c>
      <c r="J1419" s="2" t="inlineStr">
        <is>
          <t>✅ คำตอบที่ถูกต้อง: ข้อ ก. ไม่มีความผิด เพราะเภสัชกรไม่ได้เป็นผู้ที่ขายยา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ไม่มีความผิด เพราะเภสัชกรไม่ได้เป็นผู้ที่ขายยา 💡 คำอธิบายและข้อกำหนดทางกฎหมาย:
💡 คำอธิบายและข้อกำหนดทางกฎหมาย:
การเลือก ไม่มีความผิด เพราะเภสัชกรไม่ได้เป็นผู้ที่ขายยา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(มีความผิดฐานขายยาผิดกฎหมาย): ข้อนี้ไม่ใช่คำตอบที่ถูกต้องสำหรับภาวะ Pharmacy Laws &amp; Ethics เนื่องจากกลไกการออกฤทธิ์, efficacy หรือข้อบ่งใช้ไม่ตรงกับโจทย์ที่กำหนด
• ข้อ ค. (มีความผิดฐานมีการจำหน่ายยาโดยไม่มีใบสั่งแพทย์): ข้อนี้ไม่ใช่คำตอบที่ถูกต้องสำหรับภาวะ Pharmacy Laws &amp; Ethics เนื่องจากกลไกการออกฤทธิ์, efficacy หรือข้อบ่งใช้ไม่ตรงกับโจทย์ที่กำหนด
• ข้อ ง. (มีความผิดฐานไม่ควบคุมการขายยาให้เป็นไปตาม พ.ร.บ.): ข้อนี้ไม่ใช่คำตอบที่ถูกต้องสำหรับภาวะ Pharmacy Laws &amp; Ethics เนื่องจากกลไกการออกฤทธิ์, efficacy หรือข้อบ่งใช้ไม่ตรงกับโจทย์ที่กำหนด
• ข้อ จ. (มีความผิดฐานไม่ควบคุมการส่งมอบยาอันตรายและยาชุด):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9" s="2" t="n"/>
      <c r="L1419" s="2" t="inlineStr">
        <is>
          <t>Pharmacy Laws &amp; Ethics</t>
        </is>
      </c>
      <c r="M1419" s="2" t="inlineStr">
        <is>
          <t>SAP</t>
        </is>
      </c>
      <c r="N1419" s="2" t="inlineStr">
        <is>
          <t>ข้อ 30 (PLE_CC1_Practice_Exam.md)</t>
        </is>
      </c>
      <c r="O1419" s="2" t="inlineStr">
        <is>
          <t>Mock</t>
        </is>
      </c>
      <c r="P1419" s="2" t="inlineStr">
        <is>
          <t>Mock สภาเภสัชฯ Practice</t>
        </is>
      </c>
    </row>
    <row r="1420" ht="13.2" customHeight="1" s="37">
      <c r="A1420" s="8" t="inlineStr">
        <is>
          <t>1441</t>
        </is>
      </c>
      <c r="B1420" s="2" t="inlineStr">
        <is>
          <t>ไวอากร้า ถือเป็นยาประเภทใด</t>
        </is>
      </c>
      <c r="C1420" s="2" t="n"/>
      <c r="D1420" s="2" t="inlineStr">
        <is>
          <t>จัดอยู่ในประเภทยาอันตราย เภสัชกรสามารถจ่ายได้ในร้านยา</t>
        </is>
      </c>
      <c r="E1420" s="2" t="inlineStr">
        <is>
          <t>จัดอยู่ในประเภทยาอันตราย แต่จ่ายได้เฉพาะในโรงพยาบาล</t>
        </is>
      </c>
      <c r="F1420" s="2" t="inlineStr">
        <is>
          <t>จัดอยู่ในประเภทยาควบคุมพิเศษ</t>
        </is>
      </c>
      <c r="G1420" s="2" t="inlineStr">
        <is>
          <t>จัดอยู่ในประเภทวัตถุออกฤทธิ์ต่อจิตและประสาท</t>
        </is>
      </c>
      <c r="H1420" s="2" t="inlineStr">
        <is>
          <t>จัดเป็นยาที่ถูกยกเลิกทะเบียนแล้ว</t>
        </is>
      </c>
      <c r="I1420" s="8" t="inlineStr">
        <is>
          <t>1</t>
        </is>
      </c>
      <c r="J1420" s="2" t="inlineStr">
        <is>
          <t>✅ คำตอบที่ถูกต้อง: ข้อ ก. จัดอยู่ในประเภทยาอันตราย เภสัชกรสามารถจ่ายได้ในร้านยา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จัดอยู่ในประเภทยาอันตราย เภสัชกรสามารถจ่ายได้ในร้านยา การเลือก จัดอยู่ในประเภทยาอันตราย เภสัชกรสามารถจ่ายได้ในร้านยา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(จัดอยู่ในประเภทยาอันตราย แต่จ่ายได้เฉพาะในโรงพยาบาล):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(จัดอยู่ในประเภทยาควบคุมพิเศษ):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(จัดอยู่ในประเภทวัตถุออกฤทธิ์ต่อจิตและประสาท): ข้อนี้ไม่ใช่คำตอบที่ถูกต้องสำหรับภาวะ General Therapeutics เนื่องจากกลไกการออกฤทธิ์, efficacy หรือข้อบ่งใช้ไม่ตรงกับโจทย์ที่กำหนด
• ข้อ จ. (จัดเป็นยาที่ถูกยกเลิกทะเบียนแล้ว):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0" s="2" t="n"/>
      <c r="L1420" s="2" t="inlineStr">
        <is>
          <t>General Therapeutics</t>
        </is>
      </c>
      <c r="M1420" s="2" t="inlineStr">
        <is>
          <t>Clinic</t>
        </is>
      </c>
      <c r="N1420" s="2" t="inlineStr">
        <is>
          <t>ข้อ 31 (PLE_CC1_Practice_Exam.md)</t>
        </is>
      </c>
      <c r="O1420" s="2" t="inlineStr">
        <is>
          <t>Mock</t>
        </is>
      </c>
      <c r="P1420" s="2" t="inlineStr">
        <is>
          <t>Mock สภาเภสัชฯ Practice</t>
        </is>
      </c>
    </row>
    <row r="1421" ht="13.2" customHeight="1" s="37">
      <c r="A1421" s="8" t="inlineStr">
        <is>
          <t>1442</t>
        </is>
      </c>
      <c r="B1421" s="2" t="inlineStr">
        <is>
          <t>ยาแผนโบราณที่เป็นยาเดี่ยว ผลิตภายในประเทศใช้สำหรับมนุษย์ และผ่านการรับรองควรมีเลขทะเบียน อย่างไร</t>
        </is>
      </c>
      <c r="C1421" s="2" t="n"/>
      <c r="D1421" s="2" t="inlineStr">
        <is>
          <t>1A 123/45</t>
        </is>
      </c>
      <c r="E1421" s="2" t="inlineStr">
        <is>
          <t>2B 123/45 376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F1421" s="2" t="inlineStr">
        <is>
          <t>1D 123/45</t>
        </is>
      </c>
      <c r="G1421" s="2" t="inlineStr">
        <is>
          <t>G 123/45</t>
        </is>
      </c>
      <c r="H1421" s="2" t="inlineStr">
        <is>
          <t>K 123/45</t>
        </is>
      </c>
      <c r="I1421" s="8" t="inlineStr">
        <is>
          <t>1</t>
        </is>
      </c>
      <c r="J1421" s="2" t="inlineStr">
        <is>
          <t>✅ คำตอบที่ถูกต้อง: ข้อ ก. 1A 123/45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1A 123/45 💡 คำอธิบายและเหตุผลทางเภสัชกรรม:
💡 คำอธิบายและเหตุผลทางเภสัชกรรม:
การเลือก 1A 123/45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ข. (2B 123/45 376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Herbal Medicine เนื่องจากกลไกการออกฤทธิ์, efficacy หรือข้อบ่งใช้ไม่ตรงกับโจทย์ที่กำหนด
• ข้อ ค. (1D 123/45): ข้อนี้ไม่ใช่คำตอบที่ถูกต้องสำหรับภาวะ Herbal Medicine เนื่องจากกลไกการออกฤทธิ์, efficacy หรือข้อบ่งใช้ไม่ตรงกับโจทย์ที่กำหนด
• ข้อ ง. (G 123/45): ข้อนี้ไม่ใช่คำตอบที่ถูกต้องสำหรับภาวะ Herbal Medicine เนื่องจากกลไกการออกฤทธิ์, efficacy หรือข้อบ่งใช้ไม่ตรงกับโจทย์ที่กำหนด
• ข้อ จ. (K 123/45):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1" s="2" t="n"/>
      <c r="L1421" s="2" t="inlineStr">
        <is>
          <t>Herbal Medicine</t>
        </is>
      </c>
      <c r="M1421" s="2" t="inlineStr">
        <is>
          <t>Product</t>
        </is>
      </c>
      <c r="N1421" s="2" t="inlineStr">
        <is>
          <t>ข้อ 32 (PLE_CC1_Practice_Exam.md)</t>
        </is>
      </c>
      <c r="O1421" s="2" t="inlineStr">
        <is>
          <t>Mock</t>
        </is>
      </c>
      <c r="P1421" s="2" t="inlineStr">
        <is>
          <t>Mock สภาเภสัชฯ Practice</t>
        </is>
      </c>
    </row>
    <row r="1422" ht="13.2" customHeight="1" s="37">
      <c r="A1422" s="8" t="inlineStr">
        <is>
          <t>1443</t>
        </is>
      </c>
      <c r="B1422" s="2" t="inlineStr">
        <is>
          <t>ยา Codepectห (Codeine Phosphate + Guaifenesin) จัดเป็นยาประเภทใด</t>
        </is>
      </c>
      <c r="C1422" s="2" t="n"/>
      <c r="D1422" s="2" t="inlineStr">
        <is>
          <t>วัตถุออกฤทธิ์ต่อจิตและประสาทประเภท 2</t>
        </is>
      </c>
      <c r="E1422" s="2" t="inlineStr">
        <is>
          <t>วัตถุออกฤทธิ์ต่อจิตและประสาทประเภท 4</t>
        </is>
      </c>
      <c r="F1422" s="2" t="inlineStr">
        <is>
          <t>ยาเสพติดให้โทษประเภท 2</t>
        </is>
      </c>
      <c r="G1422" s="2" t="inlineStr">
        <is>
          <t>ยาเสพติดให้โทษประเภท 3</t>
        </is>
      </c>
      <c r="H1422" s="2" t="inlineStr">
        <is>
          <t>ยาควบคุมพิเศษ</t>
        </is>
      </c>
      <c r="I1422" s="8" t="inlineStr">
        <is>
          <t>1</t>
        </is>
      </c>
      <c r="J1422" s="2" t="inlineStr">
        <is>
          <t>✅ คำตอบที่ถูกต้อง: ข้อ ก. วัตถุออกฤทธิ์ต่อจิตและประสาทประเภท 2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วัตถุออกฤทธิ์ต่อจิตและประสาทประเภท 2 การเลือก วัตถุออกฤทธิ์ต่อจิตและประสาทประเภท 2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(วัตถุออกฤทธิ์ต่อจิตและประสาทประเภท 4): ข้อนี้ไม่ใช่คำตอบที่ถูกต้องสำหรับภาวะ General Therapeutics เนื่องจากกลไกการออกฤทธิ์, efficacy หรือข้อบ่งใช้ไม่ตรงกับโจทย์ที่กำหนด
• ข้อ ค. (ยาเสพติดให้โทษประเภท 2): ข้อนี้ไม่ใช่คำตอบที่ถูกต้องสำหรับภาวะ General Therapeutics เนื่องจากกลไกการออกฤทธิ์, efficacy หรือข้อบ่งใช้ไม่ตรงกับโจทย์ที่กำหนด
• ข้อ ง. (ยาเสพติดให้โทษประเภท 3): ข้อนี้ไม่ใช่คำตอบที่ถูกต้องสำหรับภาวะ General Therapeutics เนื่องจากกลไกการออกฤทธิ์, efficacy หรือข้อบ่งใช้ไม่ตรงกับโจทย์ที่กำหนด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2" s="2" t="n"/>
      <c r="L1422" s="2" t="inlineStr">
        <is>
          <t>General Therapeutics</t>
        </is>
      </c>
      <c r="M1422" s="2" t="inlineStr">
        <is>
          <t>Clinic</t>
        </is>
      </c>
      <c r="N1422" s="2" t="inlineStr">
        <is>
          <t>ข้อ 39 (PLE_CC1_Practice_Exam.md)</t>
        </is>
      </c>
      <c r="O1422" s="2" t="inlineStr">
        <is>
          <t>Mock</t>
        </is>
      </c>
      <c r="P1422" s="2" t="inlineStr">
        <is>
          <t>Mock สภาเภสัชฯ Practice</t>
        </is>
      </c>
    </row>
    <row r="1423" ht="13.2" customHeight="1" s="37">
      <c r="A1423" s="8" t="inlineStr">
        <is>
          <t>1444</t>
        </is>
      </c>
      <c r="B1423" s="2" t="inlineStr">
        <is>
          <t>รายการยาในข้อใดเป็นจัดยาอันตรายทั้งหมด</t>
        </is>
      </c>
      <c r="C1423" s="2" t="n"/>
      <c r="D1423" s="2" t="inlineStr">
        <is>
          <t>Prednisolone cream, Clindamycin gel</t>
        </is>
      </c>
      <c r="E1423" s="2" t="inlineStr">
        <is>
          <t>Tramadol, Seretide accuhalerห</t>
        </is>
      </c>
      <c r="F1423" s="2" t="inlineStr">
        <is>
          <t>Norfloxacin, Alprazolam</t>
        </is>
      </c>
      <c r="G1423" s="2" t="inlineStr">
        <is>
          <t>Insulin, Phenobarbital</t>
        </is>
      </c>
      <c r="H1423" s="2" t="inlineStr">
        <is>
          <t>Oseltamivir, Milk of Magnesia 378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ค หากผู้รับอนุญาตจะเลิกกิจการต้องทำหนังสือให้ผู้อนุญาตทราบไม่เกิน 15 วันนับแต่วันเลิกกิจการ จังหวัดนั้นๆได้เลยไม่ต้องไปอย. แต่ถ้ามีการยกเลิกสัญญาจ้างเภสัชกร ปกติเภสัชกรต้องแจ้งไปยังผู้อนุญาต (อย. หรือ ผู้ว่าราชการจังหวัด) ภายใน 7 วันนับแต่วันที่พ้นหน้าที่ ตามมาตรา 34 ข้อ 2 เฉลย ค เลขาธิการคณะกรรมการอาหารและยามีอำนาจสั่งเป็นหนังสือให้ระงับการโฆษณาขายยาที่เห็นว่าเป็น การโฆษณาโดยฝ่าฝืนพระราชบัญญัตินี้ได้ ข้อ 3 เฉลย ง ดูมาตรา 25 ผู้รับอนุญาตผลิตไม่จำเป็นต้องเป็นเภสัช แต่ต้องหาเภสัชมาประจำตลอดเวลาปฏิบัติการ ด้วย การควบคุมการขายจะเป็นหน้าที่เภสัช โดย 38 กล่าวถึงหน้าที่เภสัชกร ณ สถานที่ผลิต มาตรา 39 กล่าวถึงหน้าที่เภสัชกร ณ สถานที่ขาย ข้อ 4 เฉลย ข ยาที่สิ้นอายุตามที่แสดงไว้ในฉลากจัดเป็นยาเสื่อมคุณภาพ ข้อ 5 เฉลย ค อ้างอิงจากระเบียบสำนักงานคณะกรรมการอาหารและยาว่าด้วยการเปรียบเทียบปรับ พ.ศ. 2536 (ดู พ.ร.บ.ยา พ.ศ.2510 มาตรา 126 ทวิ) ข้อ 6 เฉลย ก ตามมาตรา 75 ระบุว่าพักใบอนุญาตได้ครั้งละไม่เกิน 120 วัน ข้อ 7 เฉลย ค กฎหมายยกเว้นให้ (มาตรา 88 วรรค 2) ข้อ 8 เฉลย ข กฎหมายกำหนดไว้ (มาตรา 47 (2ทวิ)) ข้อ 9 เฉลย ก ยาสมุนไพรคือยาที่ได้จากพืช สัตว์ แร่ โดยไม่ได้ผสม ปรุง หรือแปรสภาพ คือไม่มีการบด/คั้น/แปรรูป ใดๆ ยังเห็นเป็นชิ้นๆอยู่ ระบุได้ว่าเป็นอะไร ข้อ 10 เฉลย จ “ขาย” หมายความว่า ขายปลีก ขายส่ง จำหน่าย จ่าย แจก แลกเปลี่ยนเพื่อประโยชน์ในทางการค้า และให้หมายรวมถึงการมีไว้เพื่อขายด้วย 379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หากพิจารณานิยาม “ขาย” ให้ดี “การแจก...เพื่อประโยชน์ในทางการค้า” เข้าข่ายการขาย ดังนั้น ข้อ นี้จึงต้องตอบ จ. แต่การนำไปถวายสังฆทาน หรือการนำยาไปบริจาคตามโรงพยาบาลต่าง ๆ แม้ว่าจะอยู่ใน รูปแบบของการแจกแต่ไม่ได้ทำเพื่อประโยชน์ทางการค้าจึงไม่เข้าข่ายนิยามขาย ข้อ 11 เฉลย ค ไม่ถูกต้อง เพราะผู้อนุญาตสำหรับการขายยาในต่างจังหวัดต้องเป็นผู้ว่าราชการจังหวัดที่อยู่ในเขต จังหวัดนั้น ข้อ 12 เฉลย ก ดูมาตรา 91 ว่าด้วยอำนาจพนักงานเจ้าหน้าที่ ข้อ 13 เฉลย จ หากตัวเลือกระบุแค่นี้ ต้องตอบข้อ จ. เพราะฝ่าฝืน พ.ร.บ.ยา พ.ศ.2510 มาตรา 45 แต่ถ้าหากจะให้ ตอบข้อ ค. ตัวเลือกนี้จะต้องมีระบุข้อความทำนองว่า “แต่ให้แจ้งต่อผู้อนุญาตก่อน” หรือ “แจ้งตามแบบ จภก. 1” ก่อน ตามมาตรา 33 ทวิ จึงจะไม่ฝ่าฝืนตามมาตรา 45 ข้อ 14 เฉลย จ จากมาตรา 75 พ.ร.บ.ยา พ.ศ.2510 ให้รายละเอียดลักษณะของยาเสื่อมคุณภาพไว้ดังนี้ 1.) ยาที่สิ้น อายุตามที่แสดงไว้ในฉลาก 2.) ยาที่แปรสภาพจนมีลักษณะเช่นเดียวกันกับยาปลอม ตามมาตรา 73 (5) หรือ ยาผิดมาตรฐานตามมาตรา 74 ข้อ 15 เฉลย จ ถูกทั้งข้อ ก ข และ ค ข้อ 17 เฉลย ง น.ส. A ไม่มีใบประกอบวิชาชีพเภสัชกรรมจึงมีความผิดตาม พรบ.วิชาชีพเภสัชกรรม พ.ศ. 2537 และ ไม่ถูกพิจารณาคดีจรรยาบรรณวิชาชีพเภสัชกรรม เพราะ - ผู้ที่ไม่มีใบประกอบวิชาชีพเภสัชกรรม แต่กระทำในสิ่งที่เป็นการประกอบวิชาชีพเภสัชกรรม มี ความผิดตามพระราชบัญญัติวิชาชีพเภสัชกรรม พ.ศ.2537 มาตรา 28 - ผู้ที่ไม่มีใบประกอบวิชาชีพเภสัชกรรมไม่สามารถถูกพิจารณาคดีจรรยาบรรณวิชาชีพเภสัชกรรมได้ วิชาชีพเภสัชกรรม พ.ศ.2537 มาตรา 34 - เภสัชศาสตร์บัณฑิตไม่ใช่ “ผู้ประกอบวิชาชีพเภสัชกรรม" ตามนิยาม "ผู้ประกอบวิชาชีพเภสัชกรรม" พระราชบัญญัติวิชาชีพเภสัชกรรม พ.ศ.2537 ข้อ 18 เฉลย ง Metformin เป็นยาอันตราย Pioglitazone เป็นยาควบคุมพิเศษ เนื่องจาก ยาพวกที่ใช้รับประทาน เพื่อทำให้น้ำตาลในเลือดลดลง (Oral hypoglycemic drug) เช่น ยากลุ่ม Sulfonyl urea, Biguanide 380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ลำดับที่ 78 ข้อ 19 เฉลย ข เห็ดขี้ควาย จัดเป็นยาเสพติดประเภทที่ 5 แต่ Psilocine จัดเป็นวัตถุออกฤทธิ์ต่อจิตและประสาท ประเภทที่ 1 ข้อ 20 เฉลย จ. ยา Tramadol ในตำรับยาเดี่ยวและยาสูตรผสม รูปแบบยาเม็ด และยาแคปซูล ขายได้ครั้งละไม่เกิน 20 เม็ดหรือแคปซูลต่อคนต่อครั้ง และห้ามขายให้ผู้ที่มีอายุต่ำกว่า 17 ปี ในทุกกรณี ข้อ 21 เฉลย ค ยาอันตราย ข้อ 22 เฉลย ค dextromethorphan เนื่องจากประกาศกระทรวงสาธารณสุข เรื่อง ยาอันตราย กำหนดให้ยาจำพวก แก้ไอ (antitussive drugs) ยกเว้นที่ใช้ขับเสมหะ เป็นยาอันตราย ลำดับที่ 8 ambroxol bromhexine acetylcystein carbosysteine เป็นยาที่มีฤทธิ์ขับเสมหะ จึงได้รับการยกเว้นไม่เป็นยาอันตราย ส่วนยา dextromethorphan ไม่ได้มีฤทธิ์ขับเสมหะ จึงไม่เข้าข้อยกเว้นไม่เป็นยาอันตราย ข้อ 23 เฉลย ง บริษัทยาเขียนบทความทาง internet เรื่องอันตรายของโรคเบาหวาน โดยไม่มีการสื่อถึงชื่อการค้า ของยาตน สามารถทำได้เนื่องจาก แผ่นพับแนะนำเรื่องโรค การปฏิบัติตน เทคนิคการใช้ยา หากไม่มีการสื่อถึง ชื่อการค้าของยาเพื่อจะขายยาของตนแล้ว ไม่ถือว่าเป็นการโฆษณาขายยา แต่ ข้อ ก. ข. ง. ถือเป็นการ ‘แถม พก’ ตามพระราชบัญญัติยา พ.ศ.2510 มาตรา 90 จึงไม่สามารถกระทำได้ ส่วน ค.เป็นการขายนอกสถานที่ที่ ได้รับอนุญาต ไม่สามารถกระทำได้ ปัจจุบัน ข้อ 25 เฉลย จ. ยาจะบอกสรรพคุณรักษาโรคในฉลากไม่ได้ ผลิตภัณฑ์เสริมอาหารบอกได้ ผิดเพราะที่ถูกต้องคือ ยาจะ บอกสรรพคุณรักษาโรคในฉลากได้ ผลิตภัณฑ์เสริมอาหารบอกไม่ได้ ข้อ 26 เฉลย ก ยาแผนโบราณผลิตภายในประเทศ ข้อ 27 เฉลย ง เนื่องจากเป็นวัตถุออกฤทธิ์ต่อจิตและประสาท ประเภทที่ 2 ข้อ 28 เฉลย ค. ยาอันตราย ข้อ 29 เฉลย ข 381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ยารักษาหอบหืดชนิดพ่นที่มีสเตอรอยด์ผสม จัดเป็นยาควบคุมพิเศษต้องมีใบสั่งแพทย์ และต้องมีเภสัช กรควบคุมการขายเสมอ ส่วนยารักษาหอบหืดชนิดพ่นที่มีสเตอรอยด์เดี่ยว ยารักษาหอบหืดชนิดพ่นที่มีสเต อรอยด์ผสม Corticosteroid จากธรรมชาติหรือสังเคราะห์ที่ใช้เฉพาะที่ จัดเป็นยาอันตราย ข้อ 30 เฉลย ง มีความผิดฐานไม่ควบคุมการขายยาให้เป็นไปตาม พ.ร.บ.เนื่องจากขณะนั้นเภสัชกรไม่ได้อยู่ประจำร้าน ฐานอื่น คือ ไม่ได้อยู่ประจำร้านตลอดเวลาปฏิบัติการ ไม่ควบคุมการขายยาให้เป็นไปตาม พ.ร.บ. ไม่ใช่การส่ง มอบ นอกจากนี้ยาที่ไม่ได้รับการรับรองไม่สามารถจำหน่ายได้อยู่แล้วแม้จะมีหรือไม่มีใบสั่งแพทย์ ข้อ 31 เฉลย ค จัดอยู่ในประเภทยาควบคุมพิเศษไวอากร้าจัดว่าเป็นยาประเภทควบคุมพิเศษ ซึ่งปัจจุบัน อย.อนุญาต ให้ขึ้นทะเบียนตำรับยา 3 ตัว คือ Sildenafil, Tadalafil, Vardenafil ข้อ 32 เฉลย ง G 123/45 เพราะ G คือ ยามนุษย์ผลิตภายในประเทศแผนโบราณ ยาแผนโบราณไม่มีเลขบอกถึงยา เดี่ยวหรือ ยาผสม ข้อ ก. ผิดเพราะ 1A คือ ยามนุษย์ผลิตภายในประเทศแผนปัจจุบัน (ยาเดี่ยว) ข้อ ข. 2B ผิดเพราะ 2B คือ ยามนุษย์แบ่งบรรจุแผนปัจจุบัน (ยาผสม) ข้อ ค. 1D ผิดเพราะ 1D คือ ยาสัตว์ผลิตภายในประเทศแผนปัจจุบัน (ยาเดี่ยว) ข้อ จ. K ผิดเพราะ K คือ ยามนุษย์นำหรือสั่งเข้าแผนโบราณ ข้อ 33 เฉลย ค เครื่องสำอางต้องมีฉลากแต่ไม่จำเป็นต้องเป็นภาษาไทย ผิดเพราะฉลากจำเป็นต้องมีภาษาไทยอยู่ด้วย ข้อ ข. เครื่องสำอางสามารถขายได้เลยโดยไม่ต้องขออนุญาตตาม พ.ร.บ. เครื่องสำอาง 2558 ข้อ ง. เครื่องสำอางไม่จำเป็นต้องขออนุญาตโฆษณา ตาม พ.ร.บ. เครื่องสำอาง 2558 แต่จะมีความผิด ในเรื่องโฆษณาเมื่อมีการโฆษณาที่เกินจริง ทำให้เข้าใจผิดในสาระสำคัญ แสดงสรรพคุณรักษาโรค สรรพคุณบำรุงกาม ข้อ 34 เฉลย ก ยาปลอม เนื่องจาก Midazolam เป็นวัตถุออกฤทธิ์ต่อจิตและประสาทเกณฑ์ในการคำนวณยา ปลอมจึงต่างจากเกณฑ์ยาอื่นๆ โดยยาปลอมวัตถุออกฤทธิ์ต่อจิตและประสาทและและยาเสพติดให้โทษใน ประเภทที่ 3 จะมีปริมาณยาเกิน/ต่ำกว่าช่วงเกณฑ์สูงสุดหรือต่ำสุดได้ไม่เกิน 10% ข้อ 35 เฉลย ค ไม่ได้ เพราะเป็นยาควบคุมพิเศษ ต้องมีใบสั่งใช้ยาโดยแพทย์ประกอบการจ่ายทุกครั้ง ปล.ในทางปฏิบัติยานี้ใช้เฉพาะสถานพยาบาล (คลินิก และโรงพยาบาล) 382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36 เฉลย จ ได้ เนื่องจากเป็นยาอันตราย เพราะ steroid cream ซึ่งใช้สำหรับภายนอกจัดเป็นยาอันตราย ข้อ 37 เฉลย ข้อ ค ยาสามัญประจำบ้านไม่จำเป็นต้องขออนุญาตโฆษณา ตาม พ.ร.บ. ยา 2510 มาตรา 88 ทวิ การขาย ยา ในช่องทางต่างๆจะต้องได้รับอนุมัติการโฆษณาจากผู้อนุญาตก่อน</t>
        </is>
      </c>
      <c r="I1423" s="8" t="inlineStr">
        <is>
          <t>1</t>
        </is>
      </c>
      <c r="J1423" s="2" t="inlineStr">
        <is>
          <t>✅ คำตอบที่ถูกต้อง: ข้อ ก. Prednisolone cream, Clindamycin gel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cream, Clindamycin gel 💡 คำอธิบายและข้อกำหนดทางกฎหมาย:
💡 คำอธิบายและข้อกำหนดทางกฎหมาย:
และให้ถือว่าใบอนุญาตหมดอายุตั้งแต่วันเลิกกิจการตามที่แจ้งไว้ (มาตรา 35) ถ้าอยู่ต่างจังหวัดแจ้งที่ สสจ. ข้อ 16 เฉลย ข ยาที่ขึ้นทะเบียนแล้วไม่มีการผลิตหรือนำเข้าสองปีติดต่อกัน ให้ทะเบียนถูกยกเลิก (มาตรา85) เนื่องจากยังไม่ใช่ผู้ประกอบวิชาชีพเภสัชกรรม จึงไม่เข้าข่ายผู้ประกอบวิชาชีพเภสัชกรรม ตามพระราชบัญญัติ (Metformin จัดอยู่กลุ่มนี้) จัดเป็นยาอันตรายลำดับที่ 18 แต่ยกเว้นยา Pioglitazone ที่เป็นยาควบคุมพิเศษ
 เป็น intermediate-acting systemic corticosteroid ขนาดยอดนิยมสำหรับ immunosuppressive &amp; anti-inflammatory therapy ต้องระวัง Cushingoid, infection, osteoporosis, peptic ulcer
🔍 ข้ออื่นผิดเพราะอะไร:
• ข้อ ข. (Tramadol, Seretide accuhalerห): เป็น weak mu-opioid agonist และ SNRI เป็นเพียง second-line / add-on สำหรับ pain relief ไม่มีฤทธิ์ลดการอักเสบ (no anti-inflammatory efficacy) และเสี่ยงต่อ serotonin syndrome และชัก
• ข้อ ค. (Norfloxacin, Alprazolam): เป็น intermediate-acting Benzodiazepine ออกฤทธิ์เร็ว เหมาะสำหรับ panic attack แต่มีโอกาสเกิด dependence และ rebound anxiety สูงเมื่อหยุดยา
• ข้อ ง. (Insulin, Phenobarbital): ข้อนี้ไม่ใช่คำตอบที่ถูกต้องสำหรับภาวะ Pharmacy Laws &amp; Ethics เนื่องจากกลไกการออกฤทธิ์, efficacy หรือข้อบ่งใช้ไม่ตรงกับโจทย์ที่กำหนด
• ข้อ จ. (Oseltamivir, Milk of Magnesia 378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ค หากผู้รับอนุญาตจะเลิกกิจการต้องทำหนังสือให้ผู้อนุญาตทราบไม่เกิน 15 วันนับแต่วันเลิกกิจการ จังหวัดนั้นๆได้เลยไม่ต้องไปอย. แต่ถ้ามีการยกเลิกสัญญาจ้างเภสัชกร ปกติเภสัชกรต้องแจ้งไปยังผู้อนุญาต (อย. หรือ ผู้ว่าราชการจังหวัด) ภายใน 7 วันนับแต่วันที่พ้นหน้าที่ ตามมาตรา 34 ข้อ 2 เฉลย ค เลขาธิการคณะกรรมการอาหารและยามีอำนาจสั่งเป็นหนังสือให้ระงับการโฆษณาขายยาที่เห็นว่าเป็น การโฆษณาโดยฝ่าฝืนพระราชบัญญัตินี้ได้ ข้อ 3 เฉลย ง ดูมาตรา 25 ผู้รับอนุญาตผลิตไม่จำเป็นต้องเป็นเภสัช แต่ต้องหาเภสัชมาประจำตลอดเวลาปฏิบัติการ ด้วย การควบคุมการขายจะเป็นหน้าที่เภสัช โดย 38 กล่าวถึงหน้าที่เภสัชกร ณ สถานที่ผลิต มาตรา 39 กล่าวถึงหน้าที่เภสัชกร ณ สถานที่ขาย ข้อ 4 เฉลย ข ยาที่สิ้นอายุตามที่แสดงไว้ในฉลากจัดเป็นยาเสื่อมคุณภาพ ข้อ 5 เฉลย ค อ้างอิงจากระเบียบสำนักงานคณะกรรมการอาหารและยาว่าด้วยการเปรียบเทียบปรับ พ.ศ. 2536 (ดู พ.ร.บ.ยา พ.ศ.2510 มาตรา 126 ทวิ) ข้อ 6 เฉลย ก ตามมาตรา 75 ระบุว่าพักใบอนุญาตได้ครั้งละไม่เกิน 120 วัน ข้อ 7 เฉลย ค กฎหมายยกเว้นให้ (มาตรา 88 วรรค 2) ข้อ 8 เฉลย ข กฎหมายกำหนดไว้ (มาตรา 47 (2ทวิ)) ข้อ 9 เฉลย ก ยาสมุนไพรคือยาที่ได้จากพืช สัตว์ แร่ โดยไม่ได้ผสม ปรุง หรือแปรสภาพ คือไม่มีการบด/คั้น/แปรรูป ใดๆ ยังเห็นเป็นชิ้นๆอยู่ ระบุได้ว่าเป็นอะไร ข้อ 10 เฉลย จ “ขาย” หมายความว่า ขายปลีก ขายส่ง จำหน่าย จ่าย แจก แลกเปลี่ยนเพื่อประโยชน์ในทางการค้า และให้หมายรวมถึงการมีไว้เพื่อขายด้วย 379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หากพิจารณานิยาม “ขาย” ให้ดี “การแจก...เพื่อประโยชน์ในทางการค้า” เข้าข่ายการขาย ดังนั้น ข้อ นี้จึงต้องตอบ จ. แต่การนำไปถวายสังฆทาน หรือการนำยาไปบริจาคตามโรงพยาบาลต่าง ๆ แม้ว่าจะอยู่ใน รูปแบบของการแจกแต่ไม่ได้ทำเพื่อประโยชน์ทางการค้าจึงไม่เข้าข่ายนิยามขาย ข้อ 11 เฉลย ค ไม่ถูกต้อง เพราะผู้อนุญาตสำหรับการขายยาในต่างจังหวัดต้องเป็นผู้ว่าราชการจังหวัดที่อยู่ในเขต จังหวัดนั้น ข้อ 12 เฉลย ก ดูมาตรา 91 ว่าด้วยอำนาจพนักงานเจ้าหน้าที่ ข้อ 13 เฉลย จ หากตัวเลือกระบุแค่นี้ ต้องตอบข้อ จ. เพราะฝ่าฝืน พ.ร.บ.ยา พ.ศ.2510 มาตรา 45 แต่ถ้าหากจะให้ ตอบข้อ ค. ตัวเลือกนี้จะต้องมีระบุข้อความทำนองว่า “แต่ให้แจ้งต่อผู้อนุญาตก่อน” หรือ “แจ้งตามแบบ จภก. 1” ก่อน ตามมาตรา 33 ทวิ จึงจะไม่ฝ่าฝืนตามมาตรา 45 ข้อ 14 เฉลย จ จากมาตรา 75 พ.ร.บ.ยา พ.ศ.2510 ให้รายละเอียดลักษณะของยาเสื่อมคุณภาพไว้ดังนี้ 1.) ยาที่สิ้น อายุตามที่แสดงไว้ในฉลาก 2.) ยาที่แปรสภาพจนมีลักษณะเช่นเดียวกันกับยาปลอม ตามมาตรา 73 (5) หรือ ยาผิดมาตรฐานตามมาตรา 74 ข้อ 15 เฉลย จ ถูกทั้งข้อ ก ข และ ค ข้อ 17 เฉลย ง น.ส. A ไม่มีใบประกอบวิชาชีพเภสัชกรรมจึงมีความผิดตาม พรบ.วิชาชีพเภสัชกรรม พ.ศ. 2537 และ ไม่ถูกพิจารณาคดีจรรยาบรรณวิชาชีพเภสัชกรรม เพราะ - ผู้ที่ไม่มีใบประกอบวิชาชีพเภสัชกรรม แต่กระทำในสิ่งที่เป็นการประกอบวิชาชีพเภสัชกรรม มี ความผิดตามพระราชบัญญัติวิชาชีพเภสัชกรรม พ.ศ.2537 มาตรา 28 - ผู้ที่ไม่มีใบประกอบวิชาชีพเภสัชกรรมไม่สามารถถูกพิจารณาคดีจรรยาบรรณวิชาชีพเภสัชกรรมได้ วิชาชีพเภสัชกรรม พ.ศ.2537 มาตรา 34 - เภสัชศาสตร์บัณฑิตไม่ใช่ “ผู้ประกอบวิชาชีพเภสัชกรรม" ตามนิยาม "ผู้ประกอบวิชาชีพเภสัชกรรม" พระราชบัญญัติวิชาชีพเภสัชกรรม พ.ศ.2537 ข้อ 18 เฉลย ง Metformin เป็นยาอันตราย Pioglitazone เป็นยาควบคุมพิเศษ เนื่องจาก ยาพวกที่ใช้รับประทาน เพื่อทำให้น้ำตาลในเลือดลดลง (Oral hypoglycemic drug) เช่น ยากลุ่ม Sulfonyl urea, Biguanide 380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ลำดับที่ 78 ข้อ 19 เฉลย ข เห็ดขี้ควาย จัดเป็นยาเสพติดประเภทที่ 5 แต่ Psilocine จัดเป็นวัตถุออกฤทธิ์ต่อจิตและประสาท ประเภทที่ 1 ข้อ 20 เฉลย จ. ยา Tramadol ในตำรับยาเดี่ยวและยาสูตรผสม รูปแบบยาเม็ด และยาแคปซูล ขายได้ครั้งละไม่เกิน 20 เม็ดหรือแคปซูลต่อคนต่อครั้ง และห้ามขายให้ผู้ที่มีอายุต่ำกว่า 17 ปี ในทุกกรณี ข้อ 21 เฉลย ค ยาอันตราย ข้อ 22 เฉลย ค dextromethorphan เนื่องจากประกาศกระทรวงสาธารณสุข เรื่อง ยาอันตราย กำหนดให้ยาจำพวก แก้ไอ (antitussive drugs) ยกเว้นที่ใช้ขับเสมหะ เป็นยาอันตราย ลำดับที่ 8 ambroxol bromhexine acetylcystein carbosysteine เป็นยาที่มีฤทธิ์ขับเสมหะ จึงได้รับการยกเว้นไม่เป็นยาอันตราย ส่วนยา dextromethorphan ไม่ได้มีฤทธิ์ขับเสมหะ จึงไม่เข้าข้อยกเว้นไม่เป็นยาอันตราย ข้อ 23 เฉลย ง บริษัทยาเขียนบทความทาง internet เรื่องอันตรายของโรคเบาหวาน โดยไม่มีการสื่อถึงชื่อการค้า ของยาตน สามารถทำได้เนื่องจาก แผ่นพับแนะนำเรื่องโรค การปฏิบัติตน เทคนิคการใช้ยา หากไม่มีการสื่อถึง ชื่อการค้าของยาเพื่อจะขายยาของตนแล้ว ไม่ถือว่าเป็นการโฆษณาขายยา แต่ ข้อ ก. ข. ง. ถือเป็นการ ‘แถม พก’ ตามพระราชบัญญัติยา พ.ศ.2510 มาตรา 90 จึงไม่สามารถกระทำได้ ส่วน ค.เป็นการขายนอกสถานที่ที่ ได้รับอนุญาต ไม่สามารถกระทำได้ ปัจจุบัน ข้อ 25 เฉลย จ. ยาจะบอกสรรพคุณรักษาโรคในฉลากไม่ได้ ผลิตภัณฑ์เสริมอาหารบอกได้ ผิดเพราะที่ถูกต้องคือ ยาจะ บอกสรรพคุณรักษาโรคในฉลากได้ ผลิตภัณฑ์เสริมอาหารบอกไม่ได้ ข้อ 26 เฉลย ก ยาแผนโบราณผลิตภายในประเทศ ข้อ 27 เฉลย ง เนื่องจากเป็นวัตถุออกฤทธิ์ต่อจิตและประสาท ประเภทที่ 2 ข้อ 28 เฉลย ค. ยาอันตราย ข้อ 29 เฉลย ข 381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ยารักษาหอบหืดชนิดพ่นที่มีสเตอรอยด์ผสม จัดเป็นยาควบคุมพิเศษต้องมีใบสั่งแพทย์ และต้องมีเภสัช กรควบคุมการขายเสมอ ส่วนยารักษาหอบหืดชนิดพ่นที่มีสเตอรอยด์เดี่ยว ยารักษาหอบหืดชนิดพ่นที่มีสเต อรอยด์ผสม Corticosteroid จากธรรมชาติหรือสังเคราะห์ที่ใช้เฉพาะที่ จัดเป็นยาอันตราย ข้อ 30 เฉลย ง มีความผิดฐานไม่ควบคุมการขายยาให้เป็นไปตาม พ.ร.บ.เนื่องจากขณะนั้นเภสัชกรไม่ได้อยู่ประจำร้าน ฐานอื่น คือ ไม่ได้อยู่ประจำร้านตลอดเวลาปฏิบัติการ ไม่ควบคุมการขายยาให้เป็นไปตาม พ.ร.บ. ไม่ใช่การส่ง มอบ นอกจากนี้ยาที่ไม่ได้รับการรับรองไม่สามารถจำหน่ายได้อยู่แล้วแม้จะมีหรือไม่มีใบสั่งแพทย์ ข้อ 31 เฉลย ค จัดอยู่ในประเภทยาควบคุมพิเศษไวอากร้าจัดว่าเป็นยาประเภทควบคุมพิเศษ ซึ่งปัจจุบัน อย.อนุญาต ให้ขึ้นทะเบียนตำรับยา 3 ตัว คือ Sildenafil, Tadalafil, Vardenafil ข้อ 32 เฉลย ง G 123/45 เพราะ G คือ ยามนุษย์ผลิตภายในประเทศแผนโบราณ ยาแผนโบราณไม่มีเลขบอกถึงยา เดี่ยวหรือ ยาผสม ข้อ ก. ผิดเพราะ 1A คือ ยามนุษย์ผลิตภายในประเทศแผนปัจจุบัน (ยาเดี่ยว) ข้อ ข. 2B ผิดเพราะ 2B คือ ยามนุษย์แบ่งบรรจุแผนปัจจุบัน (ยาผสม) ข้อ ค. 1D ผิดเพราะ 1D คือ ยาสัตว์ผลิตภายในประเทศแผนปัจจุบัน (ยาเดี่ยว) ข้อ จ. K ผิดเพราะ K คือ ยามนุษย์นำหรือสั่งเข้าแผนโบราณ ข้อ 33 เฉลย ค เครื่องสำอางต้องมีฉลากแต่ไม่จำเป็นต้องเป็นภาษาไทย ผิดเพราะฉลากจำเป็นต้องมีภาษาไทยอยู่ด้วย ข้อ ข. เครื่องสำอางสามารถขายได้เลยโดยไม่ต้องขออนุญาตตาม พ.ร.บ. เครื่องสำอาง 2558 ข้อ ง. เครื่องสำอางไม่จำเป็นต้องขออนุญาตโฆษณา ตาม พ.ร.บ. เครื่องสำอาง 2558 แต่จะมีความผิด ในเรื่องโฆษณาเมื่อมีการโฆษณาที่เกินจริง ทำให้เข้าใจผิดในสาระสำคัญ แสดงสรรพคุณรักษาโรค สรรพคุณบำรุงกาม ข้อ 34 เฉลย ก ยาปลอม เนื่องจาก Midazolam เป็นวัตถุออกฤทธิ์ต่อจิตและประสาทเกณฑ์ในการคำนวณยา ปลอมจึงต่างจากเกณฑ์ยาอื่นๆ โดยยาปลอมวัตถุออกฤทธิ์ต่อจิตและประสาทและและยาเสพติดให้โทษใน ประเภทที่ 3 จะมีปริมาณยาเกิน/ต่ำกว่าช่วงเกณฑ์สูงสุดหรือต่ำสุดได้ไม่เกิน 10% ข้อ 35 เฉลย ค ไม่ได้ เพราะเป็นยาควบคุมพิเศษ ต้องมีใบสั่งใช้ยาโดยแพทย์ประกอบการจ่ายทุกครั้ง ปล.ในทางปฏิบัติยานี้ใช้เฉพาะสถานพยาบาล (คลินิก และโรงพยาบาล) 382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36 เฉลย จ ได้ เนื่องจากเป็นยาอันตราย เพราะ steroid cream ซึ่งใช้สำหรับภายนอกจัดเป็นยาอันตราย ข้อ 37 เฉลย ข้อ ค ยาสามัญประจำบ้านไม่จำเป็นต้องขออนุญาตโฆษณา ตาม พ.ร.บ. ยา 2510 มาตรา 88 ทวิ การขาย ยา ในช่องทางต่างๆจะต้องได้รับอนุมัติการโฆษณาจากผู้อนุญาตก่อน): เป็น weak mu-opioid agonist และ SNRI เป็นเพียง second-line / add-on สำหรับ pain relief ไม่มีฤทธิ์ลดการอักเสบ (no anti-inflammatory efficacy) และเสี่ยงต่อ serotonin syndrome และชัก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3" s="2" t="n"/>
      <c r="L1423" s="2" t="inlineStr">
        <is>
          <t>Pharmacy Laws &amp; Ethics</t>
        </is>
      </c>
      <c r="M1423" s="2" t="inlineStr">
        <is>
          <t>SAP</t>
        </is>
      </c>
      <c r="N1423" s="2" t="inlineStr">
        <is>
          <t>ข้อ 40 (PLE_CC1_Practice_Exam.md)</t>
        </is>
      </c>
      <c r="O1423" s="2" t="inlineStr">
        <is>
          <t>Mock</t>
        </is>
      </c>
      <c r="P1423" s="2" t="inlineStr">
        <is>
          <t>Mock สภาเภสัชฯ Practice</t>
        </is>
      </c>
    </row>
    <row r="1424" ht="13.2" customHeight="1" s="37">
      <c r="A1424" s="8" t="inlineStr">
        <is>
          <t>1445</t>
        </is>
      </c>
      <c r="B1424" s="2" t="inlineStr">
        <is>
          <t>การศึกษาความสัมพันธ์ระหว่างการใช้ NSAIDs และ ความเสี่ยงต่อการเกิด acute coronary syndrome (ACS) ผู้วิจัยเก็บข้อมูลจากโรงพยาบาล โดยเลือกผู้ป่วยที่เป็น ACS จำนวน 500 ราย และจับคู่ผู้ป่วยที่ไม่ได้เป็น ACS ที่มารับบริการในโรงพยาบาลในเวลาเดียวกัน และอายุเท่ากัน จำนวน 500 รายจากนั้นเก็บข้อมูลการใช้ NSAIDs ก่อนหน้าด้วยการดึงจากเวชระเบียนและสัมภาษณ์ผู้ป่วย</t>
        </is>
      </c>
      <c r="C1424" s="2" t="n"/>
      <c r="D1424" s="2" t="inlineStr">
        <is>
          <t>Cross-sectional descriptive study</t>
        </is>
      </c>
      <c r="E1424" s="2" t="inlineStr">
        <is>
          <t>Cross-sectional analytical study</t>
        </is>
      </c>
      <c r="F1424" s="2" t="inlineStr">
        <is>
          <t>cohort study</t>
        </is>
      </c>
      <c r="G1424" s="2" t="inlineStr">
        <is>
          <t>case control</t>
        </is>
      </c>
      <c r="H1424" s="2" t="inlineStr">
        <is>
          <t>Randomized controlled trial 384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I1424" s="8" t="inlineStr">
        <is>
          <t>1</t>
        </is>
      </c>
      <c r="J1424" s="2" t="inlineStr">
        <is>
          <t>✅ คำตอบที่ถูกต้อง: ข้อ ก. Cross-sectional descriptive study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Cross-sectional descriptive study การเลือก Cross-sectional descriptive study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(Cross-sectional analytical study): ข้อนี้ไม่ใช่คำตอบที่ถูกต้องสำหรับภาวะ Cardiovascular Diseases เนื่องจากกลไกการออกฤทธิ์, efficacy หรือข้อบ่งใช้ไม่ตรงกับโจทย์ที่กำหนด
• ข้อ ค. (cohort study): ข้อนี้ไม่ใช่คำตอบที่ถูกต้องสำหรับภาวะ Cardiovascular Diseases เนื่องจากกลไกการออกฤทธิ์, efficacy หรือข้อบ่งใช้ไม่ตรงกับโจทย์ที่กำหนด
• ข้อ ง. (case control): ข้อนี้ไม่ใช่คำตอบที่ถูกต้องสำหรับภาวะ Cardiovascular Diseases เนื่องจากกลไกการออกฤทธิ์, efficacy หรือข้อบ่งใช้ไม่ตรงกับโจทย์ที่กำหนด
• ข้อ จ. (Randomized controlled trial 384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24" s="2" t="n"/>
      <c r="L1424" s="2" t="inlineStr">
        <is>
          <t>Cardiovascular Diseases</t>
        </is>
      </c>
      <c r="M1424" s="2" t="inlineStr">
        <is>
          <t>Clinic</t>
        </is>
      </c>
      <c r="N1424" s="2" t="inlineStr">
        <is>
          <t>ข้อ 3 (PLE_CC1_Practice_Exam.md)</t>
        </is>
      </c>
      <c r="O1424" s="2" t="inlineStr">
        <is>
          <t>Mock</t>
        </is>
      </c>
      <c r="P1424" s="2" t="inlineStr">
        <is>
          <t>Mock สภาเภสัชฯ Practice</t>
        </is>
      </c>
    </row>
    <row r="1425" ht="13.2" customHeight="1" s="37">
      <c r="A1425" s="8" t="inlineStr">
        <is>
          <t>1446</t>
        </is>
      </c>
      <c r="B1425" s="2" t="inlineStr">
        <is>
          <t>มีรายงานการเกิดอาการ Steven-Johnson syndromeในผู้ป่วย 10 ราย จากยาตัวหนึ่งที่มีรายงาน การใช้น้อยมาก ซึ่งเป็นอาการที่ไม่เคยมีรายงานมาก่อน ผู้วิจัยต้องการทดสอบสมมติฐานต่อ ควรทำ การวิจัยแบบใด</t>
        </is>
      </c>
      <c r="C1425" s="2" t="n"/>
      <c r="D1425" s="2" t="inlineStr">
        <is>
          <t>Cohort study</t>
        </is>
      </c>
      <c r="E1425" s="2" t="inlineStr">
        <is>
          <t>Case control</t>
        </is>
      </c>
      <c r="F1425" s="2" t="inlineStr">
        <is>
          <t>RCT (Crossover trial) 385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1425" s="2" t="inlineStr">
        <is>
          <t>RCT (Parallel trial)</t>
        </is>
      </c>
      <c r="H1425" s="2" t="inlineStr">
        <is>
          <t>ไม่มีข้อถูก กรณีศึกษาต่อไปนี้ ใช้ตอบคำถามข้อ 8 – 10 การศึกษาปัจจัยที่มีผลต่อการเกิดไมเกรนในวัยรุ่น โดยแบ่งคนเป็น 2 กลุ่ม จำนวนทั้งหมด 500 คน กลุ่มที่ 1 คือ ผู้ป่วยที่เป็นไมเกรน 100 คน กลุ่มที่ 2 คือ ผู้ป่วยที่ไม่เป็นไมเกรน 400 คน ผลการวิจัยพบว่า ผู้ที่มีความเครียด มีโอกาสเกิดไมเกรนเป็น 2.25 เท่าของผู้ที่ไม่มีความเครียด</t>
        </is>
      </c>
      <c r="I1425" s="8" t="inlineStr">
        <is>
          <t>1</t>
        </is>
      </c>
      <c r="J1425" s="2" t="inlineStr">
        <is>
          <t>✅ คำตอบที่ถูกต้อง: ข้อ ก. Cohort study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Cohort study การเลือก Cohort study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(Case control): ข้อนี้ไม่ใช่คำตอบที่ถูกต้องสำหรับภาวะ General Therapeutics เนื่องจากกลไกการออกฤทธิ์, efficacy หรือข้อบ่งใช้ไม่ตรงกับโจทย์ที่กำหนด
• ข้อ ค. (RCT (Crossover trial) 385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General Therapeutics เนื่องจากกลไกการออกฤทธิ์, efficacy หรือข้อบ่งใช้ไม่ตรงกับโจทย์ที่กำหนด
• ข้อ ง. (RCT (Parallel trial)): ข้อนี้ไม่ใช่คำตอบที่ถูกต้องสำหรับภาวะ General Therapeutics เนื่องจากกลไกการออกฤทธิ์, efficacy หรือข้อบ่งใช้ไม่ตรงกับโจทย์ที่กำหนด
• ข้อ จ. (ไม่มีข้อถูก กรณีศึกษาต่อไปนี้ ใช้ตอบคำถามข้อ 8 – 10 การศึกษาปัจจัยที่มีผลต่อการเกิดไมเกรนในวัยรุ่น โดยแบ่งคนเป็น 2 กลุ่ม จำนวนทั้งหมด 500 คน กลุ่มที่ 1 คือ ผู้ป่วยที่เป็นไมเกรน 100 คน กลุ่มที่ 2 คือ ผู้ป่วยที่ไม่เป็นไมเกรน 400 คน ผลการวิจัยพบว่า ผู้ที่มีความเครียด มีโอกาสเกิดไมเกรนเป็น 2.25 เท่าของผู้ที่ไม่มีความเครียด):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425" s="2" t="n"/>
      <c r="L1425" s="2" t="inlineStr">
        <is>
          <t>General Therapeutics</t>
        </is>
      </c>
      <c r="M1425" s="2" t="inlineStr">
        <is>
          <t>Clinic</t>
        </is>
      </c>
      <c r="N1425" s="2" t="inlineStr">
        <is>
          <t>ข้อ 7 (PLE_CC1_Practice_Exam.md)</t>
        </is>
      </c>
      <c r="O1425" s="2" t="inlineStr">
        <is>
          <t>Mock</t>
        </is>
      </c>
      <c r="P1425" s="2" t="inlineStr">
        <is>
          <t>Mock สภาเภสัชฯ Practice</t>
        </is>
      </c>
    </row>
    <row r="1426" ht="13.2" customHeight="1" s="37">
      <c r="A1426" s="8" t="inlineStr">
        <is>
          <t>1447</t>
        </is>
      </c>
      <c r="B1426" s="2" t="inlineStr">
        <is>
          <t>การศึกษาดังกล่าวมีรูปแบบการศึกษาแบบใด</t>
        </is>
      </c>
      <c r="C1426" s="2" t="n"/>
      <c r="D1426" s="2" t="inlineStr">
        <is>
          <t>Cross-sectional descriptive study</t>
        </is>
      </c>
      <c r="E1426" s="2" t="inlineStr">
        <is>
          <t>Cross-sectional analytical study</t>
        </is>
      </c>
      <c r="F1426" s="2" t="inlineStr">
        <is>
          <t>cohort study</t>
        </is>
      </c>
      <c r="G1426" s="2" t="inlineStr">
        <is>
          <t>Case control</t>
        </is>
      </c>
      <c r="H1426" s="2" t="inlineStr">
        <is>
          <t>Randomized controlled trial</t>
        </is>
      </c>
      <c r="I1426" s="8" t="inlineStr">
        <is>
          <t>1</t>
        </is>
      </c>
      <c r="J1426" s="2" t="inlineStr">
        <is>
          <t>✅ คำตอบที่ถูกต้อง: ข้อ ก. Cross-sectional descriptive study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Cross-sectional descriptive study การเลือก Cross-sectional descriptive study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(Cross-sectional analytical study): ข้อนี้ไม่ใช่คำตอบที่ถูกต้องสำหรับภาวะ General Therapeutics เนื่องจากกลไกการออกฤทธิ์, efficacy หรือข้อบ่งใช้ไม่ตรงกับโจทย์ที่กำหนด
• ข้อ ค. (cohort study): ข้อนี้ไม่ใช่คำตอบที่ถูกต้องสำหรับภาวะ General Therapeutics เนื่องจากกลไกการออกฤทธิ์, efficacy หรือข้อบ่งใช้ไม่ตรงกับโจทย์ที่กำหนด
• ข้อ ง. (Case control): ข้อนี้ไม่ใช่คำตอบที่ถูกต้องสำหรับภาวะ General Therapeutics เนื่องจากกลไกการออกฤทธิ์, efficacy หรือข้อบ่งใช้ไม่ตรงกับโจทย์ที่กำหนด
• ข้อ จ. (Randomized controlled trial):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6" s="2" t="n"/>
      <c r="L1426" s="2" t="inlineStr">
        <is>
          <t>General Therapeutics</t>
        </is>
      </c>
      <c r="M1426" s="2" t="inlineStr">
        <is>
          <t>Clinic</t>
        </is>
      </c>
      <c r="N1426" s="2" t="inlineStr">
        <is>
          <t>ข้อ 8 (PLE_CC1_Practice_Exam.md)</t>
        </is>
      </c>
      <c r="O1426" s="2" t="inlineStr">
        <is>
          <t>Mock</t>
        </is>
      </c>
      <c r="P1426" s="2" t="inlineStr">
        <is>
          <t>Mock สภาเภสัชฯ Practice</t>
        </is>
      </c>
    </row>
    <row r="1427" ht="13.2" customHeight="1" s="37">
      <c r="A1427" s="8" t="inlineStr">
        <is>
          <t>1448</t>
        </is>
      </c>
      <c r="B1427" s="2" t="inlineStr">
        <is>
          <t>ความสัมพันธ์ที่ได้เป็นแบบใด</t>
        </is>
      </c>
      <c r="C1427" s="2" t="n"/>
      <c r="D1427" s="2" t="inlineStr">
        <is>
          <t>Attributable risk</t>
        </is>
      </c>
      <c r="E1427" s="2" t="inlineStr">
        <is>
          <t>Prevalence ratio</t>
        </is>
      </c>
      <c r="F1427" s="2" t="inlineStr">
        <is>
          <t>Risk ratio</t>
        </is>
      </c>
      <c r="G1427" s="2" t="inlineStr">
        <is>
          <t>Rate ratio</t>
        </is>
      </c>
      <c r="H1427" s="2" t="inlineStr">
        <is>
          <t>Odd ratio</t>
        </is>
      </c>
      <c r="I1427" s="8" t="inlineStr">
        <is>
          <t>1</t>
        </is>
      </c>
      <c r="J1427" s="2" t="inlineStr">
        <is>
          <t>✅ คำตอบที่ถูกต้อง: ข้อ ก. Attributable risk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Attributable risk การเลือก Attributable risk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(Prevalence ratio): ข้อนี้ไม่ใช่คำตอบที่ถูกต้องสำหรับภาวะ General Therapeutics เนื่องจากกลไกการออกฤทธิ์, efficacy หรือข้อบ่งใช้ไม่ตรงกับโจทย์ที่กำหนด
• ข้อ ค. (Risk ratio): ข้อนี้ไม่ใช่คำตอบที่ถูกต้องสำหรับภาวะ General Therapeutics เนื่องจากกลไกการออกฤทธิ์, efficacy หรือข้อบ่งใช้ไม่ตรงกับโจทย์ที่กำหนด
• ข้อ ง. (Rate ratio): ข้อนี้ไม่ใช่คำตอบที่ถูกต้องสำหรับภาวะ General Therapeutics เนื่องจากกลไกการออกฤทธิ์, efficacy หรือข้อบ่งใช้ไม่ตรงกับโจทย์ที่กำหนด
• ข้อ จ. (Odd ratio):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7" s="2" t="n"/>
      <c r="L1427" s="2" t="inlineStr">
        <is>
          <t>General Therapeutics</t>
        </is>
      </c>
      <c r="M1427" s="2" t="inlineStr">
        <is>
          <t>Clinic</t>
        </is>
      </c>
      <c r="N1427" s="2" t="inlineStr">
        <is>
          <t>ข้อ 9 (PLE_CC1_Practice_Exam.md)</t>
        </is>
      </c>
      <c r="O1427" s="2" t="inlineStr">
        <is>
          <t>Mock</t>
        </is>
      </c>
      <c r="P1427" s="2" t="inlineStr">
        <is>
          <t>Mock สภาเภสัชฯ Practice</t>
        </is>
      </c>
    </row>
    <row r="1428" ht="13.2" customHeight="1" s="37">
      <c r="A1428" s="8" t="inlineStr">
        <is>
          <t>1449</t>
        </is>
      </c>
      <c r="B1428" s="2" t="inlineStr">
        <is>
          <t>Pharmacokinetics โดย ฝ่ายวิชาการและนักศึกษาชั้นป๊ที่ 4 คณะเภสัชศาสตร์ มหาวิทยาลัยเชียงใหม่ ป๊การศึกษา 2560</t>
        </is>
      </c>
      <c r="C1428" s="2" t="n"/>
      <c r="D1428" s="2" t="inlineStr">
        <is>
          <t>Naloxone 0.4 mg IV stat</t>
        </is>
      </c>
      <c r="E1428" s="2" t="inlineStr">
        <is>
          <t>Flumazenil 0.2 mg IV stat</t>
        </is>
      </c>
      <c r="F1428" s="2" t="inlineStr">
        <is>
          <t>Vitamin K1 (Phytomenadione) 10 mg IV slow</t>
        </is>
      </c>
      <c r="G1428" s="2" t="inlineStr">
        <is>
          <t>Sodium thiosulfate 25% 50 mL IV</t>
        </is>
      </c>
      <c r="H1428" s="2" t="inlineStr">
        <is>
          <t>Calcium disodium EDTA 1 g IV</t>
        </is>
      </c>
      <c r="I1428" s="8" t="inlineStr">
        <is>
          <t>1</t>
        </is>
      </c>
      <c r="J14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28" s="2" t="n"/>
      <c r="L1428" s="2" t="inlineStr">
        <is>
          <t>General Therapeutics</t>
        </is>
      </c>
      <c r="M1428" s="2" t="inlineStr">
        <is>
          <t>Clinic</t>
        </is>
      </c>
      <c r="N1428" s="2" t="inlineStr">
        <is>
          <t>ข้อ 20 (PLE_CC1_Practice_Exam.md)</t>
        </is>
      </c>
      <c r="O1428" s="2" t="inlineStr">
        <is>
          <t>Mock</t>
        </is>
      </c>
      <c r="P1428" s="2" t="inlineStr">
        <is>
          <t>Mock สภาเภสัชฯ Practice</t>
        </is>
      </c>
    </row>
    <row r="1429" ht="13.2" customHeight="1" s="37">
      <c r="A1429" s="8" t="inlineStr">
        <is>
          <t>1450</t>
        </is>
      </c>
      <c r="B1429" s="2" t="inlineStr">
        <is>
          <t>ยาในข้อใดต่อไปนี้ไม่นิยมใช้การตรวจติดตามระดับความเข้มข้นของยาในเลือด ในการติดตามการใช้ยาใน ผู้ป่วย</t>
        </is>
      </c>
      <c r="C1429" s="2" t="n"/>
      <c r="D1429" s="2" t="inlineStr">
        <is>
          <t>Phenytoin</t>
        </is>
      </c>
      <c r="E1429" s="2" t="inlineStr">
        <is>
          <t>Valproic acid</t>
        </is>
      </c>
      <c r="F1429" s="2" t="inlineStr">
        <is>
          <t>Warfarin</t>
        </is>
      </c>
      <c r="G1429" s="2" t="inlineStr">
        <is>
          <t>Digoxin</t>
        </is>
      </c>
      <c r="H1429" s="2" t="inlineStr">
        <is>
          <t>Gentamycin 6.การบริหารยาวิธีใดสามารถหลีกเลี่ยง First pass metabolism ที่ตับได้</t>
        </is>
      </c>
      <c r="I1429" s="8" t="inlineStr">
        <is>
          <t>1</t>
        </is>
      </c>
      <c r="J1429" s="2" t="inlineStr">
        <is>
          <t>✅ คำตอบที่ถูกต้อง: ข้อ ก. Phenytoin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Phenytoin การเลือก Phenytoin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(Valproic acid): ข้อนี้ไม่ใช่คำตอบที่ถูกต้องสำหรับภาวะ General Therapeutics เนื่องจากกลไกการออกฤทธิ์, efficacy หรือข้อบ่งใช้ไม่ตรงกับโจทย์ที่กำหนด
• ข้อ ค. (Warfarin): เป็น Vitamin K antagonist ต้องติดตาม monitoring ค่า INR (target 2.0-3.0 ใน DVT/PE/AF, 2.5-3.5 ใน mechanical mitral valve) มี drug-food interactions มากมาย และ reversal agent คือ Vitamin K1
• ข้อ ง. (Digoxin): เป็น cardiac glycoside ยับยั้ง Na+/K+ ATPase เพิ่ม inotrope แต่มี narrow therapeutic index (target 0.5-0.9 ng/mL ใน HF) และเสี่ยงต่อ fatal arrhythmia เมื่อมี hypokalemia
• ข้อ จ. (Gentamycin 6.การบริหารยาวิธีใดสามารถหลีกเลี่ยง First pass metabolism ที่ตับได้):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429" s="2" t="n"/>
      <c r="L1429" s="2" t="inlineStr">
        <is>
          <t>General Therapeutics</t>
        </is>
      </c>
      <c r="M1429" s="2" t="inlineStr">
        <is>
          <t>Clinic</t>
        </is>
      </c>
      <c r="N1429" s="2" t="inlineStr">
        <is>
          <t>ข้อ 5 (PLE_CC1_Practice_Exam.md)</t>
        </is>
      </c>
      <c r="O1429" s="2" t="inlineStr">
        <is>
          <t>Mock</t>
        </is>
      </c>
      <c r="P1429" s="2" t="inlineStr">
        <is>
          <t>Mock สภาเภสัชฯ Practice</t>
        </is>
      </c>
    </row>
    <row r="1430" ht="13.2" customHeight="1" s="37">
      <c r="A1430" s="8" t="inlineStr">
        <is>
          <t>1451</t>
        </is>
      </c>
      <c r="B1430" s="2" t="inlineStr">
        <is>
          <t>ยาในข้อใดมีลักษณะทางเภสัชจลนศาสตร์เป็นแบบ non-linear pharmacokinetic ที่มีความสำคัญ ในทางคลินิก</t>
        </is>
      </c>
      <c r="C1430" s="2" t="n"/>
      <c r="D1430" s="2" t="inlineStr">
        <is>
          <t>Phenytoin</t>
        </is>
      </c>
      <c r="E1430" s="2" t="inlineStr">
        <is>
          <t>Paracetamol</t>
        </is>
      </c>
      <c r="F1430" s="2" t="inlineStr">
        <is>
          <t>Penicillin</t>
        </is>
      </c>
      <c r="G1430" s="2" t="inlineStr">
        <is>
          <t>Gentamicin</t>
        </is>
      </c>
      <c r="H1430" s="2" t="inlineStr">
        <is>
          <t>Vancomycin</t>
        </is>
      </c>
      <c r="I1430" s="8" t="inlineStr">
        <is>
          <t>1</t>
        </is>
      </c>
      <c r="J1430" s="2" t="inlineStr">
        <is>
          <t>✅ คำตอบที่ถูกต้อง: ข้อ ก. Phenytoin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Phenytoin การเลือก Phenytoin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ค. (Penicillin): ข้อนี้ไม่ใช่คำตอบที่ถูกต้องสำหรับภาวะ General Therapeutics เนื่องจากกลไกการออกฤทธิ์, efficacy หรือข้อบ่งใช้ไม่ตรงกับโจทย์ที่กำหนด
• ข้อ ง. (Gentamicin): เป็น Aminoglycoside มี concentration-dependent bactericidal effect ต่อ gram-negative มี nephrotoxicity และ ototoxicity ต้อง monitoring renal function และ serum level
• ข้อ จ. (Vancomycin):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430" s="2" t="n"/>
      <c r="L1430" s="2" t="inlineStr">
        <is>
          <t>General Therapeutics</t>
        </is>
      </c>
      <c r="M1430" s="2" t="inlineStr">
        <is>
          <t>Clinic</t>
        </is>
      </c>
      <c r="N1430" s="2" t="inlineStr">
        <is>
          <t>ข้อ 12 (PLE_CC1_Practice_Exam.md)</t>
        </is>
      </c>
      <c r="O1430" s="2" t="inlineStr">
        <is>
          <t>Mock</t>
        </is>
      </c>
      <c r="P1430" s="2" t="inlineStr">
        <is>
          <t>Mock สภาเภสัชฯ Practice</t>
        </is>
      </c>
    </row>
    <row r="1431" ht="13.2" customHeight="1" s="37">
      <c r="A1431" s="8" t="inlineStr">
        <is>
          <t>1452</t>
        </is>
      </c>
      <c r="B1431" s="2" t="inlineStr">
        <is>
          <t>จากกราฟ ข้อใดผิด</t>
        </is>
      </c>
      <c r="C1431" s="2" t="n"/>
      <c r="D1431" s="2" t="inlineStr">
        <is>
          <t>สามารถคำนวณ half-life ได้จาก</t>
        </is>
      </c>
      <c r="E1431" s="2" t="inlineStr">
        <is>
          <t>ความเข้มของยาไม่มีผลต่อ rate of elimination</t>
        </is>
      </c>
      <c r="F1431" s="2" t="inlineStr">
        <is>
          <t>ยานี้เป็นการสลายตัวแบบจลนศาสตร์อันดับศูนย์</t>
        </is>
      </c>
      <c r="G1431" s="2" t="inlineStr">
        <is>
          <t>ตัวอย่างของยานี้คือ carbamazepine</t>
        </is>
      </c>
      <c r="H1431" s="2" t="inlineStr">
        <is>
          <t>ไม่มีข้อใดผิด 399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ค. Gemfibrozil เนื่องจาก Gemfibrozil ขัดขวางปฏิกิริยา Glucuronidation ของยาในกลุ่ม statins และแย่งจับ เอนไซม์ glucuronosyl transferase ซึ่งเป็นเอนไซม์ที่ใช้ในการแปรสภาพ statins ทำให้ระดับของยา statins เทียบกับยาในกลุ่มเดียวกัน เช่น Fenofibrate ข้อ 2 เฉลย จ. NAPQI ผ่าน CYP450 กลไกแปรสภาพปกติของ Paracetamol เกิดผ่าน Phase II เช่น conjugation หรือ sulfation แต่ใน กรณีที่ได้รับเกินขนาด enzyme ที่ใช้ในการแปรสภาพมีจำกัด กระบวนการแปรสภาพจะเกิดผ่าน CYP450 (CYP2E1) โดยเกิด N-hydroxylation และจัดเรียงโครงสร้างใหม่ได้เป็น NAPQI (N-acetyl-p- benzoquinone imine) ซึ่งเป็น reactive metabolite ที่สามารถก่อให้เกิดพิษต่อตับได้ ข้อ 3 เฉลย จ. ข้อ ก. และ ข. ถูก</t>
        </is>
      </c>
      <c r="I1431" s="8" t="inlineStr">
        <is>
          <t>1</t>
        </is>
      </c>
      <c r="J1431" s="2" t="inlineStr">
        <is>
          <t>✅ คำตอบที่ถูกต้อง: ข้อ ก. สามารถคำนวณ half-life ได้จาก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สามารถคำนวณ half-life ได้จาก เพิ่มขึ้น ทำให้เกิด rhabdomyolysis ได้ และมีอุบัติการณ์ของการเกิดอาการข้างเคียงดังกล่าวมากที่สุดเมื่อ ฝอย (endothelial cell) ที่เยื่อหุ้มเซลล์เชื่อมต่อกันด้วย tight junction แตกต่างจากเซลล์ในหลอดเลือดฝอย เกิดพิษแก่ผู้ป่วยได้ หากได้รับเครื่องดื่มที่มีส่วนผสมของแอลกอฮอล์ในปริมาณมากอย่างรวดเร็ว โดยมักเรียก ข้อ 10 เฉลย  ง.เมื่อให้ยา A แบบ intravenous (IV) infusion ด้วยอัตราที่คงที่ เป็นเวลา 20 ชั่วโมง ยา A จะ
🔍 ข้ออื่นผิดเพราะอะไร:
• ข้อ ข. (ความเข้มของยาไม่มีผลต่อ rate of elimination): ข้อนี้ไม่ใช่คำตอบที่ถูกต้องสำหรับภาวะ General Therapeutics เนื่องจากกลไกการออกฤทธิ์, efficacy หรือข้อบ่งใช้ไม่ตรงกับโจทย์ที่กำหนด
• ข้อ ค. (ยานี้เป็นการสลายตัวแบบจลนศาสตร์อันดับศูนย์): ข้อนี้ไม่ใช่คำตอบที่ถูกต้องสำหรับภาวะ General Therapeutics เนื่องจากกลไกการออกฤทธิ์, efficacy หรือข้อบ่งใช้ไม่ตรงกับโจทย์ที่กำหนด
• ข้อ ง. (ตัวอย่างของยานี้คือ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(ไม่มีข้อใดผิด 399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ค. Gemfibrozil เนื่องจาก Gemfibrozil ขัดขวางปฏิกิริยา Glucuronidation ของยาในกลุ่ม statins และแย่งจับ เอนไซม์ glucuronosyl transferase ซึ่งเป็นเอนไซม์ที่ใช้ในการแปรสภาพ statins ทำให้ระดับของยา statins เทียบกับยาในกลุ่มเดียวกัน เช่น Fenofibrate ข้อ 2 เฉลย จ. NAPQI ผ่าน CYP450 กลไกแปรสภาพปกติของ Paracetamol เกิดผ่าน Phase II เช่น conjugation หรือ sulfation แต่ใน กรณีที่ได้รับเกินขนาด enzyme ที่ใช้ในการแปรสภาพมีจำกัด กระบวนการแปรสภาพจะเกิดผ่าน CYP450 (CYP2E1) โดยเกิด N-hydroxylation และจัดเรียงโครงสร้างใหม่ได้เป็น NAPQI (N-acetyl-p- benzoquinone imine) ซึ่งเป็น reactive metabolite ที่สามารถก่อให้เกิดพิษต่อตับได้ ข้อ 3 เฉลย จ. ข้อ ก. และ ข. ถูก):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1" s="2" t="n"/>
      <c r="L1431" s="2" t="inlineStr">
        <is>
          <t>General Therapeutics</t>
        </is>
      </c>
      <c r="M1431" s="2" t="inlineStr">
        <is>
          <t>Clinic</t>
        </is>
      </c>
      <c r="N1431" s="2" t="inlineStr">
        <is>
          <t>ข้อ 20 (PLE_CC1_Practice_Exam.md)</t>
        </is>
      </c>
      <c r="O1431" s="2" t="inlineStr">
        <is>
          <t>Mock</t>
        </is>
      </c>
      <c r="P1431" s="2" t="inlineStr">
        <is>
          <t>Mock สภาเภสัชฯ Practice</t>
        </is>
      </c>
    </row>
    <row r="1432" ht="13.2" customHeight="1" s="37">
      <c r="A1432" s="8" t="inlineStr">
        <is>
          <t>1453</t>
        </is>
      </c>
      <c r="B1432" s="2" t="inlineStr">
        <is>
          <t>Metabolism เอนไซม์ที่ใช้ในการกำจัดยาเกิดการอิ่มตัว 402 Phamacokinetics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C1432" s="2" t="n"/>
      <c r="D1432" s="2" t="inlineStr">
        <is>
          <t>Naloxone 0.4 mg IV stat</t>
        </is>
      </c>
      <c r="E1432" s="2" t="inlineStr">
        <is>
          <t>Flumazenil 0.2 mg IV stat</t>
        </is>
      </c>
      <c r="F1432" s="2" t="inlineStr">
        <is>
          <t>Vitamin K1 (Phytomenadione) 10 mg IV slow</t>
        </is>
      </c>
      <c r="G1432" s="2" t="inlineStr">
        <is>
          <t>Sodium thiosulfate 25% 50 mL IV</t>
        </is>
      </c>
      <c r="H1432" s="2" t="inlineStr">
        <is>
          <t>Calcium disodium EDTA 1 g IV</t>
        </is>
      </c>
      <c r="I1432" s="8" t="inlineStr">
        <is>
          <t>1</t>
        </is>
      </c>
      <c r="J14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32" s="2" t="n"/>
      <c r="L1432" s="2" t="inlineStr">
        <is>
          <t>General Therapeutics</t>
        </is>
      </c>
      <c r="M1432" s="2" t="inlineStr">
        <is>
          <t>Clinic</t>
        </is>
      </c>
      <c r="N1432" s="2" t="inlineStr">
        <is>
          <t>ข้อ 3 (PLE_CC1_Practice_Exam.md)</t>
        </is>
      </c>
      <c r="O1432" s="2" t="inlineStr">
        <is>
          <t>Mock</t>
        </is>
      </c>
      <c r="P1432" s="2" t="inlineStr">
        <is>
          <t>Mock สภาเภสัชฯ Practice</t>
        </is>
      </c>
    </row>
    <row r="1433" ht="13.2" customHeight="1" s="37">
      <c r="A1433" s="8" t="inlineStr">
        <is>
          <t>1454</t>
        </is>
      </c>
      <c r="B1433" s="2" t="inlineStr">
        <is>
          <t>กินก่อนนอนเท่านั้น</t>
        </is>
      </c>
      <c r="C1433" s="2" t="n"/>
      <c r="D1433" s="2" t="inlineStr">
        <is>
          <t>Sodium thiosulfate 25% 50 mL IV</t>
        </is>
      </c>
      <c r="E1433" s="2" t="inlineStr">
        <is>
          <t>Calcium disodium EDTA 1 g IV</t>
        </is>
      </c>
      <c r="F1433" s="2" t="inlineStr">
        <is>
          <t>Desferrioxamine 1 g IM/IV</t>
        </is>
      </c>
      <c r="G1433" s="2" t="inlineStr">
        <is>
          <t>Dimercaprol (BAL) 3 mg/kg IM</t>
        </is>
      </c>
      <c r="H1433" s="2" t="inlineStr">
        <is>
          <t>Ethanol 10% IV infusion for Methanol poisoning</t>
        </is>
      </c>
      <c r="I1433" s="8" t="inlineStr">
        <is>
          <t>1</t>
        </is>
      </c>
      <c r="J14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3" s="2" t="n"/>
      <c r="L1433" s="2" t="inlineStr">
        <is>
          <t>General Therapeutics</t>
        </is>
      </c>
      <c r="M1433" s="2" t="inlineStr">
        <is>
          <t>Clinic</t>
        </is>
      </c>
      <c r="N1433" s="2" t="inlineStr">
        <is>
          <t>ข้อ 1 (PLE_CC1_Key_Rx20_UBU.md)</t>
        </is>
      </c>
      <c r="O1433" s="2" t="inlineStr">
        <is>
          <t>Mock</t>
        </is>
      </c>
      <c r="P1433" s="2" t="inlineStr">
        <is>
          <t>Mock Rx20 UBU</t>
        </is>
      </c>
    </row>
    <row r="1434" ht="13.2" customHeight="1" s="37">
      <c r="A1434" s="8" t="inlineStr">
        <is>
          <t>1455</t>
        </is>
      </c>
      <c r="B1434" s="2" t="inlineStr">
        <is>
          <t>ให้ยาทั้งสองเพียงวันละครั้ง</t>
        </is>
      </c>
      <c r="C1434" s="2" t="n"/>
      <c r="D1434" s="2" t="inlineStr">
        <is>
          <t>Dimercaprol (BAL) 3 mg/kg IM</t>
        </is>
      </c>
      <c r="E1434" s="2" t="inlineStr">
        <is>
          <t>Ethanol 10% IV infusion for Methanol poisoning</t>
        </is>
      </c>
      <c r="F1434" s="2" t="inlineStr">
        <is>
          <t>Fomepizole 15 mg/kg IV loading</t>
        </is>
      </c>
      <c r="G1434" s="2" t="inlineStr">
        <is>
          <t>N-acetylcysteine (NAC) IV infusion protocol</t>
        </is>
      </c>
      <c r="H1434" s="2" t="inlineStr">
        <is>
          <t>Atropine sulfate 2 mg IV Q5-10 min</t>
        </is>
      </c>
      <c r="I1434" s="8" t="inlineStr">
        <is>
          <t>1</t>
        </is>
      </c>
      <c r="J14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4" s="2" t="n"/>
      <c r="L1434" s="2" t="inlineStr">
        <is>
          <t>General Therapeutics</t>
        </is>
      </c>
      <c r="M1434" s="2" t="inlineStr">
        <is>
          <t>Clinic</t>
        </is>
      </c>
      <c r="N1434" s="2" t="inlineStr">
        <is>
          <t>ข้อ 1 (PLE_CC1_Key_Rx20_UBU.md)</t>
        </is>
      </c>
      <c r="O1434" s="2" t="inlineStr">
        <is>
          <t>Mock</t>
        </is>
      </c>
      <c r="P1434" s="2" t="inlineStr">
        <is>
          <t>Mock Rx20 UBU</t>
        </is>
      </c>
    </row>
    <row r="1435" ht="13.2" customHeight="1" s="37">
      <c r="A1435" s="8" t="inlineStr">
        <is>
          <t>1456</t>
        </is>
      </c>
      <c r="B1435" s="2" t="inlineStr">
        <is>
          <t>หากพิจารณาจากยาที่ผู้ป่วยได้รับ คาดว่ามีผู้ป่วยน่าจะมีค่าไขมันชนิดใดผิดปกติมากที่สุด -</t>
        </is>
      </c>
      <c r="C1435" s="2" t="n"/>
      <c r="D1435" s="2" t="inlineStr">
        <is>
          <t>N-acetylcysteine (NAC) IV infusion protocol</t>
        </is>
      </c>
      <c r="E1435" s="2" t="inlineStr">
        <is>
          <t>Atropine sulfate 2 mg IV Q5-10 min</t>
        </is>
      </c>
      <c r="F1435" s="2" t="inlineStr">
        <is>
          <t>Pralidoxime (2-PAM) 1-2 g IV over 30 min</t>
        </is>
      </c>
      <c r="G1435" s="2" t="inlineStr">
        <is>
          <t>Naloxone 0.4 mg IV stat</t>
        </is>
      </c>
      <c r="H1435" s="2" t="inlineStr">
        <is>
          <t>Flumazenil 0.2 mg IV stat</t>
        </is>
      </c>
      <c r="I1435" s="8" t="inlineStr">
        <is>
          <t>1</t>
        </is>
      </c>
      <c r="J14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35" s="2" t="n"/>
      <c r="L1435" s="2" t="inlineStr">
        <is>
          <t>General Therapeutics</t>
        </is>
      </c>
      <c r="M1435" s="2" t="inlineStr">
        <is>
          <t>Clinic</t>
        </is>
      </c>
      <c r="N1435" s="2" t="inlineStr">
        <is>
          <t>ข้อ 5 (PLE_CC1_Key_Rx20_UBU.md)</t>
        </is>
      </c>
      <c r="O1435" s="2" t="inlineStr">
        <is>
          <t>Mock</t>
        </is>
      </c>
      <c r="P1435" s="2" t="inlineStr">
        <is>
          <t>Mock Rx20 UBU</t>
        </is>
      </c>
    </row>
    <row r="1436" ht="13.2" customHeight="1" s="37">
      <c r="A1436" s="8" t="inlineStr">
        <is>
          <t>1457</t>
        </is>
      </c>
      <c r="B1436" s="2" t="inlineStr">
        <is>
          <t>มี Conjugated double bonds</t>
        </is>
      </c>
      <c r="C1436" s="2" t="n"/>
      <c r="D1436" s="2" t="inlineStr">
        <is>
          <t>Naloxone 0.4 mg IV stat</t>
        </is>
      </c>
      <c r="E1436" s="2" t="inlineStr">
        <is>
          <t>Flumazenil 0.2 mg IV stat</t>
        </is>
      </c>
      <c r="F1436" s="2" t="inlineStr">
        <is>
          <t>Vitamin K1 (Phytomenadione) 10 mg IV slow</t>
        </is>
      </c>
      <c r="G1436" s="2" t="inlineStr">
        <is>
          <t>Sodium thiosulfate 25% 50 mL IV</t>
        </is>
      </c>
      <c r="H1436" s="2" t="inlineStr">
        <is>
          <t>Calcium disodium EDTA 1 g IV</t>
        </is>
      </c>
      <c r="I1436" s="8" t="inlineStr">
        <is>
          <t>1</t>
        </is>
      </c>
      <c r="J14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36" s="2" t="n"/>
      <c r="L1436" s="2" t="inlineStr">
        <is>
          <t>General Therapeutics</t>
        </is>
      </c>
      <c r="M1436" s="2" t="inlineStr">
        <is>
          <t>Clinic</t>
        </is>
      </c>
      <c r="N1436" s="2" t="inlineStr">
        <is>
          <t>ข้อ 2 (PLE_CC1_Key_Rx20_UBU.md)</t>
        </is>
      </c>
      <c r="O1436" s="2" t="inlineStr">
        <is>
          <t>Mock</t>
        </is>
      </c>
      <c r="P1436" s="2" t="inlineStr">
        <is>
          <t>Mock Rx20 UBU</t>
        </is>
      </c>
    </row>
    <row r="1437" ht="13.2" customHeight="1" s="37">
      <c r="A1437" s="8" t="inlineStr">
        <is>
          <t>1458</t>
        </is>
      </c>
      <c r="B1437" s="2" t="inlineStr">
        <is>
          <t>ใช้ UV วิเคราะห์จำนวน Carbon atom ได้</t>
        </is>
      </c>
      <c r="C1437" s="2" t="n"/>
      <c r="D1437" s="2" t="inlineStr">
        <is>
          <t>Sodium thiosulfate 25% 50 mL IV</t>
        </is>
      </c>
      <c r="E1437" s="2" t="inlineStr">
        <is>
          <t>Calcium disodium EDTA 1 g IV</t>
        </is>
      </c>
      <c r="F1437" s="2" t="inlineStr">
        <is>
          <t>Desferrioxamine 1 g IM/IV</t>
        </is>
      </c>
      <c r="G1437" s="2" t="inlineStr">
        <is>
          <t>Dimercaprol (BAL) 3 mg/kg IM</t>
        </is>
      </c>
      <c r="H1437" s="2" t="inlineStr">
        <is>
          <t>Ethanol 10% IV infusion for Methanol poisoning</t>
        </is>
      </c>
      <c r="I1437" s="8" t="inlineStr">
        <is>
          <t>1</t>
        </is>
      </c>
      <c r="J14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7" s="2" t="n"/>
      <c r="L1437" s="2" t="inlineStr">
        <is>
          <t>General Therapeutics</t>
        </is>
      </c>
      <c r="M1437" s="2" t="inlineStr">
        <is>
          <t>Clinic</t>
        </is>
      </c>
      <c r="N1437" s="2" t="inlineStr">
        <is>
          <t>ข้อ 4 (PLE_CC1_Key_Rx20_UBU.md)</t>
        </is>
      </c>
      <c r="O1437" s="2" t="inlineStr">
        <is>
          <t>Mock</t>
        </is>
      </c>
      <c r="P1437" s="2" t="inlineStr">
        <is>
          <t>Mock Rx20 UBU</t>
        </is>
      </c>
    </row>
    <row r="1438" ht="13.2" customHeight="1" s="37">
      <c r="A1438" s="8" t="inlineStr">
        <is>
          <t>1459</t>
        </is>
      </c>
      <c r="B1438" s="2" t="inlineStr">
        <is>
          <t>ใช้ ลดระดับกรดยูริก</t>
        </is>
      </c>
      <c r="C1438" s="2" t="n"/>
      <c r="D1438" s="2" t="inlineStr">
        <is>
          <t>Dimercaprol (BAL) 3 mg/kg IM</t>
        </is>
      </c>
      <c r="E1438" s="2" t="inlineStr">
        <is>
          <t>Ethanol 10% IV infusion for Methanol poisoning</t>
        </is>
      </c>
      <c r="F1438" s="2" t="inlineStr">
        <is>
          <t>Fomepizole 15 mg/kg IV loading</t>
        </is>
      </c>
      <c r="G1438" s="2" t="inlineStr">
        <is>
          <t>N-acetylcysteine (NAC) IV infusion protocol</t>
        </is>
      </c>
      <c r="H1438" s="2" t="inlineStr">
        <is>
          <t>Atropine sulfate 2 mg IV Q5-10 min</t>
        </is>
      </c>
      <c r="I1438" s="8" t="inlineStr">
        <is>
          <t>1</t>
        </is>
      </c>
      <c r="J14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8" s="2" t="n"/>
      <c r="L1438" s="2" t="inlineStr">
        <is>
          <t>General Therapeutics</t>
        </is>
      </c>
      <c r="M1438" s="2" t="inlineStr">
        <is>
          <t>Clinic</t>
        </is>
      </c>
      <c r="N1438" s="2" t="inlineStr">
        <is>
          <t>ข้อ 2 (PLE_CC1_Key_Rx20_UBU.md)</t>
        </is>
      </c>
      <c r="O1438" s="2" t="inlineStr">
        <is>
          <t>Mock</t>
        </is>
      </c>
      <c r="P1438" s="2" t="inlineStr">
        <is>
          <t>Mock Rx20 UBU</t>
        </is>
      </c>
    </row>
    <row r="1439" ht="13.2" customHeight="1" s="37">
      <c r="A1439" s="8" t="inlineStr">
        <is>
          <t>1460</t>
        </is>
      </c>
      <c r="B1439" s="2" t="inlineStr">
        <is>
          <t>อาการข้างเคียงที่สำคัญทำให้เกิด AHS</t>
        </is>
      </c>
      <c r="C1439" s="2" t="n"/>
      <c r="D1439" s="2" t="inlineStr">
        <is>
          <t>N-acetylcysteine (NAC) IV infusion protocol</t>
        </is>
      </c>
      <c r="E1439" s="2" t="inlineStr">
        <is>
          <t>Atropine sulfate 2 mg IV Q5-10 min</t>
        </is>
      </c>
      <c r="F1439" s="2" t="inlineStr">
        <is>
          <t>Pralidoxime (2-PAM) 1-2 g IV over 30 min</t>
        </is>
      </c>
      <c r="G1439" s="2" t="inlineStr">
        <is>
          <t>Naloxone 0.4 mg IV stat</t>
        </is>
      </c>
      <c r="H1439" s="2" t="inlineStr">
        <is>
          <t>Flumazenil 0.2 mg IV stat</t>
        </is>
      </c>
      <c r="I1439" s="8" t="inlineStr">
        <is>
          <t>1</t>
        </is>
      </c>
      <c r="J14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39" s="2" t="n"/>
      <c r="L1439" s="2" t="inlineStr">
        <is>
          <t>General Therapeutics</t>
        </is>
      </c>
      <c r="M1439" s="2" t="inlineStr">
        <is>
          <t>Clinic</t>
        </is>
      </c>
      <c r="N1439" s="2" t="inlineStr">
        <is>
          <t>ข้อ 4 (PLE_CC1_Key_Rx20_UBU.md)</t>
        </is>
      </c>
      <c r="O1439" s="2" t="inlineStr">
        <is>
          <t>Mock</t>
        </is>
      </c>
      <c r="P1439" s="2" t="inlineStr">
        <is>
          <t>Mock Rx20 UBU</t>
        </is>
      </c>
    </row>
    <row r="1440" ht="13.2" customHeight="1" s="37">
      <c r="A1440" s="8" t="inlineStr">
        <is>
          <t>1461</t>
        </is>
      </c>
      <c r="B1440" s="2" t="inlineStr">
        <is>
          <t>ขายได้ในร้านยาบรรจุเสร็จที่ไม่ใช่ยาอันตรายและควบคุมพิเศษ</t>
        </is>
      </c>
      <c r="C1440" s="2" t="n"/>
      <c r="D1440" s="2" t="inlineStr">
        <is>
          <t>พ.ร.บ. วิชาชีพเภสัชกรรม พ.ศ. 2537 และข้อบังคับจรรยาบรรณวิชาชีพ</t>
        </is>
      </c>
      <c r="E1440" s="2" t="inlineStr">
        <is>
          <t>พ.ร.บ. ผลิตภัณฑ์สมุนไพร พ.ศ. 2562</t>
        </is>
      </c>
      <c r="F1440" s="2" t="inlineStr">
        <is>
          <t>พ.ร.บ. เครื่องสำอาง พ.ศ. 2558</t>
        </is>
      </c>
      <c r="G1440" s="2" t="inlineStr">
        <is>
          <t>พ.ร.บ. หลักประกันสุขภาพแห่งชาติ พ.ศ. 2545</t>
        </is>
      </c>
      <c r="H1440" s="2" t="inlineStr">
        <is>
          <t>การปฏิบัติทางเภสัชกรรมชุมชน (Good Pharmacy Practice: GPP)</t>
        </is>
      </c>
      <c r="I1440" s="8" t="inlineStr">
        <is>
          <t>1</t>
        </is>
      </c>
      <c r="J144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0" s="2" t="n"/>
      <c r="L1440" s="2" t="inlineStr">
        <is>
          <t>Pharmacy Laws &amp; Ethics</t>
        </is>
      </c>
      <c r="M1440" s="2" t="inlineStr">
        <is>
          <t>SAP</t>
        </is>
      </c>
      <c r="N1440" s="2" t="inlineStr">
        <is>
          <t>ข้อ 1 (PLE_CC1_Key_Rx20_UBU.md)</t>
        </is>
      </c>
      <c r="O1440" s="2" t="inlineStr">
        <is>
          <t>Mock</t>
        </is>
      </c>
      <c r="P1440" s="2" t="inlineStr">
        <is>
          <t>Mock Rx20 UBU</t>
        </is>
      </c>
    </row>
    <row r="1441" ht="13.2" customHeight="1" s="37">
      <c r="A1441" s="8" t="inlineStr">
        <is>
          <t>1462</t>
        </is>
      </c>
      <c r="B1441" s="2" t="inlineStr">
        <is>
          <t>จัดเป็นยาควบคุมพิเศษ</t>
        </is>
      </c>
      <c r="C1441" s="2" t="n"/>
      <c r="D1441" s="2" t="inlineStr">
        <is>
          <t>พ.ร.บ. หลักประกันสุขภาพแห่งชาติ พ.ศ. 2545</t>
        </is>
      </c>
      <c r="E1441" s="2" t="inlineStr">
        <is>
          <t>การปฏิบัติทางเภสัชกรรมชุมชน (Good Pharmacy Practice: GPP)</t>
        </is>
      </c>
      <c r="F1441" s="2" t="inlineStr">
        <is>
          <t>บัญชียาหลักแห่งชาติ (National List of Essential Medicines: NLEM)</t>
        </is>
      </c>
      <c r="G1441" s="2" t="inlineStr">
        <is>
          <t>เกณฑ์จริยธรรมว่าด้วยการส่งเสริมการขายยาของกระทรวงสาธารณสุข</t>
        </is>
      </c>
      <c r="H1441" s="2" t="inlineStr">
        <is>
          <t>พ.ร.บ. ยา พ.ศ. 2510 (การจำหน่ายยาอันตรายและยาควบคุมพิเศษ)</t>
        </is>
      </c>
      <c r="I1441" s="8" t="inlineStr">
        <is>
          <t>1</t>
        </is>
      </c>
      <c r="J144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1" s="2" t="n"/>
      <c r="L1441" s="2" t="inlineStr">
        <is>
          <t>Pharmacy Laws &amp; Ethics</t>
        </is>
      </c>
      <c r="M1441" s="2" t="inlineStr">
        <is>
          <t>SAP</t>
        </is>
      </c>
      <c r="N1441" s="2" t="inlineStr">
        <is>
          <t>ข้อ 2 (PLE_CC1_Key_Rx20_UBU.md)</t>
        </is>
      </c>
      <c r="O1441" s="2" t="inlineStr">
        <is>
          <t>Mock</t>
        </is>
      </c>
      <c r="P1441" s="2" t="inlineStr">
        <is>
          <t>Mock Rx20 UBU</t>
        </is>
      </c>
    </row>
    <row r="1442" ht="13.2" customHeight="1" s="37">
      <c r="A1442" s="8" t="inlineStr">
        <is>
          <t>1463</t>
        </is>
      </c>
      <c r="B1442" s="2" t="inlineStr">
        <is>
          <t>เภสัชกรต้องทำบัญชีควบคุมการจ่ายยา</t>
        </is>
      </c>
      <c r="C1442" s="2" t="n"/>
      <c r="D1442" s="2" t="inlineStr">
        <is>
          <t>Dimercaprol (BAL) 3 mg/kg IM</t>
        </is>
      </c>
      <c r="E1442" s="2" t="inlineStr">
        <is>
          <t>Ethanol 10% IV infusion for Methanol poisoning</t>
        </is>
      </c>
      <c r="F1442" s="2" t="inlineStr">
        <is>
          <t>Fomepizole 15 mg/kg IV loading</t>
        </is>
      </c>
      <c r="G1442" s="2" t="inlineStr">
        <is>
          <t>N-acetylcysteine (NAC) IV infusion protocol</t>
        </is>
      </c>
      <c r="H1442" s="2" t="inlineStr">
        <is>
          <t>Atropine sulfate 2 mg IV Q5-10 min</t>
        </is>
      </c>
      <c r="I1442" s="8" t="inlineStr">
        <is>
          <t>1</t>
        </is>
      </c>
      <c r="J14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2" s="2" t="n"/>
      <c r="L1442" s="2" t="inlineStr">
        <is>
          <t>General Therapeutics</t>
        </is>
      </c>
      <c r="M1442" s="2" t="inlineStr">
        <is>
          <t>Clinic</t>
        </is>
      </c>
      <c r="N1442" s="2" t="inlineStr">
        <is>
          <t>ข้อ 3 (PLE_CC1_Key_Rx20_UBU.md)</t>
        </is>
      </c>
      <c r="O1442" s="2" t="inlineStr">
        <is>
          <t>Mock</t>
        </is>
      </c>
      <c r="P1442" s="2" t="inlineStr">
        <is>
          <t>Mock Rx20 UBU</t>
        </is>
      </c>
    </row>
    <row r="1443" ht="13.2" customHeight="1" s="37">
      <c r="A1443" s="8" t="inlineStr">
        <is>
          <t>1464</t>
        </is>
      </c>
      <c r="B1443" s="2" t="inlineStr">
        <is>
          <t>ต้องมีใบสั่งแพทย์</t>
        </is>
      </c>
      <c r="C1443" s="2" t="n"/>
      <c r="D1443" s="2" t="inlineStr">
        <is>
          <t>N-acetylcysteine (NAC) IV infusion protocol</t>
        </is>
      </c>
      <c r="E1443" s="2" t="inlineStr">
        <is>
          <t>Atropine sulfate 2 mg IV Q5-10 min</t>
        </is>
      </c>
      <c r="F1443" s="2" t="inlineStr">
        <is>
          <t>Pralidoxime (2-PAM) 1-2 g IV over 30 min</t>
        </is>
      </c>
      <c r="G1443" s="2" t="inlineStr">
        <is>
          <t>Naloxone 0.4 mg IV stat</t>
        </is>
      </c>
      <c r="H1443" s="2" t="inlineStr">
        <is>
          <t>Flumazenil 0.2 mg IV stat</t>
        </is>
      </c>
      <c r="I1443" s="8" t="inlineStr">
        <is>
          <t>1</t>
        </is>
      </c>
      <c r="J14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43" s="2" t="n"/>
      <c r="L1443" s="2" t="inlineStr">
        <is>
          <t>General Therapeutics</t>
        </is>
      </c>
      <c r="M1443" s="2" t="inlineStr">
        <is>
          <t>Clinic</t>
        </is>
      </c>
      <c r="N1443" s="2" t="inlineStr">
        <is>
          <t>ข้อ 4 (PLE_CC1_Key_Rx20_UBU.md)</t>
        </is>
      </c>
      <c r="O1443" s="2" t="inlineStr">
        <is>
          <t>Mock</t>
        </is>
      </c>
      <c r="P1443" s="2" t="inlineStr">
        <is>
          <t>Mock Rx20 UBU</t>
        </is>
      </c>
    </row>
    <row r="1444" ht="13.2" customHeight="1" s="37">
      <c r="A1444" s="8" t="inlineStr">
        <is>
          <t>1465</t>
        </is>
      </c>
      <c r="B1444" s="2" t="inlineStr">
        <is>
          <t>จ่ายได้โดยไม่ต้องมีเภสัชกรควบคุม จัดเป็นยาอันตราย</t>
        </is>
      </c>
      <c r="C1444" s="2" t="n"/>
      <c r="D1444" s="2" t="inlineStr">
        <is>
          <t>พ.ร.บ. เครื่องสำอาง พ.ศ. 2558</t>
        </is>
      </c>
      <c r="E1444" s="2" t="inlineStr">
        <is>
          <t>พ.ร.บ. หลักประกันสุขภาพแห่งชาติ พ.ศ. 2545</t>
        </is>
      </c>
      <c r="F1444" s="2" t="inlineStr">
        <is>
          <t>การปฏิบัติทางเภสัชกรรมชุมชน (Good Pharmacy Practice: GPP)</t>
        </is>
      </c>
      <c r="G1444" s="2" t="inlineStr">
        <is>
          <t>บัญชียาหลักแห่งชาติ (National List of Essential Medicines: NLEM)</t>
        </is>
      </c>
      <c r="H1444" s="2" t="inlineStr">
        <is>
          <t>เกณฑ์จริยธรรมว่าด้วยการส่งเสริมการขายยาของกระทรวงสาธารณสุข</t>
        </is>
      </c>
      <c r="I1444" s="8" t="inlineStr">
        <is>
          <t>1</t>
        </is>
      </c>
      <c r="J144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4" s="2" t="n"/>
      <c r="L1444" s="2" t="inlineStr">
        <is>
          <t>Pharmacy Laws &amp; Ethics</t>
        </is>
      </c>
      <c r="M1444" s="2" t="inlineStr">
        <is>
          <t>SAP</t>
        </is>
      </c>
      <c r="N1444" s="2" t="inlineStr">
        <is>
          <t>ข้อ 5 (PLE_CC1_Key_Rx20_UBU.md)</t>
        </is>
      </c>
      <c r="O1444" s="2" t="inlineStr">
        <is>
          <t>Mock</t>
        </is>
      </c>
      <c r="P1444" s="2" t="inlineStr">
        <is>
          <t>Mock Rx20 UBU</t>
        </is>
      </c>
    </row>
    <row r="1445" ht="13.2" customHeight="1" s="37">
      <c r="A1445" s="8" t="inlineStr">
        <is>
          <t>1466</t>
        </is>
      </c>
      <c r="B1445" s="2" t="inlineStr">
        <is>
          <t>เกสรดอกไม้ อากาศเปลี่ยนแปลง</t>
        </is>
      </c>
      <c r="C1445" s="2" t="n"/>
      <c r="D1445" s="2" t="inlineStr">
        <is>
          <t>Sodium thiosulfate 25% 50 mL IV</t>
        </is>
      </c>
      <c r="E1445" s="2" t="inlineStr">
        <is>
          <t>Calcium disodium EDTA 1 g IV</t>
        </is>
      </c>
      <c r="F1445" s="2" t="inlineStr">
        <is>
          <t>Desferrioxamine 1 g IM/IV</t>
        </is>
      </c>
      <c r="G1445" s="2" t="inlineStr">
        <is>
          <t>Dimercaprol (BAL) 3 mg/kg IM</t>
        </is>
      </c>
      <c r="H1445" s="2" t="inlineStr">
        <is>
          <t>Ethanol 10% IV infusion for Methanol poisoning</t>
        </is>
      </c>
      <c r="I1445" s="8" t="inlineStr">
        <is>
          <t>1</t>
        </is>
      </c>
      <c r="J14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5" s="2" t="n"/>
      <c r="L1445" s="2" t="inlineStr">
        <is>
          <t>General Therapeutics</t>
        </is>
      </c>
      <c r="M1445" s="2" t="inlineStr">
        <is>
          <t>Clinic</t>
        </is>
      </c>
      <c r="N1445" s="2" t="inlineStr">
        <is>
          <t>ข้อ 5 (PLE_CC1_Key_Rx20_UBU.md)</t>
        </is>
      </c>
      <c r="O1445" s="2" t="inlineStr">
        <is>
          <t>Mock</t>
        </is>
      </c>
      <c r="P1445" s="2" t="inlineStr">
        <is>
          <t>Mock Rx20 UBU</t>
        </is>
      </c>
    </row>
    <row r="1446" ht="13.2" customHeight="1" s="37">
      <c r="A1446" s="8" t="inlineStr">
        <is>
          <t>1467</t>
        </is>
      </c>
      <c r="B1446" s="2" t="inlineStr">
        <is>
          <t>ยาอันตราย ขายได้ในร้านยา</t>
        </is>
      </c>
      <c r="C1446" s="2" t="n"/>
      <c r="D1446" s="2" t="inlineStr">
        <is>
          <t>พ.ร.บ. ยาเสพติดให้โทษ พ.ศ. 2522 (ยาเสพติดให้โทษประเภท 2 และ 3)</t>
        </is>
      </c>
      <c r="E1446" s="2" t="inlineStr">
        <is>
          <t>พ.ร.บ. วัตถุที่ออกฤทธิ์ต่อจิตและประสาท พ.ศ. 2559 (ประเภท 2 และ 4)</t>
        </is>
      </c>
      <c r="F1446" s="2" t="inlineStr">
        <is>
          <t>พ.ร.บ. วิชาชีพเภสัชกรรม พ.ศ. 2537 และข้อบังคับจรรยาบรรณวิชาชีพ</t>
        </is>
      </c>
      <c r="G1446" s="2" t="inlineStr">
        <is>
          <t>พ.ร.บ. ผลิตภัณฑ์สมุนไพร พ.ศ. 2562</t>
        </is>
      </c>
      <c r="H1446" s="2" t="inlineStr">
        <is>
          <t>พ.ร.บ. เครื่องสำอาง พ.ศ. 2558</t>
        </is>
      </c>
      <c r="I1446" s="8" t="inlineStr">
        <is>
          <t>1</t>
        </is>
      </c>
      <c r="J144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6" s="2" t="n"/>
      <c r="L1446" s="2" t="inlineStr">
        <is>
          <t>Pharmacy Laws &amp; Ethics</t>
        </is>
      </c>
      <c r="M1446" s="2" t="inlineStr">
        <is>
          <t>SAP</t>
        </is>
      </c>
      <c r="N1446" s="2" t="inlineStr">
        <is>
          <t>ข้อ 1 (PLE_CC1_Key_Rx20_UBU.md)</t>
        </is>
      </c>
      <c r="O1446" s="2" t="inlineStr">
        <is>
          <t>Mock</t>
        </is>
      </c>
      <c r="P1446" s="2" t="inlineStr">
        <is>
          <t>Mock Rx20 UBU</t>
        </is>
      </c>
    </row>
    <row r="1447" ht="13.2" customHeight="1" s="37">
      <c r="A1447" s="8" t="inlineStr">
        <is>
          <t>1468</t>
        </is>
      </c>
      <c r="B1447" s="2" t="inlineStr">
        <is>
          <t>ยาควบคุมพิเศษ ใช้เฉพาะใน รพ</t>
        </is>
      </c>
      <c r="C1447" s="2" t="n"/>
      <c r="D1447" s="2" t="inlineStr">
        <is>
          <t>พ.ร.บ. ผลิตภัณฑ์สมุนไพร พ.ศ. 2562</t>
        </is>
      </c>
      <c r="E1447" s="2" t="inlineStr">
        <is>
          <t>พ.ร.บ. เครื่องสำอาง พ.ศ. 2558</t>
        </is>
      </c>
      <c r="F1447" s="2" t="inlineStr">
        <is>
          <t>พ.ร.บ. หลักประกันสุขภาพแห่งชาติ พ.ศ. 2545</t>
        </is>
      </c>
      <c r="G1447" s="2" t="inlineStr">
        <is>
          <t>การปฏิบัติทางเภสัชกรรมชุมชน (Good Pharmacy Practice: GPP)</t>
        </is>
      </c>
      <c r="H1447" s="2" t="inlineStr">
        <is>
          <t>บัญชียาหลักแห่งชาติ (National List of Essential Medicines: NLEM)</t>
        </is>
      </c>
      <c r="I1447" s="8" t="inlineStr">
        <is>
          <t>1</t>
        </is>
      </c>
      <c r="J144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7" s="2" t="n"/>
      <c r="L1447" s="2" t="inlineStr">
        <is>
          <t>Pharmacy Laws &amp; Ethics</t>
        </is>
      </c>
      <c r="M1447" s="2" t="inlineStr">
        <is>
          <t>SAP</t>
        </is>
      </c>
      <c r="N1447" s="2" t="inlineStr">
        <is>
          <t>ข้อ 2 (PLE_CC1_Key_Rx20_UBU.md)</t>
        </is>
      </c>
      <c r="O1447" s="2" t="inlineStr">
        <is>
          <t>Mock</t>
        </is>
      </c>
      <c r="P1447" s="2" t="inlineStr">
        <is>
          <t>Mock Rx20 UBU</t>
        </is>
      </c>
    </row>
    <row r="1448" ht="13.2" customHeight="1" s="37">
      <c r="A1448" s="8" t="inlineStr">
        <is>
          <t>1469</t>
        </is>
      </c>
      <c r="B1448" s="2" t="inlineStr">
        <is>
          <t>ยาควบคุมพิเศษ จ่ายได้ในร้านยาเมื่อมีใบสั่งแพทย์</t>
        </is>
      </c>
      <c r="C1448" s="2" t="n"/>
      <c r="D1448" s="2" t="inlineStr">
        <is>
          <t>การปฏิบัติทางเภสัชกรรมชุมชน (Good Pharmacy Practice: GPP)</t>
        </is>
      </c>
      <c r="E1448" s="2" t="inlineStr">
        <is>
          <t>บัญชียาหลักแห่งชาติ (National List of Essential Medicines: NLEM)</t>
        </is>
      </c>
      <c r="F1448" s="2" t="inlineStr">
        <is>
          <t>เกณฑ์จริยธรรมว่าด้วยการส่งเสริมการขายยาของกระทรวงสาธารณสุข</t>
        </is>
      </c>
      <c r="G1448" s="2" t="inlineStr">
        <is>
          <t>พ.ร.บ. ยา พ.ศ. 2510 (การจำหน่ายยาอันตรายและยาควบคุมพิเศษ)</t>
        </is>
      </c>
      <c r="H1448" s="2" t="inlineStr">
        <is>
          <t>พ.ร.บ. ยาเสพติดให้โทษ พ.ศ. 2522 (ยาเสพติดให้โทษประเภท 2 และ 3)</t>
        </is>
      </c>
      <c r="I1448" s="8" t="inlineStr">
        <is>
          <t>1</t>
        </is>
      </c>
      <c r="J144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8" s="2" t="n"/>
      <c r="L1448" s="2" t="inlineStr">
        <is>
          <t>Pharmacy Laws &amp; Ethics</t>
        </is>
      </c>
      <c r="M1448" s="2" t="inlineStr">
        <is>
          <t>SAP</t>
        </is>
      </c>
      <c r="N1448" s="2" t="inlineStr">
        <is>
          <t>ข้อ 3 (PLE_CC1_Key_Rx20_UBU.md)</t>
        </is>
      </c>
      <c r="O1448" s="2" t="inlineStr">
        <is>
          <t>Mock</t>
        </is>
      </c>
      <c r="P1448" s="2" t="inlineStr">
        <is>
          <t>Mock Rx20 UBU</t>
        </is>
      </c>
    </row>
    <row r="1449" ht="13.2" customHeight="1" s="37">
      <c r="A1449" s="8" t="inlineStr">
        <is>
          <t>1470</t>
        </is>
      </c>
      <c r="B1449" s="2" t="inlineStr">
        <is>
          <t>ยาบรรจุเสร็จที่ไม่ใช่ยาอันตรายและควบคุมพิเศษ</t>
        </is>
      </c>
      <c r="C1449" s="2" t="n"/>
      <c r="D1449" s="2" t="inlineStr">
        <is>
          <t>พ.ร.บ. ยา พ.ศ. 2510 (การจำหน่ายยาอันตรายและยาควบคุมพิเศษ)</t>
        </is>
      </c>
      <c r="E1449" s="2" t="inlineStr">
        <is>
          <t>พ.ร.บ. ยาเสพติดให้โทษ พ.ศ. 2522 (ยาเสพติดให้โทษประเภท 2 และ 3)</t>
        </is>
      </c>
      <c r="F1449" s="2" t="inlineStr">
        <is>
          <t>พ.ร.บ. วัตถุที่ออกฤทธิ์ต่อจิตและประสาท พ.ศ. 2559 (ประเภท 2 และ 4)</t>
        </is>
      </c>
      <c r="G1449" s="2" t="inlineStr">
        <is>
          <t>พ.ร.บ. วิชาชีพเภสัชกรรม พ.ศ. 2537 และข้อบังคับจรรยาบรรณวิชาชีพ</t>
        </is>
      </c>
      <c r="H1449" s="2" t="inlineStr">
        <is>
          <t>พ.ร.บ. ผลิตภัณฑ์สมุนไพร พ.ศ. 2562</t>
        </is>
      </c>
      <c r="I1449" s="8" t="inlineStr">
        <is>
          <t>1</t>
        </is>
      </c>
      <c r="J144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9" s="2" t="n"/>
      <c r="L1449" s="2" t="inlineStr">
        <is>
          <t>Pharmacy Laws &amp; Ethics</t>
        </is>
      </c>
      <c r="M1449" s="2" t="inlineStr">
        <is>
          <t>SAP</t>
        </is>
      </c>
      <c r="N1449" s="2" t="inlineStr">
        <is>
          <t>ข้อ 4 (PLE_CC1_Key_Rx20_UBU.md)</t>
        </is>
      </c>
      <c r="O1449" s="2" t="inlineStr">
        <is>
          <t>Mock</t>
        </is>
      </c>
      <c r="P1449" s="2" t="inlineStr">
        <is>
          <t>Mock Rx20 UBU</t>
        </is>
      </c>
    </row>
    <row r="1450" ht="13.2" customHeight="1" s="37">
      <c r="A1450" s="8" t="inlineStr">
        <is>
          <t>1471</t>
        </is>
      </c>
      <c r="B1450" s="2" t="inlineStr">
        <is>
          <t>ประโยชน์ของ Spacer คือ</t>
        </is>
      </c>
      <c r="C1450" s="2" t="n"/>
      <c r="D1450" s="2" t="inlineStr">
        <is>
          <t>Dimercaprol (BAL) 3 mg/kg IM</t>
        </is>
      </c>
      <c r="E1450" s="2" t="inlineStr">
        <is>
          <t>Ethanol 10% IV infusion for Methanol poisoning</t>
        </is>
      </c>
      <c r="F1450" s="2" t="inlineStr">
        <is>
          <t>Fomepizole 15 mg/kg IV loading</t>
        </is>
      </c>
      <c r="G1450" s="2" t="inlineStr">
        <is>
          <t>N-acetylcysteine (NAC) IV infusion protocol</t>
        </is>
      </c>
      <c r="H1450" s="2" t="inlineStr">
        <is>
          <t>Atropine sulfate 2 mg IV Q5-10 min</t>
        </is>
      </c>
      <c r="I1450" s="8" t="inlineStr">
        <is>
          <t>1</t>
        </is>
      </c>
      <c r="J14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0" s="2" t="n"/>
      <c r="L1450" s="2" t="inlineStr">
        <is>
          <t>General Therapeutics</t>
        </is>
      </c>
      <c r="M1450" s="2" t="inlineStr">
        <is>
          <t>Clinic</t>
        </is>
      </c>
      <c r="N1450" s="2" t="inlineStr">
        <is>
          <t>ข้อ 14 (PLE_CC1_Key_Rx20_UBU.md)</t>
        </is>
      </c>
      <c r="O1450" s="2" t="inlineStr">
        <is>
          <t>Mock</t>
        </is>
      </c>
      <c r="P1450" s="2" t="inlineStr">
        <is>
          <t>Mock Rx20 UBU</t>
        </is>
      </c>
    </row>
    <row r="1451" ht="13.2" customHeight="1" s="37">
      <c r="A1451" s="8" t="inlineStr">
        <is>
          <t>1472</t>
        </is>
      </c>
      <c r="B1451" s="2" t="inlineStr">
        <is>
          <t>ยาแตกตัวมากขึ้น</t>
        </is>
      </c>
      <c r="C1451" s="2" t="n"/>
      <c r="D1451" s="2" t="inlineStr">
        <is>
          <t>N-acetylcysteine (NAC) IV infusion protocol</t>
        </is>
      </c>
      <c r="E1451" s="2" t="inlineStr">
        <is>
          <t>Atropine sulfate 2 mg IV Q5-10 min</t>
        </is>
      </c>
      <c r="F1451" s="2" t="inlineStr">
        <is>
          <t>Pralidoxime (2-PAM) 1-2 g IV over 30 min</t>
        </is>
      </c>
      <c r="G1451" s="2" t="inlineStr">
        <is>
          <t>Naloxone 0.4 mg IV stat</t>
        </is>
      </c>
      <c r="H1451" s="2" t="inlineStr">
        <is>
          <t>Flumazenil 0.2 mg IV stat</t>
        </is>
      </c>
      <c r="I1451" s="8" t="inlineStr">
        <is>
          <t>1</t>
        </is>
      </c>
      <c r="J14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51" s="2" t="n"/>
      <c r="L1451" s="2" t="inlineStr">
        <is>
          <t>General Therapeutics</t>
        </is>
      </c>
      <c r="M1451" s="2" t="inlineStr">
        <is>
          <t>Clinic</t>
        </is>
      </c>
      <c r="N1451" s="2" t="inlineStr">
        <is>
          <t>ข้อ 3 (PLE_CC1_Key_Rx20_UBU.md)</t>
        </is>
      </c>
      <c r="O1451" s="2" t="inlineStr">
        <is>
          <t>Mock</t>
        </is>
      </c>
      <c r="P1451" s="2" t="inlineStr">
        <is>
          <t>Mock Rx20 UBU</t>
        </is>
      </c>
    </row>
    <row r="1452" ht="13.2" customHeight="1" s="37">
      <c r="A1452" s="8" t="inlineStr">
        <is>
          <t>1473</t>
        </is>
      </c>
      <c r="B1452" s="2" t="inlineStr">
        <is>
          <t>ยาออกฤทธิ์เร็วขึ้น</t>
        </is>
      </c>
      <c r="C1452" s="2" t="n"/>
      <c r="D1452" s="2" t="inlineStr">
        <is>
          <t>Naloxone 0.4 mg IV stat</t>
        </is>
      </c>
      <c r="E1452" s="2" t="inlineStr">
        <is>
          <t>Flumazenil 0.2 mg IV stat</t>
        </is>
      </c>
      <c r="F1452" s="2" t="inlineStr">
        <is>
          <t>Vitamin K1 (Phytomenadione) 10 mg IV slow</t>
        </is>
      </c>
      <c r="G1452" s="2" t="inlineStr">
        <is>
          <t>Sodium thiosulfate 25% 50 mL IV</t>
        </is>
      </c>
      <c r="H1452" s="2" t="inlineStr">
        <is>
          <t>Calcium disodium EDTA 1 g IV</t>
        </is>
      </c>
      <c r="I1452" s="8" t="inlineStr">
        <is>
          <t>1</t>
        </is>
      </c>
      <c r="J14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52" s="2" t="n"/>
      <c r="L1452" s="2" t="inlineStr">
        <is>
          <t>General Therapeutics</t>
        </is>
      </c>
      <c r="M1452" s="2" t="inlineStr">
        <is>
          <t>Clinic</t>
        </is>
      </c>
      <c r="N1452" s="2" t="inlineStr">
        <is>
          <t>ข้อ 4 (PLE_CC1_Key_Rx20_UBU.md)</t>
        </is>
      </c>
      <c r="O1452" s="2" t="inlineStr">
        <is>
          <t>Mock</t>
        </is>
      </c>
      <c r="P1452" s="2" t="inlineStr">
        <is>
          <t>Mock Rx20 UBU</t>
        </is>
      </c>
    </row>
    <row r="1453" ht="13.2" customHeight="1" s="37">
      <c r="A1453" s="8" t="inlineStr">
        <is>
          <t>1474</t>
        </is>
      </c>
      <c r="B1453" s="2" t="inlineStr">
        <is>
          <t>DPI ต่างกับ MDI อย่างไร mw เ%นสารAวยกรายละอองฝอยของยา</t>
        </is>
      </c>
      <c r="C1453" s="2" t="n"/>
      <c r="D1453" s="2" t="inlineStr">
        <is>
          <t>Sodium thiosulfate 25% 50 mL IV</t>
        </is>
      </c>
      <c r="E1453" s="2" t="inlineStr">
        <is>
          <t>Calcium disodium EDTA 1 g IV</t>
        </is>
      </c>
      <c r="F1453" s="2" t="inlineStr">
        <is>
          <t>Desferrioxamine 1 g IM/IV</t>
        </is>
      </c>
      <c r="G1453" s="2" t="inlineStr">
        <is>
          <t>Dimercaprol (BAL) 3 mg/kg IM</t>
        </is>
      </c>
      <c r="H1453" s="2" t="inlineStr">
        <is>
          <t>Ethanol 10% IV infusion for Methanol poisoning</t>
        </is>
      </c>
      <c r="I1453" s="8" t="inlineStr">
        <is>
          <t>1</t>
        </is>
      </c>
      <c r="J14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3" s="2" t="n"/>
      <c r="L1453" s="2" t="inlineStr">
        <is>
          <t>General Therapeutics</t>
        </is>
      </c>
      <c r="M1453" s="2" t="inlineStr">
        <is>
          <t>Clinic</t>
        </is>
      </c>
      <c r="N1453" s="2" t="inlineStr">
        <is>
          <t>ข้อ 15 (PLE_CC1_Key_Rx20_UBU.md)</t>
        </is>
      </c>
      <c r="O1453" s="2" t="inlineStr">
        <is>
          <t>Mock</t>
        </is>
      </c>
      <c r="P1453" s="2" t="inlineStr">
        <is>
          <t>Mock Rx20 UBU</t>
        </is>
      </c>
    </row>
    <row r="1454" ht="13.2" customHeight="1" s="37">
      <c r="A1454" s="8" t="inlineStr">
        <is>
          <t>1475</t>
        </is>
      </c>
      <c r="B1454" s="2" t="inlineStr">
        <is>
          <t>DPI ไม่มี propellant</t>
        </is>
      </c>
      <c r="C1454" s="2" t="n"/>
      <c r="D1454" s="2" t="inlineStr">
        <is>
          <t>Dimercaprol (BAL) 3 mg/kg IM</t>
        </is>
      </c>
      <c r="E1454" s="2" t="inlineStr">
        <is>
          <t>Ethanol 10% IV infusion for Methanol poisoning</t>
        </is>
      </c>
      <c r="F1454" s="2" t="inlineStr">
        <is>
          <t>Fomepizole 15 mg/kg IV loading</t>
        </is>
      </c>
      <c r="G1454" s="2" t="inlineStr">
        <is>
          <t>N-acetylcysteine (NAC) IV infusion protocol</t>
        </is>
      </c>
      <c r="H1454" s="2" t="inlineStr">
        <is>
          <t>Atropine sulfate 2 mg IV Q5-10 min</t>
        </is>
      </c>
      <c r="I1454" s="8" t="inlineStr">
        <is>
          <t>1</t>
        </is>
      </c>
      <c r="J14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4" s="2" t="n"/>
      <c r="L1454" s="2" t="inlineStr">
        <is>
          <t>General Therapeutics</t>
        </is>
      </c>
      <c r="M1454" s="2" t="inlineStr">
        <is>
          <t>Clinic</t>
        </is>
      </c>
      <c r="N1454" s="2" t="inlineStr">
        <is>
          <t>ข้อ 1 (PLE_CC1_Key_Rx20_UBU.md)</t>
        </is>
      </c>
      <c r="O1454" s="2" t="inlineStr">
        <is>
          <t>Mock</t>
        </is>
      </c>
      <c r="P1454" s="2" t="inlineStr">
        <is>
          <t>Mock Rx20 UBU</t>
        </is>
      </c>
    </row>
    <row r="1455" ht="13.2" customHeight="1" s="37">
      <c r="A1455" s="8" t="inlineStr">
        <is>
          <t>1476</t>
        </is>
      </c>
      <c r="B1455" s="2" t="inlineStr">
        <is>
          <t>ยาเก็บได้นานขึ้น</t>
        </is>
      </c>
      <c r="C1455" s="2" t="n"/>
      <c r="D1455" s="2" t="inlineStr">
        <is>
          <t>N-acetylcysteine (NAC) IV infusion protocol</t>
        </is>
      </c>
      <c r="E1455" s="2" t="inlineStr">
        <is>
          <t>Atropine sulfate 2 mg IV Q5-10 min</t>
        </is>
      </c>
      <c r="F1455" s="2" t="inlineStr">
        <is>
          <t>Pralidoxime (2-PAM) 1-2 g IV over 30 min</t>
        </is>
      </c>
      <c r="G1455" s="2" t="inlineStr">
        <is>
          <t>Naloxone 0.4 mg IV stat</t>
        </is>
      </c>
      <c r="H1455" s="2" t="inlineStr">
        <is>
          <t>Flumazenil 0.2 mg IV stat</t>
        </is>
      </c>
      <c r="I1455" s="8" t="inlineStr">
        <is>
          <t>1</t>
        </is>
      </c>
      <c r="J14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55" s="2" t="n"/>
      <c r="L1455" s="2" t="inlineStr">
        <is>
          <t>General Therapeutics</t>
        </is>
      </c>
      <c r="M1455" s="2" t="inlineStr">
        <is>
          <t>Clinic</t>
        </is>
      </c>
      <c r="N1455" s="2" t="inlineStr">
        <is>
          <t>ข้อ 4 (PLE_CC1_Key_Rx20_UBU.md)</t>
        </is>
      </c>
      <c r="O1455" s="2" t="inlineStr">
        <is>
          <t>Mock</t>
        </is>
      </c>
      <c r="P1455" s="2" t="inlineStr">
        <is>
          <t>Mock Rx20 UBU</t>
        </is>
      </c>
    </row>
    <row r="1456" ht="13.2" customHeight="1" s="37">
      <c r="A1456" s="8" t="inlineStr">
        <is>
          <t>1477</t>
        </is>
      </c>
      <c r="B1456" s="2" t="inlineStr">
        <is>
          <t>ไม่มีข้อถูก Accuhaler , Tebuhaler , handihaler ไม่มี</t>
        </is>
      </c>
      <c r="C1456" s="2" t="n"/>
      <c r="D1456" s="2" t="inlineStr">
        <is>
          <t>Naloxone 0.4 mg IV stat</t>
        </is>
      </c>
      <c r="E1456" s="2" t="inlineStr">
        <is>
          <t>Flumazenil 0.2 mg IV stat</t>
        </is>
      </c>
      <c r="F1456" s="2" t="inlineStr">
        <is>
          <t>Vitamin K1 (Phytomenadione) 10 mg IV slow</t>
        </is>
      </c>
      <c r="G1456" s="2" t="inlineStr">
        <is>
          <t>Sodium thiosulfate 25% 50 mL IV</t>
        </is>
      </c>
      <c r="H1456" s="2" t="inlineStr">
        <is>
          <t>Calcium disodium EDTA 1 g IV</t>
        </is>
      </c>
      <c r="I1456" s="8" t="inlineStr">
        <is>
          <t>1</t>
        </is>
      </c>
      <c r="J14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56" s="2" t="n"/>
      <c r="L1456" s="2" t="inlineStr">
        <is>
          <t>General Therapeutics</t>
        </is>
      </c>
      <c r="M1456" s="2" t="inlineStr">
        <is>
          <t>Clinic</t>
        </is>
      </c>
      <c r="N1456" s="2" t="inlineStr">
        <is>
          <t>ข้อ 5 (PLE_CC1_Key_Rx20_UBU.md)</t>
        </is>
      </c>
      <c r="O1456" s="2" t="inlineStr">
        <is>
          <t>Mock</t>
        </is>
      </c>
      <c r="P1456" s="2" t="inlineStr">
        <is>
          <t>Mock Rx20 UBU</t>
        </is>
      </c>
    </row>
    <row r="1457" ht="13.2" customHeight="1" s="37">
      <c r="A1457" s="8" t="inlineStr">
        <is>
          <t>1478</t>
        </is>
      </c>
      <c r="B1457" s="2" t="inlineStr">
        <is>
          <t>ยาที่ใช้ในการรักอาการเบื้องต้น</t>
        </is>
      </c>
      <c r="C1457" s="2" t="n"/>
      <c r="D1457" s="2" t="inlineStr">
        <is>
          <t>Sodium thiosulfate 25% 50 mL IV</t>
        </is>
      </c>
      <c r="E1457" s="2" t="inlineStr">
        <is>
          <t>Calcium disodium EDTA 1 g IV</t>
        </is>
      </c>
      <c r="F1457" s="2" t="inlineStr">
        <is>
          <t>Desferrioxamine 1 g IM/IV</t>
        </is>
      </c>
      <c r="G1457" s="2" t="inlineStr">
        <is>
          <t>Dimercaprol (BAL) 3 mg/kg IM</t>
        </is>
      </c>
      <c r="H1457" s="2" t="inlineStr">
        <is>
          <t>Ethanol 10% IV infusion for Methanol poisoning</t>
        </is>
      </c>
      <c r="I1457" s="8" t="inlineStr">
        <is>
          <t>1</t>
        </is>
      </c>
      <c r="J14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7" s="2" t="n"/>
      <c r="L1457" s="2" t="inlineStr">
        <is>
          <t>General Therapeutics</t>
        </is>
      </c>
      <c r="M1457" s="2" t="inlineStr">
        <is>
          <t>Clinic</t>
        </is>
      </c>
      <c r="N1457" s="2" t="inlineStr">
        <is>
          <t>ข้อ 17 (PLE_CC1_Key_Rx20_UBU.md)</t>
        </is>
      </c>
      <c r="O1457" s="2" t="inlineStr">
        <is>
          <t>Mock</t>
        </is>
      </c>
      <c r="P1457" s="2" t="inlineStr">
        <is>
          <t>Mock Rx20 UBU</t>
        </is>
      </c>
    </row>
    <row r="1458" ht="13.2" customHeight="1" s="37">
      <c r="A1458" s="8" t="inlineStr">
        <is>
          <t>1479</t>
        </is>
      </c>
      <c r="B1458" s="2" t="inlineStr">
        <is>
          <t>Topical decongestant ทุกวัน</t>
        </is>
      </c>
      <c r="C1458" s="2" t="n"/>
      <c r="D1458" s="2" t="inlineStr">
        <is>
          <t>Dimercaprol (BAL) 3 mg/kg IM</t>
        </is>
      </c>
      <c r="E1458" s="2" t="inlineStr">
        <is>
          <t>Ethanol 10% IV infusion for Methanol poisoning</t>
        </is>
      </c>
      <c r="F1458" s="2" t="inlineStr">
        <is>
          <t>Fomepizole 15 mg/kg IV loading</t>
        </is>
      </c>
      <c r="G1458" s="2" t="inlineStr">
        <is>
          <t>N-acetylcysteine (NAC) IV infusion protocol</t>
        </is>
      </c>
      <c r="H1458" s="2" t="inlineStr">
        <is>
          <t>Atropine sulfate 2 mg IV Q5-10 min</t>
        </is>
      </c>
      <c r="I1458" s="8" t="inlineStr">
        <is>
          <t>1</t>
        </is>
      </c>
      <c r="J14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8" s="2" t="n"/>
      <c r="L1458" s="2" t="inlineStr">
        <is>
          <t>General Therapeutics</t>
        </is>
      </c>
      <c r="M1458" s="2" t="inlineStr">
        <is>
          <t>Clinic</t>
        </is>
      </c>
      <c r="N1458" s="2" t="inlineStr">
        <is>
          <t>ข้อ 1 (PLE_CC1_Key_Rx20_UBU.md)</t>
        </is>
      </c>
      <c r="O1458" s="2" t="inlineStr">
        <is>
          <t>Mock</t>
        </is>
      </c>
      <c r="P1458" s="2" t="inlineStr">
        <is>
          <t>Mock Rx20 UBU</t>
        </is>
      </c>
    </row>
    <row r="1459" ht="13.2" customHeight="1" s="37">
      <c r="A1459" s="8" t="inlineStr">
        <is>
          <t>1480</t>
        </is>
      </c>
      <c r="B1459" s="2" t="inlineStr">
        <is>
          <t>Nasal steroid ได้ผลสูงสุด 1-3 วัน</t>
        </is>
      </c>
      <c r="C1459" s="2" t="n"/>
      <c r="D1459" s="2" t="inlineStr">
        <is>
          <t>N-acetylcysteine (NAC) IV infusion protocol</t>
        </is>
      </c>
      <c r="E1459" s="2" t="inlineStr">
        <is>
          <t>Atropine sulfate 2 mg IV Q5-10 min</t>
        </is>
      </c>
      <c r="F1459" s="2" t="inlineStr">
        <is>
          <t>Pralidoxime (2-PAM) 1-2 g IV over 30 min</t>
        </is>
      </c>
      <c r="G1459" s="2" t="inlineStr">
        <is>
          <t>Naloxone 0.4 mg IV stat</t>
        </is>
      </c>
      <c r="H1459" s="2" t="inlineStr">
        <is>
          <t>Flumazenil 0.2 mg IV stat</t>
        </is>
      </c>
      <c r="I1459" s="8" t="inlineStr">
        <is>
          <t>1</t>
        </is>
      </c>
      <c r="J14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59" s="2" t="n"/>
      <c r="L1459" s="2" t="inlineStr">
        <is>
          <t>General Therapeutics</t>
        </is>
      </c>
      <c r="M1459" s="2" t="inlineStr">
        <is>
          <t>Clinic</t>
        </is>
      </c>
      <c r="N1459" s="2" t="inlineStr">
        <is>
          <t>ข้อ 3 (PLE_CC1_Key_Rx20_UBU.md)</t>
        </is>
      </c>
      <c r="O1459" s="2" t="inlineStr">
        <is>
          <t>Mock</t>
        </is>
      </c>
      <c r="P1459" s="2" t="inlineStr">
        <is>
          <t>Mock Rx20 UBU</t>
        </is>
      </c>
    </row>
    <row r="1460" ht="13.2" customHeight="1" s="37">
      <c r="A1460" s="8" t="inlineStr">
        <is>
          <t>1481</t>
        </is>
      </c>
      <c r="B1460" s="2" t="inlineStr">
        <is>
          <t>Nasal steroid ใช้ระยะสั้นเพียง 3-5 วัน เพื่อป้องกัน rebound congestion</t>
        </is>
      </c>
      <c r="C1460" s="2" t="n"/>
      <c r="D1460" s="2" t="inlineStr">
        <is>
          <t>Naloxone 0.4 mg IV stat</t>
        </is>
      </c>
      <c r="E1460" s="2" t="inlineStr">
        <is>
          <t>Flumazenil 0.2 mg IV stat</t>
        </is>
      </c>
      <c r="F1460" s="2" t="inlineStr">
        <is>
          <t>Vitamin K1 (Phytomenadione) 10 mg IV slow</t>
        </is>
      </c>
      <c r="G1460" s="2" t="inlineStr">
        <is>
          <t>Sodium thiosulfate 25% 50 mL IV</t>
        </is>
      </c>
      <c r="H1460" s="2" t="inlineStr">
        <is>
          <t>Calcium disodium EDTA 1 g IV</t>
        </is>
      </c>
      <c r="I1460" s="8" t="inlineStr">
        <is>
          <t>1</t>
        </is>
      </c>
      <c r="J14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60" s="2" t="n"/>
      <c r="L1460" s="2" t="inlineStr">
        <is>
          <t>General Therapeutics</t>
        </is>
      </c>
      <c r="M1460" s="2" t="inlineStr">
        <is>
          <t>Clinic</t>
        </is>
      </c>
      <c r="N1460" s="2" t="inlineStr">
        <is>
          <t>ข้อ 4 (PLE_CC1_Key_Rx20_UBU.md)</t>
        </is>
      </c>
      <c r="O1460" s="2" t="inlineStr">
        <is>
          <t>Mock</t>
        </is>
      </c>
      <c r="P1460" s="2" t="inlineStr">
        <is>
          <t>Mock Rx20 UBU</t>
        </is>
      </c>
    </row>
    <row r="1461" ht="13.2" customHeight="1" s="37">
      <c r="A1461" s="8" t="inlineStr">
        <is>
          <t>1482</t>
        </is>
      </c>
      <c r="B1461" s="2" t="inlineStr">
        <is>
          <t>ได้เพราะอยู่ในบัญชียาหลัก เป็นไปตามเงื่อนไขของ UC</t>
        </is>
      </c>
      <c r="C1461" s="2" t="n"/>
      <c r="D1461" s="2" t="inlineStr">
        <is>
          <t>ระบบหลักประกันสุขภาพถ้วนหน้า (Universal Health Coverage: UC)</t>
        </is>
      </c>
      <c r="E1461" s="2" t="inlineStr">
        <is>
          <t>ระบบประกันสังคม (Social Security Scheme: SSS)</t>
        </is>
      </c>
      <c r="F1461" s="2" t="inlineStr">
        <is>
          <t>ระบบสวัสดิการรักษาพยาบาลข้าราชการ (Civil Servant Medical Benefit Scheme: CSMBS)</t>
        </is>
      </c>
      <c r="G1461" s="2" t="inlineStr">
        <is>
          <t>นโยบายการใช้ยาอย่างสมเหตุผล (Rational Drug Use: RDU Literacy)</t>
        </is>
      </c>
      <c r="H1461" s="2" t="inlineStr">
        <is>
          <t>การเฝ้าระวังการดื้อยาต้านจุลชีพ (Antimicrobial Stewardship: AMS Program)</t>
        </is>
      </c>
      <c r="I1461" s="8" t="inlineStr">
        <is>
          <t>1</t>
        </is>
      </c>
      <c r="J1461" s="2" t="inlineStr">
        <is>
          <t>✅ คำตอบที่ถูกต้อง: ข้อ ก. ระบบหลักประกันสุขภาพถ้วนหน้า (Universal Health Coverage: UC)
💡 Background:
กฎหมายยาและจรรยาบรรณวิชาชีพมีขึ้นเพื่อคุ้มครองความปลอดภัยของผู้บริโภคตามมาตรฐาน Good Pharmacy Practice (GPP)
🎯 ทำไมข้อนี้ถึงถูก:
ระบบหลักประกันสุขภาพถ้วนหน้า (Universal Health Coverage: UC) 💡 คำอธิบายและข้อกำหนดทางกฎหมาย:
💡 คำอธิบายและข้อกำหนดทางกฎหมาย:
🔍 ข้ออื่นผิดเพราะอะไร:
• ข้อ ข. (ระบบประกันสังคม (Social Security Scheme: SSS)): ข้อนี้ไม่ใช่คำตอบที่ถูกต้องสำหรับภาวะ Administration &amp; System เนื่องจากกลไกการออกฤทธิ์, efficacy หรือข้อบ่งใช้ไม่ตรงกับโจทย์ที่กำหนด
• ข้อ ค. (ระบบสวัสดิการรักษาพยาบาลข้าราชการ (Civil Servant Medical Benefit Scheme: CSMBS)): ข้อนี้ไม่ใช่คำตอบที่ถูกต้องสำหรับภาวะ Administration &amp; System เนื่องจากกลไกการออกฤทธิ์, efficacy หรือข้อบ่งใช้ไม่ตรงกับโจทย์ที่กำหนด
• ข้อ ง. (นโยบายการใช้ยาอย่างสมเหตุผล (Rational Drug Use: RDU Literacy)): ข้อนี้ไม่ใช่คำตอบที่ถูกต้องสำหรับภาวะ Administration &amp; System เนื่องจากกลไกการออกฤทธิ์, efficacy หรือข้อบ่งใช้ไม่ตรงกับโจทย์ที่กำหนด
• ข้อ จ. (การเฝ้าระวังการดื้อยาต้านจุลชีพ (Antimicrobial Stewardship: AMS Program)): ข้อนี้ไม่ใช่คำตอบที่ถูกต้องสำหรับภาวะ Administration &amp; System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1" s="2" t="n"/>
      <c r="L1461" s="2" t="inlineStr">
        <is>
          <t>Administration &amp; System</t>
        </is>
      </c>
      <c r="M1461" s="2" t="inlineStr">
        <is>
          <t>SAP</t>
        </is>
      </c>
      <c r="N1461" s="2" t="inlineStr">
        <is>
          <t>ข้อ 1 (PLE_CC1_Key_Rx20_UBU.md)</t>
        </is>
      </c>
      <c r="O1461" s="2" t="inlineStr">
        <is>
          <t>Mock</t>
        </is>
      </c>
      <c r="P1461" s="2" t="inlineStr">
        <is>
          <t>Mock Rx20 UBU</t>
        </is>
      </c>
    </row>
    <row r="1462" ht="13.2" customHeight="1" s="37">
      <c r="A1462" s="8" t="inlineStr">
        <is>
          <t>1483</t>
        </is>
      </c>
      <c r="B1462" s="2" t="inlineStr">
        <is>
          <t>ได้เพราะอยู่ในกรมบัญชีกลางกระทรวงการคลัง ซึ่งได้รับการอนุญาต</t>
        </is>
      </c>
      <c r="C1462" s="2" t="n"/>
      <c r="D1462" s="2" t="inlineStr">
        <is>
          <t>Dimercaprol (BAL) 3 mg/kg IM</t>
        </is>
      </c>
      <c r="E1462" s="2" t="inlineStr">
        <is>
          <t>Ethanol 10% IV infusion for Methanol poisoning</t>
        </is>
      </c>
      <c r="F1462" s="2" t="inlineStr">
        <is>
          <t>Fomepizole 15 mg/kg IV loading</t>
        </is>
      </c>
      <c r="G1462" s="2" t="inlineStr">
        <is>
          <t>N-acetylcysteine (NAC) IV infusion protocol</t>
        </is>
      </c>
      <c r="H1462" s="2" t="inlineStr">
        <is>
          <t>Atropine sulfate 2 mg IV Q5-10 min</t>
        </is>
      </c>
      <c r="I1462" s="8" t="inlineStr">
        <is>
          <t>1</t>
        </is>
      </c>
      <c r="J14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2" s="2" t="n"/>
      <c r="L1462" s="2" t="inlineStr">
        <is>
          <t>General Therapeutics</t>
        </is>
      </c>
      <c r="M1462" s="2" t="inlineStr">
        <is>
          <t>Clinic</t>
        </is>
      </c>
      <c r="N1462" s="2" t="inlineStr">
        <is>
          <t>ข้อ 2 (PLE_CC1_Key_Rx20_UBU.md)</t>
        </is>
      </c>
      <c r="O1462" s="2" t="inlineStr">
        <is>
          <t>Mock</t>
        </is>
      </c>
      <c r="P1462" s="2" t="inlineStr">
        <is>
          <t>Mock Rx20 UBU</t>
        </is>
      </c>
    </row>
    <row r="1463" ht="13.2" customHeight="1" s="37">
      <c r="A1463" s="8" t="inlineStr">
        <is>
          <t>1484</t>
        </is>
      </c>
      <c r="B1463" s="2" t="inlineStr">
        <is>
          <t>ได้แต่ต้องจ่ายโดยแพทย์เฉพาะทาง</t>
        </is>
      </c>
      <c r="C1463" s="2" t="n"/>
      <c r="D1463" s="2" t="inlineStr">
        <is>
          <t>N-acetylcysteine (NAC) IV infusion protocol</t>
        </is>
      </c>
      <c r="E1463" s="2" t="inlineStr">
        <is>
          <t>Atropine sulfate 2 mg IV Q5-10 min</t>
        </is>
      </c>
      <c r="F1463" s="2" t="inlineStr">
        <is>
          <t>Pralidoxime (2-PAM) 1-2 g IV over 30 min</t>
        </is>
      </c>
      <c r="G1463" s="2" t="inlineStr">
        <is>
          <t>Naloxone 0.4 mg IV stat</t>
        </is>
      </c>
      <c r="H1463" s="2" t="inlineStr">
        <is>
          <t>Flumazenil 0.2 mg IV stat</t>
        </is>
      </c>
      <c r="I1463" s="8" t="inlineStr">
        <is>
          <t>1</t>
        </is>
      </c>
      <c r="J14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63" s="2" t="n"/>
      <c r="L1463" s="2" t="inlineStr">
        <is>
          <t>General Therapeutics</t>
        </is>
      </c>
      <c r="M1463" s="2" t="inlineStr">
        <is>
          <t>Clinic</t>
        </is>
      </c>
      <c r="N1463" s="2" t="inlineStr">
        <is>
          <t>ข้อ 3 (PLE_CC1_Key_Rx20_UBU.md)</t>
        </is>
      </c>
      <c r="O1463" s="2" t="inlineStr">
        <is>
          <t>Mock</t>
        </is>
      </c>
      <c r="P1463" s="2" t="inlineStr">
        <is>
          <t>Mock Rx20 UBU</t>
        </is>
      </c>
    </row>
    <row r="1464" ht="13.2" customHeight="1" s="37">
      <c r="A1464" s="8" t="inlineStr">
        <is>
          <t>1485</t>
        </is>
      </c>
      <c r="B1464" s="2" t="inlineStr">
        <is>
          <t>ไม่ได้เพราะเป็นยาควบคุมพิเศษ</t>
        </is>
      </c>
      <c r="C1464" s="2" t="n"/>
      <c r="D1464" s="2" t="inlineStr">
        <is>
          <t>พ.ร.บ. เครื่องสำอาง พ.ศ. 2558</t>
        </is>
      </c>
      <c r="E1464" s="2" t="inlineStr">
        <is>
          <t>พ.ร.บ. หลักประกันสุขภาพแห่งชาติ พ.ศ. 2545</t>
        </is>
      </c>
      <c r="F1464" s="2" t="inlineStr">
        <is>
          <t>การปฏิบัติทางเภสัชกรรมชุมชน (Good Pharmacy Practice: GPP)</t>
        </is>
      </c>
      <c r="G1464" s="2" t="inlineStr">
        <is>
          <t>บัญชียาหลักแห่งชาติ (National List of Essential Medicines: NLEM)</t>
        </is>
      </c>
      <c r="H1464" s="2" t="inlineStr">
        <is>
          <t>เกณฑ์จริยธรรมว่าด้วยการส่งเสริมการขายยาของกระทรวงสาธารณสุข</t>
        </is>
      </c>
      <c r="I1464" s="8" t="inlineStr">
        <is>
          <t>1</t>
        </is>
      </c>
      <c r="J146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4" s="2" t="n"/>
      <c r="L1464" s="2" t="inlineStr">
        <is>
          <t>Pharmacy Laws &amp; Ethics</t>
        </is>
      </c>
      <c r="M1464" s="2" t="inlineStr">
        <is>
          <t>SAP</t>
        </is>
      </c>
      <c r="N1464" s="2" t="inlineStr">
        <is>
          <t>ข้อ 4 (PLE_CC1_Key_Rx20_UBU.md)</t>
        </is>
      </c>
      <c r="O1464" s="2" t="inlineStr">
        <is>
          <t>Mock</t>
        </is>
      </c>
      <c r="P1464" s="2" t="inlineStr">
        <is>
          <t>Mock Rx20 UBU</t>
        </is>
      </c>
    </row>
    <row r="1465" ht="13.2" customHeight="1" s="37">
      <c r="A1465" s="8" t="inlineStr">
        <is>
          <t>1486</t>
        </is>
      </c>
      <c r="B1465" s="2" t="inlineStr">
        <is>
          <t>สาเหตุที่ทำให้ผู้ป่วยเกิดอาการดังกล่าวได้มากที่สุด</t>
        </is>
      </c>
      <c r="C1465" s="2" t="n"/>
      <c r="D1465" s="2" t="inlineStr">
        <is>
          <t>Sodium thiosulfate 25% 50 mL IV</t>
        </is>
      </c>
      <c r="E1465" s="2" t="inlineStr">
        <is>
          <t>Calcium disodium EDTA 1 g IV</t>
        </is>
      </c>
      <c r="F1465" s="2" t="inlineStr">
        <is>
          <t>Desferrioxamine 1 g IM/IV</t>
        </is>
      </c>
      <c r="G1465" s="2" t="inlineStr">
        <is>
          <t>Dimercaprol (BAL) 3 mg/kg IM</t>
        </is>
      </c>
      <c r="H1465" s="2" t="inlineStr">
        <is>
          <t>Ethanol 10% IV infusion for Methanol poisoning</t>
        </is>
      </c>
      <c r="I1465" s="8" t="inlineStr">
        <is>
          <t>1</t>
        </is>
      </c>
      <c r="J14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5" s="2" t="n"/>
      <c r="L1465" s="2" t="inlineStr">
        <is>
          <t>General Therapeutics</t>
        </is>
      </c>
      <c r="M1465" s="2" t="inlineStr">
        <is>
          <t>Clinic</t>
        </is>
      </c>
      <c r="N1465" s="2" t="inlineStr">
        <is>
          <t>ข้อ 20 (PLE_CC1_Key_Rx20_UBU.md)</t>
        </is>
      </c>
      <c r="O1465" s="2" t="inlineStr">
        <is>
          <t>Mock</t>
        </is>
      </c>
      <c r="P1465" s="2" t="inlineStr">
        <is>
          <t>Mock Rx20 UBU</t>
        </is>
      </c>
    </row>
    <row r="1466" ht="13.2" customHeight="1" s="37">
      <c r="A1466" s="8" t="inlineStr">
        <is>
          <t>1487</t>
        </is>
      </c>
      <c r="B1466" s="2" t="inlineStr">
        <is>
          <t>กลไกของยาในข้อใดไม่ถูกต้อง</t>
        </is>
      </c>
      <c r="C1466" s="2" t="n"/>
      <c r="D1466" s="2" t="inlineStr">
        <is>
          <t>Dimercaprol (BAL) 3 mg/kg IM</t>
        </is>
      </c>
      <c r="E1466" s="2" t="inlineStr">
        <is>
          <t>Ethanol 10% IV infusion for Methanol poisoning</t>
        </is>
      </c>
      <c r="F1466" s="2" t="inlineStr">
        <is>
          <t>Fomepizole 15 mg/kg IV loading</t>
        </is>
      </c>
      <c r="G1466" s="2" t="inlineStr">
        <is>
          <t>N-acetylcysteine (NAC) IV infusion protocol</t>
        </is>
      </c>
      <c r="H1466" s="2" t="inlineStr">
        <is>
          <t>Atropine sulfate 2 mg IV Q5-10 min</t>
        </is>
      </c>
      <c r="I1466" s="8" t="inlineStr">
        <is>
          <t>1</t>
        </is>
      </c>
      <c r="J14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6" s="2" t="n"/>
      <c r="L1466" s="2" t="inlineStr">
        <is>
          <t>General Therapeutics</t>
        </is>
      </c>
      <c r="M1466" s="2" t="inlineStr">
        <is>
          <t>Clinic</t>
        </is>
      </c>
      <c r="N1466" s="2" t="inlineStr">
        <is>
          <t>ข้อ 22 (PLE_CC1_Key_Rx20_UBU.md)</t>
        </is>
      </c>
      <c r="O1466" s="2" t="inlineStr">
        <is>
          <t>Mock</t>
        </is>
      </c>
      <c r="P1466" s="2" t="inlineStr">
        <is>
          <t>Mock Rx20 UBU</t>
        </is>
      </c>
    </row>
    <row r="1467" ht="13.2" customHeight="1" s="37">
      <c r="A1467" s="8" t="inlineStr">
        <is>
          <t>1488</t>
        </is>
      </c>
      <c r="B1467" s="2" t="inlineStr">
        <is>
          <t>Lanthanum carbonate</t>
        </is>
      </c>
      <c r="C1467" s="2" t="n"/>
      <c r="D1467" s="2" t="inlineStr">
        <is>
          <t>N-acetylcysteine (NAC) IV infusion protocol</t>
        </is>
      </c>
      <c r="E1467" s="2" t="inlineStr">
        <is>
          <t>Atropine sulfate 2 mg IV Q5-10 min</t>
        </is>
      </c>
      <c r="F1467" s="2" t="inlineStr">
        <is>
          <t>Pralidoxime (2-PAM) 1-2 g IV over 30 min</t>
        </is>
      </c>
      <c r="G1467" s="2" t="inlineStr">
        <is>
          <t>Naloxone 0.4 mg IV stat</t>
        </is>
      </c>
      <c r="H1467" s="2" t="inlineStr">
        <is>
          <t>Flumazenil 0.2 mg IV stat</t>
        </is>
      </c>
      <c r="I1467" s="8" t="inlineStr">
        <is>
          <t>1</t>
        </is>
      </c>
      <c r="J14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67" s="2" t="n"/>
      <c r="L1467" s="2" t="inlineStr">
        <is>
          <t>General Therapeutics</t>
        </is>
      </c>
      <c r="M1467" s="2" t="inlineStr">
        <is>
          <t>Clinic</t>
        </is>
      </c>
      <c r="N1467" s="2" t="inlineStr">
        <is>
          <t>ข้อ 1 (PLE_CC1_Key_Rx20_UBU.md)</t>
        </is>
      </c>
      <c r="O1467" s="2" t="inlineStr">
        <is>
          <t>Mock</t>
        </is>
      </c>
      <c r="P1467" s="2" t="inlineStr">
        <is>
          <t>Mock Rx20 UBU</t>
        </is>
      </c>
    </row>
    <row r="1468" ht="13.2" customHeight="1" s="37">
      <c r="A1468" s="8" t="inlineStr">
        <is>
          <t>1489</t>
        </is>
      </c>
      <c r="B1468" s="2" t="inlineStr">
        <is>
          <t>Calcium carbonate</t>
        </is>
      </c>
      <c r="C1468" s="2" t="n"/>
      <c r="D1468" s="2" t="inlineStr">
        <is>
          <t>Erythropoietin (EPO) 4000 units SC weekly</t>
        </is>
      </c>
      <c r="E1468" s="2" t="inlineStr">
        <is>
          <t>Calcitriol 0.25 mcg OD</t>
        </is>
      </c>
      <c r="F1468" s="2" t="inlineStr">
        <is>
          <t>Potassium chloride 500 mg BID</t>
        </is>
      </c>
      <c r="G1468" s="2" t="inlineStr">
        <is>
          <t>Calcium carbonate 1000 mg TID with meals</t>
        </is>
      </c>
      <c r="H1468" s="2" t="inlineStr">
        <is>
          <t>Calcium acetate 667 mg TID with meals</t>
        </is>
      </c>
      <c r="I1468" s="8" t="inlineStr">
        <is>
          <t>1</t>
        </is>
      </c>
      <c r="J1468" s="2" t="inlineStr">
        <is>
          <t>✅ คำตอบที่ถูกต้อง: ข้อ ก. Erythropoietin (EPO) 4000 units SC weekly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Erythropoietin (EPO) 4000 units SC weekly การเลือก Erythropoietin (EPO) 4000 units SC weekly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(Calcitriol 0.25 mcg OD): ข้อนี้ไม่ใช่คำตอบที่ถูกต้องสำหรับภาวะ Renal Diseases เนื่องจากกลไกการออกฤทธิ์, efficacy หรือข้อบ่งใช้ไม่ตรงกับโจทย์ที่กำหนด
• ข้อ ค. (Potassium chloride 500 mg BID): ข้อนี้ไม่ใช่คำตอบที่ถูกต้องสำหรับภาวะ Renal Diseases เนื่องจากกลไกการออกฤทธิ์, efficacy หรือข้อบ่งใช้ไม่ตรงกับโจทย์ที่กำหนด
• ข้อ ง. (Calcium carbonate 1000 mg TID with meals): เป็น Phosphate binder สำหรับ CKD ต้องเคี้ยวพร้อมอาหารเพื่อจับฟอสเฟตในทางเดินอาหาร และทำหน้าที่เสริมแคลเซียม
• ข้อ จ. (Calcium acetate 667 mg TID with meals):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468" s="2" t="n"/>
      <c r="L1468" s="2" t="inlineStr">
        <is>
          <t>Renal Diseases</t>
        </is>
      </c>
      <c r="M1468" s="2" t="inlineStr">
        <is>
          <t>Clinic</t>
        </is>
      </c>
      <c r="N1468" s="2" t="inlineStr">
        <is>
          <t>ข้อ 3 (PLE_CC1_Key_Rx20_UBU.md)</t>
        </is>
      </c>
      <c r="O1468" s="2" t="inlineStr">
        <is>
          <t>Mock</t>
        </is>
      </c>
      <c r="P1468" s="2" t="inlineStr">
        <is>
          <t>Mock Rx20 UBU</t>
        </is>
      </c>
    </row>
    <row r="1469" ht="13.2" customHeight="1" s="37">
      <c r="A1469" s="8" t="inlineStr">
        <is>
          <t>1490</t>
        </is>
      </c>
      <c r="B1469" s="2" t="inlineStr">
        <is>
          <t>Fresh Frozen Plasma</t>
        </is>
      </c>
      <c r="C1469" s="2" t="n"/>
      <c r="D1469" s="2" t="inlineStr">
        <is>
          <t>Sodium thiosulfate 25% 50 mL IV</t>
        </is>
      </c>
      <c r="E1469" s="2" t="inlineStr">
        <is>
          <t>Calcium disodium EDTA 1 g IV</t>
        </is>
      </c>
      <c r="F1469" s="2" t="inlineStr">
        <is>
          <t>Desferrioxamine 1 g IM/IV</t>
        </is>
      </c>
      <c r="G1469" s="2" t="inlineStr">
        <is>
          <t>Dimercaprol (BAL) 3 mg/kg IM</t>
        </is>
      </c>
      <c r="H1469" s="2" t="inlineStr">
        <is>
          <t>Ethanol 10% IV infusion for Methanol poisoning</t>
        </is>
      </c>
      <c r="I1469" s="8" t="inlineStr">
        <is>
          <t>1</t>
        </is>
      </c>
      <c r="J14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9" s="2" t="n"/>
      <c r="L1469" s="2" t="inlineStr">
        <is>
          <t>General Therapeutics</t>
        </is>
      </c>
      <c r="M1469" s="2" t="inlineStr">
        <is>
          <t>Clinic</t>
        </is>
      </c>
      <c r="N1469" s="2" t="inlineStr">
        <is>
          <t>ข้อ 2 (PLE_CC1_Key_Rx20_UBU.md)</t>
        </is>
      </c>
      <c r="O1469" s="2" t="inlineStr">
        <is>
          <t>Mock</t>
        </is>
      </c>
      <c r="P1469" s="2" t="inlineStr">
        <is>
          <t>Mock Rx20 UBU</t>
        </is>
      </c>
    </row>
    <row r="1470" ht="13.2" customHeight="1" s="37">
      <c r="A1470" s="8" t="inlineStr">
        <is>
          <t>1491</t>
        </is>
      </c>
      <c r="B1470" s="2" t="inlineStr">
        <is>
          <t>ควรจ่ายยาใดให้แก่ผู้ป่วยมากที่สุด</t>
        </is>
      </c>
      <c r="C1470" s="2" t="n"/>
      <c r="D1470" s="2" t="inlineStr">
        <is>
          <t>Dimercaprol (BAL) 3 mg/kg IM</t>
        </is>
      </c>
      <c r="E1470" s="2" t="inlineStr">
        <is>
          <t>Ethanol 10% IV infusion for Methanol poisoning</t>
        </is>
      </c>
      <c r="F1470" s="2" t="inlineStr">
        <is>
          <t>Fomepizole 15 mg/kg IV loading</t>
        </is>
      </c>
      <c r="G1470" s="2" t="inlineStr">
        <is>
          <t>N-acetylcysteine (NAC) IV infusion protocol</t>
        </is>
      </c>
      <c r="H1470" s="2" t="inlineStr">
        <is>
          <t>Atropine sulfate 2 mg IV Q5-10 min</t>
        </is>
      </c>
      <c r="I1470" s="8" t="inlineStr">
        <is>
          <t>1</t>
        </is>
      </c>
      <c r="J14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70" s="2" t="n"/>
      <c r="L1470" s="2" t="inlineStr">
        <is>
          <t>General Therapeutics</t>
        </is>
      </c>
      <c r="M1470" s="2" t="inlineStr">
        <is>
          <t>Clinic</t>
        </is>
      </c>
      <c r="N1470" s="2" t="inlineStr">
        <is>
          <t>ข้อ 27 (PLE_CC1_Key_Rx20_UBU.md)</t>
        </is>
      </c>
      <c r="O1470" s="2" t="inlineStr">
        <is>
          <t>Mock</t>
        </is>
      </c>
      <c r="P1470" s="2" t="inlineStr">
        <is>
          <t>Mock Rx20 UBU</t>
        </is>
      </c>
    </row>
    <row r="1471" ht="13.2" customHeight="1" s="37">
      <c r="A1471" s="8" t="inlineStr">
        <is>
          <t>1492</t>
        </is>
      </c>
      <c r="B1471" s="2" t="inlineStr">
        <is>
          <t>ต่อมาพบว่าผู้ป่วยมีไข้ ยาใดที่ไม่ควรจ่ายให้ผู้ป่วย</t>
        </is>
      </c>
      <c r="C1471" s="2" t="n"/>
      <c r="D1471" s="2" t="inlineStr">
        <is>
          <t>N-acetylcysteine (NAC) IV infusion protocol</t>
        </is>
      </c>
      <c r="E1471" s="2" t="inlineStr">
        <is>
          <t>Atropine sulfate 2 mg IV Q5-10 min</t>
        </is>
      </c>
      <c r="F1471" s="2" t="inlineStr">
        <is>
          <t>Pralidoxime (2-PAM) 1-2 g IV over 30 min</t>
        </is>
      </c>
      <c r="G1471" s="2" t="inlineStr">
        <is>
          <t>Naloxone 0.4 mg IV stat</t>
        </is>
      </c>
      <c r="H1471" s="2" t="inlineStr">
        <is>
          <t>Flumazenil 0.2 mg IV stat</t>
        </is>
      </c>
      <c r="I1471" s="8" t="inlineStr">
        <is>
          <t>1</t>
        </is>
      </c>
      <c r="J14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71" s="2" t="n"/>
      <c r="L1471" s="2" t="inlineStr">
        <is>
          <t>General Therapeutics</t>
        </is>
      </c>
      <c r="M1471" s="2" t="inlineStr">
        <is>
          <t>Clinic</t>
        </is>
      </c>
      <c r="N1471" s="2" t="inlineStr">
        <is>
          <t>ข้อ 28 (PLE_CC1_Key_Rx20_UBU.md)</t>
        </is>
      </c>
      <c r="O1471" s="2" t="inlineStr">
        <is>
          <t>Mock</t>
        </is>
      </c>
      <c r="P1471" s="2" t="inlineStr">
        <is>
          <t>Mock Rx20 UBU</t>
        </is>
      </c>
    </row>
    <row r="1472" ht="13.2" customHeight="1" s="37">
      <c r="A1472" s="8" t="inlineStr">
        <is>
          <t>1493</t>
        </is>
      </c>
      <c r="B1472" s="2" t="inlineStr">
        <is>
          <t>คำแนะนำที่ให้แก่ผู้ป่วย ข้อใดถูกต้อง</t>
        </is>
      </c>
      <c r="C1472" s="2" t="n"/>
      <c r="D1472" s="2" t="inlineStr">
        <is>
          <t>Naloxone 0.4 mg IV stat</t>
        </is>
      </c>
      <c r="E1472" s="2" t="inlineStr">
        <is>
          <t>Flumazenil 0.2 mg IV stat</t>
        </is>
      </c>
      <c r="F1472" s="2" t="inlineStr">
        <is>
          <t>Vitamin K1 (Phytomenadione) 10 mg IV slow</t>
        </is>
      </c>
      <c r="G1472" s="2" t="inlineStr">
        <is>
          <t>Sodium thiosulfate 25% 50 mL IV</t>
        </is>
      </c>
      <c r="H1472" s="2" t="inlineStr">
        <is>
          <t>Calcium disodium EDTA 1 g IV</t>
        </is>
      </c>
      <c r="I1472" s="8" t="inlineStr">
        <is>
          <t>1</t>
        </is>
      </c>
      <c r="J14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72" s="2" t="n"/>
      <c r="L1472" s="2" t="inlineStr">
        <is>
          <t>General Therapeutics</t>
        </is>
      </c>
      <c r="M1472" s="2" t="inlineStr">
        <is>
          <t>Clinic</t>
        </is>
      </c>
      <c r="N1472" s="2" t="inlineStr">
        <is>
          <t>ข้อ 29 (PLE_CC1_Key_Rx20_UBU.md)</t>
        </is>
      </c>
      <c r="O1472" s="2" t="inlineStr">
        <is>
          <t>Mock</t>
        </is>
      </c>
      <c r="P1472" s="2" t="inlineStr">
        <is>
          <t>Mock Rx20 UBU</t>
        </is>
      </c>
    </row>
    <row r="1473" ht="13.2" customHeight="1" s="37">
      <c r="A1473" s="8" t="inlineStr">
        <is>
          <t>1494</t>
        </is>
      </c>
      <c r="B1473" s="2" t="inlineStr">
        <is>
          <t>ยาใดต้องจ่ายในร้านยาที่มีใบอนุญาตจ่ายยาเสพติด</t>
        </is>
      </c>
      <c r="C1473" s="2" t="n"/>
      <c r="D1473" s="2" t="inlineStr">
        <is>
          <t>พ.ร.บ. วัตถุที่ออกฤทธิ์ต่อจิตและประสาท พ.ศ. 2559 (ประเภท 2 และ 4)</t>
        </is>
      </c>
      <c r="E1473" s="2" t="inlineStr">
        <is>
          <t>พ.ร.บ. วิชาชีพเภสัชกรรม พ.ศ. 2537 และข้อบังคับจรรยาบรรณวิชาชีพ</t>
        </is>
      </c>
      <c r="F1473" s="2" t="inlineStr">
        <is>
          <t>พ.ร.บ. ผลิตภัณฑ์สมุนไพร พ.ศ. 2562</t>
        </is>
      </c>
      <c r="G1473" s="2" t="inlineStr">
        <is>
          <t>พ.ร.บ. เครื่องสำอาง พ.ศ. 2558</t>
        </is>
      </c>
      <c r="H1473" s="2" t="inlineStr">
        <is>
          <t>พ.ร.บ. หลักประกันสุขภาพแห่งชาติ พ.ศ. 2545</t>
        </is>
      </c>
      <c r="I1473" s="8" t="inlineStr">
        <is>
          <t>1</t>
        </is>
      </c>
      <c r="J1473"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3" s="2" t="n"/>
      <c r="L1473" s="2" t="inlineStr">
        <is>
          <t>Pharmacy Laws &amp; Ethics</t>
        </is>
      </c>
      <c r="M1473" s="2" t="inlineStr">
        <is>
          <t>SAP</t>
        </is>
      </c>
      <c r="N1473" s="2" t="inlineStr">
        <is>
          <t>ข้อ 30 (PLE_CC1_Key_Rx20_UBU.md)</t>
        </is>
      </c>
      <c r="O1473" s="2" t="inlineStr">
        <is>
          <t>Mock</t>
        </is>
      </c>
      <c r="P1473" s="2" t="inlineStr">
        <is>
          <t>Mock Rx20 UBU</t>
        </is>
      </c>
    </row>
    <row r="1474" ht="13.2" customHeight="1" s="37">
      <c r="A1474" s="8" t="inlineStr">
        <is>
          <t>1495</t>
        </is>
      </c>
      <c r="B1474" s="2" t="inlineStr">
        <is>
          <t>Diphenoxylate + Atropine</t>
        </is>
      </c>
      <c r="C1474" s="2" t="n"/>
      <c r="D1474" s="2" t="inlineStr">
        <is>
          <t>Dimercaprol (BAL) 3 mg/kg IM</t>
        </is>
      </c>
      <c r="E1474" s="2" t="inlineStr">
        <is>
          <t>Ethanol 10% IV infusion for Methanol poisoning</t>
        </is>
      </c>
      <c r="F1474" s="2" t="inlineStr">
        <is>
          <t>Fomepizole 15 mg/kg IV loading</t>
        </is>
      </c>
      <c r="G1474" s="2" t="inlineStr">
        <is>
          <t>N-acetylcysteine (NAC) IV infusion protocol</t>
        </is>
      </c>
      <c r="H1474" s="2" t="inlineStr">
        <is>
          <t>Atropine sulfate 2 mg IV Q5-10 min</t>
        </is>
      </c>
      <c r="I1474" s="8" t="inlineStr">
        <is>
          <t>1</t>
        </is>
      </c>
      <c r="J1474" s="2" t="inlineStr">
        <is>
          <t>✅ คำตอบที่ถูกต้อง: ข้อ ก. Dimercaprol (BAL) 3 mg/kg IM
💡 Background:
ภาวะ acute poisoning ต้องได้รับการประเมิน supportive care ควบคู่กับการให้ specific antidote อย่างทันท่วงที
🎯 ทำไมข้อนี้ถึงถูก:
Dimercaprol (BAL) 3 mg/kg IM การเลือก Dimercaprol (BAL) 3 mg/kg IM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ข้อ ค. (Fomepizole 15 mg/kg IV loading): ข้อนี้ไม่ใช่คำตอบที่ถูกต้องสำหรับภาวะ Toxicology &amp; Antidote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Toxicology &amp; Antidote เนื่องจากกลไกการออกฤทธิ์, efficacy หรือข้อบ่งใช้ไม่ตรงกับโจทย์ที่กำหนด
• ข้อ จ.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474" s="2" t="n"/>
      <c r="L1474" s="2" t="inlineStr">
        <is>
          <t>Toxicology &amp; Antidote</t>
        </is>
      </c>
      <c r="M1474" s="2" t="inlineStr">
        <is>
          <t>Clinic</t>
        </is>
      </c>
      <c r="N1474" s="2" t="inlineStr">
        <is>
          <t>ข้อ 1 (PLE_CC1_Key_Rx20_UBU.md)</t>
        </is>
      </c>
      <c r="O1474" s="2" t="inlineStr">
        <is>
          <t>Mock</t>
        </is>
      </c>
      <c r="P1474" s="2" t="inlineStr">
        <is>
          <t>Mock Rx20 UBU</t>
        </is>
      </c>
    </row>
    <row r="1475" ht="13.2" customHeight="1" s="37">
      <c r="A1475" s="8" t="inlineStr">
        <is>
          <t>1496</t>
        </is>
      </c>
      <c r="B1475" s="2" t="inlineStr">
        <is>
          <t>Glucose ใน ORS มีหน้ำที่อะไร</t>
        </is>
      </c>
      <c r="C1475" s="2" t="n"/>
      <c r="D1475" s="2" t="inlineStr">
        <is>
          <t>Sitagliptin 100 mg OD</t>
        </is>
      </c>
      <c r="E1475" s="2" t="inlineStr">
        <is>
          <t>Liraglutide 1.2 mg SC OD</t>
        </is>
      </c>
      <c r="F1475" s="2" t="inlineStr">
        <is>
          <t>Levothyroxine 50 mcg OD</t>
        </is>
      </c>
      <c r="G1475" s="2" t="inlineStr">
        <is>
          <t>Propylthiouracil 50 mg TID</t>
        </is>
      </c>
      <c r="H1475" s="2" t="inlineStr">
        <is>
          <t>Methimazole 10 mg OD</t>
        </is>
      </c>
      <c r="I1475" s="8" t="inlineStr">
        <is>
          <t>1</t>
        </is>
      </c>
      <c r="J1475" s="2"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ค.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จ.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475" s="2" t="n"/>
      <c r="L1475" s="2" t="inlineStr">
        <is>
          <t>Diabetes &amp; Endocrine</t>
        </is>
      </c>
      <c r="M1475" s="2" t="inlineStr">
        <is>
          <t>Clinic</t>
        </is>
      </c>
      <c r="N1475" s="2" t="inlineStr">
        <is>
          <t>ข้อ 33 (PLE_CC1_Key_Rx20_UBU.md)</t>
        </is>
      </c>
      <c r="O1475" s="2" t="inlineStr">
        <is>
          <t>Mock</t>
        </is>
      </c>
      <c r="P1475" s="2" t="inlineStr">
        <is>
          <t>Mock Rx20 UBU</t>
        </is>
      </c>
    </row>
    <row r="1476" ht="13.2" customHeight="1" s="37">
      <c r="A1476" s="8" t="inlineStr">
        <is>
          <t>1497</t>
        </is>
      </c>
      <c r="B1476" s="2" t="inlineStr">
        <is>
          <t>เพิ่มการดูดซึม Sodium</t>
        </is>
      </c>
      <c r="C1476" s="2" t="n"/>
      <c r="D1476" s="2" t="inlineStr">
        <is>
          <t>Naloxone 0.4 mg IV stat</t>
        </is>
      </c>
      <c r="E1476" s="2" t="inlineStr">
        <is>
          <t>Flumazenil 0.2 mg IV stat</t>
        </is>
      </c>
      <c r="F1476" s="2" t="inlineStr">
        <is>
          <t>Vitamin K1 (Phytomenadione) 10 mg IV slow</t>
        </is>
      </c>
      <c r="G1476" s="2" t="inlineStr">
        <is>
          <t>Sodium thiosulfate 25% 50 mL IV</t>
        </is>
      </c>
      <c r="H1476" s="2" t="inlineStr">
        <is>
          <t>Calcium disodium EDTA 1 g IV</t>
        </is>
      </c>
      <c r="I1476" s="8" t="inlineStr">
        <is>
          <t>1</t>
        </is>
      </c>
      <c r="J14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76" s="2" t="n"/>
      <c r="L1476" s="2" t="inlineStr">
        <is>
          <t>General Therapeutics</t>
        </is>
      </c>
      <c r="M1476" s="2" t="inlineStr">
        <is>
          <t>Clinic</t>
        </is>
      </c>
      <c r="N1476" s="2" t="inlineStr">
        <is>
          <t>ข้อ 1 (PLE_CC1_Key_Rx20_UBU.md)</t>
        </is>
      </c>
      <c r="O1476" s="2" t="inlineStr">
        <is>
          <t>Mock</t>
        </is>
      </c>
      <c r="P1476" s="2" t="inlineStr">
        <is>
          <t>Mock Rx20 UBU</t>
        </is>
      </c>
    </row>
    <row r="1477" ht="13.2" customHeight="1" s="37">
      <c r="A1477" s="8" t="inlineStr">
        <is>
          <t>1498</t>
        </is>
      </c>
      <c r="B1477" s="2" t="inlineStr">
        <is>
          <t>Saccharin sodium</t>
        </is>
      </c>
      <c r="C1477" s="2" t="n"/>
      <c r="D1477" s="2" t="inlineStr">
        <is>
          <t>Sodium thiosulfate 25% 50 mL IV</t>
        </is>
      </c>
      <c r="E1477" s="2" t="inlineStr">
        <is>
          <t>Calcium disodium EDTA 1 g IV</t>
        </is>
      </c>
      <c r="F1477" s="2" t="inlineStr">
        <is>
          <t>Desferrioxamine 1 g IM/IV</t>
        </is>
      </c>
      <c r="G1477" s="2" t="inlineStr">
        <is>
          <t>Dimercaprol (BAL) 3 mg/kg IM</t>
        </is>
      </c>
      <c r="H1477" s="2" t="inlineStr">
        <is>
          <t>Ethanol 10% IV infusion for Methanol poisoning</t>
        </is>
      </c>
      <c r="I1477" s="8" t="inlineStr">
        <is>
          <t>1</t>
        </is>
      </c>
      <c r="J14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77" s="2" t="n"/>
      <c r="L1477" s="2" t="inlineStr">
        <is>
          <t>General Therapeutics</t>
        </is>
      </c>
      <c r="M1477" s="2" t="inlineStr">
        <is>
          <t>Clinic</t>
        </is>
      </c>
      <c r="N1477" s="2" t="inlineStr">
        <is>
          <t>ข้อ 1 (PLE_CC1_Key_Rx20_UBU.md)</t>
        </is>
      </c>
      <c r="O1477" s="2" t="inlineStr">
        <is>
          <t>Mock</t>
        </is>
      </c>
      <c r="P1477" s="2" t="inlineStr">
        <is>
          <t>Mock Rx20 UBU</t>
        </is>
      </c>
    </row>
    <row r="1478" ht="13.2" customHeight="1" s="37">
      <c r="A1478" s="8" t="inlineStr">
        <is>
          <t>1499</t>
        </is>
      </c>
      <c r="B1478" s="2" t="inlineStr">
        <is>
          <t>ต้องใช้ยารักษาต่อเนื่องเป็นเวลาอย่างน้อย 6-8 สัปดาห์</t>
        </is>
      </c>
      <c r="C1478" s="2" t="n"/>
      <c r="D1478" s="2" t="inlineStr">
        <is>
          <t>Dimercaprol (BAL) 3 mg/kg IM</t>
        </is>
      </c>
      <c r="E1478" s="2" t="inlineStr">
        <is>
          <t>Ethanol 10% IV infusion for Methanol poisoning</t>
        </is>
      </c>
      <c r="F1478" s="2" t="inlineStr">
        <is>
          <t>Fomepizole 15 mg/kg IV loading</t>
        </is>
      </c>
      <c r="G1478" s="2" t="inlineStr">
        <is>
          <t>N-acetylcysteine (NAC) IV infusion protocol</t>
        </is>
      </c>
      <c r="H1478" s="2" t="inlineStr">
        <is>
          <t>Atropine sulfate 2 mg IV Q5-10 min</t>
        </is>
      </c>
      <c r="I1478" s="8" t="inlineStr">
        <is>
          <t>1</t>
        </is>
      </c>
      <c r="J14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78" s="2" t="n"/>
      <c r="L1478" s="2" t="inlineStr">
        <is>
          <t>General Therapeutics</t>
        </is>
      </c>
      <c r="M1478" s="2" t="inlineStr">
        <is>
          <t>Clinic</t>
        </is>
      </c>
      <c r="N1478" s="2" t="inlineStr">
        <is>
          <t>ข้อ 2 (PLE_CC1_Key_Rx20_UBU.md)</t>
        </is>
      </c>
      <c r="O1478" s="2" t="inlineStr">
        <is>
          <t>Mock</t>
        </is>
      </c>
      <c r="P1478" s="2" t="inlineStr">
        <is>
          <t>Mock Rx20 UBU</t>
        </is>
      </c>
    </row>
    <row r="1479" ht="13.2" customHeight="1" s="37">
      <c r="A1479" s="8" t="inlineStr">
        <is>
          <t>1500</t>
        </is>
      </c>
      <c r="B1479" s="2" t="inlineStr">
        <is>
          <t>ถ้าอาการยังไม่หายไป ให้เปลี่ยนไปใช้ยาตัวอื่นกลุ่มเดียวกันได้</t>
        </is>
      </c>
      <c r="C1479" s="2" t="n"/>
      <c r="D1479" s="2" t="inlineStr">
        <is>
          <t>N-acetylcysteine (NAC) IV infusion protocol</t>
        </is>
      </c>
      <c r="E1479" s="2" t="inlineStr">
        <is>
          <t>Atropine sulfate 2 mg IV Q5-10 min</t>
        </is>
      </c>
      <c r="F1479" s="2" t="inlineStr">
        <is>
          <t>Pralidoxime (2-PAM) 1-2 g IV over 30 min</t>
        </is>
      </c>
      <c r="G1479" s="2" t="inlineStr">
        <is>
          <t>Naloxone 0.4 mg IV stat</t>
        </is>
      </c>
      <c r="H1479" s="2" t="inlineStr">
        <is>
          <t>Flumazenil 0.2 mg IV stat</t>
        </is>
      </c>
      <c r="I1479" s="8" t="inlineStr">
        <is>
          <t>1</t>
        </is>
      </c>
      <c r="J14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79" s="2" t="n"/>
      <c r="L1479" s="2" t="inlineStr">
        <is>
          <t>General Therapeutics</t>
        </is>
      </c>
      <c r="M1479" s="2" t="inlineStr">
        <is>
          <t>Clinic</t>
        </is>
      </c>
      <c r="N1479" s="2" t="inlineStr">
        <is>
          <t>ข้อ 3 (PLE_CC1_Key_Rx20_UBU.md)</t>
        </is>
      </c>
      <c r="O1479" s="2" t="inlineStr">
        <is>
          <t>Mock</t>
        </is>
      </c>
      <c r="P1479" s="2" t="inlineStr">
        <is>
          <t>Mock Rx20 UBU</t>
        </is>
      </c>
    </row>
    <row r="1480" ht="13.2" customHeight="1" s="37">
      <c r="A1480" s="8" t="inlineStr">
        <is>
          <t>1501</t>
        </is>
      </c>
      <c r="B1480" s="2" t="inlineStr">
        <is>
          <t>ถ้าอาการหายดีแล้ว สามารถหยุดยาได้ทันที</t>
        </is>
      </c>
      <c r="C1480" s="2" t="n"/>
      <c r="D1480" s="2" t="inlineStr">
        <is>
          <t>Naloxone 0.4 mg IV stat</t>
        </is>
      </c>
      <c r="E1480" s="2" t="inlineStr">
        <is>
          <t>Flumazenil 0.2 mg IV stat</t>
        </is>
      </c>
      <c r="F1480" s="2" t="inlineStr">
        <is>
          <t>Vitamin K1 (Phytomenadione) 10 mg IV slow</t>
        </is>
      </c>
      <c r="G1480" s="2" t="inlineStr">
        <is>
          <t>Sodium thiosulfate 25% 50 mL IV</t>
        </is>
      </c>
      <c r="H1480" s="2" t="inlineStr">
        <is>
          <t>Calcium disodium EDTA 1 g IV</t>
        </is>
      </c>
      <c r="I1480" s="8" t="inlineStr">
        <is>
          <t>1</t>
        </is>
      </c>
      <c r="J14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80" s="2" t="n"/>
      <c r="L1480" s="2" t="inlineStr">
        <is>
          <t>General Therapeutics</t>
        </is>
      </c>
      <c r="M1480" s="2" t="inlineStr">
        <is>
          <t>Clinic</t>
        </is>
      </c>
      <c r="N1480" s="2" t="inlineStr">
        <is>
          <t>ข้อ 4 (PLE_CC1_Key_Rx20_UBU.md)</t>
        </is>
      </c>
      <c r="O1480" s="2" t="inlineStr">
        <is>
          <t>Mock</t>
        </is>
      </c>
      <c r="P1480" s="2" t="inlineStr">
        <is>
          <t>Mock Rx20 UBU</t>
        </is>
      </c>
    </row>
    <row r="1481" ht="13.2" customHeight="1" s="37">
      <c r="A1481" s="8" t="inlineStr">
        <is>
          <t>1502</t>
        </is>
      </c>
      <c r="B1481" s="2" t="inlineStr">
        <is>
          <t>ควรเริ่มใช้ยากลุ่ม Antidepressant ในขนาดสูงๆก่อน</t>
        </is>
      </c>
      <c r="C1481" s="2" t="n"/>
      <c r="D1481" s="2" t="inlineStr">
        <is>
          <t>Sodium thiosulfate 25% 50 mL IV</t>
        </is>
      </c>
      <c r="E1481" s="2" t="inlineStr">
        <is>
          <t>Calcium disodium EDTA 1 g IV</t>
        </is>
      </c>
      <c r="F1481" s="2" t="inlineStr">
        <is>
          <t>Desferrioxamine 1 g IM/IV</t>
        </is>
      </c>
      <c r="G1481" s="2" t="inlineStr">
        <is>
          <t>Dimercaprol (BAL) 3 mg/kg IM</t>
        </is>
      </c>
      <c r="H1481" s="2" t="inlineStr">
        <is>
          <t>Ethanol 10% IV infusion for Methanol poisoning</t>
        </is>
      </c>
      <c r="I1481" s="8" t="inlineStr">
        <is>
          <t>1</t>
        </is>
      </c>
      <c r="J14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1481" s="2" t="n"/>
      <c r="L1481" s="2" t="inlineStr">
        <is>
          <t>General Therapeutics</t>
        </is>
      </c>
      <c r="M1481" s="2" t="inlineStr">
        <is>
          <t>Clinic</t>
        </is>
      </c>
      <c r="N1481" s="2" t="inlineStr">
        <is>
          <t>ข้อ 5 (PLE_CC1_Key_Rx20_UBU.md)</t>
        </is>
      </c>
      <c r="O1481" s="2" t="inlineStr">
        <is>
          <t>Mock</t>
        </is>
      </c>
      <c r="P1481" s="2" t="inlineStr">
        <is>
          <t>Mock Rx20 UBU</t>
        </is>
      </c>
    </row>
    <row r="1482" ht="13.2" customHeight="1" s="37">
      <c r="A1482" s="8" t="inlineStr">
        <is>
          <t>1503</t>
        </is>
      </c>
      <c r="B1482" s="2" t="inlineStr">
        <is>
          <t>5-HT2 receptor antagonist</t>
        </is>
      </c>
      <c r="C1482" s="2" t="n"/>
      <c r="D1482" s="2" t="inlineStr">
        <is>
          <t>Dimercaprol (BAL) 3 mg/kg IM</t>
        </is>
      </c>
      <c r="E1482" s="2" t="inlineStr">
        <is>
          <t>Ethanol 10% IV infusion for Methanol poisoning</t>
        </is>
      </c>
      <c r="F1482" s="2" t="inlineStr">
        <is>
          <t>Fomepizole 15 mg/kg IV loading</t>
        </is>
      </c>
      <c r="G1482" s="2" t="inlineStr">
        <is>
          <t>N-acetylcysteine (NAC) IV infusion protocol</t>
        </is>
      </c>
      <c r="H1482" s="2" t="inlineStr">
        <is>
          <t>Atropine sulfate 2 mg IV Q5-10 min</t>
        </is>
      </c>
      <c r="I1482" s="8" t="inlineStr">
        <is>
          <t>1</t>
        </is>
      </c>
      <c r="J14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82" s="2" t="n"/>
      <c r="L1482" s="2" t="inlineStr">
        <is>
          <t>General Therapeutics</t>
        </is>
      </c>
      <c r="M1482" s="2" t="inlineStr">
        <is>
          <t>Clinic</t>
        </is>
      </c>
      <c r="N1482" s="2" t="inlineStr">
        <is>
          <t>ข้อ 1 (PLE_CC1_Key_Rx20_UBU.md)</t>
        </is>
      </c>
      <c r="O1482" s="2" t="inlineStr">
        <is>
          <t>Mock</t>
        </is>
      </c>
      <c r="P1482" s="2" t="inlineStr">
        <is>
          <t>Mock Rx20 UBU</t>
        </is>
      </c>
    </row>
    <row r="1483" ht="13.2" customHeight="1" s="37">
      <c r="A1483" s="8" t="inlineStr">
        <is>
          <t>1504</t>
        </is>
      </c>
      <c r="B1483" s="2" t="inlineStr">
        <is>
          <t>Alpha-2 receptor antagonist</t>
        </is>
      </c>
      <c r="C1483" s="2" t="n"/>
      <c r="D1483" s="2" t="inlineStr">
        <is>
          <t>N-acetylcysteine (NAC) IV infusion protocol</t>
        </is>
      </c>
      <c r="E1483" s="2" t="inlineStr">
        <is>
          <t>Atropine sulfate 2 mg IV Q5-10 min</t>
        </is>
      </c>
      <c r="F1483" s="2" t="inlineStr">
        <is>
          <t>Pralidoxime (2-PAM) 1-2 g IV over 30 min</t>
        </is>
      </c>
      <c r="G1483" s="2" t="inlineStr">
        <is>
          <t>Naloxone 0.4 mg IV stat</t>
        </is>
      </c>
      <c r="H1483" s="2" t="inlineStr">
        <is>
          <t>Flumazenil 0.2 mg IV stat</t>
        </is>
      </c>
      <c r="I1483" s="8" t="inlineStr">
        <is>
          <t>1</t>
        </is>
      </c>
      <c r="J14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83" s="2" t="n"/>
      <c r="L1483" s="2" t="inlineStr">
        <is>
          <t>General Therapeutics</t>
        </is>
      </c>
      <c r="M1483" s="2" t="inlineStr">
        <is>
          <t>Clinic</t>
        </is>
      </c>
      <c r="N1483" s="2" t="inlineStr">
        <is>
          <t>ข้อ 2 (PLE_CC1_Key_Rx20_UBU.md)</t>
        </is>
      </c>
      <c r="O1483" s="2" t="inlineStr">
        <is>
          <t>Mock</t>
        </is>
      </c>
      <c r="P1483" s="2" t="inlineStr">
        <is>
          <t>Mock Rx20 UBU</t>
        </is>
      </c>
    </row>
    <row r="1484" ht="13.2" customHeight="1" s="37">
      <c r="A1484" s="8" t="inlineStr">
        <is>
          <t>1505</t>
        </is>
      </c>
      <c r="B1484" s="2" t="inlineStr">
        <is>
          <t>ยับยั้งการ reuptake ของ 5-HT</t>
        </is>
      </c>
      <c r="C1484" s="2" t="n"/>
      <c r="D1484" s="2" t="inlineStr">
        <is>
          <t>Naloxone 0.4 mg IV stat</t>
        </is>
      </c>
      <c r="E1484" s="2" t="inlineStr">
        <is>
          <t>Flumazenil 0.2 mg IV stat</t>
        </is>
      </c>
      <c r="F1484" s="2" t="inlineStr">
        <is>
          <t>Vitamin K1 (Phytomenadione) 10 mg IV slow</t>
        </is>
      </c>
      <c r="G1484" s="2" t="inlineStr">
        <is>
          <t>Sodium thiosulfate 25% 50 mL IV</t>
        </is>
      </c>
      <c r="H1484" s="2" t="inlineStr">
        <is>
          <t>Calcium disodium EDTA 1 g IV</t>
        </is>
      </c>
      <c r="I1484" s="8" t="inlineStr">
        <is>
          <t>1</t>
        </is>
      </c>
      <c r="J14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84" s="2" t="n"/>
      <c r="L1484" s="2" t="inlineStr">
        <is>
          <t>General Therapeutics</t>
        </is>
      </c>
      <c r="M1484" s="2" t="inlineStr">
        <is>
          <t>Clinic</t>
        </is>
      </c>
      <c r="N1484" s="2" t="inlineStr">
        <is>
          <t>ข้อ 3 (PLE_CC1_Key_Rx20_UBU.md)</t>
        </is>
      </c>
      <c r="O1484" s="2" t="inlineStr">
        <is>
          <t>Mock</t>
        </is>
      </c>
      <c r="P1484" s="2" t="inlineStr">
        <is>
          <t>Mock Rx20 UBU</t>
        </is>
      </c>
    </row>
    <row r="1485" ht="13.2" customHeight="1" s="37">
      <c r="A1485" s="8" t="inlineStr">
        <is>
          <t>1506</t>
        </is>
      </c>
      <c r="B1485" s="2" t="inlineStr">
        <is>
          <t>ยับยั้งการ reuptake ของ Norepinephrine</t>
        </is>
      </c>
      <c r="C1485" s="2" t="n"/>
      <c r="D1485" s="2" t="inlineStr">
        <is>
          <t>Epinephrine 0.3 mg IM stat</t>
        </is>
      </c>
      <c r="E1485" s="2" t="inlineStr">
        <is>
          <t>Dexamethasone 4 mg IV</t>
        </is>
      </c>
      <c r="F1485" s="2" t="inlineStr">
        <is>
          <t>Prednisolone 20 mg OD</t>
        </is>
      </c>
      <c r="G1485" s="2" t="inlineStr">
        <is>
          <t>Montelukast 10 mg HS</t>
        </is>
      </c>
      <c r="H1485" s="2" t="inlineStr">
        <is>
          <t>Hydroxyzine 25 mg HS</t>
        </is>
      </c>
      <c r="I1485" s="8" t="inlineStr">
        <is>
          <t>1</t>
        </is>
      </c>
      <c r="J1485"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85" s="2" t="n"/>
      <c r="L1485" s="2" t="inlineStr">
        <is>
          <t>Allergy &amp; Immunology</t>
        </is>
      </c>
      <c r="M1485" s="2" t="inlineStr">
        <is>
          <t>Clinic</t>
        </is>
      </c>
      <c r="N1485" s="2" t="inlineStr">
        <is>
          <t>ข้อ 5 (PLE_CC1_Key_Rx20_UBU.md)</t>
        </is>
      </c>
      <c r="O1485" s="2" t="inlineStr">
        <is>
          <t>Mock</t>
        </is>
      </c>
      <c r="P1485" s="2" t="inlineStr">
        <is>
          <t>Mock Rx20 UBU</t>
        </is>
      </c>
    </row>
    <row r="1486" ht="13.2" customHeight="1" s="37">
      <c r="A1486" s="8" t="inlineStr">
        <is>
          <t>1507</t>
        </is>
      </c>
      <c r="B1486" s="2" t="inlineStr">
        <is>
          <t>ไม่มี Anticholinergic</t>
        </is>
      </c>
      <c r="C1486" s="2" t="n"/>
      <c r="D1486" s="2" t="inlineStr">
        <is>
          <t>Dimercaprol (BAL) 3 mg/kg IM</t>
        </is>
      </c>
      <c r="E1486" s="2" t="inlineStr">
        <is>
          <t>Ethanol 10% IV infusion for Methanol poisoning</t>
        </is>
      </c>
      <c r="F1486" s="2" t="inlineStr">
        <is>
          <t>Fomepizole 15 mg/kg IV loading</t>
        </is>
      </c>
      <c r="G1486" s="2" t="inlineStr">
        <is>
          <t>N-acetylcysteine (NAC) IV infusion protocol</t>
        </is>
      </c>
      <c r="H1486" s="2" t="inlineStr">
        <is>
          <t>Atropine sulfate 2 mg IV Q5-10 min</t>
        </is>
      </c>
      <c r="I1486" s="8" t="inlineStr">
        <is>
          <t>1</t>
        </is>
      </c>
      <c r="J14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86" s="2" t="n"/>
      <c r="L1486" s="2" t="inlineStr">
        <is>
          <t>General Therapeutics</t>
        </is>
      </c>
      <c r="M1486" s="2" t="inlineStr">
        <is>
          <t>Clinic</t>
        </is>
      </c>
      <c r="N1486" s="2" t="inlineStr">
        <is>
          <t>ข้อ 1 (PLE_CC1_Key_Rx20_UBU.md)</t>
        </is>
      </c>
      <c r="O1486" s="2" t="inlineStr">
        <is>
          <t>Mock</t>
        </is>
      </c>
      <c r="P1486" s="2" t="inlineStr">
        <is>
          <t>Mock Rx20 UBU</t>
        </is>
      </c>
    </row>
    <row r="1487" ht="13.2" customHeight="1" s="37">
      <c r="A1487" s="8" t="inlineStr">
        <is>
          <t>1508</t>
        </is>
      </c>
      <c r="B1487" s="2" t="inlineStr">
        <is>
          <t>เกิดการฆ่าตัวตายน้อย</t>
        </is>
      </c>
      <c r="C1487" s="2" t="n"/>
      <c r="D1487" s="2" t="inlineStr">
        <is>
          <t>N-acetylcysteine (NAC) IV infusion protocol</t>
        </is>
      </c>
      <c r="E1487" s="2" t="inlineStr">
        <is>
          <t>Atropine sulfate 2 mg IV Q5-10 min</t>
        </is>
      </c>
      <c r="F1487" s="2" t="inlineStr">
        <is>
          <t>Pralidoxime (2-PAM) 1-2 g IV over 30 min</t>
        </is>
      </c>
      <c r="G1487" s="2" t="inlineStr">
        <is>
          <t>Naloxone 0.4 mg IV stat</t>
        </is>
      </c>
      <c r="H1487" s="2" t="inlineStr">
        <is>
          <t>Flumazenil 0.2 mg IV stat</t>
        </is>
      </c>
      <c r="I1487" s="8" t="inlineStr">
        <is>
          <t>1</t>
        </is>
      </c>
      <c r="J14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87" s="2" t="n"/>
      <c r="L1487" s="2" t="inlineStr">
        <is>
          <t>General Therapeutics</t>
        </is>
      </c>
      <c r="M1487" s="2" t="inlineStr">
        <is>
          <t>Clinic</t>
        </is>
      </c>
      <c r="N1487" s="2" t="inlineStr">
        <is>
          <t>ข้อ 3 (PLE_CC1_Key_Rx20_UBU.md)</t>
        </is>
      </c>
      <c r="O1487" s="2" t="inlineStr">
        <is>
          <t>Mock</t>
        </is>
      </c>
      <c r="P1487" s="2" t="inlineStr">
        <is>
          <t>Mock Rx20 UBU</t>
        </is>
      </c>
    </row>
    <row r="1488" ht="13.2" customHeight="1" s="37">
      <c r="A1488" s="8" t="inlineStr">
        <is>
          <t>1509</t>
        </is>
      </c>
      <c r="B1488" s="2" t="inlineStr">
        <is>
          <t>ยาออกฤทธิ์ได้เร็ว</t>
        </is>
      </c>
      <c r="C1488" s="2" t="n"/>
      <c r="D1488" s="2" t="inlineStr">
        <is>
          <t>Naloxone 0.4 mg IV stat</t>
        </is>
      </c>
      <c r="E1488" s="2" t="inlineStr">
        <is>
          <t>Flumazenil 0.2 mg IV stat</t>
        </is>
      </c>
      <c r="F1488" s="2" t="inlineStr">
        <is>
          <t>Vitamin K1 (Phytomenadione) 10 mg IV slow</t>
        </is>
      </c>
      <c r="G1488" s="2" t="inlineStr">
        <is>
          <t>Sodium thiosulfate 25% 50 mL IV</t>
        </is>
      </c>
      <c r="H1488" s="2" t="inlineStr">
        <is>
          <t>Calcium disodium EDTA 1 g IV</t>
        </is>
      </c>
      <c r="I1488" s="8" t="inlineStr">
        <is>
          <t>1</t>
        </is>
      </c>
      <c r="J14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88" s="2" t="n"/>
      <c r="L1488" s="2" t="inlineStr">
        <is>
          <t>General Therapeutics</t>
        </is>
      </c>
      <c r="M1488" s="2" t="inlineStr">
        <is>
          <t>Clinic</t>
        </is>
      </c>
      <c r="N1488" s="2" t="inlineStr">
        <is>
          <t>ข้อ 4 (PLE_CC1_Key_Rx20_UBU.md)</t>
        </is>
      </c>
      <c r="O1488" s="2" t="inlineStr">
        <is>
          <t>Mock</t>
        </is>
      </c>
      <c r="P1488" s="2" t="inlineStr">
        <is>
          <t>Mock Rx20 UBU</t>
        </is>
      </c>
    </row>
    <row r="1489" ht="13.2" customHeight="1" s="37">
      <c r="A1489" s="8" t="inlineStr">
        <is>
          <t>1510</t>
        </is>
      </c>
      <c r="B1489" s="2" t="inlineStr">
        <is>
          <t>เกิดอันตรกิริยากับยาอื่นน้อย</t>
        </is>
      </c>
      <c r="C1489" s="2" t="n"/>
      <c r="D1489" s="2" t="inlineStr">
        <is>
          <t>Sodium thiosulfate 25% 50 mL IV</t>
        </is>
      </c>
      <c r="E1489" s="2" t="inlineStr">
        <is>
          <t>Calcium disodium EDTA 1 g IV</t>
        </is>
      </c>
      <c r="F1489" s="2" t="inlineStr">
        <is>
          <t>Desferrioxamine 1 g IM/IV</t>
        </is>
      </c>
      <c r="G1489" s="2" t="inlineStr">
        <is>
          <t>Dimercaprol (BAL) 3 mg/kg IM</t>
        </is>
      </c>
      <c r="H1489" s="2" t="inlineStr">
        <is>
          <t>Ethanol 10% IV infusion for Methanol poisoning</t>
        </is>
      </c>
      <c r="I1489" s="8" t="inlineStr">
        <is>
          <t>1</t>
        </is>
      </c>
      <c r="J14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89" s="2" t="n"/>
      <c r="L1489" s="2" t="inlineStr">
        <is>
          <t>General Therapeutics</t>
        </is>
      </c>
      <c r="M1489" s="2" t="inlineStr">
        <is>
          <t>Clinic</t>
        </is>
      </c>
      <c r="N1489" s="2" t="inlineStr">
        <is>
          <t>ข้อ 5 (PLE_CC1_Key_Rx20_UBU.md)</t>
        </is>
      </c>
      <c r="O1489" s="2" t="inlineStr">
        <is>
          <t>Mock</t>
        </is>
      </c>
      <c r="P1489" s="2" t="inlineStr">
        <is>
          <t>Mock Rx20 UBU</t>
        </is>
      </c>
    </row>
    <row r="1490" ht="13.2" customHeight="1" s="37">
      <c r="A1490" s="8" t="inlineStr">
        <is>
          <t>1511</t>
        </is>
      </c>
      <c r="B1490" s="2" t="inlineStr">
        <is>
          <t>ควรรับประทานยาในเวลาเดียวกันทุกวัน</t>
        </is>
      </c>
      <c r="C1490" s="2" t="n"/>
      <c r="D1490" s="2" t="inlineStr">
        <is>
          <t>Dimercaprol (BAL) 3 mg/kg IM</t>
        </is>
      </c>
      <c r="E1490" s="2" t="inlineStr">
        <is>
          <t>Ethanol 10% IV infusion for Methanol poisoning</t>
        </is>
      </c>
      <c r="F1490" s="2" t="inlineStr">
        <is>
          <t>Fomepizole 15 mg/kg IV loading</t>
        </is>
      </c>
      <c r="G1490" s="2" t="inlineStr">
        <is>
          <t>N-acetylcysteine (NAC) IV infusion protocol</t>
        </is>
      </c>
      <c r="H1490" s="2" t="inlineStr">
        <is>
          <t>Atropine sulfate 2 mg IV Q5-10 min</t>
        </is>
      </c>
      <c r="I1490" s="8" t="inlineStr">
        <is>
          <t>1</t>
        </is>
      </c>
      <c r="J14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0" s="2" t="n"/>
      <c r="L1490" s="2" t="inlineStr">
        <is>
          <t>General Therapeutics</t>
        </is>
      </c>
      <c r="M1490" s="2" t="inlineStr">
        <is>
          <t>Clinic</t>
        </is>
      </c>
      <c r="N1490" s="2" t="inlineStr">
        <is>
          <t>ข้อ 1 (PLE_CC1_Key_Rx20_UBU.md)</t>
        </is>
      </c>
      <c r="O1490" s="2" t="inlineStr">
        <is>
          <t>Mock</t>
        </is>
      </c>
      <c r="P1490" s="2" t="inlineStr">
        <is>
          <t>Mock Rx20 UBU</t>
        </is>
      </c>
    </row>
    <row r="1491" ht="13.2" customHeight="1" s="37">
      <c r="A1491" s="8" t="inlineStr">
        <is>
          <t>1512</t>
        </is>
      </c>
      <c r="B1491" s="2" t="inlineStr">
        <is>
          <t>ห้ามกินกับนมหรือยาลดกรด</t>
        </is>
      </c>
      <c r="C1491" s="2" t="n"/>
      <c r="D1491" s="2" t="inlineStr">
        <is>
          <t>Metoclopramide 10 mg TID before meals</t>
        </is>
      </c>
      <c r="E1491" s="2" t="inlineStr">
        <is>
          <t>Omeprazole 20 mg OD</t>
        </is>
      </c>
      <c r="F1491" s="2" t="inlineStr">
        <is>
          <t>Esomeprazole 20 mg OD</t>
        </is>
      </c>
      <c r="G1491" s="2" t="inlineStr">
        <is>
          <t>Domperidone 10 mg TID</t>
        </is>
      </c>
      <c r="H1491" s="2" t="inlineStr">
        <is>
          <t>Dimenhydrinate 50 mg TID</t>
        </is>
      </c>
      <c r="I1491" s="8" t="inlineStr">
        <is>
          <t>1</t>
        </is>
      </c>
      <c r="J1491" s="2" t="inlineStr">
        <is>
          <t>✅ คำตอบที่ถูกต้อง: ข้อ ก. Metoclopramide 10 mg TID before meals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(Domperidone 10 mg TID): เป็น peripheral D2 receptor antagonist เพิ่ม GI motility ไม่ผ่าน BBB จึงไม่ทำให้เกิด EPS เด่นชัด แต่ต้องระวัง QT prolongation ในขนาดสูง (&gt; 30 mg/day)
• ข้อ จ. (Dimenhydrinate 50 mg TID): ข้อนี้ไม่ใช่คำตอบที่ถูกต้องสำหรับภาวะ GI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91" s="2" t="n"/>
      <c r="L1491" s="2" t="inlineStr">
        <is>
          <t>GI Disorders</t>
        </is>
      </c>
      <c r="M1491" s="2" t="inlineStr">
        <is>
          <t>Clinic</t>
        </is>
      </c>
      <c r="N1491" s="2" t="inlineStr">
        <is>
          <t>ข้อ 2 (PLE_CC1_Key_Rx20_UBU.md)</t>
        </is>
      </c>
      <c r="O1491" s="2" t="inlineStr">
        <is>
          <t>Mock</t>
        </is>
      </c>
      <c r="P1491" s="2" t="inlineStr">
        <is>
          <t>Mock Rx20 UBU</t>
        </is>
      </c>
    </row>
    <row r="1492" ht="13.2" customHeight="1" s="37">
      <c r="A1492" s="8" t="inlineStr">
        <is>
          <t>1513</t>
        </is>
      </c>
      <c r="B1492" s="2" t="inlineStr">
        <is>
          <t>ควรรับประทานยานี้ก่อนนอน</t>
        </is>
      </c>
      <c r="C1492" s="2" t="n"/>
      <c r="D1492" s="2" t="inlineStr">
        <is>
          <t>Naloxone 0.4 mg IV stat</t>
        </is>
      </c>
      <c r="E1492" s="2" t="inlineStr">
        <is>
          <t>Flumazenil 0.2 mg IV stat</t>
        </is>
      </c>
      <c r="F1492" s="2" t="inlineStr">
        <is>
          <t>Vitamin K1 (Phytomenadione) 10 mg IV slow</t>
        </is>
      </c>
      <c r="G1492" s="2" t="inlineStr">
        <is>
          <t>Sodium thiosulfate 25% 50 mL IV</t>
        </is>
      </c>
      <c r="H1492" s="2" t="inlineStr">
        <is>
          <t>Calcium disodium EDTA 1 g IV</t>
        </is>
      </c>
      <c r="I1492" s="8" t="inlineStr">
        <is>
          <t>1</t>
        </is>
      </c>
      <c r="J14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492" s="2" t="n"/>
      <c r="L1492" s="2" t="inlineStr">
        <is>
          <t>General Therapeutics</t>
        </is>
      </c>
      <c r="M1492" s="2" t="inlineStr">
        <is>
          <t>Clinic</t>
        </is>
      </c>
      <c r="N1492" s="2" t="inlineStr">
        <is>
          <t>ข้อ 3 (PLE_CC1_Key_Rx20_UBU.md)</t>
        </is>
      </c>
      <c r="O1492" s="2" t="inlineStr">
        <is>
          <t>Mock</t>
        </is>
      </c>
      <c r="P1492" s="2" t="inlineStr">
        <is>
          <t>Mock Rx20 UBU</t>
        </is>
      </c>
    </row>
    <row r="1493" ht="13.2" customHeight="1" s="37">
      <c r="A1493" s="8" t="inlineStr">
        <is>
          <t>1514</t>
        </is>
      </c>
      <c r="B1493" s="2" t="inlineStr">
        <is>
          <t>ควรรับประทานยานี้หลังอาหารทันที</t>
        </is>
      </c>
      <c r="C1493" s="2" t="n"/>
      <c r="D1493" s="2" t="inlineStr">
        <is>
          <t>Sodium thiosulfate 25% 50 mL IV</t>
        </is>
      </c>
      <c r="E1493" s="2" t="inlineStr">
        <is>
          <t>Calcium disodium EDTA 1 g IV</t>
        </is>
      </c>
      <c r="F1493" s="2" t="inlineStr">
        <is>
          <t>Desferrioxamine 1 g IM/IV</t>
        </is>
      </c>
      <c r="G1493" s="2" t="inlineStr">
        <is>
          <t>Dimercaprol (BAL) 3 mg/kg IM</t>
        </is>
      </c>
      <c r="H1493" s="2" t="inlineStr">
        <is>
          <t>Ethanol 10% IV infusion for Methanol poisoning</t>
        </is>
      </c>
      <c r="I1493" s="8" t="inlineStr">
        <is>
          <t>1</t>
        </is>
      </c>
      <c r="J14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3" s="2" t="n"/>
      <c r="L1493" s="2" t="inlineStr">
        <is>
          <t>General Therapeutics</t>
        </is>
      </c>
      <c r="M1493" s="2" t="inlineStr">
        <is>
          <t>Clinic</t>
        </is>
      </c>
      <c r="N1493" s="2" t="inlineStr">
        <is>
          <t>ข้อ 4 (PLE_CC1_Key_Rx20_UBU.md)</t>
        </is>
      </c>
      <c r="O1493" s="2" t="inlineStr">
        <is>
          <t>Mock</t>
        </is>
      </c>
      <c r="P1493" s="2" t="inlineStr">
        <is>
          <t>Mock Rx20 UBU</t>
        </is>
      </c>
    </row>
    <row r="1494" ht="13.2" customHeight="1" s="37">
      <c r="A1494" s="8" t="inlineStr">
        <is>
          <t>1515</t>
        </is>
      </c>
      <c r="B1494" s="2" t="inlineStr">
        <is>
          <t>ค่อยๆลุกขึ้นนั่งขณะเปลี่ยนอิริยาบถ</t>
        </is>
      </c>
      <c r="C1494" s="2" t="n"/>
      <c r="D1494" s="2" t="inlineStr">
        <is>
          <t>Dimercaprol (BAL) 3 mg/kg IM</t>
        </is>
      </c>
      <c r="E1494" s="2" t="inlineStr">
        <is>
          <t>Ethanol 10% IV infusion for Methanol poisoning</t>
        </is>
      </c>
      <c r="F1494" s="2" t="inlineStr">
        <is>
          <t>Fomepizole 15 mg/kg IV loading</t>
        </is>
      </c>
      <c r="G1494" s="2" t="inlineStr">
        <is>
          <t>N-acetylcysteine (NAC) IV infusion protocol</t>
        </is>
      </c>
      <c r="H1494" s="2" t="inlineStr">
        <is>
          <t>Atropine sulfate 2 mg IV Q5-10 min</t>
        </is>
      </c>
      <c r="I1494" s="8" t="inlineStr">
        <is>
          <t>1</t>
        </is>
      </c>
      <c r="J14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4" s="2" t="n"/>
      <c r="L1494" s="2" t="inlineStr">
        <is>
          <t>General Therapeutics</t>
        </is>
      </c>
      <c r="M1494" s="2" t="inlineStr">
        <is>
          <t>Clinic</t>
        </is>
      </c>
      <c r="N1494" s="2" t="inlineStr">
        <is>
          <t>ข้อ 5 (PLE_CC1_Key_Rx20_UBU.md)</t>
        </is>
      </c>
      <c r="O1494" s="2" t="inlineStr">
        <is>
          <t>Mock</t>
        </is>
      </c>
      <c r="P1494" s="2" t="inlineStr">
        <is>
          <t>Mock Rx20 UBU</t>
        </is>
      </c>
    </row>
    <row r="1495" ht="13.2" customHeight="1" s="37">
      <c r="A1495" s="8" t="inlineStr">
        <is>
          <t>1516</t>
        </is>
      </c>
      <c r="B1495" s="2" t="inlineStr">
        <is>
          <t>Continuous Scale</t>
        </is>
      </c>
      <c r="C1495" s="2" t="n"/>
      <c r="D1495" s="2" t="inlineStr">
        <is>
          <t>N-acetylcysteine (NAC) IV infusion protocol</t>
        </is>
      </c>
      <c r="E1495" s="2" t="inlineStr">
        <is>
          <t>Atropine sulfate 2 mg IV Q5-10 min</t>
        </is>
      </c>
      <c r="F1495" s="2" t="inlineStr">
        <is>
          <t>Pralidoxime (2-PAM) 1-2 g IV over 30 min</t>
        </is>
      </c>
      <c r="G1495" s="2" t="inlineStr">
        <is>
          <t>Naloxone 0.4 mg IV stat</t>
        </is>
      </c>
      <c r="H1495" s="2" t="inlineStr">
        <is>
          <t>Flumazenil 0.2 mg IV stat</t>
        </is>
      </c>
      <c r="I1495" s="8" t="inlineStr">
        <is>
          <t>1</t>
        </is>
      </c>
      <c r="J14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495" s="2" t="n"/>
      <c r="L1495" s="2" t="inlineStr">
        <is>
          <t>General Therapeutics</t>
        </is>
      </c>
      <c r="M1495" s="2" t="inlineStr">
        <is>
          <t>Clinic</t>
        </is>
      </c>
      <c r="N1495" s="2" t="inlineStr">
        <is>
          <t>ข้อ 5 (PLE_CC1_Key_Rx20_UBU.md)</t>
        </is>
      </c>
      <c r="O1495" s="2" t="inlineStr">
        <is>
          <t>Mock</t>
        </is>
      </c>
      <c r="P1495" s="2" t="inlineStr">
        <is>
          <t>Mock Rx20 UBU</t>
        </is>
      </c>
    </row>
    <row r="1496" ht="13.2" customHeight="1" s="37">
      <c r="A1496" s="8" t="inlineStr">
        <is>
          <t>1517</t>
        </is>
      </c>
      <c r="B1496" s="2" t="inlineStr">
        <is>
          <t>เป็นยาควบคุมพิเศษ สงวนไว้ใช้เฉพาะภายในโรงพยาบาลเท่านั้น</t>
        </is>
      </c>
      <c r="C1496" s="2" t="n"/>
      <c r="D1496" s="2" t="inlineStr">
        <is>
          <t>พ.ร.บ. ยาเสพติดให้โทษ พ.ศ. 2522 (ยาเสพติดให้โทษประเภท 2 และ 3)</t>
        </is>
      </c>
      <c r="E1496" s="2" t="inlineStr">
        <is>
          <t>พ.ร.บ. วัตถุที่ออกฤทธิ์ต่อจิตและประสาท พ.ศ. 2559 (ประเภท 2 และ 4)</t>
        </is>
      </c>
      <c r="F1496" s="2" t="inlineStr">
        <is>
          <t>พ.ร.บ. วิชาชีพเภสัชกรรม พ.ศ. 2537 และข้อบังคับจรรยาบรรณวิชาชีพ</t>
        </is>
      </c>
      <c r="G1496" s="2" t="inlineStr">
        <is>
          <t>พ.ร.บ. ผลิตภัณฑ์สมุนไพร พ.ศ. 2562</t>
        </is>
      </c>
      <c r="H1496" s="2" t="inlineStr">
        <is>
          <t>พ.ร.บ. เครื่องสำอาง พ.ศ. 2558</t>
        </is>
      </c>
      <c r="I1496" s="8" t="inlineStr">
        <is>
          <t>1</t>
        </is>
      </c>
      <c r="J149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6" s="2" t="n"/>
      <c r="L1496" s="2" t="inlineStr">
        <is>
          <t>Pharmacy Laws &amp; Ethics</t>
        </is>
      </c>
      <c r="M1496" s="2" t="inlineStr">
        <is>
          <t>SAP</t>
        </is>
      </c>
      <c r="N1496" s="2" t="inlineStr">
        <is>
          <t>ข้อ 1 (PLE_CC1_Key_Rx20_UBU.md)</t>
        </is>
      </c>
      <c r="O1496" s="2" t="inlineStr">
        <is>
          <t>Mock</t>
        </is>
      </c>
      <c r="P1496" s="2" t="inlineStr">
        <is>
          <t>Mock Rx20 UBU</t>
        </is>
      </c>
    </row>
    <row r="1497" ht="13.2" customHeight="1" s="37">
      <c r="A1497" s="8" t="inlineStr">
        <is>
          <t>1518</t>
        </is>
      </c>
      <c r="B1497" s="2" t="inlineStr">
        <is>
          <t>เป็นยาควบคุมพิเศษ ห้ามจำหน่ายในร้านยาโดยไม่มีใบสั่งแพทย์</t>
        </is>
      </c>
      <c r="C1497" s="2" t="n"/>
      <c r="D1497" s="2" t="inlineStr">
        <is>
          <t>พ.ร.บ. ผลิตภัณฑ์สมุนไพร พ.ศ. 2562</t>
        </is>
      </c>
      <c r="E1497" s="2" t="inlineStr">
        <is>
          <t>พ.ร.บ. เครื่องสำอาง พ.ศ. 2558</t>
        </is>
      </c>
      <c r="F1497" s="2" t="inlineStr">
        <is>
          <t>พ.ร.บ. หลักประกันสุขภาพแห่งชาติ พ.ศ. 2545</t>
        </is>
      </c>
      <c r="G1497" s="2" t="inlineStr">
        <is>
          <t>การปฏิบัติทางเภสัชกรรมชุมชน (Good Pharmacy Practice: GPP)</t>
        </is>
      </c>
      <c r="H1497" s="2" t="inlineStr">
        <is>
          <t>บัญชียาหลักแห่งชาติ (National List of Essential Medicines: NLEM)</t>
        </is>
      </c>
      <c r="I1497" s="8" t="inlineStr">
        <is>
          <t>1</t>
        </is>
      </c>
      <c r="J149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7" s="2" t="n"/>
      <c r="L1497" s="2" t="inlineStr">
        <is>
          <t>Pharmacy Laws &amp; Ethics</t>
        </is>
      </c>
      <c r="M1497" s="2" t="inlineStr">
        <is>
          <t>SAP</t>
        </is>
      </c>
      <c r="N1497" s="2" t="inlineStr">
        <is>
          <t>ข้อ 2 (PLE_CC1_Key_Rx20_UBU.md)</t>
        </is>
      </c>
      <c r="O1497" s="2" t="inlineStr">
        <is>
          <t>Mock</t>
        </is>
      </c>
      <c r="P1497" s="2" t="inlineStr">
        <is>
          <t>Mock Rx20 UBU</t>
        </is>
      </c>
    </row>
    <row r="1498" ht="13.2" customHeight="1" s="37">
      <c r="A1498" s="8" t="inlineStr">
        <is>
          <t>1519</t>
        </is>
      </c>
      <c r="B1498" s="2" t="inlineStr">
        <is>
          <t>เป็นยาอันตราย ที่สามารถจำหน่ายในร้านยาได้ แต่ต้องมีใบสั่งแพทย์</t>
        </is>
      </c>
      <c r="C1498" s="2" t="n"/>
      <c r="D1498" s="2" t="inlineStr">
        <is>
          <t>การปฏิบัติทางเภสัชกรรมชุมชน (Good Pharmacy Practice: GPP)</t>
        </is>
      </c>
      <c r="E1498" s="2" t="inlineStr">
        <is>
          <t>บัญชียาหลักแห่งชาติ (National List of Essential Medicines: NLEM)</t>
        </is>
      </c>
      <c r="F1498" s="2" t="inlineStr">
        <is>
          <t>เกณฑ์จริยธรรมว่าด้วยการส่งเสริมการขายยาของกระทรวงสาธารณสุข</t>
        </is>
      </c>
      <c r="G1498" s="2" t="inlineStr">
        <is>
          <t>พ.ร.บ. ยา พ.ศ. 2510 (การจำหน่ายยาอันตรายและยาควบคุมพิเศษ)</t>
        </is>
      </c>
      <c r="H1498" s="2" t="inlineStr">
        <is>
          <t>พ.ร.บ. ยาเสพติดให้โทษ พ.ศ. 2522 (ยาเสพติดให้โทษประเภท 2 และ 3)</t>
        </is>
      </c>
      <c r="I1498" s="8" t="inlineStr">
        <is>
          <t>1</t>
        </is>
      </c>
      <c r="J149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8" s="2" t="n"/>
      <c r="L1498" s="2" t="inlineStr">
        <is>
          <t>Pharmacy Laws &amp; Ethics</t>
        </is>
      </c>
      <c r="M1498" s="2" t="inlineStr">
        <is>
          <t>SAP</t>
        </is>
      </c>
      <c r="N1498" s="2" t="inlineStr">
        <is>
          <t>ข้อ 3 (PLE_CC1_Key_Rx20_UBU.md)</t>
        </is>
      </c>
      <c r="O1498" s="2" t="inlineStr">
        <is>
          <t>Mock</t>
        </is>
      </c>
      <c r="P1498" s="2" t="inlineStr">
        <is>
          <t>Mock Rx20 UBU</t>
        </is>
      </c>
    </row>
    <row r="1499" ht="13.2" customHeight="1" s="37">
      <c r="A1499" s="8" t="inlineStr">
        <is>
          <t>1520</t>
        </is>
      </c>
      <c r="B1499" s="2" t="inlineStr">
        <is>
          <t>เป็นยาแผนปัจจุบันบรรจุเสร็จที่ไม่ใช่ยาอันตรายหรือยาควบคุมพิเศษ จำหน่ายได้ใน ขย.2 เพราะเป็นยาอันตราย</t>
        </is>
      </c>
      <c r="C1499" s="2" t="n"/>
      <c r="D1499" s="2" t="inlineStr">
        <is>
          <t>พ.ร.บ. ยา พ.ศ. 2510 (การจำหน่ายยาอันตรายและยาควบคุมพิเศษ)</t>
        </is>
      </c>
      <c r="E1499" s="2" t="inlineStr">
        <is>
          <t>พ.ร.บ. ยาเสพติดให้โทษ พ.ศ. 2522 (ยาเสพติดให้โทษประเภท 2 และ 3)</t>
        </is>
      </c>
      <c r="F1499" s="2" t="inlineStr">
        <is>
          <t>พ.ร.บ. วัตถุที่ออกฤทธิ์ต่อจิตและประสาท พ.ศ. 2559 (ประเภท 2 และ 4)</t>
        </is>
      </c>
      <c r="G1499" s="2" t="inlineStr">
        <is>
          <t>พ.ร.บ. วิชาชีพเภสัชกรรม พ.ศ. 2537 และข้อบังคับจรรยาบรรณวิชาชีพ</t>
        </is>
      </c>
      <c r="H1499" s="2" t="inlineStr">
        <is>
          <t>พ.ร.บ. ผลิตภัณฑ์สมุนไพร พ.ศ. 2562</t>
        </is>
      </c>
      <c r="I1499" s="8" t="inlineStr">
        <is>
          <t>1</t>
        </is>
      </c>
      <c r="J149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9" s="2" t="n"/>
      <c r="L1499" s="2" t="inlineStr">
        <is>
          <t>Pharmacy Laws &amp; Ethics</t>
        </is>
      </c>
      <c r="M1499" s="2" t="inlineStr">
        <is>
          <t>SAP</t>
        </is>
      </c>
      <c r="N1499" s="2" t="inlineStr">
        <is>
          <t>ข้อ 5 (PLE_CC1_Key_Rx20_UBU.md)</t>
        </is>
      </c>
      <c r="O1499" s="2" t="inlineStr">
        <is>
          <t>Mock</t>
        </is>
      </c>
      <c r="P1499" s="2" t="inlineStr">
        <is>
          <t>Mock Rx20 UBU</t>
        </is>
      </c>
    </row>
    <row r="1500" ht="13.2" customHeight="1" s="37">
      <c r="A1500" s="8" t="inlineStr">
        <is>
          <t>1521</t>
        </is>
      </c>
      <c r="B1500" s="2" t="inlineStr">
        <is>
          <t>ยาใดที่ควรเลือกใช้เป็นตัวแรกในผู้ป่วยรายนี้</t>
        </is>
      </c>
      <c r="C1500" s="2" t="n"/>
      <c r="D1500" s="2" t="inlineStr">
        <is>
          <t>Naloxone 0.4 mg IV stat</t>
        </is>
      </c>
      <c r="E1500" s="2" t="inlineStr">
        <is>
          <t>Flumazenil 0.2 mg IV stat</t>
        </is>
      </c>
      <c r="F1500" s="2" t="inlineStr">
        <is>
          <t>Vitamin K1 (Phytomenadione) 10 mg IV slow</t>
        </is>
      </c>
      <c r="G1500" s="2" t="inlineStr">
        <is>
          <t>Sodium thiosulfate 25% 50 mL IV</t>
        </is>
      </c>
      <c r="H1500" s="2" t="inlineStr">
        <is>
          <t>Calcium disodium EDTA 1 g IV</t>
        </is>
      </c>
      <c r="I1500" s="8" t="inlineStr">
        <is>
          <t>1</t>
        </is>
      </c>
      <c r="J15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00" s="2" t="n"/>
      <c r="L1500" s="2" t="inlineStr">
        <is>
          <t>General Therapeutics</t>
        </is>
      </c>
      <c r="M1500" s="2" t="inlineStr">
        <is>
          <t>Clinic</t>
        </is>
      </c>
      <c r="N1500" s="2" t="inlineStr">
        <is>
          <t>ข้อ 45 (PLE_CC1_Key_Rx20_UBU.md)</t>
        </is>
      </c>
      <c r="O1500" s="2" t="inlineStr">
        <is>
          <t>Mock</t>
        </is>
      </c>
      <c r="P1500" s="2" t="inlineStr">
        <is>
          <t>Mock Rx20 UBU</t>
        </is>
      </c>
    </row>
    <row r="1501" ht="13.2" customHeight="1" s="37">
      <c r="A1501" s="8" t="inlineStr">
        <is>
          <t>1522</t>
        </is>
      </c>
      <c r="B1501" s="2" t="inlineStr">
        <is>
          <t>จากข้อ 2 เหตุใดจึงเลือกยาดังกล่าวเป็นลำดับแรก</t>
        </is>
      </c>
      <c r="C1501" s="2" t="n"/>
      <c r="D1501" s="2" t="inlineStr">
        <is>
          <t>Sodium thiosulfate 25% 50 mL IV</t>
        </is>
      </c>
      <c r="E1501" s="2" t="inlineStr">
        <is>
          <t>Calcium disodium EDTA 1 g IV</t>
        </is>
      </c>
      <c r="F1501" s="2" t="inlineStr">
        <is>
          <t>Desferrioxamine 1 g IM/IV</t>
        </is>
      </c>
      <c r="G1501" s="2" t="inlineStr">
        <is>
          <t>Dimercaprol (BAL) 3 mg/kg IM</t>
        </is>
      </c>
      <c r="H1501" s="2" t="inlineStr">
        <is>
          <t>Ethanol 10% IV infusion for Methanol poisoning</t>
        </is>
      </c>
      <c r="I1501" s="8" t="inlineStr">
        <is>
          <t>1</t>
        </is>
      </c>
      <c r="J15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1" s="2" t="n"/>
      <c r="L1501" s="2" t="inlineStr">
        <is>
          <t>General Therapeutics</t>
        </is>
      </c>
      <c r="M1501" s="2" t="inlineStr">
        <is>
          <t>Clinic</t>
        </is>
      </c>
      <c r="N1501" s="2" t="inlineStr">
        <is>
          <t>ข้อ 46 (PLE_CC1_Key_Rx20_UBU.md)</t>
        </is>
      </c>
      <c r="O1501" s="2" t="inlineStr">
        <is>
          <t>Mock</t>
        </is>
      </c>
      <c r="P1501" s="2" t="inlineStr">
        <is>
          <t>Mock Rx20 UBU</t>
        </is>
      </c>
    </row>
    <row r="1502" ht="13.2" customHeight="1" s="37">
      <c r="A1502" s="8" t="inlineStr">
        <is>
          <t>1523</t>
        </is>
      </c>
      <c r="B1502" s="2" t="inlineStr">
        <is>
          <t>ผู้ป่วยมีน้ำหนักเกิน</t>
        </is>
      </c>
      <c r="C1502" s="2" t="n"/>
      <c r="D1502" s="2" t="inlineStr">
        <is>
          <t>Dimercaprol (BAL) 3 mg/kg IM</t>
        </is>
      </c>
      <c r="E1502" s="2" t="inlineStr">
        <is>
          <t>Ethanol 10% IV infusion for Methanol poisoning</t>
        </is>
      </c>
      <c r="F1502" s="2" t="inlineStr">
        <is>
          <t>Fomepizole 15 mg/kg IV loading</t>
        </is>
      </c>
      <c r="G1502" s="2" t="inlineStr">
        <is>
          <t>N-acetylcysteine (NAC) IV infusion protocol</t>
        </is>
      </c>
      <c r="H1502" s="2" t="inlineStr">
        <is>
          <t>Atropine sulfate 2 mg IV Q5-10 min</t>
        </is>
      </c>
      <c r="I1502" s="8" t="inlineStr">
        <is>
          <t>1</t>
        </is>
      </c>
      <c r="J15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2" s="2" t="n"/>
      <c r="L1502" s="2" t="inlineStr">
        <is>
          <t>General Therapeutics</t>
        </is>
      </c>
      <c r="M1502" s="2" t="inlineStr">
        <is>
          <t>Clinic</t>
        </is>
      </c>
      <c r="N1502" s="2" t="inlineStr">
        <is>
          <t>ข้อ 1 (PLE_CC1_Key_Rx20_UBU.md)</t>
        </is>
      </c>
      <c r="O1502" s="2" t="inlineStr">
        <is>
          <t>Mock</t>
        </is>
      </c>
      <c r="P1502" s="2" t="inlineStr">
        <is>
          <t>Mock Rx20 UBU</t>
        </is>
      </c>
    </row>
    <row r="1503" ht="13.2" customHeight="1" s="37">
      <c r="A1503" s="8" t="inlineStr">
        <is>
          <t>1524</t>
        </is>
      </c>
      <c r="B1503" s="2" t="inlineStr">
        <is>
          <t>ยับยั้ง กระบวนการ gluconeogenesis</t>
        </is>
      </c>
      <c r="C1503" s="2" t="n"/>
      <c r="D1503" s="2" t="inlineStr">
        <is>
          <t>N-acetylcysteine (NAC) IV infusion protocol</t>
        </is>
      </c>
      <c r="E1503" s="2" t="inlineStr">
        <is>
          <t>Atropine sulfate 2 mg IV Q5-10 min</t>
        </is>
      </c>
      <c r="F1503" s="2" t="inlineStr">
        <is>
          <t>Pralidoxime (2-PAM) 1-2 g IV over 30 min</t>
        </is>
      </c>
      <c r="G1503" s="2" t="inlineStr">
        <is>
          <t>Naloxone 0.4 mg IV stat</t>
        </is>
      </c>
      <c r="H1503" s="2" t="inlineStr">
        <is>
          <t>Flumazenil 0.2 mg IV stat</t>
        </is>
      </c>
      <c r="I1503" s="8" t="inlineStr">
        <is>
          <t>1</t>
        </is>
      </c>
      <c r="J15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03" s="2" t="n"/>
      <c r="L1503" s="2" t="inlineStr">
        <is>
          <t>General Therapeutics</t>
        </is>
      </c>
      <c r="M1503" s="2" t="inlineStr">
        <is>
          <t>Clinic</t>
        </is>
      </c>
      <c r="N1503" s="2" t="inlineStr">
        <is>
          <t>ข้อ 1 (PLE_CC1_Key_Rx20_UBU.md)</t>
        </is>
      </c>
      <c r="O1503" s="2" t="inlineStr">
        <is>
          <t>Mock</t>
        </is>
      </c>
      <c r="P1503" s="2" t="inlineStr">
        <is>
          <t>Mock Rx20 UBU</t>
        </is>
      </c>
    </row>
    <row r="1504" ht="13.2" customHeight="1" s="37">
      <c r="A1504" s="8" t="inlineStr">
        <is>
          <t>1525</t>
        </is>
      </c>
      <c r="B1504" s="2" t="inlineStr">
        <is>
          <t>กระตุ้นการหลั่ง glucagon จากตับอ่อน</t>
        </is>
      </c>
      <c r="C1504" s="2" t="n"/>
      <c r="D1504" s="2" t="inlineStr">
        <is>
          <t>Naloxone 0.4 mg IV stat</t>
        </is>
      </c>
      <c r="E1504" s="2" t="inlineStr">
        <is>
          <t>Flumazenil 0.2 mg IV stat</t>
        </is>
      </c>
      <c r="F1504" s="2" t="inlineStr">
        <is>
          <t>Vitamin K1 (Phytomenadione) 10 mg IV slow</t>
        </is>
      </c>
      <c r="G1504" s="2" t="inlineStr">
        <is>
          <t>Sodium thiosulfate 25% 50 mL IV</t>
        </is>
      </c>
      <c r="H1504" s="2" t="inlineStr">
        <is>
          <t>Calcium disodium EDTA 1 g IV</t>
        </is>
      </c>
      <c r="I1504" s="8" t="inlineStr">
        <is>
          <t>1</t>
        </is>
      </c>
      <c r="J15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04" s="2" t="n"/>
      <c r="L1504" s="2" t="inlineStr">
        <is>
          <t>General Therapeutics</t>
        </is>
      </c>
      <c r="M1504" s="2" t="inlineStr">
        <is>
          <t>Clinic</t>
        </is>
      </c>
      <c r="N1504" s="2" t="inlineStr">
        <is>
          <t>ข้อ 2 (PLE_CC1_Key_Rx20_UBU.md)</t>
        </is>
      </c>
      <c r="O1504" s="2" t="inlineStr">
        <is>
          <t>Mock</t>
        </is>
      </c>
      <c r="P1504" s="2" t="inlineStr">
        <is>
          <t>Mock Rx20 UBU</t>
        </is>
      </c>
    </row>
    <row r="1505" ht="13.2" customHeight="1" s="37">
      <c r="A1505" s="8" t="inlineStr">
        <is>
          <t>1526</t>
        </is>
      </c>
      <c r="B1505" s="2" t="inlineStr">
        <is>
          <t>ยับยั้ง การดูดซึมน้ำตาลที่ลำไส้เล็ก</t>
        </is>
      </c>
      <c r="C1505" s="2" t="n"/>
      <c r="D1505" s="2" t="inlineStr">
        <is>
          <t>Sodium thiosulfate 25% 50 mL IV</t>
        </is>
      </c>
      <c r="E1505" s="2" t="inlineStr">
        <is>
          <t>Calcium disodium EDTA 1 g IV</t>
        </is>
      </c>
      <c r="F1505" s="2" t="inlineStr">
        <is>
          <t>Desferrioxamine 1 g IM/IV</t>
        </is>
      </c>
      <c r="G1505" s="2" t="inlineStr">
        <is>
          <t>Dimercaprol (BAL) 3 mg/kg IM</t>
        </is>
      </c>
      <c r="H1505" s="2" t="inlineStr">
        <is>
          <t>Ethanol 10% IV infusion for Methanol poisoning</t>
        </is>
      </c>
      <c r="I1505" s="8" t="inlineStr">
        <is>
          <t>1</t>
        </is>
      </c>
      <c r="J15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05" s="2" t="n"/>
      <c r="L1505" s="2" t="inlineStr">
        <is>
          <t>General Therapeutics</t>
        </is>
      </c>
      <c r="M1505" s="2" t="inlineStr">
        <is>
          <t>Clinic</t>
        </is>
      </c>
      <c r="N1505" s="2" t="inlineStr">
        <is>
          <t>ข้อ 4 (PLE_CC1_Key_Rx20_UBU.md)</t>
        </is>
      </c>
      <c r="O1505" s="2" t="inlineStr">
        <is>
          <t>Mock</t>
        </is>
      </c>
      <c r="P1505" s="2" t="inlineStr">
        <is>
          <t>Mock Rx20 UBU</t>
        </is>
      </c>
    </row>
    <row r="1506" ht="13.2" customHeight="1" s="37">
      <c r="A1506" s="8" t="inlineStr">
        <is>
          <t>1527</t>
        </is>
      </c>
      <c r="B1506" s="2" t="inlineStr">
        <is>
          <t>กระตุ้น PPAR-Gamma (NR1C3)</t>
        </is>
      </c>
      <c r="C1506" s="2" t="n"/>
      <c r="D1506" s="2" t="inlineStr">
        <is>
          <t>Dimercaprol (BAL) 3 mg/kg IM</t>
        </is>
      </c>
      <c r="E1506" s="2" t="inlineStr">
        <is>
          <t>Ethanol 10% IV infusion for Methanol poisoning</t>
        </is>
      </c>
      <c r="F1506" s="2" t="inlineStr">
        <is>
          <t>Fomepizole 15 mg/kg IV loading</t>
        </is>
      </c>
      <c r="G1506" s="2" t="inlineStr">
        <is>
          <t>N-acetylcysteine (NAC) IV infusion protocol</t>
        </is>
      </c>
      <c r="H1506" s="2" t="inlineStr">
        <is>
          <t>Atropine sulfate 2 mg IV Q5-10 min</t>
        </is>
      </c>
      <c r="I1506" s="8" t="inlineStr">
        <is>
          <t>1</t>
        </is>
      </c>
      <c r="J15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6" s="2" t="n"/>
      <c r="L1506" s="2" t="inlineStr">
        <is>
          <t>General Therapeutics</t>
        </is>
      </c>
      <c r="M1506" s="2" t="inlineStr">
        <is>
          <t>Clinic</t>
        </is>
      </c>
      <c r="N1506" s="2" t="inlineStr">
        <is>
          <t>ข้อ 5 (PLE_CC1_Key_Rx20_UBU.md)</t>
        </is>
      </c>
      <c r="O1506" s="2" t="inlineStr">
        <is>
          <t>Mock</t>
        </is>
      </c>
      <c r="P1506" s="2" t="inlineStr">
        <is>
          <t>Mock Rx20 UBU</t>
        </is>
      </c>
    </row>
    <row r="1507" ht="13.2" customHeight="1" s="37">
      <c r="A1507" s="8" t="inlineStr">
        <is>
          <t>1528</t>
        </is>
      </c>
      <c r="B1507" s="2" t="inlineStr">
        <is>
          <t>Coronary artery disease เสาS่เตาลJ ในหUด V ใW blood Flow สดน</t>
        </is>
      </c>
      <c r="C1507" s="2" t="n"/>
      <c r="D1507" s="2" t="inlineStr">
        <is>
          <t>N-acetylcysteine (NAC) IV infusion protocol</t>
        </is>
      </c>
      <c r="E1507" s="2" t="inlineStr">
        <is>
          <t>Atropine sulfate 2 mg IV Q5-10 min</t>
        </is>
      </c>
      <c r="F1507" s="2" t="inlineStr">
        <is>
          <t>Pralidoxime (2-PAM) 1-2 g IV over 30 min</t>
        </is>
      </c>
      <c r="G1507" s="2" t="inlineStr">
        <is>
          <t>Naloxone 0.4 mg IV stat</t>
        </is>
      </c>
      <c r="H1507" s="2" t="inlineStr">
        <is>
          <t>Flumazenil 0.2 mg IV stat</t>
        </is>
      </c>
      <c r="I1507" s="8" t="inlineStr">
        <is>
          <t>1</t>
        </is>
      </c>
      <c r="J15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07" s="2" t="n"/>
      <c r="L1507" s="2" t="inlineStr">
        <is>
          <t>General Therapeutics</t>
        </is>
      </c>
      <c r="M1507" s="2" t="inlineStr">
        <is>
          <t>Clinic</t>
        </is>
      </c>
      <c r="N1507" s="2" t="inlineStr">
        <is>
          <t>ข้อ 5 (PLE_CC1_Key_Rx20_UBU.md)</t>
        </is>
      </c>
      <c r="O1507" s="2" t="inlineStr">
        <is>
          <t>Mock</t>
        </is>
      </c>
      <c r="P1507" s="2" t="inlineStr">
        <is>
          <t>Mock Rx20 UBU</t>
        </is>
      </c>
    </row>
    <row r="1508" ht="13.2" customHeight="1" s="37">
      <c r="A1508" s="8" t="inlineStr">
        <is>
          <t>1529</t>
        </is>
      </c>
      <c r="B1508" s="2" t="inlineStr">
        <is>
          <t>สูตรโครงสร้างของ Gliclazide เป็นแบบใด ตอบ 1 sulfonylurea</t>
        </is>
      </c>
      <c r="C1508" s="2" t="n"/>
      <c r="D1508" s="2" t="inlineStr">
        <is>
          <t>Dapagliflozin 10 mg OD</t>
        </is>
      </c>
      <c r="E1508" s="2" t="inlineStr">
        <is>
          <t>Semaglutide 0.5 mg SC weekly</t>
        </is>
      </c>
      <c r="F1508" s="2" t="inlineStr">
        <is>
          <t>Metformin 500 mg BID</t>
        </is>
      </c>
      <c r="G1508" s="2" t="inlineStr">
        <is>
          <t>Glipizide 5 mg OD</t>
        </is>
      </c>
      <c r="H1508" s="2" t="inlineStr">
        <is>
          <t>Empagliflozin 10 mg OD</t>
        </is>
      </c>
      <c r="I1508" s="8" t="inlineStr">
        <is>
          <t>1</t>
        </is>
      </c>
      <c r="J1508" s="2"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08" s="2" t="n"/>
      <c r="L1508" s="2" t="inlineStr">
        <is>
          <t>Diabetes &amp; Endocrine</t>
        </is>
      </c>
      <c r="M1508" s="2" t="inlineStr">
        <is>
          <t>Clinic</t>
        </is>
      </c>
      <c r="N1508" s="2" t="inlineStr">
        <is>
          <t>ข้อ 48 (PLE_CC1_Key_Rx20_UBU.md)</t>
        </is>
      </c>
      <c r="O1508" s="2" t="inlineStr">
        <is>
          <t>Mock</t>
        </is>
      </c>
      <c r="P1508" s="2" t="inlineStr">
        <is>
          <t>Mock Rx20 UBU</t>
        </is>
      </c>
    </row>
    <row r="1509" ht="13.2" customHeight="1" s="37">
      <c r="A1509" s="8" t="inlineStr">
        <is>
          <t>1530</t>
        </is>
      </c>
      <c r="B1509" s="2" t="inlineStr">
        <is>
          <t>ต่ำกว่า 140/90 mmHg</t>
        </is>
      </c>
      <c r="C1509" s="2" t="n"/>
      <c r="D1509" s="2" t="inlineStr">
        <is>
          <t>Sodium thiosulfate 25% 50 mL IV</t>
        </is>
      </c>
      <c r="E1509" s="2" t="inlineStr">
        <is>
          <t>Calcium disodium EDTA 1 g IV</t>
        </is>
      </c>
      <c r="F1509" s="2" t="inlineStr">
        <is>
          <t>Desferrioxamine 1 g IM/IV</t>
        </is>
      </c>
      <c r="G1509" s="2" t="inlineStr">
        <is>
          <t>Dimercaprol (BAL) 3 mg/kg IM</t>
        </is>
      </c>
      <c r="H1509" s="2" t="inlineStr">
        <is>
          <t>Ethanol 10% IV infusion for Methanol poisoning</t>
        </is>
      </c>
      <c r="I1509" s="8" t="inlineStr">
        <is>
          <t>1</t>
        </is>
      </c>
      <c r="J15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9" s="2" t="n"/>
      <c r="L1509" s="2" t="inlineStr">
        <is>
          <t>General Therapeutics</t>
        </is>
      </c>
      <c r="M1509" s="2" t="inlineStr">
        <is>
          <t>Clinic</t>
        </is>
      </c>
      <c r="N1509" s="2" t="inlineStr">
        <is>
          <t>ข้อ 1 (PLE_CC1_Key_Rx20_UBU.md)</t>
        </is>
      </c>
      <c r="O1509" s="2" t="inlineStr">
        <is>
          <t>Mock</t>
        </is>
      </c>
      <c r="P1509" s="2" t="inlineStr">
        <is>
          <t>Mock Rx20 UBU</t>
        </is>
      </c>
    </row>
    <row r="1510" ht="13.2" customHeight="1" s="37">
      <c r="A1510" s="8" t="inlineStr">
        <is>
          <t>1531</t>
        </is>
      </c>
      <c r="B1510" s="2" t="inlineStr">
        <is>
          <t>ต่ำกว่า 130/80 mmHg</t>
        </is>
      </c>
      <c r="C1510" s="2" t="n"/>
      <c r="D1510" s="2" t="inlineStr">
        <is>
          <t>Dimercaprol (BAL) 3 mg/kg IM</t>
        </is>
      </c>
      <c r="E1510" s="2" t="inlineStr">
        <is>
          <t>Ethanol 10% IV infusion for Methanol poisoning</t>
        </is>
      </c>
      <c r="F1510" s="2" t="inlineStr">
        <is>
          <t>Fomepizole 15 mg/kg IV loading</t>
        </is>
      </c>
      <c r="G1510" s="2" t="inlineStr">
        <is>
          <t>N-acetylcysteine (NAC) IV infusion protocol</t>
        </is>
      </c>
      <c r="H1510" s="2" t="inlineStr">
        <is>
          <t>Atropine sulfate 2 mg IV Q5-10 min</t>
        </is>
      </c>
      <c r="I1510" s="8" t="inlineStr">
        <is>
          <t>1</t>
        </is>
      </c>
      <c r="J15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10" s="2" t="n"/>
      <c r="L1510" s="2" t="inlineStr">
        <is>
          <t>General Therapeutics</t>
        </is>
      </c>
      <c r="M1510" s="2" t="inlineStr">
        <is>
          <t>Clinic</t>
        </is>
      </c>
      <c r="N1510" s="2" t="inlineStr">
        <is>
          <t>ข้อ 2 (PLE_CC1_Key_Rx20_UBU.md)</t>
        </is>
      </c>
      <c r="O1510" s="2" t="inlineStr">
        <is>
          <t>Mock</t>
        </is>
      </c>
      <c r="P1510" s="2" t="inlineStr">
        <is>
          <t>Mock Rx20 UBU</t>
        </is>
      </c>
    </row>
    <row r="1511" ht="13.2" customHeight="1" s="37">
      <c r="A1511" s="8" t="inlineStr">
        <is>
          <t>1532</t>
        </is>
      </c>
      <c r="B1511" s="2" t="inlineStr">
        <is>
          <t>ต่ำกว่า 130/85 mmHg</t>
        </is>
      </c>
      <c r="C1511" s="2" t="n"/>
      <c r="D1511" s="2" t="inlineStr">
        <is>
          <t>N-acetylcysteine (NAC) IV infusion protocol</t>
        </is>
      </c>
      <c r="E1511" s="2" t="inlineStr">
        <is>
          <t>Atropine sulfate 2 mg IV Q5-10 min</t>
        </is>
      </c>
      <c r="F1511" s="2" t="inlineStr">
        <is>
          <t>Pralidoxime (2-PAM) 1-2 g IV over 30 min</t>
        </is>
      </c>
      <c r="G1511" s="2" t="inlineStr">
        <is>
          <t>Naloxone 0.4 mg IV stat</t>
        </is>
      </c>
      <c r="H1511" s="2" t="inlineStr">
        <is>
          <t>Flumazenil 0.2 mg IV stat</t>
        </is>
      </c>
      <c r="I1511" s="8" t="inlineStr">
        <is>
          <t>1</t>
        </is>
      </c>
      <c r="J15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11" s="2" t="n"/>
      <c r="L1511" s="2" t="inlineStr">
        <is>
          <t>General Therapeutics</t>
        </is>
      </c>
      <c r="M1511" s="2" t="inlineStr">
        <is>
          <t>Clinic</t>
        </is>
      </c>
      <c r="N1511" s="2" t="inlineStr">
        <is>
          <t>ข้อ 3 (PLE_CC1_Key_Rx20_UBU.md)</t>
        </is>
      </c>
      <c r="O1511" s="2" t="inlineStr">
        <is>
          <t>Mock</t>
        </is>
      </c>
      <c r="P1511" s="2" t="inlineStr">
        <is>
          <t>Mock Rx20 UBU</t>
        </is>
      </c>
    </row>
    <row r="1512" ht="13.2" customHeight="1" s="37">
      <c r="A1512" s="8" t="inlineStr">
        <is>
          <t>1533</t>
        </is>
      </c>
      <c r="B1512" s="2" t="inlineStr">
        <is>
          <t>ต่ำกว่า 130/90 mmHg</t>
        </is>
      </c>
      <c r="C1512" s="2" t="n"/>
      <c r="D1512" s="2" t="inlineStr">
        <is>
          <t>Naloxone 0.4 mg IV stat</t>
        </is>
      </c>
      <c r="E1512" s="2" t="inlineStr">
        <is>
          <t>Flumazenil 0.2 mg IV stat</t>
        </is>
      </c>
      <c r="F1512" s="2" t="inlineStr">
        <is>
          <t>Vitamin K1 (Phytomenadione) 10 mg IV slow</t>
        </is>
      </c>
      <c r="G1512" s="2" t="inlineStr">
        <is>
          <t>Sodium thiosulfate 25% 50 mL IV</t>
        </is>
      </c>
      <c r="H1512" s="2" t="inlineStr">
        <is>
          <t>Calcium disodium EDTA 1 g IV</t>
        </is>
      </c>
      <c r="I1512" s="8" t="inlineStr">
        <is>
          <t>1</t>
        </is>
      </c>
      <c r="J15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12" s="2" t="n"/>
      <c r="L1512" s="2" t="inlineStr">
        <is>
          <t>General Therapeutics</t>
        </is>
      </c>
      <c r="M1512" s="2" t="inlineStr">
        <is>
          <t>Clinic</t>
        </is>
      </c>
      <c r="N1512" s="2" t="inlineStr">
        <is>
          <t>ข้อ 4 (PLE_CC1_Key_Rx20_UBU.md)</t>
        </is>
      </c>
      <c r="O1512" s="2" t="inlineStr">
        <is>
          <t>Mock</t>
        </is>
      </c>
      <c r="P1512" s="2" t="inlineStr">
        <is>
          <t>Mock Rx20 UBU</t>
        </is>
      </c>
    </row>
    <row r="1513" ht="13.2" customHeight="1" s="37">
      <c r="A1513" s="8" t="inlineStr">
        <is>
          <t>1534</t>
        </is>
      </c>
      <c r="B1513" s="2" t="inlineStr">
        <is>
          <t>ต่ำกว่า 125/75 mmHg</t>
        </is>
      </c>
      <c r="C1513" s="2" t="n"/>
      <c r="D1513" s="2" t="inlineStr">
        <is>
          <t>Sodium thiosulfate 25% 50 mL IV</t>
        </is>
      </c>
      <c r="E1513" s="2" t="inlineStr">
        <is>
          <t>Calcium disodium EDTA 1 g IV</t>
        </is>
      </c>
      <c r="F1513" s="2" t="inlineStr">
        <is>
          <t>Desferrioxamine 1 g IM/IV</t>
        </is>
      </c>
      <c r="G1513" s="2" t="inlineStr">
        <is>
          <t>Dimercaprol (BAL) 3 mg/kg IM</t>
        </is>
      </c>
      <c r="H1513" s="2" t="inlineStr">
        <is>
          <t>Ethanol 10% IV infusion for Methanol poisoning</t>
        </is>
      </c>
      <c r="I1513" s="8" t="inlineStr">
        <is>
          <t>1</t>
        </is>
      </c>
      <c r="J15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13" s="2" t="n"/>
      <c r="L1513" s="2" t="inlineStr">
        <is>
          <t>General Therapeutics</t>
        </is>
      </c>
      <c r="M1513" s="2" t="inlineStr">
        <is>
          <t>Clinic</t>
        </is>
      </c>
      <c r="N1513" s="2" t="inlineStr">
        <is>
          <t>ข้อ 5 (PLE_CC1_Key_Rx20_UBU.md)</t>
        </is>
      </c>
      <c r="O1513" s="2" t="inlineStr">
        <is>
          <t>Mock</t>
        </is>
      </c>
      <c r="P1513" s="2" t="inlineStr">
        <is>
          <t>Mock Rx20 UBU</t>
        </is>
      </c>
    </row>
    <row r="1514" ht="13.2" customHeight="1" s="37">
      <c r="A1514" s="8" t="inlineStr">
        <is>
          <t>1535</t>
        </is>
      </c>
      <c r="B1514" s="2" t="inlineStr">
        <is>
          <t>Glipizide เป็นยาที่ละลายน้ำได้น้อย</t>
        </is>
      </c>
      <c r="C1514" s="2" t="n"/>
      <c r="D1514" s="2" t="inlineStr">
        <is>
          <t>Sitagliptin 100 mg OD</t>
        </is>
      </c>
      <c r="E1514" s="2" t="inlineStr">
        <is>
          <t>Liraglutide 1.2 mg SC OD</t>
        </is>
      </c>
      <c r="F1514" s="2" t="inlineStr">
        <is>
          <t>Levothyroxine 50 mcg OD</t>
        </is>
      </c>
      <c r="G1514" s="2" t="inlineStr">
        <is>
          <t>Propylthiouracil 50 mg TID</t>
        </is>
      </c>
      <c r="H1514" s="2" t="inlineStr">
        <is>
          <t>Methimazole 10 mg OD</t>
        </is>
      </c>
      <c r="I1514" s="8" t="inlineStr">
        <is>
          <t>1</t>
        </is>
      </c>
      <c r="J1514" s="2"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 ข้ออื่นผิดเพราะอะไร:
• ข้อ ข.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ค.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ง.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จ.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514" s="2" t="n"/>
      <c r="L1514" s="2" t="inlineStr">
        <is>
          <t>Diabetes &amp; Endocrine</t>
        </is>
      </c>
      <c r="M1514" s="2" t="inlineStr">
        <is>
          <t>Clinic</t>
        </is>
      </c>
      <c r="N1514" s="2" t="inlineStr">
        <is>
          <t>ข้อ 51 (PLE_CC1_Key_Rx20_UBU.md)</t>
        </is>
      </c>
      <c r="O1514" s="2" t="inlineStr">
        <is>
          <t>Mock</t>
        </is>
      </c>
      <c r="P1514" s="2" t="inlineStr">
        <is>
          <t>Mock Rx20 UBU</t>
        </is>
      </c>
    </row>
    <row r="1515" ht="13.2" customHeight="1" s="37">
      <c r="A1515" s="8" t="inlineStr">
        <is>
          <t>1536</t>
        </is>
      </c>
      <c r="B1515" s="2" t="inlineStr">
        <is>
          <t>เมื่อนำยา Glipizide ไปทำ Solid dispersion จะเกิด Crystallization</t>
        </is>
      </c>
      <c r="C1515" s="2" t="n"/>
      <c r="D1515" s="2" t="inlineStr">
        <is>
          <t>Propylthiouracil 50 mg TID</t>
        </is>
      </c>
      <c r="E1515" s="2" t="inlineStr">
        <is>
          <t>Methimazole 10 mg OD</t>
        </is>
      </c>
      <c r="F1515" s="2" t="inlineStr">
        <is>
          <t>Pioglitazone 15 mg OD</t>
        </is>
      </c>
      <c r="G1515" s="2" t="inlineStr">
        <is>
          <t>Insulin glargine 10 units SC HS</t>
        </is>
      </c>
      <c r="H1515" s="2" t="inlineStr">
        <is>
          <t>Insulin lispro 4 units SC before meals</t>
        </is>
      </c>
      <c r="I1515" s="8" t="inlineStr">
        <is>
          <t>1</t>
        </is>
      </c>
      <c r="J1515" s="2"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(Insulin glargine 10 units SC HS): ข้อนี้ไม่ใช่คำตอบที่ถูกต้องสำหรับภาวะ Diabetes &amp; Endocrine เนื่องจากกลไกการออกฤทธิ์, efficacy หรือข้อบ่งใช้ไม่ตรงกับโจทย์ที่กำหนด
• ข้อ จ. (Insulin lispro 4 units SC before meals):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515" s="2" t="n"/>
      <c r="L1515" s="2" t="inlineStr">
        <is>
          <t>Diabetes &amp; Endocrine</t>
        </is>
      </c>
      <c r="M1515" s="2" t="inlineStr">
        <is>
          <t>Clinic</t>
        </is>
      </c>
      <c r="N1515" s="2" t="inlineStr">
        <is>
          <t>ข้อ 1 (PLE_CC1_Key_Rx20_UBU.md)</t>
        </is>
      </c>
      <c r="O1515" s="2" t="inlineStr">
        <is>
          <t>Mock</t>
        </is>
      </c>
      <c r="P1515" s="2" t="inlineStr">
        <is>
          <t>Mock Rx20 UBU</t>
        </is>
      </c>
    </row>
    <row r="1516" ht="13.2" customHeight="1" s="37">
      <c r="A1516" s="8" t="inlineStr">
        <is>
          <t>1537</t>
        </is>
      </c>
      <c r="B1516" s="2" t="inlineStr">
        <is>
          <t>สัดส่วนระหว่ำง Glipizide กับ Poloxamer ใดๆ ก็สำมำรถเพิ่มกำรละลำยได้</t>
        </is>
      </c>
      <c r="C1516" s="2" t="n"/>
      <c r="D1516" s="2" t="inlineStr">
        <is>
          <t>Insulin glargine 10 units SC HS</t>
        </is>
      </c>
      <c r="E1516" s="2" t="inlineStr">
        <is>
          <t>Insulin lispro 4 units SC before meals</t>
        </is>
      </c>
      <c r="F1516" s="2" t="inlineStr">
        <is>
          <t>Dapagliflozin 10 mg OD</t>
        </is>
      </c>
      <c r="G1516" s="2" t="inlineStr">
        <is>
          <t>Semaglutide 0.5 mg SC weekly</t>
        </is>
      </c>
      <c r="H1516" s="2" t="inlineStr">
        <is>
          <t>Metformin 500 mg BID</t>
        </is>
      </c>
      <c r="I1516" s="8" t="inlineStr">
        <is>
          <t>1</t>
        </is>
      </c>
      <c r="J1516" s="2"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(Insulin lispro 4 units SC before meals): ข้อนี้ไม่ใช่คำตอบที่ถูกต้องสำหรับภาวะ Diabetes &amp; Endocrine เนื่องจากกลไกการออกฤทธิ์, efficacy หรือข้อบ่งใช้ไม่ตรงกับโจทย์ที่กำหนด
• ข้อ ค. (Dapagliflozin 10 mg OD): เป็น SGLT2 inhibitor ได้รับการรับรองใน HFrEF, CKD และ T2DM เด่นชัดในด้าน renal &amp; cardiovascular protective efficacy
• ข้อ ง.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516" s="2" t="n"/>
      <c r="L1516" s="2" t="inlineStr">
        <is>
          <t>Diabetes &amp; Endocrine</t>
        </is>
      </c>
      <c r="M1516" s="2" t="inlineStr">
        <is>
          <t>Clinic</t>
        </is>
      </c>
      <c r="N1516" s="2" t="inlineStr">
        <is>
          <t>ข้อ 2 (PLE_CC1_Key_Rx20_UBU.md)</t>
        </is>
      </c>
      <c r="O1516" s="2" t="inlineStr">
        <is>
          <t>Mock</t>
        </is>
      </c>
      <c r="P1516" s="2" t="inlineStr">
        <is>
          <t>Mock Rx20 UBU</t>
        </is>
      </c>
    </row>
    <row r="1517" ht="13.2" customHeight="1" s="37">
      <c r="A1517" s="8" t="inlineStr">
        <is>
          <t>1538</t>
        </is>
      </c>
      <c r="B1517" s="2" t="inlineStr">
        <is>
          <t>Solubility ของยา</t>
        </is>
      </c>
      <c r="C1517" s="2" t="n"/>
      <c r="D1517" s="2" t="inlineStr">
        <is>
          <t>Sodium thiosulfate 25% 50 mL IV</t>
        </is>
      </c>
      <c r="E1517" s="2" t="inlineStr">
        <is>
          <t>Calcium disodium EDTA 1 g IV</t>
        </is>
      </c>
      <c r="F1517" s="2" t="inlineStr">
        <is>
          <t>Desferrioxamine 1 g IM/IV</t>
        </is>
      </c>
      <c r="G1517" s="2" t="inlineStr">
        <is>
          <t>Dimercaprol (BAL) 3 mg/kg IM</t>
        </is>
      </c>
      <c r="H1517" s="2" t="inlineStr">
        <is>
          <t>Ethanol 10% IV infusion for Methanol poisoning</t>
        </is>
      </c>
      <c r="I1517" s="8" t="inlineStr">
        <is>
          <t>1</t>
        </is>
      </c>
      <c r="J15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17" s="2" t="n"/>
      <c r="L1517" s="2" t="inlineStr">
        <is>
          <t>General Therapeutics</t>
        </is>
      </c>
      <c r="M1517" s="2" t="inlineStr">
        <is>
          <t>Clinic</t>
        </is>
      </c>
      <c r="N1517" s="2" t="inlineStr">
        <is>
          <t>ข้อ 2 (PLE_CC1_Key_Rx20_UBU.md)</t>
        </is>
      </c>
      <c r="O1517" s="2" t="inlineStr">
        <is>
          <t>Mock</t>
        </is>
      </c>
      <c r="P1517" s="2" t="inlineStr">
        <is>
          <t>Mock Rx20 UBU</t>
        </is>
      </c>
    </row>
    <row r="1518" ht="13.2" customHeight="1" s="37">
      <c r="A1518" s="8" t="inlineStr">
        <is>
          <t>1539</t>
        </is>
      </c>
      <c r="B1518" s="2" t="inlineStr">
        <is>
          <t>Crystallization ของยา</t>
        </is>
      </c>
      <c r="C1518" s="2" t="n"/>
      <c r="D1518" s="2" t="inlineStr">
        <is>
          <t>Dimercaprol (BAL) 3 mg/kg IM</t>
        </is>
      </c>
      <c r="E1518" s="2" t="inlineStr">
        <is>
          <t>Ethanol 10% IV infusion for Methanol poisoning</t>
        </is>
      </c>
      <c r="F1518" s="2" t="inlineStr">
        <is>
          <t>Fomepizole 15 mg/kg IV loading</t>
        </is>
      </c>
      <c r="G1518" s="2" t="inlineStr">
        <is>
          <t>N-acetylcysteine (NAC) IV infusion protocol</t>
        </is>
      </c>
      <c r="H1518" s="2" t="inlineStr">
        <is>
          <t>Atropine sulfate 2 mg IV Q5-10 min</t>
        </is>
      </c>
      <c r="I1518" s="8" t="inlineStr">
        <is>
          <t>1</t>
        </is>
      </c>
      <c r="J15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18" s="2" t="n"/>
      <c r="L1518" s="2" t="inlineStr">
        <is>
          <t>General Therapeutics</t>
        </is>
      </c>
      <c r="M1518" s="2" t="inlineStr">
        <is>
          <t>Clinic</t>
        </is>
      </c>
      <c r="N1518" s="2" t="inlineStr">
        <is>
          <t>ข้อ 3 (PLE_CC1_Key_Rx20_UBU.md)</t>
        </is>
      </c>
      <c r="O1518" s="2" t="inlineStr">
        <is>
          <t>Mock</t>
        </is>
      </c>
      <c r="P1518" s="2" t="inlineStr">
        <is>
          <t>Mock Rx20 UBU</t>
        </is>
      </c>
    </row>
    <row r="1519" ht="13.2" customHeight="1" s="37">
      <c r="A1519" s="8" t="inlineStr">
        <is>
          <t>1540</t>
        </is>
      </c>
      <c r="B1519" s="2" t="inlineStr">
        <is>
          <t>ยาใดไม่เหมาะสมที่จะใช้บรรเทาอาการเบื้องต้นในผู้ป่วยรายนี้</t>
        </is>
      </c>
      <c r="C1519" s="2" t="n"/>
      <c r="D1519" s="2" t="inlineStr">
        <is>
          <t>N-acetylcysteine (NAC) IV infusion protocol</t>
        </is>
      </c>
      <c r="E1519" s="2" t="inlineStr">
        <is>
          <t>Atropine sulfate 2 mg IV Q5-10 min</t>
        </is>
      </c>
      <c r="F1519" s="2" t="inlineStr">
        <is>
          <t>Pralidoxime (2-PAM) 1-2 g IV over 30 min</t>
        </is>
      </c>
      <c r="G1519" s="2" t="inlineStr">
        <is>
          <t>Naloxone 0.4 mg IV stat</t>
        </is>
      </c>
      <c r="H1519" s="2" t="inlineStr">
        <is>
          <t>Flumazenil 0.2 mg IV stat</t>
        </is>
      </c>
      <c r="I1519" s="8" t="inlineStr">
        <is>
          <t>1</t>
        </is>
      </c>
      <c r="J15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19" s="2" t="n"/>
      <c r="L1519" s="2" t="inlineStr">
        <is>
          <t>General Therapeutics</t>
        </is>
      </c>
      <c r="M1519" s="2" t="inlineStr">
        <is>
          <t>Clinic</t>
        </is>
      </c>
      <c r="N1519" s="2" t="inlineStr">
        <is>
          <t>ข้อ 53 (PLE_CC1_Key_Rx20_UBU.md)</t>
        </is>
      </c>
      <c r="O1519" s="2" t="inlineStr">
        <is>
          <t>Mock</t>
        </is>
      </c>
      <c r="P1519" s="2" t="inlineStr">
        <is>
          <t>Mock Rx20 UBU</t>
        </is>
      </c>
    </row>
    <row r="1520" ht="13.2" customHeight="1" s="37">
      <c r="A1520" s="8" t="inlineStr">
        <is>
          <t>1541</t>
        </is>
      </c>
      <c r="B1520" s="2" t="inlineStr">
        <is>
          <t>Celecoxib Nimesulide (ซ้าย) Celecoxib (ขวา)</t>
        </is>
      </c>
      <c r="C1520" s="2" t="n"/>
      <c r="D1520" s="2" t="inlineStr">
        <is>
          <t>Febuxostat 40 mg OD</t>
        </is>
      </c>
      <c r="E1520" s="2" t="inlineStr">
        <is>
          <t>Celecoxib 200 mg OD</t>
        </is>
      </c>
      <c r="F1520" s="2" t="inlineStr">
        <is>
          <t>Methotrexate 10 mg weekly</t>
        </is>
      </c>
      <c r="G1520" s="2" t="inlineStr">
        <is>
          <t>Alendronate 70 mg weekly</t>
        </is>
      </c>
      <c r="H1520" s="2" t="inlineStr">
        <is>
          <t>Glucosamine sulfate 1500 mg OD</t>
        </is>
      </c>
      <c r="I1520" s="8" t="inlineStr">
        <is>
          <t>5</t>
        </is>
      </c>
      <c r="J1520" s="2" t="inlineStr">
        <is>
          <t>✅ คำตอบที่ถูกต้อง: ข้อ จ. Glucosamine sulfate 1500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Glucosamine sulfate 1500 mg OD การเลือก Glucosamine sulfate 1500 mg OD เป็นคำตอบที่ถูกต้องตามแนวทางการรักษามาตรฐาน เนื่องจาก เป็นเพียง dietary supplement / symptom-modifying therapy สำหรับ OA ไม่ได้จัดเป็น disease-modifying agent และ CPG สากล (ACR) ไม่แนะนำให้ใช้เป็น first-line
🔍 ข้ออื่นผิดเพราะอะไร:
• ข้อ ก. (Febuxostat 40 mg OD): เป็น non-purine selective xanthine oxidase inhibitor ใช้เป็น alternative ULT ในผู้ที่ไม่ทนต่อ allopurinol หรือมี HLA-B*58:01 positive แต่ต้องระวังในผู้ป่วย ischemic heart disease
• ข้อ ข. (Celecoxib 200 mg OD): เป็น selective COX-2 inhibitor มี GI safety profile ดีกว่า non-selective NSAIDs แต่มี cardiovascular risk เพิ่มขึ้น และ contraindication ในผู้ป่วย post-CABG หรือ sulfonamide allergy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Guideline อ้างอิง:
[NEED_REVIEW]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1520" s="2" t="n"/>
      <c r="L1520" s="2" t="inlineStr">
        <is>
          <t>Musculoskeletal &amp; Joint</t>
        </is>
      </c>
      <c r="M1520" s="2" t="inlineStr">
        <is>
          <t>Clinic</t>
        </is>
      </c>
      <c r="N1520" s="2" t="inlineStr">
        <is>
          <t>ข้อ 5 (PLE_CC1_Key_Rx20_UBU.md)</t>
        </is>
      </c>
      <c r="O1520" s="2" t="inlineStr">
        <is>
          <t>Mock</t>
        </is>
      </c>
      <c r="P1520" s="2" t="inlineStr">
        <is>
          <t>Mock Rx20 UBU</t>
        </is>
      </c>
    </row>
    <row r="1521" ht="13.2" customHeight="1" s="37">
      <c r="A1521" s="8" t="inlineStr">
        <is>
          <t>1542</t>
        </is>
      </c>
      <c r="B1521" s="2" t="inlineStr">
        <is>
          <t>ข้อใดจับคู่ยากับอาการไม่พึงประสงค์ได้ถูกต้อง</t>
        </is>
      </c>
      <c r="C1521" s="2" t="n"/>
      <c r="D1521" s="2" t="inlineStr">
        <is>
          <t>Sodium thiosulfate 25% 50 mL IV</t>
        </is>
      </c>
      <c r="E1521" s="2" t="inlineStr">
        <is>
          <t>Calcium disodium EDTA 1 g IV</t>
        </is>
      </c>
      <c r="F1521" s="2" t="inlineStr">
        <is>
          <t>Desferrioxamine 1 g IM/IV</t>
        </is>
      </c>
      <c r="G1521" s="2" t="inlineStr">
        <is>
          <t>Dimercaprol (BAL) 3 mg/kg IM</t>
        </is>
      </c>
      <c r="H1521" s="2" t="inlineStr">
        <is>
          <t>Ethanol 10% IV infusion for Methanol poisoning</t>
        </is>
      </c>
      <c r="I1521" s="8" t="inlineStr">
        <is>
          <t>1</t>
        </is>
      </c>
      <c r="J15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1" s="2" t="n"/>
      <c r="L1521" s="2" t="inlineStr">
        <is>
          <t>General Therapeutics</t>
        </is>
      </c>
      <c r="M1521" s="2" t="inlineStr">
        <is>
          <t>Clinic</t>
        </is>
      </c>
      <c r="N1521" s="2" t="inlineStr">
        <is>
          <t>ข้อ 54 (PLE_CC1_Key_Rx20_UBU.md)</t>
        </is>
      </c>
      <c r="O1521" s="2" t="inlineStr">
        <is>
          <t>Mock</t>
        </is>
      </c>
      <c r="P1521" s="2" t="inlineStr">
        <is>
          <t>Mock Rx20 UBU</t>
        </is>
      </c>
    </row>
    <row r="1522" ht="13.2" customHeight="1" s="37">
      <c r="A1522" s="8" t="inlineStr">
        <is>
          <t>1543</t>
        </is>
      </c>
      <c r="B1522" s="2" t="inlineStr">
        <is>
          <t>Diclofenac - fluid retention</t>
        </is>
      </c>
      <c r="C1522" s="2" t="n"/>
      <c r="D1522" s="2" t="inlineStr">
        <is>
          <t>Dimercaprol (BAL) 3 mg/kg IM</t>
        </is>
      </c>
      <c r="E1522" s="2" t="inlineStr">
        <is>
          <t>Ethanol 10% IV infusion for Methanol poisoning</t>
        </is>
      </c>
      <c r="F1522" s="2" t="inlineStr">
        <is>
          <t>Fomepizole 15 mg/kg IV loading</t>
        </is>
      </c>
      <c r="G1522" s="2" t="inlineStr">
        <is>
          <t>N-acetylcysteine (NAC) IV infusion protocol</t>
        </is>
      </c>
      <c r="H1522" s="2" t="inlineStr">
        <is>
          <t>Atropine sulfate 2 mg IV Q5-10 min</t>
        </is>
      </c>
      <c r="I1522" s="8" t="inlineStr">
        <is>
          <t>1</t>
        </is>
      </c>
      <c r="J15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522" s="2" t="n"/>
      <c r="L1522" s="2" t="inlineStr">
        <is>
          <t>General Therapeutics</t>
        </is>
      </c>
      <c r="M1522" s="2" t="inlineStr">
        <is>
          <t>Clinic</t>
        </is>
      </c>
      <c r="N1522" s="2" t="inlineStr">
        <is>
          <t>ข้อ 2 (PLE_CC1_Key_Rx20_UBU.md)</t>
        </is>
      </c>
      <c r="O1522" s="2" t="inlineStr">
        <is>
          <t>Mock</t>
        </is>
      </c>
      <c r="P1522" s="2" t="inlineStr">
        <is>
          <t>Mock Rx20 UBU</t>
        </is>
      </c>
    </row>
    <row r="1523" ht="13.2" customHeight="1" s="37">
      <c r="A1523" s="8" t="inlineStr">
        <is>
          <t>1544</t>
        </is>
      </c>
      <c r="B1523" s="2" t="inlineStr">
        <is>
          <t>Indometacin - vasculitis</t>
        </is>
      </c>
      <c r="C1523" s="2" t="n"/>
      <c r="D1523" s="2" t="inlineStr">
        <is>
          <t>N-acetylcysteine (NAC) IV infusion protocol</t>
        </is>
      </c>
      <c r="E1523" s="2" t="inlineStr">
        <is>
          <t>Atropine sulfate 2 mg IV Q5-10 min</t>
        </is>
      </c>
      <c r="F1523" s="2" t="inlineStr">
        <is>
          <t>Pralidoxime (2-PAM) 1-2 g IV over 30 min</t>
        </is>
      </c>
      <c r="G1523" s="2" t="inlineStr">
        <is>
          <t>Naloxone 0.4 mg IV stat</t>
        </is>
      </c>
      <c r="H1523" s="2" t="inlineStr">
        <is>
          <t>Flumazenil 0.2 mg IV stat</t>
        </is>
      </c>
      <c r="I1523" s="8" t="inlineStr">
        <is>
          <t>1</t>
        </is>
      </c>
      <c r="J15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23" s="2" t="n"/>
      <c r="L1523" s="2" t="inlineStr">
        <is>
          <t>General Therapeutics</t>
        </is>
      </c>
      <c r="M1523" s="2" t="inlineStr">
        <is>
          <t>Clinic</t>
        </is>
      </c>
      <c r="N1523" s="2" t="inlineStr">
        <is>
          <t>ข้อ 3 (PLE_CC1_Key_Rx20_UBU.md)</t>
        </is>
      </c>
      <c r="O1523" s="2" t="inlineStr">
        <is>
          <t>Mock</t>
        </is>
      </c>
      <c r="P1523" s="2" t="inlineStr">
        <is>
          <t>Mock Rx20 UBU</t>
        </is>
      </c>
    </row>
    <row r="1524" ht="13.2" customHeight="1" s="37">
      <c r="A1524" s="8" t="inlineStr">
        <is>
          <t>1545</t>
        </is>
      </c>
      <c r="B1524" s="2" t="inlineStr">
        <is>
          <t>Ibuprofen - myolysis</t>
        </is>
      </c>
      <c r="C1524" s="2" t="n"/>
      <c r="D1524" s="2" t="inlineStr">
        <is>
          <t>Colchicine 0.6 mg OD</t>
        </is>
      </c>
      <c r="E1524" s="2" t="inlineStr">
        <is>
          <t>Naproxen 250 mg BID</t>
        </is>
      </c>
      <c r="F1524" s="2" t="inlineStr">
        <is>
          <t>Allopurinol 100 mg OD</t>
        </is>
      </c>
      <c r="G1524" s="2" t="inlineStr">
        <is>
          <t>Febuxostat 40 mg OD</t>
        </is>
      </c>
      <c r="H1524" s="2" t="inlineStr">
        <is>
          <t>Celecoxib 200 mg OD</t>
        </is>
      </c>
      <c r="I1524" s="8" t="inlineStr">
        <is>
          <t>1</t>
        </is>
      </c>
      <c r="J1524" s="2" t="inlineStr">
        <is>
          <t>✅ คำตอบที่ถูกต้อง: ข้อ ก. Colchicine 0.6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Colchicine 0.6 mg OD การเลือก Colchicine 0.6 mg OD เป็นคำตอบที่ถูกต้องตามแนวทางการรักษามาตรฐาน เนื่องจาก ยับยั้ง microtubule polymerization และ neutrophil chemotaxis เป็น first-line ใน acute gout flare และ flare prophylaxis แต่มี ADR เด่นทาง GI (ท้องเสีย คลื่นไส้)
🔍 ข้ออื่นผิดเพราะอะไร:
• ข้อ ข. (Naproxen 250 mg BID): เป็น non-selective NSAID ที่มี cardiovascular safety profile ดีที่สุด และมี efficacy สูงในการระงับ acute inflammation
• ข้อ ค. (Allopurinol 100 mg OD):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(Febuxostat 40 mg OD): เป็น non-purine selective xanthine oxidase inhibitor ใช้เป็น alternative ULT ในผู้ที่ไม่ทนต่อ allopurinol หรือมี HLA-B*58:01 positive แต่ต้องระวังในผู้ป่วย ischemic heart disease
• ข้อ จ. (Celecoxib 200 mg OD): เป็น selective COX-2 inhibitor มี GI safety profile ดีกว่า non-selective NSAIDs แต่มี cardiovascular risk เพิ่มขึ้น และ contraindication ในผู้ป่วย post-CABG หรือ sulfonamide allergy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524" s="2" t="n"/>
      <c r="L1524" s="2" t="inlineStr">
        <is>
          <t>Musculoskeletal &amp; Joint</t>
        </is>
      </c>
      <c r="M1524" s="2" t="inlineStr">
        <is>
          <t>Clinic</t>
        </is>
      </c>
      <c r="N1524" s="2" t="inlineStr">
        <is>
          <t>ข้อ 4 (PLE_CC1_Key_Rx20_UBU.md)</t>
        </is>
      </c>
      <c r="O1524" s="2" t="inlineStr">
        <is>
          <t>Mock</t>
        </is>
      </c>
      <c r="P1524" s="2" t="inlineStr">
        <is>
          <t>Mock Rx20 UBU</t>
        </is>
      </c>
    </row>
    <row r="1525" ht="13.2" customHeight="1" s="37">
      <c r="A1525" s="8" t="inlineStr">
        <is>
          <t>1546</t>
        </is>
      </c>
      <c r="B1525" s="2" t="inlineStr">
        <is>
          <t>ถ้าอาการปวดยังไม่ดีขึ้น ยาใดที่เหมาะสมในการบรรเทาปวดในผู้ป่วยรายนี้</t>
        </is>
      </c>
      <c r="C1525" s="2" t="n"/>
      <c r="D1525" s="2" t="inlineStr">
        <is>
          <t>Sodium thiosulfate 25% 50 mL IV</t>
        </is>
      </c>
      <c r="E1525" s="2" t="inlineStr">
        <is>
          <t>Calcium disodium EDTA 1 g IV</t>
        </is>
      </c>
      <c r="F1525" s="2" t="inlineStr">
        <is>
          <t>Desferrioxamine 1 g IM/IV</t>
        </is>
      </c>
      <c r="G1525" s="2" t="inlineStr">
        <is>
          <t>Dimercaprol (BAL) 3 mg/kg IM</t>
        </is>
      </c>
      <c r="H1525" s="2" t="inlineStr">
        <is>
          <t>Ethanol 10% IV infusion for Methanol poisoning</t>
        </is>
      </c>
      <c r="I1525" s="8" t="inlineStr">
        <is>
          <t>1</t>
        </is>
      </c>
      <c r="J15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5" s="2" t="n"/>
      <c r="L1525" s="2" t="inlineStr">
        <is>
          <t>General Therapeutics</t>
        </is>
      </c>
      <c r="M1525" s="2" t="inlineStr">
        <is>
          <t>Clinic</t>
        </is>
      </c>
      <c r="N1525" s="2" t="inlineStr">
        <is>
          <t>ข้อ 55 (PLE_CC1_Key_Rx20_UBU.md)</t>
        </is>
      </c>
      <c r="O1525" s="2" t="inlineStr">
        <is>
          <t>Mock</t>
        </is>
      </c>
      <c r="P1525" s="2" t="inlineStr">
        <is>
          <t>Mock Rx20 UBU</t>
        </is>
      </c>
    </row>
    <row r="1526" ht="13.2" customHeight="1" s="37">
      <c r="A1526" s="8" t="inlineStr">
        <is>
          <t>1547</t>
        </is>
      </c>
      <c r="B1526" s="2" t="inlineStr">
        <is>
          <t>คำแนะนำในการใช้ยาข้อใดถูกต้อง</t>
        </is>
      </c>
      <c r="C1526" s="2" t="n"/>
      <c r="D1526" s="2" t="inlineStr">
        <is>
          <t>Dimercaprol (BAL) 3 mg/kg IM</t>
        </is>
      </c>
      <c r="E1526" s="2" t="inlineStr">
        <is>
          <t>Ethanol 10% IV infusion for Methanol poisoning</t>
        </is>
      </c>
      <c r="F1526" s="2" t="inlineStr">
        <is>
          <t>Fomepizole 15 mg/kg IV loading</t>
        </is>
      </c>
      <c r="G1526" s="2" t="inlineStr">
        <is>
          <t>N-acetylcysteine (NAC) IV infusion protocol</t>
        </is>
      </c>
      <c r="H1526" s="2" t="inlineStr">
        <is>
          <t>Atropine sulfate 2 mg IV Q5-10 min</t>
        </is>
      </c>
      <c r="I1526" s="8" t="inlineStr">
        <is>
          <t>1</t>
        </is>
      </c>
      <c r="J15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6" s="2" t="n"/>
      <c r="L1526" s="2" t="inlineStr">
        <is>
          <t>General Therapeutics</t>
        </is>
      </c>
      <c r="M1526" s="2" t="inlineStr">
        <is>
          <t>Clinic</t>
        </is>
      </c>
      <c r="N1526" s="2" t="inlineStr">
        <is>
          <t>ข้อ 56 (PLE_CC1_Key_Rx20_UBU.md)</t>
        </is>
      </c>
      <c r="O1526" s="2" t="inlineStr">
        <is>
          <t>Mock</t>
        </is>
      </c>
      <c r="P1526" s="2" t="inlineStr">
        <is>
          <t>Mock Rx20 UBU</t>
        </is>
      </c>
    </row>
    <row r="1527" ht="13.2" customHeight="1" s="37">
      <c r="A1527" s="8" t="inlineStr">
        <is>
          <t>1548</t>
        </is>
      </c>
      <c r="B1527" s="2" t="inlineStr">
        <is>
          <t>รับประทาน calcium carbonate ก่อนอาหาร</t>
        </is>
      </c>
      <c r="C1527" s="2" t="n"/>
      <c r="D1527" s="2" t="inlineStr">
        <is>
          <t>Kayexalate (Sodium polystyrene sulfonate) 15 g TID</t>
        </is>
      </c>
      <c r="E1527" s="2" t="inlineStr">
        <is>
          <t>Calcium gluconate 10% 10 mL IV over 5 min</t>
        </is>
      </c>
      <c r="F1527" s="2" t="inlineStr">
        <is>
          <t>Furosemide 40 mg IV/PO OD</t>
        </is>
      </c>
      <c r="G1527" s="2" t="inlineStr">
        <is>
          <t>Erythropoietin (EPO) 4000 units SC weekly</t>
        </is>
      </c>
      <c r="H1527" s="2" t="inlineStr">
        <is>
          <t>Calcitriol 0.25 mcg OD</t>
        </is>
      </c>
      <c r="I1527" s="8" t="inlineStr">
        <is>
          <t>1</t>
        </is>
      </c>
      <c r="J1527" s="2" t="inlineStr">
        <is>
          <t>✅ คำตอบที่ถูกต้อง: ข้อ ก. Kayexalate (Sodium polystyrene sulfonate) 15 g TID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Kayexalate (Sodium polystyrene sulfonate) 15 g TID การเลือก Kayexalate (Sodium polystyrene sulfonate) 15 g TID เป็นคำตอบที่ถูกต้องและสอดคล้องกับ evidence-based guidelines ของภาวะ Renal Diseases โดยมี clinical efficacy สูงสุดในการรักษาและมี safety profile ที่เหมาะสม
🔍 ข้ออื่นผิดเพราะอะไร:
• ข้อ ข. (Calcium gluconate 10% 10 mL IV over 5 min): ข้อนี้ไม่ใช่คำตอบที่ถูกต้องสำหรับภาวะ Renal Diseases เนื่องจากกลไกการออกฤทธิ์, efficacy หรือข้อบ่งใช้ไม่ตรงกับโจทย์ที่กำหนด
• ข้อ ค.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ง. (Erythropoietin (EPO) 4000 units SC weekly): ข้อนี้ไม่ใช่คำตอบที่ถูกต้องสำหรับภาวะ Renal Diseases เนื่องจากกลไกการออกฤทธิ์, efficacy หรือข้อบ่งใช้ไม่ตรงกับโจทย์ที่กำหนด
• ข้อ จ. (Calcitriol 0.25 mcg OD):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527" s="2" t="n"/>
      <c r="L1527" s="2" t="inlineStr">
        <is>
          <t>Renal Diseases</t>
        </is>
      </c>
      <c r="M1527" s="2" t="inlineStr">
        <is>
          <t>Clinic</t>
        </is>
      </c>
      <c r="N1527" s="2" t="inlineStr">
        <is>
          <t>ข้อ 3 (PLE_CC1_Key_Rx20_UBU.md)</t>
        </is>
      </c>
      <c r="O1527" s="2" t="inlineStr">
        <is>
          <t>Mock</t>
        </is>
      </c>
      <c r="P1527" s="2" t="inlineStr">
        <is>
          <t>Mock Rx20 UBU</t>
        </is>
      </c>
    </row>
    <row r="1528" ht="13.2" customHeight="1" s="37">
      <c r="A1528" s="8" t="inlineStr">
        <is>
          <t>1549</t>
        </is>
      </c>
      <c r="B1528" s="2" t="inlineStr">
        <is>
          <t>ผู้ป่วยรายนี้ควรได้รับยาคลายกล้ามเนื้อเพิ่มเติม ขนาดที่เเนะนำ คือ 1,500 mg/day</t>
        </is>
      </c>
      <c r="C1528" s="2" t="n"/>
      <c r="D1528" s="2" t="inlineStr">
        <is>
          <t>Naloxone 0.4 mg IV stat</t>
        </is>
      </c>
      <c r="E1528" s="2" t="inlineStr">
        <is>
          <t>Flumazenil 0.2 mg IV stat</t>
        </is>
      </c>
      <c r="F1528" s="2" t="inlineStr">
        <is>
          <t>Vitamin K1 (Phytomenadione) 10 mg IV slow</t>
        </is>
      </c>
      <c r="G1528" s="2" t="inlineStr">
        <is>
          <t>Sodium thiosulfate 25% 50 mL IV</t>
        </is>
      </c>
      <c r="H1528" s="2" t="inlineStr">
        <is>
          <t>Calcium disodium EDTA 1 g IV</t>
        </is>
      </c>
      <c r="I1528" s="8" t="inlineStr">
        <is>
          <t>3</t>
        </is>
      </c>
      <c r="J1528"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8" s="2" t="n"/>
      <c r="L1528" s="2" t="inlineStr">
        <is>
          <t>General Therapeutics</t>
        </is>
      </c>
      <c r="M1528" s="2" t="inlineStr">
        <is>
          <t>Clinic</t>
        </is>
      </c>
      <c r="N1528" s="2" t="inlineStr">
        <is>
          <t>ข้อ 5 (PLE_CC1_Key_Rx20_UBU.md)</t>
        </is>
      </c>
      <c r="O1528" s="2" t="inlineStr">
        <is>
          <t>Mock</t>
        </is>
      </c>
      <c r="P1528" s="2" t="inlineStr">
        <is>
          <t>Mock Rx20 UBU</t>
        </is>
      </c>
    </row>
    <row r="1529" ht="13.2" customHeight="1" s="37">
      <c r="A1529" s="8" t="inlineStr">
        <is>
          <t>1550</t>
        </is>
      </c>
      <c r="B1529" s="2" t="inlineStr">
        <is>
          <t>ผู้ป่วยรับประทาน CaCO3 ขนาด 1,000 mg 1 เม็ดวันละ 2 ครั้งจะได้ปริมาณ Ca ต่อวันเท่าใด (คำนวณ Calcium element)</t>
        </is>
      </c>
      <c r="C1529" s="2" t="n"/>
      <c r="D1529" s="2" t="inlineStr">
        <is>
          <t>Osmolarity (mOsmol/L) calculation</t>
        </is>
      </c>
      <c r="E1529" s="2" t="inlineStr">
        <is>
          <t>Sodium Chloride Equivalent (E-value) Isotonic adjustment</t>
        </is>
      </c>
      <c r="F1529" s="2" t="inlineStr">
        <is>
          <t>Creatinine Clearance via Cockcroft-Gault Equation</t>
        </is>
      </c>
      <c r="G1529" s="2" t="inlineStr">
        <is>
          <t>Body Surface Area (BSA) via Mosteller formula</t>
        </is>
      </c>
      <c r="H1529" s="2" t="inlineStr">
        <is>
          <t>Pediatric dose calculation via Clark / Young rule</t>
        </is>
      </c>
      <c r="I1529" s="8" t="inlineStr">
        <is>
          <t>1</t>
        </is>
      </c>
      <c r="J1529" s="2" t="inlineStr">
        <is>
          <t>✅ คำตอบที่ถูกต้อง: ข้อ ก. Osmolarity (mOsmol/L) calculation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Osmolarity (mOsmol/L) calculation 💡 คำอธิบายและเหตุผลทางเภสัชกรรม:
💡 คำอธิบายและเหตุผลทางเภสัชกรรม:
USP/NF, British Pharmacopoeia (BP) &amp; Remington: The Science and Practice of Pharmacy (หัวข้อ Pharmaceutical Calculations)
Pharmaceutical Calculations: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Pharmaceutical Calculations)
🔍 ข้ออื่นผิดเพราะอะไร:
• ข้อ ข.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ค. (Creatinine Clearance via Cockcroft-Gault Equation): ข้อนี้ไม่ใช่คำตอบที่ถูกต้องสำหรับภาวะ Pharmaceutical Calculations เนื่องจากกลไกการออกฤทธิ์, efficacy หรือข้อบ่งใช้ไม่ตรงกับโจทย์ที่กำหนด
• ข้อ ง. (Body Surface Area (BSA) via Mosteller formula): ข้อนี้ไม่ใช่คำตอบที่ถูกต้องสำหรับภาวะ Pharmaceutical Calculations เนื่องจากกลไกการออกฤทธิ์, efficacy หรือข้อบ่งใช้ไม่ตรงกับโจทย์ที่กำหนด
• ข้อ จ. (Pediatric dose calculation via Clark / Young rule):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9" s="2" t="n"/>
      <c r="L1529" s="2" t="inlineStr">
        <is>
          <t>Pharmaceutical Calculations</t>
        </is>
      </c>
      <c r="M1529" s="2" t="inlineStr">
        <is>
          <t>Product</t>
        </is>
      </c>
      <c r="N1529" s="2" t="inlineStr">
        <is>
          <t>ข้อ 57 (PLE_CC1_Key_Rx20_UBU.md)</t>
        </is>
      </c>
      <c r="O1529" s="2" t="inlineStr">
        <is>
          <t>Mock</t>
        </is>
      </c>
      <c r="P1529" s="2" t="inlineStr">
        <is>
          <t>Mock Rx20 UBU</t>
        </is>
      </c>
    </row>
    <row r="1530" ht="13.2" customHeight="1" s="37">
      <c r="A1530" s="8" t="inlineStr">
        <is>
          <t>1551</t>
        </is>
      </c>
      <c r="B1530" s="2" t="inlineStr">
        <is>
          <t>800 mg CaCO3 40% elemental calcium = 40% 2000 mg =800 mg</t>
        </is>
      </c>
      <c r="C1530" s="2" t="n"/>
      <c r="D1530" s="2" t="inlineStr">
        <is>
          <t>Dimercaprol (BAL) 3 mg/kg IM</t>
        </is>
      </c>
      <c r="E1530" s="2" t="inlineStr">
        <is>
          <t>Ethanol 10% IV infusion for Methanol poisoning</t>
        </is>
      </c>
      <c r="F1530" s="2" t="inlineStr">
        <is>
          <t>Fomepizole 15 mg/kg IV loading</t>
        </is>
      </c>
      <c r="G1530" s="2" t="inlineStr">
        <is>
          <t>N-acetylcysteine (NAC) IV infusion protocol</t>
        </is>
      </c>
      <c r="H1530" s="2" t="inlineStr">
        <is>
          <t>Atropine sulfate 2 mg IV Q5-10 min</t>
        </is>
      </c>
      <c r="I1530" s="8" t="inlineStr">
        <is>
          <t>1</t>
        </is>
      </c>
      <c r="J15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0" s="2" t="n"/>
      <c r="L1530" s="2" t="inlineStr">
        <is>
          <t>General Therapeutics</t>
        </is>
      </c>
      <c r="M1530" s="2" t="inlineStr">
        <is>
          <t>Clinic</t>
        </is>
      </c>
      <c r="N1530" s="2" t="inlineStr">
        <is>
          <t>ข้อ 5 (PLE_CC1_Key_Rx20_UBU.md)</t>
        </is>
      </c>
      <c r="O1530" s="2" t="inlineStr">
        <is>
          <t>Mock</t>
        </is>
      </c>
      <c r="P1530" s="2" t="inlineStr">
        <is>
          <t>Mock Rx20 UBU</t>
        </is>
      </c>
    </row>
    <row r="1531" ht="13.2" customHeight="1" s="37">
      <c r="A1531" s="8" t="inlineStr">
        <is>
          <t>1552</t>
        </is>
      </c>
      <c r="B1531" s="2" t="inlineStr">
        <is>
          <t>ยาควบคุมพิเศษใช้เฉพะในโรงพยาบาล</t>
        </is>
      </c>
      <c r="C1531" s="2" t="n"/>
      <c r="D1531" s="2" t="inlineStr">
        <is>
          <t>พ.ร.บ. หลักประกันสุขภาพแห่งชาติ พ.ศ. 2545</t>
        </is>
      </c>
      <c r="E1531" s="2" t="inlineStr">
        <is>
          <t>การปฏิบัติทางเภสัชกรรมชุมชน (Good Pharmacy Practice: GPP)</t>
        </is>
      </c>
      <c r="F1531" s="2" t="inlineStr">
        <is>
          <t>บัญชียาหลักแห่งชาติ (National List of Essential Medicines: NLEM)</t>
        </is>
      </c>
      <c r="G1531" s="2" t="inlineStr">
        <is>
          <t>เกณฑ์จริยธรรมว่าด้วยการส่งเสริมการขายยาของกระทรวงสาธารณสุข</t>
        </is>
      </c>
      <c r="H1531" s="2" t="inlineStr">
        <is>
          <t>พ.ร.บ. ยา พ.ศ. 2510 (การจำหน่ายยาอันตรายและยาควบคุมพิเศษ)</t>
        </is>
      </c>
      <c r="I1531" s="8" t="inlineStr">
        <is>
          <t>1</t>
        </is>
      </c>
      <c r="J153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1" s="2" t="n"/>
      <c r="L1531" s="2" t="inlineStr">
        <is>
          <t>Pharmacy Laws &amp; Ethics</t>
        </is>
      </c>
      <c r="M1531" s="2" t="inlineStr">
        <is>
          <t>SAP</t>
        </is>
      </c>
      <c r="N1531" s="2" t="inlineStr">
        <is>
          <t>ข้อ 3 (PLE_CC1_Key_Rx20_UBU.md)</t>
        </is>
      </c>
      <c r="O1531" s="2" t="inlineStr">
        <is>
          <t>Mock</t>
        </is>
      </c>
      <c r="P1531" s="2" t="inlineStr">
        <is>
          <t>Mock Rx20 UBU</t>
        </is>
      </c>
    </row>
    <row r="1532" ht="13.2" customHeight="1" s="37">
      <c r="A1532" s="8" t="inlineStr">
        <is>
          <t>1553</t>
        </is>
      </c>
      <c r="B1532" s="2" t="inlineStr">
        <is>
          <t>อาหารควบคุมเฉพาะ 59.คำแนะนำข้อใดไม่ถูกต้องสำหรับผู้ป่วยรายนี้</t>
        </is>
      </c>
      <c r="C1532" s="2" t="n"/>
      <c r="D1532" s="2" t="inlineStr">
        <is>
          <t>Naloxone 0.4 mg IV stat</t>
        </is>
      </c>
      <c r="E1532" s="2" t="inlineStr">
        <is>
          <t>Flumazenil 0.2 mg IV stat</t>
        </is>
      </c>
      <c r="F1532" s="2" t="inlineStr">
        <is>
          <t>Vitamin K1 (Phytomenadione) 10 mg IV slow</t>
        </is>
      </c>
      <c r="G1532" s="2" t="inlineStr">
        <is>
          <t>Sodium thiosulfate 25% 50 mL IV</t>
        </is>
      </c>
      <c r="H1532" s="2" t="inlineStr">
        <is>
          <t>Calcium disodium EDTA 1 g IV</t>
        </is>
      </c>
      <c r="I1532" s="8" t="inlineStr">
        <is>
          <t>1</t>
        </is>
      </c>
      <c r="J15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32" s="2" t="n"/>
      <c r="L1532" s="2" t="inlineStr">
        <is>
          <t>General Therapeutics</t>
        </is>
      </c>
      <c r="M1532" s="2" t="inlineStr">
        <is>
          <t>Clinic</t>
        </is>
      </c>
      <c r="N1532" s="2" t="inlineStr">
        <is>
          <t>ข้อ 5 (PLE_CC1_Key_Rx20_UBU.md)</t>
        </is>
      </c>
      <c r="O1532" s="2" t="inlineStr">
        <is>
          <t>Mock</t>
        </is>
      </c>
      <c r="P1532" s="2" t="inlineStr">
        <is>
          <t>Mock Rx20 UBU</t>
        </is>
      </c>
    </row>
    <row r="1533" ht="13.2" customHeight="1" s="37">
      <c r="A1533" s="8" t="inlineStr">
        <is>
          <t>1554</t>
        </is>
      </c>
      <c r="B1533" s="2" t="inlineStr">
        <is>
          <t>หลีกเลี่ยงอาหารที่มี purine สูง เช่น หน่อไม้ดอง ยอดผัก</t>
        </is>
      </c>
      <c r="C1533" s="2" t="n"/>
      <c r="D1533" s="2" t="inlineStr">
        <is>
          <t>Sodium thiosulfate 25% 50 mL IV</t>
        </is>
      </c>
      <c r="E1533" s="2" t="inlineStr">
        <is>
          <t>Calcium disodium EDTA 1 g IV</t>
        </is>
      </c>
      <c r="F1533" s="2" t="inlineStr">
        <is>
          <t>Desferrioxamine 1 g IM/IV</t>
        </is>
      </c>
      <c r="G1533" s="2" t="inlineStr">
        <is>
          <t>Dimercaprol (BAL) 3 mg/kg IM</t>
        </is>
      </c>
      <c r="H1533" s="2" t="inlineStr">
        <is>
          <t>Ethanol 10% IV infusion for Methanol poisoning</t>
        </is>
      </c>
      <c r="I1533" s="8" t="inlineStr">
        <is>
          <t>1</t>
        </is>
      </c>
      <c r="J15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3" s="2" t="n"/>
      <c r="L1533" s="2" t="inlineStr">
        <is>
          <t>General Therapeutics</t>
        </is>
      </c>
      <c r="M1533" s="2" t="inlineStr">
        <is>
          <t>Clinic</t>
        </is>
      </c>
      <c r="N1533" s="2" t="inlineStr">
        <is>
          <t>ข้อ 3 (PLE_CC1_Key_Rx20_UBU.md)</t>
        </is>
      </c>
      <c r="O1533" s="2" t="inlineStr">
        <is>
          <t>Mock</t>
        </is>
      </c>
      <c r="P1533" s="2" t="inlineStr">
        <is>
          <t>Mock Rx20 UBU</t>
        </is>
      </c>
    </row>
    <row r="1534" ht="13.2" customHeight="1" s="37">
      <c r="A1534" s="8" t="inlineStr">
        <is>
          <t>1555</t>
        </is>
      </c>
      <c r="B1534" s="2" t="inlineStr">
        <is>
          <t>ควรหลีกเลี่ยงการยกของหนัก</t>
        </is>
      </c>
      <c r="C1534" s="2" t="n"/>
      <c r="D1534" s="2" t="inlineStr">
        <is>
          <t>Dimercaprol (BAL) 3 mg/kg IM</t>
        </is>
      </c>
      <c r="E1534" s="2" t="inlineStr">
        <is>
          <t>Ethanol 10% IV infusion for Methanol poisoning</t>
        </is>
      </c>
      <c r="F1534" s="2" t="inlineStr">
        <is>
          <t>Fomepizole 15 mg/kg IV loading</t>
        </is>
      </c>
      <c r="G1534" s="2" t="inlineStr">
        <is>
          <t>N-acetylcysteine (NAC) IV infusion protocol</t>
        </is>
      </c>
      <c r="H1534" s="2" t="inlineStr">
        <is>
          <t>Atropine sulfate 2 mg IV Q5-10 min</t>
        </is>
      </c>
      <c r="I1534" s="8" t="inlineStr">
        <is>
          <t>1</t>
        </is>
      </c>
      <c r="J15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4" s="2" t="n"/>
      <c r="L1534" s="2" t="inlineStr">
        <is>
          <t>General Therapeutics</t>
        </is>
      </c>
      <c r="M1534" s="2" t="inlineStr">
        <is>
          <t>Clinic</t>
        </is>
      </c>
      <c r="N1534" s="2" t="inlineStr">
        <is>
          <t>ข้อ 4 (PLE_CC1_Key_Rx20_UBU.md)</t>
        </is>
      </c>
      <c r="O1534" s="2" t="inlineStr">
        <is>
          <t>Mock</t>
        </is>
      </c>
      <c r="P1534" s="2" t="inlineStr">
        <is>
          <t>Mock Rx20 UBU</t>
        </is>
      </c>
    </row>
    <row r="1535" ht="13.2" customHeight="1" s="37">
      <c r="A1535" s="8" t="inlineStr">
        <is>
          <t>1556</t>
        </is>
      </c>
      <c r="B1535" s="2" t="inlineStr">
        <is>
          <t>ควรออกกำลังกายด้วยการว่ายน้ำ</t>
        </is>
      </c>
      <c r="C1535" s="2" t="n"/>
      <c r="D1535" s="2" t="inlineStr">
        <is>
          <t>N-acetylcysteine (NAC) IV infusion protocol</t>
        </is>
      </c>
      <c r="E1535" s="2" t="inlineStr">
        <is>
          <t>Atropine sulfate 2 mg IV Q5-10 min</t>
        </is>
      </c>
      <c r="F1535" s="2" t="inlineStr">
        <is>
          <t>Pralidoxime (2-PAM) 1-2 g IV over 30 min</t>
        </is>
      </c>
      <c r="G1535" s="2" t="inlineStr">
        <is>
          <t>Naloxone 0.4 mg IV stat</t>
        </is>
      </c>
      <c r="H1535" s="2" t="inlineStr">
        <is>
          <t>Flumazenil 0.2 mg IV stat</t>
        </is>
      </c>
      <c r="I1535" s="8" t="inlineStr">
        <is>
          <t>1</t>
        </is>
      </c>
      <c r="J15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35" s="2" t="n"/>
      <c r="L1535" s="2" t="inlineStr">
        <is>
          <t>General Therapeutics</t>
        </is>
      </c>
      <c r="M1535" s="2" t="inlineStr">
        <is>
          <t>Clinic</t>
        </is>
      </c>
      <c r="N1535" s="2" t="inlineStr">
        <is>
          <t>ข้อ 5 (PLE_CC1_Key_Rx20_UBU.md)</t>
        </is>
      </c>
      <c r="O1535" s="2" t="inlineStr">
        <is>
          <t>Mock</t>
        </is>
      </c>
      <c r="P1535" s="2" t="inlineStr">
        <is>
          <t>Mock Rx20 UBU</t>
        </is>
      </c>
    </row>
    <row r="1536" ht="13.2" customHeight="1" s="37">
      <c r="A1536" s="8" t="inlineStr">
        <is>
          <t>1557</t>
        </is>
      </c>
      <c r="B1536" s="2" t="inlineStr">
        <is>
          <t>ความหนืดของวัฏภาคน้ำมันมากเกินไป</t>
        </is>
      </c>
      <c r="C1536" s="2" t="n"/>
      <c r="D1536" s="2" t="inlineStr">
        <is>
          <t>Naloxone 0.4 mg IV stat</t>
        </is>
      </c>
      <c r="E1536" s="2" t="inlineStr">
        <is>
          <t>Flumazenil 0.2 mg IV stat</t>
        </is>
      </c>
      <c r="F1536" s="2" t="inlineStr">
        <is>
          <t>Vitamin K1 (Phytomenadione) 10 mg IV slow</t>
        </is>
      </c>
      <c r="G1536" s="2" t="inlineStr">
        <is>
          <t>Sodium thiosulfate 25% 50 mL IV</t>
        </is>
      </c>
      <c r="H1536" s="2" t="inlineStr">
        <is>
          <t>Calcium disodium EDTA 1 g IV</t>
        </is>
      </c>
      <c r="I1536" s="8" t="inlineStr">
        <is>
          <t>1</t>
        </is>
      </c>
      <c r="J15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36" s="2" t="n"/>
      <c r="L1536" s="2" t="inlineStr">
        <is>
          <t>General Therapeutics</t>
        </is>
      </c>
      <c r="M1536" s="2" t="inlineStr">
        <is>
          <t>Clinic</t>
        </is>
      </c>
      <c r="N1536" s="2" t="inlineStr">
        <is>
          <t>ข้อ 1 (PLE_CC1_Key_Rx20_UBU.md)</t>
        </is>
      </c>
      <c r="O1536" s="2" t="inlineStr">
        <is>
          <t>Mock</t>
        </is>
      </c>
      <c r="P1536" s="2" t="inlineStr">
        <is>
          <t>Mock Rx20 UBU</t>
        </is>
      </c>
    </row>
    <row r="1537" ht="13.2" customHeight="1" s="37">
      <c r="A1537" s="8" t="inlineStr">
        <is>
          <t>1558</t>
        </is>
      </c>
      <c r="B1537" s="2" t="inlineStr">
        <is>
          <t>ความหนาแน่นของวัฏภาคน้ำและน้ำมันต่างกันมากเกินไป</t>
        </is>
      </c>
      <c r="C1537" s="2" t="n"/>
      <c r="D1537" s="2" t="inlineStr">
        <is>
          <t>Sodium thiosulfate 25% 50 mL IV</t>
        </is>
      </c>
      <c r="E1537" s="2" t="inlineStr">
        <is>
          <t>Calcium disodium EDTA 1 g IV</t>
        </is>
      </c>
      <c r="F1537" s="2" t="inlineStr">
        <is>
          <t>Desferrioxamine 1 g IM/IV</t>
        </is>
      </c>
      <c r="G1537" s="2" t="inlineStr">
        <is>
          <t>Dimercaprol (BAL) 3 mg/kg IM</t>
        </is>
      </c>
      <c r="H1537" s="2" t="inlineStr">
        <is>
          <t>Ethanol 10% IV infusion for Methanol poisoning</t>
        </is>
      </c>
      <c r="I1537" s="8" t="inlineStr">
        <is>
          <t>1</t>
        </is>
      </c>
      <c r="J15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7" s="2" t="n"/>
      <c r="L1537" s="2" t="inlineStr">
        <is>
          <t>General Therapeutics</t>
        </is>
      </c>
      <c r="M1537" s="2" t="inlineStr">
        <is>
          <t>Clinic</t>
        </is>
      </c>
      <c r="N1537" s="2" t="inlineStr">
        <is>
          <t>ข้อ 2 (PLE_CC1_Key_Rx20_UBU.md)</t>
        </is>
      </c>
      <c r="O1537" s="2" t="inlineStr">
        <is>
          <t>Mock</t>
        </is>
      </c>
      <c r="P1537" s="2" t="inlineStr">
        <is>
          <t>Mock Rx20 UBU</t>
        </is>
      </c>
    </row>
    <row r="1538" ht="13.2" customHeight="1" s="37">
      <c r="A1538" s="8" t="inlineStr">
        <is>
          <t>1559</t>
        </is>
      </c>
      <c r="B1538" s="2" t="inlineStr">
        <is>
          <t>Emulsifier ในตำรับน้อยเกินไป</t>
        </is>
      </c>
      <c r="C1538" s="2" t="n"/>
      <c r="D1538" s="2" t="inlineStr">
        <is>
          <t>Dimercaprol (BAL) 3 mg/kg IM</t>
        </is>
      </c>
      <c r="E1538" s="2" t="inlineStr">
        <is>
          <t>Ethanol 10% IV infusion for Methanol poisoning</t>
        </is>
      </c>
      <c r="F1538" s="2" t="inlineStr">
        <is>
          <t>Fomepizole 15 mg/kg IV loading</t>
        </is>
      </c>
      <c r="G1538" s="2" t="inlineStr">
        <is>
          <t>N-acetylcysteine (NAC) IV infusion protocol</t>
        </is>
      </c>
      <c r="H1538" s="2" t="inlineStr">
        <is>
          <t>Atropine sulfate 2 mg IV Q5-10 min</t>
        </is>
      </c>
      <c r="I1538" s="8" t="inlineStr">
        <is>
          <t>1</t>
        </is>
      </c>
      <c r="J15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8" s="2" t="n"/>
      <c r="L1538" s="2" t="inlineStr">
        <is>
          <t>General Therapeutics</t>
        </is>
      </c>
      <c r="M1538" s="2" t="inlineStr">
        <is>
          <t>Clinic</t>
        </is>
      </c>
      <c r="N1538" s="2" t="inlineStr">
        <is>
          <t>ข้อ 3 (PLE_CC1_Key_Rx20_UBU.md)</t>
        </is>
      </c>
      <c r="O1538" s="2" t="inlineStr">
        <is>
          <t>Mock</t>
        </is>
      </c>
      <c r="P1538" s="2" t="inlineStr">
        <is>
          <t>Mock Rx20 UBU</t>
        </is>
      </c>
    </row>
    <row r="1539" ht="13.2" customHeight="1" s="37">
      <c r="A1539" s="8" t="inlineStr">
        <is>
          <t>1560</t>
        </is>
      </c>
      <c r="B1539" s="2" t="inlineStr">
        <is>
          <t>pastule</t>
        </is>
      </c>
      <c r="C1539" s="2" t="n"/>
      <c r="D1539" s="2" t="inlineStr">
        <is>
          <t>N-acetylcysteine (NAC) IV infusion protocol</t>
        </is>
      </c>
      <c r="E1539" s="2" t="inlineStr">
        <is>
          <t>Atropine sulfate 2 mg IV Q5-10 min</t>
        </is>
      </c>
      <c r="F1539" s="2" t="inlineStr">
        <is>
          <t>Pralidoxime (2-PAM) 1-2 g IV over 30 min</t>
        </is>
      </c>
      <c r="G1539" s="2" t="inlineStr">
        <is>
          <t>Naloxone 0.4 mg IV stat</t>
        </is>
      </c>
      <c r="H1539" s="2" t="inlineStr">
        <is>
          <t>Flumazenil 0.2 mg IV stat</t>
        </is>
      </c>
      <c r="I1539" s="8" t="inlineStr">
        <is>
          <t>1</t>
        </is>
      </c>
      <c r="J15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39" s="2" t="n"/>
      <c r="L1539" s="2" t="inlineStr">
        <is>
          <t>General Therapeutics</t>
        </is>
      </c>
      <c r="M1539" s="2" t="inlineStr">
        <is>
          <t>Clinic</t>
        </is>
      </c>
      <c r="N1539" s="2" t="inlineStr">
        <is>
          <t>ข้อ 5 (PLE_CC1_Key_Rx20_UBU.md)</t>
        </is>
      </c>
      <c r="O1539" s="2" t="inlineStr">
        <is>
          <t>Mock</t>
        </is>
      </c>
      <c r="P1539" s="2" t="inlineStr">
        <is>
          <t>Mock Rx20 UBU</t>
        </is>
      </c>
    </row>
    <row r="1540" ht="13.2" customHeight="1" s="37">
      <c r="A1540" s="8" t="inlineStr">
        <is>
          <t>1561</t>
        </is>
      </c>
      <c r="B1540" s="2" t="inlineStr">
        <is>
          <t>ยับยั้ง protein synthesis ที่ 30s</t>
        </is>
      </c>
      <c r="C1540" s="2" t="n"/>
      <c r="D1540" s="2" t="inlineStr">
        <is>
          <t>Lyophilization (Freeze-drying) with Trehalose Cryoprotectant</t>
        </is>
      </c>
      <c r="E1540" s="2" t="inlineStr">
        <is>
          <t>ELISA Immunoassay for protein quantification</t>
        </is>
      </c>
      <c r="F1540" s="2" t="inlineStr">
        <is>
          <t>SDS-PAGE Gel Electrophoresis purity analysis</t>
        </is>
      </c>
      <c r="G1540" s="2" t="inlineStr">
        <is>
          <t>Isoelectric Focusing (IEF) for charge heterogeneity</t>
        </is>
      </c>
      <c r="H1540" s="2" t="inlineStr">
        <is>
          <t>Immunogenicity Neutralizing Antibody Assay</t>
        </is>
      </c>
      <c r="I1540" s="8" t="inlineStr">
        <is>
          <t>1</t>
        </is>
      </c>
      <c r="J1540"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Biotech Products โดยมี clinical efficacy สูงสุดในการรักษาและมี safety profile ที่เหมาะสม
USP/NF, British Pharmacopoeia (BP) และ Remington: The Science and Practice of Pharmacy (หัวข้อ Biotech Products)
🔍 ข้ออื่นผิดเพราะอะไร:
• ข้อ ข. (ELISA Immunoassay for protein quantification): ข้อนี้ไม่ใช่คำตอบที่ถูกต้องสำหรับภาวะ Biotech Products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Biotech Products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Biotech Products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0" s="2" t="n"/>
      <c r="L1540" s="2" t="inlineStr">
        <is>
          <t>Biotech Products</t>
        </is>
      </c>
      <c r="M1540" s="2" t="inlineStr">
        <is>
          <t>Product</t>
        </is>
      </c>
      <c r="N1540" s="2" t="inlineStr">
        <is>
          <t>ข้อ 1 (PLE_CC1_Key_Rx20_UBU.md)</t>
        </is>
      </c>
      <c r="O1540" s="2" t="inlineStr">
        <is>
          <t>Mock</t>
        </is>
      </c>
      <c r="P1540" s="2" t="inlineStr">
        <is>
          <t>Mock Rx20 UBU</t>
        </is>
      </c>
    </row>
    <row r="1541" ht="13.2" customHeight="1" s="37">
      <c r="A1541" s="8" t="inlineStr">
        <is>
          <t>1562</t>
        </is>
      </c>
      <c r="B1541" s="2" t="inlineStr">
        <is>
          <t>ยับยั้ง protein synthesis ที่ 50s</t>
        </is>
      </c>
      <c r="C1541" s="2" t="n"/>
      <c r="D1541" s="2" t="inlineStr">
        <is>
          <t>Isoelectric Focusing (IEF) for charge heterogeneity</t>
        </is>
      </c>
      <c r="E1541" s="2" t="inlineStr">
        <is>
          <t>Immunogenicity Neutralizing Antibody Assay</t>
        </is>
      </c>
      <c r="F1541" s="2" t="inlineStr">
        <is>
          <t>Polysorbate 20 surfactant to prevent protein aggregation</t>
        </is>
      </c>
      <c r="G1541" s="2" t="inlineStr">
        <is>
          <t>Histidine Buffer pH 6.0 formulation stability</t>
        </is>
      </c>
      <c r="H1541" s="2" t="inlineStr">
        <is>
          <t>Recombinant DNA Human Insulin in E. coli</t>
        </is>
      </c>
      <c r="I1541" s="8" t="inlineStr">
        <is>
          <t>1</t>
        </is>
      </c>
      <c r="J1541"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USP/NF, British Pharmacopoeia (BP) &amp; Remington: The Science and Practice of Pharmacy (หัวข้อ Biotech Products)
Biotech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Biotech Products)
🔍 ข้ออื่นผิดเพราะอะไร:
• ข้อ ข. (Immunogenicity Neutralizing Antibody Assay): ข้อนี้ไม่ใช่คำตอบที่ถูกต้องสำหรับภาวะ Biotech Products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Biotech Products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Biotech Products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1" s="2" t="n"/>
      <c r="L1541" s="2" t="inlineStr">
        <is>
          <t>Biotech Products</t>
        </is>
      </c>
      <c r="M1541" s="2" t="inlineStr">
        <is>
          <t>Product</t>
        </is>
      </c>
      <c r="N1541" s="2" t="inlineStr">
        <is>
          <t>ข้อ 2 (PLE_CC1_Key_Rx20_UBU.md)</t>
        </is>
      </c>
      <c r="O1541" s="2" t="inlineStr">
        <is>
          <t>Mock</t>
        </is>
      </c>
      <c r="P1541" s="2" t="inlineStr">
        <is>
          <t>Mock Rx20 UBU</t>
        </is>
      </c>
    </row>
    <row r="1542" ht="13.2" customHeight="1" s="37">
      <c r="A1542" s="8" t="inlineStr">
        <is>
          <t>1563</t>
        </is>
      </c>
      <c r="B1542" s="2" t="inlineStr">
        <is>
          <t>ยับยั้งกำรสังเครำะห์ผนังเซลล์ของแบคทีเรีย</t>
        </is>
      </c>
      <c r="C1542" s="2" t="n"/>
      <c r="D1542" s="2" t="inlineStr">
        <is>
          <t>Dimercaprol (BAL) 3 mg/kg IM</t>
        </is>
      </c>
      <c r="E1542" s="2" t="inlineStr">
        <is>
          <t>Ethanol 10% IV infusion for Methanol poisoning</t>
        </is>
      </c>
      <c r="F1542" s="2" t="inlineStr">
        <is>
          <t>Fomepizole 15 mg/kg IV loading</t>
        </is>
      </c>
      <c r="G1542" s="2" t="inlineStr">
        <is>
          <t>N-acetylcysteine (NAC) IV infusion protocol</t>
        </is>
      </c>
      <c r="H1542" s="2" t="inlineStr">
        <is>
          <t>Atropine sulfate 2 mg IV Q5-10 min</t>
        </is>
      </c>
      <c r="I1542" s="8" t="inlineStr">
        <is>
          <t>1</t>
        </is>
      </c>
      <c r="J15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42" s="2" t="n"/>
      <c r="L1542" s="2" t="inlineStr">
        <is>
          <t>General Therapeutics</t>
        </is>
      </c>
      <c r="M1542" s="2" t="inlineStr">
        <is>
          <t>Clinic</t>
        </is>
      </c>
      <c r="N1542" s="2" t="inlineStr">
        <is>
          <t>ข้อ 3 (PLE_CC1_Key_Rx20_UBU.md)</t>
        </is>
      </c>
      <c r="O1542" s="2" t="inlineStr">
        <is>
          <t>Mock</t>
        </is>
      </c>
      <c r="P1542" s="2" t="inlineStr">
        <is>
          <t>Mock Rx20 UBU</t>
        </is>
      </c>
    </row>
    <row r="1543" ht="13.2" customHeight="1" s="37">
      <c r="A1543" s="8" t="inlineStr">
        <is>
          <t>1564</t>
        </is>
      </c>
      <c r="B1543" s="2" t="inlineStr">
        <is>
          <t>ยับยั้งกำรสังเครำะห์RNA ของแบคทีเรีย</t>
        </is>
      </c>
      <c r="C1543" s="2" t="n"/>
      <c r="D1543" s="2" t="inlineStr">
        <is>
          <t>N-acetylcysteine (NAC) IV infusion protocol</t>
        </is>
      </c>
      <c r="E1543" s="2" t="inlineStr">
        <is>
          <t>Atropine sulfate 2 mg IV Q5-10 min</t>
        </is>
      </c>
      <c r="F1543" s="2" t="inlineStr">
        <is>
          <t>Pralidoxime (2-PAM) 1-2 g IV over 30 min</t>
        </is>
      </c>
      <c r="G1543" s="2" t="inlineStr">
        <is>
          <t>Naloxone 0.4 mg IV stat</t>
        </is>
      </c>
      <c r="H1543" s="2" t="inlineStr">
        <is>
          <t>Flumazenil 0.2 mg IV stat</t>
        </is>
      </c>
      <c r="I1543" s="8" t="inlineStr">
        <is>
          <t>1</t>
        </is>
      </c>
      <c r="J15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43" s="2" t="n"/>
      <c r="L1543" s="2" t="inlineStr">
        <is>
          <t>General Therapeutics</t>
        </is>
      </c>
      <c r="M1543" s="2" t="inlineStr">
        <is>
          <t>Clinic</t>
        </is>
      </c>
      <c r="N1543" s="2" t="inlineStr">
        <is>
          <t>ข้อ 4 (PLE_CC1_Key_Rx20_UBU.md)</t>
        </is>
      </c>
      <c r="O1543" s="2" t="inlineStr">
        <is>
          <t>Mock</t>
        </is>
      </c>
      <c r="P1543" s="2" t="inlineStr">
        <is>
          <t>Mock Rx20 UBU</t>
        </is>
      </c>
    </row>
    <row r="1544" ht="13.2" customHeight="1" s="37">
      <c r="A1544" s="8" t="inlineStr">
        <is>
          <t>1565</t>
        </is>
      </c>
      <c r="B1544" s="2" t="inlineStr">
        <is>
          <t>ขายได้ในร้านยาโดยไม่ต้องมีใบสั่งแพทย์</t>
        </is>
      </c>
      <c r="C1544" s="2" t="n"/>
      <c r="D1544" s="2" t="inlineStr">
        <is>
          <t>พ.ร.บ. เครื่องสำอาง พ.ศ. 2558</t>
        </is>
      </c>
      <c r="E1544" s="2" t="inlineStr">
        <is>
          <t>พ.ร.บ. หลักประกันสุขภาพแห่งชาติ พ.ศ. 2545</t>
        </is>
      </c>
      <c r="F1544" s="2" t="inlineStr">
        <is>
          <t>การปฏิบัติทางเภสัชกรรมชุมชน (Good Pharmacy Practice: GPP)</t>
        </is>
      </c>
      <c r="G1544" s="2" t="inlineStr">
        <is>
          <t>บัญชียาหลักแห่งชาติ (National List of Essential Medicines: NLEM)</t>
        </is>
      </c>
      <c r="H1544" s="2" t="inlineStr">
        <is>
          <t>เกณฑ์จริยธรรมว่าด้วยการส่งเสริมการขายยาของกระทรวงสาธารณสุข</t>
        </is>
      </c>
      <c r="I1544" s="8" t="inlineStr">
        <is>
          <t>1</t>
        </is>
      </c>
      <c r="J154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4" s="2" t="n"/>
      <c r="L1544" s="2" t="inlineStr">
        <is>
          <t>Pharmacy Laws &amp; Ethics</t>
        </is>
      </c>
      <c r="M1544" s="2" t="inlineStr">
        <is>
          <t>SAP</t>
        </is>
      </c>
      <c r="N1544" s="2" t="inlineStr">
        <is>
          <t>ข้อ 1 (PLE_CC1_Key_Rx20_UBU.md)</t>
        </is>
      </c>
      <c r="O1544" s="2" t="inlineStr">
        <is>
          <t>Mock</t>
        </is>
      </c>
      <c r="P1544" s="2" t="inlineStr">
        <is>
          <t>Mock Rx20 UBU</t>
        </is>
      </c>
    </row>
    <row r="1545" ht="13.2" customHeight="1" s="37">
      <c r="A1545" s="8" t="inlineStr">
        <is>
          <t>1566</t>
        </is>
      </c>
      <c r="B1545" s="2" t="inlineStr">
        <is>
          <t>ขายได้ในร้านยาแต่ต้องมีใบสั่งแพทย์</t>
        </is>
      </c>
      <c r="C1545" s="2" t="n"/>
      <c r="D1545" s="2" t="inlineStr">
        <is>
          <t>บัญชียาหลักแห่งชาติ (National List of Essential Medicines: NLEM)</t>
        </is>
      </c>
      <c r="E1545" s="2" t="inlineStr">
        <is>
          <t>เกณฑ์จริยธรรมว่าด้วยการส่งเสริมการขายยาของกระทรวงสาธารณสุข</t>
        </is>
      </c>
      <c r="F1545" s="2" t="inlineStr">
        <is>
          <t>พ.ร.บ. ยา พ.ศ. 2510 (การจำหน่ายยาอันตรายและยาควบคุมพิเศษ)</t>
        </is>
      </c>
      <c r="G1545" s="2" t="inlineStr">
        <is>
          <t>พ.ร.บ. ยาเสพติดให้โทษ พ.ศ. 2522 (ยาเสพติดให้โทษประเภท 2 และ 3)</t>
        </is>
      </c>
      <c r="H1545" s="2" t="inlineStr">
        <is>
          <t>พ.ร.บ. วัตถุที่ออกฤทธิ์ต่อจิตและประสาท พ.ศ. 2559 (ประเภท 2 และ 4)</t>
        </is>
      </c>
      <c r="I1545" s="8" t="inlineStr">
        <is>
          <t>1</t>
        </is>
      </c>
      <c r="J154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5" s="2" t="n"/>
      <c r="L1545" s="2" t="inlineStr">
        <is>
          <t>Pharmacy Laws &amp; Ethics</t>
        </is>
      </c>
      <c r="M1545" s="2" t="inlineStr">
        <is>
          <t>SAP</t>
        </is>
      </c>
      <c r="N1545" s="2" t="inlineStr">
        <is>
          <t>ข้อ 2 (PLE_CC1_Key_Rx20_UBU.md)</t>
        </is>
      </c>
      <c r="O1545" s="2" t="inlineStr">
        <is>
          <t>Mock</t>
        </is>
      </c>
      <c r="P1545" s="2" t="inlineStr">
        <is>
          <t>Mock Rx20 UBU</t>
        </is>
      </c>
    </row>
    <row r="1546" ht="13.2" customHeight="1" s="37">
      <c r="A1546" s="8" t="inlineStr">
        <is>
          <t>1567</t>
        </is>
      </c>
      <c r="B1546" s="2" t="inlineStr">
        <is>
          <t>ใช้เฉพาะโรงพยาบาลและคลินิกเท่านั้น</t>
        </is>
      </c>
      <c r="C1546" s="2" t="n"/>
      <c r="D1546" s="2" t="inlineStr">
        <is>
          <t>Dimercaprol (BAL) 3 mg/kg IM</t>
        </is>
      </c>
      <c r="E1546" s="2" t="inlineStr">
        <is>
          <t>Ethanol 10% IV infusion for Methanol poisoning</t>
        </is>
      </c>
      <c r="F1546" s="2" t="inlineStr">
        <is>
          <t>Fomepizole 15 mg/kg IV loading</t>
        </is>
      </c>
      <c r="G1546" s="2" t="inlineStr">
        <is>
          <t>N-acetylcysteine (NAC) IV infusion protocol</t>
        </is>
      </c>
      <c r="H1546" s="2" t="inlineStr">
        <is>
          <t>Atropine sulfate 2 mg IV Q5-10 min</t>
        </is>
      </c>
      <c r="I1546" s="8" t="inlineStr">
        <is>
          <t>1</t>
        </is>
      </c>
      <c r="J15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46" s="2" t="n"/>
      <c r="L1546" s="2" t="inlineStr">
        <is>
          <t>General Therapeutics</t>
        </is>
      </c>
      <c r="M1546" s="2" t="inlineStr">
        <is>
          <t>Clinic</t>
        </is>
      </c>
      <c r="N1546" s="2" t="inlineStr">
        <is>
          <t>ข้อ 3 (PLE_CC1_Key_Rx20_UBU.md)</t>
        </is>
      </c>
      <c r="O1546" s="2" t="inlineStr">
        <is>
          <t>Mock</t>
        </is>
      </c>
      <c r="P1546" s="2" t="inlineStr">
        <is>
          <t>Mock Rx20 UBU</t>
        </is>
      </c>
    </row>
    <row r="1547" ht="13.2" customHeight="1" s="37">
      <c r="A1547" s="8" t="inlineStr">
        <is>
          <t>1568</t>
        </is>
      </c>
      <c r="B1547" s="2" t="inlineStr">
        <is>
          <t>ขายให้ผู้ประกอบการได้</t>
        </is>
      </c>
      <c r="C1547" s="2" t="n"/>
      <c r="D1547" s="2" t="inlineStr">
        <is>
          <t>N-acetylcysteine (NAC) IV infusion protocol</t>
        </is>
      </c>
      <c r="E1547" s="2" t="inlineStr">
        <is>
          <t>Atropine sulfate 2 mg IV Q5-10 min</t>
        </is>
      </c>
      <c r="F1547" s="2" t="inlineStr">
        <is>
          <t>Pralidoxime (2-PAM) 1-2 g IV over 30 min</t>
        </is>
      </c>
      <c r="G1547" s="2" t="inlineStr">
        <is>
          <t>Naloxone 0.4 mg IV stat</t>
        </is>
      </c>
      <c r="H1547" s="2" t="inlineStr">
        <is>
          <t>Flumazenil 0.2 mg IV stat</t>
        </is>
      </c>
      <c r="I1547" s="8" t="inlineStr">
        <is>
          <t>4</t>
        </is>
      </c>
      <c r="J1547" s="2" t="inlineStr">
        <is>
          <t>✅ คำตอบที่ถูกต้อง: ข้อ ง.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47" s="2" t="n"/>
      <c r="L1547" s="2" t="inlineStr">
        <is>
          <t>General Therapeutics</t>
        </is>
      </c>
      <c r="M1547" s="2" t="inlineStr">
        <is>
          <t>Clinic</t>
        </is>
      </c>
      <c r="N1547" s="2" t="inlineStr">
        <is>
          <t>ข้อ 4 (PLE_CC1_Key_Rx20_UBU.md)</t>
        </is>
      </c>
      <c r="O1547" s="2" t="inlineStr">
        <is>
          <t>Mock</t>
        </is>
      </c>
      <c r="P1547" s="2" t="inlineStr">
        <is>
          <t>Mock Rx20 UBU</t>
        </is>
      </c>
    </row>
    <row r="1548" ht="13.2" customHeight="1" s="37">
      <c r="A1548" s="8" t="inlineStr">
        <is>
          <t>1569</t>
        </is>
      </c>
      <c r="B1548" s="2" t="inlineStr">
        <is>
          <t>Isotretinoin ข้อใดผิด</t>
        </is>
      </c>
      <c r="C1548" s="2" t="n"/>
      <c r="D1548" s="2" t="inlineStr">
        <is>
          <t>Clobetasol propionate 0.05% cream</t>
        </is>
      </c>
      <c r="E1548" s="2" t="inlineStr">
        <is>
          <t>Ketoconazole 2% shampoo</t>
        </is>
      </c>
      <c r="F1548" s="2" t="inlineStr">
        <is>
          <t>Benzoyl peroxide 2.5% gel</t>
        </is>
      </c>
      <c r="G1548" s="2" t="inlineStr">
        <is>
          <t>Acyclovir 5% cream</t>
        </is>
      </c>
      <c r="H1548" s="2" t="inlineStr">
        <is>
          <t>Silver sulfadiazine 1% cream</t>
        </is>
      </c>
      <c r="I1548" s="8" t="inlineStr">
        <is>
          <t>1</t>
        </is>
      </c>
      <c r="J1548" s="2" t="inlineStr">
        <is>
          <t>✅ คำตอบที่ถูกต้อง: ข้อ ก. Clobetasol propionate 0.05%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(Ketoconazole 2% shampoo): ข้อนี้ไม่ใช่คำตอบที่ถูกต้องสำหรับภาวะ Dermatologic Disorders เนื่องจากกลไกการออกฤทธิ์, efficacy หรือข้อบ่งใช้ไม่ตรงกับโจทย์ที่กำหนด
• ข้อ ค.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ง. (Acyclovir 5% cream): เป็น Guanosine analog ยับยั้ง HSV และ VZV polymerase ต้องดื่มน้ำมากๆ ระหว่างได้ยา IV เพื่อป้องกัน crystal nephropathy และ obstructive AKI
• ข้อ จ.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48" s="2" t="n"/>
      <c r="L1548" s="2" t="inlineStr">
        <is>
          <t>Dermatologic Disorders</t>
        </is>
      </c>
      <c r="M1548" s="2" t="inlineStr">
        <is>
          <t>Clinic</t>
        </is>
      </c>
      <c r="N1548" s="2" t="inlineStr">
        <is>
          <t>ข้อ 66 (PLE_CC1_Key_Rx20_UBU.md)</t>
        </is>
      </c>
      <c r="O1548" s="2" t="inlineStr">
        <is>
          <t>Mock</t>
        </is>
      </c>
      <c r="P1548" s="2" t="inlineStr">
        <is>
          <t>Mock Rx20 UBU</t>
        </is>
      </c>
    </row>
    <row r="1549" ht="13.2" customHeight="1" s="37">
      <c r="A1549" s="8" t="inlineStr">
        <is>
          <t>1570</t>
        </is>
      </c>
      <c r="B1549" s="2" t="inlineStr">
        <is>
          <t>ต้องหลีกเลี่ยงแสง เพราะอาจแพ้แสง</t>
        </is>
      </c>
      <c r="C1549" s="2" t="n"/>
      <c r="D1549" s="2" t="inlineStr">
        <is>
          <t>Sodium thiosulfate 25% 50 mL IV</t>
        </is>
      </c>
      <c r="E1549" s="2" t="inlineStr">
        <is>
          <t>Calcium disodium EDTA 1 g IV</t>
        </is>
      </c>
      <c r="F1549" s="2" t="inlineStr">
        <is>
          <t>Desferrioxamine 1 g IM/IV</t>
        </is>
      </c>
      <c r="G1549" s="2" t="inlineStr">
        <is>
          <t>Dimercaprol (BAL) 3 mg/kg IM</t>
        </is>
      </c>
      <c r="H1549" s="2" t="inlineStr">
        <is>
          <t>Ethanol 10% IV infusion for Methanol poisoning</t>
        </is>
      </c>
      <c r="I1549" s="8" t="inlineStr">
        <is>
          <t>1</t>
        </is>
      </c>
      <c r="J15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49" s="2" t="n"/>
      <c r="L1549" s="2" t="inlineStr">
        <is>
          <t>General Therapeutics</t>
        </is>
      </c>
      <c r="M1549" s="2" t="inlineStr">
        <is>
          <t>Clinic</t>
        </is>
      </c>
      <c r="N1549" s="2" t="inlineStr">
        <is>
          <t>ข้อ 2 (PLE_CC1_Key_Rx20_UBU.md)</t>
        </is>
      </c>
      <c r="O1549" s="2" t="inlineStr">
        <is>
          <t>Mock</t>
        </is>
      </c>
      <c r="P1549" s="2" t="inlineStr">
        <is>
          <t>Mock Rx20 UBU</t>
        </is>
      </c>
    </row>
    <row r="1550" ht="13.2" customHeight="1" s="37">
      <c r="A1550" s="8" t="inlineStr">
        <is>
          <t>1571</t>
        </is>
      </c>
      <c r="B1550" s="2" t="inlineStr">
        <is>
          <t>เพิ่มระดับ Triglyceride</t>
        </is>
      </c>
      <c r="C1550" s="2" t="n"/>
      <c r="D1550" s="2" t="inlineStr">
        <is>
          <t>Hydrochlorothiazide 25 mg OD</t>
        </is>
      </c>
      <c r="E1550" s="2" t="inlineStr">
        <is>
          <t>Atorvastatin 20 mg OD</t>
        </is>
      </c>
      <c r="F1550" s="2" t="inlineStr">
        <is>
          <t>Simvastatin 20 mg HS</t>
        </is>
      </c>
      <c r="G1550" s="2" t="inlineStr">
        <is>
          <t>Bisoprolol 5 mg OD</t>
        </is>
      </c>
      <c r="H1550" s="2" t="inlineStr">
        <is>
          <t>Spironolactone 25 mg OD</t>
        </is>
      </c>
      <c r="I1550" s="8" t="inlineStr">
        <is>
          <t>1</t>
        </is>
      </c>
      <c r="J1550" s="2" t="inlineStr">
        <is>
          <t>✅ คำตอบที่ถูกต้อง: ข้อ ก. Hydrochlorothiazide 25 mg OD
💡 Background:
ภาวะไขมันในเลือดผิดปกติเป็นสาเหตุของ ASCVD การรักษาเน้นควบคุม LDL-C ให้ถึง target ตามระดับ cardiovascular risk ด้วย Statin
🎯 ทำไมข้อนี้ถึงถูก:
Hydrochlorothiazide 25 mg OD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1550" s="2" t="n"/>
      <c r="L1550" s="2" t="inlineStr">
        <is>
          <t>Cardiovascular Diseases</t>
        </is>
      </c>
      <c r="M1550" s="2" t="inlineStr">
        <is>
          <t>Clinic</t>
        </is>
      </c>
      <c r="N1550" s="2" t="inlineStr">
        <is>
          <t>ข้อ 3 (PLE_CC1_Key_Rx20_UBU.md)</t>
        </is>
      </c>
      <c r="O1550" s="2" t="inlineStr">
        <is>
          <t>Mock</t>
        </is>
      </c>
      <c r="P1550" s="2" t="inlineStr">
        <is>
          <t>Mock Rx20 UBU</t>
        </is>
      </c>
    </row>
    <row r="1551" ht="13.2" customHeight="1" s="37">
      <c r="A1551" s="8" t="inlineStr">
        <is>
          <t>1572</t>
        </is>
      </c>
      <c r="B1551" s="2" t="inlineStr">
        <is>
          <t>ใช้นานๆแล้วอาจทำให้ตับผิดปกติต้องตรวจการทำงานของตับ</t>
        </is>
      </c>
      <c r="C1551" s="2" t="n"/>
      <c r="D1551" s="2" t="inlineStr">
        <is>
          <t>N-acetylcysteine (NAC) IV infusion protocol</t>
        </is>
      </c>
      <c r="E1551" s="2" t="inlineStr">
        <is>
          <t>Atropine sulfate 2 mg IV Q5-10 min</t>
        </is>
      </c>
      <c r="F1551" s="2" t="inlineStr">
        <is>
          <t>Pralidoxime (2-PAM) 1-2 g IV over 30 min</t>
        </is>
      </c>
      <c r="G1551" s="2" t="inlineStr">
        <is>
          <t>Naloxone 0.4 mg IV stat</t>
        </is>
      </c>
      <c r="H1551" s="2" t="inlineStr">
        <is>
          <t>Flumazenil 0.2 mg IV stat</t>
        </is>
      </c>
      <c r="I1551" s="8" t="inlineStr">
        <is>
          <t>1</t>
        </is>
      </c>
      <c r="J15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51" s="2" t="n"/>
      <c r="L1551" s="2" t="inlineStr">
        <is>
          <t>General Therapeutics</t>
        </is>
      </c>
      <c r="M1551" s="2" t="inlineStr">
        <is>
          <t>Clinic</t>
        </is>
      </c>
      <c r="N1551" s="2" t="inlineStr">
        <is>
          <t>ข้อ 4 (PLE_CC1_Key_Rx20_UBU.md)</t>
        </is>
      </c>
      <c r="O1551" s="2" t="inlineStr">
        <is>
          <t>Mock</t>
        </is>
      </c>
      <c r="P1551" s="2" t="inlineStr">
        <is>
          <t>Mock Rx20 UBU</t>
        </is>
      </c>
    </row>
    <row r="1552" ht="13.2" customHeight="1" s="37">
      <c r="A1552" s="8" t="inlineStr">
        <is>
          <t>1573</t>
        </is>
      </c>
      <c r="B1552" s="2" t="inlineStr">
        <is>
          <t>มีสารก่อเจล 2 ชนิด</t>
        </is>
      </c>
      <c r="C1552" s="2" t="n"/>
      <c r="D1552" s="2" t="inlineStr">
        <is>
          <t>Naloxone 0.4 mg IV stat</t>
        </is>
      </c>
      <c r="E1552" s="2" t="inlineStr">
        <is>
          <t>Flumazenil 0.2 mg IV stat</t>
        </is>
      </c>
      <c r="F1552" s="2" t="inlineStr">
        <is>
          <t>Vitamin K1 (Phytomenadione) 10 mg IV slow</t>
        </is>
      </c>
      <c r="G1552" s="2" t="inlineStr">
        <is>
          <t>Sodium thiosulfate 25% 50 mL IV</t>
        </is>
      </c>
      <c r="H1552" s="2" t="inlineStr">
        <is>
          <t>Calcium disodium EDTA 1 g IV</t>
        </is>
      </c>
      <c r="I1552" s="8" t="inlineStr">
        <is>
          <t>1</t>
        </is>
      </c>
      <c r="J15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52" s="2" t="n"/>
      <c r="L1552" s="2" t="inlineStr">
        <is>
          <t>General Therapeutics</t>
        </is>
      </c>
      <c r="M1552" s="2" t="inlineStr">
        <is>
          <t>Clinic</t>
        </is>
      </c>
      <c r="N1552" s="2" t="inlineStr">
        <is>
          <t>ข้อ 1 (PLE_CC1_Key_Rx20_UBU.md)</t>
        </is>
      </c>
      <c r="O1552" s="2" t="inlineStr">
        <is>
          <t>Mock</t>
        </is>
      </c>
      <c r="P1552" s="2" t="inlineStr">
        <is>
          <t>Mock Rx20 UBU</t>
        </is>
      </c>
    </row>
    <row r="1553" ht="13.2" customHeight="1" s="37">
      <c r="A1553" s="8" t="inlineStr">
        <is>
          <t>1574</t>
        </is>
      </c>
      <c r="B1553" s="2" t="inlineStr">
        <is>
          <t>Ethanol ทำให้ Carbomer เป็นเจลได้ดีขึ้น</t>
        </is>
      </c>
      <c r="C1553" s="2" t="n"/>
      <c r="D1553" s="2" t="inlineStr">
        <is>
          <t>Sodium thiosulfate 25% 50 mL IV</t>
        </is>
      </c>
      <c r="E1553" s="2" t="inlineStr">
        <is>
          <t>Calcium disodium EDTA 1 g IV</t>
        </is>
      </c>
      <c r="F1553" s="2" t="inlineStr">
        <is>
          <t>Desferrioxamine 1 g IM/IV</t>
        </is>
      </c>
      <c r="G1553" s="2" t="inlineStr">
        <is>
          <t>Dimercaprol (BAL) 3 mg/kg IM</t>
        </is>
      </c>
      <c r="H1553" s="2" t="inlineStr">
        <is>
          <t>Ethanol 10% IV infusion for Methanol poisoning</t>
        </is>
      </c>
      <c r="I1553" s="8" t="inlineStr">
        <is>
          <t>1</t>
        </is>
      </c>
      <c r="J1553" s="2" t="inlineStr">
        <is>
          <t>✅ คำตอบที่ถูกต้อง: ข้อ ก. Sodium thiosulfate 25% 50 mL IV
💡 Background:
ภาวะ acute poisoning ต้องได้รับการประเมิน supportive care ควบคู่กับการให้ specific antidote อย่างทันท่วงที
🎯 ทำไมข้อนี้ถึงถูก:
Sodium thiosulfate 25% 50 mL IV การเลือก Sodium thiosulfate 25% 50 mL IV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Toxicology &amp; Antidote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1553" s="2" t="n"/>
      <c r="L1553" s="2" t="inlineStr">
        <is>
          <t>Toxicology &amp; Antidote</t>
        </is>
      </c>
      <c r="M1553" s="2" t="inlineStr">
        <is>
          <t>Clinic</t>
        </is>
      </c>
      <c r="N1553" s="2" t="inlineStr">
        <is>
          <t>ข้อ 2 (PLE_CC1_Key_Rx20_UBU.md)</t>
        </is>
      </c>
      <c r="O1553" s="2" t="inlineStr">
        <is>
          <t>Mock</t>
        </is>
      </c>
      <c r="P1553" s="2" t="inlineStr">
        <is>
          <t>Mock Rx20 UBU</t>
        </is>
      </c>
    </row>
    <row r="1554" ht="13.2" customHeight="1" s="37">
      <c r="A1554" s="8" t="inlineStr">
        <is>
          <t>1575</t>
        </is>
      </c>
      <c r="B1554" s="2" t="inlineStr">
        <is>
          <t>Carbomer กระจายในน้ำร้อน แล้วแช่ตู้เย็นทันที</t>
        </is>
      </c>
      <c r="C1554" s="2" t="n"/>
      <c r="D1554" s="2" t="inlineStr">
        <is>
          <t>Dimercaprol (BAL) 3 mg/kg IM</t>
        </is>
      </c>
      <c r="E1554" s="2" t="inlineStr">
        <is>
          <t>Ethanol 10% IV infusion for Methanol poisoning</t>
        </is>
      </c>
      <c r="F1554" s="2" t="inlineStr">
        <is>
          <t>Fomepizole 15 mg/kg IV loading</t>
        </is>
      </c>
      <c r="G1554" s="2" t="inlineStr">
        <is>
          <t>N-acetylcysteine (NAC) IV infusion protocol</t>
        </is>
      </c>
      <c r="H1554" s="2" t="inlineStr">
        <is>
          <t>Atropine sulfate 2 mg IV Q5-10 min</t>
        </is>
      </c>
      <c r="I1554" s="8" t="inlineStr">
        <is>
          <t>1</t>
        </is>
      </c>
      <c r="J15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54" s="2" t="n"/>
      <c r="L1554" s="2" t="inlineStr">
        <is>
          <t>General Therapeutics</t>
        </is>
      </c>
      <c r="M1554" s="2" t="inlineStr">
        <is>
          <t>Clinic</t>
        </is>
      </c>
      <c r="N1554" s="2" t="inlineStr">
        <is>
          <t>ข้อ 3 (PLE_CC1_Key_Rx20_UBU.md)</t>
        </is>
      </c>
      <c r="O1554" s="2" t="inlineStr">
        <is>
          <t>Mock</t>
        </is>
      </c>
      <c r="P1554" s="2" t="inlineStr">
        <is>
          <t>Mock Rx20 UBU</t>
        </is>
      </c>
    </row>
    <row r="1555" ht="13.2" customHeight="1" s="37">
      <c r="A1555" s="8" t="inlineStr">
        <is>
          <t>1576</t>
        </is>
      </c>
      <c r="B1555" s="2" t="inlineStr">
        <is>
          <t>ทาวันละ 3-4 ครั้ง จะได้ผลดี</t>
        </is>
      </c>
      <c r="C1555" s="2" t="n"/>
      <c r="D1555" s="2" t="inlineStr">
        <is>
          <t>N-acetylcysteine (NAC) IV infusion protocol</t>
        </is>
      </c>
      <c r="E1555" s="2" t="inlineStr">
        <is>
          <t>Atropine sulfate 2 mg IV Q5-10 min</t>
        </is>
      </c>
      <c r="F1555" s="2" t="inlineStr">
        <is>
          <t>Pralidoxime (2-PAM) 1-2 g IV over 30 min</t>
        </is>
      </c>
      <c r="G1555" s="2" t="inlineStr">
        <is>
          <t>Naloxone 0.4 mg IV stat</t>
        </is>
      </c>
      <c r="H1555" s="2" t="inlineStr">
        <is>
          <t>Flumazenil 0.2 mg IV stat</t>
        </is>
      </c>
      <c r="I1555" s="8" t="inlineStr">
        <is>
          <t>1</t>
        </is>
      </c>
      <c r="J15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55" s="2" t="n"/>
      <c r="L1555" s="2" t="inlineStr">
        <is>
          <t>General Therapeutics</t>
        </is>
      </c>
      <c r="M1555" s="2" t="inlineStr">
        <is>
          <t>Clinic</t>
        </is>
      </c>
      <c r="N1555" s="2" t="inlineStr">
        <is>
          <t>ข้อ 1 (PLE_CC1_Key_Rx20_UBU.md)</t>
        </is>
      </c>
      <c r="O1555" s="2" t="inlineStr">
        <is>
          <t>Mock</t>
        </is>
      </c>
      <c r="P1555" s="2" t="inlineStr">
        <is>
          <t>Mock Rx20 UBU</t>
        </is>
      </c>
    </row>
    <row r="1556" ht="13.2" customHeight="1" s="37">
      <c r="A1556" s="8" t="inlineStr">
        <is>
          <t>1577</t>
        </is>
      </c>
      <c r="B1556" s="2" t="inlineStr">
        <is>
          <t>ไม่ฆ่าเชื้อ , ลอกผิวอย่างเดียว</t>
        </is>
      </c>
      <c r="C1556" s="2" t="n"/>
      <c r="D1556" s="2" t="inlineStr">
        <is>
          <t>Naloxone 0.4 mg IV stat</t>
        </is>
      </c>
      <c r="E1556" s="2" t="inlineStr">
        <is>
          <t>Flumazenil 0.2 mg IV stat</t>
        </is>
      </c>
      <c r="F1556" s="2" t="inlineStr">
        <is>
          <t>Vitamin K1 (Phytomenadione) 10 mg IV slow</t>
        </is>
      </c>
      <c r="G1556" s="2" t="inlineStr">
        <is>
          <t>Sodium thiosulfate 25% 50 mL IV</t>
        </is>
      </c>
      <c r="H1556" s="2" t="inlineStr">
        <is>
          <t>Calcium disodium EDTA 1 g IV</t>
        </is>
      </c>
      <c r="I1556" s="8" t="inlineStr">
        <is>
          <t>1</t>
        </is>
      </c>
      <c r="J15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56" s="2" t="n"/>
      <c r="L1556" s="2" t="inlineStr">
        <is>
          <t>General Therapeutics</t>
        </is>
      </c>
      <c r="M1556" s="2" t="inlineStr">
        <is>
          <t>Clinic</t>
        </is>
      </c>
      <c r="N1556" s="2" t="inlineStr">
        <is>
          <t>ข้อ 2 (PLE_CC1_Key_Rx20_UBU.md)</t>
        </is>
      </c>
      <c r="O1556" s="2" t="inlineStr">
        <is>
          <t>Mock</t>
        </is>
      </c>
      <c r="P1556" s="2" t="inlineStr">
        <is>
          <t>Mock Rx20 UBU</t>
        </is>
      </c>
    </row>
    <row r="1557" ht="13.2" customHeight="1" s="37">
      <c r="A1557" s="8" t="inlineStr">
        <is>
          <t>1578</t>
        </is>
      </c>
      <c r="B1557" s="2" t="inlineStr">
        <is>
          <t>มี oxidation activity ทำให้การอักเสบดีขึ้น</t>
        </is>
      </c>
      <c r="C1557" s="2" t="n"/>
      <c r="D1557" s="2" t="inlineStr">
        <is>
          <t>High-Density Polyethylene (HDPE) Container</t>
        </is>
      </c>
      <c r="E1557" s="2" t="inlineStr">
        <is>
          <t>Type I Borosilicate Glass Ampoule</t>
        </is>
      </c>
      <c r="F1557" s="2" t="inlineStr">
        <is>
          <t>Accelerated Stability Testing (40 C / 75% RH)</t>
        </is>
      </c>
      <c r="G1557" s="2" t="inlineStr">
        <is>
          <t>Long-term Stability Testing (30 C / 65% RH)</t>
        </is>
      </c>
      <c r="H1557" s="2" t="inlineStr">
        <is>
          <t>Differential Scanning Calorimetry (DSC) Polymorphism</t>
        </is>
      </c>
      <c r="I1557" s="8" t="inlineStr">
        <is>
          <t>1</t>
        </is>
      </c>
      <c r="J1557" s="2" t="inlineStr">
        <is>
          <t>✅ คำตอบที่ถูกต้อง: ข้อ ก. High-Density Polyethylene (HDPE) Container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High-Density Polyethylene (HDPE) Container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ข้อ ค.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ง.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จ.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7" s="2" t="n"/>
      <c r="L1557" s="2" t="inlineStr">
        <is>
          <t>Preformulation &amp; Stability</t>
        </is>
      </c>
      <c r="M1557" s="2" t="inlineStr">
        <is>
          <t>Product</t>
        </is>
      </c>
      <c r="N1557" s="2" t="inlineStr">
        <is>
          <t>ข้อ 3 (PLE_CC1_Key_Rx20_UBU.md)</t>
        </is>
      </c>
      <c r="O1557" s="2" t="inlineStr">
        <is>
          <t>Mock</t>
        </is>
      </c>
      <c r="P1557" s="2" t="inlineStr">
        <is>
          <t>Mock Rx20 UBU</t>
        </is>
      </c>
    </row>
    <row r="1558" ht="13.2" customHeight="1" s="37">
      <c r="A1558" s="8" t="inlineStr">
        <is>
          <t>1579</t>
        </is>
      </c>
      <c r="B1558" s="2" t="inlineStr">
        <is>
          <t>เริ่มด้วย dose สูงๆแล้วลดขนาดยาลง</t>
        </is>
      </c>
      <c r="C1558" s="2" t="n"/>
      <c r="D1558" s="2" t="inlineStr">
        <is>
          <t>Dimercaprol (BAL) 3 mg/kg IM</t>
        </is>
      </c>
      <c r="E1558" s="2" t="inlineStr">
        <is>
          <t>Ethanol 10% IV infusion for Methanol poisoning</t>
        </is>
      </c>
      <c r="F1558" s="2" t="inlineStr">
        <is>
          <t>Fomepizole 15 mg/kg IV loading</t>
        </is>
      </c>
      <c r="G1558" s="2" t="inlineStr">
        <is>
          <t>N-acetylcysteine (NAC) IV infusion protocol</t>
        </is>
      </c>
      <c r="H1558" s="2" t="inlineStr">
        <is>
          <t>Atropine sulfate 2 mg IV Q5-10 min</t>
        </is>
      </c>
      <c r="I1558" s="8" t="inlineStr">
        <is>
          <t>4</t>
        </is>
      </c>
      <c r="J1558"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58" s="2" t="n"/>
      <c r="L1558" s="2" t="inlineStr">
        <is>
          <t>General Therapeutics</t>
        </is>
      </c>
      <c r="M1558" s="2" t="inlineStr">
        <is>
          <t>Clinic</t>
        </is>
      </c>
      <c r="N1558" s="2" t="inlineStr">
        <is>
          <t>ข้อ 5 (PLE_CC1_Key_Rx20_UBU.md)</t>
        </is>
      </c>
      <c r="O1558" s="2" t="inlineStr">
        <is>
          <t>Mock</t>
        </is>
      </c>
      <c r="P1558" s="2" t="inlineStr">
        <is>
          <t>Mock Rx20 UBU</t>
        </is>
      </c>
    </row>
    <row r="1559" ht="13.2" customHeight="1" s="37">
      <c r="A1559" s="8" t="inlineStr">
        <is>
          <t>1580</t>
        </is>
      </c>
      <c r="B1559" s="2" t="inlineStr">
        <is>
          <t>มีการนำ starch มาใช้ผลิตเปลือกcapsule</t>
        </is>
      </c>
      <c r="C1559" s="2" t="n"/>
      <c r="D1559" s="2" t="inlineStr">
        <is>
          <t>Sodium starch glycolate (Superdisintegrant)</t>
        </is>
      </c>
      <c r="E1559" s="2" t="inlineStr">
        <is>
          <t>Direct Compression tableting method</t>
        </is>
      </c>
      <c r="F1559" s="2" t="inlineStr">
        <is>
          <t>Wet Granulation tableting method</t>
        </is>
      </c>
      <c r="G1559" s="2" t="inlineStr">
        <is>
          <t>Dry Granulation (Roller Compaction)</t>
        </is>
      </c>
      <c r="H1559" s="2" t="inlineStr">
        <is>
          <t>Fluidized Bed Granulation</t>
        </is>
      </c>
      <c r="I1559" s="8" t="inlineStr">
        <is>
          <t>1</t>
        </is>
      </c>
      <c r="J1559" s="2"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Solid Dosage Forms)
🔍 ข้ออื่นผิดเพราะอะไร:
• ข้อ ข.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ค.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ง.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จ. (Fluidized Bed Granulation):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9" s="2" t="n"/>
      <c r="L1559" s="2" t="inlineStr">
        <is>
          <t>Solid Dosage Forms</t>
        </is>
      </c>
      <c r="M1559" s="2" t="inlineStr">
        <is>
          <t>Product</t>
        </is>
      </c>
      <c r="N1559" s="2" t="inlineStr">
        <is>
          <t>ข้อ 2 (PLE_CC1_Key_Rx20_UBU.md)</t>
        </is>
      </c>
      <c r="O1559" s="2" t="inlineStr">
        <is>
          <t>Mock</t>
        </is>
      </c>
      <c r="P1559" s="2" t="inlineStr">
        <is>
          <t>Mock Rx20 UBU</t>
        </is>
      </c>
    </row>
    <row r="1560" ht="13.2" customHeight="1" s="37">
      <c r="A1560" s="8" t="inlineStr">
        <is>
          <t>1581</t>
        </is>
      </c>
      <c r="B1560" s="2" t="inlineStr">
        <is>
          <t>มีสารแต่งสีเป็นส่วนประกอบ</t>
        </is>
      </c>
      <c r="C1560" s="2" t="n"/>
      <c r="D1560" s="2" t="inlineStr">
        <is>
          <t>Naloxone 0.4 mg IV stat</t>
        </is>
      </c>
      <c r="E1560" s="2" t="inlineStr">
        <is>
          <t>Flumazenil 0.2 mg IV stat</t>
        </is>
      </c>
      <c r="F1560" s="2" t="inlineStr">
        <is>
          <t>Vitamin K1 (Phytomenadione) 10 mg IV slow</t>
        </is>
      </c>
      <c r="G1560" s="2" t="inlineStr">
        <is>
          <t>Sodium thiosulfate 25% 50 mL IV</t>
        </is>
      </c>
      <c r="H1560" s="2" t="inlineStr">
        <is>
          <t>Calcium disodium EDTA 1 g IV</t>
        </is>
      </c>
      <c r="I1560" s="8" t="inlineStr">
        <is>
          <t>1</t>
        </is>
      </c>
      <c r="J15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60" s="2" t="n"/>
      <c r="L1560" s="2" t="inlineStr">
        <is>
          <t>General Therapeutics</t>
        </is>
      </c>
      <c r="M1560" s="2" t="inlineStr">
        <is>
          <t>Clinic</t>
        </is>
      </c>
      <c r="N1560" s="2" t="inlineStr">
        <is>
          <t>ข้อ 4 (PLE_CC1_Key_Rx20_UBU.md)</t>
        </is>
      </c>
      <c r="O1560" s="2" t="inlineStr">
        <is>
          <t>Mock</t>
        </is>
      </c>
      <c r="P1560" s="2" t="inlineStr">
        <is>
          <t>Mock Rx20 UBU</t>
        </is>
      </c>
    </row>
    <row r="1561" ht="13.2" customHeight="1" s="37">
      <c r="A1561" s="8" t="inlineStr">
        <is>
          <t>1582</t>
        </is>
      </c>
      <c r="B1561" s="2" t="inlineStr">
        <is>
          <t>มีสารทึบแสงเป็นส่วนประกอบ</t>
        </is>
      </c>
      <c r="C1561" s="2" t="n"/>
      <c r="D1561" s="2" t="inlineStr">
        <is>
          <t>Sodium thiosulfate 25% 50 mL IV</t>
        </is>
      </c>
      <c r="E1561" s="2" t="inlineStr">
        <is>
          <t>Calcium disodium EDTA 1 g IV</t>
        </is>
      </c>
      <c r="F1561" s="2" t="inlineStr">
        <is>
          <t>Desferrioxamine 1 g IM/IV</t>
        </is>
      </c>
      <c r="G1561" s="2" t="inlineStr">
        <is>
          <t>Dimercaprol (BAL) 3 mg/kg IM</t>
        </is>
      </c>
      <c r="H1561" s="2" t="inlineStr">
        <is>
          <t>Ethanol 10% IV infusion for Methanol poisoning</t>
        </is>
      </c>
      <c r="I1561" s="8" t="inlineStr">
        <is>
          <t>1</t>
        </is>
      </c>
      <c r="J15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61" s="2" t="n"/>
      <c r="L1561" s="2" t="inlineStr">
        <is>
          <t>General Therapeutics</t>
        </is>
      </c>
      <c r="M1561" s="2" t="inlineStr">
        <is>
          <t>Clinic</t>
        </is>
      </c>
      <c r="N1561" s="2" t="inlineStr">
        <is>
          <t>ข้อ 5 (PLE_CC1_Key_Rx20_UBU.md)</t>
        </is>
      </c>
      <c r="O1561" s="2" t="inlineStr">
        <is>
          <t>Mock</t>
        </is>
      </c>
      <c r="P1561" s="2" t="inlineStr">
        <is>
          <t>Mock Rx20 UBU</t>
        </is>
      </c>
    </row>
    <row r="1562" ht="13.2" customHeight="1" s="37">
      <c r="A1562" s="8" t="inlineStr">
        <is>
          <t>1583</t>
        </is>
      </c>
      <c r="B1562" s="2" t="inlineStr">
        <is>
          <t>Lactose เป็นสารให้ความหวาน</t>
        </is>
      </c>
      <c r="C1562" s="2" t="n"/>
      <c r="D1562" s="2" t="inlineStr">
        <is>
          <t>Microcrystalline cellulose</t>
        </is>
      </c>
      <c r="E1562" s="2" t="inlineStr">
        <is>
          <t>Magnesium stearate (Lubricant 1%)</t>
        </is>
      </c>
      <c r="F1562" s="2" t="inlineStr">
        <is>
          <t>Sodium starch glycolate (Superdisintegrant)</t>
        </is>
      </c>
      <c r="G1562" s="2" t="inlineStr">
        <is>
          <t>Direct Compression tableting method</t>
        </is>
      </c>
      <c r="H1562" s="2" t="inlineStr">
        <is>
          <t>Wet Granulation tableting method</t>
        </is>
      </c>
      <c r="I1562" s="8" t="inlineStr">
        <is>
          <t>1</t>
        </is>
      </c>
      <c r="J1562" s="2"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จ.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2" s="2" t="n"/>
      <c r="L1562" s="2" t="inlineStr">
        <is>
          <t>Solid Dosage Forms</t>
        </is>
      </c>
      <c r="M1562" s="2" t="inlineStr">
        <is>
          <t>Product</t>
        </is>
      </c>
      <c r="N1562" s="2" t="inlineStr">
        <is>
          <t>ข้อ 1 (PLE_CC1_Key_Rx20_UBU.md)</t>
        </is>
      </c>
      <c r="O1562" s="2" t="inlineStr">
        <is>
          <t>Mock</t>
        </is>
      </c>
      <c r="P1562" s="2" t="inlineStr">
        <is>
          <t>Mock Rx20 UBU</t>
        </is>
      </c>
    </row>
    <row r="1563" ht="13.2" customHeight="1" s="37">
      <c r="A1563" s="8" t="inlineStr">
        <is>
          <t>1584</t>
        </is>
      </c>
      <c r="B1563" s="2" t="inlineStr">
        <is>
          <t>Colloidal Silicon dioxide ช่วยให้ผงยาไหลสม่ำเสมอ</t>
        </is>
      </c>
      <c r="C1563" s="2" t="n"/>
      <c r="D1563" s="2" t="inlineStr">
        <is>
          <t>N-acetylcysteine (NAC) IV infusion protocol</t>
        </is>
      </c>
      <c r="E1563" s="2" t="inlineStr">
        <is>
          <t>Atropine sulfate 2 mg IV Q5-10 min</t>
        </is>
      </c>
      <c r="F1563" s="2" t="inlineStr">
        <is>
          <t>Pralidoxime (2-PAM) 1-2 g IV over 30 min</t>
        </is>
      </c>
      <c r="G1563" s="2" t="inlineStr">
        <is>
          <t>Naloxone 0.4 mg IV stat</t>
        </is>
      </c>
      <c r="H1563" s="2" t="inlineStr">
        <is>
          <t>Flumazenil 0.2 mg IV stat</t>
        </is>
      </c>
      <c r="I1563" s="8" t="inlineStr">
        <is>
          <t>1</t>
        </is>
      </c>
      <c r="J15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63" s="2" t="n"/>
      <c r="L1563" s="2" t="inlineStr">
        <is>
          <t>General Therapeutics</t>
        </is>
      </c>
      <c r="M1563" s="2" t="inlineStr">
        <is>
          <t>Clinic</t>
        </is>
      </c>
      <c r="N1563" s="2" t="inlineStr">
        <is>
          <t>ข้อ 2 (PLE_CC1_Key_Rx20_UBU.md)</t>
        </is>
      </c>
      <c r="O1563" s="2" t="inlineStr">
        <is>
          <t>Mock</t>
        </is>
      </c>
      <c r="P1563" s="2" t="inlineStr">
        <is>
          <t>Mock Rx20 UBU</t>
        </is>
      </c>
    </row>
    <row r="1564" ht="13.2" customHeight="1" s="37">
      <c r="A1564" s="8" t="inlineStr">
        <is>
          <t>1585</t>
        </is>
      </c>
      <c r="B1564" s="2" t="inlineStr">
        <is>
          <t>แคปซูลขนาด 000 เล็กที่สุด และขนาด 5 ใหญ่ที่สุด</t>
        </is>
      </c>
      <c r="C1564" s="2" t="n"/>
      <c r="D1564" s="2" t="inlineStr">
        <is>
          <t>Fluidized Bed Granulation</t>
        </is>
      </c>
      <c r="E1564" s="2" t="inlineStr">
        <is>
          <t>Film Coating with Hydroxypropyl methylcellulose (HPMC)</t>
        </is>
      </c>
      <c r="F1564" s="2" t="inlineStr">
        <is>
          <t>Enteric Coating with Cellulose acetate phthalate (CAP)</t>
        </is>
      </c>
      <c r="G1564" s="2" t="inlineStr">
        <is>
          <t>Hard Gelatin Capsule filling</t>
        </is>
      </c>
      <c r="H1564" s="2" t="inlineStr">
        <is>
          <t>Soft Gelatin Capsule encapsulation</t>
        </is>
      </c>
      <c r="I1564" s="8" t="inlineStr">
        <is>
          <t>3</t>
        </is>
      </c>
      <c r="J1564" s="2" t="inlineStr">
        <is>
          <t>✅ คำตอบที่ถูกต้อง: ข้อ ค.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ก.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จ.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4" s="2" t="n"/>
      <c r="L1564" s="2" t="inlineStr">
        <is>
          <t>Solid Dosage Forms</t>
        </is>
      </c>
      <c r="M1564" s="2" t="inlineStr">
        <is>
          <t>Product</t>
        </is>
      </c>
      <c r="N1564" s="2" t="inlineStr">
        <is>
          <t>ข้อ 3 (PLE_CC1_Key_Rx20_UBU.md)</t>
        </is>
      </c>
      <c r="O1564" s="2" t="inlineStr">
        <is>
          <t>Mock</t>
        </is>
      </c>
      <c r="P1564" s="2" t="inlineStr">
        <is>
          <t>Mock Rx20 UBU</t>
        </is>
      </c>
    </row>
    <row r="1565" ht="13.2" customHeight="1" s="37">
      <c r="A1565" s="8" t="inlineStr">
        <is>
          <t>1586</t>
        </is>
      </c>
      <c r="B1565" s="2" t="inlineStr">
        <is>
          <t>Dissolubility + wt variation</t>
        </is>
      </c>
      <c r="C1565" s="2" t="n"/>
      <c r="D1565" s="2" t="inlineStr">
        <is>
          <t>Sodium thiosulfate 25% 50 mL IV</t>
        </is>
      </c>
      <c r="E1565" s="2" t="inlineStr">
        <is>
          <t>Calcium disodium EDTA 1 g IV</t>
        </is>
      </c>
      <c r="F1565" s="2" t="inlineStr">
        <is>
          <t>Desferrioxamine 1 g IM/IV</t>
        </is>
      </c>
      <c r="G1565" s="2" t="inlineStr">
        <is>
          <t>Dimercaprol (BAL) 3 mg/kg IM</t>
        </is>
      </c>
      <c r="H1565" s="2" t="inlineStr">
        <is>
          <t>Ethanol 10% IV infusion for Methanol poisoning</t>
        </is>
      </c>
      <c r="I1565" s="8" t="inlineStr">
        <is>
          <t>1</t>
        </is>
      </c>
      <c r="J15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65" s="2" t="n"/>
      <c r="L1565" s="2" t="inlineStr">
        <is>
          <t>General Therapeutics</t>
        </is>
      </c>
      <c r="M1565" s="2" t="inlineStr">
        <is>
          <t>Clinic</t>
        </is>
      </c>
      <c r="N1565" s="2" t="inlineStr">
        <is>
          <t>ข้อ 1 (PLE_CC1_Key_Rx20_UBU.md)</t>
        </is>
      </c>
      <c r="O1565" s="2" t="inlineStr">
        <is>
          <t>Mock</t>
        </is>
      </c>
      <c r="P1565" s="2" t="inlineStr">
        <is>
          <t>Mock Rx20 UBU</t>
        </is>
      </c>
    </row>
    <row r="1566" ht="13.2" customHeight="1" s="37">
      <c r="A1566" s="8" t="inlineStr">
        <is>
          <t>1587</t>
        </is>
      </c>
      <c r="B1566" s="2" t="inlineStr">
        <is>
          <t>Hardness+ wt variation</t>
        </is>
      </c>
      <c r="C1566" s="2" t="n"/>
      <c r="D1566" s="2" t="inlineStr">
        <is>
          <t>Dimercaprol (BAL) 3 mg/kg IM</t>
        </is>
      </c>
      <c r="E1566" s="2" t="inlineStr">
        <is>
          <t>Ethanol 10% IV infusion for Methanol poisoning</t>
        </is>
      </c>
      <c r="F1566" s="2" t="inlineStr">
        <is>
          <t>Fomepizole 15 mg/kg IV loading</t>
        </is>
      </c>
      <c r="G1566" s="2" t="inlineStr">
        <is>
          <t>N-acetylcysteine (NAC) IV infusion protocol</t>
        </is>
      </c>
      <c r="H1566" s="2" t="inlineStr">
        <is>
          <t>Atropine sulfate 2 mg IV Q5-10 min</t>
        </is>
      </c>
      <c r="I1566" s="8" t="inlineStr">
        <is>
          <t>1</t>
        </is>
      </c>
      <c r="J15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66" s="2" t="n"/>
      <c r="L1566" s="2" t="inlineStr">
        <is>
          <t>General Therapeutics</t>
        </is>
      </c>
      <c r="M1566" s="2" t="inlineStr">
        <is>
          <t>Clinic</t>
        </is>
      </c>
      <c r="N1566" s="2" t="inlineStr">
        <is>
          <t>ข้อ 2 (PLE_CC1_Key_Rx20_UBU.md)</t>
        </is>
      </c>
      <c r="O1566" s="2" t="inlineStr">
        <is>
          <t>Mock</t>
        </is>
      </c>
      <c r="P1566" s="2" t="inlineStr">
        <is>
          <t>Mock Rx20 UBU</t>
        </is>
      </c>
    </row>
    <row r="1567" ht="13.2" customHeight="1" s="37">
      <c r="A1567" s="8" t="inlineStr">
        <is>
          <t>1588</t>
        </is>
      </c>
      <c r="B1567" s="2" t="inlineStr">
        <is>
          <t>ถ้านำเลือดของผู้ป่วยมาส่องดูในกล้องจุลทรรศน์ คาดวาจะพบสิ่งใด</t>
        </is>
      </c>
      <c r="C1567" s="2" t="n"/>
      <c r="D1567" s="2" t="inlineStr">
        <is>
          <t>N-acetylcysteine (NAC) IV infusion protocol</t>
        </is>
      </c>
      <c r="E1567" s="2" t="inlineStr">
        <is>
          <t>Atropine sulfate 2 mg IV Q5-10 min</t>
        </is>
      </c>
      <c r="F1567" s="2" t="inlineStr">
        <is>
          <t>Pralidoxime (2-PAM) 1-2 g IV over 30 min</t>
        </is>
      </c>
      <c r="G1567" s="2" t="inlineStr">
        <is>
          <t>Naloxone 0.4 mg IV stat</t>
        </is>
      </c>
      <c r="H1567" s="2" t="inlineStr">
        <is>
          <t>Flumazenil 0.2 mg IV stat</t>
        </is>
      </c>
      <c r="I1567" s="8" t="inlineStr">
        <is>
          <t>1</t>
        </is>
      </c>
      <c r="J15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67" s="2" t="n"/>
      <c r="L1567" s="2" t="inlineStr">
        <is>
          <t>General Therapeutics</t>
        </is>
      </c>
      <c r="M1567" s="2" t="inlineStr">
        <is>
          <t>Clinic</t>
        </is>
      </c>
      <c r="N1567" s="2" t="inlineStr">
        <is>
          <t>ข้อ 72 (PLE_CC1_Key_Rx20_UBU.md)</t>
        </is>
      </c>
      <c r="O1567" s="2" t="inlineStr">
        <is>
          <t>Mock</t>
        </is>
      </c>
      <c r="P1567" s="2" t="inlineStr">
        <is>
          <t>Mock Rx20 UBU</t>
        </is>
      </c>
    </row>
    <row r="1568" ht="13.2" customHeight="1" s="37">
      <c r="A1568" s="8" t="inlineStr">
        <is>
          <t>1589</t>
        </is>
      </c>
      <c r="B1568" s="2" t="inlineStr">
        <is>
          <t>เม็ดเลือดแดงมีสีซีด</t>
        </is>
      </c>
      <c r="C1568" s="2" t="n"/>
      <c r="D1568" s="2" t="inlineStr">
        <is>
          <t>Naloxone 0.4 mg IV stat</t>
        </is>
      </c>
      <c r="E1568" s="2" t="inlineStr">
        <is>
          <t>Flumazenil 0.2 mg IV stat</t>
        </is>
      </c>
      <c r="F1568" s="2" t="inlineStr">
        <is>
          <t>Vitamin K1 (Phytomenadione) 10 mg IV slow</t>
        </is>
      </c>
      <c r="G1568" s="2" t="inlineStr">
        <is>
          <t>Sodium thiosulfate 25% 50 mL IV</t>
        </is>
      </c>
      <c r="H1568" s="2" t="inlineStr">
        <is>
          <t>Calcium disodium EDTA 1 g IV</t>
        </is>
      </c>
      <c r="I1568" s="8" t="inlineStr">
        <is>
          <t>1</t>
        </is>
      </c>
      <c r="J15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68" s="2" t="n"/>
      <c r="L1568" s="2" t="inlineStr">
        <is>
          <t>General Therapeutics</t>
        </is>
      </c>
      <c r="M1568" s="2" t="inlineStr">
        <is>
          <t>Clinic</t>
        </is>
      </c>
      <c r="N1568" s="2" t="inlineStr">
        <is>
          <t>ข้อ 1 (PLE_CC1_Key_Rx20_UBU.md)</t>
        </is>
      </c>
      <c r="O1568" s="2" t="inlineStr">
        <is>
          <t>Mock</t>
        </is>
      </c>
      <c r="P1568" s="2" t="inlineStr">
        <is>
          <t>Mock Rx20 UBU</t>
        </is>
      </c>
    </row>
    <row r="1569" ht="13.2" customHeight="1" s="37">
      <c r="A1569" s="8" t="inlineStr">
        <is>
          <t>1590</t>
        </is>
      </c>
      <c r="B1569" s="2" t="inlineStr">
        <is>
          <t>เม็ดเลือดแดงมีสีจาง</t>
        </is>
      </c>
      <c r="C1569" s="2" t="n"/>
      <c r="D1569" s="2" t="inlineStr">
        <is>
          <t>Sodium thiosulfate 25% 50 mL IV</t>
        </is>
      </c>
      <c r="E1569" s="2" t="inlineStr">
        <is>
          <t>Calcium disodium EDTA 1 g IV</t>
        </is>
      </c>
      <c r="F1569" s="2" t="inlineStr">
        <is>
          <t>Desferrioxamine 1 g IM/IV</t>
        </is>
      </c>
      <c r="G1569" s="2" t="inlineStr">
        <is>
          <t>Dimercaprol (BAL) 3 mg/kg IM</t>
        </is>
      </c>
      <c r="H1569" s="2" t="inlineStr">
        <is>
          <t>Ethanol 10% IV infusion for Methanol poisoning</t>
        </is>
      </c>
      <c r="I1569" s="8" t="inlineStr">
        <is>
          <t>1</t>
        </is>
      </c>
      <c r="J15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69" s="2" t="n"/>
      <c r="L1569" s="2" t="inlineStr">
        <is>
          <t>General Therapeutics</t>
        </is>
      </c>
      <c r="M1569" s="2" t="inlineStr">
        <is>
          <t>Clinic</t>
        </is>
      </c>
      <c r="N1569" s="2" t="inlineStr">
        <is>
          <t>ข้อ 2 (PLE_CC1_Key_Rx20_UBU.md)</t>
        </is>
      </c>
      <c r="O1569" s="2" t="inlineStr">
        <is>
          <t>Mock</t>
        </is>
      </c>
      <c r="P1569" s="2" t="inlineStr">
        <is>
          <t>Mock Rx20 UBU</t>
        </is>
      </c>
    </row>
    <row r="1570" ht="13.2" customHeight="1" s="37">
      <c r="A1570" s="8" t="inlineStr">
        <is>
          <t>1591</t>
        </is>
      </c>
      <c r="B1570" s="2" t="inlineStr">
        <is>
          <t>เม็ดเลือดแดงขนาดเล็ก</t>
        </is>
      </c>
      <c r="C1570" s="2" t="n"/>
      <c r="D1570" s="2" t="inlineStr">
        <is>
          <t>Dimercaprol (BAL) 3 mg/kg IM</t>
        </is>
      </c>
      <c r="E1570" s="2" t="inlineStr">
        <is>
          <t>Ethanol 10% IV infusion for Methanol poisoning</t>
        </is>
      </c>
      <c r="F1570" s="2" t="inlineStr">
        <is>
          <t>Fomepizole 15 mg/kg IV loading</t>
        </is>
      </c>
      <c r="G1570" s="2" t="inlineStr">
        <is>
          <t>N-acetylcysteine (NAC) IV infusion protocol</t>
        </is>
      </c>
      <c r="H1570" s="2" t="inlineStr">
        <is>
          <t>Atropine sulfate 2 mg IV Q5-10 min</t>
        </is>
      </c>
      <c r="I1570" s="8" t="inlineStr">
        <is>
          <t>1</t>
        </is>
      </c>
      <c r="J15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0" s="2" t="n"/>
      <c r="L1570" s="2" t="inlineStr">
        <is>
          <t>General Therapeutics</t>
        </is>
      </c>
      <c r="M1570" s="2" t="inlineStr">
        <is>
          <t>Clinic</t>
        </is>
      </c>
      <c r="N1570" s="2" t="inlineStr">
        <is>
          <t>ข้อ 3 (PLE_CC1_Key_Rx20_UBU.md)</t>
        </is>
      </c>
      <c r="O1570" s="2" t="inlineStr">
        <is>
          <t>Mock</t>
        </is>
      </c>
      <c r="P1570" s="2" t="inlineStr">
        <is>
          <t>Mock Rx20 UBU</t>
        </is>
      </c>
    </row>
    <row r="1571" ht="13.2" customHeight="1" s="37">
      <c r="A1571" s="8" t="inlineStr">
        <is>
          <t>1592</t>
        </is>
      </c>
      <c r="B1571" s="2" t="inlineStr">
        <is>
          <t>เม็ดเลือดแดงขนาดใหญ่</t>
        </is>
      </c>
      <c r="C1571" s="2" t="n"/>
      <c r="D1571" s="2" t="inlineStr">
        <is>
          <t>N-acetylcysteine (NAC) IV infusion protocol</t>
        </is>
      </c>
      <c r="E1571" s="2" t="inlineStr">
        <is>
          <t>Atropine sulfate 2 mg IV Q5-10 min</t>
        </is>
      </c>
      <c r="F1571" s="2" t="inlineStr">
        <is>
          <t>Pralidoxime (2-PAM) 1-2 g IV over 30 min</t>
        </is>
      </c>
      <c r="G1571" s="2" t="inlineStr">
        <is>
          <t>Naloxone 0.4 mg IV stat</t>
        </is>
      </c>
      <c r="H1571" s="2" t="inlineStr">
        <is>
          <t>Flumazenil 0.2 mg IV stat</t>
        </is>
      </c>
      <c r="I1571" s="8" t="inlineStr">
        <is>
          <t>1</t>
        </is>
      </c>
      <c r="J15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71" s="2" t="n"/>
      <c r="L1571" s="2" t="inlineStr">
        <is>
          <t>General Therapeutics</t>
        </is>
      </c>
      <c r="M1571" s="2" t="inlineStr">
        <is>
          <t>Clinic</t>
        </is>
      </c>
      <c r="N1571" s="2" t="inlineStr">
        <is>
          <t>ข้อ 4 (PLE_CC1_Key_Rx20_UBU.md)</t>
        </is>
      </c>
      <c r="O1571" s="2" t="inlineStr">
        <is>
          <t>Mock</t>
        </is>
      </c>
      <c r="P1571" s="2" t="inlineStr">
        <is>
          <t>Mock Rx20 UBU</t>
        </is>
      </c>
    </row>
    <row r="1572" ht="13.2" customHeight="1" s="37">
      <c r="A1572" s="8" t="inlineStr">
        <is>
          <t>1593</t>
        </is>
      </c>
      <c r="B1572" s="2" t="inlineStr">
        <is>
          <t>พบเศษเซลล์ของเม็ดเลือดแดงที่แตก</t>
        </is>
      </c>
      <c r="C1572" s="2" t="n"/>
      <c r="D1572" s="2" t="inlineStr">
        <is>
          <t>Naloxone 0.4 mg IV stat</t>
        </is>
      </c>
      <c r="E1572" s="2" t="inlineStr">
        <is>
          <t>Flumazenil 0.2 mg IV stat</t>
        </is>
      </c>
      <c r="F1572" s="2" t="inlineStr">
        <is>
          <t>Vitamin K1 (Phytomenadione) 10 mg IV slow</t>
        </is>
      </c>
      <c r="G1572" s="2" t="inlineStr">
        <is>
          <t>Sodium thiosulfate 25% 50 mL IV</t>
        </is>
      </c>
      <c r="H1572" s="2" t="inlineStr">
        <is>
          <t>Calcium disodium EDTA 1 g IV</t>
        </is>
      </c>
      <c r="I1572" s="8" t="inlineStr">
        <is>
          <t>2</t>
        </is>
      </c>
      <c r="J1572"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1572" s="2" t="n"/>
      <c r="L1572" s="2" t="inlineStr">
        <is>
          <t>General Therapeutics</t>
        </is>
      </c>
      <c r="M1572" s="2" t="inlineStr">
        <is>
          <t>Clinic</t>
        </is>
      </c>
      <c r="N1572" s="2" t="inlineStr">
        <is>
          <t>ข้อ 5 (PLE_CC1_Key_Rx20_UBU.md)</t>
        </is>
      </c>
      <c r="O1572" s="2" t="inlineStr">
        <is>
          <t>Mock</t>
        </is>
      </c>
      <c r="P1572" s="2" t="inlineStr">
        <is>
          <t>Mock Rx20 UBU</t>
        </is>
      </c>
    </row>
    <row r="1573" ht="13.2" customHeight="1" s="37">
      <c r="A1573" s="8" t="inlineStr">
        <is>
          <t>1594</t>
        </is>
      </c>
      <c r="B1573" s="2" t="inlineStr">
        <is>
          <t>Enzyme Glucose-6-phosphate dehydrogenase มีบทบาทอย่างไรต่อเม็ดเลือดแดง</t>
        </is>
      </c>
      <c r="C1573" s="2" t="n"/>
      <c r="D1573" s="2" t="inlineStr">
        <is>
          <t>Dapagliflozin 10 mg OD</t>
        </is>
      </c>
      <c r="E1573" s="2" t="inlineStr">
        <is>
          <t>Semaglutide 0.5 mg SC weekly</t>
        </is>
      </c>
      <c r="F1573" s="2" t="inlineStr">
        <is>
          <t>Metformin 500 mg BID</t>
        </is>
      </c>
      <c r="G1573" s="2" t="inlineStr">
        <is>
          <t>Glipizide 5 mg OD</t>
        </is>
      </c>
      <c r="H1573" s="2" t="inlineStr">
        <is>
          <t>Empagliflozin 10 mg OD</t>
        </is>
      </c>
      <c r="I1573" s="8" t="inlineStr">
        <is>
          <t>1</t>
        </is>
      </c>
      <c r="J1573" s="2"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73" s="2" t="n"/>
      <c r="L1573" s="2" t="inlineStr">
        <is>
          <t>Diabetes &amp; Endocrine</t>
        </is>
      </c>
      <c r="M1573" s="2" t="inlineStr">
        <is>
          <t>Clinic</t>
        </is>
      </c>
      <c r="N1573" s="2" t="inlineStr">
        <is>
          <t>ข้อ 73 (PLE_CC1_Key_Rx20_UBU.md)</t>
        </is>
      </c>
      <c r="O1573" s="2" t="inlineStr">
        <is>
          <t>Mock</t>
        </is>
      </c>
      <c r="P1573" s="2" t="inlineStr">
        <is>
          <t>Mock Rx20 UBU</t>
        </is>
      </c>
    </row>
    <row r="1574" ht="13.2" customHeight="1" s="37">
      <c r="A1574" s="8" t="inlineStr">
        <is>
          <t>1595</t>
        </is>
      </c>
      <c r="B1574" s="2" t="inlineStr">
        <is>
          <t>สร้างพลังงานจากการเปลี่ยนแปลง glucose</t>
        </is>
      </c>
      <c r="C1574" s="2" t="n"/>
      <c r="D1574" s="2" t="inlineStr">
        <is>
          <t>Glipizide 5 mg OD</t>
        </is>
      </c>
      <c r="E1574" s="2" t="inlineStr">
        <is>
          <t>Empagliflozin 10 mg OD</t>
        </is>
      </c>
      <c r="F1574" s="2" t="inlineStr">
        <is>
          <t>Sitagliptin 100 mg OD</t>
        </is>
      </c>
      <c r="G1574" s="2" t="inlineStr">
        <is>
          <t>Liraglutide 1.2 mg SC OD</t>
        </is>
      </c>
      <c r="H1574" s="2" t="inlineStr">
        <is>
          <t>Levothyroxine 50 mcg OD</t>
        </is>
      </c>
      <c r="I1574" s="8" t="inlineStr">
        <is>
          <t>1</t>
        </is>
      </c>
      <c r="J1574"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574" s="2" t="n"/>
      <c r="L1574" s="2" t="inlineStr">
        <is>
          <t>Diabetes &amp; Endocrine</t>
        </is>
      </c>
      <c r="M1574" s="2" t="inlineStr">
        <is>
          <t>Clinic</t>
        </is>
      </c>
      <c r="N1574" s="2" t="inlineStr">
        <is>
          <t>ข้อ 1 (PLE_CC1_Key_Rx20_UBU.md)</t>
        </is>
      </c>
      <c r="O1574" s="2" t="inlineStr">
        <is>
          <t>Mock</t>
        </is>
      </c>
      <c r="P1574" s="2" t="inlineStr">
        <is>
          <t>Mock Rx20 UBU</t>
        </is>
      </c>
    </row>
    <row r="1575" ht="13.2" customHeight="1" s="37">
      <c r="A1575" s="8" t="inlineStr">
        <is>
          <t>1596</t>
        </is>
      </c>
      <c r="B1575" s="2" t="inlineStr">
        <is>
          <t>ป้องกันการเปลี่ยนจาก hemoglobin ไปเป็น methemoglobin</t>
        </is>
      </c>
      <c r="C1575" s="2" t="n"/>
      <c r="D1575" s="2" t="inlineStr">
        <is>
          <t>N-acetylcysteine (NAC) IV infusion protocol</t>
        </is>
      </c>
      <c r="E1575" s="2" t="inlineStr">
        <is>
          <t>Atropine sulfate 2 mg IV Q5-10 min</t>
        </is>
      </c>
      <c r="F1575" s="2" t="inlineStr">
        <is>
          <t>Pralidoxime (2-PAM) 1-2 g IV over 30 min</t>
        </is>
      </c>
      <c r="G1575" s="2" t="inlineStr">
        <is>
          <t>Naloxone 0.4 mg IV stat</t>
        </is>
      </c>
      <c r="H1575" s="2" t="inlineStr">
        <is>
          <t>Flumazenil 0.2 mg IV stat</t>
        </is>
      </c>
      <c r="I1575" s="8" t="inlineStr">
        <is>
          <t>1</t>
        </is>
      </c>
      <c r="J15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75" s="2" t="n"/>
      <c r="L1575" s="2" t="inlineStr">
        <is>
          <t>General Therapeutics</t>
        </is>
      </c>
      <c r="M1575" s="2" t="inlineStr">
        <is>
          <t>Clinic</t>
        </is>
      </c>
      <c r="N1575" s="2" t="inlineStr">
        <is>
          <t>ข้อ 2 (PLE_CC1_Key_Rx20_UBU.md)</t>
        </is>
      </c>
      <c r="O1575" s="2" t="inlineStr">
        <is>
          <t>Mock</t>
        </is>
      </c>
      <c r="P1575" s="2" t="inlineStr">
        <is>
          <t>Mock Rx20 UBU</t>
        </is>
      </c>
    </row>
    <row r="1576" ht="13.2" customHeight="1" s="37">
      <c r="A1576" s="8" t="inlineStr">
        <is>
          <t>1597</t>
        </is>
      </c>
      <c r="B1576" s="2" t="inlineStr">
        <is>
          <t>ทำให้นำส่งออกซิเจนได้ดีมากขึ้น</t>
        </is>
      </c>
      <c r="C1576" s="2" t="n"/>
      <c r="D1576" s="2" t="inlineStr">
        <is>
          <t>Naloxone 0.4 mg IV stat</t>
        </is>
      </c>
      <c r="E1576" s="2" t="inlineStr">
        <is>
          <t>Flumazenil 0.2 mg IV stat</t>
        </is>
      </c>
      <c r="F1576" s="2" t="inlineStr">
        <is>
          <t>Vitamin K1 (Phytomenadione) 10 mg IV slow</t>
        </is>
      </c>
      <c r="G1576" s="2" t="inlineStr">
        <is>
          <t>Sodium thiosulfate 25% 50 mL IV</t>
        </is>
      </c>
      <c r="H1576" s="2" t="inlineStr">
        <is>
          <t>Calcium disodium EDTA 1 g IV</t>
        </is>
      </c>
      <c r="I1576" s="8" t="inlineStr">
        <is>
          <t>1</t>
        </is>
      </c>
      <c r="J15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76" s="2" t="n"/>
      <c r="L1576" s="2" t="inlineStr">
        <is>
          <t>General Therapeutics</t>
        </is>
      </c>
      <c r="M1576" s="2" t="inlineStr">
        <is>
          <t>Clinic</t>
        </is>
      </c>
      <c r="N1576" s="2" t="inlineStr">
        <is>
          <t>ข้อ 3 (PLE_CC1_Key_Rx20_UBU.md)</t>
        </is>
      </c>
      <c r="O1576" s="2" t="inlineStr">
        <is>
          <t>Mock</t>
        </is>
      </c>
      <c r="P1576" s="2" t="inlineStr">
        <is>
          <t>Mock Rx20 UBU</t>
        </is>
      </c>
    </row>
    <row r="1577" ht="13.2" customHeight="1" s="37">
      <c r="A1577" s="8" t="inlineStr">
        <is>
          <t>1598</t>
        </is>
      </c>
      <c r="B1577" s="2" t="inlineStr">
        <is>
          <t>ทำให้โครงสร้างของ globin คงรูปร่างอยู่ได้</t>
        </is>
      </c>
      <c r="C1577" s="2" t="n"/>
      <c r="D1577" s="2" t="inlineStr">
        <is>
          <t>Sodium thiosulfate 25% 50 mL IV</t>
        </is>
      </c>
      <c r="E1577" s="2" t="inlineStr">
        <is>
          <t>Calcium disodium EDTA 1 g IV</t>
        </is>
      </c>
      <c r="F1577" s="2" t="inlineStr">
        <is>
          <t>Desferrioxamine 1 g IM/IV</t>
        </is>
      </c>
      <c r="G1577" s="2" t="inlineStr">
        <is>
          <t>Dimercaprol (BAL) 3 mg/kg IM</t>
        </is>
      </c>
      <c r="H1577" s="2" t="inlineStr">
        <is>
          <t>Ethanol 10% IV infusion for Methanol poisoning</t>
        </is>
      </c>
      <c r="I1577" s="8" t="inlineStr">
        <is>
          <t>1</t>
        </is>
      </c>
      <c r="J15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7" s="2" t="n"/>
      <c r="L1577" s="2" t="inlineStr">
        <is>
          <t>General Therapeutics</t>
        </is>
      </c>
      <c r="M1577" s="2" t="inlineStr">
        <is>
          <t>Clinic</t>
        </is>
      </c>
      <c r="N1577" s="2" t="inlineStr">
        <is>
          <t>ข้อ 4 (PLE_CC1_Key_Rx20_UBU.md)</t>
        </is>
      </c>
      <c r="O1577" s="2" t="inlineStr">
        <is>
          <t>Mock</t>
        </is>
      </c>
      <c r="P1577" s="2" t="inlineStr">
        <is>
          <t>Mock Rx20 UBU</t>
        </is>
      </c>
    </row>
    <row r="1578" ht="13.2" customHeight="1" s="37">
      <c r="A1578" s="8" t="inlineStr">
        <is>
          <t>1599</t>
        </is>
      </c>
      <c r="B1578" s="2" t="inlineStr">
        <is>
          <t>ทำให้ hemoglobin จับกับเหล็ก</t>
        </is>
      </c>
      <c r="C1578" s="2" t="n"/>
      <c r="D1578" s="2" t="inlineStr">
        <is>
          <t>Dimercaprol (BAL) 3 mg/kg IM</t>
        </is>
      </c>
      <c r="E1578" s="2" t="inlineStr">
        <is>
          <t>Ethanol 10% IV infusion for Methanol poisoning</t>
        </is>
      </c>
      <c r="F1578" s="2" t="inlineStr">
        <is>
          <t>Fomepizole 15 mg/kg IV loading</t>
        </is>
      </c>
      <c r="G1578" s="2" t="inlineStr">
        <is>
          <t>N-acetylcysteine (NAC) IV infusion protocol</t>
        </is>
      </c>
      <c r="H1578" s="2" t="inlineStr">
        <is>
          <t>Atropine sulfate 2 mg IV Q5-10 min</t>
        </is>
      </c>
      <c r="I1578" s="8" t="inlineStr">
        <is>
          <t>4</t>
        </is>
      </c>
      <c r="J1578"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78" s="2" t="n"/>
      <c r="L1578" s="2" t="inlineStr">
        <is>
          <t>General Therapeutics</t>
        </is>
      </c>
      <c r="M1578" s="2" t="inlineStr">
        <is>
          <t>Clinic</t>
        </is>
      </c>
      <c r="N1578" s="2" t="inlineStr">
        <is>
          <t>ข้อ 5 (PLE_CC1_Key_Rx20_UBU.md)</t>
        </is>
      </c>
      <c r="O1578" s="2" t="inlineStr">
        <is>
          <t>Mock</t>
        </is>
      </c>
      <c r="P1578" s="2" t="inlineStr">
        <is>
          <t>Mock Rx20 UBU</t>
        </is>
      </c>
    </row>
    <row r="1579" ht="13.2" customHeight="1" s="37">
      <c r="A1579" s="8" t="inlineStr">
        <is>
          <t>1600</t>
        </is>
      </c>
      <c r="B1579" s="2" t="inlineStr">
        <is>
          <t>ผู้ป่วยรายนี้ควรได้รับอะไรเสริมในปริมาณมาก</t>
        </is>
      </c>
      <c r="C1579" s="2" t="n"/>
      <c r="D1579" s="2" t="inlineStr">
        <is>
          <t>N-acetylcysteine (NAC) IV infusion protocol</t>
        </is>
      </c>
      <c r="E1579" s="2" t="inlineStr">
        <is>
          <t>Atropine sulfate 2 mg IV Q5-10 min</t>
        </is>
      </c>
      <c r="F1579" s="2" t="inlineStr">
        <is>
          <t>Pralidoxime (2-PAM) 1-2 g IV over 30 min</t>
        </is>
      </c>
      <c r="G1579" s="2" t="inlineStr">
        <is>
          <t>Naloxone 0.4 mg IV stat</t>
        </is>
      </c>
      <c r="H1579" s="2" t="inlineStr">
        <is>
          <t>Flumazenil 0.2 mg IV stat</t>
        </is>
      </c>
      <c r="I1579" s="8" t="inlineStr">
        <is>
          <t>1</t>
        </is>
      </c>
      <c r="J15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79" s="2" t="n"/>
      <c r="L1579" s="2" t="inlineStr">
        <is>
          <t>General Therapeutics</t>
        </is>
      </c>
      <c r="M1579" s="2" t="inlineStr">
        <is>
          <t>Clinic</t>
        </is>
      </c>
      <c r="N1579" s="2" t="inlineStr">
        <is>
          <t>ข้อ 74 (PLE_CC1_Key_Rx20_UBU.md)</t>
        </is>
      </c>
      <c r="O1579" s="2" t="inlineStr">
        <is>
          <t>Mock</t>
        </is>
      </c>
      <c r="P1579" s="2" t="inlineStr">
        <is>
          <t>Mock Rx20 UBU</t>
        </is>
      </c>
    </row>
    <row r="1580" ht="13.2" customHeight="1" s="37">
      <c r="A1580" s="8" t="inlineStr">
        <is>
          <t>1601</t>
        </is>
      </c>
      <c r="B1580" s="2" t="inlineStr">
        <is>
          <t>ยาใดที่อาจทำให้เกิดผลในลักษณะเดียวกับ Cotrimoxazole</t>
        </is>
      </c>
      <c r="C1580" s="2" t="n"/>
      <c r="D1580" s="2" t="inlineStr">
        <is>
          <t>Naloxone 0.4 mg IV stat</t>
        </is>
      </c>
      <c r="E1580" s="2" t="inlineStr">
        <is>
          <t>Flumazenil 0.2 mg IV stat</t>
        </is>
      </c>
      <c r="F1580" s="2" t="inlineStr">
        <is>
          <t>Vitamin K1 (Phytomenadione) 10 mg IV slow</t>
        </is>
      </c>
      <c r="G1580" s="2" t="inlineStr">
        <is>
          <t>Sodium thiosulfate 25% 50 mL IV</t>
        </is>
      </c>
      <c r="H1580" s="2" t="inlineStr">
        <is>
          <t>Calcium disodium EDTA 1 g IV</t>
        </is>
      </c>
      <c r="I1580" s="8" t="inlineStr">
        <is>
          <t>1</t>
        </is>
      </c>
      <c r="J15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80" s="2" t="n"/>
      <c r="L1580" s="2" t="inlineStr">
        <is>
          <t>General Therapeutics</t>
        </is>
      </c>
      <c r="M1580" s="2" t="inlineStr">
        <is>
          <t>Clinic</t>
        </is>
      </c>
      <c r="N1580" s="2" t="inlineStr">
        <is>
          <t>ข้อ 75 (PLE_CC1_Key_Rx20_UBU.md)</t>
        </is>
      </c>
      <c r="O1580" s="2" t="inlineStr">
        <is>
          <t>Mock</t>
        </is>
      </c>
      <c r="P1580" s="2" t="inlineStr">
        <is>
          <t>Mock Rx20 UBU</t>
        </is>
      </c>
    </row>
    <row r="1581" ht="13.2" customHeight="1" s="37">
      <c r="A1581" s="8" t="inlineStr">
        <is>
          <t>1602</t>
        </is>
      </c>
      <c r="B1581" s="2" t="inlineStr">
        <is>
          <t>ถ้าต้องรักษาโรคทางเดินปัสสาวะอักเสบ ผู้ป่วยควรได้ยาอะไรแทน</t>
        </is>
      </c>
      <c r="C1581" s="2" t="n"/>
      <c r="D1581" s="2" t="inlineStr">
        <is>
          <t>Sodium thiosulfate 25% 50 mL IV</t>
        </is>
      </c>
      <c r="E1581" s="2" t="inlineStr">
        <is>
          <t>Calcium disodium EDTA 1 g IV</t>
        </is>
      </c>
      <c r="F1581" s="2" t="inlineStr">
        <is>
          <t>Desferrioxamine 1 g IM/IV</t>
        </is>
      </c>
      <c r="G1581" s="2" t="inlineStr">
        <is>
          <t>Dimercaprol (BAL) 3 mg/kg IM</t>
        </is>
      </c>
      <c r="H1581" s="2" t="inlineStr">
        <is>
          <t>Ethanol 10% IV infusion for Methanol poisoning</t>
        </is>
      </c>
      <c r="I1581" s="8" t="inlineStr">
        <is>
          <t>1</t>
        </is>
      </c>
      <c r="J15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1" s="2" t="n"/>
      <c r="L1581" s="2" t="inlineStr">
        <is>
          <t>General Therapeutics</t>
        </is>
      </c>
      <c r="M1581" s="2" t="inlineStr">
        <is>
          <t>Clinic</t>
        </is>
      </c>
      <c r="N1581" s="2" t="inlineStr">
        <is>
          <t>ข้อ 76 (PLE_CC1_Key_Rx20_UBU.md)</t>
        </is>
      </c>
      <c r="O1581" s="2" t="inlineStr">
        <is>
          <t>Mock</t>
        </is>
      </c>
      <c r="P1581" s="2" t="inlineStr">
        <is>
          <t>Mock Rx20 UBU</t>
        </is>
      </c>
    </row>
    <row r="1582" ht="13.2" customHeight="1" s="37">
      <c r="A1582" s="8" t="inlineStr">
        <is>
          <t>1603</t>
        </is>
      </c>
      <c r="B1582" s="2" t="inlineStr">
        <is>
          <t>Cotrimoxazole half dose</t>
        </is>
      </c>
      <c r="C1582" s="2" t="n"/>
      <c r="D1582" s="2" t="inlineStr">
        <is>
          <t>Dimercaprol (BAL) 3 mg/kg IM</t>
        </is>
      </c>
      <c r="E1582" s="2" t="inlineStr">
        <is>
          <t>Ethanol 10% IV infusion for Methanol poisoning</t>
        </is>
      </c>
      <c r="F1582" s="2" t="inlineStr">
        <is>
          <t>Fomepizole 15 mg/kg IV loading</t>
        </is>
      </c>
      <c r="G1582" s="2" t="inlineStr">
        <is>
          <t>N-acetylcysteine (NAC) IV infusion protocol</t>
        </is>
      </c>
      <c r="H1582" s="2" t="inlineStr">
        <is>
          <t>Atropine sulfate 2 mg IV Q5-10 min</t>
        </is>
      </c>
      <c r="I1582" s="8" t="inlineStr">
        <is>
          <t>3</t>
        </is>
      </c>
      <c r="J1582"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2" s="2" t="n"/>
      <c r="L1582" s="2" t="inlineStr">
        <is>
          <t>General Therapeutics</t>
        </is>
      </c>
      <c r="M1582" s="2" t="inlineStr">
        <is>
          <t>Clinic</t>
        </is>
      </c>
      <c r="N1582" s="2" t="inlineStr">
        <is>
          <t>ข้อ 5 (PLE_CC1_Key_Rx20_UBU.md)</t>
        </is>
      </c>
      <c r="O1582" s="2" t="inlineStr">
        <is>
          <t>Mock</t>
        </is>
      </c>
      <c r="P1582" s="2" t="inlineStr">
        <is>
          <t>Mock Rx20 UBU</t>
        </is>
      </c>
    </row>
    <row r="1583" ht="13.2" customHeight="1" s="37">
      <c r="A1583" s="8" t="inlineStr">
        <is>
          <t>1604</t>
        </is>
      </c>
      <c r="B1583" s="2" t="inlineStr">
        <is>
          <t>ถ้าผู้ป่วยมีภาวะเม็ดเลือดแดงแตกอย่างรุนแรง ควรได้รับผลิตภัณฑใด</t>
        </is>
      </c>
      <c r="C1583" s="2" t="n"/>
      <c r="D1583" s="2" t="inlineStr">
        <is>
          <t>N-acetylcysteine (NAC) IV infusion protocol</t>
        </is>
      </c>
      <c r="E1583" s="2" t="inlineStr">
        <is>
          <t>Atropine sulfate 2 mg IV Q5-10 min</t>
        </is>
      </c>
      <c r="F1583" s="2" t="inlineStr">
        <is>
          <t>Pralidoxime (2-PAM) 1-2 g IV over 30 min</t>
        </is>
      </c>
      <c r="G1583" s="2" t="inlineStr">
        <is>
          <t>Naloxone 0.4 mg IV stat</t>
        </is>
      </c>
      <c r="H1583" s="2" t="inlineStr">
        <is>
          <t>Flumazenil 0.2 mg IV stat</t>
        </is>
      </c>
      <c r="I1583" s="8" t="inlineStr">
        <is>
          <t>1</t>
        </is>
      </c>
      <c r="J15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83" s="2" t="n"/>
      <c r="L1583" s="2" t="inlineStr">
        <is>
          <t>General Therapeutics</t>
        </is>
      </c>
      <c r="M1583" s="2" t="inlineStr">
        <is>
          <t>Clinic</t>
        </is>
      </c>
      <c r="N1583" s="2" t="inlineStr">
        <is>
          <t>ข้อ 77 (PLE_CC1_Key_Rx20_UBU.md)</t>
        </is>
      </c>
      <c r="O1583" s="2" t="inlineStr">
        <is>
          <t>Mock</t>
        </is>
      </c>
      <c r="P1583" s="2" t="inlineStr">
        <is>
          <t>Mock Rx20 UBU</t>
        </is>
      </c>
    </row>
    <row r="1584" ht="13.2" customHeight="1" s="37">
      <c r="A1584" s="8" t="inlineStr">
        <is>
          <t>1605</t>
        </is>
      </c>
      <c r="B1584" s="2" t="inlineStr">
        <is>
          <t>Packed red cell</t>
        </is>
      </c>
      <c r="C1584" s="2" t="n"/>
      <c r="D1584" s="2" t="inlineStr">
        <is>
          <t>Naloxone 0.4 mg IV stat</t>
        </is>
      </c>
      <c r="E1584" s="2" t="inlineStr">
        <is>
          <t>Flumazenil 0.2 mg IV stat</t>
        </is>
      </c>
      <c r="F1584" s="2" t="inlineStr">
        <is>
          <t>Vitamin K1 (Phytomenadione) 10 mg IV slow</t>
        </is>
      </c>
      <c r="G1584" s="2" t="inlineStr">
        <is>
          <t>Sodium thiosulfate 25% 50 mL IV</t>
        </is>
      </c>
      <c r="H1584" s="2" t="inlineStr">
        <is>
          <t>Calcium disodium EDTA 1 g IV</t>
        </is>
      </c>
      <c r="I1584" s="8" t="inlineStr">
        <is>
          <t>1</t>
        </is>
      </c>
      <c r="J15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84" s="2" t="n"/>
      <c r="L1584" s="2" t="inlineStr">
        <is>
          <t>General Therapeutics</t>
        </is>
      </c>
      <c r="M1584" s="2" t="inlineStr">
        <is>
          <t>Clinic</t>
        </is>
      </c>
      <c r="N1584" s="2" t="inlineStr">
        <is>
          <t>ข้อ 2 (PLE_CC1_Key_Rx20_UBU.md)</t>
        </is>
      </c>
      <c r="O1584" s="2" t="inlineStr">
        <is>
          <t>Mock</t>
        </is>
      </c>
      <c r="P1584" s="2" t="inlineStr">
        <is>
          <t>Mock Rx20 UBU</t>
        </is>
      </c>
    </row>
    <row r="1585" ht="13.2" customHeight="1" s="37">
      <c r="A1585" s="8" t="inlineStr">
        <is>
          <t>1606</t>
        </is>
      </c>
      <c r="B1585" s="2" t="inlineStr">
        <is>
          <t>Platelet Rich Plasma</t>
        </is>
      </c>
      <c r="C1585" s="2" t="n"/>
      <c r="D1585" s="2" t="inlineStr">
        <is>
          <t>Sodium thiosulfate 25% 50 mL IV</t>
        </is>
      </c>
      <c r="E1585" s="2" t="inlineStr">
        <is>
          <t>Calcium disodium EDTA 1 g IV</t>
        </is>
      </c>
      <c r="F1585" s="2" t="inlineStr">
        <is>
          <t>Desferrioxamine 1 g IM/IV</t>
        </is>
      </c>
      <c r="G1585" s="2" t="inlineStr">
        <is>
          <t>Dimercaprol (BAL) 3 mg/kg IM</t>
        </is>
      </c>
      <c r="H1585" s="2" t="inlineStr">
        <is>
          <t>Ethanol 10% IV infusion for Methanol poisoning</t>
        </is>
      </c>
      <c r="I1585" s="8" t="inlineStr">
        <is>
          <t>1</t>
        </is>
      </c>
      <c r="J15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5" s="2" t="n"/>
      <c r="L1585" s="2" t="inlineStr">
        <is>
          <t>General Therapeutics</t>
        </is>
      </c>
      <c r="M1585" s="2" t="inlineStr">
        <is>
          <t>Clinic</t>
        </is>
      </c>
      <c r="N1585" s="2" t="inlineStr">
        <is>
          <t>ข้อ 3 (PLE_CC1_Key_Rx20_UBU.md)</t>
        </is>
      </c>
      <c r="O1585" s="2" t="inlineStr">
        <is>
          <t>Mock</t>
        </is>
      </c>
      <c r="P1585" s="2" t="inlineStr">
        <is>
          <t>Mock Rx20 UBU</t>
        </is>
      </c>
    </row>
    <row r="1586" ht="13.2" customHeight="1" s="37">
      <c r="A1586" s="8" t="inlineStr">
        <is>
          <t>1607</t>
        </is>
      </c>
      <c r="B1586" s="2" t="inlineStr">
        <is>
          <t>Cryoprecipitate factor VIII</t>
        </is>
      </c>
      <c r="C1586" s="2" t="n"/>
      <c r="D1586" s="2" t="inlineStr">
        <is>
          <t>Dimercaprol (BAL) 3 mg/kg IM</t>
        </is>
      </c>
      <c r="E1586" s="2" t="inlineStr">
        <is>
          <t>Ethanol 10% IV infusion for Methanol poisoning</t>
        </is>
      </c>
      <c r="F1586" s="2" t="inlineStr">
        <is>
          <t>Fomepizole 15 mg/kg IV loading</t>
        </is>
      </c>
      <c r="G1586" s="2" t="inlineStr">
        <is>
          <t>N-acetylcysteine (NAC) IV infusion protocol</t>
        </is>
      </c>
      <c r="H1586" s="2" t="inlineStr">
        <is>
          <t>Atropine sulfate 2 mg IV Q5-10 min</t>
        </is>
      </c>
      <c r="I1586" s="8" t="inlineStr">
        <is>
          <t>1</t>
        </is>
      </c>
      <c r="J15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6" s="2" t="n"/>
      <c r="L1586" s="2" t="inlineStr">
        <is>
          <t>General Therapeutics</t>
        </is>
      </c>
      <c r="M1586" s="2" t="inlineStr">
        <is>
          <t>Clinic</t>
        </is>
      </c>
      <c r="N1586" s="2" t="inlineStr">
        <is>
          <t>ข้อ 4 (PLE_CC1_Key_Rx20_UBU.md)</t>
        </is>
      </c>
      <c r="O1586" s="2" t="inlineStr">
        <is>
          <t>Mock</t>
        </is>
      </c>
      <c r="P1586" s="2" t="inlineStr">
        <is>
          <t>Mock Rx20 UBU</t>
        </is>
      </c>
    </row>
    <row r="1587" ht="13.2" customHeight="1" s="37">
      <c r="A1587" s="8" t="inlineStr">
        <is>
          <t>1608</t>
        </is>
      </c>
      <c r="B1587" s="2" t="inlineStr">
        <is>
          <t>Human Plasma</t>
        </is>
      </c>
      <c r="C1587" s="2" t="n"/>
      <c r="D1587" s="2" t="inlineStr">
        <is>
          <t>N-acetylcysteine (NAC) IV infusion protocol</t>
        </is>
      </c>
      <c r="E1587" s="2" t="inlineStr">
        <is>
          <t>Atropine sulfate 2 mg IV Q5-10 min</t>
        </is>
      </c>
      <c r="F1587" s="2" t="inlineStr">
        <is>
          <t>Pralidoxime (2-PAM) 1-2 g IV over 30 min</t>
        </is>
      </c>
      <c r="G1587" s="2" t="inlineStr">
        <is>
          <t>Naloxone 0.4 mg IV stat</t>
        </is>
      </c>
      <c r="H1587" s="2" t="inlineStr">
        <is>
          <t>Flumazenil 0.2 mg IV stat</t>
        </is>
      </c>
      <c r="I1587" s="8" t="inlineStr">
        <is>
          <t>1</t>
        </is>
      </c>
      <c r="J15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87" s="2" t="n"/>
      <c r="L1587" s="2" t="inlineStr">
        <is>
          <t>General Therapeutics</t>
        </is>
      </c>
      <c r="M1587" s="2" t="inlineStr">
        <is>
          <t>Clinic</t>
        </is>
      </c>
      <c r="N1587" s="2" t="inlineStr">
        <is>
          <t>ข้อ 5 (PLE_CC1_Key_Rx20_UBU.md)</t>
        </is>
      </c>
      <c r="O1587" s="2" t="inlineStr">
        <is>
          <t>Mock</t>
        </is>
      </c>
      <c r="P1587" s="2" t="inlineStr">
        <is>
          <t>Mock Rx20 UBU</t>
        </is>
      </c>
    </row>
    <row r="1588" ht="13.2" customHeight="1" s="37">
      <c r="A1588" s="8" t="inlineStr">
        <is>
          <t>1609</t>
        </is>
      </c>
      <c r="B1588" s="2" t="inlineStr">
        <is>
          <t>ลดแรงตอกอัด เพื่อลดความแข็งของเม็ดยา</t>
        </is>
      </c>
      <c r="C1588" s="2" t="n"/>
      <c r="D1588" s="2" t="inlineStr">
        <is>
          <t>Naloxone 0.4 mg IV stat</t>
        </is>
      </c>
      <c r="E1588" s="2" t="inlineStr">
        <is>
          <t>Flumazenil 0.2 mg IV stat</t>
        </is>
      </c>
      <c r="F1588" s="2" t="inlineStr">
        <is>
          <t>Vitamin K1 (Phytomenadione) 10 mg IV slow</t>
        </is>
      </c>
      <c r="G1588" s="2" t="inlineStr">
        <is>
          <t>Sodium thiosulfate 25% 50 mL IV</t>
        </is>
      </c>
      <c r="H1588" s="2" t="inlineStr">
        <is>
          <t>Calcium disodium EDTA 1 g IV</t>
        </is>
      </c>
      <c r="I1588" s="8" t="inlineStr">
        <is>
          <t>1</t>
        </is>
      </c>
      <c r="J15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88" s="2" t="n"/>
      <c r="L1588" s="2" t="inlineStr">
        <is>
          <t>General Therapeutics</t>
        </is>
      </c>
      <c r="M1588" s="2" t="inlineStr">
        <is>
          <t>Clinic</t>
        </is>
      </c>
      <c r="N1588" s="2" t="inlineStr">
        <is>
          <t>ข้อ 1 (PLE_CC1_Key_Rx20_UBU.md)</t>
        </is>
      </c>
      <c r="O1588" s="2" t="inlineStr">
        <is>
          <t>Mock</t>
        </is>
      </c>
      <c r="P1588" s="2" t="inlineStr">
        <is>
          <t>Mock Rx20 UBU</t>
        </is>
      </c>
    </row>
    <row r="1589" ht="13.2" customHeight="1" s="37">
      <c r="A1589" s="8" t="inlineStr">
        <is>
          <t>1610</t>
        </is>
      </c>
      <c r="B1589" s="2" t="inlineStr">
        <is>
          <t>ลดปริมาณ Lactose เพื่อลดความแข็งของเมดยา</t>
        </is>
      </c>
      <c r="C1589" s="2" t="n"/>
      <c r="D1589" s="2" t="inlineStr">
        <is>
          <t>Wet Granulation tableting method</t>
        </is>
      </c>
      <c r="E1589" s="2" t="inlineStr">
        <is>
          <t>Dry Granulation (Roller Compaction)</t>
        </is>
      </c>
      <c r="F1589" s="2" t="inlineStr">
        <is>
          <t>Fluidized Bed Granulation</t>
        </is>
      </c>
      <c r="G1589" s="2" t="inlineStr">
        <is>
          <t>Film Coating with Hydroxypropyl methylcellulose (HPMC)</t>
        </is>
      </c>
      <c r="H1589" s="2" t="inlineStr">
        <is>
          <t>Enteric Coating with Cellulose acetate phthalate (CAP)</t>
        </is>
      </c>
      <c r="I1589" s="8" t="inlineStr">
        <is>
          <t>1</t>
        </is>
      </c>
      <c r="J1589"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9" s="2" t="n"/>
      <c r="L1589" s="2" t="inlineStr">
        <is>
          <t>Solid Dosage Forms</t>
        </is>
      </c>
      <c r="M1589" s="2" t="inlineStr">
        <is>
          <t>Product</t>
        </is>
      </c>
      <c r="N1589" s="2" t="inlineStr">
        <is>
          <t>ข้อ 2 (PLE_CC1_Key_Rx20_UBU.md)</t>
        </is>
      </c>
      <c r="O1589" s="2" t="inlineStr">
        <is>
          <t>Mock</t>
        </is>
      </c>
      <c r="P1589" s="2" t="inlineStr">
        <is>
          <t>Mock Rx20 UBU</t>
        </is>
      </c>
    </row>
    <row r="1590" ht="13.2" customHeight="1" s="37">
      <c r="A1590" s="8" t="inlineStr">
        <is>
          <t>1611</t>
        </is>
      </c>
      <c r="B1590" s="2" t="inlineStr">
        <is>
          <t>ควรเพิ่ม Sodium Starch Glycolate ลงไปในตำรับเพื่อช่วยในการแตกตัว</t>
        </is>
      </c>
      <c r="C1590" s="2" t="n"/>
      <c r="D1590" s="2" t="inlineStr">
        <is>
          <t>Dimercaprol (BAL) 3 mg/kg IM</t>
        </is>
      </c>
      <c r="E1590" s="2" t="inlineStr">
        <is>
          <t>Ethanol 10% IV infusion for Methanol poisoning</t>
        </is>
      </c>
      <c r="F1590" s="2" t="inlineStr">
        <is>
          <t>Fomepizole 15 mg/kg IV loading</t>
        </is>
      </c>
      <c r="G1590" s="2" t="inlineStr">
        <is>
          <t>N-acetylcysteine (NAC) IV infusion protocol</t>
        </is>
      </c>
      <c r="H1590" s="2" t="inlineStr">
        <is>
          <t>Atropine sulfate 2 mg IV Q5-10 min</t>
        </is>
      </c>
      <c r="I1590" s="8" t="inlineStr">
        <is>
          <t>1</t>
        </is>
      </c>
      <c r="J15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0" s="2" t="n"/>
      <c r="L1590" s="2" t="inlineStr">
        <is>
          <t>General Therapeutics</t>
        </is>
      </c>
      <c r="M1590" s="2" t="inlineStr">
        <is>
          <t>Clinic</t>
        </is>
      </c>
      <c r="N1590" s="2" t="inlineStr">
        <is>
          <t>ข้อ 4 (PLE_CC1_Key_Rx20_UBU.md)</t>
        </is>
      </c>
      <c r="O1590" s="2" t="inlineStr">
        <is>
          <t>Mock</t>
        </is>
      </c>
      <c r="P1590" s="2" t="inlineStr">
        <is>
          <t>Mock Rx20 UBU</t>
        </is>
      </c>
    </row>
    <row r="1591" ht="13.2" customHeight="1" s="37">
      <c r="A1591" s="8" t="inlineStr">
        <is>
          <t>1612</t>
        </is>
      </c>
      <c r="B1591" s="2" t="inlineStr">
        <is>
          <t>เพิ่ม Sodium Lauryl Sulfate เพื่อให้ผงยาปียกได้ดีขึ้น เป็นสารที่มีคุณสมบัติลดแรงตึงผิวของน้ำ</t>
        </is>
      </c>
      <c r="C1591" s="2" t="n"/>
      <c r="D1591" s="2" t="inlineStr">
        <is>
          <t>N-acetylcysteine (NAC) IV infusion protocol</t>
        </is>
      </c>
      <c r="E1591" s="2" t="inlineStr">
        <is>
          <t>Atropine sulfate 2 mg IV Q5-10 min</t>
        </is>
      </c>
      <c r="F1591" s="2" t="inlineStr">
        <is>
          <t>Pralidoxime (2-PAM) 1-2 g IV over 30 min</t>
        </is>
      </c>
      <c r="G1591" s="2" t="inlineStr">
        <is>
          <t>Naloxone 0.4 mg IV stat</t>
        </is>
      </c>
      <c r="H1591" s="2" t="inlineStr">
        <is>
          <t>Flumazenil 0.2 mg IV stat</t>
        </is>
      </c>
      <c r="I1591" s="8" t="inlineStr">
        <is>
          <t>4</t>
        </is>
      </c>
      <c r="J1591" s="2" t="inlineStr">
        <is>
          <t>✅ คำตอบที่ถูกต้อง: ข้อ ง.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91" s="2" t="n"/>
      <c r="L1591" s="2" t="inlineStr">
        <is>
          <t>General Therapeutics</t>
        </is>
      </c>
      <c r="M1591" s="2" t="inlineStr">
        <is>
          <t>Clinic</t>
        </is>
      </c>
      <c r="N1591" s="2" t="inlineStr">
        <is>
          <t>ข้อ 5 (PLE_CC1_Key_Rx20_UBU.md)</t>
        </is>
      </c>
      <c r="O1591" s="2" t="inlineStr">
        <is>
          <t>Mock</t>
        </is>
      </c>
      <c r="P1591" s="2" t="inlineStr">
        <is>
          <t>Mock Rx20 UBU</t>
        </is>
      </c>
    </row>
    <row r="1592" ht="13.2" customHeight="1" s="37">
      <c r="A1592" s="8" t="inlineStr">
        <is>
          <t>1613</t>
        </is>
      </c>
      <c r="B1592" s="2" t="inlineStr">
        <is>
          <t>เป็นวง Thiazole ring</t>
        </is>
      </c>
      <c r="C1592" s="2" t="n"/>
      <c r="D1592" s="2" t="inlineStr">
        <is>
          <t>Naloxone 0.4 mg IV stat</t>
        </is>
      </c>
      <c r="E1592" s="2" t="inlineStr">
        <is>
          <t>Flumazenil 0.2 mg IV stat</t>
        </is>
      </c>
      <c r="F1592" s="2" t="inlineStr">
        <is>
          <t>Vitamin K1 (Phytomenadione) 10 mg IV slow</t>
        </is>
      </c>
      <c r="G1592" s="2" t="inlineStr">
        <is>
          <t>Sodium thiosulfate 25% 50 mL IV</t>
        </is>
      </c>
      <c r="H1592" s="2" t="inlineStr">
        <is>
          <t>Calcium disodium EDTA 1 g IV</t>
        </is>
      </c>
      <c r="I1592" s="8" t="inlineStr">
        <is>
          <t>1</t>
        </is>
      </c>
      <c r="J15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92" s="2" t="n"/>
      <c r="L1592" s="2" t="inlineStr">
        <is>
          <t>General Therapeutics</t>
        </is>
      </c>
      <c r="M1592" s="2" t="inlineStr">
        <is>
          <t>Clinic</t>
        </is>
      </c>
      <c r="N1592" s="2" t="inlineStr">
        <is>
          <t>ข้อ 1 (PLE_CC1_Key_Rx20_UBU.md)</t>
        </is>
      </c>
      <c r="O1592" s="2" t="inlineStr">
        <is>
          <t>Mock</t>
        </is>
      </c>
      <c r="P1592" s="2" t="inlineStr">
        <is>
          <t>Mock Rx20 UBU</t>
        </is>
      </c>
    </row>
    <row r="1593" ht="13.2" customHeight="1" s="37">
      <c r="A1593" s="8" t="inlineStr">
        <is>
          <t>1614</t>
        </is>
      </c>
      <c r="B1593" s="2" t="inlineStr">
        <is>
          <t>หมู่ NH2 จำเป็นต่อการออกฤทธิ์</t>
        </is>
      </c>
      <c r="C1593" s="2" t="n"/>
      <c r="D1593" s="2" t="inlineStr">
        <is>
          <t>Sodium thiosulfate 25% 50 mL IV</t>
        </is>
      </c>
      <c r="E1593" s="2" t="inlineStr">
        <is>
          <t>Calcium disodium EDTA 1 g IV</t>
        </is>
      </c>
      <c r="F1593" s="2" t="inlineStr">
        <is>
          <t>Desferrioxamine 1 g IM/IV</t>
        </is>
      </c>
      <c r="G1593" s="2" t="inlineStr">
        <is>
          <t>Dimercaprol (BAL) 3 mg/kg IM</t>
        </is>
      </c>
      <c r="H1593" s="2" t="inlineStr">
        <is>
          <t>Ethanol 10% IV infusion for Methanol poisoning</t>
        </is>
      </c>
      <c r="I1593" s="8" t="inlineStr">
        <is>
          <t>1</t>
        </is>
      </c>
      <c r="J15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3" s="2" t="n"/>
      <c r="L1593" s="2" t="inlineStr">
        <is>
          <t>General Therapeutics</t>
        </is>
      </c>
      <c r="M1593" s="2" t="inlineStr">
        <is>
          <t>Clinic</t>
        </is>
      </c>
      <c r="N1593" s="2" t="inlineStr">
        <is>
          <t>ข้อ 4 (PLE_CC1_Key_Rx20_UBU.md)</t>
        </is>
      </c>
      <c r="O1593" s="2" t="inlineStr">
        <is>
          <t>Mock</t>
        </is>
      </c>
      <c r="P1593" s="2" t="inlineStr">
        <is>
          <t>Mock Rx20 UBU</t>
        </is>
      </c>
    </row>
    <row r="1594" ht="13.2" customHeight="1" s="37">
      <c r="A1594" s="8" t="inlineStr">
        <is>
          <t>1615</t>
        </is>
      </c>
      <c r="B1594" s="2" t="inlineStr">
        <is>
          <t>Chronic bronchitis</t>
        </is>
      </c>
      <c r="C1594" s="2" t="n"/>
      <c r="D1594" s="2" t="inlineStr">
        <is>
          <t>Dimercaprol (BAL) 3 mg/kg IM</t>
        </is>
      </c>
      <c r="E1594" s="2" t="inlineStr">
        <is>
          <t>Ethanol 10% IV infusion for Methanol poisoning</t>
        </is>
      </c>
      <c r="F1594" s="2" t="inlineStr">
        <is>
          <t>Fomepizole 15 mg/kg IV loading</t>
        </is>
      </c>
      <c r="G1594" s="2" t="inlineStr">
        <is>
          <t>N-acetylcysteine (NAC) IV infusion protocol</t>
        </is>
      </c>
      <c r="H1594" s="2" t="inlineStr">
        <is>
          <t>Atropine sulfate 2 mg IV Q5-10 min</t>
        </is>
      </c>
      <c r="I1594" s="8" t="inlineStr">
        <is>
          <t>1</t>
        </is>
      </c>
      <c r="J15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4" s="2" t="n"/>
      <c r="L1594" s="2" t="inlineStr">
        <is>
          <t>General Therapeutics</t>
        </is>
      </c>
      <c r="M1594" s="2" t="inlineStr">
        <is>
          <t>Clinic</t>
        </is>
      </c>
      <c r="N1594" s="2" t="inlineStr">
        <is>
          <t>ข้อ 1 (PLE_CC1_Key_Rx20_UBU.md)</t>
        </is>
      </c>
      <c r="O1594" s="2" t="inlineStr">
        <is>
          <t>Mock</t>
        </is>
      </c>
      <c r="P1594" s="2" t="inlineStr">
        <is>
          <t>Mock Rx20 UBU</t>
        </is>
      </c>
    </row>
    <row r="1595" ht="13.2" customHeight="1" s="37">
      <c r="A1595" s="8" t="inlineStr">
        <is>
          <t>1616</t>
        </is>
      </c>
      <c r="B1595" s="2" t="inlineStr">
        <is>
          <t>โรคดังกล่าวน่าจะเกิดจากเชื้อใด</t>
        </is>
      </c>
      <c r="C1595" s="2" t="n"/>
      <c r="D1595" s="2" t="inlineStr">
        <is>
          <t>N-acetylcysteine (NAC) IV infusion protocol</t>
        </is>
      </c>
      <c r="E1595" s="2" t="inlineStr">
        <is>
          <t>Atropine sulfate 2 mg IV Q5-10 min</t>
        </is>
      </c>
      <c r="F1595" s="2" t="inlineStr">
        <is>
          <t>Pralidoxime (2-PAM) 1-2 g IV over 30 min</t>
        </is>
      </c>
      <c r="G1595" s="2" t="inlineStr">
        <is>
          <t>Naloxone 0.4 mg IV stat</t>
        </is>
      </c>
      <c r="H1595" s="2" t="inlineStr">
        <is>
          <t>Flumazenil 0.2 mg IV stat</t>
        </is>
      </c>
      <c r="I1595" s="8" t="inlineStr">
        <is>
          <t>1</t>
        </is>
      </c>
      <c r="J15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595" s="2" t="n"/>
      <c r="L1595" s="2" t="inlineStr">
        <is>
          <t>General Therapeutics</t>
        </is>
      </c>
      <c r="M1595" s="2" t="inlineStr">
        <is>
          <t>Clinic</t>
        </is>
      </c>
      <c r="N1595" s="2" t="inlineStr">
        <is>
          <t>ข้อ 81 (PLE_CC1_Key_Rx20_UBU.md)</t>
        </is>
      </c>
      <c r="O1595" s="2" t="inlineStr">
        <is>
          <t>Mock</t>
        </is>
      </c>
      <c r="P1595" s="2" t="inlineStr">
        <is>
          <t>Mock Rx20 UBU</t>
        </is>
      </c>
    </row>
    <row r="1596" ht="13.2" customHeight="1" s="37">
      <c r="A1596" s="8" t="inlineStr">
        <is>
          <t>1617</t>
        </is>
      </c>
      <c r="B1596" s="2" t="inlineStr">
        <is>
          <t>Legionella spp.</t>
        </is>
      </c>
      <c r="C1596" s="2" t="n"/>
      <c r="D1596" s="2" t="inlineStr">
        <is>
          <t>Naloxone 0.4 mg IV stat</t>
        </is>
      </c>
      <c r="E1596" s="2" t="inlineStr">
        <is>
          <t>Flumazenil 0.2 mg IV stat</t>
        </is>
      </c>
      <c r="F1596" s="2" t="inlineStr">
        <is>
          <t>Vitamin K1 (Phytomenadione) 10 mg IV slow</t>
        </is>
      </c>
      <c r="G1596" s="2" t="inlineStr">
        <is>
          <t>Sodium thiosulfate 25% 50 mL IV</t>
        </is>
      </c>
      <c r="H1596" s="2" t="inlineStr">
        <is>
          <t>Calcium disodium EDTA 1 g IV</t>
        </is>
      </c>
      <c r="I1596" s="8" t="inlineStr">
        <is>
          <t>1</t>
        </is>
      </c>
      <c r="J15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596" s="2" t="n"/>
      <c r="L1596" s="2" t="inlineStr">
        <is>
          <t>General Therapeutics</t>
        </is>
      </c>
      <c r="M1596" s="2" t="inlineStr">
        <is>
          <t>Clinic</t>
        </is>
      </c>
      <c r="N1596" s="2" t="inlineStr">
        <is>
          <t>ข้อ 1 (PLE_CC1_Key_Rx20_UBU.md)</t>
        </is>
      </c>
      <c r="O1596" s="2" t="inlineStr">
        <is>
          <t>Mock</t>
        </is>
      </c>
      <c r="P1596" s="2" t="inlineStr">
        <is>
          <t>Mock Rx20 UBU</t>
        </is>
      </c>
    </row>
    <row r="1597" ht="13.2" customHeight="1" s="37">
      <c r="A1597" s="8" t="inlineStr">
        <is>
          <t>1618</t>
        </is>
      </c>
      <c r="B1597" s="2" t="inlineStr">
        <is>
          <t>Amoxycillin+Clindamycin</t>
        </is>
      </c>
      <c r="C1597" s="2" t="n"/>
      <c r="D1597" s="2" t="inlineStr">
        <is>
          <t>Sodium thiosulfate 25% 50 mL IV</t>
        </is>
      </c>
      <c r="E1597" s="2" t="inlineStr">
        <is>
          <t>Calcium disodium EDTA 1 g IV</t>
        </is>
      </c>
      <c r="F1597" s="2" t="inlineStr">
        <is>
          <t>Desferrioxamine 1 g IM/IV</t>
        </is>
      </c>
      <c r="G1597" s="2" t="inlineStr">
        <is>
          <t>Dimercaprol (BAL) 3 mg/kg IM</t>
        </is>
      </c>
      <c r="H1597" s="2" t="inlineStr">
        <is>
          <t>Ethanol 10% IV infusion for Methanol poisoning</t>
        </is>
      </c>
      <c r="I1597" s="8" t="inlineStr">
        <is>
          <t>1</t>
        </is>
      </c>
      <c r="J15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7" s="2" t="n"/>
      <c r="L1597" s="2" t="inlineStr">
        <is>
          <t>General Therapeutics</t>
        </is>
      </c>
      <c r="M1597" s="2" t="inlineStr">
        <is>
          <t>Clinic</t>
        </is>
      </c>
      <c r="N1597" s="2" t="inlineStr">
        <is>
          <t>ข้อ 1 (PLE_CC1_Key_Rx20_UBU.md)</t>
        </is>
      </c>
      <c r="O1597" s="2" t="inlineStr">
        <is>
          <t>Mock</t>
        </is>
      </c>
      <c r="P1597" s="2" t="inlineStr">
        <is>
          <t>Mock Rx20 UBU</t>
        </is>
      </c>
    </row>
    <row r="1598" ht="13.2" customHeight="1" s="37">
      <c r="A1598" s="8" t="inlineStr">
        <is>
          <t>1619</t>
        </is>
      </c>
      <c r="B1598" s="2" t="inlineStr">
        <is>
          <t>Clindamycin+Roxithromycin</t>
        </is>
      </c>
      <c r="C1598" s="2" t="n"/>
      <c r="D1598" s="2" t="inlineStr">
        <is>
          <t>Dimercaprol (BAL) 3 mg/kg IM</t>
        </is>
      </c>
      <c r="E1598" s="2" t="inlineStr">
        <is>
          <t>Ethanol 10% IV infusion for Methanol poisoning</t>
        </is>
      </c>
      <c r="F1598" s="2" t="inlineStr">
        <is>
          <t>Fomepizole 15 mg/kg IV loading</t>
        </is>
      </c>
      <c r="G1598" s="2" t="inlineStr">
        <is>
          <t>N-acetylcysteine (NAC) IV infusion protocol</t>
        </is>
      </c>
      <c r="H1598" s="2" t="inlineStr">
        <is>
          <t>Atropine sulfate 2 mg IV Q5-10 min</t>
        </is>
      </c>
      <c r="I1598" s="8" t="inlineStr">
        <is>
          <t>1</t>
        </is>
      </c>
      <c r="J15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8" s="2" t="n"/>
      <c r="L1598" s="2" t="inlineStr">
        <is>
          <t>General Therapeutics</t>
        </is>
      </c>
      <c r="M1598" s="2" t="inlineStr">
        <is>
          <t>Clinic</t>
        </is>
      </c>
      <c r="N1598" s="2" t="inlineStr">
        <is>
          <t>ข้อ 2 (PLE_CC1_Key_Rx20_UBU.md)</t>
        </is>
      </c>
      <c r="O1598" s="2" t="inlineStr">
        <is>
          <t>Mock</t>
        </is>
      </c>
      <c r="P1598" s="2" t="inlineStr">
        <is>
          <t>Mock Rx20 UBU</t>
        </is>
      </c>
    </row>
    <row r="1599" ht="13.2" customHeight="1" s="37">
      <c r="A1599" s="8" t="inlineStr">
        <is>
          <t>1620</t>
        </is>
      </c>
      <c r="B1599" s="2" t="inlineStr">
        <is>
          <t>Metronidazole+Doxycycline</t>
        </is>
      </c>
      <c r="C1599" s="2" t="n"/>
      <c r="D1599" s="2" t="inlineStr">
        <is>
          <t>Meropenem 1 g IV Q8H</t>
        </is>
      </c>
      <c r="E1599" s="2" t="inlineStr">
        <is>
          <t>Cefazolin 1 g IV Q8H</t>
        </is>
      </c>
      <c r="F1599" s="2" t="inlineStr">
        <is>
          <t>Amoxicillin/Clavulanate 1 g BID</t>
        </is>
      </c>
      <c r="G1599" s="2" t="inlineStr">
        <is>
          <t>Ceftriaxone 1 g IV OD</t>
        </is>
      </c>
      <c r="H1599" s="2" t="inlineStr">
        <is>
          <t>Ciprofloxacin 500 mg BID</t>
        </is>
      </c>
      <c r="I1599" s="8" t="inlineStr">
        <is>
          <t>1</t>
        </is>
      </c>
      <c r="J1599" s="2" t="inlineStr">
        <is>
          <t>✅ คำตอบที่ถูกต้อง: ข้อ ก.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99" s="2" t="n"/>
      <c r="L1599" s="2" t="inlineStr">
        <is>
          <t>Infectious Diseases</t>
        </is>
      </c>
      <c r="M1599" s="2" t="inlineStr">
        <is>
          <t>Clinic</t>
        </is>
      </c>
      <c r="N1599" s="2" t="inlineStr">
        <is>
          <t>ข้อ 4 (PLE_CC1_Key_Rx20_UBU.md)</t>
        </is>
      </c>
      <c r="O1599" s="2" t="inlineStr">
        <is>
          <t>Mock</t>
        </is>
      </c>
      <c r="P1599" s="2" t="inlineStr">
        <is>
          <t>Mock Rx20 UBU</t>
        </is>
      </c>
    </row>
    <row r="1600" ht="13.2" customHeight="1" s="37">
      <c r="A1600" s="8" t="inlineStr">
        <is>
          <t>1621</t>
        </is>
      </c>
      <c r="B1600" s="2" t="inlineStr">
        <is>
          <t>Amoxycillin+Clavulonic acid</t>
        </is>
      </c>
      <c r="C1600" s="2" t="n"/>
      <c r="D1600" s="2" t="inlineStr">
        <is>
          <t>Naloxone 0.4 mg IV stat</t>
        </is>
      </c>
      <c r="E1600" s="2" t="inlineStr">
        <is>
          <t>Flumazenil 0.2 mg IV stat</t>
        </is>
      </c>
      <c r="F1600" s="2" t="inlineStr">
        <is>
          <t>Vitamin K1 (Phytomenadione) 10 mg IV slow</t>
        </is>
      </c>
      <c r="G1600" s="2" t="inlineStr">
        <is>
          <t>Sodium thiosulfate 25% 50 mL IV</t>
        </is>
      </c>
      <c r="H1600" s="2" t="inlineStr">
        <is>
          <t>Calcium disodium EDTA 1 g IV</t>
        </is>
      </c>
      <c r="I1600" s="8" t="inlineStr">
        <is>
          <t>1</t>
        </is>
      </c>
      <c r="J16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00" s="2" t="n"/>
      <c r="L1600" s="2" t="inlineStr">
        <is>
          <t>General Therapeutics</t>
        </is>
      </c>
      <c r="M1600" s="2" t="inlineStr">
        <is>
          <t>Clinic</t>
        </is>
      </c>
      <c r="N1600" s="2" t="inlineStr">
        <is>
          <t>ข้อ 4 (PLE_CC1_Key_Rx20_UBU.md)</t>
        </is>
      </c>
      <c r="O1600" s="2" t="inlineStr">
        <is>
          <t>Mock</t>
        </is>
      </c>
      <c r="P1600" s="2" t="inlineStr">
        <is>
          <t>Mock Rx20 UBU</t>
        </is>
      </c>
    </row>
    <row r="1601" ht="13.2" customHeight="1" s="37">
      <c r="A1601" s="8" t="inlineStr">
        <is>
          <t>1622</t>
        </is>
      </c>
      <c r="B1601" s="2" t="inlineStr">
        <is>
          <t>ยาที่มีรูปเครื่องหมายกรอบสามเหลี่ยมสีแดงอยู่บนกล่องยา มีความหมายว่าอย่างไร</t>
        </is>
      </c>
      <c r="C1601" s="2" t="n"/>
      <c r="D1601" s="2" t="inlineStr">
        <is>
          <t>Sodium thiosulfate 25% 50 mL IV</t>
        </is>
      </c>
      <c r="E1601" s="2" t="inlineStr">
        <is>
          <t>Calcium disodium EDTA 1 g IV</t>
        </is>
      </c>
      <c r="F1601" s="2" t="inlineStr">
        <is>
          <t>Desferrioxamine 1 g IM/IV</t>
        </is>
      </c>
      <c r="G1601" s="2" t="inlineStr">
        <is>
          <t>Dimercaprol (BAL) 3 mg/kg IM</t>
        </is>
      </c>
      <c r="H1601" s="2" t="inlineStr">
        <is>
          <t>Ethanol 10% IV infusion for Methanol poisoning</t>
        </is>
      </c>
      <c r="I1601" s="8" t="inlineStr">
        <is>
          <t>1</t>
        </is>
      </c>
      <c r="J16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1" s="2" t="n"/>
      <c r="L1601" s="2" t="inlineStr">
        <is>
          <t>General Therapeutics</t>
        </is>
      </c>
      <c r="M1601" s="2" t="inlineStr">
        <is>
          <t>Clinic</t>
        </is>
      </c>
      <c r="N1601" s="2" t="inlineStr">
        <is>
          <t>ข้อ 88 (PLE_CC1_Key_Rx20_UBU.md)</t>
        </is>
      </c>
      <c r="O1601" s="2" t="inlineStr">
        <is>
          <t>Mock</t>
        </is>
      </c>
      <c r="P1601" s="2" t="inlineStr">
        <is>
          <t>Mock Rx20 UBU</t>
        </is>
      </c>
    </row>
    <row r="1602" ht="13.2" customHeight="1" s="37">
      <c r="A1602" s="8" t="inlineStr">
        <is>
          <t>1623</t>
        </is>
      </c>
      <c r="B1602" s="2" t="inlineStr">
        <is>
          <t>ยาที่มีการใช้ในสถานพยาบาลและร้านยาเพื่อ......</t>
        </is>
      </c>
      <c r="C1602" s="2" t="n"/>
      <c r="D1602" s="2" t="inlineStr">
        <is>
          <t>เกณฑ์จริยธรรมว่าด้วยการส่งเสริมการขายยาของกระทรวงสาธารณสุข</t>
        </is>
      </c>
      <c r="E1602" s="2" t="inlineStr">
        <is>
          <t>พ.ร.บ. ยา พ.ศ. 2510 (การจำหน่ายยาอันตรายและยาควบคุมพิเศษ)</t>
        </is>
      </c>
      <c r="F1602" s="2" t="inlineStr">
        <is>
          <t>พ.ร.บ. ยาเสพติดให้โทษ พ.ศ. 2522 (ยาเสพติดให้โทษประเภท 2 และ 3)</t>
        </is>
      </c>
      <c r="G1602" s="2" t="inlineStr">
        <is>
          <t>พ.ร.บ. วัตถุที่ออกฤทธิ์ต่อจิตและประสาท พ.ศ. 2559 (ประเภท 2 และ 4)</t>
        </is>
      </c>
      <c r="H1602" s="2" t="inlineStr">
        <is>
          <t>พ.ร.บ. วิชาชีพเภสัชกรรม พ.ศ. 2537 และข้อบังคับจรรยาบรรณวิชาชีพ</t>
        </is>
      </c>
      <c r="I1602" s="8" t="inlineStr">
        <is>
          <t>1</t>
        </is>
      </c>
      <c r="J160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2" s="2" t="n"/>
      <c r="L1602" s="2" t="inlineStr">
        <is>
          <t>Pharmacy Laws &amp; Ethics</t>
        </is>
      </c>
      <c r="M1602" s="2" t="inlineStr">
        <is>
          <t>SAP</t>
        </is>
      </c>
      <c r="N1602" s="2" t="inlineStr">
        <is>
          <t>ข้อ 1 (PLE_CC1_Key_Rx20_UBU.md)</t>
        </is>
      </c>
      <c r="O1602" s="2" t="inlineStr">
        <is>
          <t>Mock</t>
        </is>
      </c>
      <c r="P1602" s="2" t="inlineStr">
        <is>
          <t>Mock Rx20 UBU</t>
        </is>
      </c>
    </row>
    <row r="1603" ht="13.2" customHeight="1" s="37">
      <c r="A1603" s="8" t="inlineStr">
        <is>
          <t>1624</t>
        </is>
      </c>
      <c r="B1603" s="2" t="inlineStr">
        <is>
          <t>ยาควบคุมพิเศษที่มีการใช้เฉพาะในสถานพยาบาลเพื่อติดตามความปลอดภัย</t>
        </is>
      </c>
      <c r="C1603" s="2" t="n"/>
      <c r="D1603" s="2" t="inlineStr">
        <is>
          <t>พ.ร.บ. วัตถุที่ออกฤทธิ์ต่อจิตและประสาท พ.ศ. 2559 (ประเภท 2 และ 4)</t>
        </is>
      </c>
      <c r="E1603" s="2" t="inlineStr">
        <is>
          <t>พ.ร.บ. วิชาชีพเภสัชกรรม พ.ศ. 2537 และข้อบังคับจรรยาบรรณวิชาชีพ</t>
        </is>
      </c>
      <c r="F1603" s="2" t="inlineStr">
        <is>
          <t>พ.ร.บ. ผลิตภัณฑ์สมุนไพร พ.ศ. 2562</t>
        </is>
      </c>
      <c r="G1603" s="2" t="inlineStr">
        <is>
          <t>พ.ร.บ. เครื่องสำอาง พ.ศ. 2558</t>
        </is>
      </c>
      <c r="H1603" s="2" t="inlineStr">
        <is>
          <t>พ.ร.บ. หลักประกันสุขภาพแห่งชาติ พ.ศ. 2545</t>
        </is>
      </c>
      <c r="I1603" s="8" t="inlineStr">
        <is>
          <t>1</t>
        </is>
      </c>
      <c r="J160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3" s="2" t="n"/>
      <c r="L1603" s="2" t="inlineStr">
        <is>
          <t>Pharmacy Laws &amp; Ethics</t>
        </is>
      </c>
      <c r="M1603" s="2" t="inlineStr">
        <is>
          <t>SAP</t>
        </is>
      </c>
      <c r="N1603" s="2" t="inlineStr">
        <is>
          <t>ข้อ 2 (PLE_CC1_Key_Rx20_UBU.md)</t>
        </is>
      </c>
      <c r="O1603" s="2" t="inlineStr">
        <is>
          <t>Mock</t>
        </is>
      </c>
      <c r="P1603" s="2" t="inlineStr">
        <is>
          <t>Mock Rx20 UBU</t>
        </is>
      </c>
    </row>
    <row r="1604" ht="13.2" customHeight="1" s="37">
      <c r="A1604" s="8" t="inlineStr">
        <is>
          <t>1625</t>
        </is>
      </c>
      <c r="B1604" s="2" t="inlineStr">
        <is>
          <t>เชื้อที่เป็นสาเหตุของอาการดังกล่าว คือเชื้ออะไร</t>
        </is>
      </c>
      <c r="C1604" s="2" t="n"/>
      <c r="D1604" s="2" t="inlineStr">
        <is>
          <t>Naloxone 0.4 mg IV stat</t>
        </is>
      </c>
      <c r="E1604" s="2" t="inlineStr">
        <is>
          <t>Flumazenil 0.2 mg IV stat</t>
        </is>
      </c>
      <c r="F1604" s="2" t="inlineStr">
        <is>
          <t>Vitamin K1 (Phytomenadione) 10 mg IV slow</t>
        </is>
      </c>
      <c r="G1604" s="2" t="inlineStr">
        <is>
          <t>Sodium thiosulfate 25% 50 mL IV</t>
        </is>
      </c>
      <c r="H1604" s="2" t="inlineStr">
        <is>
          <t>Calcium disodium EDTA 1 g IV</t>
        </is>
      </c>
      <c r="I1604" s="8" t="inlineStr">
        <is>
          <t>1</t>
        </is>
      </c>
      <c r="J16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04" s="2" t="n"/>
      <c r="L1604" s="2" t="inlineStr">
        <is>
          <t>General Therapeutics</t>
        </is>
      </c>
      <c r="M1604" s="2" t="inlineStr">
        <is>
          <t>Clinic</t>
        </is>
      </c>
      <c r="N1604" s="2" t="inlineStr">
        <is>
          <t>ข้อ 89 (PLE_CC1_Key_Rx20_UBU.md)</t>
        </is>
      </c>
      <c r="O1604" s="2" t="inlineStr">
        <is>
          <t>Mock</t>
        </is>
      </c>
      <c r="P1604" s="2" t="inlineStr">
        <is>
          <t>Mock Rx20 UBU</t>
        </is>
      </c>
    </row>
    <row r="1605" ht="13.2" customHeight="1" s="37">
      <c r="A1605" s="8" t="inlineStr">
        <is>
          <t>1626</t>
        </is>
      </c>
      <c r="B1605" s="2" t="inlineStr">
        <is>
          <t>Candida albican</t>
        </is>
      </c>
      <c r="C1605" s="2" t="n"/>
      <c r="D1605" s="2" t="inlineStr">
        <is>
          <t>Sodium thiosulfate 25% 50 mL IV</t>
        </is>
      </c>
      <c r="E1605" s="2" t="inlineStr">
        <is>
          <t>Calcium disodium EDTA 1 g IV</t>
        </is>
      </c>
      <c r="F1605" s="2" t="inlineStr">
        <is>
          <t>Desferrioxamine 1 g IM/IV</t>
        </is>
      </c>
      <c r="G1605" s="2" t="inlineStr">
        <is>
          <t>Dimercaprol (BAL) 3 mg/kg IM</t>
        </is>
      </c>
      <c r="H1605" s="2" t="inlineStr">
        <is>
          <t>Ethanol 10% IV infusion for Methanol poisoning</t>
        </is>
      </c>
      <c r="I1605" s="8" t="inlineStr">
        <is>
          <t>1</t>
        </is>
      </c>
      <c r="J16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5" s="2" t="n"/>
      <c r="L1605" s="2" t="inlineStr">
        <is>
          <t>General Therapeutics</t>
        </is>
      </c>
      <c r="M1605" s="2" t="inlineStr">
        <is>
          <t>Clinic</t>
        </is>
      </c>
      <c r="N1605" s="2" t="inlineStr">
        <is>
          <t>ข้อ 1 (PLE_CC1_Key_Rx20_UBU.md)</t>
        </is>
      </c>
      <c r="O1605" s="2" t="inlineStr">
        <is>
          <t>Mock</t>
        </is>
      </c>
      <c r="P1605" s="2" t="inlineStr">
        <is>
          <t>Mock Rx20 UBU</t>
        </is>
      </c>
    </row>
    <row r="1606" ht="13.2" customHeight="1" s="37">
      <c r="A1606" s="8" t="inlineStr">
        <is>
          <t>1627</t>
        </is>
      </c>
      <c r="B1606" s="2" t="inlineStr">
        <is>
          <t>Malassezia furfur</t>
        </is>
      </c>
      <c r="C1606" s="2" t="n"/>
      <c r="D1606" s="2" t="inlineStr">
        <is>
          <t>Dimercaprol (BAL) 3 mg/kg IM</t>
        </is>
      </c>
      <c r="E1606" s="2" t="inlineStr">
        <is>
          <t>Ethanol 10% IV infusion for Methanol poisoning</t>
        </is>
      </c>
      <c r="F1606" s="2" t="inlineStr">
        <is>
          <t>Fomepizole 15 mg/kg IV loading</t>
        </is>
      </c>
      <c r="G1606" s="2" t="inlineStr">
        <is>
          <t>N-acetylcysteine (NAC) IV infusion protocol</t>
        </is>
      </c>
      <c r="H1606" s="2" t="inlineStr">
        <is>
          <t>Atropine sulfate 2 mg IV Q5-10 min</t>
        </is>
      </c>
      <c r="I1606" s="8" t="inlineStr">
        <is>
          <t>1</t>
        </is>
      </c>
      <c r="J16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6" s="2" t="n"/>
      <c r="L1606" s="2" t="inlineStr">
        <is>
          <t>General Therapeutics</t>
        </is>
      </c>
      <c r="M1606" s="2" t="inlineStr">
        <is>
          <t>Clinic</t>
        </is>
      </c>
      <c r="N1606" s="2" t="inlineStr">
        <is>
          <t>ข้อ 2 (PLE_CC1_Key_Rx20_UBU.md)</t>
        </is>
      </c>
      <c r="O1606" s="2" t="inlineStr">
        <is>
          <t>Mock</t>
        </is>
      </c>
      <c r="P1606" s="2" t="inlineStr">
        <is>
          <t>Mock Rx20 UBU</t>
        </is>
      </c>
    </row>
    <row r="1607" ht="13.2" customHeight="1" s="37">
      <c r="A1607" s="8" t="inlineStr">
        <is>
          <t>1628</t>
        </is>
      </c>
      <c r="B1607" s="2" t="inlineStr">
        <is>
          <t>ควรกินยาก่อนอาหาร 30 นาที</t>
        </is>
      </c>
      <c r="C1607" s="2" t="n"/>
      <c r="D1607" s="2" t="inlineStr">
        <is>
          <t>N-acetylcysteine (NAC) IV infusion protocol</t>
        </is>
      </c>
      <c r="E1607" s="2" t="inlineStr">
        <is>
          <t>Atropine sulfate 2 mg IV Q5-10 min</t>
        </is>
      </c>
      <c r="F1607" s="2" t="inlineStr">
        <is>
          <t>Pralidoxime (2-PAM) 1-2 g IV over 30 min</t>
        </is>
      </c>
      <c r="G1607" s="2" t="inlineStr">
        <is>
          <t>Naloxone 0.4 mg IV stat</t>
        </is>
      </c>
      <c r="H1607" s="2" t="inlineStr">
        <is>
          <t>Flumazenil 0.2 mg IV stat</t>
        </is>
      </c>
      <c r="I1607" s="8" t="inlineStr">
        <is>
          <t>1</t>
        </is>
      </c>
      <c r="J16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07" s="2" t="n"/>
      <c r="L1607" s="2" t="inlineStr">
        <is>
          <t>General Therapeutics</t>
        </is>
      </c>
      <c r="M1607" s="2" t="inlineStr">
        <is>
          <t>Clinic</t>
        </is>
      </c>
      <c r="N1607" s="2" t="inlineStr">
        <is>
          <t>ข้อ 1 (PLE_CC1_Key_Rx20_UBU.md)</t>
        </is>
      </c>
      <c r="O1607" s="2" t="inlineStr">
        <is>
          <t>Mock</t>
        </is>
      </c>
      <c r="P1607" s="2" t="inlineStr">
        <is>
          <t>Mock Rx20 UBU</t>
        </is>
      </c>
    </row>
    <row r="1608" ht="13.2" customHeight="1" s="37">
      <c r="A1608" s="8" t="inlineStr">
        <is>
          <t>1629</t>
        </is>
      </c>
      <c r="B1608" s="2" t="inlineStr">
        <is>
          <t>กินยาพร้อมอาหารไขมัน จะเพิ่มการดูดซึม</t>
        </is>
      </c>
      <c r="C1608" s="2" t="n"/>
      <c r="D1608" s="2" t="inlineStr">
        <is>
          <t>Naloxone 0.4 mg IV stat</t>
        </is>
      </c>
      <c r="E1608" s="2" t="inlineStr">
        <is>
          <t>Flumazenil 0.2 mg IV stat</t>
        </is>
      </c>
      <c r="F1608" s="2" t="inlineStr">
        <is>
          <t>Vitamin K1 (Phytomenadione) 10 mg IV slow</t>
        </is>
      </c>
      <c r="G1608" s="2" t="inlineStr">
        <is>
          <t>Sodium thiosulfate 25% 50 mL IV</t>
        </is>
      </c>
      <c r="H1608" s="2" t="inlineStr">
        <is>
          <t>Calcium disodium EDTA 1 g IV</t>
        </is>
      </c>
      <c r="I1608" s="8" t="inlineStr">
        <is>
          <t>1</t>
        </is>
      </c>
      <c r="J16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08" s="2" t="n"/>
      <c r="L1608" s="2" t="inlineStr">
        <is>
          <t>General Therapeutics</t>
        </is>
      </c>
      <c r="M1608" s="2" t="inlineStr">
        <is>
          <t>Clinic</t>
        </is>
      </c>
      <c r="N1608" s="2" t="inlineStr">
        <is>
          <t>ข้อ 2 (PLE_CC1_Key_Rx20_UBU.md)</t>
        </is>
      </c>
      <c r="O1608" s="2" t="inlineStr">
        <is>
          <t>Mock</t>
        </is>
      </c>
      <c r="P1608" s="2" t="inlineStr">
        <is>
          <t>Mock Rx20 UBU</t>
        </is>
      </c>
    </row>
    <row r="1609" ht="13.2" customHeight="1" s="37">
      <c r="A1609" s="8" t="inlineStr">
        <is>
          <t>1630</t>
        </is>
      </c>
      <c r="B1609" s="2" t="inlineStr">
        <is>
          <t>กินยานี้พร้อมยาลดกรดได้</t>
        </is>
      </c>
      <c r="C1609" s="2" t="n"/>
      <c r="D1609" s="2" t="inlineStr">
        <is>
          <t>Domperidone 10 mg TID</t>
        </is>
      </c>
      <c r="E1609" s="2" t="inlineStr">
        <is>
          <t>Dimenhydrinate 50 mg TID</t>
        </is>
      </c>
      <c r="F1609" s="2" t="inlineStr">
        <is>
          <t>Loperamide 2 mg PRN</t>
        </is>
      </c>
      <c r="G1609" s="2" t="inlineStr">
        <is>
          <t>Senna 2 tabs HS</t>
        </is>
      </c>
      <c r="H1609" s="2" t="inlineStr">
        <is>
          <t>Bisacodyl 5 mg HS</t>
        </is>
      </c>
      <c r="I1609" s="8" t="inlineStr">
        <is>
          <t>1</t>
        </is>
      </c>
      <c r="J1609" s="2" t="inlineStr">
        <is>
          <t>✅ คำตอบที่ถูกต้อง: ข้อ ก. Domperidone 10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Domperidone 10 mg TID
🔍 ข้ออื่นผิดเพราะอะไร:
• ข้อ ข.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ค. (Loperamide 2 mg PRN): เป็น peripheral mu-opioid agonist ลด peristalsis ใช้บรรเทาอาการ acute non-infectious diarrhea แต่ห้ามใช้ใน bloody diarrhea (dysentery) หรือ bacterial enteritis (เสี่ยง toxic megacolon)
• ข้อ ง. (Senna 2 tabs HS): เป็น Anthraquinone stimulant laxative กระตุ้น myenteric plexus แต่การใช้ระยะยาวอาจทำให้เกิด melanosis coli และ bowel dependence
• ข้อ จ.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09" s="2" t="n"/>
      <c r="L1609" s="2" t="inlineStr">
        <is>
          <t>GI Disorders</t>
        </is>
      </c>
      <c r="M1609" s="2" t="inlineStr">
        <is>
          <t>Clinic</t>
        </is>
      </c>
      <c r="N1609" s="2" t="inlineStr">
        <is>
          <t>ข้อ 3 (PLE_CC1_Key_Rx20_UBU.md)</t>
        </is>
      </c>
      <c r="O1609" s="2" t="inlineStr">
        <is>
          <t>Mock</t>
        </is>
      </c>
      <c r="P1609" s="2" t="inlineStr">
        <is>
          <t>Mock Rx20 UBU</t>
        </is>
      </c>
    </row>
    <row r="1610" ht="13.2" customHeight="1" s="37">
      <c r="A1610" s="8" t="inlineStr">
        <is>
          <t>1631</t>
        </is>
      </c>
      <c r="B1610" s="2" t="inlineStr">
        <is>
          <t>เมื่อใช้ยาเป็นเวลา 7 วัน อาการจะดีขึ้น</t>
        </is>
      </c>
      <c r="C1610" s="2" t="n"/>
      <c r="D1610" s="2" t="inlineStr">
        <is>
          <t>Dimercaprol (BAL) 3 mg/kg IM</t>
        </is>
      </c>
      <c r="E1610" s="2" t="inlineStr">
        <is>
          <t>Ethanol 10% IV infusion for Methanol poisoning</t>
        </is>
      </c>
      <c r="F1610" s="2" t="inlineStr">
        <is>
          <t>Fomepizole 15 mg/kg IV loading</t>
        </is>
      </c>
      <c r="G1610" s="2" t="inlineStr">
        <is>
          <t>N-acetylcysteine (NAC) IV infusion protocol</t>
        </is>
      </c>
      <c r="H1610" s="2" t="inlineStr">
        <is>
          <t>Atropine sulfate 2 mg IV Q5-10 min</t>
        </is>
      </c>
      <c r="I1610" s="8" t="inlineStr">
        <is>
          <t>1</t>
        </is>
      </c>
      <c r="J16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0" s="2" t="n"/>
      <c r="L1610" s="2" t="inlineStr">
        <is>
          <t>General Therapeutics</t>
        </is>
      </c>
      <c r="M1610" s="2" t="inlineStr">
        <is>
          <t>Clinic</t>
        </is>
      </c>
      <c r="N1610" s="2" t="inlineStr">
        <is>
          <t>ข้อ 5 (PLE_CC1_Key_Rx20_UBU.md)</t>
        </is>
      </c>
      <c r="O1610" s="2" t="inlineStr">
        <is>
          <t>Mock</t>
        </is>
      </c>
      <c r="P1610" s="2" t="inlineStr">
        <is>
          <t>Mock Rx20 UBU</t>
        </is>
      </c>
    </row>
    <row r="1611" ht="13.2" customHeight="1" s="37">
      <c r="A1611" s="8" t="inlineStr">
        <is>
          <t>1632</t>
        </is>
      </c>
      <c r="B1611" s="2" t="inlineStr">
        <is>
          <t>Ketoconazole Diphenoxylate + Atropine</t>
        </is>
      </c>
      <c r="C1611" s="2" t="n"/>
      <c r="D1611" s="2" t="inlineStr">
        <is>
          <t>Terbinafine 1% cream</t>
        </is>
      </c>
      <c r="E1611" s="2" t="inlineStr">
        <is>
          <t>Adapalene 0.1% gel</t>
        </is>
      </c>
      <c r="F1611" s="2" t="inlineStr">
        <is>
          <t>Mupirocin 2% ointment</t>
        </is>
      </c>
      <c r="G1611" s="2" t="inlineStr">
        <is>
          <t>Betamethasone dipropionate 0.05% cream</t>
        </is>
      </c>
      <c r="H1611" s="2" t="inlineStr">
        <is>
          <t>Clotrimazole 1% cream</t>
        </is>
      </c>
      <c r="I1611" s="8" t="inlineStr">
        <is>
          <t>1</t>
        </is>
      </c>
      <c r="J1611" s="2" t="inlineStr">
        <is>
          <t>✅ คำตอบที่ถูกต้อง: ข้อ ก. Terbinafine 1%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(Adapalene 0.1% gel): ข้อนี้ไม่ใช่คำตอบที่ถูกต้องสำหรับภาวะ Dermatologic Disorders เนื่องจากกลไกการออกฤทธิ์, efficacy หรือข้อบ่งใช้ไม่ตรงกับโจทย์ที่กำหนด
• ข้อ ค. (Mupirocin 2% ointment): ข้อนี้ไม่ใช่คำตอบที่ถูกต้องสำหรับภาวะ Dermatologic Disorders เนื่องจากกลไกการออกฤทธิ์, efficacy หรือข้อบ่งใช้ไม่ตรงกับโจทย์ที่กำหนด
• ข้อ ง. (Betamethasone dipropionate 0.05% cream): ข้อนี้ไม่ใช่คำตอบที่ถูกต้องสำหรับภาวะ Dermatologic Disorders เนื่องจากกลไกการออกฤทธิ์, efficacy หรือข้อบ่งใช้ไม่ตรงกับโจทย์ที่กำหนด
• ข้อ จ. (Clotrimazole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611" s="2" t="n"/>
      <c r="L1611" s="2" t="inlineStr">
        <is>
          <t>Dermatologic Disorders</t>
        </is>
      </c>
      <c r="M1611" s="2" t="inlineStr">
        <is>
          <t>Clinic</t>
        </is>
      </c>
      <c r="N1611" s="2" t="inlineStr">
        <is>
          <t>ข้อ 1 (PLE_CC1_Key_Rx20_UBU.md)</t>
        </is>
      </c>
      <c r="O1611" s="2" t="inlineStr">
        <is>
          <t>Mock</t>
        </is>
      </c>
      <c r="P1611" s="2" t="inlineStr">
        <is>
          <t>Mock Rx20 UBU</t>
        </is>
      </c>
    </row>
    <row r="1612" ht="13.2" customHeight="1" s="37">
      <c r="A1612" s="8" t="inlineStr">
        <is>
          <t>1633</t>
        </is>
      </c>
      <c r="B1612" s="2" t="inlineStr">
        <is>
          <t>ทิงเจอร์ทองพันชั่ง</t>
        </is>
      </c>
      <c r="C1612" s="2" t="n"/>
      <c r="D1612" s="2" t="inlineStr">
        <is>
          <t>Naloxone 0.4 mg IV stat</t>
        </is>
      </c>
      <c r="E1612" s="2" t="inlineStr">
        <is>
          <t>Flumazenil 0.2 mg IV stat</t>
        </is>
      </c>
      <c r="F1612" s="2" t="inlineStr">
        <is>
          <t>Vitamin K1 (Phytomenadione) 10 mg IV slow</t>
        </is>
      </c>
      <c r="G1612" s="2" t="inlineStr">
        <is>
          <t>Sodium thiosulfate 25% 50 mL IV</t>
        </is>
      </c>
      <c r="H1612" s="2" t="inlineStr">
        <is>
          <t>Calcium disodium EDTA 1 g IV</t>
        </is>
      </c>
      <c r="I1612" s="8" t="inlineStr">
        <is>
          <t>1</t>
        </is>
      </c>
      <c r="J16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12" s="2" t="n"/>
      <c r="L1612" s="2" t="inlineStr">
        <is>
          <t>General Therapeutics</t>
        </is>
      </c>
      <c r="M1612" s="2" t="inlineStr">
        <is>
          <t>Clinic</t>
        </is>
      </c>
      <c r="N1612" s="2" t="inlineStr">
        <is>
          <t>ข้อ 1 (PLE_CC1_Key_Rx20_UBU.md)</t>
        </is>
      </c>
      <c r="O1612" s="2" t="inlineStr">
        <is>
          <t>Mock</t>
        </is>
      </c>
      <c r="P1612" s="2" t="inlineStr">
        <is>
          <t>Mock Rx20 UBU</t>
        </is>
      </c>
    </row>
    <row r="1613" ht="13.2" customHeight="1" s="37">
      <c r="A1613" s="8" t="inlineStr">
        <is>
          <t>1634</t>
        </is>
      </c>
      <c r="B1613" s="2" t="inlineStr">
        <is>
          <t>ถ้าใช้ระบบการนำส่งยาแบบ gastroretention ยาจะถูกดูดซึมได้ดีขึ้น</t>
        </is>
      </c>
      <c r="C1613" s="2" t="n"/>
      <c r="D1613" s="2" t="inlineStr">
        <is>
          <t>Sodium thiosulfate 25% 50 mL IV</t>
        </is>
      </c>
      <c r="E1613" s="2" t="inlineStr">
        <is>
          <t>Calcium disodium EDTA 1 g IV</t>
        </is>
      </c>
      <c r="F1613" s="2" t="inlineStr">
        <is>
          <t>Desferrioxamine 1 g IM/IV</t>
        </is>
      </c>
      <c r="G1613" s="2" t="inlineStr">
        <is>
          <t>Dimercaprol (BAL) 3 mg/kg IM</t>
        </is>
      </c>
      <c r="H1613" s="2" t="inlineStr">
        <is>
          <t>Ethanol 10% IV infusion for Methanol poisoning</t>
        </is>
      </c>
      <c r="I1613" s="8" t="inlineStr">
        <is>
          <t>1</t>
        </is>
      </c>
      <c r="J16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13" s="2" t="n"/>
      <c r="L1613" s="2" t="inlineStr">
        <is>
          <t>General Therapeutics</t>
        </is>
      </c>
      <c r="M1613" s="2" t="inlineStr">
        <is>
          <t>Clinic</t>
        </is>
      </c>
      <c r="N1613" s="2" t="inlineStr">
        <is>
          <t>ข้อ 1 (PLE_CC1_Key_Rx20_UBU.md)</t>
        </is>
      </c>
      <c r="O1613" s="2" t="inlineStr">
        <is>
          <t>Mock</t>
        </is>
      </c>
      <c r="P1613" s="2" t="inlineStr">
        <is>
          <t>Mock Rx20 UBU</t>
        </is>
      </c>
    </row>
    <row r="1614" ht="13.2" customHeight="1" s="37">
      <c r="A1614" s="8" t="inlineStr">
        <is>
          <t>1635</t>
        </is>
      </c>
      <c r="B1614" s="2" t="inlineStr">
        <is>
          <t>จัดเป็น BSC class 2</t>
        </is>
      </c>
      <c r="C1614" s="2" t="n"/>
      <c r="D1614" s="2" t="inlineStr">
        <is>
          <t>Dimercaprol (BAL) 3 mg/kg IM</t>
        </is>
      </c>
      <c r="E1614" s="2" t="inlineStr">
        <is>
          <t>Ethanol 10% IV infusion for Methanol poisoning</t>
        </is>
      </c>
      <c r="F1614" s="2" t="inlineStr">
        <is>
          <t>Fomepizole 15 mg/kg IV loading</t>
        </is>
      </c>
      <c r="G1614" s="2" t="inlineStr">
        <is>
          <t>N-acetylcysteine (NAC) IV infusion protocol</t>
        </is>
      </c>
      <c r="H1614" s="2" t="inlineStr">
        <is>
          <t>Atropine sulfate 2 mg IV Q5-10 min</t>
        </is>
      </c>
      <c r="I1614" s="8" t="inlineStr">
        <is>
          <t>1</t>
        </is>
      </c>
      <c r="J16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4" s="2" t="n"/>
      <c r="L1614" s="2" t="inlineStr">
        <is>
          <t>General Therapeutics</t>
        </is>
      </c>
      <c r="M1614" s="2" t="inlineStr">
        <is>
          <t>Clinic</t>
        </is>
      </c>
      <c r="N1614" s="2" t="inlineStr">
        <is>
          <t>ข้อ 2 (PLE_CC1_Key_Rx20_UBU.md)</t>
        </is>
      </c>
      <c r="O1614" s="2" t="inlineStr">
        <is>
          <t>Mock</t>
        </is>
      </c>
      <c r="P1614" s="2" t="inlineStr">
        <is>
          <t>Mock Rx20 UBU</t>
        </is>
      </c>
    </row>
    <row r="1615" ht="13.2" customHeight="1" s="37">
      <c r="A1615" s="8" t="inlineStr">
        <is>
          <t>1636</t>
        </is>
      </c>
      <c r="B1615" s="2" t="inlineStr">
        <is>
          <t>Solid Dispersion</t>
        </is>
      </c>
      <c r="C1615" s="2" t="n"/>
      <c r="D1615" s="2" t="inlineStr">
        <is>
          <t>N-acetylcysteine (NAC) IV infusion protocol</t>
        </is>
      </c>
      <c r="E1615" s="2" t="inlineStr">
        <is>
          <t>Atropine sulfate 2 mg IV Q5-10 min</t>
        </is>
      </c>
      <c r="F1615" s="2" t="inlineStr">
        <is>
          <t>Pralidoxime (2-PAM) 1-2 g IV over 30 min</t>
        </is>
      </c>
      <c r="G1615" s="2" t="inlineStr">
        <is>
          <t>Naloxone 0.4 mg IV stat</t>
        </is>
      </c>
      <c r="H1615" s="2" t="inlineStr">
        <is>
          <t>Flumazenil 0.2 mg IV stat</t>
        </is>
      </c>
      <c r="I1615" s="8" t="inlineStr">
        <is>
          <t>1</t>
        </is>
      </c>
      <c r="J16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15" s="2" t="n"/>
      <c r="L1615" s="2" t="inlineStr">
        <is>
          <t>General Therapeutics</t>
        </is>
      </c>
      <c r="M1615" s="2" t="inlineStr">
        <is>
          <t>Clinic</t>
        </is>
      </c>
      <c r="N1615" s="2" t="inlineStr">
        <is>
          <t>ข้อ 5 (PLE_CC1_Key_Rx20_UBU.md)</t>
        </is>
      </c>
      <c r="O1615" s="2" t="inlineStr">
        <is>
          <t>Mock</t>
        </is>
      </c>
      <c r="P1615" s="2" t="inlineStr">
        <is>
          <t>Mock Rx20 UBU</t>
        </is>
      </c>
    </row>
    <row r="1616" ht="13.2" customHeight="1" s="37">
      <c r="A1616" s="8" t="inlineStr">
        <is>
          <t>1637</t>
        </is>
      </c>
      <c r="B1616" s="2" t="inlineStr">
        <is>
          <t>ดูที่ใบปลิวโฆษณาว่ามีเลขทะเบียน ฆย. XX/XXXX หรือไม่ ถ้ามีแสดงว่าขออนุญาตโฆษณาแล้ว</t>
        </is>
      </c>
      <c r="C1616" s="2" t="n"/>
      <c r="D1616" s="2" t="inlineStr">
        <is>
          <t>Naloxone 0.4 mg IV stat</t>
        </is>
      </c>
      <c r="E1616" s="2" t="inlineStr">
        <is>
          <t>Flumazenil 0.2 mg IV stat</t>
        </is>
      </c>
      <c r="F1616" s="2" t="inlineStr">
        <is>
          <t>Vitamin K1 (Phytomenadione) 10 mg IV slow</t>
        </is>
      </c>
      <c r="G1616" s="2" t="inlineStr">
        <is>
          <t>Sodium thiosulfate 25% 50 mL IV</t>
        </is>
      </c>
      <c r="H1616" s="2" t="inlineStr">
        <is>
          <t>Calcium disodium EDTA 1 g IV</t>
        </is>
      </c>
      <c r="I1616" s="8" t="inlineStr">
        <is>
          <t>1</t>
        </is>
      </c>
      <c r="J16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16" s="2" t="n"/>
      <c r="L1616" s="2" t="inlineStr">
        <is>
          <t>General Therapeutics</t>
        </is>
      </c>
      <c r="M1616" s="2" t="inlineStr">
        <is>
          <t>Clinic</t>
        </is>
      </c>
      <c r="N1616" s="2" t="inlineStr">
        <is>
          <t>ข้อ 1 (PLE_CC1_Key_Rx20_UBU.md)</t>
        </is>
      </c>
      <c r="O1616" s="2" t="inlineStr">
        <is>
          <t>Mock</t>
        </is>
      </c>
      <c r="P1616" s="2" t="inlineStr">
        <is>
          <t>Mock Rx20 UBU</t>
        </is>
      </c>
    </row>
    <row r="1617" ht="13.2" customHeight="1" s="37">
      <c r="A1617" s="8" t="inlineStr">
        <is>
          <t>1638</t>
        </is>
      </c>
      <c r="B1617" s="2" t="inlineStr">
        <is>
          <t>แนะนำอันตรายของการใช้ยาที่ไม่มีเลขทะเบียน และขอตัวอย่างของผลิตภัณฑ์นั้นมาให้เภสัชกรเพื่อนำไปตรวจสอบ</t>
        </is>
      </c>
      <c r="C1617" s="2" t="n"/>
      <c r="D1617" s="2" t="inlineStr">
        <is>
          <t>Sodium thiosulfate 25% 50 mL IV</t>
        </is>
      </c>
      <c r="E1617" s="2" t="inlineStr">
        <is>
          <t>Calcium disodium EDTA 1 g IV</t>
        </is>
      </c>
      <c r="F1617" s="2" t="inlineStr">
        <is>
          <t>Desferrioxamine 1 g IM/IV</t>
        </is>
      </c>
      <c r="G1617" s="2" t="inlineStr">
        <is>
          <t>Dimercaprol (BAL) 3 mg/kg IM</t>
        </is>
      </c>
      <c r="H1617" s="2" t="inlineStr">
        <is>
          <t>Ethanol 10% IV infusion for Methanol poisoning</t>
        </is>
      </c>
      <c r="I1617" s="8" t="inlineStr">
        <is>
          <t>1</t>
        </is>
      </c>
      <c r="J16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7" s="2" t="n"/>
      <c r="L1617" s="2" t="inlineStr">
        <is>
          <t>General Therapeutics</t>
        </is>
      </c>
      <c r="M1617" s="2" t="inlineStr">
        <is>
          <t>Clinic</t>
        </is>
      </c>
      <c r="N1617" s="2" t="inlineStr">
        <is>
          <t>ข้อ 2 (PLE_CC1_Key_Rx20_UBU.md)</t>
        </is>
      </c>
      <c r="O1617" s="2" t="inlineStr">
        <is>
          <t>Mock</t>
        </is>
      </c>
      <c r="P1617" s="2" t="inlineStr">
        <is>
          <t>Mock Rx20 UBU</t>
        </is>
      </c>
    </row>
    <row r="1618" ht="13.2" customHeight="1" s="37">
      <c r="A1618" s="8" t="inlineStr">
        <is>
          <t>1639</t>
        </is>
      </c>
      <c r="B1618" s="2" t="inlineStr">
        <is>
          <t>พยายามหายามาขายเนื่องจากลูกค้ามาถามหายาหลายครั้งแล้ว</t>
        </is>
      </c>
      <c r="C1618" s="2" t="n"/>
      <c r="D1618" s="2" t="inlineStr">
        <is>
          <t>Dimercaprol (BAL) 3 mg/kg IM</t>
        </is>
      </c>
      <c r="E1618" s="2" t="inlineStr">
        <is>
          <t>Ethanol 10% IV infusion for Methanol poisoning</t>
        </is>
      </c>
      <c r="F1618" s="2" t="inlineStr">
        <is>
          <t>Fomepizole 15 mg/kg IV loading</t>
        </is>
      </c>
      <c r="G1618" s="2" t="inlineStr">
        <is>
          <t>N-acetylcysteine (NAC) IV infusion protocol</t>
        </is>
      </c>
      <c r="H1618" s="2" t="inlineStr">
        <is>
          <t>Atropine sulfate 2 mg IV Q5-10 min</t>
        </is>
      </c>
      <c r="I1618" s="8" t="inlineStr">
        <is>
          <t>1</t>
        </is>
      </c>
      <c r="J16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18" s="2" t="n"/>
      <c r="L1618" s="2" t="inlineStr">
        <is>
          <t>General Therapeutics</t>
        </is>
      </c>
      <c r="M1618" s="2" t="inlineStr">
        <is>
          <t>Clinic</t>
        </is>
      </c>
      <c r="N1618" s="2" t="inlineStr">
        <is>
          <t>ข้อ 4 (PLE_CC1_Key_Rx20_UBU.md)</t>
        </is>
      </c>
      <c r="O1618" s="2" t="inlineStr">
        <is>
          <t>Mock</t>
        </is>
      </c>
      <c r="P1618" s="2" t="inlineStr">
        <is>
          <t>Mock Rx20 UBU</t>
        </is>
      </c>
    </row>
    <row r="1619" ht="13.2" customHeight="1" s="37">
      <c r="A1619" s="8" t="inlineStr">
        <is>
          <t>1640</t>
        </is>
      </c>
      <c r="B1619" s="2" t="inlineStr">
        <is>
          <t>ข้อใดไม่ใช่สาเหตุของ Non-small-cell lung carcinoma</t>
        </is>
      </c>
      <c r="C1619" s="2" t="n"/>
      <c r="D1619" s="2" t="inlineStr">
        <is>
          <t>N-acetylcysteine (NAC) IV infusion protocol</t>
        </is>
      </c>
      <c r="E1619" s="2" t="inlineStr">
        <is>
          <t>Atropine sulfate 2 mg IV Q5-10 min</t>
        </is>
      </c>
      <c r="F1619" s="2" t="inlineStr">
        <is>
          <t>Pralidoxime (2-PAM) 1-2 g IV over 30 min</t>
        </is>
      </c>
      <c r="G1619" s="2" t="inlineStr">
        <is>
          <t>Naloxone 0.4 mg IV stat</t>
        </is>
      </c>
      <c r="H1619" s="2" t="inlineStr">
        <is>
          <t>Flumazenil 0.2 mg IV stat</t>
        </is>
      </c>
      <c r="I1619" s="8" t="inlineStr">
        <is>
          <t>1</t>
        </is>
      </c>
      <c r="J16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19" s="2" t="n"/>
      <c r="L1619" s="2" t="inlineStr">
        <is>
          <t>General Therapeutics</t>
        </is>
      </c>
      <c r="M1619" s="2" t="inlineStr">
        <is>
          <t>Clinic</t>
        </is>
      </c>
      <c r="N1619" s="2" t="inlineStr">
        <is>
          <t>ข้อ 98 (PLE_CC1_Key_Rx20_UBU.md)</t>
        </is>
      </c>
      <c r="O1619" s="2" t="inlineStr">
        <is>
          <t>Mock</t>
        </is>
      </c>
      <c r="P1619" s="2" t="inlineStr">
        <is>
          <t>Mock Rx20 UBU</t>
        </is>
      </c>
    </row>
    <row r="1620" ht="13.2" customHeight="1" s="37">
      <c r="A1620" s="8" t="inlineStr">
        <is>
          <t>1641</t>
        </is>
      </c>
      <c r="B1620" s="2" t="inlineStr">
        <is>
          <t>มีประวัติสูดดม Benzene, Asbestos บ่อยๆ</t>
        </is>
      </c>
      <c r="C1620" s="2" t="n"/>
      <c r="D1620" s="2" t="inlineStr">
        <is>
          <t>Naloxone 0.4 mg IV stat</t>
        </is>
      </c>
      <c r="E1620" s="2" t="inlineStr">
        <is>
          <t>Flumazenil 0.2 mg IV stat</t>
        </is>
      </c>
      <c r="F1620" s="2" t="inlineStr">
        <is>
          <t>Vitamin K1 (Phytomenadione) 10 mg IV slow</t>
        </is>
      </c>
      <c r="G1620" s="2" t="inlineStr">
        <is>
          <t>Sodium thiosulfate 25% 50 mL IV</t>
        </is>
      </c>
      <c r="H1620" s="2" t="inlineStr">
        <is>
          <t>Calcium disodium EDTA 1 g IV</t>
        </is>
      </c>
      <c r="I1620" s="8" t="inlineStr">
        <is>
          <t>1</t>
        </is>
      </c>
      <c r="J16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20" s="2" t="n"/>
      <c r="L1620" s="2" t="inlineStr">
        <is>
          <t>General Therapeutics</t>
        </is>
      </c>
      <c r="M1620" s="2" t="inlineStr">
        <is>
          <t>Clinic</t>
        </is>
      </c>
      <c r="N1620" s="2" t="inlineStr">
        <is>
          <t>ข้อ 5 (PLE_CC1_Key_Rx20_UBU.md)</t>
        </is>
      </c>
      <c r="O1620" s="2" t="inlineStr">
        <is>
          <t>Mock</t>
        </is>
      </c>
      <c r="P1620" s="2" t="inlineStr">
        <is>
          <t>Mock Rx20 UBU</t>
        </is>
      </c>
    </row>
    <row r="1621" ht="13.2" customHeight="1" s="37">
      <c r="A1621" s="8" t="inlineStr">
        <is>
          <t>1642</t>
        </is>
      </c>
      <c r="B1621" s="2" t="inlineStr">
        <is>
          <t>คำนวณ Body Surface Area ของผู้ป่วย</t>
        </is>
      </c>
      <c r="C1621" s="2" t="n"/>
      <c r="D1621" s="2" t="inlineStr">
        <is>
          <t>Pediatric dose calculation via Clark / Young rule</t>
        </is>
      </c>
      <c r="E1621" s="2" t="inlineStr">
        <is>
          <t>Displacement Value calculation for Suppositories</t>
        </is>
      </c>
      <c r="F1621" s="2" t="inlineStr">
        <is>
          <t>Alligation Alternate method for concentration adjustment</t>
        </is>
      </c>
      <c r="G1621" s="2" t="inlineStr">
        <is>
          <t>mEq / mmol Electrolyte conversion formula</t>
        </is>
      </c>
      <c r="H1621" s="2" t="inlineStr">
        <is>
          <t>Osmolarity (mOsmol/L) calculation</t>
        </is>
      </c>
      <c r="I1621" s="8" t="inlineStr">
        <is>
          <t>1</t>
        </is>
      </c>
      <c r="J1621" s="2" t="inlineStr">
        <is>
          <t>✅ คำตอบที่ถูกต้อง: ข้อ ก. Pediatric dose calculation via Clark / Young rule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Pediatric dose calculation via Clark / Young rule 💡 คำอธิบายและเหตุผลทางเภสัชกรรม:
💡 คำอธิบายและเหตุผลทางเภสัชกรรม:
USP/NF, British Pharmacopoeia (BP) &amp; Remington: The Science and Practice of Pharmacy (หัวข้อ Pharmaceutical Calculations)
Pharmaceutical Calculations: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Pharmaceutical Calculations)
🔍 ข้ออื่นผิดเพราะอะไร:
• ข้อ ข. (Displacement Value calculation for Suppositories): ข้อนี้ไม่ใช่คำตอบที่ถูกต้องสำหรับภาวะ Pharmaceutical Calculations เนื่องจากกลไกการออกฤทธิ์, efficacy หรือข้อบ่งใช้ไม่ตรงกับโจทย์ที่กำหนด
• ข้อ ค. (Alligation Alternate method for concentration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ง. (mEq / mmol Electrolyte conversion formula): ข้อนี้ไม่ใช่คำตอบที่ถูกต้องสำหรับภาวะ Pharmaceutical Calculations เนื่องจากกลไกการออกฤทธิ์, efficacy หรือข้อบ่งใช้ไม่ตรงกับโจทย์ที่กำหนด
• ข้อ จ. (Osmolarity (mOsmol/L) calculation):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1" s="2" t="n"/>
      <c r="L1621" s="2" t="inlineStr">
        <is>
          <t>Pharmaceutical Calculations</t>
        </is>
      </c>
      <c r="M1621" s="2" t="inlineStr">
        <is>
          <t>Product</t>
        </is>
      </c>
      <c r="N1621" s="2" t="inlineStr">
        <is>
          <t>ข้อ 99 (PLE_CC1_Key_Rx20_UBU.md)</t>
        </is>
      </c>
      <c r="O1621" s="2" t="inlineStr">
        <is>
          <t>Mock</t>
        </is>
      </c>
      <c r="P1621" s="2" t="inlineStr">
        <is>
          <t>Mock Rx20 UBU</t>
        </is>
      </c>
    </row>
    <row r="1622" ht="13.2" customHeight="1" s="37">
      <c r="A1622" s="8" t="inlineStr">
        <is>
          <t>1643</t>
        </is>
      </c>
      <c r="B1622" s="2" t="inlineStr">
        <is>
          <t>07 แนวคิด!45 % 160/3600= 2 = 1.414 m2</t>
        </is>
      </c>
      <c r="C1622" s="2" t="n"/>
      <c r="D1622" s="2" t="inlineStr">
        <is>
          <t>Dimercaprol (BAL) 3 mg/kg IM</t>
        </is>
      </c>
      <c r="E1622" s="2" t="inlineStr">
        <is>
          <t>Ethanol 10% IV infusion for Methanol poisoning</t>
        </is>
      </c>
      <c r="F1622" s="2" t="inlineStr">
        <is>
          <t>Fomepizole 15 mg/kg IV loading</t>
        </is>
      </c>
      <c r="G1622" s="2" t="inlineStr">
        <is>
          <t>N-acetylcysteine (NAC) IV infusion protocol</t>
        </is>
      </c>
      <c r="H1622" s="2" t="inlineStr">
        <is>
          <t>Atropine sulfate 2 mg IV Q5-10 min</t>
        </is>
      </c>
      <c r="I1622" s="8" t="inlineStr">
        <is>
          <t>1</t>
        </is>
      </c>
      <c r="J16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2" s="2" t="n"/>
      <c r="L1622" s="2" t="inlineStr">
        <is>
          <t>General Therapeutics</t>
        </is>
      </c>
      <c r="M1622" s="2" t="inlineStr">
        <is>
          <t>Clinic</t>
        </is>
      </c>
      <c r="N1622" s="2" t="inlineStr">
        <is>
          <t>ข้อ 5 (PLE_CC1_Key_Rx20_UBU.md)</t>
        </is>
      </c>
      <c r="O1622" s="2" t="inlineStr">
        <is>
          <t>Mock</t>
        </is>
      </c>
      <c r="P1622" s="2" t="inlineStr">
        <is>
          <t>Mock Rx20 UBU</t>
        </is>
      </c>
    </row>
    <row r="1623" ht="13.2" customHeight="1" s="37">
      <c r="A1623" s="8" t="inlineStr">
        <is>
          <t>1644</t>
        </is>
      </c>
      <c r="B1623" s="2" t="inlineStr">
        <is>
          <t>ประคบร้อนวันละ 4 ครั้ง 3 วันเท่านั้น</t>
        </is>
      </c>
      <c r="C1623" s="2" t="n"/>
      <c r="D1623" s="2" t="inlineStr">
        <is>
          <t>N-acetylcysteine (NAC) IV infusion protocol</t>
        </is>
      </c>
      <c r="E1623" s="2" t="inlineStr">
        <is>
          <t>Atropine sulfate 2 mg IV Q5-10 min</t>
        </is>
      </c>
      <c r="F1623" s="2" t="inlineStr">
        <is>
          <t>Pralidoxime (2-PAM) 1-2 g IV over 30 min</t>
        </is>
      </c>
      <c r="G1623" s="2" t="inlineStr">
        <is>
          <t>Naloxone 0.4 mg IV stat</t>
        </is>
      </c>
      <c r="H1623" s="2" t="inlineStr">
        <is>
          <t>Flumazenil 0.2 mg IV stat</t>
        </is>
      </c>
      <c r="I1623" s="8" t="inlineStr">
        <is>
          <t>1</t>
        </is>
      </c>
      <c r="J16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23" s="2" t="n"/>
      <c r="L1623" s="2" t="inlineStr">
        <is>
          <t>General Therapeutics</t>
        </is>
      </c>
      <c r="M1623" s="2" t="inlineStr">
        <is>
          <t>Clinic</t>
        </is>
      </c>
      <c r="N1623" s="2" t="inlineStr">
        <is>
          <t>ข้อ 1 (PLE_CC1_Key_Rx20_UBU.md)</t>
        </is>
      </c>
      <c r="O1623" s="2" t="inlineStr">
        <is>
          <t>Mock</t>
        </is>
      </c>
      <c r="P1623" s="2" t="inlineStr">
        <is>
          <t>Mock Rx20 UBU</t>
        </is>
      </c>
    </row>
    <row r="1624" ht="13.2" customHeight="1" s="37">
      <c r="A1624" s="8" t="inlineStr">
        <is>
          <t>1645</t>
        </is>
      </c>
      <c r="B1624" s="2" t="inlineStr">
        <is>
          <t>รัดแขนเหนือบริเวณที่ให้ยา</t>
        </is>
      </c>
      <c r="C1624" s="2" t="n"/>
      <c r="D1624" s="2" t="inlineStr">
        <is>
          <t>Naloxone 0.4 mg IV stat</t>
        </is>
      </c>
      <c r="E1624" s="2" t="inlineStr">
        <is>
          <t>Flumazenil 0.2 mg IV stat</t>
        </is>
      </c>
      <c r="F1624" s="2" t="inlineStr">
        <is>
          <t>Vitamin K1 (Phytomenadione) 10 mg IV slow</t>
        </is>
      </c>
      <c r="G1624" s="2" t="inlineStr">
        <is>
          <t>Sodium thiosulfate 25% 50 mL IV</t>
        </is>
      </c>
      <c r="H1624" s="2" t="inlineStr">
        <is>
          <t>Calcium disodium EDTA 1 g IV</t>
        </is>
      </c>
      <c r="I1624" s="8" t="inlineStr">
        <is>
          <t>1</t>
        </is>
      </c>
      <c r="J16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24" s="2" t="n"/>
      <c r="L1624" s="2" t="inlineStr">
        <is>
          <t>General Therapeutics</t>
        </is>
      </c>
      <c r="M1624" s="2" t="inlineStr">
        <is>
          <t>Clinic</t>
        </is>
      </c>
      <c r="N1624" s="2" t="inlineStr">
        <is>
          <t>ข้อ 2 (PLE_CC1_Key_Rx20_UBU.md)</t>
        </is>
      </c>
      <c r="O1624" s="2" t="inlineStr">
        <is>
          <t>Mock</t>
        </is>
      </c>
      <c r="P1624" s="2" t="inlineStr">
        <is>
          <t>Mock Rx20 UBU</t>
        </is>
      </c>
    </row>
    <row r="1625" ht="13.2" customHeight="1" s="37">
      <c r="A1625" s="8" t="inlineStr">
        <is>
          <t>1646</t>
        </is>
      </c>
      <c r="B1625" s="2" t="inlineStr">
        <is>
          <t>Flush หลอดเลือดด้วย 0.9% Sodium Chloride</t>
        </is>
      </c>
      <c r="C1625" s="2" t="n"/>
      <c r="D1625" s="2" t="inlineStr">
        <is>
          <t>Sodium thiosulfate 25% 50 mL IV</t>
        </is>
      </c>
      <c r="E1625" s="2" t="inlineStr">
        <is>
          <t>Calcium disodium EDTA 1 g IV</t>
        </is>
      </c>
      <c r="F1625" s="2" t="inlineStr">
        <is>
          <t>Desferrioxamine 1 g IM/IV</t>
        </is>
      </c>
      <c r="G1625" s="2" t="inlineStr">
        <is>
          <t>Dimercaprol (BAL) 3 mg/kg IM</t>
        </is>
      </c>
      <c r="H1625" s="2" t="inlineStr">
        <is>
          <t>Ethanol 10% IV infusion for Methanol poisoning</t>
        </is>
      </c>
      <c r="I1625" s="8" t="inlineStr">
        <is>
          <t>1</t>
        </is>
      </c>
      <c r="J16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5" s="2" t="n"/>
      <c r="L1625" s="2" t="inlineStr">
        <is>
          <t>General Therapeutics</t>
        </is>
      </c>
      <c r="M1625" s="2" t="inlineStr">
        <is>
          <t>Clinic</t>
        </is>
      </c>
      <c r="N1625" s="2" t="inlineStr">
        <is>
          <t>ข้อ 3 (PLE_CC1_Key_Rx20_UBU.md)</t>
        </is>
      </c>
      <c r="O1625" s="2" t="inlineStr">
        <is>
          <t>Mock</t>
        </is>
      </c>
      <c r="P1625" s="2" t="inlineStr">
        <is>
          <t>Mock Rx20 UBU</t>
        </is>
      </c>
    </row>
    <row r="1626" ht="13.2" customHeight="1" s="37">
      <c r="A1626" s="8" t="inlineStr">
        <is>
          <t>1647</t>
        </is>
      </c>
      <c r="B1626" s="2" t="inlineStr">
        <is>
          <t>ให้ Antidote คือ ฉีด Hyarulonidase SC</t>
        </is>
      </c>
      <c r="C1626" s="2" t="n"/>
      <c r="D1626" s="2" t="inlineStr">
        <is>
          <t>Dimercaprol (BAL) 3 mg/kg IM</t>
        </is>
      </c>
      <c r="E1626" s="2" t="inlineStr">
        <is>
          <t>Ethanol 10% IV infusion for Methanol poisoning</t>
        </is>
      </c>
      <c r="F1626" s="2" t="inlineStr">
        <is>
          <t>Fomepizole 15 mg/kg IV loading</t>
        </is>
      </c>
      <c r="G1626" s="2" t="inlineStr">
        <is>
          <t>N-acetylcysteine (NAC) IV infusion protocol</t>
        </is>
      </c>
      <c r="H1626" s="2" t="inlineStr">
        <is>
          <t>Atropine sulfate 2 mg IV Q5-10 min</t>
        </is>
      </c>
      <c r="I1626" s="8" t="inlineStr">
        <is>
          <t>1</t>
        </is>
      </c>
      <c r="J1626" s="2" t="inlineStr">
        <is>
          <t>✅ คำตอบที่ถูกต้อง: ข้อ ก. Dimercaprol (BAL) 3 mg/kg IM
💡 Background:
ภาวะ acute poisoning ต้องได้รับการประเมิน supportive care ควบคู่กับการให้ specific antidote อย่างทันท่วงที
🎯 ทำไมข้อนี้ถึงถูก:
Dimercaprol (BAL) 3 mg/kg IM การเลือก Dimercaprol (BAL) 3 mg/kg IM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ข้อ ค. (Fomepizole 15 mg/kg IV loading): ข้อนี้ไม่ใช่คำตอบที่ถูกต้องสำหรับภาวะ Toxicology &amp; Antidote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Toxicology &amp; Antidote เนื่องจากกลไกการออกฤทธิ์, efficacy หรือข้อบ่งใช้ไม่ตรงกับโจทย์ที่กำหนด
• ข้อ จ.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1626" s="2" t="n"/>
      <c r="L1626" s="2" t="inlineStr">
        <is>
          <t>Toxicology &amp; Antidote</t>
        </is>
      </c>
      <c r="M1626" s="2" t="inlineStr">
        <is>
          <t>Clinic</t>
        </is>
      </c>
      <c r="N1626" s="2" t="inlineStr">
        <is>
          <t>ข้อ 5 (PLE_CC1_Key_Rx20_UBU.md)</t>
        </is>
      </c>
      <c r="O1626" s="2" t="inlineStr">
        <is>
          <t>Mock</t>
        </is>
      </c>
      <c r="P1626" s="2" t="inlineStr">
        <is>
          <t>Mock Rx20 UBU</t>
        </is>
      </c>
    </row>
    <row r="1627" ht="13.2" customHeight="1" s="37">
      <c r="A1627" s="8" t="inlineStr">
        <is>
          <t>1648</t>
        </is>
      </c>
      <c r="B1627" s="2" t="inlineStr">
        <is>
          <t>ข้อใดคือ ADR ที่พบน้อยสุดของ Paclitaxel</t>
        </is>
      </c>
      <c r="C1627" s="2" t="n"/>
      <c r="D1627" s="2" t="inlineStr">
        <is>
          <t>Cetirizine 10 mg OD</t>
        </is>
      </c>
      <c r="E1627" s="2" t="inlineStr">
        <is>
          <t>Loratadine 10 mg OD</t>
        </is>
      </c>
      <c r="F1627" s="2" t="inlineStr">
        <is>
          <t>Fexofenadine 180 mg OD</t>
        </is>
      </c>
      <c r="G1627" s="2" t="inlineStr">
        <is>
          <t>Chlorpheniramine 4 mg TID</t>
        </is>
      </c>
      <c r="H1627" s="2" t="inlineStr">
        <is>
          <t>Fluticasone furoate nasal spray</t>
        </is>
      </c>
      <c r="I1627" s="8" t="inlineStr">
        <is>
          <t>1</t>
        </is>
      </c>
      <c r="J1627"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7" s="2" t="n"/>
      <c r="L1627" s="2" t="inlineStr">
        <is>
          <t>Allergy &amp; Immunology</t>
        </is>
      </c>
      <c r="M1627" s="2" t="inlineStr">
        <is>
          <t>Clinic</t>
        </is>
      </c>
      <c r="N1627" s="2" t="inlineStr">
        <is>
          <t>ข้อ 101 (PLE_CC1_Key_Rx20_UBU.md)</t>
        </is>
      </c>
      <c r="O1627" s="2" t="inlineStr">
        <is>
          <t>Mock</t>
        </is>
      </c>
      <c r="P1627" s="2" t="inlineStr">
        <is>
          <t>Mock Rx20 UBU</t>
        </is>
      </c>
    </row>
    <row r="1628" ht="13.2" customHeight="1" s="37">
      <c r="A1628" s="8" t="inlineStr">
        <is>
          <t>1649</t>
        </is>
      </c>
      <c r="B1628" s="2" t="inlineStr">
        <is>
          <t>Thombocytopenia</t>
        </is>
      </c>
      <c r="C1628" s="2" t="n"/>
      <c r="D1628" s="2" t="inlineStr">
        <is>
          <t>Naloxone 0.4 mg IV stat</t>
        </is>
      </c>
      <c r="E1628" s="2" t="inlineStr">
        <is>
          <t>Flumazenil 0.2 mg IV stat</t>
        </is>
      </c>
      <c r="F1628" s="2" t="inlineStr">
        <is>
          <t>Vitamin K1 (Phytomenadione) 10 mg IV slow</t>
        </is>
      </c>
      <c r="G1628" s="2" t="inlineStr">
        <is>
          <t>Sodium thiosulfate 25% 50 mL IV</t>
        </is>
      </c>
      <c r="H1628" s="2" t="inlineStr">
        <is>
          <t>Calcium disodium EDTA 1 g IV</t>
        </is>
      </c>
      <c r="I1628" s="8" t="inlineStr">
        <is>
          <t>1</t>
        </is>
      </c>
      <c r="J16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28" s="2" t="n"/>
      <c r="L1628" s="2" t="inlineStr">
        <is>
          <t>General Therapeutics</t>
        </is>
      </c>
      <c r="M1628" s="2" t="inlineStr">
        <is>
          <t>Clinic</t>
        </is>
      </c>
      <c r="N1628" s="2" t="inlineStr">
        <is>
          <t>ข้อ 1 (PLE_CC1_Key_Rx20_UBU.md)</t>
        </is>
      </c>
      <c r="O1628" s="2" t="inlineStr">
        <is>
          <t>Mock</t>
        </is>
      </c>
      <c r="P1628" s="2" t="inlineStr">
        <is>
          <t>Mock Rx20 UBU</t>
        </is>
      </c>
    </row>
    <row r="1629" ht="13.2" customHeight="1" s="37">
      <c r="A1629" s="8" t="inlineStr">
        <is>
          <t>1650</t>
        </is>
      </c>
      <c r="B1629" s="2" t="inlineStr">
        <is>
          <t>ควรให้ยาใดป้องกัน ภาวะ High Risk Emetic</t>
        </is>
      </c>
      <c r="C1629" s="2" t="n"/>
      <c r="D1629" s="2" t="inlineStr">
        <is>
          <t>Sodium thiosulfate 25% 50 mL IV</t>
        </is>
      </c>
      <c r="E1629" s="2" t="inlineStr">
        <is>
          <t>Calcium disodium EDTA 1 g IV</t>
        </is>
      </c>
      <c r="F1629" s="2" t="inlineStr">
        <is>
          <t>Desferrioxamine 1 g IM/IV</t>
        </is>
      </c>
      <c r="G1629" s="2" t="inlineStr">
        <is>
          <t>Dimercaprol (BAL) 3 mg/kg IM</t>
        </is>
      </c>
      <c r="H1629" s="2" t="inlineStr">
        <is>
          <t>Ethanol 10% IV infusion for Methanol poisoning</t>
        </is>
      </c>
      <c r="I1629" s="8" t="inlineStr">
        <is>
          <t>1</t>
        </is>
      </c>
      <c r="J16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9" s="2" t="n"/>
      <c r="L1629" s="2" t="inlineStr">
        <is>
          <t>General Therapeutics</t>
        </is>
      </c>
      <c r="M1629" s="2" t="inlineStr">
        <is>
          <t>Clinic</t>
        </is>
      </c>
      <c r="N1629" s="2" t="inlineStr">
        <is>
          <t>ข้อ 102 (PLE_CC1_Key_Rx20_UBU.md)</t>
        </is>
      </c>
      <c r="O1629" s="2" t="inlineStr">
        <is>
          <t>Mock</t>
        </is>
      </c>
      <c r="P1629" s="2" t="inlineStr">
        <is>
          <t>Mock Rx20 UBU</t>
        </is>
      </c>
    </row>
    <row r="1630" ht="13.2" customHeight="1" s="37">
      <c r="A1630" s="8" t="inlineStr">
        <is>
          <t>1651</t>
        </is>
      </c>
      <c r="B1630" s="2" t="inlineStr">
        <is>
          <t>ยับยั้งการสังเคราะห์ DNA โดยรบกวนการ Cross-link DNA</t>
        </is>
      </c>
      <c r="C1630" s="2" t="n"/>
      <c r="D1630" s="2" t="inlineStr">
        <is>
          <t>Dimercaprol (BAL) 3 mg/kg IM</t>
        </is>
      </c>
      <c r="E1630" s="2" t="inlineStr">
        <is>
          <t>Ethanol 10% IV infusion for Methanol poisoning</t>
        </is>
      </c>
      <c r="F1630" s="2" t="inlineStr">
        <is>
          <t>Fomepizole 15 mg/kg IV loading</t>
        </is>
      </c>
      <c r="G1630" s="2" t="inlineStr">
        <is>
          <t>N-acetylcysteine (NAC) IV infusion protocol</t>
        </is>
      </c>
      <c r="H1630" s="2" t="inlineStr">
        <is>
          <t>Atropine sulfate 2 mg IV Q5-10 min</t>
        </is>
      </c>
      <c r="I1630" s="8" t="inlineStr">
        <is>
          <t>1</t>
        </is>
      </c>
      <c r="J16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0" s="2" t="n"/>
      <c r="L1630" s="2" t="inlineStr">
        <is>
          <t>General Therapeutics</t>
        </is>
      </c>
      <c r="M1630" s="2" t="inlineStr">
        <is>
          <t>Clinic</t>
        </is>
      </c>
      <c r="N1630" s="2" t="inlineStr">
        <is>
          <t>ข้อ 3 (PLE_CC1_Key_Rx20_UBU.md)</t>
        </is>
      </c>
      <c r="O1630" s="2" t="inlineStr">
        <is>
          <t>Mock</t>
        </is>
      </c>
      <c r="P1630" s="2" t="inlineStr">
        <is>
          <t>Mock Rx20 UBU</t>
        </is>
      </c>
    </row>
    <row r="1631" ht="13.2" customHeight="1" s="37">
      <c r="A1631" s="8" t="inlineStr">
        <is>
          <t>1652</t>
        </is>
      </c>
      <c r="B1631" s="2" t="inlineStr">
        <is>
          <t>Vincristine มาจากพืชชนิดใด</t>
        </is>
      </c>
      <c r="C1631" s="2" t="n"/>
      <c r="D1631" s="2" t="inlineStr">
        <is>
          <t>N-acetylcysteine (NAC) IV infusion protocol</t>
        </is>
      </c>
      <c r="E1631" s="2" t="inlineStr">
        <is>
          <t>Atropine sulfate 2 mg IV Q5-10 min</t>
        </is>
      </c>
      <c r="F1631" s="2" t="inlineStr">
        <is>
          <t>Pralidoxime (2-PAM) 1-2 g IV over 30 min</t>
        </is>
      </c>
      <c r="G1631" s="2" t="inlineStr">
        <is>
          <t>Naloxone 0.4 mg IV stat</t>
        </is>
      </c>
      <c r="H1631" s="2" t="inlineStr">
        <is>
          <t>Flumazenil 0.2 mg IV stat</t>
        </is>
      </c>
      <c r="I1631" s="8" t="inlineStr">
        <is>
          <t>1</t>
        </is>
      </c>
      <c r="J16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31" s="2" t="n"/>
      <c r="L1631" s="2" t="inlineStr">
        <is>
          <t>General Therapeutics</t>
        </is>
      </c>
      <c r="M1631" s="2" t="inlineStr">
        <is>
          <t>Clinic</t>
        </is>
      </c>
      <c r="N1631" s="2" t="inlineStr">
        <is>
          <t>ข้อ 104 (PLE_CC1_Key_Rx20_UBU.md)</t>
        </is>
      </c>
      <c r="O1631" s="2" t="inlineStr">
        <is>
          <t>Mock</t>
        </is>
      </c>
      <c r="P1631" s="2" t="inlineStr">
        <is>
          <t>Mock Rx20 UBU</t>
        </is>
      </c>
    </row>
    <row r="1632" ht="13.2" customHeight="1" s="37">
      <c r="A1632" s="8" t="inlineStr">
        <is>
          <t>1653</t>
        </is>
      </c>
      <c r="B1632" s="2" t="inlineStr">
        <is>
          <t>ทำความสะอาดอากาศโดยใช้เครื่องดูดฝุ่นและ/หรือผ้าแห้งเช็ด</t>
        </is>
      </c>
      <c r="C1632" s="2" t="n"/>
      <c r="D1632" s="2" t="inlineStr">
        <is>
          <t>Naloxone 0.4 mg IV stat</t>
        </is>
      </c>
      <c r="E1632" s="2" t="inlineStr">
        <is>
          <t>Flumazenil 0.2 mg IV stat</t>
        </is>
      </c>
      <c r="F1632" s="2" t="inlineStr">
        <is>
          <t>Vitamin K1 (Phytomenadione) 10 mg IV slow</t>
        </is>
      </c>
      <c r="G1632" s="2" t="inlineStr">
        <is>
          <t>Sodium thiosulfate 25% 50 mL IV</t>
        </is>
      </c>
      <c r="H1632" s="2" t="inlineStr">
        <is>
          <t>Calcium disodium EDTA 1 g IV</t>
        </is>
      </c>
      <c r="I1632" s="8" t="inlineStr">
        <is>
          <t>1</t>
        </is>
      </c>
      <c r="J16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32" s="2" t="n"/>
      <c r="L1632" s="2" t="inlineStr">
        <is>
          <t>General Therapeutics</t>
        </is>
      </c>
      <c r="M1632" s="2" t="inlineStr">
        <is>
          <t>Clinic</t>
        </is>
      </c>
      <c r="N1632" s="2" t="inlineStr">
        <is>
          <t>ข้อ 2 (PLE_CC1_Key_Rx20_UBU.md)</t>
        </is>
      </c>
      <c r="O1632" s="2" t="inlineStr">
        <is>
          <t>Mock</t>
        </is>
      </c>
      <c r="P1632" s="2" t="inlineStr">
        <is>
          <t>Mock Rx20 UBU</t>
        </is>
      </c>
    </row>
    <row r="1633" ht="13.2" customHeight="1" s="37">
      <c r="A1633" s="8" t="inlineStr">
        <is>
          <t>1654</t>
        </is>
      </c>
      <c r="B1633" s="2" t="inlineStr">
        <is>
          <t>ควรแยกระบบอากาศออกจากระบบการผลิตยาส่วนอื่น</t>
        </is>
      </c>
      <c r="C1633" s="2" t="n"/>
      <c r="D1633" s="2" t="inlineStr">
        <is>
          <t>Sodium thiosulfate 25% 50 mL IV</t>
        </is>
      </c>
      <c r="E1633" s="2" t="inlineStr">
        <is>
          <t>Calcium disodium EDTA 1 g IV</t>
        </is>
      </c>
      <c r="F1633" s="2" t="inlineStr">
        <is>
          <t>Desferrioxamine 1 g IM/IV</t>
        </is>
      </c>
      <c r="G1633" s="2" t="inlineStr">
        <is>
          <t>Dimercaprol (BAL) 3 mg/kg IM</t>
        </is>
      </c>
      <c r="H1633" s="2" t="inlineStr">
        <is>
          <t>Ethanol 10% IV infusion for Methanol poisoning</t>
        </is>
      </c>
      <c r="I1633" s="8" t="inlineStr">
        <is>
          <t>1</t>
        </is>
      </c>
      <c r="J16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3" s="2" t="n"/>
      <c r="L1633" s="2" t="inlineStr">
        <is>
          <t>General Therapeutics</t>
        </is>
      </c>
      <c r="M1633" s="2" t="inlineStr">
        <is>
          <t>Clinic</t>
        </is>
      </c>
      <c r="N1633" s="2" t="inlineStr">
        <is>
          <t>ข้อ 3 (PLE_CC1_Key_Rx20_UBU.md)</t>
        </is>
      </c>
      <c r="O1633" s="2" t="inlineStr">
        <is>
          <t>Mock</t>
        </is>
      </c>
      <c r="P1633" s="2" t="inlineStr">
        <is>
          <t>Mock Rx20 UBU</t>
        </is>
      </c>
    </row>
    <row r="1634" ht="13.2" customHeight="1" s="37">
      <c r="A1634" s="8" t="inlineStr">
        <is>
          <t>1655</t>
        </is>
      </c>
      <c r="B1634" s="2" t="inlineStr">
        <is>
          <t>ต้องทำลายฤทธิ์ยาในน้ำที่มียาปนเปื้อนก่อนทิ้งลงบำบัดน้ำเสีย</t>
        </is>
      </c>
      <c r="C1634" s="2" t="n"/>
      <c r="D1634" s="2" t="inlineStr">
        <is>
          <t>Dimercaprol (BAL) 3 mg/kg IM</t>
        </is>
      </c>
      <c r="E1634" s="2" t="inlineStr">
        <is>
          <t>Ethanol 10% IV infusion for Methanol poisoning</t>
        </is>
      </c>
      <c r="F1634" s="2" t="inlineStr">
        <is>
          <t>Fomepizole 15 mg/kg IV loading</t>
        </is>
      </c>
      <c r="G1634" s="2" t="inlineStr">
        <is>
          <t>N-acetylcysteine (NAC) IV infusion protocol</t>
        </is>
      </c>
      <c r="H1634" s="2" t="inlineStr">
        <is>
          <t>Atropine sulfate 2 mg IV Q5-10 min</t>
        </is>
      </c>
      <c r="I1634" s="8" t="inlineStr">
        <is>
          <t>1</t>
        </is>
      </c>
      <c r="J16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4" s="2" t="n"/>
      <c r="L1634" s="2" t="inlineStr">
        <is>
          <t>General Therapeutics</t>
        </is>
      </c>
      <c r="M1634" s="2" t="inlineStr">
        <is>
          <t>Clinic</t>
        </is>
      </c>
      <c r="N1634" s="2" t="inlineStr">
        <is>
          <t>ข้อ 4 (PLE_CC1_Key_Rx20_UBU.md)</t>
        </is>
      </c>
      <c r="O1634" s="2" t="inlineStr">
        <is>
          <t>Mock</t>
        </is>
      </c>
      <c r="P1634" s="2" t="inlineStr">
        <is>
          <t>Mock Rx20 UBU</t>
        </is>
      </c>
    </row>
    <row r="1635" ht="13.2" customHeight="1" s="37">
      <c r="A1635" s="8" t="inlineStr">
        <is>
          <t>1656</t>
        </is>
      </c>
      <c r="B1635" s="2" t="inlineStr">
        <is>
          <t>ใช้ยาที่ผลิตในประเทศที่มี Bioequivalent แทนการใช้ยาต้นแบบ</t>
        </is>
      </c>
      <c r="C1635" s="2" t="n"/>
      <c r="D1635" s="2" t="inlineStr">
        <is>
          <t>N-acetylcysteine (NAC) IV infusion protocol</t>
        </is>
      </c>
      <c r="E1635" s="2" t="inlineStr">
        <is>
          <t>Atropine sulfate 2 mg IV Q5-10 min</t>
        </is>
      </c>
      <c r="F1635" s="2" t="inlineStr">
        <is>
          <t>Pralidoxime (2-PAM) 1-2 g IV over 30 min</t>
        </is>
      </c>
      <c r="G1635" s="2" t="inlineStr">
        <is>
          <t>Naloxone 0.4 mg IV stat</t>
        </is>
      </c>
      <c r="H1635" s="2" t="inlineStr">
        <is>
          <t>Flumazenil 0.2 mg IV stat</t>
        </is>
      </c>
      <c r="I1635" s="8" t="inlineStr">
        <is>
          <t>1</t>
        </is>
      </c>
      <c r="J16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35" s="2" t="n"/>
      <c r="L1635" s="2" t="inlineStr">
        <is>
          <t>General Therapeutics</t>
        </is>
      </c>
      <c r="M1635" s="2" t="inlineStr">
        <is>
          <t>Clinic</t>
        </is>
      </c>
      <c r="N1635" s="2" t="inlineStr">
        <is>
          <t>ข้อ 1 (PLE_CC1_Key_Rx20_UBU.md)</t>
        </is>
      </c>
      <c r="O1635" s="2" t="inlineStr">
        <is>
          <t>Mock</t>
        </is>
      </c>
      <c r="P1635" s="2" t="inlineStr">
        <is>
          <t>Mock Rx20 UBU</t>
        </is>
      </c>
    </row>
    <row r="1636" ht="13.2" customHeight="1" s="37">
      <c r="A1636" s="8" t="inlineStr">
        <is>
          <t>1657</t>
        </is>
      </c>
      <c r="B1636" s="2" t="inlineStr">
        <is>
          <t>ผู้ป่วยมีค่าใช้จ่ายเกิน ต้องจ่ายส่วนต่างเอง ไม่สามารถเบิกคืนได้</t>
        </is>
      </c>
      <c r="C1636" s="2" t="n"/>
      <c r="D1636" s="2" t="inlineStr">
        <is>
          <t>Naloxone 0.4 mg IV stat</t>
        </is>
      </c>
      <c r="E1636" s="2" t="inlineStr">
        <is>
          <t>Flumazenil 0.2 mg IV stat</t>
        </is>
      </c>
      <c r="F1636" s="2" t="inlineStr">
        <is>
          <t>Vitamin K1 (Phytomenadione) 10 mg IV slow</t>
        </is>
      </c>
      <c r="G1636" s="2" t="inlineStr">
        <is>
          <t>Sodium thiosulfate 25% 50 mL IV</t>
        </is>
      </c>
      <c r="H1636" s="2" t="inlineStr">
        <is>
          <t>Calcium disodium EDTA 1 g IV</t>
        </is>
      </c>
      <c r="I1636" s="8" t="inlineStr">
        <is>
          <t>1</t>
        </is>
      </c>
      <c r="J16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36" s="2" t="n"/>
      <c r="L1636" s="2" t="inlineStr">
        <is>
          <t>General Therapeutics</t>
        </is>
      </c>
      <c r="M1636" s="2" t="inlineStr">
        <is>
          <t>Clinic</t>
        </is>
      </c>
      <c r="N1636" s="2" t="inlineStr">
        <is>
          <t>ข้อ 2 (PLE_CC1_Key_Rx20_UBU.md)</t>
        </is>
      </c>
      <c r="O1636" s="2" t="inlineStr">
        <is>
          <t>Mock</t>
        </is>
      </c>
      <c r="P1636" s="2" t="inlineStr">
        <is>
          <t>Mock Rx20 UBU</t>
        </is>
      </c>
    </row>
    <row r="1637" ht="13.2" customHeight="1" s="37">
      <c r="A1637" s="8" t="inlineStr">
        <is>
          <t>1658</t>
        </is>
      </c>
      <c r="B1637" s="2" t="inlineStr">
        <is>
          <t>เป็นระบบเหมาจ่ายปลายเปิด</t>
        </is>
      </c>
      <c r="C1637" s="2" t="n"/>
      <c r="D1637" s="2" t="inlineStr">
        <is>
          <t>Sodium thiosulfate 25% 50 mL IV</t>
        </is>
      </c>
      <c r="E1637" s="2" t="inlineStr">
        <is>
          <t>Calcium disodium EDTA 1 g IV</t>
        </is>
      </c>
      <c r="F1637" s="2" t="inlineStr">
        <is>
          <t>Desferrioxamine 1 g IM/IV</t>
        </is>
      </c>
      <c r="G1637" s="2" t="inlineStr">
        <is>
          <t>Dimercaprol (BAL) 3 mg/kg IM</t>
        </is>
      </c>
      <c r="H1637" s="2" t="inlineStr">
        <is>
          <t>Ethanol 10% IV infusion for Methanol poisoning</t>
        </is>
      </c>
      <c r="I1637" s="8" t="inlineStr">
        <is>
          <t>1</t>
        </is>
      </c>
      <c r="J16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7" s="2" t="n"/>
      <c r="L1637" s="2" t="inlineStr">
        <is>
          <t>General Therapeutics</t>
        </is>
      </c>
      <c r="M1637" s="2" t="inlineStr">
        <is>
          <t>Clinic</t>
        </is>
      </c>
      <c r="N1637" s="2" t="inlineStr">
        <is>
          <t>ข้อ 3 (PLE_CC1_Key_Rx20_UBU.md)</t>
        </is>
      </c>
      <c r="O1637" s="2" t="inlineStr">
        <is>
          <t>Mock</t>
        </is>
      </c>
      <c r="P1637" s="2" t="inlineStr">
        <is>
          <t>Mock Rx20 UBU</t>
        </is>
      </c>
    </row>
    <row r="1638" ht="13.2" customHeight="1" s="37">
      <c r="A1638" s="8" t="inlineStr">
        <is>
          <t>1659</t>
        </is>
      </c>
      <c r="B1638" s="2" t="inlineStr">
        <is>
          <t>Hardness + Weight variation</t>
        </is>
      </c>
      <c r="C1638" s="2" t="n"/>
      <c r="D1638" s="2" t="inlineStr">
        <is>
          <t>Dimercaprol (BAL) 3 mg/kg IM</t>
        </is>
      </c>
      <c r="E1638" s="2" t="inlineStr">
        <is>
          <t>Ethanol 10% IV infusion for Methanol poisoning</t>
        </is>
      </c>
      <c r="F1638" s="2" t="inlineStr">
        <is>
          <t>Fomepizole 15 mg/kg IV loading</t>
        </is>
      </c>
      <c r="G1638" s="2" t="inlineStr">
        <is>
          <t>N-acetylcysteine (NAC) IV infusion protocol</t>
        </is>
      </c>
      <c r="H1638" s="2" t="inlineStr">
        <is>
          <t>Atropine sulfate 2 mg IV Q5-10 min</t>
        </is>
      </c>
      <c r="I1638" s="8" t="inlineStr">
        <is>
          <t>1</t>
        </is>
      </c>
      <c r="J16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8" s="2" t="n"/>
      <c r="L1638" s="2" t="inlineStr">
        <is>
          <t>General Therapeutics</t>
        </is>
      </c>
      <c r="M1638" s="2" t="inlineStr">
        <is>
          <t>Clinic</t>
        </is>
      </c>
      <c r="N1638" s="2" t="inlineStr">
        <is>
          <t>ข้อ 3 (PLE_CC1_Key_Rx20_UBU.md)</t>
        </is>
      </c>
      <c r="O1638" s="2" t="inlineStr">
        <is>
          <t>Mock</t>
        </is>
      </c>
      <c r="P1638" s="2" t="inlineStr">
        <is>
          <t>Mock Rx20 UBU</t>
        </is>
      </c>
    </row>
    <row r="1639" ht="13.2" customHeight="1" s="37">
      <c r="A1639" s="8" t="inlineStr">
        <is>
          <t>1660</t>
        </is>
      </c>
      <c r="B1639" s="2" t="inlineStr">
        <is>
          <t>เลขทะเบียนยา Reg. 1C 2554/52 หมายความว่าอย่างไร</t>
        </is>
      </c>
      <c r="C1639" s="2" t="n"/>
      <c r="D1639" s="2" t="inlineStr">
        <is>
          <t>N-acetylcysteine (NAC) IV infusion protocol</t>
        </is>
      </c>
      <c r="E1639" s="2" t="inlineStr">
        <is>
          <t>Atropine sulfate 2 mg IV Q5-10 min</t>
        </is>
      </c>
      <c r="F1639" s="2" t="inlineStr">
        <is>
          <t>Pralidoxime (2-PAM) 1-2 g IV over 30 min</t>
        </is>
      </c>
      <c r="G1639" s="2" t="inlineStr">
        <is>
          <t>Naloxone 0.4 mg IV stat</t>
        </is>
      </c>
      <c r="H1639" s="2" t="inlineStr">
        <is>
          <t>Flumazenil 0.2 mg IV stat</t>
        </is>
      </c>
      <c r="I1639" s="8" t="inlineStr">
        <is>
          <t>1</t>
        </is>
      </c>
      <c r="J16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39" s="2" t="n"/>
      <c r="L1639" s="2" t="inlineStr">
        <is>
          <t>General Therapeutics</t>
        </is>
      </c>
      <c r="M1639" s="2" t="inlineStr">
        <is>
          <t>Clinic</t>
        </is>
      </c>
      <c r="N1639" s="2" t="inlineStr">
        <is>
          <t>ข้อ 2 (PLE_CC1_Key_Rx20_UBU.md)</t>
        </is>
      </c>
      <c r="O1639" s="2" t="inlineStr">
        <is>
          <t>Mock</t>
        </is>
      </c>
      <c r="P1639" s="2" t="inlineStr">
        <is>
          <t>Mock Rx20 UBU</t>
        </is>
      </c>
    </row>
    <row r="1640" ht="13.2" customHeight="1" s="37">
      <c r="A1640" s="8" t="inlineStr">
        <is>
          <t>1661</t>
        </is>
      </c>
      <c r="B1640" s="2" t="inlineStr">
        <is>
          <t>ยาเดี่ยวสำหรับมนุษย์ ที่ผลิตภำยในประเทศ</t>
        </is>
      </c>
      <c r="C1640" s="2" t="n"/>
      <c r="D1640" s="2" t="inlineStr">
        <is>
          <t>Naloxone 0.4 mg IV stat</t>
        </is>
      </c>
      <c r="E1640" s="2" t="inlineStr">
        <is>
          <t>Flumazenil 0.2 mg IV stat</t>
        </is>
      </c>
      <c r="F1640" s="2" t="inlineStr">
        <is>
          <t>Vitamin K1 (Phytomenadione) 10 mg IV slow</t>
        </is>
      </c>
      <c r="G1640" s="2" t="inlineStr">
        <is>
          <t>Sodium thiosulfate 25% 50 mL IV</t>
        </is>
      </c>
      <c r="H1640" s="2" t="inlineStr">
        <is>
          <t>Calcium disodium EDTA 1 g IV</t>
        </is>
      </c>
      <c r="I1640" s="8" t="inlineStr">
        <is>
          <t>1</t>
        </is>
      </c>
      <c r="J16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40" s="2" t="n"/>
      <c r="L1640" s="2" t="inlineStr">
        <is>
          <t>General Therapeutics</t>
        </is>
      </c>
      <c r="M1640" s="2" t="inlineStr">
        <is>
          <t>Clinic</t>
        </is>
      </c>
      <c r="N1640" s="2" t="inlineStr">
        <is>
          <t>ข้อ 1 (PLE_CC1_Key_Rx20_UBU.md)</t>
        </is>
      </c>
      <c r="O1640" s="2" t="inlineStr">
        <is>
          <t>Mock</t>
        </is>
      </c>
      <c r="P1640" s="2" t="inlineStr">
        <is>
          <t>Mock Rx20 UBU</t>
        </is>
      </c>
    </row>
    <row r="1641" ht="13.2" customHeight="1" s="37">
      <c r="A1641" s="8" t="inlineStr">
        <is>
          <t>1662</t>
        </is>
      </c>
      <c r="B1641" s="2" t="inlineStr">
        <is>
          <t>ยาเดี่ยวสำหรับมนุษย์ ที่บรรจุภายในประเทศ</t>
        </is>
      </c>
      <c r="C1641" s="2" t="n"/>
      <c r="D1641" s="2" t="inlineStr">
        <is>
          <t>Sodium thiosulfate 25% 50 mL IV</t>
        </is>
      </c>
      <c r="E1641" s="2" t="inlineStr">
        <is>
          <t>Calcium disodium EDTA 1 g IV</t>
        </is>
      </c>
      <c r="F1641" s="2" t="inlineStr">
        <is>
          <t>Desferrioxamine 1 g IM/IV</t>
        </is>
      </c>
      <c r="G1641" s="2" t="inlineStr">
        <is>
          <t>Dimercaprol (BAL) 3 mg/kg IM</t>
        </is>
      </c>
      <c r="H1641" s="2" t="inlineStr">
        <is>
          <t>Ethanol 10% IV infusion for Methanol poisoning</t>
        </is>
      </c>
      <c r="I1641" s="8" t="inlineStr">
        <is>
          <t>1</t>
        </is>
      </c>
      <c r="J16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1" s="2" t="n"/>
      <c r="L1641" s="2" t="inlineStr">
        <is>
          <t>General Therapeutics</t>
        </is>
      </c>
      <c r="M1641" s="2" t="inlineStr">
        <is>
          <t>Clinic</t>
        </is>
      </c>
      <c r="N1641" s="2" t="inlineStr">
        <is>
          <t>ข้อ 2 (PLE_CC1_Key_Rx20_UBU.md)</t>
        </is>
      </c>
      <c r="O1641" s="2" t="inlineStr">
        <is>
          <t>Mock</t>
        </is>
      </c>
      <c r="P1641" s="2" t="inlineStr">
        <is>
          <t>Mock Rx20 UBU</t>
        </is>
      </c>
    </row>
    <row r="1642" ht="13.2" customHeight="1" s="37">
      <c r="A1642" s="8" t="inlineStr">
        <is>
          <t>1663</t>
        </is>
      </c>
      <c r="B1642" s="2" t="inlineStr">
        <is>
          <t>ยาเดี่ยวสำหรับมนุษย์ ที่นำเข้าจากต่างประเทศ</t>
        </is>
      </c>
      <c r="C1642" s="2" t="n"/>
      <c r="D1642" s="2" t="inlineStr">
        <is>
          <t>Dimercaprol (BAL) 3 mg/kg IM</t>
        </is>
      </c>
      <c r="E1642" s="2" t="inlineStr">
        <is>
          <t>Ethanol 10% IV infusion for Methanol poisoning</t>
        </is>
      </c>
      <c r="F1642" s="2" t="inlineStr">
        <is>
          <t>Fomepizole 15 mg/kg IV loading</t>
        </is>
      </c>
      <c r="G1642" s="2" t="inlineStr">
        <is>
          <t>N-acetylcysteine (NAC) IV infusion protocol</t>
        </is>
      </c>
      <c r="H1642" s="2" t="inlineStr">
        <is>
          <t>Atropine sulfate 2 mg IV Q5-10 min</t>
        </is>
      </c>
      <c r="I1642" s="8" t="inlineStr">
        <is>
          <t>1</t>
        </is>
      </c>
      <c r="J16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2" s="2" t="n"/>
      <c r="L1642" s="2" t="inlineStr">
        <is>
          <t>General Therapeutics</t>
        </is>
      </c>
      <c r="M1642" s="2" t="inlineStr">
        <is>
          <t>Clinic</t>
        </is>
      </c>
      <c r="N1642" s="2" t="inlineStr">
        <is>
          <t>ข้อ 3 (PLE_CC1_Key_Rx20_UBU.md)</t>
        </is>
      </c>
      <c r="O1642" s="2" t="inlineStr">
        <is>
          <t>Mock</t>
        </is>
      </c>
      <c r="P1642" s="2" t="inlineStr">
        <is>
          <t>Mock Rx20 UBU</t>
        </is>
      </c>
    </row>
    <row r="1643" ht="13.2" customHeight="1" s="37">
      <c r="A1643" s="8" t="inlineStr">
        <is>
          <t>1664</t>
        </is>
      </c>
      <c r="B1643" s="2" t="inlineStr">
        <is>
          <t>ยาผสมสำหรับมนุษย์ ที่ผลิตภายในประเทศ</t>
        </is>
      </c>
      <c r="C1643" s="2" t="n"/>
      <c r="D1643" s="2" t="inlineStr">
        <is>
          <t>N-acetylcysteine (NAC) IV infusion protocol</t>
        </is>
      </c>
      <c r="E1643" s="2" t="inlineStr">
        <is>
          <t>Atropine sulfate 2 mg IV Q5-10 min</t>
        </is>
      </c>
      <c r="F1643" s="2" t="inlineStr">
        <is>
          <t>Pralidoxime (2-PAM) 1-2 g IV over 30 min</t>
        </is>
      </c>
      <c r="G1643" s="2" t="inlineStr">
        <is>
          <t>Naloxone 0.4 mg IV stat</t>
        </is>
      </c>
      <c r="H1643" s="2" t="inlineStr">
        <is>
          <t>Flumazenil 0.2 mg IV stat</t>
        </is>
      </c>
      <c r="I1643" s="8" t="inlineStr">
        <is>
          <t>1</t>
        </is>
      </c>
      <c r="J16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43" s="2" t="n"/>
      <c r="L1643" s="2" t="inlineStr">
        <is>
          <t>General Therapeutics</t>
        </is>
      </c>
      <c r="M1643" s="2" t="inlineStr">
        <is>
          <t>Clinic</t>
        </is>
      </c>
      <c r="N1643" s="2" t="inlineStr">
        <is>
          <t>ข้อ 4 (PLE_CC1_Key_Rx20_UBU.md)</t>
        </is>
      </c>
      <c r="O1643" s="2" t="inlineStr">
        <is>
          <t>Mock</t>
        </is>
      </c>
      <c r="P1643" s="2" t="inlineStr">
        <is>
          <t>Mock Rx20 UBU</t>
        </is>
      </c>
    </row>
    <row r="1644" ht="13.2" customHeight="1" s="37">
      <c r="A1644" s="8" t="inlineStr">
        <is>
          <t>1665</t>
        </is>
      </c>
      <c r="B1644" s="2" t="inlineStr">
        <is>
          <t>ไม่ผ่าน S1 เนื่องจากมียา 1 เม็ดที่อยู่ต่ำกว่า Q+5</t>
        </is>
      </c>
      <c r="C1644" s="2" t="n"/>
      <c r="D1644" s="2" t="inlineStr">
        <is>
          <t>Naloxone 0.4 mg IV stat</t>
        </is>
      </c>
      <c r="E1644" s="2" t="inlineStr">
        <is>
          <t>Flumazenil 0.2 mg IV stat</t>
        </is>
      </c>
      <c r="F1644" s="2" t="inlineStr">
        <is>
          <t>Vitamin K1 (Phytomenadione) 10 mg IV slow</t>
        </is>
      </c>
      <c r="G1644" s="2" t="inlineStr">
        <is>
          <t>Sodium thiosulfate 25% 50 mL IV</t>
        </is>
      </c>
      <c r="H1644" s="2" t="inlineStr">
        <is>
          <t>Calcium disodium EDTA 1 g IV</t>
        </is>
      </c>
      <c r="I1644" s="8" t="inlineStr">
        <is>
          <t>1</t>
        </is>
      </c>
      <c r="J16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44" s="2" t="n"/>
      <c r="L1644" s="2" t="inlineStr">
        <is>
          <t>General Therapeutics</t>
        </is>
      </c>
      <c r="M1644" s="2" t="inlineStr">
        <is>
          <t>Clinic</t>
        </is>
      </c>
      <c r="N1644" s="2" t="inlineStr">
        <is>
          <t>ข้อ 2 (PLE_CC1_Key_Rx20_UBU.md)</t>
        </is>
      </c>
      <c r="O1644" s="2" t="inlineStr">
        <is>
          <t>Mock</t>
        </is>
      </c>
      <c r="P1644" s="2" t="inlineStr">
        <is>
          <t>Mock Rx20 UBU</t>
        </is>
      </c>
    </row>
    <row r="1645" ht="13.2" customHeight="1" s="37">
      <c r="A1645" s="8" t="inlineStr">
        <is>
          <t>1666</t>
        </is>
      </c>
      <c r="B1645" s="2" t="inlineStr">
        <is>
          <t>ไม่ผ่าน S1 เนื่องจากมียา 4 เม็ดที่อยู่ต่ำกว่า Q+5</t>
        </is>
      </c>
      <c r="C1645" s="2" t="n"/>
      <c r="D1645" s="2" t="inlineStr">
        <is>
          <t>Sodium thiosulfate 25% 50 mL IV</t>
        </is>
      </c>
      <c r="E1645" s="2" t="inlineStr">
        <is>
          <t>Calcium disodium EDTA 1 g IV</t>
        </is>
      </c>
      <c r="F1645" s="2" t="inlineStr">
        <is>
          <t>Desferrioxamine 1 g IM/IV</t>
        </is>
      </c>
      <c r="G1645" s="2" t="inlineStr">
        <is>
          <t>Dimercaprol (BAL) 3 mg/kg IM</t>
        </is>
      </c>
      <c r="H1645" s="2" t="inlineStr">
        <is>
          <t>Ethanol 10% IV infusion for Methanol poisoning</t>
        </is>
      </c>
      <c r="I1645" s="8" t="inlineStr">
        <is>
          <t>1</t>
        </is>
      </c>
      <c r="J16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5" s="2" t="n"/>
      <c r="L1645" s="2" t="inlineStr">
        <is>
          <t>General Therapeutics</t>
        </is>
      </c>
      <c r="M1645" s="2" t="inlineStr">
        <is>
          <t>Clinic</t>
        </is>
      </c>
      <c r="N1645" s="2" t="inlineStr">
        <is>
          <t>ข้อ 3 (PLE_CC1_Key_Rx20_UBU.md)</t>
        </is>
      </c>
      <c r="O1645" s="2" t="inlineStr">
        <is>
          <t>Mock</t>
        </is>
      </c>
      <c r="P1645" s="2" t="inlineStr">
        <is>
          <t>Mock Rx20 UBU</t>
        </is>
      </c>
    </row>
    <row r="1646" ht="13.2" customHeight="1" s="37">
      <c r="A1646" s="8" t="inlineStr">
        <is>
          <t>1667</t>
        </is>
      </c>
      <c r="B1646" s="2" t="inlineStr">
        <is>
          <t>5 mg จำนวน 28 เม็ด ดังนั้นต้องใช้ขนาดเท่ากันทุกวันคือ 2.5 mg จากยาขนาด 5 mg แบ่งครึ่งเม็ด จะต้องใช้ยา 70/5=14 เม็ด</t>
        </is>
      </c>
      <c r="C1646" s="2" t="n"/>
      <c r="D1646" s="2" t="inlineStr">
        <is>
          <t>Dimercaprol (BAL) 3 mg/kg IM</t>
        </is>
      </c>
      <c r="E1646" s="2" t="inlineStr">
        <is>
          <t>Ethanol 10% IV infusion for Methanol poisoning</t>
        </is>
      </c>
      <c r="F1646" s="2" t="inlineStr">
        <is>
          <t>Fomepizole 15 mg/kg IV loading</t>
        </is>
      </c>
      <c r="G1646" s="2" t="inlineStr">
        <is>
          <t>N-acetylcysteine (NAC) IV infusion protocol</t>
        </is>
      </c>
      <c r="H1646" s="2" t="inlineStr">
        <is>
          <t>Atropine sulfate 2 mg IV Q5-10 min</t>
        </is>
      </c>
      <c r="I1646" s="8" t="inlineStr">
        <is>
          <t>5</t>
        </is>
      </c>
      <c r="J1646" s="2" t="inlineStr">
        <is>
          <t>✅ คำตอบที่ถูกต้อง: ข้อ จ.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646" s="2" t="n"/>
      <c r="L1646" s="2" t="inlineStr">
        <is>
          <t>General Therapeutics</t>
        </is>
      </c>
      <c r="M1646" s="2" t="inlineStr">
        <is>
          <t>Clinic</t>
        </is>
      </c>
      <c r="N1646" s="2" t="inlineStr">
        <is>
          <t>ข้อ 4 (PLE_CC1_Key_Rx20_UBU.md)</t>
        </is>
      </c>
      <c r="O1646" s="2" t="inlineStr">
        <is>
          <t>Mock</t>
        </is>
      </c>
      <c r="P1646" s="2" t="inlineStr">
        <is>
          <t>Mock Rx20 UBU</t>
        </is>
      </c>
    </row>
    <row r="1647" ht="13.2" customHeight="1" s="37">
      <c r="A1647" s="8" t="inlineStr">
        <is>
          <t>1668</t>
        </is>
      </c>
      <c r="B1647" s="2" t="inlineStr">
        <is>
          <t>R-isomer มีฤทธิ์มากกวา่ S-isomer</t>
        </is>
      </c>
      <c r="C1647" s="2" t="n"/>
      <c r="D1647" s="2" t="inlineStr">
        <is>
          <t>N-acetylcysteine (NAC) IV infusion protocol</t>
        </is>
      </c>
      <c r="E1647" s="2" t="inlineStr">
        <is>
          <t>Atropine sulfate 2 mg IV Q5-10 min</t>
        </is>
      </c>
      <c r="F1647" s="2" t="inlineStr">
        <is>
          <t>Pralidoxime (2-PAM) 1-2 g IV over 30 min</t>
        </is>
      </c>
      <c r="G1647" s="2" t="inlineStr">
        <is>
          <t>Naloxone 0.4 mg IV stat</t>
        </is>
      </c>
      <c r="H1647" s="2" t="inlineStr">
        <is>
          <t>Flumazenil 0.2 mg IV stat</t>
        </is>
      </c>
      <c r="I1647" s="8" t="inlineStr">
        <is>
          <t>1</t>
        </is>
      </c>
      <c r="J16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47" s="2" t="n"/>
      <c r="L1647" s="2" t="inlineStr">
        <is>
          <t>General Therapeutics</t>
        </is>
      </c>
      <c r="M1647" s="2" t="inlineStr">
        <is>
          <t>Clinic</t>
        </is>
      </c>
      <c r="N1647" s="2" t="inlineStr">
        <is>
          <t>ข้อ 1 (PLE_CC1_Key_Rx20_UBU.md)</t>
        </is>
      </c>
      <c r="O1647" s="2" t="inlineStr">
        <is>
          <t>Mock</t>
        </is>
      </c>
      <c r="P1647" s="2" t="inlineStr">
        <is>
          <t>Mock Rx20 UBU</t>
        </is>
      </c>
    </row>
    <row r="1648" ht="13.2" customHeight="1" s="37">
      <c r="A1648" s="8" t="inlineStr">
        <is>
          <t>1669</t>
        </is>
      </c>
      <c r="B1648" s="2" t="inlineStr">
        <is>
          <t>ผู้ป่วยคนใดมีความเสี่ยงที่จะเกิด thrombosis</t>
        </is>
      </c>
      <c r="C1648" s="2" t="n"/>
      <c r="D1648" s="2" t="inlineStr">
        <is>
          <t>Naloxone 0.4 mg IV stat</t>
        </is>
      </c>
      <c r="E1648" s="2" t="inlineStr">
        <is>
          <t>Flumazenil 0.2 mg IV stat</t>
        </is>
      </c>
      <c r="F1648" s="2" t="inlineStr">
        <is>
          <t>Vitamin K1 (Phytomenadione) 10 mg IV slow</t>
        </is>
      </c>
      <c r="G1648" s="2" t="inlineStr">
        <is>
          <t>Sodium thiosulfate 25% 50 mL IV</t>
        </is>
      </c>
      <c r="H1648" s="2" t="inlineStr">
        <is>
          <t>Calcium disodium EDTA 1 g IV</t>
        </is>
      </c>
      <c r="I1648" s="8" t="inlineStr">
        <is>
          <t>1</t>
        </is>
      </c>
      <c r="J16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48" s="2" t="n"/>
      <c r="L1648" s="2" t="inlineStr">
        <is>
          <t>General Therapeutics</t>
        </is>
      </c>
      <c r="M1648" s="2" t="inlineStr">
        <is>
          <t>Clinic</t>
        </is>
      </c>
      <c r="N1648" s="2" t="inlineStr">
        <is>
          <t>ข้อ 8 (PLE_CC1_Key_Rx20_UBU.md)</t>
        </is>
      </c>
      <c r="O1648" s="2" t="inlineStr">
        <is>
          <t>Mock</t>
        </is>
      </c>
      <c r="P1648" s="2" t="inlineStr">
        <is>
          <t>Mock Rx20 UBU</t>
        </is>
      </c>
    </row>
    <row r="1649" ht="13.2" customHeight="1" s="37">
      <c r="A1649" s="8" t="inlineStr">
        <is>
          <t>1670</t>
        </is>
      </c>
      <c r="B1649" s="2" t="inlineStr">
        <is>
          <t>ควรเลือกใช้ยาแก้แพ้ใดในผู้ป่วยต่อไปนี้</t>
        </is>
      </c>
      <c r="C1649" s="2" t="n"/>
      <c r="D1649" s="2" t="inlineStr">
        <is>
          <t>Sodium thiosulfate 25% 50 mL IV</t>
        </is>
      </c>
      <c r="E1649" s="2" t="inlineStr">
        <is>
          <t>Calcium disodium EDTA 1 g IV</t>
        </is>
      </c>
      <c r="F1649" s="2" t="inlineStr">
        <is>
          <t>Desferrioxamine 1 g IM/IV</t>
        </is>
      </c>
      <c r="G1649" s="2" t="inlineStr">
        <is>
          <t>Dimercaprol (BAL) 3 mg/kg IM</t>
        </is>
      </c>
      <c r="H1649" s="2" t="inlineStr">
        <is>
          <t>Ethanol 10% IV infusion for Methanol poisoning</t>
        </is>
      </c>
      <c r="I1649" s="8" t="inlineStr">
        <is>
          <t>1</t>
        </is>
      </c>
      <c r="J16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9" s="2" t="n"/>
      <c r="L1649" s="2" t="inlineStr">
        <is>
          <t>General Therapeutics</t>
        </is>
      </c>
      <c r="M1649" s="2" t="inlineStr">
        <is>
          <t>Clinic</t>
        </is>
      </c>
      <c r="N1649" s="2" t="inlineStr">
        <is>
          <t>ข้อ 1 (PLE_CC1_Key_Rx20_UBU.md)</t>
        </is>
      </c>
      <c r="O1649" s="2" t="inlineStr">
        <is>
          <t>Mock</t>
        </is>
      </c>
      <c r="P1649" s="2" t="inlineStr">
        <is>
          <t>Mock Rx20 UBU</t>
        </is>
      </c>
    </row>
    <row r="1650" ht="13.2" customHeight="1" s="37">
      <c r="A1650" s="8" t="inlineStr">
        <is>
          <t>1671</t>
        </is>
      </c>
      <c r="B1650" s="2" t="inlineStr">
        <is>
          <t>Cyproheptadine</t>
        </is>
      </c>
      <c r="C1650" s="2" t="n"/>
      <c r="D1650" s="2" t="inlineStr">
        <is>
          <t>Dimercaprol (BAL) 3 mg/kg IM</t>
        </is>
      </c>
      <c r="E1650" s="2" t="inlineStr">
        <is>
          <t>Ethanol 10% IV infusion for Methanol poisoning</t>
        </is>
      </c>
      <c r="F1650" s="2" t="inlineStr">
        <is>
          <t>Fomepizole 15 mg/kg IV loading</t>
        </is>
      </c>
      <c r="G1650" s="2" t="inlineStr">
        <is>
          <t>N-acetylcysteine (NAC) IV infusion protocol</t>
        </is>
      </c>
      <c r="H1650" s="2" t="inlineStr">
        <is>
          <t>Atropine sulfate 2 mg IV Q5-10 min</t>
        </is>
      </c>
      <c r="I1650" s="8" t="inlineStr">
        <is>
          <t>3</t>
        </is>
      </c>
      <c r="J1650"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0" s="2" t="n"/>
      <c r="L1650" s="2" t="inlineStr">
        <is>
          <t>General Therapeutics</t>
        </is>
      </c>
      <c r="M1650" s="2" t="inlineStr">
        <is>
          <t>Clinic</t>
        </is>
      </c>
      <c r="N1650" s="2" t="inlineStr">
        <is>
          <t>ข้อ 5 (PLE_CC1_Key_Rx20_UBU.md)</t>
        </is>
      </c>
      <c r="O1650" s="2" t="inlineStr">
        <is>
          <t>Mock</t>
        </is>
      </c>
      <c r="P1650" s="2" t="inlineStr">
        <is>
          <t>Mock Rx20 UBU</t>
        </is>
      </c>
    </row>
    <row r="1651" ht="13.2" customHeight="1" s="37">
      <c r="A1651" s="8" t="inlineStr">
        <is>
          <t>1672</t>
        </is>
      </c>
      <c r="B1651" s="2" t="inlineStr">
        <is>
          <t>ถ้าพ่นไม่ถูกตามวิธีข้างต้น จะเกิด ADR อะไรขึ้น</t>
        </is>
      </c>
      <c r="C1651" s="2" t="n"/>
      <c r="D1651" s="2" t="inlineStr">
        <is>
          <t>Cetirizine 10 mg OD</t>
        </is>
      </c>
      <c r="E1651" s="2" t="inlineStr">
        <is>
          <t>Loratadine 10 mg OD</t>
        </is>
      </c>
      <c r="F1651" s="2" t="inlineStr">
        <is>
          <t>Fexofenadine 180 mg OD</t>
        </is>
      </c>
      <c r="G1651" s="2" t="inlineStr">
        <is>
          <t>Chlorpheniramine 4 mg TID</t>
        </is>
      </c>
      <c r="H1651" s="2" t="inlineStr">
        <is>
          <t>Fluticasone furoate nasal spray</t>
        </is>
      </c>
      <c r="I1651" s="8" t="inlineStr">
        <is>
          <t>1</t>
        </is>
      </c>
      <c r="J1651"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51" s="2" t="n"/>
      <c r="L1651" s="2" t="inlineStr">
        <is>
          <t>Allergy &amp; Immunology</t>
        </is>
      </c>
      <c r="M1651" s="2" t="inlineStr">
        <is>
          <t>Clinic</t>
        </is>
      </c>
      <c r="N1651" s="2" t="inlineStr">
        <is>
          <t>ข้อ 3 (PLE_CC1_Key_Rx20_UBU.md)</t>
        </is>
      </c>
      <c r="O1651" s="2" t="inlineStr">
        <is>
          <t>Mock</t>
        </is>
      </c>
      <c r="P1651" s="2" t="inlineStr">
        <is>
          <t>Mock Rx20 UBU</t>
        </is>
      </c>
    </row>
    <row r="1652" ht="13.2" customHeight="1" s="37">
      <c r="A1652" s="8" t="inlineStr">
        <is>
          <t>1673</t>
        </is>
      </c>
      <c r="B1652" s="2" t="inlineStr">
        <is>
          <t>ตำรับ Oxymethazoline (E=0.30) 0.1 % NaCl qs Purified water 100 ml จะปรับให้สูตรตำรับ Isotonic ต้องใช้ NaCl เท่าไร</t>
        </is>
      </c>
      <c r="C1652" s="2" t="n"/>
      <c r="D1652" s="2" t="inlineStr">
        <is>
          <t>เกณฑ์จริยธรรมว่าด้วยการส่งเสริมการขายยาของกระทรวงสาธารณสุข</t>
        </is>
      </c>
      <c r="E1652" s="2" t="inlineStr">
        <is>
          <t>พ.ร.บ. ยา พ.ศ. 2510 (การจำหน่ายยาอันตรายและยาควบคุมพิเศษ)</t>
        </is>
      </c>
      <c r="F1652" s="2" t="inlineStr">
        <is>
          <t>พ.ร.บ. ยาเสพติดให้โทษ พ.ศ. 2522 (ยาเสพติดให้โทษประเภท 2 และ 3)</t>
        </is>
      </c>
      <c r="G1652" s="2" t="inlineStr">
        <is>
          <t>พ.ร.บ. วัตถุที่ออกฤทธิ์ต่อจิตและประสาท พ.ศ. 2559 (ประเภท 2 และ 4)</t>
        </is>
      </c>
      <c r="H1652" s="2" t="inlineStr">
        <is>
          <t>พ.ร.บ. วิชาชีพเภสัชกรรม พ.ศ. 2537 และข้อบังคับจรรยาบรรณวิชาชีพ</t>
        </is>
      </c>
      <c r="I1652" s="8" t="inlineStr">
        <is>
          <t>1</t>
        </is>
      </c>
      <c r="J165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2" s="2" t="n"/>
      <c r="L1652" s="2" t="inlineStr">
        <is>
          <t>Pharmacy Laws &amp; Ethics</t>
        </is>
      </c>
      <c r="M1652" s="2" t="inlineStr">
        <is>
          <t>SAP</t>
        </is>
      </c>
      <c r="N1652" s="2" t="inlineStr">
        <is>
          <t>ข้อ 5 (PLE_CC1_Key_Rx20_UBU.md)</t>
        </is>
      </c>
      <c r="O1652" s="2" t="inlineStr">
        <is>
          <t>Mock</t>
        </is>
      </c>
      <c r="P1652" s="2" t="inlineStr">
        <is>
          <t>Mock Rx20 UBU</t>
        </is>
      </c>
    </row>
    <row r="1653" ht="13.2" customHeight="1" s="37">
      <c r="A1653" s="8" t="inlineStr">
        <is>
          <t>1674</t>
        </is>
      </c>
      <c r="B1653" s="2" t="inlineStr">
        <is>
          <t>0.60 จะได้ 0.300.1=0.03…….1 และ 0.9/100100=0.9…....2 เอา ..2-..1= 0.9-0.03 = 0.87</t>
        </is>
      </c>
      <c r="C1653" s="2" t="n"/>
      <c r="D1653" s="2" t="inlineStr">
        <is>
          <t>Sodium thiosulfate 25% 50 mL IV</t>
        </is>
      </c>
      <c r="E1653" s="2" t="inlineStr">
        <is>
          <t>Calcium disodium EDTA 1 g IV</t>
        </is>
      </c>
      <c r="F1653" s="2" t="inlineStr">
        <is>
          <t>Desferrioxamine 1 g IM/IV</t>
        </is>
      </c>
      <c r="G1653" s="2" t="inlineStr">
        <is>
          <t>Dimercaprol (BAL) 3 mg/kg IM</t>
        </is>
      </c>
      <c r="H1653" s="2" t="inlineStr">
        <is>
          <t>Ethanol 10% IV infusion for Methanol poisoning</t>
        </is>
      </c>
      <c r="I1653" s="8" t="inlineStr">
        <is>
          <t>5</t>
        </is>
      </c>
      <c r="J1653" s="2" t="inlineStr">
        <is>
          <t>✅ คำตอบที่ถูกต้อง: ข้อ จ.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3" s="2" t="n"/>
      <c r="L1653" s="2" t="inlineStr">
        <is>
          <t>General Therapeutics</t>
        </is>
      </c>
      <c r="M1653" s="2" t="inlineStr">
        <is>
          <t>Clinic</t>
        </is>
      </c>
      <c r="N1653" s="2" t="inlineStr">
        <is>
          <t>ข้อ 5 (PLE_CC1_Key_Rx20_UBU.md)</t>
        </is>
      </c>
      <c r="O1653" s="2" t="inlineStr">
        <is>
          <t>Mock</t>
        </is>
      </c>
      <c r="P1653" s="2" t="inlineStr">
        <is>
          <t>Mock Rx20 UBU</t>
        </is>
      </c>
    </row>
    <row r="1654" ht="13.2" customHeight="1" s="37">
      <c r="A1654" s="8" t="inlineStr">
        <is>
          <t>1675</t>
        </is>
      </c>
      <c r="B1654" s="2" t="inlineStr">
        <is>
          <t>ปวดจุก รู้สึกแสบท้อง</t>
        </is>
      </c>
      <c r="C1654" s="2" t="n"/>
      <c r="D1654" s="2" t="inlineStr">
        <is>
          <t>Dimercaprol (BAL) 3 mg/kg IM</t>
        </is>
      </c>
      <c r="E1654" s="2" t="inlineStr">
        <is>
          <t>Ethanol 10% IV infusion for Methanol poisoning</t>
        </is>
      </c>
      <c r="F1654" s="2" t="inlineStr">
        <is>
          <t>Fomepizole 15 mg/kg IV loading</t>
        </is>
      </c>
      <c r="G1654" s="2" t="inlineStr">
        <is>
          <t>N-acetylcysteine (NAC) IV infusion protocol</t>
        </is>
      </c>
      <c r="H1654" s="2" t="inlineStr">
        <is>
          <t>Atropine sulfate 2 mg IV Q5-10 min</t>
        </is>
      </c>
      <c r="I1654" s="8" t="inlineStr">
        <is>
          <t>1</t>
        </is>
      </c>
      <c r="J16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4" s="2" t="n"/>
      <c r="L1654" s="2" t="inlineStr">
        <is>
          <t>General Therapeutics</t>
        </is>
      </c>
      <c r="M1654" s="2" t="inlineStr">
        <is>
          <t>Clinic</t>
        </is>
      </c>
      <c r="N1654" s="2" t="inlineStr">
        <is>
          <t>ข้อ 1 (PLE_CC1_Key_Rx20_UBU.md)</t>
        </is>
      </c>
      <c r="O1654" s="2" t="inlineStr">
        <is>
          <t>Mock</t>
        </is>
      </c>
      <c r="P1654" s="2" t="inlineStr">
        <is>
          <t>Mock Rx20 UBU</t>
        </is>
      </c>
    </row>
    <row r="1655" ht="13.2" customHeight="1" s="37">
      <c r="A1655" s="8" t="inlineStr">
        <is>
          <t>1676</t>
        </is>
      </c>
      <c r="B1655" s="2" t="inlineStr">
        <is>
          <t>อาการดีขึ้นตอนกินยาลดกรด กรดในระบบทางเดินอาหารจะทำให้เลือดมีสีดำคล้ำ</t>
        </is>
      </c>
      <c r="C1655" s="2" t="n"/>
      <c r="D1655" s="2" t="inlineStr">
        <is>
          <t>Hyoscine butylbromide 10 mg TID</t>
        </is>
      </c>
      <c r="E1655" s="2" t="inlineStr">
        <is>
          <t>Aluminium hydroxide/Magnesium hydroxide suspension</t>
        </is>
      </c>
      <c r="F1655" s="2" t="inlineStr">
        <is>
          <t>Metoclopramide 10 mg TID before meals</t>
        </is>
      </c>
      <c r="G1655" s="2" t="inlineStr">
        <is>
          <t>Omeprazole 20 mg OD</t>
        </is>
      </c>
      <c r="H1655" s="2" t="inlineStr">
        <is>
          <t>Esomeprazole 20 mg OD</t>
        </is>
      </c>
      <c r="I1655" s="8" t="inlineStr">
        <is>
          <t>5</t>
        </is>
      </c>
      <c r="J1655" s="2" t="inlineStr">
        <is>
          <t>✅ คำตอบที่ถูกต้อง: ข้อ จ. Esomeprazole 20 mg OD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ก. (Hyoscine butylbromide 10 mg TID): ข้อนี้ไม่ใช่คำตอบที่ถูกต้องสำหรับภาวะ GI Disorders เนื่องจากกลไกการออกฤทธิ์, efficacy หรือข้อบ่งใช้ไม่ตรงกับโจทย์ที่กำหนด
• ข้อ ข. (Aluminium hydroxide/Magnesium hydroxide suspension): ข้อนี้ไม่ใช่คำตอบที่ถูกต้องสำหรับภาวะ GI Disorders เนื่องจากกลไกการออกฤทธิ์, efficacy หรือข้อบ่งใช้ไม่ตรงกับโจทย์ที่กำหนด
• ข้อ ค. (Metoclopramide 10 mg TID before meals): เป็น central และ peripheral D2 antagonist เพิ่ม gastric emptying และแก้อาเจียน แต่ผ่าน BBB จึงทำให้เกิด acute dystonia และ EPS ได้ง่าย
• ข้อ ง.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55" s="2" t="n"/>
      <c r="L1655" s="2" t="inlineStr">
        <is>
          <t>GI Disorders</t>
        </is>
      </c>
      <c r="M1655" s="2" t="inlineStr">
        <is>
          <t>Clinic</t>
        </is>
      </c>
      <c r="N1655" s="2" t="inlineStr">
        <is>
          <t>ข้อ 5 (PLE_CC1_Key_Rx20_UBU.md)</t>
        </is>
      </c>
      <c r="O1655" s="2" t="inlineStr">
        <is>
          <t>Mock</t>
        </is>
      </c>
      <c r="P1655" s="2" t="inlineStr">
        <is>
          <t>Mock Rx20 UBU</t>
        </is>
      </c>
    </row>
    <row r="1656" ht="13.2" customHeight="1" s="37">
      <c r="A1656" s="8" t="inlineStr">
        <is>
          <t>1677</t>
        </is>
      </c>
      <c r="B1656" s="2" t="inlineStr">
        <is>
          <t>H+/K+ ATPase inhibitor</t>
        </is>
      </c>
      <c r="C1656" s="2" t="n"/>
      <c r="D1656" s="2" t="inlineStr">
        <is>
          <t>Naloxone 0.4 mg IV stat</t>
        </is>
      </c>
      <c r="E1656" s="2" t="inlineStr">
        <is>
          <t>Flumazenil 0.2 mg IV stat</t>
        </is>
      </c>
      <c r="F1656" s="2" t="inlineStr">
        <is>
          <t>Vitamin K1 (Phytomenadione) 10 mg IV slow</t>
        </is>
      </c>
      <c r="G1656" s="2" t="inlineStr">
        <is>
          <t>Sodium thiosulfate 25% 50 mL IV</t>
        </is>
      </c>
      <c r="H1656" s="2" t="inlineStr">
        <is>
          <t>Calcium disodium EDTA 1 g IV</t>
        </is>
      </c>
      <c r="I1656" s="8" t="inlineStr">
        <is>
          <t>1</t>
        </is>
      </c>
      <c r="J16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56" s="2" t="n"/>
      <c r="L1656" s="2" t="inlineStr">
        <is>
          <t>General Therapeutics</t>
        </is>
      </c>
      <c r="M1656" s="2" t="inlineStr">
        <is>
          <t>Clinic</t>
        </is>
      </c>
      <c r="N1656" s="2" t="inlineStr">
        <is>
          <t>ข้อ 4 (PLE_CC1_Key_Rx20_UBU.md)</t>
        </is>
      </c>
      <c r="O1656" s="2" t="inlineStr">
        <is>
          <t>Mock</t>
        </is>
      </c>
      <c r="P1656" s="2" t="inlineStr">
        <is>
          <t>Mock Rx20 UBU</t>
        </is>
      </c>
    </row>
    <row r="1657" ht="13.2" customHeight="1" s="37">
      <c r="A1657" s="8" t="inlineStr">
        <is>
          <t>1678</t>
        </is>
      </c>
      <c r="B1657" s="2" t="inlineStr">
        <is>
          <t>ถ้าผู้ป่วยได้รับ antacid น้ำร่วมด้วย ควรทำยังไง</t>
        </is>
      </c>
      <c r="C1657" s="2" t="n"/>
      <c r="D1657" s="2" t="inlineStr">
        <is>
          <t>Dimenhydrinate 50 mg TID</t>
        </is>
      </c>
      <c r="E1657" s="2" t="inlineStr">
        <is>
          <t>Loperamide 2 mg PRN</t>
        </is>
      </c>
      <c r="F1657" s="2" t="inlineStr">
        <is>
          <t>Senna 2 tabs HS</t>
        </is>
      </c>
      <c r="G1657" s="2" t="inlineStr">
        <is>
          <t>Bisacodyl 5 mg HS</t>
        </is>
      </c>
      <c r="H1657" s="2" t="inlineStr">
        <is>
          <t>Lactulose 15 mL OD</t>
        </is>
      </c>
      <c r="I1657" s="8" t="inlineStr">
        <is>
          <t>1</t>
        </is>
      </c>
      <c r="J1657" s="2" t="inlineStr">
        <is>
          <t>✅ คำตอบที่ถูกต้อง: ข้อ ก. Dimenhydrinate 50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Dimenhydrinate 50 mg TID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57" s="2" t="n"/>
      <c r="L1657" s="2" t="inlineStr">
        <is>
          <t>GI Disorders</t>
        </is>
      </c>
      <c r="M1657" s="2" t="inlineStr">
        <is>
          <t>Clinic</t>
        </is>
      </c>
      <c r="N1657" s="2" t="inlineStr">
        <is>
          <t>ข้อ 3 (PLE_CC1_Key_Rx20_UBU.md)</t>
        </is>
      </c>
      <c r="O1657" s="2" t="inlineStr">
        <is>
          <t>Mock</t>
        </is>
      </c>
      <c r="P1657" s="2" t="inlineStr">
        <is>
          <t>Mock Rx20 UBU</t>
        </is>
      </c>
    </row>
    <row r="1658" ht="13.2" customHeight="1" s="37">
      <c r="A1658" s="8" t="inlineStr">
        <is>
          <t>1679</t>
        </is>
      </c>
      <c r="B1658" s="2" t="inlineStr">
        <is>
          <t>ควรจะแก้ปัญหานี้อย่างไร</t>
        </is>
      </c>
      <c r="C1658" s="2" t="n"/>
      <c r="D1658" s="2" t="inlineStr">
        <is>
          <t>Dimercaprol (BAL) 3 mg/kg IM</t>
        </is>
      </c>
      <c r="E1658" s="2" t="inlineStr">
        <is>
          <t>Ethanol 10% IV infusion for Methanol poisoning</t>
        </is>
      </c>
      <c r="F1658" s="2" t="inlineStr">
        <is>
          <t>Fomepizole 15 mg/kg IV loading</t>
        </is>
      </c>
      <c r="G1658" s="2" t="inlineStr">
        <is>
          <t>N-acetylcysteine (NAC) IV infusion protocol</t>
        </is>
      </c>
      <c r="H1658" s="2" t="inlineStr">
        <is>
          <t>Atropine sulfate 2 mg IV Q5-10 min</t>
        </is>
      </c>
      <c r="I1658" s="8" t="inlineStr">
        <is>
          <t>1</t>
        </is>
      </c>
      <c r="J16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58" s="2" t="n"/>
      <c r="L1658" s="2" t="inlineStr">
        <is>
          <t>General Therapeutics</t>
        </is>
      </c>
      <c r="M1658" s="2" t="inlineStr">
        <is>
          <t>Clinic</t>
        </is>
      </c>
      <c r="N1658" s="2" t="inlineStr">
        <is>
          <t>ข้อ 5 (PLE_CC1_Key_Rx20_UBU.md)</t>
        </is>
      </c>
      <c r="O1658" s="2" t="inlineStr">
        <is>
          <t>Mock</t>
        </is>
      </c>
      <c r="P1658" s="2" t="inlineStr">
        <is>
          <t>Mock Rx20 UBU</t>
        </is>
      </c>
    </row>
    <row r="1659" ht="13.2" customHeight="1" s="37">
      <c r="A1659" s="8" t="inlineStr">
        <is>
          <t>1680</t>
        </is>
      </c>
      <c r="B1659" s="2" t="inlineStr">
        <is>
          <t>เก็บผลิตเอาไว้ใช้ในครั้งต่อไปได้อีกในคราวหน้า หากใช้ไม่หมด</t>
        </is>
      </c>
      <c r="C1659" s="2" t="n"/>
      <c r="D1659" s="2" t="inlineStr">
        <is>
          <t>N-acetylcysteine (NAC) IV infusion protocol</t>
        </is>
      </c>
      <c r="E1659" s="2" t="inlineStr">
        <is>
          <t>Atropine sulfate 2 mg IV Q5-10 min</t>
        </is>
      </c>
      <c r="F1659" s="2" t="inlineStr">
        <is>
          <t>Pralidoxime (2-PAM) 1-2 g IV over 30 min</t>
        </is>
      </c>
      <c r="G1659" s="2" t="inlineStr">
        <is>
          <t>Naloxone 0.4 mg IV stat</t>
        </is>
      </c>
      <c r="H1659" s="2" t="inlineStr">
        <is>
          <t>Flumazenil 0.2 mg IV stat</t>
        </is>
      </c>
      <c r="I1659" s="8" t="inlineStr">
        <is>
          <t>1</t>
        </is>
      </c>
      <c r="J16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59" s="2" t="n"/>
      <c r="L1659" s="2" t="inlineStr">
        <is>
          <t>General Therapeutics</t>
        </is>
      </c>
      <c r="M1659" s="2" t="inlineStr">
        <is>
          <t>Clinic</t>
        </is>
      </c>
      <c r="N1659" s="2" t="inlineStr">
        <is>
          <t>ข้อ 3 (PLE_CC1_Key_Rx20_UBU.md)</t>
        </is>
      </c>
      <c r="O1659" s="2" t="inlineStr">
        <is>
          <t>Mock</t>
        </is>
      </c>
      <c r="P1659" s="2" t="inlineStr">
        <is>
          <t>Mock Rx20 UBU</t>
        </is>
      </c>
    </row>
    <row r="1660" ht="13.2" customHeight="1" s="37">
      <c r="A1660" s="8" t="inlineStr">
        <is>
          <t>1681</t>
        </is>
      </c>
      <c r="B1660" s="2" t="inlineStr">
        <is>
          <t>ต่อมาผู้ป่วยรายนี้ตายังไม่หายแดง แต่มีขี้ตาสีขาวใส น้ำตาไหลมาก ไม่ค่อยมีอาการคัน และเยื่อบุตาไม่บวม ผู้ป่วย บอกเพิ่มเติมว่า ลูกชายที่บ้านก็มีอาการดังกล่าวด้วย ท่านคิดว่าน่าจะเกิดจากสาเหตุอะไร</t>
        </is>
      </c>
      <c r="C1660" s="2" t="n"/>
      <c r="D1660" s="2" t="inlineStr">
        <is>
          <t>Naloxone 0.4 mg IV stat</t>
        </is>
      </c>
      <c r="E1660" s="2" t="inlineStr">
        <is>
          <t>Flumazenil 0.2 mg IV stat</t>
        </is>
      </c>
      <c r="F1660" s="2" t="inlineStr">
        <is>
          <t>Vitamin K1 (Phytomenadione) 10 mg IV slow</t>
        </is>
      </c>
      <c r="G1660" s="2" t="inlineStr">
        <is>
          <t>Sodium thiosulfate 25% 50 mL IV</t>
        </is>
      </c>
      <c r="H1660" s="2" t="inlineStr">
        <is>
          <t>Calcium disodium EDTA 1 g IV</t>
        </is>
      </c>
      <c r="I1660" s="8" t="inlineStr">
        <is>
          <t>1</t>
        </is>
      </c>
      <c r="J16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60" s="2" t="n"/>
      <c r="L1660" s="2" t="inlineStr">
        <is>
          <t>General Therapeutics</t>
        </is>
      </c>
      <c r="M1660" s="2" t="inlineStr">
        <is>
          <t>Clinic</t>
        </is>
      </c>
      <c r="N1660" s="2" t="inlineStr">
        <is>
          <t>ข้อ 4 (PLE_CC1_Key_Rx20_UBU.md)</t>
        </is>
      </c>
      <c r="O1660" s="2" t="inlineStr">
        <is>
          <t>Mock</t>
        </is>
      </c>
      <c r="P1660" s="2" t="inlineStr">
        <is>
          <t>Mock Rx20 UBU</t>
        </is>
      </c>
    </row>
    <row r="1661" ht="13.2" customHeight="1" s="37">
      <c r="A1661" s="8" t="inlineStr">
        <is>
          <t>1682</t>
        </is>
      </c>
      <c r="B1661" s="2" t="inlineStr">
        <is>
          <t>จากอาการข้างต้น ยาใดที่ไม่ควรจ่ายให้กับผู้ป่วยรายนี้</t>
        </is>
      </c>
      <c r="C1661" s="2" t="n"/>
      <c r="D1661" s="2" t="inlineStr">
        <is>
          <t>Sodium thiosulfate 25% 50 mL IV</t>
        </is>
      </c>
      <c r="E1661" s="2" t="inlineStr">
        <is>
          <t>Calcium disodium EDTA 1 g IV</t>
        </is>
      </c>
      <c r="F1661" s="2" t="inlineStr">
        <is>
          <t>Desferrioxamine 1 g IM/IV</t>
        </is>
      </c>
      <c r="G1661" s="2" t="inlineStr">
        <is>
          <t>Dimercaprol (BAL) 3 mg/kg IM</t>
        </is>
      </c>
      <c r="H1661" s="2" t="inlineStr">
        <is>
          <t>Ethanol 10% IV infusion for Methanol poisoning</t>
        </is>
      </c>
      <c r="I1661" s="8" t="inlineStr">
        <is>
          <t>1</t>
        </is>
      </c>
      <c r="J16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1" s="2" t="n"/>
      <c r="L1661" s="2" t="inlineStr">
        <is>
          <t>General Therapeutics</t>
        </is>
      </c>
      <c r="M1661" s="2" t="inlineStr">
        <is>
          <t>Clinic</t>
        </is>
      </c>
      <c r="N1661" s="2" t="inlineStr">
        <is>
          <t>ข้อ 5 (PLE_CC1_Key_Rx20_UBU.md)</t>
        </is>
      </c>
      <c r="O1661" s="2" t="inlineStr">
        <is>
          <t>Mock</t>
        </is>
      </c>
      <c r="P1661" s="2" t="inlineStr">
        <is>
          <t>Mock Rx20 UBU</t>
        </is>
      </c>
    </row>
    <row r="1662" ht="13.2" customHeight="1" s="37">
      <c r="A1662" s="8" t="inlineStr">
        <is>
          <t>1683</t>
        </is>
      </c>
      <c r="B1662" s="2" t="inlineStr">
        <is>
          <t>ยาใดที่สามารถทำให้เกิด rhinitis medicamentosa</t>
        </is>
      </c>
      <c r="C1662" s="2" t="n"/>
      <c r="D1662" s="2" t="inlineStr">
        <is>
          <t>Dimercaprol (BAL) 3 mg/kg IM</t>
        </is>
      </c>
      <c r="E1662" s="2" t="inlineStr">
        <is>
          <t>Ethanol 10% IV infusion for Methanol poisoning</t>
        </is>
      </c>
      <c r="F1662" s="2" t="inlineStr">
        <is>
          <t>Fomepizole 15 mg/kg IV loading</t>
        </is>
      </c>
      <c r="G1662" s="2" t="inlineStr">
        <is>
          <t>N-acetylcysteine (NAC) IV infusion protocol</t>
        </is>
      </c>
      <c r="H1662" s="2" t="inlineStr">
        <is>
          <t>Atropine sulfate 2 mg IV Q5-10 min</t>
        </is>
      </c>
      <c r="I1662" s="8" t="inlineStr">
        <is>
          <t>1</t>
        </is>
      </c>
      <c r="J16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2" s="2" t="n"/>
      <c r="L1662" s="2" t="inlineStr">
        <is>
          <t>General Therapeutics</t>
        </is>
      </c>
      <c r="M1662" s="2" t="inlineStr">
        <is>
          <t>Clinic</t>
        </is>
      </c>
      <c r="N1662" s="2" t="inlineStr">
        <is>
          <t>ข้อ 6 (PLE_CC1_Key_Rx20_UBU.md)</t>
        </is>
      </c>
      <c r="O1662" s="2" t="inlineStr">
        <is>
          <t>Mock</t>
        </is>
      </c>
      <c r="P1662" s="2" t="inlineStr">
        <is>
          <t>Mock Rx20 UBU</t>
        </is>
      </c>
    </row>
    <row r="1663" ht="13.2" customHeight="1" s="37">
      <c r="A1663" s="8" t="inlineStr">
        <is>
          <t>1684</t>
        </is>
      </c>
      <c r="B1663" s="2" t="inlineStr">
        <is>
          <t>Isoosmotic Ephrine HCl = 1g/100 ml วิธีที่ 1 คิดจากค่า E จะได้ Ephrine HCl เทียบเท่ากับ NaCl 0.26 1 = 0.26 g ดังนั้นจะต้องเพิ่ม NaCl ลงไป เพื่อให้เท่ากับ NaCl 0.9 g ดังนั้น ยาตาเป็น Hypotonic วิธีที่ 2 คิดจาก Tf จะได้ 1% Ephrine HCl จะทำให้สารละลายมี Freezing point ลดลง 0.1 องศา ถ้าอยากให้ลดลงถึง -0.52 จะต้องเติม NaCl เพิ่ม ดังนั้น ยาตาเป็น Hypotonic</t>
        </is>
      </c>
      <c r="C1663" s="2" t="n"/>
      <c r="D1663" s="2" t="inlineStr">
        <is>
          <t>N-acetylcysteine (NAC) IV infusion protocol</t>
        </is>
      </c>
      <c r="E1663" s="2" t="inlineStr">
        <is>
          <t>Atropine sulfate 2 mg IV Q5-10 min</t>
        </is>
      </c>
      <c r="F1663" s="2" t="inlineStr">
        <is>
          <t>Pralidoxime (2-PAM) 1-2 g IV over 30 min</t>
        </is>
      </c>
      <c r="G1663" s="2" t="inlineStr">
        <is>
          <t>Naloxone 0.4 mg IV stat</t>
        </is>
      </c>
      <c r="H1663" s="2" t="inlineStr">
        <is>
          <t>Flumazenil 0.2 mg IV stat</t>
        </is>
      </c>
      <c r="I1663" s="8" t="inlineStr">
        <is>
          <t>1</t>
        </is>
      </c>
      <c r="J16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63" s="2" t="n"/>
      <c r="L1663" s="2" t="inlineStr">
        <is>
          <t>General Therapeutics</t>
        </is>
      </c>
      <c r="M1663" s="2" t="inlineStr">
        <is>
          <t>Clinic</t>
        </is>
      </c>
      <c r="N1663" s="2" t="inlineStr">
        <is>
          <t>ข้อ 5 (PLE_CC1_Key_Rx20_UBU.md)</t>
        </is>
      </c>
      <c r="O1663" s="2" t="inlineStr">
        <is>
          <t>Mock</t>
        </is>
      </c>
      <c r="P1663" s="2" t="inlineStr">
        <is>
          <t>Mock Rx20 UBU</t>
        </is>
      </c>
    </row>
    <row r="1664" ht="13.2" customHeight="1" s="37">
      <c r="A1664" s="8" t="inlineStr">
        <is>
          <t>1685</t>
        </is>
      </c>
      <c r="B1664" s="2" t="inlineStr">
        <is>
          <t>สาเหตุของอาการชัก ยกเว้น</t>
        </is>
      </c>
      <c r="C1664" s="2" t="n"/>
      <c r="D1664" s="2" t="inlineStr">
        <is>
          <t>head trauma</t>
        </is>
      </c>
      <c r="E1664" s="2" t="inlineStr">
        <is>
          <t>ติดเชื้อที่หูส่วนกลาง</t>
        </is>
      </c>
      <c r="F1664" s="2" t="inlineStr">
        <is>
          <t>hypoglycemia</t>
        </is>
      </c>
      <c r="G1664" s="2" t="inlineStr">
        <is>
          <t>brain tumor</t>
        </is>
      </c>
      <c r="H1664" s="2" t="inlineStr">
        <is>
          <t>ไข้สูงในเด็กเล็ก</t>
        </is>
      </c>
      <c r="I1664" s="8" t="inlineStr">
        <is>
          <t>2</t>
        </is>
      </c>
      <c r="J1664" s="2" t="inlineStr">
        <is>
          <t>✅ คำตอบที่ถูกต้อง: ข้อ ข. ติดเชื้อที่หูส่วนกลาง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ติดเชื้อที่หูส่วนกลาง การเลือก ติดเชื้อที่หูส่วนกลาง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ก. (head trauma): ข้อนี้ไม่ใช่คำตอบที่ถูกต้องสำหรับภาวะ Neurologic Disorders เนื่องจากกลไกการออกฤทธิ์, efficacy หรือข้อบ่งใช้ไม่ตรงกับโจทย์ที่กำหนด
• ข้อ ค. (hypoglycemia): ข้อนี้ไม่ใช่คำตอบที่ถูกต้องสำหรับภาวะ Neurologic Disorders เนื่องจากกลไกการออกฤทธิ์, efficacy หรือข้อบ่งใช้ไม่ตรงกับโจทย์ที่กำหนด
• ข้อ ง. (brain tumor): ข้อนี้ไม่ใช่คำตอบที่ถูกต้องสำหรับภาวะ Neurologic Disorders เนื่องจากกลไกการออกฤทธิ์, efficacy หรือข้อบ่งใช้ไม่ตรงกับโจทย์ที่กำหนด
• ข้อ จ. (ไข้สูงในเด็กเล็ก):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64" s="2" t="n"/>
      <c r="L1664" s="2" t="inlineStr">
        <is>
          <t>Neurologic Disorders</t>
        </is>
      </c>
      <c r="M1664" s="2" t="inlineStr">
        <is>
          <t>Clinic</t>
        </is>
      </c>
      <c r="N1664" s="2" t="inlineStr">
        <is>
          <t>ข้อ 2 (PLE_CC1_Key_Rx20_UBU.md)</t>
        </is>
      </c>
      <c r="O1664" s="2" t="inlineStr">
        <is>
          <t>Mock</t>
        </is>
      </c>
      <c r="P1664" s="2" t="inlineStr">
        <is>
          <t>Mock Rx20 UBU</t>
        </is>
      </c>
    </row>
    <row r="1665" ht="13.2" customHeight="1" s="37">
      <c r="A1665" s="8" t="inlineStr">
        <is>
          <t>1686</t>
        </is>
      </c>
      <c r="B1665" s="2" t="inlineStr">
        <is>
          <t>MC disperse ให้ใส ทำอย่างไร</t>
        </is>
      </c>
      <c r="C1665" s="2" t="n"/>
      <c r="D1665" s="2" t="inlineStr">
        <is>
          <t>บดกับ Sucrose คนผสมน้ำ</t>
        </is>
      </c>
      <c r="E1665" s="2" t="inlineStr">
        <is>
          <t>โปรยในน้ำเย็น คนให้เข้ากัน แล้วเติมกรดเพื่อปรับ pH</t>
        </is>
      </c>
      <c r="F1665" s="2" t="inlineStr">
        <is>
          <t>บดในน้ำเย็น เติมด่างเพื่อปรับ pH</t>
        </is>
      </c>
      <c r="G1665" s="2" t="inlineStr">
        <is>
          <t>โปรยให้กระจายตัวในน้ำเย็น แล้วเติมน้ำร้อน</t>
        </is>
      </c>
      <c r="H1665" s="2" t="inlineStr">
        <is>
          <t>โปรยให้กระจายตัวในน้ำร้อน แล้วเติมน้ำเย็น</t>
        </is>
      </c>
      <c r="I1665" s="8" t="inlineStr">
        <is>
          <t>5</t>
        </is>
      </c>
      <c r="J1665" s="2" t="inlineStr">
        <is>
          <t>✅ คำตอบที่ถูกต้อง: ข้อ จ. โปรยให้กระจายตัวในน้ำร้อน แล้วเติมน้ำเย็น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โปรยให้กระจายตัวในน้ำร้อน แล้วเติมน้ำเย็น การเลือก โปรยให้กระจายตัวในน้ำร้อน แล้วเติมน้ำเย็น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(บดกับ Sucrose คนผสมน้ำ): ข้อนี้ไม่ใช่คำตอบที่ถูกต้องสำหรับภาวะ General Therapeutics เนื่องจากกลไกการออกฤทธิ์, efficacy หรือข้อบ่งใช้ไม่ตรงกับโจทย์ที่กำหนด
• ข้อ ข. (โปรยในน้ำเย็น คนให้เข้ากัน แล้วเติมกรดเพื่อปรับ pH): ข้อนี้ไม่ใช่คำตอบที่ถูกต้องสำหรับภาวะ General Therapeutics เนื่องจากกลไกการออกฤทธิ์, efficacy หรือข้อบ่งใช้ไม่ตรงกับโจทย์ที่กำหนด
• ข้อ ค. (บดในน้ำเย็น เติมด่างเพื่อปรับ pH): ข้อนี้ไม่ใช่คำตอบที่ถูกต้องสำหรับภาวะ General Therapeutics เนื่องจากกลไกการออกฤทธิ์, efficacy หรือข้อบ่งใช้ไม่ตรงกับโจทย์ที่กำหนด
• ข้อ ง. (โปรยให้กระจายตัวในน้ำเย็น แล้วเติมน้ำร้อน):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5" s="2" t="n"/>
      <c r="L1665" s="2" t="inlineStr">
        <is>
          <t>General Therapeutics</t>
        </is>
      </c>
      <c r="M1665" s="2" t="inlineStr">
        <is>
          <t>Clinic</t>
        </is>
      </c>
      <c r="N1665" s="2" t="inlineStr">
        <is>
          <t>ข้อ 9 (PLE_CC1_Key_Rx20_UBU.md)</t>
        </is>
      </c>
      <c r="O1665" s="2" t="inlineStr">
        <is>
          <t>Mock</t>
        </is>
      </c>
      <c r="P1665" s="2" t="inlineStr">
        <is>
          <t>Mock Rx20 UBU</t>
        </is>
      </c>
    </row>
    <row r="1666" ht="13.2" customHeight="1" s="37">
      <c r="A1666" s="8" t="inlineStr">
        <is>
          <t>1687</t>
        </is>
      </c>
      <c r="B1666" s="2" t="inlineStr">
        <is>
          <t>จากภาพ เป็นระบบนำส่งยาที่เรียกว่าอะไร</t>
        </is>
      </c>
      <c r="C1666" s="2" t="n"/>
      <c r="D1666" s="2" t="inlineStr">
        <is>
          <t>Single-layer Drug-in-Adhesive</t>
        </is>
      </c>
      <c r="E1666" s="2" t="inlineStr">
        <is>
          <t>Multi-layer Drug-in-Adhesive</t>
        </is>
      </c>
      <c r="F1666" s="2" t="inlineStr">
        <is>
          <t>Reservoir</t>
        </is>
      </c>
      <c r="G1666" s="2" t="inlineStr">
        <is>
          <t>Matrix - Single-layer Drug-in-Adhesive มียาอยู่ 1 ชั้น - Multi-layer Drug-in-Adhesive มียาแยกอยู่ 2 ชั้น - Reservoir มีชั้น membrane คั่นเป็นตัวช่วยปลดปล่อยตัวยาและส่วน reservoir จะอยู่ติดชั้น backing - Matrix แตกต่างจาก reservoir ตรงที่จะไม่มีชั้น membrane และส่วน matrix จะอยู่ติดชั้นกาวที่เป็นตัวปลดปล่อยตัวยา</t>
        </is>
      </c>
      <c r="H1666" s="2" t="inlineStr">
        <is>
          <t>Atropine sulfate 2 mg IV Q5-10 min</t>
        </is>
      </c>
      <c r="I1666" s="8" t="inlineStr">
        <is>
          <t>3</t>
        </is>
      </c>
      <c r="J1666" s="2" t="inlineStr">
        <is>
          <t>✅ คำตอบที่ถูกต้อง: ข้อ ค. Reservoir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Reservoir การเลือก Reservoir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(Single-layer Drug-in-Adhesive): ข้อนี้ไม่ใช่คำตอบที่ถูกต้องสำหรับภาวะ General Therapeutics เนื่องจากกลไกการออกฤทธิ์, efficacy หรือข้อบ่งใช้ไม่ตรงกับโจทย์ที่กำหนด
• ข้อ ข. (Multi-layer Drug-in-Adhesive): ข้อนี้ไม่ใช่คำตอบที่ถูกต้องสำหรับภาวะ General Therapeutics เนื่องจากกลไกการออกฤทธิ์, efficacy หรือข้อบ่งใช้ไม่ตรงกับโจทย์ที่กำหนด
• ข้อ ง. (Matrix - Single-layer Drug-in-Adhesive มียาอยู่ 1 ชั้น - Multi-layer Drug-in-Adhesive มียาแยกอยู่ 2 ชั้น - Reservoir มีชั้น membrane คั่นเป็นตัวช่วยปลดปล่อยตัวยาและส่วน reservoir จะอยู่ติดชั้น backing - Matrix แตกต่างจาก reservoir ตรงที่จะไม่มีชั้น membrane และส่วน matrix จะอยู่ติดชั้นกาวที่เป็นตัวปลดปล่อยตัวยา):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6" s="2" t="n"/>
      <c r="L1666" s="2" t="inlineStr">
        <is>
          <t>General Therapeutics</t>
        </is>
      </c>
      <c r="M1666" s="2" t="inlineStr">
        <is>
          <t>Clinic</t>
        </is>
      </c>
      <c r="N1666" s="2" t="inlineStr">
        <is>
          <t>ข้อ 8 (PLE_CC1_Key_Rx20_UBU.md)</t>
        </is>
      </c>
      <c r="O1666" s="2" t="inlineStr">
        <is>
          <t>Mock</t>
        </is>
      </c>
      <c r="P1666" s="2" t="inlineStr">
        <is>
          <t>Mock Rx20 UBU</t>
        </is>
      </c>
    </row>
    <row r="1667" ht="13.2" customHeight="1" s="37">
      <c r="A1667" s="8" t="inlineStr">
        <is>
          <t>1688</t>
        </is>
      </c>
      <c r="B1667" s="2" t="inlineStr">
        <is>
          <t>ปัจจัยใดที่ทำให้ผู้ป่วยเกิดอาการเกาต์กาเริบ</t>
        </is>
      </c>
      <c r="C1667" s="2" t="n"/>
      <c r="D1667" s="2" t="inlineStr">
        <is>
          <t>HCTZ induced hyponatremia</t>
        </is>
      </c>
      <c r="E1667" s="2" t="inlineStr">
        <is>
          <t>complication จากโรคความดันโลหิตสูง</t>
        </is>
      </c>
      <c r="F1667" s="2" t="inlineStr">
        <is>
          <t>ได้รับยา HCTZ เพิ่มขึ้น</t>
        </is>
      </c>
      <c r="G1667" s="2" t="inlineStr">
        <is>
          <t>ได้รับยา amiloride เพิ่ม</t>
        </is>
      </c>
      <c r="H1667" s="2" t="inlineStr">
        <is>
          <t>Flumazenil 0.2 mg IV stat</t>
        </is>
      </c>
      <c r="I1667" s="8" t="inlineStr">
        <is>
          <t>4</t>
        </is>
      </c>
      <c r="J1667" s="2" t="inlineStr">
        <is>
          <t>✅ คำตอบที่ถูกต้อง: ข้อ ง. ได้รับยา amiloride เพิ่ม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ได้รับยา amiloride เพิ่ม การเลือก ได้รับยา amiloride เพิ่ม เป็นคำตอบที่ถูกต้องและสอดคล้องกับ evidence-based guidelines ของภาวะ Musculoskeletal &amp; Joint โดยมี clinical efficacy สูงสุดในการรักษาและมี safety profile ที่เหมาะสม
🔍 ข้ออื่นผิดเพราะอะไร:
• ข้อ ก. (HCTZ induced hyponatremia): ข้อนี้ไม่ใช่คำตอบที่ถูกต้องสำหรับภาวะ Musculoskeletal &amp; Joint เนื่องจากกลไกการออกฤทธิ์, efficacy หรือข้อบ่งใช้ไม่ตรงกับโจทย์ที่กำหนด
• ข้อ ข. (complication จากโรคความดันโลหิตสูง): ข้อนี้ไม่ใช่คำตอบที่ถูกต้องสำหรับภาวะ Musculoskeletal &amp; Joint เนื่องจากกลไกการออกฤทธิ์, efficacy หรือข้อบ่งใช้ไม่ตรงกับโจทย์ที่กำหนด
• ข้อ ค. (ได้รับยา HCTZ เพิ่มขึ้น): ข้อนี้ไม่ใช่คำตอบที่ถูกต้องสำหรับภาวะ Musculoskeletal &amp; Joint เนื่องจากกลไกการออกฤทธิ์, efficacy หรือข้อบ่งใช้ไม่ตรงกับโจทย์ที่กำหนด
• ข้อ จ. (Flumazenil 0.2 mg IV stat):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1667" s="2" t="n"/>
      <c r="L1667" s="2" t="inlineStr">
        <is>
          <t>Musculoskeletal &amp; Joint</t>
        </is>
      </c>
      <c r="M1667" s="2" t="inlineStr">
        <is>
          <t>Clinic</t>
        </is>
      </c>
      <c r="N1667" s="2" t="inlineStr">
        <is>
          <t>ข้อ 1 (PLE_CC1_Key_Rx20_UBU.md)</t>
        </is>
      </c>
      <c r="O1667" s="2" t="inlineStr">
        <is>
          <t>Mock</t>
        </is>
      </c>
      <c r="P1667" s="2" t="inlineStr">
        <is>
          <t>Mock Rx20 UBU</t>
        </is>
      </c>
    </row>
    <row r="1668" ht="13.2" customHeight="1" s="37">
      <c r="A1668" s="8" t="inlineStr">
        <is>
          <t>1689</t>
        </is>
      </c>
      <c r="B1668" s="2" t="inlineStr">
        <is>
          <t>อาหารที่ผู้ป่วยรายนี้ไม่ควรรับประทาน</t>
        </is>
      </c>
      <c r="C1668" s="2" t="n"/>
      <c r="D1668" s="2" t="inlineStr">
        <is>
          <t>ปลาหมึกย่าง</t>
        </is>
      </c>
      <c r="E1668" s="2" t="inlineStr">
        <is>
          <t>ต้มยำปลาช่อน</t>
        </is>
      </c>
      <c r="F1668" s="2" t="inlineStr">
        <is>
          <t>ตับหวาน</t>
        </is>
      </c>
      <c r="G1668" s="2" t="inlineStr">
        <is>
          <t>แกงบวชฟังทอง</t>
        </is>
      </c>
      <c r="H1668" s="2" t="inlineStr">
        <is>
          <t>หมูแดดเดียว</t>
        </is>
      </c>
      <c r="I1668" s="8" t="inlineStr">
        <is>
          <t>3</t>
        </is>
      </c>
      <c r="J1668" s="2" t="inlineStr">
        <is>
          <t>✅ คำตอบที่ถูกต้อง: ข้อ ค. ตับหวาน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ตับหวาน การเลือก ตับหวาน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(ปลาหมึกย่าง): ข้อนี้ไม่ใช่คำตอบที่ถูกต้องสำหรับภาวะ General Therapeutics เนื่องจากกลไกการออกฤทธิ์, efficacy หรือข้อบ่งใช้ไม่ตรงกับโจทย์ที่กำหนด
• ข้อ ข. (ต้มยำปลาช่อน): ข้อนี้ไม่ใช่คำตอบที่ถูกต้องสำหรับภาวะ General Therapeutics เนื่องจากกลไกการออกฤทธิ์, efficacy หรือข้อบ่งใช้ไม่ตรงกับโจทย์ที่กำหนด
• ข้อ ง. (แกงบวชฟังทอง): ข้อนี้ไม่ใช่คำตอบที่ถูกต้องสำหรับภาวะ General Therapeutics เนื่องจากกลไกการออกฤทธิ์, efficacy หรือข้อบ่งใช้ไม่ตรงกับโจทย์ที่กำหนด
• ข้อ จ. (หมูแดดเดียว):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8" s="2" t="n"/>
      <c r="L1668" s="2" t="inlineStr">
        <is>
          <t>General Therapeutics</t>
        </is>
      </c>
      <c r="M1668" s="2" t="inlineStr">
        <is>
          <t>Clinic</t>
        </is>
      </c>
      <c r="N1668" s="2" t="inlineStr">
        <is>
          <t>ข้อ 3 (PLE_CC1_Key_Rx20_UBU.md)</t>
        </is>
      </c>
      <c r="O1668" s="2" t="inlineStr">
        <is>
          <t>Mock</t>
        </is>
      </c>
      <c r="P1668" s="2" t="inlineStr">
        <is>
          <t>Mock Rx20 UBU</t>
        </is>
      </c>
    </row>
    <row r="1669" ht="13.2" customHeight="1" s="37">
      <c r="A1669" s="8" t="inlineStr">
        <is>
          <t>1690</t>
        </is>
      </c>
      <c r="B1669" s="2" t="inlineStr">
        <is>
          <t>ยาต้านอักเสบตัวใดที่ไม่ควรใช้ในโรคเกาต์</t>
        </is>
      </c>
      <c r="C1669" s="2" t="n"/>
      <c r="D1669" s="2" t="inlineStr">
        <is>
          <t>Aspirin</t>
        </is>
      </c>
      <c r="E1669" s="2" t="inlineStr">
        <is>
          <t>Diclofenac</t>
        </is>
      </c>
      <c r="F1669" s="2" t="inlineStr">
        <is>
          <t>Celecoxib</t>
        </is>
      </c>
      <c r="G1669" s="2" t="inlineStr">
        <is>
          <t>Piroxicam</t>
        </is>
      </c>
      <c r="H1669" s="2" t="inlineStr">
        <is>
          <t>Ibuprofen - ถ้า low dose ASA จะมีผลลดการขับออกของ uric acid - แต่ high dose จะช่วยขับ uric acid</t>
        </is>
      </c>
      <c r="I1669" s="8" t="inlineStr">
        <is>
          <t>1</t>
        </is>
      </c>
      <c r="J1669" s="2" t="inlineStr">
        <is>
          <t>✅ คำตอบที่ถูกต้อง: ข้อ ก. Aspirin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(Diclofenac): ข้อนี้ไม่ใช่คำตอบที่ถูกต้องสำหรับภาวะ Musculoskeletal &amp; Joint เนื่องจากกลไกการออกฤทธิ์, efficacy หรือข้อบ่งใช้ไม่ตรงกับโจทย์ที่กำหนด
• ข้อ ค. (Celecoxib): เป็น selective COX-2 inhibitor มี GI safety profile ดีกว่า non-selective NSAIDs แต่มี cardiovascular risk เพิ่มขึ้น และ contraindication ในผู้ป่วย post-CABG หรือ sulfonamide allergy
• ข้อ ง. (Piroxicam): เป็น oxicam NSAID ที่มี half-life ยาวนานมาก (~50 ชม.) แต่มีความเสี่ยงต่อ severe GI bleed และ skin reactions สูงที่สุดในกลุ่ม NSAIDs
• ข้อ จ. (Ibuprofen - ถ้า low dose ASA จะมีผลลดการขับออกของ uric acid - แต่ high dose จะช่วยขับ uric acid):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1669" s="2" t="n"/>
      <c r="L1669" s="2" t="inlineStr">
        <is>
          <t>Musculoskeletal &amp; Joint</t>
        </is>
      </c>
      <c r="M1669" s="2" t="inlineStr">
        <is>
          <t>Clinic</t>
        </is>
      </c>
      <c r="N1669" s="2" t="inlineStr">
        <is>
          <t>ข้อ 7 (PLE_CC1_Key_Rx20_UBU.md)</t>
        </is>
      </c>
      <c r="O1669" s="2" t="inlineStr">
        <is>
          <t>Mock</t>
        </is>
      </c>
      <c r="P1669" s="2" t="inlineStr">
        <is>
          <t>Mock Rx20 UBU</t>
        </is>
      </c>
    </row>
    <row r="1670" ht="13.2" customHeight="1" s="37">
      <c r="A1670" s="8" t="inlineStr">
        <is>
          <t>1691</t>
        </is>
      </c>
      <c r="B1670" s="2" t="inlineStr">
        <is>
          <t>คำแนะนำในการปฏิบัติตัวข้อใดต่อไปนี้ไม่ถูกต้อง</t>
        </is>
      </c>
      <c r="C1670" s="2" t="n"/>
      <c r="D1670" s="2" t="inlineStr">
        <is>
          <t>อาบน้ำวันละ 2 ครั้ง</t>
        </is>
      </c>
      <c r="E1670" s="2" t="inlineStr">
        <is>
          <t>ทาโลชั่นบ่อยๆ เพื่อให้ผิวชุ่มชื้น</t>
        </is>
      </c>
      <c r="F1670" s="2" t="inlineStr">
        <is>
          <t>ทายาบางๆบริเวณที่เป็น</t>
        </is>
      </c>
      <c r="G1670" s="2" t="inlineStr">
        <is>
          <t>ใส่เสื้อแขนยาวเพื่อป้องกันฝุ่น</t>
        </is>
      </c>
      <c r="H1670" s="2" t="inlineStr">
        <is>
          <t>ล้างมือบ่อยๆ ด้วย Clohexidine scrub เพื่อฆ่าเชื้อ</t>
        </is>
      </c>
      <c r="I1670" s="8" t="inlineStr">
        <is>
          <t>5</t>
        </is>
      </c>
      <c r="J1670" s="2" t="inlineStr">
        <is>
          <t>✅ คำตอบที่ถูกต้อง: ข้อ จ. ล้างมือบ่อยๆ ด้วย Clohexidine scrub เพื่อฆ่าเชื้อ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ล้างมือบ่อยๆ ด้วย Clohexidine scrub เพื่อฆ่าเชื้อ การเลือก ล้างมือบ่อยๆ ด้วย Clohexidine scrub เพื่อฆ่าเชื้อ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(อาบน้ำวันละ 2 ครั้ง): ข้อนี้ไม่ใช่คำตอบที่ถูกต้องสำหรับภาวะ General Therapeutics เนื่องจากกลไกการออกฤทธิ์, efficacy หรือข้อบ่งใช้ไม่ตรงกับโจทย์ที่กำหนด
• ข้อ ข. (ทาโลชั่นบ่อยๆ เพื่อให้ผิวชุ่มชื้น): ข้อนี้ไม่ใช่คำตอบที่ถูกต้องสำหรับภาวะ General Therapeutics เนื่องจากกลไกการออกฤทธิ์, efficacy หรือข้อบ่งใช้ไม่ตรงกับโจทย์ที่กำหนด
• ข้อ ค. (ทายาบางๆบริเวณที่เป็น): ข้อนี้ไม่ใช่คำตอบที่ถูกต้องสำหรับภาวะ General Therapeutics เนื่องจากกลไกการออกฤทธิ์, efficacy หรือข้อบ่งใช้ไม่ตรงกับโจทย์ที่กำหนด
• ข้อ ง. (ใส่เสื้อแขนยาวเพื่อป้องกันฝุ่น):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0" s="2" t="n"/>
      <c r="L1670" s="2" t="inlineStr">
        <is>
          <t>General Therapeutics</t>
        </is>
      </c>
      <c r="M1670" s="2" t="inlineStr">
        <is>
          <t>Clinic</t>
        </is>
      </c>
      <c r="N1670" s="2" t="inlineStr">
        <is>
          <t>ข้อ 2 (PLE_CC1_Key_Rx20_UBU.md)</t>
        </is>
      </c>
      <c r="O1670" s="2" t="inlineStr">
        <is>
          <t>Mock</t>
        </is>
      </c>
      <c r="P1670" s="2" t="inlineStr">
        <is>
          <t>Mock Rx20 UBU</t>
        </is>
      </c>
    </row>
    <row r="1671" ht="13.2" customHeight="1" s="37">
      <c r="A1671" s="8" t="inlineStr">
        <is>
          <t>1692</t>
        </is>
      </c>
      <c r="B1671" s="2" t="inlineStr">
        <is>
          <t>Clotrimazole</t>
        </is>
      </c>
      <c r="C1671" s="2" t="n"/>
      <c r="D1671" s="2" t="inlineStr">
        <is>
          <t>Cetirizine 10 mg OD</t>
        </is>
      </c>
      <c r="E1671" s="2" t="inlineStr">
        <is>
          <t>Isotretinoin 10 mg OD</t>
        </is>
      </c>
      <c r="F1671" s="2" t="inlineStr">
        <is>
          <t>Terbinafine 1% cream</t>
        </is>
      </c>
      <c r="G1671" s="2" t="inlineStr">
        <is>
          <t>Adapalene 0.1% gel</t>
        </is>
      </c>
      <c r="H1671" s="2" t="inlineStr">
        <is>
          <t>Mupirocin 2% ointment</t>
        </is>
      </c>
      <c r="I1671" s="8" t="inlineStr">
        <is>
          <t>5</t>
        </is>
      </c>
      <c r="J1671" s="2" t="inlineStr">
        <is>
          <t>✅ คำตอบที่ถูกต้อง: ข้อ จ. Mupirocin 2% ointment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ก. (Cetirizine 10 mg OD): เป็น 2nd generation H1-antihistamine บรรเทาอาการ allergic rhinitis และ urticaria มี sedating effect ต่ำกว่า 1st gen แต่ยังอาจทำให้ง่วงซึมได้มากกว่า fexofenadine
• ข้อ ข.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ค. (Terbinafine 1% cream): ข้อนี้ไม่ใช่คำตอบที่ถูกต้องสำหรับภาวะ Dermatologic Disorders เนื่องจากกลไกการออกฤทธิ์, efficacy หรือข้อบ่งใช้ไม่ตรงกับโจทย์ที่กำหนด
• ข้อ ง. (Adapalene 0.1% gel):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71" s="2" t="n"/>
      <c r="L1671" s="2" t="inlineStr">
        <is>
          <t>Dermatologic Disorders</t>
        </is>
      </c>
      <c r="M1671" s="2" t="inlineStr">
        <is>
          <t>Clinic</t>
        </is>
      </c>
      <c r="N1671" s="2" t="inlineStr">
        <is>
          <t>ข้อ 5 (PLE_CC1_Key_Rx20_UBU.md)</t>
        </is>
      </c>
      <c r="O1671" s="2" t="inlineStr">
        <is>
          <t>Mock</t>
        </is>
      </c>
      <c r="P1671" s="2" t="inlineStr">
        <is>
          <t>Mock Rx20 UBU</t>
        </is>
      </c>
    </row>
    <row r="1672" ht="13.2" customHeight="1" s="37">
      <c r="A1672" s="8" t="inlineStr">
        <is>
          <t>1693</t>
        </is>
      </c>
      <c r="B1672" s="2" t="inlineStr">
        <is>
          <t>ผู้ป่วยมีอาการคันมาก จึงมาขอซื้อยา hydroxyzine ข้อใดไม่ถูกต้องเกี่ยวกับยา hydroxyzine</t>
        </is>
      </c>
      <c r="C1672" s="2" t="n"/>
      <c r="D1672" s="2" t="inlineStr">
        <is>
          <t>Naloxone 0.4 mg IV stat</t>
        </is>
      </c>
      <c r="E1672" s="2" t="inlineStr">
        <is>
          <t>Flumazenil 0.2 mg IV stat</t>
        </is>
      </c>
      <c r="F1672" s="2" t="inlineStr">
        <is>
          <t>Vitamin K1 (Phytomenadione) 10 mg IV slow</t>
        </is>
      </c>
      <c r="G1672" s="2" t="inlineStr">
        <is>
          <t>Sodium thiosulfate 25% 50 mL IV</t>
        </is>
      </c>
      <c r="H1672" s="2" t="inlineStr">
        <is>
          <t>Calcium disodium EDTA 1 g IV</t>
        </is>
      </c>
      <c r="I1672" s="8" t="inlineStr">
        <is>
          <t>1</t>
        </is>
      </c>
      <c r="J16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72" s="2" t="n"/>
      <c r="L1672" s="2" t="inlineStr">
        <is>
          <t>General Therapeutics</t>
        </is>
      </c>
      <c r="M1672" s="2" t="inlineStr">
        <is>
          <t>Clinic</t>
        </is>
      </c>
      <c r="N1672" s="2" t="inlineStr">
        <is>
          <t>ข้อ 5 (PLE_CC1_Key_Rx20_UBU.md)</t>
        </is>
      </c>
      <c r="O1672" s="2" t="inlineStr">
        <is>
          <t>Mock</t>
        </is>
      </c>
      <c r="P1672" s="2" t="inlineStr">
        <is>
          <t>Mock Rx20 UBU</t>
        </is>
      </c>
    </row>
    <row r="1673" ht="13.2" customHeight="1" s="37">
      <c r="A1673" s="8" t="inlineStr">
        <is>
          <t>1694</t>
        </is>
      </c>
      <c r="B1673" s="2" t="inlineStr">
        <is>
          <t>Hydroxyzine มีสูตรโครงสร้างดังนี้ เป็นสูตรโครงสร้างแบบใด</t>
        </is>
      </c>
      <c r="C1673" s="2" t="n"/>
      <c r="D1673" s="2" t="inlineStr">
        <is>
          <t>Sodium thiosulfate 25% 50 mL IV</t>
        </is>
      </c>
      <c r="E1673" s="2" t="inlineStr">
        <is>
          <t>Calcium disodium EDTA 1 g IV</t>
        </is>
      </c>
      <c r="F1673" s="2" t="inlineStr">
        <is>
          <t>Desferrioxamine 1 g IM/IV</t>
        </is>
      </c>
      <c r="G1673" s="2" t="inlineStr">
        <is>
          <t>Dimercaprol (BAL) 3 mg/kg IM</t>
        </is>
      </c>
      <c r="H1673" s="2" t="inlineStr">
        <is>
          <t>Ethanol 10% IV infusion for Methanol poisoning</t>
        </is>
      </c>
      <c r="I1673" s="8" t="inlineStr">
        <is>
          <t>1</t>
        </is>
      </c>
      <c r="J16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3" s="2" t="n"/>
      <c r="L1673" s="2" t="inlineStr">
        <is>
          <t>General Therapeutics</t>
        </is>
      </c>
      <c r="M1673" s="2" t="inlineStr">
        <is>
          <t>Clinic</t>
        </is>
      </c>
      <c r="N1673" s="2" t="inlineStr">
        <is>
          <t>ข้อ 6 (PLE_CC1_Key_Rx20_UBU.md)</t>
        </is>
      </c>
      <c r="O1673" s="2" t="inlineStr">
        <is>
          <t>Mock</t>
        </is>
      </c>
      <c r="P1673" s="2" t="inlineStr">
        <is>
          <t>Mock Rx20 UBU</t>
        </is>
      </c>
    </row>
    <row r="1674" ht="13.2" customHeight="1" s="37">
      <c r="A1674" s="8" t="inlineStr">
        <is>
          <t>1695</t>
        </is>
      </c>
      <c r="B1674" s="2" t="inlineStr">
        <is>
          <t>Hydroxyzine อาจทำให้อาการใดของผู้ป่วยแย่ลง</t>
        </is>
      </c>
      <c r="C1674" s="2" t="n"/>
      <c r="D1674" s="2" t="inlineStr">
        <is>
          <t>Dimercaprol (BAL) 3 mg/kg IM</t>
        </is>
      </c>
      <c r="E1674" s="2" t="inlineStr">
        <is>
          <t>Ethanol 10% IV infusion for Methanol poisoning</t>
        </is>
      </c>
      <c r="F1674" s="2" t="inlineStr">
        <is>
          <t>Fomepizole 15 mg/kg IV loading</t>
        </is>
      </c>
      <c r="G1674" s="2" t="inlineStr">
        <is>
          <t>N-acetylcysteine (NAC) IV infusion protocol</t>
        </is>
      </c>
      <c r="H1674" s="2" t="inlineStr">
        <is>
          <t>Atropine sulfate 2 mg IV Q5-10 min</t>
        </is>
      </c>
      <c r="I1674" s="8" t="inlineStr">
        <is>
          <t>1</t>
        </is>
      </c>
      <c r="J16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4" s="2" t="n"/>
      <c r="L1674" s="2" t="inlineStr">
        <is>
          <t>General Therapeutics</t>
        </is>
      </c>
      <c r="M1674" s="2" t="inlineStr">
        <is>
          <t>Clinic</t>
        </is>
      </c>
      <c r="N1674" s="2" t="inlineStr">
        <is>
          <t>ข้อ 7 (PLE_CC1_Key_Rx20_UBU.md)</t>
        </is>
      </c>
      <c r="O1674" s="2" t="inlineStr">
        <is>
          <t>Mock</t>
        </is>
      </c>
      <c r="P1674" s="2" t="inlineStr">
        <is>
          <t>Mock Rx20 UBU</t>
        </is>
      </c>
    </row>
    <row r="1675" ht="13.2" customHeight="1" s="37">
      <c r="A1675" s="8" t="inlineStr">
        <is>
          <t>1696</t>
        </is>
      </c>
      <c r="B1675" s="2" t="inlineStr">
        <is>
          <t>คำแนะนำสำหรับยา Ciprofloxacin ข้อใดต่อไปนี้ไม่ถูกต้อง</t>
        </is>
      </c>
      <c r="C1675" s="2" t="n"/>
      <c r="D1675" s="2" t="inlineStr">
        <is>
          <t>Cotrimoxazole 160/800 mg BID</t>
        </is>
      </c>
      <c r="E1675" s="2" t="inlineStr">
        <is>
          <t>Metronidazole 400 mg TID</t>
        </is>
      </c>
      <c r="F1675" s="2" t="inlineStr">
        <is>
          <t>Nitrofurantoin 100 mg BID</t>
        </is>
      </c>
      <c r="G1675" s="2" t="inlineStr">
        <is>
          <t>Tenofovir/Emtricitabine 300/200 mg OD</t>
        </is>
      </c>
      <c r="H1675" s="2" t="inlineStr">
        <is>
          <t>Dolutegravir 50 mg OD</t>
        </is>
      </c>
      <c r="I1675" s="8" t="inlineStr">
        <is>
          <t>1</t>
        </is>
      </c>
      <c r="J1675" s="2" t="inlineStr">
        <is>
          <t>✅ คำตอบที่ถูกต้อง: ข้อ ก. Cotrimoxazole 160/800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675" s="2" t="n"/>
      <c r="L1675" s="2" t="inlineStr">
        <is>
          <t>Infectious Diseases</t>
        </is>
      </c>
      <c r="M1675" s="2" t="inlineStr">
        <is>
          <t>Clinic</t>
        </is>
      </c>
      <c r="N1675" s="2" t="inlineStr">
        <is>
          <t>ข้อ 1 (PLE_CC1_Key_Rx20_UBU.md)</t>
        </is>
      </c>
      <c r="O1675" s="2" t="inlineStr">
        <is>
          <t>Mock</t>
        </is>
      </c>
      <c r="P1675" s="2" t="inlineStr">
        <is>
          <t>Mock Rx20 UBU</t>
        </is>
      </c>
    </row>
    <row r="1676" ht="13.2" customHeight="1" s="37">
      <c r="A1676" s="8" t="inlineStr">
        <is>
          <t>1697</t>
        </is>
      </c>
      <c r="B1676" s="2" t="inlineStr">
        <is>
          <t>หลีกเลี่ยงการรับประทานพร้อมกับนม</t>
        </is>
      </c>
      <c r="C1676" s="2" t="n"/>
      <c r="D1676" s="2" t="inlineStr">
        <is>
          <t>Naloxone 0.4 mg IV stat</t>
        </is>
      </c>
      <c r="E1676" s="2" t="inlineStr">
        <is>
          <t>Flumazenil 0.2 mg IV stat</t>
        </is>
      </c>
      <c r="F1676" s="2" t="inlineStr">
        <is>
          <t>Vitamin K1 (Phytomenadione) 10 mg IV slow</t>
        </is>
      </c>
      <c r="G1676" s="2" t="inlineStr">
        <is>
          <t>Sodium thiosulfate 25% 50 mL IV</t>
        </is>
      </c>
      <c r="H1676" s="2" t="inlineStr">
        <is>
          <t>Calcium disodium EDTA 1 g IV</t>
        </is>
      </c>
      <c r="I1676" s="8" t="inlineStr">
        <is>
          <t>1</t>
        </is>
      </c>
      <c r="J16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76" s="2" t="n"/>
      <c r="L1676" s="2" t="inlineStr">
        <is>
          <t>General Therapeutics</t>
        </is>
      </c>
      <c r="M1676" s="2" t="inlineStr">
        <is>
          <t>Clinic</t>
        </is>
      </c>
      <c r="N1676" s="2" t="inlineStr">
        <is>
          <t>ข้อ 3 (PLE_CC1_Key_Rx20_UBU.md)</t>
        </is>
      </c>
      <c r="O1676" s="2" t="inlineStr">
        <is>
          <t>Mock</t>
        </is>
      </c>
      <c r="P1676" s="2" t="inlineStr">
        <is>
          <t>Mock Rx20 UBU</t>
        </is>
      </c>
    </row>
    <row r="1677" ht="13.2" customHeight="1" s="37">
      <c r="A1677" s="8" t="inlineStr">
        <is>
          <t>1698</t>
        </is>
      </c>
      <c r="B1677" s="2" t="inlineStr">
        <is>
          <t>ถ้าลืมรับประทานยาให้รับประทานมื้อต่อไป 2 เม็ด</t>
        </is>
      </c>
      <c r="C1677" s="2" t="n"/>
      <c r="D1677" s="2" t="inlineStr">
        <is>
          <t>Sodium thiosulfate 25% 50 mL IV</t>
        </is>
      </c>
      <c r="E1677" s="2" t="inlineStr">
        <is>
          <t>Calcium disodium EDTA 1 g IV</t>
        </is>
      </c>
      <c r="F1677" s="2" t="inlineStr">
        <is>
          <t>Desferrioxamine 1 g IM/IV</t>
        </is>
      </c>
      <c r="G1677" s="2" t="inlineStr">
        <is>
          <t>Dimercaprol (BAL) 3 mg/kg IM</t>
        </is>
      </c>
      <c r="H1677" s="2" t="inlineStr">
        <is>
          <t>Ethanol 10% IV infusion for Methanol poisoning</t>
        </is>
      </c>
      <c r="I1677" s="8" t="inlineStr">
        <is>
          <t>1</t>
        </is>
      </c>
      <c r="J16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77" s="2" t="n"/>
      <c r="L1677" s="2" t="inlineStr">
        <is>
          <t>General Therapeutics</t>
        </is>
      </c>
      <c r="M1677" s="2" t="inlineStr">
        <is>
          <t>Clinic</t>
        </is>
      </c>
      <c r="N1677" s="2" t="inlineStr">
        <is>
          <t>ข้อ 4 (PLE_CC1_Key_Rx20_UBU.md)</t>
        </is>
      </c>
      <c r="O1677" s="2" t="inlineStr">
        <is>
          <t>Mock</t>
        </is>
      </c>
      <c r="P1677" s="2" t="inlineStr">
        <is>
          <t>Mock Rx20 UBU</t>
        </is>
      </c>
    </row>
    <row r="1678" ht="13.2" customHeight="1" s="37">
      <c r="A1678" s="8" t="inlineStr">
        <is>
          <t>1699</t>
        </is>
      </c>
      <c r="B1678" s="2" t="inlineStr">
        <is>
          <t>หากกินร่วมกับยา Antacid ให้กินห่างกัน 2 ชม. และทานมื้อต่อไปขนาดปกติ</t>
        </is>
      </c>
      <c r="C1678" s="2" t="n"/>
      <c r="D1678" s="2" t="inlineStr">
        <is>
          <t>Esomeprazole 20 mg OD</t>
        </is>
      </c>
      <c r="E1678" s="2" t="inlineStr">
        <is>
          <t>Domperidone 10 mg TID</t>
        </is>
      </c>
      <c r="F1678" s="2" t="inlineStr">
        <is>
          <t>Dimenhydrinate 50 mg TID</t>
        </is>
      </c>
      <c r="G1678" s="2" t="inlineStr">
        <is>
          <t>Loperamide 2 mg PRN</t>
        </is>
      </c>
      <c r="H1678" s="2" t="inlineStr">
        <is>
          <t>Senna 2 tabs HS</t>
        </is>
      </c>
      <c r="I1678" s="8" t="inlineStr">
        <is>
          <t>1</t>
        </is>
      </c>
      <c r="J1678" s="2" t="inlineStr">
        <is>
          <t>✅ คำตอบที่ถูกต้อง: ข้อ ก. Esomeprazole 20 mg OD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Esomeprazole 20 mg OD
🔍 ข้ออื่นผิดเพราะอะไร:
• ข้อ ข. (Domperidone 10 mg TID): เป็น peripheral D2 receptor antagonist เพิ่ม GI motility ไม่ผ่าน BBB จึงไม่ทำให้เกิด EPS เด่นชัด แต่ต้องระวัง QT prolongation ในขนาดสูง (&gt; 30 mg/day)
• ข้อ ค.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ง. (Loperamide 2 mg PRN): เป็น peripheral mu-opioid agonist ลด peristalsis ใช้บรรเทาอาการ acute non-infectious diarrhea แต่ห้ามใช้ใน bloody diarrhea (dysentery) หรือ bacterial enteritis (เสี่ยง toxic megacolon)
• ข้อ จ. (Senna 2 tabs HS): เป็น Anthraquinone stimulant laxative กระตุ้น myenteric plexus แต่การใช้ระยะยาวอาจทำให้เกิด melanosis coli และ bowel dependence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78" s="2" t="n"/>
      <c r="L1678" s="2" t="inlineStr">
        <is>
          <t>GI Disorders</t>
        </is>
      </c>
      <c r="M1678" s="2" t="inlineStr">
        <is>
          <t>Clinic</t>
        </is>
      </c>
      <c r="N1678" s="2" t="inlineStr">
        <is>
          <t>ข้อ 5 (PLE_CC1_Key_Rx20_UBU.md)</t>
        </is>
      </c>
      <c r="O1678" s="2" t="inlineStr">
        <is>
          <t>Mock</t>
        </is>
      </c>
      <c r="P1678" s="2" t="inlineStr">
        <is>
          <t>Mock Rx20 UBU</t>
        </is>
      </c>
    </row>
    <row r="1679" ht="13.2" customHeight="1" s="37">
      <c r="A1679" s="8" t="inlineStr">
        <is>
          <t>1700</t>
        </is>
      </c>
      <c r="B1679" s="2" t="inlineStr">
        <is>
          <t>Burning sensation</t>
        </is>
      </c>
      <c r="C1679" s="2" t="n"/>
      <c r="D1679" s="2" t="inlineStr">
        <is>
          <t>Ketoconazole 2% shampoo</t>
        </is>
      </c>
      <c r="E1679" s="2" t="inlineStr">
        <is>
          <t>Benzoyl peroxide 2.5% gel</t>
        </is>
      </c>
      <c r="F1679" s="2" t="inlineStr">
        <is>
          <t>Acyclovir 5% cream</t>
        </is>
      </c>
      <c r="G1679" s="2" t="inlineStr">
        <is>
          <t>Silver sulfadiazine 1% cream</t>
        </is>
      </c>
      <c r="H1679" s="2" t="inlineStr">
        <is>
          <t>Cetirizine 10 mg OD</t>
        </is>
      </c>
      <c r="I1679" s="8" t="inlineStr">
        <is>
          <t>5</t>
        </is>
      </c>
      <c r="J1679" s="2" t="inlineStr">
        <is>
          <t>✅ คำตอบที่ถูกต้อง: ข้อ จ. Cetirizine 10 mg OD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(Ketoconazole 2% shampoo): ข้อนี้ไม่ใช่คำตอบที่ถูกต้องสำหรับภาวะ Dermatologic Disorders เนื่องจากกลไกการออกฤทธิ์, efficacy หรือข้อบ่งใช้ไม่ตรงกับโจทย์ที่กำหนด
• ข้อ ข.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ค. (Acyclovir 5% cream): เป็น Guanosine analog ยับยั้ง HSV และ VZV polymerase ต้องดื่มน้ำมากๆ ระหว่างได้ยา IV เพื่อป้องกัน crystal nephropathy และ obstructive AKI
• ข้อ ง.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79" s="2" t="n"/>
      <c r="L1679" s="2" t="inlineStr">
        <is>
          <t>Dermatologic Disorders</t>
        </is>
      </c>
      <c r="M1679" s="2" t="inlineStr">
        <is>
          <t>Clinic</t>
        </is>
      </c>
      <c r="N1679" s="2" t="inlineStr">
        <is>
          <t>ข้อ 5 (PLE_CC1_Key_Rx20_UBU.md)</t>
        </is>
      </c>
      <c r="O1679" s="2" t="inlineStr">
        <is>
          <t>Mock</t>
        </is>
      </c>
      <c r="P1679" s="2" t="inlineStr">
        <is>
          <t>Mock Rx20 UBU</t>
        </is>
      </c>
    </row>
    <row r="1680" ht="13.2" customHeight="1" s="37">
      <c r="A1680" s="8" t="inlineStr">
        <is>
          <t>1701</t>
        </is>
      </c>
      <c r="B1680" s="2" t="inlineStr">
        <is>
          <t>หากคนไข้ทำยาหายแล้วมาขอซื้อยาที่ร้าน สามารถจ่ายให้ได้หรือไม่</t>
        </is>
      </c>
      <c r="C1680" s="2" t="n"/>
      <c r="D1680" s="2" t="inlineStr">
        <is>
          <t>Naloxone 0.4 mg IV stat</t>
        </is>
      </c>
      <c r="E1680" s="2" t="inlineStr">
        <is>
          <t>Flumazenil 0.2 mg IV stat</t>
        </is>
      </c>
      <c r="F1680" s="2" t="inlineStr">
        <is>
          <t>Vitamin K1 (Phytomenadione) 10 mg IV slow</t>
        </is>
      </c>
      <c r="G1680" s="2" t="inlineStr">
        <is>
          <t>Sodium thiosulfate 25% 50 mL IV</t>
        </is>
      </c>
      <c r="H1680" s="2" t="inlineStr">
        <is>
          <t>Calcium disodium EDTA 1 g IV</t>
        </is>
      </c>
      <c r="I1680" s="8" t="inlineStr">
        <is>
          <t>1</t>
        </is>
      </c>
      <c r="J16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80" s="2" t="n"/>
      <c r="L1680" s="2" t="inlineStr">
        <is>
          <t>General Therapeutics</t>
        </is>
      </c>
      <c r="M1680" s="2" t="inlineStr">
        <is>
          <t>Clinic</t>
        </is>
      </c>
      <c r="N1680" s="2" t="inlineStr">
        <is>
          <t>ข้อ 5 (PLE_CC1_Key_Rx20_UBU.md)</t>
        </is>
      </c>
      <c r="O1680" s="2" t="inlineStr">
        <is>
          <t>Mock</t>
        </is>
      </c>
      <c r="P1680" s="2" t="inlineStr">
        <is>
          <t>Mock Rx20 UBU</t>
        </is>
      </c>
    </row>
    <row r="1681" ht="13.2" customHeight="1" s="37">
      <c r="A1681" s="8" t="inlineStr">
        <is>
          <t>1702</t>
        </is>
      </c>
      <c r="B1681" s="2" t="inlineStr">
        <is>
          <t>ไม่สามารถจ่ายได้เนื่องจากไม่มีใบสั่งแพทย์</t>
        </is>
      </c>
      <c r="C1681" s="2" t="n"/>
      <c r="D1681" s="2" t="inlineStr">
        <is>
          <t>Sodium thiosulfate 25% 50 mL IV</t>
        </is>
      </c>
      <c r="E1681" s="2" t="inlineStr">
        <is>
          <t>Calcium disodium EDTA 1 g IV</t>
        </is>
      </c>
      <c r="F1681" s="2" t="inlineStr">
        <is>
          <t>Desferrioxamine 1 g IM/IV</t>
        </is>
      </c>
      <c r="G1681" s="2" t="inlineStr">
        <is>
          <t>Dimercaprol (BAL) 3 mg/kg IM</t>
        </is>
      </c>
      <c r="H1681" s="2" t="inlineStr">
        <is>
          <t>Ethanol 10% IV infusion for Methanol poisoning</t>
        </is>
      </c>
      <c r="I1681" s="8" t="inlineStr">
        <is>
          <t>5</t>
        </is>
      </c>
      <c r="J1681" s="2" t="inlineStr">
        <is>
          <t>✅ คำตอบที่ถูกต้อง: ข้อ จ.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1" s="2" t="n"/>
      <c r="L1681" s="2" t="inlineStr">
        <is>
          <t>General Therapeutics</t>
        </is>
      </c>
      <c r="M1681" s="2" t="inlineStr">
        <is>
          <t>Clinic</t>
        </is>
      </c>
      <c r="N1681" s="2" t="inlineStr">
        <is>
          <t>ข้อ 5 (PLE_CC1_Key_Rx20_UBU.md)</t>
        </is>
      </c>
      <c r="O1681" s="2" t="inlineStr">
        <is>
          <t>Mock</t>
        </is>
      </c>
      <c r="P1681" s="2" t="inlineStr">
        <is>
          <t>Mock Rx20 UBU</t>
        </is>
      </c>
    </row>
    <row r="1682" ht="13.2" customHeight="1" s="37">
      <c r="A1682" s="8" t="inlineStr">
        <is>
          <t>1703</t>
        </is>
      </c>
      <c r="B1682" s="2" t="inlineStr">
        <is>
          <t>หากที่อยู่โรงงานบนฉลากยาไม่เป็นไปตามความจริง ยานี้จัดเป็นยาใด</t>
        </is>
      </c>
      <c r="C1682" s="2" t="n"/>
      <c r="D1682" s="2" t="inlineStr">
        <is>
          <t>เกณฑ์จริยธรรมว่าด้วยการส่งเสริมการขายยาของกระทรวงสาธารณสุข</t>
        </is>
      </c>
      <c r="E1682" s="2" t="inlineStr">
        <is>
          <t>พ.ร.บ. ยา พ.ศ. 2510 (การจำหน่ายยาอันตรายและยาควบคุมพิเศษ)</t>
        </is>
      </c>
      <c r="F1682" s="2" t="inlineStr">
        <is>
          <t>พ.ร.บ. ยาเสพติดให้โทษ พ.ศ. 2522 (ยาเสพติดให้โทษประเภท 2 และ 3)</t>
        </is>
      </c>
      <c r="G1682" s="2" t="inlineStr">
        <is>
          <t>พ.ร.บ. วัตถุที่ออกฤทธิ์ต่อจิตและประสาท พ.ศ. 2559 (ประเภท 2 และ 4)</t>
        </is>
      </c>
      <c r="H1682" s="2" t="inlineStr">
        <is>
          <t>พ.ร.บ. วิชาชีพเภสัชกรรม พ.ศ. 2537 และข้อบังคับจรรยาบรรณวิชาชีพ</t>
        </is>
      </c>
      <c r="I1682" s="8" t="inlineStr">
        <is>
          <t>1</t>
        </is>
      </c>
      <c r="J168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2" s="2" t="n"/>
      <c r="L1682" s="2" t="inlineStr">
        <is>
          <t>Pharmacy Laws &amp; Ethics</t>
        </is>
      </c>
      <c r="M1682" s="2" t="inlineStr">
        <is>
          <t>SAP</t>
        </is>
      </c>
      <c r="N1682" s="2" t="inlineStr">
        <is>
          <t>ข้อ 6 (PLE_CC1_Key_Rx20_UBU.md)</t>
        </is>
      </c>
      <c r="O1682" s="2" t="inlineStr">
        <is>
          <t>Mock</t>
        </is>
      </c>
      <c r="P1682" s="2" t="inlineStr">
        <is>
          <t>Mock Rx20 UBU</t>
        </is>
      </c>
    </row>
    <row r="1683" ht="13.2" customHeight="1" s="37">
      <c r="A1683" s="8" t="inlineStr">
        <is>
          <t>1704</t>
        </is>
      </c>
      <c r="B1683" s="2" t="inlineStr">
        <is>
          <t>ยาไม่ได้ขึ้นทะเบียน (1) ยาหรือวัตถุที่ทำเทียมทั้งหมดหรือแต่บางส่วนว่าเป็นยาแท้ (2) ยาที่แสดงชื่อว่าเป็นยาอื่น หรือแสดงเดือน ปี ที่ยาสิ้นอายุ ซึ่งมิใช่ความจริง (3) ยาที่แสดงชื่อหรือเครื่องหมายของผู้ผลิตหรือที่ตั้งสถานที่ผลิตยา ซึ่งมิใช่ความจริง (4) ยาที่แสดงว่าเป็นยาตามตำรับยาที่ขึ้นทะเบียนไว้ ซึ่งมิใช่ความจริง (5) ยาที่ผลิตขึ้นไม่ถูกต้องตามมาตรฐานถึงขนาดที่ปริมาณหรือความแรงของสารออกฤทธิ์ขาดหรือเกินกว่าร้อยละยี่ สิบจากเกณฑ์ต่ำสุดหรือสูงสุด ซึ่งกำหนดไว้ในตำรับยาที่ขึ้นทะเบียนไว้ตามมาตรา 79</t>
        </is>
      </c>
      <c r="C1683" s="2" t="n"/>
      <c r="D1683" s="2" t="inlineStr">
        <is>
          <t>N-acetylcysteine (NAC) IV infusion protocol</t>
        </is>
      </c>
      <c r="E1683" s="2" t="inlineStr">
        <is>
          <t>Atropine sulfate 2 mg IV Q5-10 min</t>
        </is>
      </c>
      <c r="F1683" s="2" t="inlineStr">
        <is>
          <t>Pralidoxime (2-PAM) 1-2 g IV over 30 min</t>
        </is>
      </c>
      <c r="G1683" s="2" t="inlineStr">
        <is>
          <t>Naloxone 0.4 mg IV stat</t>
        </is>
      </c>
      <c r="H1683" s="2" t="inlineStr">
        <is>
          <t>Flumazenil 0.2 mg IV stat</t>
        </is>
      </c>
      <c r="I1683" s="8" t="inlineStr">
        <is>
          <t>1</t>
        </is>
      </c>
      <c r="J16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83" s="2" t="n"/>
      <c r="L1683" s="2" t="inlineStr">
        <is>
          <t>General Therapeutics</t>
        </is>
      </c>
      <c r="M1683" s="2" t="inlineStr">
        <is>
          <t>Clinic</t>
        </is>
      </c>
      <c r="N1683" s="2" t="inlineStr">
        <is>
          <t>ข้อ 5 (PLE_CC1_Key_Rx20_UBU.md)</t>
        </is>
      </c>
      <c r="O1683" s="2" t="inlineStr">
        <is>
          <t>Mock</t>
        </is>
      </c>
      <c r="P1683" s="2" t="inlineStr">
        <is>
          <t>Mock Rx20 UBU</t>
        </is>
      </c>
    </row>
    <row r="1684" ht="13.2" customHeight="1" s="37">
      <c r="A1684" s="8" t="inlineStr">
        <is>
          <t>1705</t>
        </is>
      </c>
      <c r="B1684" s="2" t="inlineStr">
        <is>
          <t>Doxycycline category Cat B : Cephalexin Cat C : Ciprofloxacin Cat D : Cloxacillin, Bactrim, Doxycycline 8.ยา 3 ตำรับมีการตกตะกอนดังนี้ ข้อใดถูกต้อง</t>
        </is>
      </c>
      <c r="C1684" s="2" t="n"/>
      <c r="D1684" s="2" t="inlineStr">
        <is>
          <t>Metronidazole 400 mg TID</t>
        </is>
      </c>
      <c r="E1684" s="2" t="inlineStr">
        <is>
          <t>Nitrofurantoin 100 mg BID</t>
        </is>
      </c>
      <c r="F1684" s="2" t="inlineStr">
        <is>
          <t>Tenofovir/Emtricitabine 300/200 mg OD</t>
        </is>
      </c>
      <c r="G1684" s="2" t="inlineStr">
        <is>
          <t>Dolutegravir 50 mg OD</t>
        </is>
      </c>
      <c r="H1684" s="2" t="inlineStr">
        <is>
          <t>Vancomycin 1 g IV Q12H</t>
        </is>
      </c>
      <c r="I1684" s="8" t="inlineStr">
        <is>
          <t>3</t>
        </is>
      </c>
      <c r="J1684" s="2" t="inlineStr">
        <is>
          <t>✅ คำตอบที่ถูกต้อง: ข้อ ค. Tenofovir/Emtricitabine 300/200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ก. (Metronidazole 400 mg TID): เป็น antianaerobic และ antiprotozoal agent ยับยั้ง Trichomonas vaginalis, Giardia, Amebiasis, และ anaerobes ห้ามดื่มแอลกอฮอล์ระหว่างใช้ยา (disulfiram-like reaction)
• ข้อ ข. (Nitrofurantoin 100 mg BID): เป็น urinary tract antiseptic สำหรับ uncomplicated cystitis ปลอดภัยในหญิงตั้งครรภ์ (ยกเว้นใกล้คลอด) แต่ contraindication เมื่อ CrCl &lt; 30 mL/min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684" s="2" t="n"/>
      <c r="L1684" s="2" t="inlineStr">
        <is>
          <t>Infectious Diseases</t>
        </is>
      </c>
      <c r="M1684" s="2" t="inlineStr">
        <is>
          <t>Clinic</t>
        </is>
      </c>
      <c r="N1684" s="2" t="inlineStr">
        <is>
          <t>ข้อ 5 (PLE_CC1_Key_Rx20_UBU.md)</t>
        </is>
      </c>
      <c r="O1684" s="2" t="inlineStr">
        <is>
          <t>Mock</t>
        </is>
      </c>
      <c r="P1684" s="2" t="inlineStr">
        <is>
          <t>Mock Rx20 UBU</t>
        </is>
      </c>
    </row>
    <row r="1685" ht="13.2" customHeight="1" s="37">
      <c r="A1685" s="8" t="inlineStr">
        <is>
          <t>1706</t>
        </is>
      </c>
      <c r="B1685" s="2" t="inlineStr">
        <is>
          <t>Indian ink positive ส่วน Papanicolaou positive เป็นการตรวจหาเชื้อ HPV, Indian ink positive ตรวจหาเชื้อ Cryptococcus neoformans (meningitis)</t>
        </is>
      </c>
      <c r="C1685" s="2" t="n"/>
      <c r="D1685" s="2" t="inlineStr">
        <is>
          <t>Dolutegravir 50 mg OD</t>
        </is>
      </c>
      <c r="E1685" s="2" t="inlineStr">
        <is>
          <t>Vancomycin 1 g IV Q12H</t>
        </is>
      </c>
      <c r="F1685" s="2" t="inlineStr">
        <is>
          <t>Meropenem 1 g IV Q8H</t>
        </is>
      </c>
      <c r="G1685" s="2" t="inlineStr">
        <is>
          <t>Cefazolin 1 g IV Q8H</t>
        </is>
      </c>
      <c r="H1685" s="2" t="inlineStr">
        <is>
          <t>Amoxicillin/Clavulanate 1 g BID</t>
        </is>
      </c>
      <c r="I1685" s="8" t="inlineStr">
        <is>
          <t>1</t>
        </is>
      </c>
      <c r="J1685" s="2" t="inlineStr">
        <is>
          <t>✅ คำตอบที่ถูกต้อง: ข้อ ก. Dolutegravir 50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685" s="2" t="n"/>
      <c r="L1685" s="2" t="inlineStr">
        <is>
          <t>Infectious Diseases</t>
        </is>
      </c>
      <c r="M1685" s="2" t="inlineStr">
        <is>
          <t>Clinic</t>
        </is>
      </c>
      <c r="N1685" s="2" t="inlineStr">
        <is>
          <t>ข้อ 5 (PLE_CC1_Key_Rx20_UBU.md)</t>
        </is>
      </c>
      <c r="O1685" s="2" t="inlineStr">
        <is>
          <t>Mock</t>
        </is>
      </c>
      <c r="P1685" s="2" t="inlineStr">
        <is>
          <t>Mock Rx20 UBU</t>
        </is>
      </c>
    </row>
    <row r="1686" ht="13.2" customHeight="1" s="37">
      <c r="A1686" s="8" t="inlineStr">
        <is>
          <t>1707</t>
        </is>
      </c>
      <c r="B1686" s="2" t="inlineStr">
        <is>
          <t>การดูแลผู้ป่วยรายนี้ข้อใดไม่ถูกต้อง</t>
        </is>
      </c>
      <c r="C1686" s="2" t="n"/>
      <c r="D1686" s="2" t="inlineStr">
        <is>
          <t>Dimercaprol (BAL) 3 mg/kg IM</t>
        </is>
      </c>
      <c r="E1686" s="2" t="inlineStr">
        <is>
          <t>Ethanol 10% IV infusion for Methanol poisoning</t>
        </is>
      </c>
      <c r="F1686" s="2" t="inlineStr">
        <is>
          <t>Fomepizole 15 mg/kg IV loading</t>
        </is>
      </c>
      <c r="G1686" s="2" t="inlineStr">
        <is>
          <t>N-acetylcysteine (NAC) IV infusion protocol</t>
        </is>
      </c>
      <c r="H1686" s="2" t="inlineStr">
        <is>
          <t>Atropine sulfate 2 mg IV Q5-10 min</t>
        </is>
      </c>
      <c r="I1686" s="8" t="inlineStr">
        <is>
          <t>1</t>
        </is>
      </c>
      <c r="J16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6" s="2" t="n"/>
      <c r="L1686" s="2" t="inlineStr">
        <is>
          <t>General Therapeutics</t>
        </is>
      </c>
      <c r="M1686" s="2" t="inlineStr">
        <is>
          <t>Clinic</t>
        </is>
      </c>
      <c r="N1686" s="2" t="inlineStr">
        <is>
          <t>ข้อ 3 (PLE_CC1_Key_Rx20_UBU.md)</t>
        </is>
      </c>
      <c r="O1686" s="2" t="inlineStr">
        <is>
          <t>Mock</t>
        </is>
      </c>
      <c r="P1686" s="2" t="inlineStr">
        <is>
          <t>Mock Rx20 UBU</t>
        </is>
      </c>
    </row>
    <row r="1687" ht="13.2" customHeight="1" s="37">
      <c r="A1687" s="8" t="inlineStr">
        <is>
          <t>1708</t>
        </is>
      </c>
      <c r="B1687" s="2" t="inlineStr">
        <is>
          <t>ยาเพิ่มการทำงานของเอนไซม์ตับทำให้ให้ยาออกฤทธิ์เร็วขึ้น</t>
        </is>
      </c>
      <c r="C1687" s="2" t="n"/>
      <c r="D1687" s="2" t="inlineStr">
        <is>
          <t>N-acetylcysteine (NAC) IV infusion protocol</t>
        </is>
      </c>
      <c r="E1687" s="2" t="inlineStr">
        <is>
          <t>Atropine sulfate 2 mg IV Q5-10 min</t>
        </is>
      </c>
      <c r="F1687" s="2" t="inlineStr">
        <is>
          <t>Pralidoxime (2-PAM) 1-2 g IV over 30 min</t>
        </is>
      </c>
      <c r="G1687" s="2" t="inlineStr">
        <is>
          <t>Naloxone 0.4 mg IV stat</t>
        </is>
      </c>
      <c r="H1687" s="2" t="inlineStr">
        <is>
          <t>Flumazenil 0.2 mg IV stat</t>
        </is>
      </c>
      <c r="I1687" s="8" t="inlineStr">
        <is>
          <t>1</t>
        </is>
      </c>
      <c r="J16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87" s="2" t="n"/>
      <c r="L1687" s="2" t="inlineStr">
        <is>
          <t>General Therapeutics</t>
        </is>
      </c>
      <c r="M1687" s="2" t="inlineStr">
        <is>
          <t>Clinic</t>
        </is>
      </c>
      <c r="N1687" s="2" t="inlineStr">
        <is>
          <t>ข้อ 3 (PLE_CC1_Key_Rx20_UBU.md)</t>
        </is>
      </c>
      <c r="O1687" s="2" t="inlineStr">
        <is>
          <t>Mock</t>
        </is>
      </c>
      <c r="P1687" s="2" t="inlineStr">
        <is>
          <t>Mock Rx20 UBU</t>
        </is>
      </c>
    </row>
    <row r="1688" ht="13.2" customHeight="1" s="37">
      <c r="A1688" s="8" t="inlineStr">
        <is>
          <t>1709</t>
        </is>
      </c>
      <c r="B1688" s="2" t="inlineStr">
        <is>
          <t>ยากระตุ้นระบบภูมิคุ้มกันให้ทำงานมากขึ้น</t>
        </is>
      </c>
      <c r="C1688" s="2" t="n"/>
      <c r="D1688" s="2" t="inlineStr">
        <is>
          <t>Naloxone 0.4 mg IV stat</t>
        </is>
      </c>
      <c r="E1688" s="2" t="inlineStr">
        <is>
          <t>Flumazenil 0.2 mg IV stat</t>
        </is>
      </c>
      <c r="F1688" s="2" t="inlineStr">
        <is>
          <t>Vitamin K1 (Phytomenadione) 10 mg IV slow</t>
        </is>
      </c>
      <c r="G1688" s="2" t="inlineStr">
        <is>
          <t>Sodium thiosulfate 25% 50 mL IV</t>
        </is>
      </c>
      <c r="H1688" s="2" t="inlineStr">
        <is>
          <t>Calcium disodium EDTA 1 g IV</t>
        </is>
      </c>
      <c r="I1688" s="8" t="inlineStr">
        <is>
          <t>1</t>
        </is>
      </c>
      <c r="J16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88" s="2" t="n"/>
      <c r="L1688" s="2" t="inlineStr">
        <is>
          <t>General Therapeutics</t>
        </is>
      </c>
      <c r="M1688" s="2" t="inlineStr">
        <is>
          <t>Clinic</t>
        </is>
      </c>
      <c r="N1688" s="2" t="inlineStr">
        <is>
          <t>ข้อ 4 (PLE_CC1_Key_Rx20_UBU.md)</t>
        </is>
      </c>
      <c r="O1688" s="2" t="inlineStr">
        <is>
          <t>Mock</t>
        </is>
      </c>
      <c r="P1688" s="2" t="inlineStr">
        <is>
          <t>Mock Rx20 UBU</t>
        </is>
      </c>
    </row>
    <row r="1689" ht="13.2" customHeight="1" s="37">
      <c r="A1689" s="8" t="inlineStr">
        <is>
          <t>1710</t>
        </is>
      </c>
      <c r="B1689" s="2" t="inlineStr">
        <is>
          <t>ยาช่วยลดความเสี่ยงในการเกิดอาการไม่พึงประสงค์</t>
        </is>
      </c>
      <c r="C1689" s="2" t="n"/>
      <c r="D1689" s="2" t="inlineStr">
        <is>
          <t>Sodium thiosulfate 25% 50 mL IV</t>
        </is>
      </c>
      <c r="E1689" s="2" t="inlineStr">
        <is>
          <t>Calcium disodium EDTA 1 g IV</t>
        </is>
      </c>
      <c r="F1689" s="2" t="inlineStr">
        <is>
          <t>Desferrioxamine 1 g IM/IV</t>
        </is>
      </c>
      <c r="G1689" s="2" t="inlineStr">
        <is>
          <t>Dimercaprol (BAL) 3 mg/kg IM</t>
        </is>
      </c>
      <c r="H1689" s="2" t="inlineStr">
        <is>
          <t>Ethanol 10% IV infusion for Methanol poisoning</t>
        </is>
      </c>
      <c r="I1689" s="8" t="inlineStr">
        <is>
          <t>4</t>
        </is>
      </c>
      <c r="J1689" s="2"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9" s="2" t="n"/>
      <c r="L1689" s="2" t="inlineStr">
        <is>
          <t>General Therapeutics</t>
        </is>
      </c>
      <c r="M1689" s="2" t="inlineStr">
        <is>
          <t>Clinic</t>
        </is>
      </c>
      <c r="N1689" s="2" t="inlineStr">
        <is>
          <t>ข้อ 5 (PLE_CC1_Key_Rx20_UBU.md)</t>
        </is>
      </c>
      <c r="O1689" s="2" t="inlineStr">
        <is>
          <t>Mock</t>
        </is>
      </c>
      <c r="P1689" s="2" t="inlineStr">
        <is>
          <t>Mock Rx20 UBU</t>
        </is>
      </c>
    </row>
    <row r="1690" ht="13.2" customHeight="1" s="37">
      <c r="A1690" s="8" t="inlineStr">
        <is>
          <t>1711</t>
        </is>
      </c>
      <c r="B1690" s="2" t="inlineStr">
        <is>
          <t>ข้อใดคือสูตรโครงสร้างของ d4T</t>
        </is>
      </c>
      <c r="C1690" s="2" t="n"/>
      <c r="D1690" s="2" t="inlineStr">
        <is>
          <t>Dimercaprol (BAL) 3 mg/kg IM</t>
        </is>
      </c>
      <c r="E1690" s="2" t="inlineStr">
        <is>
          <t>Ethanol 10% IV infusion for Methanol poisoning</t>
        </is>
      </c>
      <c r="F1690" s="2" t="inlineStr">
        <is>
          <t>Fomepizole 15 mg/kg IV loading</t>
        </is>
      </c>
      <c r="G1690" s="2" t="inlineStr">
        <is>
          <t>N-acetylcysteine (NAC) IV infusion protocol</t>
        </is>
      </c>
      <c r="H1690" s="2" t="inlineStr">
        <is>
          <t>Atropine sulfate 2 mg IV Q5-10 min</t>
        </is>
      </c>
      <c r="I1690" s="8" t="inlineStr">
        <is>
          <t>1</t>
        </is>
      </c>
      <c r="J16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0" s="2" t="n"/>
      <c r="L1690" s="2" t="inlineStr">
        <is>
          <t>General Therapeutics</t>
        </is>
      </c>
      <c r="M1690" s="2" t="inlineStr">
        <is>
          <t>Clinic</t>
        </is>
      </c>
      <c r="N1690" s="2" t="inlineStr">
        <is>
          <t>ข้อ 7 (PLE_CC1_Key_Rx20_UBU.md)</t>
        </is>
      </c>
      <c r="O1690" s="2" t="inlineStr">
        <is>
          <t>Mock</t>
        </is>
      </c>
      <c r="P1690" s="2" t="inlineStr">
        <is>
          <t>Mock Rx20 UBU</t>
        </is>
      </c>
    </row>
    <row r="1691" ht="13.2" customHeight="1" s="37">
      <c r="A1691" s="8" t="inlineStr">
        <is>
          <t>1712</t>
        </is>
      </c>
      <c r="B1691" s="2" t="inlineStr">
        <is>
          <t>ข้อใดไม่ใช่ข้อดีของ DOT</t>
        </is>
      </c>
      <c r="C1691" s="2" t="n"/>
      <c r="D1691" s="2" t="inlineStr">
        <is>
          <t>N-acetylcysteine (NAC) IV infusion protocol</t>
        </is>
      </c>
      <c r="E1691" s="2" t="inlineStr">
        <is>
          <t>Atropine sulfate 2 mg IV Q5-10 min</t>
        </is>
      </c>
      <c r="F1691" s="2" t="inlineStr">
        <is>
          <t>Pralidoxime (2-PAM) 1-2 g IV over 30 min</t>
        </is>
      </c>
      <c r="G1691" s="2" t="inlineStr">
        <is>
          <t>Naloxone 0.4 mg IV stat</t>
        </is>
      </c>
      <c r="H1691" s="2" t="inlineStr">
        <is>
          <t>Flumazenil 0.2 mg IV stat</t>
        </is>
      </c>
      <c r="I1691" s="8" t="inlineStr">
        <is>
          <t>1</t>
        </is>
      </c>
      <c r="J16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691" s="2" t="n"/>
      <c r="L1691" s="2" t="inlineStr">
        <is>
          <t>General Therapeutics</t>
        </is>
      </c>
      <c r="M1691" s="2" t="inlineStr">
        <is>
          <t>Clinic</t>
        </is>
      </c>
      <c r="N1691" s="2" t="inlineStr">
        <is>
          <t>ข้อ 10 (PLE_CC1_Key_Rx20_UBU.md)</t>
        </is>
      </c>
      <c r="O1691" s="2" t="inlineStr">
        <is>
          <t>Mock</t>
        </is>
      </c>
      <c r="P1691" s="2" t="inlineStr">
        <is>
          <t>Mock Rx20 UBU</t>
        </is>
      </c>
    </row>
    <row r="1692" ht="13.2" customHeight="1" s="37">
      <c r="A1692" s="8" t="inlineStr">
        <is>
          <t>1713</t>
        </is>
      </c>
      <c r="B1692" s="2" t="inlineStr">
        <is>
          <t>เมื่อเด็กทารกคลอดออกมาจะได้รับการกระตุ้นให้สร้างแอนติบอดีใดเป็นตัวแรก</t>
        </is>
      </c>
      <c r="C1692" s="2" t="n"/>
      <c r="D1692" s="2" t="inlineStr">
        <is>
          <t>Naloxone 0.4 mg IV stat</t>
        </is>
      </c>
      <c r="E1692" s="2" t="inlineStr">
        <is>
          <t>Flumazenil 0.2 mg IV stat</t>
        </is>
      </c>
      <c r="F1692" s="2" t="inlineStr">
        <is>
          <t>Vitamin K1 (Phytomenadione) 10 mg IV slow</t>
        </is>
      </c>
      <c r="G1692" s="2" t="inlineStr">
        <is>
          <t>Sodium thiosulfate 25% 50 mL IV</t>
        </is>
      </c>
      <c r="H1692" s="2" t="inlineStr">
        <is>
          <t>Calcium disodium EDTA 1 g IV</t>
        </is>
      </c>
      <c r="I1692" s="8" t="inlineStr">
        <is>
          <t>1</t>
        </is>
      </c>
      <c r="J16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92" s="2" t="n"/>
      <c r="L1692" s="2" t="inlineStr">
        <is>
          <t>General Therapeutics</t>
        </is>
      </c>
      <c r="M1692" s="2" t="inlineStr">
        <is>
          <t>Clinic</t>
        </is>
      </c>
      <c r="N1692" s="2" t="inlineStr">
        <is>
          <t>ข้อ 2 (PLE_CC1_Key_Rx20_UBU.md)</t>
        </is>
      </c>
      <c r="O1692" s="2" t="inlineStr">
        <is>
          <t>Mock</t>
        </is>
      </c>
      <c r="P1692" s="2" t="inlineStr">
        <is>
          <t>Mock Rx20 UBU</t>
        </is>
      </c>
    </row>
    <row r="1693" ht="13.2" customHeight="1" s="37">
      <c r="A1693" s="8" t="inlineStr">
        <is>
          <t>1714</t>
        </is>
      </c>
      <c r="B1693" s="2" t="inlineStr">
        <is>
          <t>ข้อใดไม่อยู่ในโปรแกรมเสริมสร้างภูมิคุ้มกันพื้นฐาน</t>
        </is>
      </c>
      <c r="C1693" s="2" t="n"/>
      <c r="D1693" s="2" t="inlineStr">
        <is>
          <t>Sodium thiosulfate 25% 50 mL IV</t>
        </is>
      </c>
      <c r="E1693" s="2" t="inlineStr">
        <is>
          <t>Calcium disodium EDTA 1 g IV</t>
        </is>
      </c>
      <c r="F1693" s="2" t="inlineStr">
        <is>
          <t>Desferrioxamine 1 g IM/IV</t>
        </is>
      </c>
      <c r="G1693" s="2" t="inlineStr">
        <is>
          <t>Dimercaprol (BAL) 3 mg/kg IM</t>
        </is>
      </c>
      <c r="H1693" s="2" t="inlineStr">
        <is>
          <t>Ethanol 10% IV infusion for Methanol poisoning</t>
        </is>
      </c>
      <c r="I1693" s="8" t="inlineStr">
        <is>
          <t>1</t>
        </is>
      </c>
      <c r="J16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3" s="2" t="n"/>
      <c r="L1693" s="2" t="inlineStr">
        <is>
          <t>General Therapeutics</t>
        </is>
      </c>
      <c r="M1693" s="2" t="inlineStr">
        <is>
          <t>Clinic</t>
        </is>
      </c>
      <c r="N1693" s="2" t="inlineStr">
        <is>
          <t>ข้อ 3 (PLE_CC1_Key_Rx20_UBU.md)</t>
        </is>
      </c>
      <c r="O1693" s="2" t="inlineStr">
        <is>
          <t>Mock</t>
        </is>
      </c>
      <c r="P1693" s="2" t="inlineStr">
        <is>
          <t>Mock Rx20 UBU</t>
        </is>
      </c>
    </row>
    <row r="1694" ht="13.2" customHeight="1" s="37">
      <c r="A1694" s="8" t="inlineStr">
        <is>
          <t>1715</t>
        </is>
      </c>
      <c r="B1694" s="2" t="inlineStr">
        <is>
          <t>เด็กมาฉีด Hep B เข็มที่2 ตามนัด แพทย์นัดฉีดเข็มถัดไปอีก 4 เดือนข้างหน้า แต่อีก 2 เดือนเด็กต้องไปต่างประเทศและอยู่ที่นั่นนาน 3 เดือน ควรแนะนำอย่างไร</t>
        </is>
      </c>
      <c r="C1694" s="2" t="n"/>
      <c r="D1694" s="2" t="inlineStr">
        <is>
          <t>Dimercaprol (BAL) 3 mg/kg IM</t>
        </is>
      </c>
      <c r="E1694" s="2" t="inlineStr">
        <is>
          <t>Ethanol 10% IV infusion for Methanol poisoning</t>
        </is>
      </c>
      <c r="F1694" s="2" t="inlineStr">
        <is>
          <t>Fomepizole 15 mg/kg IV loading</t>
        </is>
      </c>
      <c r="G1694" s="2" t="inlineStr">
        <is>
          <t>N-acetylcysteine (NAC) IV infusion protocol</t>
        </is>
      </c>
      <c r="H1694" s="2" t="inlineStr">
        <is>
          <t>Atropine sulfate 2 mg IV Q5-10 min</t>
        </is>
      </c>
      <c r="I1694" s="8" t="inlineStr">
        <is>
          <t>1</t>
        </is>
      </c>
      <c r="J16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94" s="2" t="n"/>
      <c r="L1694" s="2" t="inlineStr">
        <is>
          <t>General Therapeutics</t>
        </is>
      </c>
      <c r="M1694" s="2" t="inlineStr">
        <is>
          <t>Clinic</t>
        </is>
      </c>
      <c r="N1694" s="2" t="inlineStr">
        <is>
          <t>ข้อ 5 (PLE_CC1_Key_Rx20_UBU.md)</t>
        </is>
      </c>
      <c r="O1694" s="2" t="inlineStr">
        <is>
          <t>Mock</t>
        </is>
      </c>
      <c r="P1694" s="2" t="inlineStr">
        <is>
          <t>Mock Rx20 UBU</t>
        </is>
      </c>
    </row>
    <row r="1695" ht="13.2" customHeight="1" s="37">
      <c r="A1695" s="8" t="inlineStr">
        <is>
          <t>1716</t>
        </is>
      </c>
      <c r="B1695" s="2" t="inlineStr">
        <is>
          <t>Purity test</t>
        </is>
      </c>
      <c r="C1695" s="2" t="n"/>
      <c r="D1695" s="2" t="inlineStr">
        <is>
          <t>N-acetylcysteine (NAC) IV infusion protocol</t>
        </is>
      </c>
      <c r="E1695" s="2" t="inlineStr">
        <is>
          <t>Atropine sulfate 2 mg IV Q5-10 min</t>
        </is>
      </c>
      <c r="F1695" s="2" t="inlineStr">
        <is>
          <t>Pralidoxime (2-PAM) 1-2 g IV over 30 min</t>
        </is>
      </c>
      <c r="G1695" s="2" t="inlineStr">
        <is>
          <t>Naloxone 0.4 mg IV stat</t>
        </is>
      </c>
      <c r="H1695" s="2" t="inlineStr">
        <is>
          <t>Flumazenil 0.2 mg IV stat</t>
        </is>
      </c>
      <c r="I1695" s="8" t="inlineStr">
        <is>
          <t>3</t>
        </is>
      </c>
      <c r="J1695"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695" s="2" t="n"/>
      <c r="L1695" s="2" t="inlineStr">
        <is>
          <t>General Therapeutics</t>
        </is>
      </c>
      <c r="M1695" s="2" t="inlineStr">
        <is>
          <t>Clinic</t>
        </is>
      </c>
      <c r="N1695" s="2" t="inlineStr">
        <is>
          <t>ข้อ 5 (PLE_CC1_Key_Rx20_UBU.md)</t>
        </is>
      </c>
      <c r="O1695" s="2" t="inlineStr">
        <is>
          <t>Mock</t>
        </is>
      </c>
      <c r="P1695" s="2" t="inlineStr">
        <is>
          <t>Mock Rx20 UBU</t>
        </is>
      </c>
    </row>
    <row r="1696" ht="13.2" customHeight="1" s="37">
      <c r="A1696" s="8" t="inlineStr">
        <is>
          <t>1717</t>
        </is>
      </c>
      <c r="B1696" s="2" t="inlineStr">
        <is>
          <t>หลักการบริหารยาแบบ FIFO หมายถึงอะไร</t>
        </is>
      </c>
      <c r="C1696" s="2" t="n"/>
      <c r="D1696" s="2" t="inlineStr">
        <is>
          <t>Naloxone 0.4 mg IV stat</t>
        </is>
      </c>
      <c r="E1696" s="2" t="inlineStr">
        <is>
          <t>Flumazenil 0.2 mg IV stat</t>
        </is>
      </c>
      <c r="F1696" s="2" t="inlineStr">
        <is>
          <t>Vitamin K1 (Phytomenadione) 10 mg IV slow</t>
        </is>
      </c>
      <c r="G1696" s="2" t="inlineStr">
        <is>
          <t>Sodium thiosulfate 25% 50 mL IV</t>
        </is>
      </c>
      <c r="H1696" s="2" t="inlineStr">
        <is>
          <t>Calcium disodium EDTA 1 g IV</t>
        </is>
      </c>
      <c r="I1696" s="8" t="inlineStr">
        <is>
          <t>1</t>
        </is>
      </c>
      <c r="J16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696" s="2" t="n"/>
      <c r="L1696" s="2" t="inlineStr">
        <is>
          <t>General Therapeutics</t>
        </is>
      </c>
      <c r="M1696" s="2" t="inlineStr">
        <is>
          <t>Clinic</t>
        </is>
      </c>
      <c r="N1696" s="2" t="inlineStr">
        <is>
          <t>ข้อ 10 (PLE_CC1_Key_Rx20_UBU.md)</t>
        </is>
      </c>
      <c r="O1696" s="2" t="inlineStr">
        <is>
          <t>Mock</t>
        </is>
      </c>
      <c r="P1696" s="2" t="inlineStr">
        <is>
          <t>Mock Rx20 UBU</t>
        </is>
      </c>
    </row>
    <row r="1697" ht="13.2" customHeight="1" s="37">
      <c r="A1697" s="8" t="inlineStr">
        <is>
          <t>1718</t>
        </is>
      </c>
      <c r="B1697" s="2" t="inlineStr">
        <is>
          <t>จัดซื้อ lot ยาที่ผลิตล่าสุด และจาหน่ายออกไปใช้ก่อน</t>
        </is>
      </c>
      <c r="C1697" s="2" t="n"/>
      <c r="D1697" s="2" t="inlineStr">
        <is>
          <t>Sodium thiosulfate 25% 50 mL IV</t>
        </is>
      </c>
      <c r="E1697" s="2" t="inlineStr">
        <is>
          <t>Calcium disodium EDTA 1 g IV</t>
        </is>
      </c>
      <c r="F1697" s="2" t="inlineStr">
        <is>
          <t>Desferrioxamine 1 g IM/IV</t>
        </is>
      </c>
      <c r="G1697" s="2" t="inlineStr">
        <is>
          <t>Dimercaprol (BAL) 3 mg/kg IM</t>
        </is>
      </c>
      <c r="H1697" s="2" t="inlineStr">
        <is>
          <t>Ethanol 10% IV infusion for Methanol poisoning</t>
        </is>
      </c>
      <c r="I1697" s="8" t="inlineStr">
        <is>
          <t>1</t>
        </is>
      </c>
      <c r="J16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7" s="2" t="n"/>
      <c r="L1697" s="2" t="inlineStr">
        <is>
          <t>General Therapeutics</t>
        </is>
      </c>
      <c r="M1697" s="2" t="inlineStr">
        <is>
          <t>Clinic</t>
        </is>
      </c>
      <c r="N1697" s="2" t="inlineStr">
        <is>
          <t>ข้อ 3 (PLE_CC1_Key_Rx20_UBU.md)</t>
        </is>
      </c>
      <c r="O1697" s="2" t="inlineStr">
        <is>
          <t>Mock</t>
        </is>
      </c>
      <c r="P1697" s="2" t="inlineStr">
        <is>
          <t>Mock Rx20 UBU</t>
        </is>
      </c>
    </row>
    <row r="1698" ht="13.2" customHeight="1" s="37">
      <c r="A1698" s="8" t="inlineStr">
        <is>
          <t>1719</t>
        </is>
      </c>
      <c r="B1698" s="2" t="inlineStr">
        <is>
          <t>ข้อมูลการซักประวัติใด จาเป็นน้อยที่สุด</t>
        </is>
      </c>
      <c r="C1698" s="2" t="n"/>
      <c r="D1698" s="2" t="inlineStr">
        <is>
          <t>Dimercaprol (BAL) 3 mg/kg IM</t>
        </is>
      </c>
      <c r="E1698" s="2" t="inlineStr">
        <is>
          <t>Ethanol 10% IV infusion for Methanol poisoning</t>
        </is>
      </c>
      <c r="F1698" s="2" t="inlineStr">
        <is>
          <t>Fomepizole 15 mg/kg IV loading</t>
        </is>
      </c>
      <c r="G1698" s="2" t="inlineStr">
        <is>
          <t>N-acetylcysteine (NAC) IV infusion protocol</t>
        </is>
      </c>
      <c r="H1698" s="2" t="inlineStr">
        <is>
          <t>Atropine sulfate 2 mg IV Q5-10 min</t>
        </is>
      </c>
      <c r="I1698" s="8" t="inlineStr">
        <is>
          <t>1</t>
        </is>
      </c>
      <c r="J16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98" s="2" t="n"/>
      <c r="L1698" s="2" t="inlineStr">
        <is>
          <t>General Therapeutics</t>
        </is>
      </c>
      <c r="M1698" s="2" t="inlineStr">
        <is>
          <t>Clinic</t>
        </is>
      </c>
      <c r="N1698" s="2" t="inlineStr">
        <is>
          <t>ข้อ 1 (PLE_CC1_Key_Rx20_UBU.md)</t>
        </is>
      </c>
      <c r="O1698" s="2" t="inlineStr">
        <is>
          <t>Mock</t>
        </is>
      </c>
      <c r="P1698" s="2" t="inlineStr">
        <is>
          <t>Mock Rx20 UBU</t>
        </is>
      </c>
    </row>
    <row r="1699" ht="13.2" customHeight="1" s="37">
      <c r="A1699" s="8" t="inlineStr">
        <is>
          <t>1720</t>
        </is>
      </c>
      <c r="B1699" s="2" t="inlineStr">
        <is>
          <t>ยาอื่นที่รับประทานร่วมด้วย delay</t>
        </is>
      </c>
      <c r="C1699" s="2" t="n"/>
      <c r="D1699" s="2" t="inlineStr">
        <is>
          <t>N-acetylcysteine (NAC) IV infusion protocol</t>
        </is>
      </c>
      <c r="E1699" s="2" t="inlineStr">
        <is>
          <t>Atropine sulfate 2 mg IV Q5-10 min</t>
        </is>
      </c>
      <c r="F1699" s="2" t="inlineStr">
        <is>
          <t>Pralidoxime (2-PAM) 1-2 g IV over 30 min</t>
        </is>
      </c>
      <c r="G1699" s="2" t="inlineStr">
        <is>
          <t>Naloxone 0.4 mg IV stat</t>
        </is>
      </c>
      <c r="H1699" s="2" t="inlineStr">
        <is>
          <t>Flumazenil 0.2 mg IV stat</t>
        </is>
      </c>
      <c r="I1699" s="8" t="inlineStr">
        <is>
          <t>2</t>
        </is>
      </c>
      <c r="J1699"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699" s="2" t="n"/>
      <c r="L1699" s="2" t="inlineStr">
        <is>
          <t>General Therapeutics</t>
        </is>
      </c>
      <c r="M1699" s="2" t="inlineStr">
        <is>
          <t>Clinic</t>
        </is>
      </c>
      <c r="N1699" s="2" t="inlineStr">
        <is>
          <t>ข้อ 5 (PLE_CC1_Key_Rx20_UBU.md)</t>
        </is>
      </c>
      <c r="O1699" s="2" t="inlineStr">
        <is>
          <t>Mock</t>
        </is>
      </c>
      <c r="P1699" s="2" t="inlineStr">
        <is>
          <t>Mock Rx20 UBU</t>
        </is>
      </c>
    </row>
    <row r="1700" ht="13.2" customHeight="1" s="37">
      <c r="A1700" s="8" t="inlineStr">
        <is>
          <t>1721</t>
        </is>
      </c>
      <c r="B1700" s="2" t="inlineStr">
        <is>
          <t>immediate hypersensitivity delayed hypersensitivity</t>
        </is>
      </c>
      <c r="C1700" s="2" t="n"/>
      <c r="D1700" s="2" t="inlineStr">
        <is>
          <t>Naloxone 0.4 mg IV stat</t>
        </is>
      </c>
      <c r="E1700" s="2" t="inlineStr">
        <is>
          <t>Flumazenil 0.2 mg IV stat</t>
        </is>
      </c>
      <c r="F1700" s="2" t="inlineStr">
        <is>
          <t>Vitamin K1 (Phytomenadione) 10 mg IV slow</t>
        </is>
      </c>
      <c r="G1700" s="2" t="inlineStr">
        <is>
          <t>Sodium thiosulfate 25% 50 mL IV</t>
        </is>
      </c>
      <c r="H1700" s="2" t="inlineStr">
        <is>
          <t>Calcium disodium EDTA 1 g IV</t>
        </is>
      </c>
      <c r="I1700" s="8" t="inlineStr">
        <is>
          <t>4</t>
        </is>
      </c>
      <c r="J1700" s="2" t="inlineStr">
        <is>
          <t>✅ คำตอบที่ถูกต้อง: ข้อ ง.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0" s="2" t="n"/>
      <c r="L1700" s="2" t="inlineStr">
        <is>
          <t>General Therapeutics</t>
        </is>
      </c>
      <c r="M1700" s="2" t="inlineStr">
        <is>
          <t>Clinic</t>
        </is>
      </c>
      <c r="N1700" s="2" t="inlineStr">
        <is>
          <t>ข้อ 5 (PLE_CC1_Key_Rx20_UBU.md)</t>
        </is>
      </c>
      <c r="O1700" s="2" t="inlineStr">
        <is>
          <t>Mock</t>
        </is>
      </c>
      <c r="P1700" s="2" t="inlineStr">
        <is>
          <t>Mock Rx20 UBU</t>
        </is>
      </c>
    </row>
    <row r="1701" ht="13.2" customHeight="1" s="37">
      <c r="A1701" s="8" t="inlineStr">
        <is>
          <t>1722</t>
        </is>
      </c>
      <c r="B1701" s="2" t="inlineStr">
        <is>
          <t>หากแพ้ยา ibuprofen จะแพ้ยาใดได้อีก หากพิจารณาตามโครงสร้าง</t>
        </is>
      </c>
      <c r="C1701" s="2" t="n"/>
      <c r="D1701" s="2" t="inlineStr">
        <is>
          <t>Alendronate 70 mg weekly</t>
        </is>
      </c>
      <c r="E1701" s="2" t="inlineStr">
        <is>
          <t>Glucosamine sulfate 1500 mg OD</t>
        </is>
      </c>
      <c r="F1701" s="2" t="inlineStr">
        <is>
          <t>Hydroxychloroquine 200 mg OD</t>
        </is>
      </c>
      <c r="G1701" s="2" t="inlineStr">
        <is>
          <t>Prednisolone 5 mg OD</t>
        </is>
      </c>
      <c r="H1701" s="2" t="inlineStr">
        <is>
          <t>Zoledronic acid 5 mg IV annually</t>
        </is>
      </c>
      <c r="I1701" s="8" t="inlineStr">
        <is>
          <t>1</t>
        </is>
      </c>
      <c r="J1701" s="2" t="inlineStr">
        <is>
          <t>✅ คำตอบที่ถูกต้อง: ข้อ ก. Alendronate 70 mg weekly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Alendronate 70 mg weekly
🔍 ข้ออื่นผิดเพราะอะไร:
• ข้อ ข. (Glucosamine sulfate 1500 mg OD): เป็นเพียง dietary supplement / symptom-modifying therapy สำหรับ OA ไม่ได้จัดเป็น disease-modifying agent และ CPG สากล (ACR) ไม่แนะนำให้ใช้เป็น first-line
• ข้อ ค. (Hydroxychloroquine 200 mg OD): เป็น csDMARD ที่ปลอดภัยต่อตับและหญิงตั้งครรภ์ แต่ต้อง monitoring retinal toxicity (ตาบอด) ทุกปีหลังใช้เกิน 5 ปี
• ข้อ ง. (Prednisolone 5 mg OD): เป็น intermediate-acting systemic corticosteroid ขนาดยอดนิยมสำหรับ immunosuppressive &amp; anti-inflammatory therapy ต้องระวัง Cushingoid, infection, osteoporosis, peptic ulcer
• ข้อ จ.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701" s="2" t="n"/>
      <c r="L1701" s="2" t="inlineStr">
        <is>
          <t>Musculoskeletal &amp; Joint</t>
        </is>
      </c>
      <c r="M1701" s="2" t="inlineStr">
        <is>
          <t>Clinic</t>
        </is>
      </c>
      <c r="N1701" s="2" t="inlineStr">
        <is>
          <t>ข้อ 3 (PLE_CC1_Key_Rx20_UBU.md)</t>
        </is>
      </c>
      <c r="O1701" s="2" t="inlineStr">
        <is>
          <t>Mock</t>
        </is>
      </c>
      <c r="P1701" s="2" t="inlineStr">
        <is>
          <t>Mock Rx20 UBU</t>
        </is>
      </c>
    </row>
    <row r="1702" ht="13.2" customHeight="1" s="37">
      <c r="A1702" s="8" t="inlineStr">
        <is>
          <t>1723</t>
        </is>
      </c>
      <c r="B1702" s="2" t="inlineStr">
        <is>
          <t>จากอาการดังกล่าว เด็กหญิงรายนี้ป่วยเป็นโรคอะไร</t>
        </is>
      </c>
      <c r="C1702" s="2" t="n"/>
      <c r="D1702" s="2" t="inlineStr">
        <is>
          <t>Dimercaprol (BAL) 3 mg/kg IM</t>
        </is>
      </c>
      <c r="E1702" s="2" t="inlineStr">
        <is>
          <t>Ethanol 10% IV infusion for Methanol poisoning</t>
        </is>
      </c>
      <c r="F1702" s="2" t="inlineStr">
        <is>
          <t>Fomepizole 15 mg/kg IV loading</t>
        </is>
      </c>
      <c r="G1702" s="2" t="inlineStr">
        <is>
          <t>N-acetylcysteine (NAC) IV infusion protocol</t>
        </is>
      </c>
      <c r="H1702" s="2" t="inlineStr">
        <is>
          <t>Atropine sulfate 2 mg IV Q5-10 min</t>
        </is>
      </c>
      <c r="I1702" s="8" t="inlineStr">
        <is>
          <t>1</t>
        </is>
      </c>
      <c r="J17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2" s="2" t="n"/>
      <c r="L1702" s="2" t="inlineStr">
        <is>
          <t>General Therapeutics</t>
        </is>
      </c>
      <c r="M1702" s="2" t="inlineStr">
        <is>
          <t>Clinic</t>
        </is>
      </c>
      <c r="N1702" s="2" t="inlineStr">
        <is>
          <t>ข้อ 1 (PLE_CC1_Key_Rx20_UBU.md)</t>
        </is>
      </c>
      <c r="O1702" s="2" t="inlineStr">
        <is>
          <t>Mock</t>
        </is>
      </c>
      <c r="P1702" s="2" t="inlineStr">
        <is>
          <t>Mock Rx20 UBU</t>
        </is>
      </c>
    </row>
    <row r="1703" ht="13.2" customHeight="1" s="37">
      <c r="A1703" s="8" t="inlineStr">
        <is>
          <t>1724</t>
        </is>
      </c>
      <c r="B1703" s="2" t="inlineStr">
        <is>
          <t>เชื้อที่คาดว่าเป็นสาเหตุของโรคดังกล่าวคือเชื้อใด</t>
        </is>
      </c>
      <c r="C1703" s="2" t="n"/>
      <c r="D1703" s="2" t="inlineStr">
        <is>
          <t>N-acetylcysteine (NAC) IV infusion protocol</t>
        </is>
      </c>
      <c r="E1703" s="2" t="inlineStr">
        <is>
          <t>Atropine sulfate 2 mg IV Q5-10 min</t>
        </is>
      </c>
      <c r="F1703" s="2" t="inlineStr">
        <is>
          <t>Pralidoxime (2-PAM) 1-2 g IV over 30 min</t>
        </is>
      </c>
      <c r="G1703" s="2" t="inlineStr">
        <is>
          <t>Naloxone 0.4 mg IV stat</t>
        </is>
      </c>
      <c r="H1703" s="2" t="inlineStr">
        <is>
          <t>Flumazenil 0.2 mg IV stat</t>
        </is>
      </c>
      <c r="I1703" s="8" t="inlineStr">
        <is>
          <t>1</t>
        </is>
      </c>
      <c r="J17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03" s="2" t="n"/>
      <c r="L1703" s="2" t="inlineStr">
        <is>
          <t>General Therapeutics</t>
        </is>
      </c>
      <c r="M1703" s="2" t="inlineStr">
        <is>
          <t>Clinic</t>
        </is>
      </c>
      <c r="N1703" s="2" t="inlineStr">
        <is>
          <t>ข้อ 2 (PLE_CC1_Key_Rx20_UBU.md)</t>
        </is>
      </c>
      <c r="O1703" s="2" t="inlineStr">
        <is>
          <t>Mock</t>
        </is>
      </c>
      <c r="P1703" s="2" t="inlineStr">
        <is>
          <t>Mock Rx20 UBU</t>
        </is>
      </c>
    </row>
    <row r="1704" ht="13.2" customHeight="1" s="37">
      <c r="A1704" s="8" t="inlineStr">
        <is>
          <t>1725</t>
        </is>
      </c>
      <c r="B1704" s="2" t="inlineStr">
        <is>
          <t>ยาอะไรที่ใช้เป็นอันดับแรก</t>
        </is>
      </c>
      <c r="C1704" s="2" t="n"/>
      <c r="D1704" s="2" t="inlineStr">
        <is>
          <t>Naloxone 0.4 mg IV stat</t>
        </is>
      </c>
      <c r="E1704" s="2" t="inlineStr">
        <is>
          <t>Flumazenil 0.2 mg IV stat</t>
        </is>
      </c>
      <c r="F1704" s="2" t="inlineStr">
        <is>
          <t>Vitamin K1 (Phytomenadione) 10 mg IV slow</t>
        </is>
      </c>
      <c r="G1704" s="2" t="inlineStr">
        <is>
          <t>Sodium thiosulfate 25% 50 mL IV</t>
        </is>
      </c>
      <c r="H1704" s="2" t="inlineStr">
        <is>
          <t>Calcium disodium EDTA 1 g IV</t>
        </is>
      </c>
      <c r="I1704" s="8" t="inlineStr">
        <is>
          <t>1</t>
        </is>
      </c>
      <c r="J17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04" s="2" t="n"/>
      <c r="L1704" s="2" t="inlineStr">
        <is>
          <t>General Therapeutics</t>
        </is>
      </c>
      <c r="M1704" s="2" t="inlineStr">
        <is>
          <t>Clinic</t>
        </is>
      </c>
      <c r="N1704" s="2" t="inlineStr">
        <is>
          <t>ข้อ 3 (PLE_CC1_Key_Rx20_UBU.md)</t>
        </is>
      </c>
      <c r="O1704" s="2" t="inlineStr">
        <is>
          <t>Mock</t>
        </is>
      </c>
      <c r="P1704" s="2" t="inlineStr">
        <is>
          <t>Mock Rx20 UBU</t>
        </is>
      </c>
    </row>
    <row r="1705" ht="13.2" customHeight="1" s="37">
      <c r="A1705" s="8" t="inlineStr">
        <is>
          <t>1726</t>
        </is>
      </c>
      <c r="B1705" s="2" t="inlineStr">
        <is>
          <t>Amoxycillin-Clavulanic acid</t>
        </is>
      </c>
      <c r="C1705" s="2" t="n"/>
      <c r="D1705" s="2" t="inlineStr">
        <is>
          <t>Sodium thiosulfate 25% 50 mL IV</t>
        </is>
      </c>
      <c r="E1705" s="2" t="inlineStr">
        <is>
          <t>Calcium disodium EDTA 1 g IV</t>
        </is>
      </c>
      <c r="F1705" s="2" t="inlineStr">
        <is>
          <t>Desferrioxamine 1 g IM/IV</t>
        </is>
      </c>
      <c r="G1705" s="2" t="inlineStr">
        <is>
          <t>Dimercaprol (BAL) 3 mg/kg IM</t>
        </is>
      </c>
      <c r="H1705" s="2" t="inlineStr">
        <is>
          <t>Ethanol 10% IV infusion for Methanol poisoning</t>
        </is>
      </c>
      <c r="I1705" s="8" t="inlineStr">
        <is>
          <t>1</t>
        </is>
      </c>
      <c r="J17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5" s="2" t="n"/>
      <c r="L1705" s="2" t="inlineStr">
        <is>
          <t>General Therapeutics</t>
        </is>
      </c>
      <c r="M1705" s="2" t="inlineStr">
        <is>
          <t>Clinic</t>
        </is>
      </c>
      <c r="N1705" s="2" t="inlineStr">
        <is>
          <t>ข้อ 4 (PLE_CC1_Key_Rx20_UBU.md)</t>
        </is>
      </c>
      <c r="O1705" s="2" t="inlineStr">
        <is>
          <t>Mock</t>
        </is>
      </c>
      <c r="P1705" s="2" t="inlineStr">
        <is>
          <t>Mock Rx20 UBU</t>
        </is>
      </c>
    </row>
    <row r="1706" ht="13.2" customHeight="1" s="37">
      <c r="A1706" s="8" t="inlineStr">
        <is>
          <t>1727</t>
        </is>
      </c>
      <c r="B1706" s="2" t="inlineStr">
        <is>
          <t>Roxithromycin hypersensitivity จึงควรหลีกเลี่ยงการใช้ยากลุ่ม Penicillin โดยพิจารณาเลือกใช้ยากลุ่ม Macrolides แทน ได้แก่ Roxithromycin, Clarithromycin หรือ Axithromycin</t>
        </is>
      </c>
      <c r="C1706" s="2" t="n"/>
      <c r="D1706" s="2" t="inlineStr">
        <is>
          <t>Nitrofurantoin 100 mg BID</t>
        </is>
      </c>
      <c r="E1706" s="2" t="inlineStr">
        <is>
          <t>Tenofovir/Emtricitabine 300/200 mg OD</t>
        </is>
      </c>
      <c r="F1706" s="2" t="inlineStr">
        <is>
          <t>Dolutegravir 50 mg OD</t>
        </is>
      </c>
      <c r="G1706" s="2" t="inlineStr">
        <is>
          <t>Vancomycin 1 g IV Q12H</t>
        </is>
      </c>
      <c r="H1706" s="2" t="inlineStr">
        <is>
          <t>Meropenem 1 g IV Q8H</t>
        </is>
      </c>
      <c r="I1706" s="8" t="inlineStr">
        <is>
          <t>3</t>
        </is>
      </c>
      <c r="J1706" s="2" t="inlineStr">
        <is>
          <t>✅ คำตอบที่ถูกต้อง: ข้อ ค. Dolutegravir 50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706" s="2" t="n"/>
      <c r="L1706" s="2" t="inlineStr">
        <is>
          <t>Infectious Diseases</t>
        </is>
      </c>
      <c r="M1706" s="2" t="inlineStr">
        <is>
          <t>Clinic</t>
        </is>
      </c>
      <c r="N1706" s="2" t="inlineStr">
        <is>
          <t>ข้อ 5 (PLE_CC1_Key_Rx20_UBU.md)</t>
        </is>
      </c>
      <c r="O1706" s="2" t="inlineStr">
        <is>
          <t>Mock</t>
        </is>
      </c>
      <c r="P1706" s="2" t="inlineStr">
        <is>
          <t>Mock Rx20 UBU</t>
        </is>
      </c>
    </row>
    <row r="1707" ht="13.2" customHeight="1" s="37">
      <c r="A1707" s="8" t="inlineStr">
        <is>
          <t>1728</t>
        </is>
      </c>
      <c r="B1707" s="2" t="inlineStr">
        <is>
          <t>จับกับ ribosome 30s</t>
        </is>
      </c>
      <c r="C1707" s="2" t="n"/>
      <c r="D1707" s="2" t="inlineStr">
        <is>
          <t>N-acetylcysteine (NAC) IV infusion protocol</t>
        </is>
      </c>
      <c r="E1707" s="2" t="inlineStr">
        <is>
          <t>Atropine sulfate 2 mg IV Q5-10 min</t>
        </is>
      </c>
      <c r="F1707" s="2" t="inlineStr">
        <is>
          <t>Pralidoxime (2-PAM) 1-2 g IV over 30 min</t>
        </is>
      </c>
      <c r="G1707" s="2" t="inlineStr">
        <is>
          <t>Naloxone 0.4 mg IV stat</t>
        </is>
      </c>
      <c r="H1707" s="2" t="inlineStr">
        <is>
          <t>Flumazenil 0.2 mg IV stat</t>
        </is>
      </c>
      <c r="I1707" s="8" t="inlineStr">
        <is>
          <t>1</t>
        </is>
      </c>
      <c r="J17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07" s="2" t="n"/>
      <c r="L1707" s="2" t="inlineStr">
        <is>
          <t>General Therapeutics</t>
        </is>
      </c>
      <c r="M1707" s="2" t="inlineStr">
        <is>
          <t>Clinic</t>
        </is>
      </c>
      <c r="N1707" s="2" t="inlineStr">
        <is>
          <t>ข้อ 1 (PLE_CC1_Key_Rx20_UBU.md)</t>
        </is>
      </c>
      <c r="O1707" s="2" t="inlineStr">
        <is>
          <t>Mock</t>
        </is>
      </c>
      <c r="P1707" s="2" t="inlineStr">
        <is>
          <t>Mock Rx20 UBU</t>
        </is>
      </c>
    </row>
    <row r="1708" ht="13.2" customHeight="1" s="37">
      <c r="A1708" s="8" t="inlineStr">
        <is>
          <t>1729</t>
        </is>
      </c>
      <c r="B1708" s="2" t="inlineStr">
        <is>
          <t>จับกับ ribosome 50s</t>
        </is>
      </c>
      <c r="C1708" s="2" t="n"/>
      <c r="D1708" s="2" t="inlineStr">
        <is>
          <t>Naloxone 0.4 mg IV stat</t>
        </is>
      </c>
      <c r="E1708" s="2" t="inlineStr">
        <is>
          <t>Flumazenil 0.2 mg IV stat</t>
        </is>
      </c>
      <c r="F1708" s="2" t="inlineStr">
        <is>
          <t>Vitamin K1 (Phytomenadione) 10 mg IV slow</t>
        </is>
      </c>
      <c r="G1708" s="2" t="inlineStr">
        <is>
          <t>Sodium thiosulfate 25% 50 mL IV</t>
        </is>
      </c>
      <c r="H1708" s="2" t="inlineStr">
        <is>
          <t>Calcium disodium EDTA 1 g IV</t>
        </is>
      </c>
      <c r="I1708" s="8" t="inlineStr">
        <is>
          <t>1</t>
        </is>
      </c>
      <c r="J17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08" s="2" t="n"/>
      <c r="L1708" s="2" t="inlineStr">
        <is>
          <t>General Therapeutics</t>
        </is>
      </c>
      <c r="M1708" s="2" t="inlineStr">
        <is>
          <t>Clinic</t>
        </is>
      </c>
      <c r="N1708" s="2" t="inlineStr">
        <is>
          <t>ข้อ 2 (PLE_CC1_Key_Rx20_UBU.md)</t>
        </is>
      </c>
      <c r="O1708" s="2" t="inlineStr">
        <is>
          <t>Mock</t>
        </is>
      </c>
      <c r="P1708" s="2" t="inlineStr">
        <is>
          <t>Mock Rx20 UBU</t>
        </is>
      </c>
    </row>
    <row r="1709" ht="13.2" customHeight="1" s="37">
      <c r="A1709" s="8" t="inlineStr">
        <is>
          <t>1730</t>
        </is>
      </c>
      <c r="B1709" s="2" t="inlineStr">
        <is>
          <t>ยับยั้งการสร้างผนังเซลล์</t>
        </is>
      </c>
      <c r="C1709" s="2" t="n"/>
      <c r="D1709" s="2" t="inlineStr">
        <is>
          <t>Sodium thiosulfate 25% 50 mL IV</t>
        </is>
      </c>
      <c r="E1709" s="2" t="inlineStr">
        <is>
          <t>Calcium disodium EDTA 1 g IV</t>
        </is>
      </c>
      <c r="F1709" s="2" t="inlineStr">
        <is>
          <t>Desferrioxamine 1 g IM/IV</t>
        </is>
      </c>
      <c r="G1709" s="2" t="inlineStr">
        <is>
          <t>Dimercaprol (BAL) 3 mg/kg IM</t>
        </is>
      </c>
      <c r="H1709" s="2" t="inlineStr">
        <is>
          <t>Ethanol 10% IV infusion for Methanol poisoning</t>
        </is>
      </c>
      <c r="I1709" s="8" t="inlineStr">
        <is>
          <t>1</t>
        </is>
      </c>
      <c r="J17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09" s="2" t="n"/>
      <c r="L1709" s="2" t="inlineStr">
        <is>
          <t>General Therapeutics</t>
        </is>
      </c>
      <c r="M1709" s="2" t="inlineStr">
        <is>
          <t>Clinic</t>
        </is>
      </c>
      <c r="N1709" s="2" t="inlineStr">
        <is>
          <t>ข้อ 3 (PLE_CC1_Key_Rx20_UBU.md)</t>
        </is>
      </c>
      <c r="O1709" s="2" t="inlineStr">
        <is>
          <t>Mock</t>
        </is>
      </c>
      <c r="P1709" s="2" t="inlineStr">
        <is>
          <t>Mock Rx20 UBU</t>
        </is>
      </c>
    </row>
    <row r="1710" ht="13.2" customHeight="1" s="37">
      <c r="A1710" s="8" t="inlineStr">
        <is>
          <t>1731</t>
        </is>
      </c>
      <c r="B1710" s="2" t="inlineStr">
        <is>
          <t>ยับยั้งการสร้าง DNA</t>
        </is>
      </c>
      <c r="C1710" s="2" t="n"/>
      <c r="D1710" s="2" t="inlineStr">
        <is>
          <t>Dimercaprol (BAL) 3 mg/kg IM</t>
        </is>
      </c>
      <c r="E1710" s="2" t="inlineStr">
        <is>
          <t>Ethanol 10% IV infusion for Methanol poisoning</t>
        </is>
      </c>
      <c r="F1710" s="2" t="inlineStr">
        <is>
          <t>Fomepizole 15 mg/kg IV loading</t>
        </is>
      </c>
      <c r="G1710" s="2" t="inlineStr">
        <is>
          <t>N-acetylcysteine (NAC) IV infusion protocol</t>
        </is>
      </c>
      <c r="H1710" s="2" t="inlineStr">
        <is>
          <t>Atropine sulfate 2 mg IV Q5-10 min</t>
        </is>
      </c>
      <c r="I1710" s="8" t="inlineStr">
        <is>
          <t>1</t>
        </is>
      </c>
      <c r="J17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0" s="2" t="n"/>
      <c r="L1710" s="2" t="inlineStr">
        <is>
          <t>General Therapeutics</t>
        </is>
      </c>
      <c r="M1710" s="2" t="inlineStr">
        <is>
          <t>Clinic</t>
        </is>
      </c>
      <c r="N1710" s="2" t="inlineStr">
        <is>
          <t>ข้อ 4 (PLE_CC1_Key_Rx20_UBU.md)</t>
        </is>
      </c>
      <c r="O1710" s="2" t="inlineStr">
        <is>
          <t>Mock</t>
        </is>
      </c>
      <c r="P1710" s="2" t="inlineStr">
        <is>
          <t>Mock Rx20 UBU</t>
        </is>
      </c>
    </row>
    <row r="1711" ht="13.2" customHeight="1" s="37">
      <c r="A1711" s="8" t="inlineStr">
        <is>
          <t>1732</t>
        </is>
      </c>
      <c r="B1711" s="2" t="inlineStr">
        <is>
          <t>Doxycycline</t>
        </is>
      </c>
      <c r="C1711" s="2" t="n"/>
      <c r="D1711" s="2" t="inlineStr">
        <is>
          <t>Dolutegravir 50 mg OD</t>
        </is>
      </c>
      <c r="E1711" s="2" t="inlineStr">
        <is>
          <t>Vancomycin 1 g IV Q12H</t>
        </is>
      </c>
      <c r="F1711" s="2" t="inlineStr">
        <is>
          <t>Meropenem 1 g IV Q8H</t>
        </is>
      </c>
      <c r="G1711" s="2" t="inlineStr">
        <is>
          <t>Cefazolin 1 g IV Q8H</t>
        </is>
      </c>
      <c r="H1711" s="2" t="inlineStr">
        <is>
          <t>Amoxicillin/Clavulanate 1 g BID</t>
        </is>
      </c>
      <c r="I1711" s="8" t="inlineStr">
        <is>
          <t>3</t>
        </is>
      </c>
      <c r="J1711" s="2" t="inlineStr">
        <is>
          <t>✅ คำตอบที่ถูกต้อง: ข้อ ค.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(Dolutegravir 50 mg OD): เป็น Integrase strand transfer inhibitor (INSTI) มี genetic barrier ต่อการดื้อยาสูงมาก และ efficacy สูงในการกด viral load ได้อย่างรวดเร็ว
• ข้อ ข. (Vancomycin 1 g IV Q12H): เป็น Glycopeptide antibiotic ยับยั้ง MRSA และ Enterococcus ต้อง monitoring trough level (target 15-20 mcg/mL ใน severe infections) เพื่อป้องกัน nephrotoxicity และ ototoxity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1" s="2" t="n"/>
      <c r="L1711" s="2" t="inlineStr">
        <is>
          <t>Infectious Diseases</t>
        </is>
      </c>
      <c r="M1711" s="2" t="inlineStr">
        <is>
          <t>Clinic</t>
        </is>
      </c>
      <c r="N1711" s="2" t="inlineStr">
        <is>
          <t>ข้อ 5 (PLE_CC1_Key_Rx20_UBU.md)</t>
        </is>
      </c>
      <c r="O1711" s="2" t="inlineStr">
        <is>
          <t>Mock</t>
        </is>
      </c>
      <c r="P1711" s="2" t="inlineStr">
        <is>
          <t>Mock Rx20 UBU</t>
        </is>
      </c>
    </row>
    <row r="1712" ht="13.2" customHeight="1" s="37">
      <c r="A1712" s="8" t="inlineStr">
        <is>
          <t>1733</t>
        </is>
      </c>
      <c r="B1712" s="2" t="inlineStr">
        <is>
          <t>ที่สร้างจากเชื้อแบคทีเรีย</t>
        </is>
      </c>
      <c r="C1712" s="2" t="n"/>
      <c r="D1712" s="2" t="inlineStr">
        <is>
          <t>Naloxone 0.4 mg IV stat</t>
        </is>
      </c>
      <c r="E1712" s="2" t="inlineStr">
        <is>
          <t>Flumazenil 0.2 mg IV stat</t>
        </is>
      </c>
      <c r="F1712" s="2" t="inlineStr">
        <is>
          <t>Vitamin K1 (Phytomenadione) 10 mg IV slow</t>
        </is>
      </c>
      <c r="G1712" s="2" t="inlineStr">
        <is>
          <t>Sodium thiosulfate 25% 50 mL IV</t>
        </is>
      </c>
      <c r="H1712" s="2" t="inlineStr">
        <is>
          <t>Calcium disodium EDTA 1 g IV</t>
        </is>
      </c>
      <c r="I1712" s="8" t="inlineStr">
        <is>
          <t>3</t>
        </is>
      </c>
      <c r="J1712"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2" s="2" t="n"/>
      <c r="L1712" s="2" t="inlineStr">
        <is>
          <t>General Therapeutics</t>
        </is>
      </c>
      <c r="M1712" s="2" t="inlineStr">
        <is>
          <t>Clinic</t>
        </is>
      </c>
      <c r="N1712" s="2" t="inlineStr">
        <is>
          <t>ข้อ 5 (PLE_CC1_Key_Rx20_UBU.md)</t>
        </is>
      </c>
      <c r="O1712" s="2" t="inlineStr">
        <is>
          <t>Mock</t>
        </is>
      </c>
      <c r="P1712" s="2" t="inlineStr">
        <is>
          <t>Mock Rx20 UBU</t>
        </is>
      </c>
    </row>
    <row r="1713" ht="13.2" customHeight="1" s="37">
      <c r="A1713" s="8" t="inlineStr">
        <is>
          <t>1734</t>
        </is>
      </c>
      <c r="B1713" s="2" t="inlineStr">
        <is>
          <t>Hypomellose หวานกว่าน้ำตาล</t>
        </is>
      </c>
      <c r="C1713" s="2" t="n"/>
      <c r="D1713" s="2" t="inlineStr">
        <is>
          <t>Sodium thiosulfate 25% 50 mL IV</t>
        </is>
      </c>
      <c r="E1713" s="2" t="inlineStr">
        <is>
          <t>Calcium disodium EDTA 1 g IV</t>
        </is>
      </c>
      <c r="F1713" s="2" t="inlineStr">
        <is>
          <t>Desferrioxamine 1 g IM/IV</t>
        </is>
      </c>
      <c r="G1713" s="2" t="inlineStr">
        <is>
          <t>Dimercaprol (BAL) 3 mg/kg IM</t>
        </is>
      </c>
      <c r="H1713" s="2" t="inlineStr">
        <is>
          <t>Ethanol 10% IV infusion for Methanol poisoning</t>
        </is>
      </c>
      <c r="I1713" s="8" t="inlineStr">
        <is>
          <t>1</t>
        </is>
      </c>
      <c r="J17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13" s="2" t="n"/>
      <c r="L1713" s="2" t="inlineStr">
        <is>
          <t>General Therapeutics</t>
        </is>
      </c>
      <c r="M1713" s="2" t="inlineStr">
        <is>
          <t>Clinic</t>
        </is>
      </c>
      <c r="N1713" s="2" t="inlineStr">
        <is>
          <t>ข้อ 1 (PLE_CC1_Key_Rx20_UBU.md)</t>
        </is>
      </c>
      <c r="O1713" s="2" t="inlineStr">
        <is>
          <t>Mock</t>
        </is>
      </c>
      <c r="P1713" s="2" t="inlineStr">
        <is>
          <t>Mock Rx20 UBU</t>
        </is>
      </c>
    </row>
    <row r="1714" ht="13.2" customHeight="1" s="37">
      <c r="A1714" s="8" t="inlineStr">
        <is>
          <t>1735</t>
        </is>
      </c>
      <c r="B1714" s="2" t="inlineStr">
        <is>
          <t>Aspartam เป็น preservative</t>
        </is>
      </c>
      <c r="C1714" s="2" t="n"/>
      <c r="D1714" s="2" t="inlineStr">
        <is>
          <t>Dimercaprol (BAL) 3 mg/kg IM</t>
        </is>
      </c>
      <c r="E1714" s="2" t="inlineStr">
        <is>
          <t>Ethanol 10% IV infusion for Methanol poisoning</t>
        </is>
      </c>
      <c r="F1714" s="2" t="inlineStr">
        <is>
          <t>Fomepizole 15 mg/kg IV loading</t>
        </is>
      </c>
      <c r="G1714" s="2" t="inlineStr">
        <is>
          <t>N-acetylcysteine (NAC) IV infusion protocol</t>
        </is>
      </c>
      <c r="H1714" s="2" t="inlineStr">
        <is>
          <t>Atropine sulfate 2 mg IV Q5-10 min</t>
        </is>
      </c>
      <c r="I1714" s="8" t="inlineStr">
        <is>
          <t>1</t>
        </is>
      </c>
      <c r="J17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4" s="2" t="n"/>
      <c r="L1714" s="2" t="inlineStr">
        <is>
          <t>General Therapeutics</t>
        </is>
      </c>
      <c r="M1714" s="2" t="inlineStr">
        <is>
          <t>Clinic</t>
        </is>
      </c>
      <c r="N1714" s="2" t="inlineStr">
        <is>
          <t>ข้อ 2 (PLE_CC1_Key_Rx20_UBU.md)</t>
        </is>
      </c>
      <c r="O1714" s="2" t="inlineStr">
        <is>
          <t>Mock</t>
        </is>
      </c>
      <c r="P1714" s="2" t="inlineStr">
        <is>
          <t>Mock Rx20 UBU</t>
        </is>
      </c>
    </row>
    <row r="1715" ht="13.2" customHeight="1" s="37">
      <c r="A1715" s="8" t="inlineStr">
        <is>
          <t>1736</t>
        </is>
      </c>
      <c r="B1715" s="2" t="inlineStr">
        <is>
          <t>Colloidol ช่วยไหล</t>
        </is>
      </c>
      <c r="C1715" s="2" t="n"/>
      <c r="D1715" s="2" t="inlineStr">
        <is>
          <t>N-acetylcysteine (NAC) IV infusion protocol</t>
        </is>
      </c>
      <c r="E1715" s="2" t="inlineStr">
        <is>
          <t>Atropine sulfate 2 mg IV Q5-10 min</t>
        </is>
      </c>
      <c r="F1715" s="2" t="inlineStr">
        <is>
          <t>Pralidoxime (2-PAM) 1-2 g IV over 30 min</t>
        </is>
      </c>
      <c r="G1715" s="2" t="inlineStr">
        <is>
          <t>Naloxone 0.4 mg IV stat</t>
        </is>
      </c>
      <c r="H1715" s="2" t="inlineStr">
        <is>
          <t>Flumazenil 0.2 mg IV stat</t>
        </is>
      </c>
      <c r="I1715" s="8" t="inlineStr">
        <is>
          <t>1</t>
        </is>
      </c>
      <c r="J17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15" s="2" t="n"/>
      <c r="L1715" s="2" t="inlineStr">
        <is>
          <t>General Therapeutics</t>
        </is>
      </c>
      <c r="M1715" s="2" t="inlineStr">
        <is>
          <t>Clinic</t>
        </is>
      </c>
      <c r="N1715" s="2" t="inlineStr">
        <is>
          <t>ข้อ 3 (PLE_CC1_Key_Rx20_UBU.md)</t>
        </is>
      </c>
      <c r="O1715" s="2" t="inlineStr">
        <is>
          <t>Mock</t>
        </is>
      </c>
      <c r="P1715" s="2" t="inlineStr">
        <is>
          <t>Mock Rx20 UBU</t>
        </is>
      </c>
    </row>
    <row r="1716" ht="13.2" customHeight="1" s="37">
      <c r="A1716" s="8" t="inlineStr">
        <is>
          <t>1737</t>
        </is>
      </c>
      <c r="B1716" s="2" t="inlineStr">
        <is>
          <t>เมื่อผสมแล้วได้น้ำเชื่อมใส</t>
        </is>
      </c>
      <c r="C1716" s="2" t="n"/>
      <c r="D1716" s="2" t="inlineStr">
        <is>
          <t>Naloxone 0.4 mg IV stat</t>
        </is>
      </c>
      <c r="E1716" s="2" t="inlineStr">
        <is>
          <t>Flumazenil 0.2 mg IV stat</t>
        </is>
      </c>
      <c r="F1716" s="2" t="inlineStr">
        <is>
          <t>Vitamin K1 (Phytomenadione) 10 mg IV slow</t>
        </is>
      </c>
      <c r="G1716" s="2" t="inlineStr">
        <is>
          <t>Sodium thiosulfate 25% 50 mL IV</t>
        </is>
      </c>
      <c r="H1716" s="2" t="inlineStr">
        <is>
          <t>Calcium disodium EDTA 1 g IV</t>
        </is>
      </c>
      <c r="I1716" s="8" t="inlineStr">
        <is>
          <t>3</t>
        </is>
      </c>
      <c r="J1716"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6" s="2" t="n"/>
      <c r="L1716" s="2" t="inlineStr">
        <is>
          <t>General Therapeutics</t>
        </is>
      </c>
      <c r="M1716" s="2" t="inlineStr">
        <is>
          <t>Clinic</t>
        </is>
      </c>
      <c r="N1716" s="2" t="inlineStr">
        <is>
          <t>ข้อ 4 (PLE_CC1_Key_Rx20_UBU.md)</t>
        </is>
      </c>
      <c r="O1716" s="2" t="inlineStr">
        <is>
          <t>Mock</t>
        </is>
      </c>
      <c r="P1716" s="2" t="inlineStr">
        <is>
          <t>Mock Rx20 UBU</t>
        </is>
      </c>
    </row>
    <row r="1717" ht="13.2" customHeight="1" s="37">
      <c r="A1717" s="8" t="inlineStr">
        <is>
          <t>1738</t>
        </is>
      </c>
      <c r="B1717" s="2" t="inlineStr">
        <is>
          <t>pseudoplastic flow</t>
        </is>
      </c>
      <c r="C1717" s="2" t="n"/>
      <c r="D1717" s="2" t="inlineStr">
        <is>
          <t>Sodium thiosulfate 25% 50 mL IV</t>
        </is>
      </c>
      <c r="E1717" s="2" t="inlineStr">
        <is>
          <t>Calcium disodium EDTA 1 g IV</t>
        </is>
      </c>
      <c r="F1717" s="2" t="inlineStr">
        <is>
          <t>Desferrioxamine 1 g IM/IV</t>
        </is>
      </c>
      <c r="G1717" s="2" t="inlineStr">
        <is>
          <t>Dimercaprol (BAL) 3 mg/kg IM</t>
        </is>
      </c>
      <c r="H1717" s="2" t="inlineStr">
        <is>
          <t>Ethanol 10% IV infusion for Methanol poisoning</t>
        </is>
      </c>
      <c r="I1717" s="8" t="inlineStr">
        <is>
          <t>1</t>
        </is>
      </c>
      <c r="J17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7" s="2" t="n"/>
      <c r="L1717" s="2" t="inlineStr">
        <is>
          <t>General Therapeutics</t>
        </is>
      </c>
      <c r="M1717" s="2" t="inlineStr">
        <is>
          <t>Clinic</t>
        </is>
      </c>
      <c r="N1717" s="2" t="inlineStr">
        <is>
          <t>ข้อ 2 (PLE_CC1_Key_Rx20_UBU.md)</t>
        </is>
      </c>
      <c r="O1717" s="2" t="inlineStr">
        <is>
          <t>Mock</t>
        </is>
      </c>
      <c r="P1717" s="2" t="inlineStr">
        <is>
          <t>Mock Rx20 UBU</t>
        </is>
      </c>
    </row>
    <row r="1718" ht="13.2" customHeight="1" s="37">
      <c r="A1718" s="8" t="inlineStr">
        <is>
          <t>1739</t>
        </is>
      </c>
      <c r="B1718" s="2" t="inlineStr">
        <is>
          <t>brownian ลักษณะการไหลของของไหลโดยทั่วไปสามารถแบ่งได้ 2 แบบ /✓</t>
        </is>
      </c>
      <c r="C1718" s="2" t="n"/>
      <c r="D1718" s="2" t="inlineStr">
        <is>
          <t>Dimercaprol (BAL) 3 mg/kg IM</t>
        </is>
      </c>
      <c r="E1718" s="2" t="inlineStr">
        <is>
          <t>Ethanol 10% IV infusion for Methanol poisoning</t>
        </is>
      </c>
      <c r="F1718" s="2" t="inlineStr">
        <is>
          <t>Fomepizole 15 mg/kg IV loading</t>
        </is>
      </c>
      <c r="G1718" s="2" t="inlineStr">
        <is>
          <t>N-acetylcysteine (NAC) IV infusion protocol</t>
        </is>
      </c>
      <c r="H1718" s="2" t="inlineStr">
        <is>
          <t>Atropine sulfate 2 mg IV Q5-10 min</t>
        </is>
      </c>
      <c r="I1718" s="8" t="inlineStr">
        <is>
          <t>5</t>
        </is>
      </c>
      <c r="J1718" s="2" t="inlineStr">
        <is>
          <t>✅ คำตอบที่ถูกต้อง: ข้อ จ.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718" s="2" t="n"/>
      <c r="L1718" s="2" t="inlineStr">
        <is>
          <t>General Therapeutics</t>
        </is>
      </c>
      <c r="M1718" s="2" t="inlineStr">
        <is>
          <t>Clinic</t>
        </is>
      </c>
      <c r="N1718" s="2" t="inlineStr">
        <is>
          <t>ข้อ 5 (PLE_CC1_Key_Rx20_UBU.md)</t>
        </is>
      </c>
      <c r="O1718" s="2" t="inlineStr">
        <is>
          <t>Mock</t>
        </is>
      </c>
      <c r="P1718" s="2" t="inlineStr">
        <is>
          <t>Mock Rx20 UBU</t>
        </is>
      </c>
    </row>
    <row r="1719" ht="13.2" customHeight="1" s="37">
      <c r="A1719" s="8" t="inlineStr">
        <is>
          <t>1740</t>
        </is>
      </c>
      <c r="B1719" s="2" t="inlineStr">
        <is>
          <t>Newtonian Fluid : เป็นลักษณะการไหลของของไหลที่เป็นไปตามการสันนิษฐานของนิวตัน คือ ที่ อุณหภูมิหนึ่งๆของไหลจะมีค่าความหนืดเป็นค่าคงที่ ไม่เปลี่ยนแปลงขึ้นกับอัตราเฉือน หรือ ความเร็วในการกวน ไม่วาจะกวนเร็วหรือกวนช้า ตัวอยางเช่น น้ำ น้ำมัน น้ำเชื่อม น้ำผลไม กลีเซอรีน แอลกอฮอล เป็นต้น</t>
        </is>
      </c>
      <c r="C1719" s="2" t="n"/>
      <c r="D1719" s="2" t="inlineStr">
        <is>
          <t>N-acetylcysteine (NAC) IV infusion protocol</t>
        </is>
      </c>
      <c r="E1719" s="2" t="inlineStr">
        <is>
          <t>Atropine sulfate 2 mg IV Q5-10 min</t>
        </is>
      </c>
      <c r="F1719" s="2" t="inlineStr">
        <is>
          <t>Pralidoxime (2-PAM) 1-2 g IV over 30 min</t>
        </is>
      </c>
      <c r="G1719" s="2" t="inlineStr">
        <is>
          <t>Naloxone 0.4 mg IV stat</t>
        </is>
      </c>
      <c r="H1719" s="2" t="inlineStr">
        <is>
          <t>Flumazenil 0.2 mg IV stat</t>
        </is>
      </c>
      <c r="I1719" s="8" t="inlineStr">
        <is>
          <t>1</t>
        </is>
      </c>
      <c r="J17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19" s="2" t="n"/>
      <c r="L1719" s="2" t="inlineStr">
        <is>
          <t>General Therapeutics</t>
        </is>
      </c>
      <c r="M1719" s="2" t="inlineStr">
        <is>
          <t>Clinic</t>
        </is>
      </c>
      <c r="N1719" s="2" t="inlineStr">
        <is>
          <t>ข้อ 1 (PLE_CC1_Key_Rx20_UBU.md)</t>
        </is>
      </c>
      <c r="O1719" s="2" t="inlineStr">
        <is>
          <t>Mock</t>
        </is>
      </c>
      <c r="P1719" s="2" t="inlineStr">
        <is>
          <t>Mock Rx20 UBU</t>
        </is>
      </c>
    </row>
    <row r="1720" ht="13.2" customHeight="1" s="37">
      <c r="A1720" s="8" t="inlineStr">
        <is>
          <t>1741</t>
        </is>
      </c>
      <c r="B1720" s="2" t="inlineStr">
        <is>
          <t>Non Newtonian Fluid : เป็นลักษณะการไหลของของไหลที่ไม่เป็นไปตามการสันนิษฐานของนิวตัน คือ ที่ อุณหภูมิหนึ่งๆ ของไหลมีค่าความหนืดเป็นค่าไมคงที่ การเปลี่ยนแปลงขึ้นอยู่กับอัตราเฉือน หรือ ความเร็วในการกวน ลักษณะการไหลแบบนี้แบ่งเปน 4 แบบ</t>
        </is>
      </c>
      <c r="C1720" s="2" t="n"/>
      <c r="D1720" s="2" t="inlineStr">
        <is>
          <t>1 Pseudoplastic : ของไหลที่มีค่าความหนืดลดลง เมื่อเพิ่มอัตราเฉือน หรือ ยิ่งกวนเร็ว ยิ่งไหลงาย พฤติกรรมแบบนแสดงสมบัติเปน “shear thinning” ตัวอยางเช่น น้ำผลไม้เข้มข้น สารช่วยแขวนตะกอน สารละลายพอลิเมอร์ เช่น MC, CMC, Alginte, Cream เป็นต้น</t>
        </is>
      </c>
      <c r="E1720" s="2" t="inlineStr">
        <is>
          <t>2 Dilatant : ของไหลที่มีคาความหนืดเพิ่มขึ้น เมื่อเพิ่มอัตราเฉือน หรือ ยิ่งกวนเร็ว ยิ่งหนืด พฤติกรรมแบบนี้แสดงสมบตั ิเปน “shear thickening” ตัวอยางเชน น้ำดินข้น น้ำแป้ง และอาจจพบในระบบ Suspension ที่มีผงยาขนาดเล็กในรูป De-fluccule อยู่ในความเข้มข้นที่สูงมาก (&gt;50%) , ตำรับ Paste เป็นต้น</t>
        </is>
      </c>
      <c r="F1720" s="2" t="inlineStr">
        <is>
          <t>3 Bingham Plastic : ของไหลที่เมื่อมีแรงมากระทำสูงพอจึงจะเกิดลกษณะการไหลแบบ Newtonian Fluid ตัวอยางเช่น ยาสีฟัน น้ำสลิปของเซรามิก นมช็อกโกแลต เป็นต้น</t>
        </is>
      </c>
      <c r="G1720" s="2" t="inlineStr">
        <is>
          <t>4 Plastic : ของไหลที่เมื่อมีแรงกระทำสูงพอเพื่อเอาชนะค่าความเค้น ณ จุดคราก (yield stress) ถึงจะเริ่มไหลได้ และจะไหลแบบ Pseudoplastic ตัวอยางเชน ซอสมะเขือเทศและพบใน Emulsion, Suspension ที่มีผงยาในรูป Floccule ในความเข้มข้นสูง, วุ้น เป็นต้น</t>
        </is>
      </c>
      <c r="H1720" s="2" t="inlineStr">
        <is>
          <t>Calcium disodium EDTA 1 g IV</t>
        </is>
      </c>
      <c r="I1720" s="8" t="inlineStr">
        <is>
          <t>1</t>
        </is>
      </c>
      <c r="J1720" s="2" t="inlineStr">
        <is>
          <t>✅ คำตอบที่ถูกต้อง: ข้อ ก. 1 Pseudoplastic : ของไหลที่มีค่าความหนืดลดลง เมื่อเพิ่มอัตราเฉือน หรือ ยิ่งกวนเร็ว ยิ่งไหลงาย พฤติกรรมแบบนแสดงสมบัติเปน “shear thinning” ตัวอยางเช่น น้ำผลไม้เข้มข้น สารช่วยแขวนตะกอน สารละลายพอลิเมอร์ เช่น MC, CMC, Alginte, Cream เป็นต้น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1 Pseudoplastic : ของไหลที่มีค่าความหนืดลดลง เมื่อเพิ่มอัตราเฉือน หรือ ยิ่งกวนเร็ว ยิ่งไหลงาย พฤติกรรมแบบนแสดงสมบัติเปน “shear thinning” ตัวอยางเช่น น้ำผลไม้เข้มข้น สารช่วยแขวนตะกอน สารละลายพอลิเมอร์ เช่น MC, CMC, Alginte, Cream เป็นต้น การเลือก 1 Pseudoplastic : ของไหลที่มีค่าความหนืดลดลง เมื่อเพิ่มอัตราเฉือน หรือ ยิ่งกวนเร็ว ยิ่งไหลงาย พฤติกรรมแบบนแสดงสมบัติเปน “shear thinning” ตัวอยางเช่น น้ำผลไม้เข้มข้น สารช่วยแขวนตะกอน สารละลายพอลิเมอร์ เช่น MC, CMC, Alginte, Cream เป็นต้น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(2 Dilatant : ของไหลที่มีคาความหนืดเพิ่มขึ้น เมื่อเพิ่มอัตราเฉือน หรือ ยิ่งกวนเร็ว ยิ่งหนืด พฤติกรรมแบบนี้แสดงสมบตั ิเปน “shear thickening” ตัวอยางเชน น้ำดินข้น น้ำแป้ง และอาจจพบในระบบ Suspension ที่มีผงยาขนาดเล็กในรูป De-fluccule อยู่ในความเข้มข้นที่สูงมาก (&gt;50%) , ตำรับ Paste เป็นต้น): ข้อนี้ไม่ใช่คำตอบที่ถูกต้องสำหรับภาวะ General Therapeutics เนื่องจากกลไกการออกฤทธิ์, efficacy หรือข้อบ่งใช้ไม่ตรงกับโจทย์ที่กำหนด
• ข้อ ค. (3 Bingham Plastic : ของไหลที่เมื่อมีแรงมากระทำสูงพอจึงจะเกิดลกษณะการไหลแบบ Newtonian Fluid ตัวอยางเช่น ยาสีฟัน น้ำสลิปของเซรามิก นมช็อกโกแลต เป็นต้น): ข้อนี้ไม่ใช่คำตอบที่ถูกต้องสำหรับภาวะ General Therapeutics เนื่องจากกลไกการออกฤทธิ์, efficacy หรือข้อบ่งใช้ไม่ตรงกับโจทย์ที่กำหนด
• ข้อ ง. (4 Plastic : ของไหลที่เมื่อมีแรงกระทำสูงพอเพื่อเอาชนะค่าความเค้น ณ จุดคราก (yield stress) ถึงจะเริ่มไหลได้ และจะไหลแบบ Pseudoplastic ตัวอยางเชน ซอสมะเขือเทศและพบใน Emulsion, Suspension ที่มีผงยาในรูป Floccule ในความเข้มข้นสูง, วุ้น เป็นต้น):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20" s="2" t="n"/>
      <c r="L1720" s="2" t="inlineStr">
        <is>
          <t>General Therapeutics</t>
        </is>
      </c>
      <c r="M1720" s="2" t="inlineStr">
        <is>
          <t>Clinic</t>
        </is>
      </c>
      <c r="N1720" s="2" t="inlineStr">
        <is>
          <t>ข้อ 2 (PLE_CC1_Key_Rx20_UBU.md)</t>
        </is>
      </c>
      <c r="O1720" s="2" t="inlineStr">
        <is>
          <t>Mock</t>
        </is>
      </c>
      <c r="P1720" s="2" t="inlineStr">
        <is>
          <t>Mock Rx20 UBU</t>
        </is>
      </c>
    </row>
    <row r="1721" ht="13.2" customHeight="1" s="37">
      <c r="A1721" s="8" t="inlineStr">
        <is>
          <t>1742</t>
        </is>
      </c>
      <c r="B1721" s="2" t="inlineStr">
        <is>
          <t>ยาเสื่อมคุณภาพ</t>
        </is>
      </c>
      <c r="C1721" s="2" t="n"/>
      <c r="D1721" s="2" t="inlineStr">
        <is>
          <t>Sodium thiosulfate 25% 50 mL IV</t>
        </is>
      </c>
      <c r="E1721" s="2" t="inlineStr">
        <is>
          <t>Calcium disodium EDTA 1 g IV</t>
        </is>
      </c>
      <c r="F1721" s="2" t="inlineStr">
        <is>
          <t>Desferrioxamine 1 g IM/IV</t>
        </is>
      </c>
      <c r="G1721" s="2" t="inlineStr">
        <is>
          <t>Dimercaprol (BAL) 3 mg/kg IM</t>
        </is>
      </c>
      <c r="H1721" s="2" t="inlineStr">
        <is>
          <t>Ethanol 10% IV infusion for Methanol poisoning</t>
        </is>
      </c>
      <c r="I1721" s="8" t="inlineStr">
        <is>
          <t>1</t>
        </is>
      </c>
      <c r="J17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1" s="2" t="n"/>
      <c r="L1721" s="2" t="inlineStr">
        <is>
          <t>General Therapeutics</t>
        </is>
      </c>
      <c r="M1721" s="2" t="inlineStr">
        <is>
          <t>Clinic</t>
        </is>
      </c>
      <c r="N1721" s="2" t="inlineStr">
        <is>
          <t>ข้อ 4 (PLE_CC1_Key_Rx20_UBU.md)</t>
        </is>
      </c>
      <c r="O1721" s="2" t="inlineStr">
        <is>
          <t>Mock</t>
        </is>
      </c>
      <c r="P1721" s="2" t="inlineStr">
        <is>
          <t>Mock Rx20 UBU</t>
        </is>
      </c>
    </row>
    <row r="1722" ht="13.2" customHeight="1" s="37">
      <c r="A1722" s="8" t="inlineStr">
        <is>
          <t>1743</t>
        </is>
      </c>
      <c r="B1722" s="2" t="inlineStr">
        <is>
          <t>ยาใดเหมาะสมที่สุดในการเริ่มให้ยารักษาแก่ผู้ป่วยรายนี้</t>
        </is>
      </c>
      <c r="C1722" s="2" t="n"/>
      <c r="D1722" s="2" t="inlineStr">
        <is>
          <t>Dimercaprol (BAL) 3 mg/kg IM</t>
        </is>
      </c>
      <c r="E1722" s="2" t="inlineStr">
        <is>
          <t>Ethanol 10% IV infusion for Methanol poisoning</t>
        </is>
      </c>
      <c r="F1722" s="2" t="inlineStr">
        <is>
          <t>Fomepizole 15 mg/kg IV loading</t>
        </is>
      </c>
      <c r="G1722" s="2" t="inlineStr">
        <is>
          <t>N-acetylcysteine (NAC) IV infusion protocol</t>
        </is>
      </c>
      <c r="H1722" s="2" t="inlineStr">
        <is>
          <t>Atropine sulfate 2 mg IV Q5-10 min</t>
        </is>
      </c>
      <c r="I1722" s="8" t="inlineStr">
        <is>
          <t>1</t>
        </is>
      </c>
      <c r="J17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2" s="2" t="n"/>
      <c r="L1722" s="2" t="inlineStr">
        <is>
          <t>General Therapeutics</t>
        </is>
      </c>
      <c r="M1722" s="2" t="inlineStr">
        <is>
          <t>Clinic</t>
        </is>
      </c>
      <c r="N1722" s="2" t="inlineStr">
        <is>
          <t>ข้อ 1 (PLE_CC1_Key_Rx20_UBU.md)</t>
        </is>
      </c>
      <c r="O1722" s="2" t="inlineStr">
        <is>
          <t>Mock</t>
        </is>
      </c>
      <c r="P1722" s="2" t="inlineStr">
        <is>
          <t>Mock Rx20 UBU</t>
        </is>
      </c>
    </row>
    <row r="1723" ht="13.2" customHeight="1" s="37">
      <c r="A1723" s="8" t="inlineStr">
        <is>
          <t>1744</t>
        </is>
      </c>
      <c r="B1723" s="2" t="inlineStr">
        <is>
          <t>เพิ่มยา Atenolol</t>
        </is>
      </c>
      <c r="C1723" s="2" t="n"/>
      <c r="D1723" s="2" t="inlineStr">
        <is>
          <t>N-acetylcysteine (NAC) IV infusion protocol</t>
        </is>
      </c>
      <c r="E1723" s="2" t="inlineStr">
        <is>
          <t>Atropine sulfate 2 mg IV Q5-10 min</t>
        </is>
      </c>
      <c r="F1723" s="2" t="inlineStr">
        <is>
          <t>Pralidoxime (2-PAM) 1-2 g IV over 30 min</t>
        </is>
      </c>
      <c r="G1723" s="2" t="inlineStr">
        <is>
          <t>Naloxone 0.4 mg IV stat</t>
        </is>
      </c>
      <c r="H1723" s="2" t="inlineStr">
        <is>
          <t>Flumazenil 0.2 mg IV stat</t>
        </is>
      </c>
      <c r="I1723" s="8" t="inlineStr">
        <is>
          <t>1</t>
        </is>
      </c>
      <c r="J17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23" s="2" t="n"/>
      <c r="L1723" s="2" t="inlineStr">
        <is>
          <t>General Therapeutics</t>
        </is>
      </c>
      <c r="M1723" s="2" t="inlineStr">
        <is>
          <t>Clinic</t>
        </is>
      </c>
      <c r="N1723" s="2" t="inlineStr">
        <is>
          <t>ข้อ 1 (PLE_CC1_Key_Rx20_UBU.md)</t>
        </is>
      </c>
      <c r="O1723" s="2" t="inlineStr">
        <is>
          <t>Mock</t>
        </is>
      </c>
      <c r="P1723" s="2" t="inlineStr">
        <is>
          <t>Mock Rx20 UBU</t>
        </is>
      </c>
    </row>
    <row r="1724" ht="13.2" customHeight="1" s="37">
      <c r="A1724" s="8" t="inlineStr">
        <is>
          <t>1745</t>
        </is>
      </c>
      <c r="B1724" s="2" t="inlineStr">
        <is>
          <t>เพิ่มยา Acarbose</t>
        </is>
      </c>
      <c r="C1724" s="2" t="n"/>
      <c r="D1724" s="2" t="inlineStr">
        <is>
          <t>Naloxone 0.4 mg IV stat</t>
        </is>
      </c>
      <c r="E1724" s="2" t="inlineStr">
        <is>
          <t>Flumazenil 0.2 mg IV stat</t>
        </is>
      </c>
      <c r="F1724" s="2" t="inlineStr">
        <is>
          <t>Vitamin K1 (Phytomenadione) 10 mg IV slow</t>
        </is>
      </c>
      <c r="G1724" s="2" t="inlineStr">
        <is>
          <t>Sodium thiosulfate 25% 50 mL IV</t>
        </is>
      </c>
      <c r="H1724" s="2" t="inlineStr">
        <is>
          <t>Calcium disodium EDTA 1 g IV</t>
        </is>
      </c>
      <c r="I1724" s="8" t="inlineStr">
        <is>
          <t>1</t>
        </is>
      </c>
      <c r="J17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24" s="2" t="n"/>
      <c r="L1724" s="2" t="inlineStr">
        <is>
          <t>General Therapeutics</t>
        </is>
      </c>
      <c r="M1724" s="2" t="inlineStr">
        <is>
          <t>Clinic</t>
        </is>
      </c>
      <c r="N1724" s="2" t="inlineStr">
        <is>
          <t>ข้อ 3 (PLE_CC1_Key_Rx20_UBU.md)</t>
        </is>
      </c>
      <c r="O1724" s="2" t="inlineStr">
        <is>
          <t>Mock</t>
        </is>
      </c>
      <c r="P1724" s="2" t="inlineStr">
        <is>
          <t>Mock Rx20 UBU</t>
        </is>
      </c>
    </row>
    <row r="1725" ht="13.2" customHeight="1" s="37">
      <c r="A1725" s="8" t="inlineStr">
        <is>
          <t>1746</t>
        </is>
      </c>
      <c r="B1725" s="2" t="inlineStr">
        <is>
          <t>ไม่จำเป็นต้องได้รับ</t>
        </is>
      </c>
      <c r="C1725" s="2" t="n"/>
      <c r="D1725" s="2" t="inlineStr">
        <is>
          <t>Sodium thiosulfate 25% 50 mL IV</t>
        </is>
      </c>
      <c r="E1725" s="2" t="inlineStr">
        <is>
          <t>Calcium disodium EDTA 1 g IV</t>
        </is>
      </c>
      <c r="F1725" s="2" t="inlineStr">
        <is>
          <t>Desferrioxamine 1 g IM/IV</t>
        </is>
      </c>
      <c r="G1725" s="2" t="inlineStr">
        <is>
          <t>Dimercaprol (BAL) 3 mg/kg IM</t>
        </is>
      </c>
      <c r="H1725" s="2" t="inlineStr">
        <is>
          <t>Ethanol 10% IV infusion for Methanol poisoning</t>
        </is>
      </c>
      <c r="I1725" s="8" t="inlineStr">
        <is>
          <t>1</t>
        </is>
      </c>
      <c r="J17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5" s="2" t="n"/>
      <c r="L1725" s="2" t="inlineStr">
        <is>
          <t>General Therapeutics</t>
        </is>
      </c>
      <c r="M1725" s="2" t="inlineStr">
        <is>
          <t>Clinic</t>
        </is>
      </c>
      <c r="N1725" s="2" t="inlineStr">
        <is>
          <t>ข้อ 1 (PLE_CC1_Key_Rx20_UBU.md)</t>
        </is>
      </c>
      <c r="O1725" s="2" t="inlineStr">
        <is>
          <t>Mock</t>
        </is>
      </c>
      <c r="P1725" s="2" t="inlineStr">
        <is>
          <t>Mock Rx20 UBU</t>
        </is>
      </c>
    </row>
    <row r="1726" ht="13.2" customHeight="1" s="37">
      <c r="A1726" s="8" t="inlineStr">
        <is>
          <t>1747</t>
        </is>
      </c>
      <c r="B1726" s="2" t="inlineStr">
        <is>
          <t>กลไกของยาใดที่ไม่ได้เกี่ยวข้องกับการหลั่งอินซูลิน หรือ การดื้อต่ออินซูลิน</t>
        </is>
      </c>
      <c r="C1726" s="2" t="n"/>
      <c r="D1726" s="2" t="inlineStr">
        <is>
          <t>Dimercaprol (BAL) 3 mg/kg IM</t>
        </is>
      </c>
      <c r="E1726" s="2" t="inlineStr">
        <is>
          <t>Ethanol 10% IV infusion for Methanol poisoning</t>
        </is>
      </c>
      <c r="F1726" s="2" t="inlineStr">
        <is>
          <t>Fomepizole 15 mg/kg IV loading</t>
        </is>
      </c>
      <c r="G1726" s="2" t="inlineStr">
        <is>
          <t>N-acetylcysteine (NAC) IV infusion protocol</t>
        </is>
      </c>
      <c r="H1726" s="2" t="inlineStr">
        <is>
          <t>Atropine sulfate 2 mg IV Q5-10 min</t>
        </is>
      </c>
      <c r="I1726" s="8" t="inlineStr">
        <is>
          <t>1</t>
        </is>
      </c>
      <c r="J17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6" s="2" t="n"/>
      <c r="L1726" s="2" t="inlineStr">
        <is>
          <t>General Therapeutics</t>
        </is>
      </c>
      <c r="M1726" s="2" t="inlineStr">
        <is>
          <t>Clinic</t>
        </is>
      </c>
      <c r="N1726" s="2" t="inlineStr">
        <is>
          <t>ข้อ 4 (PLE_CC1_Key_Rx20_UBU.md)</t>
        </is>
      </c>
      <c r="O1726" s="2" t="inlineStr">
        <is>
          <t>Mock</t>
        </is>
      </c>
      <c r="P1726" s="2" t="inlineStr">
        <is>
          <t>Mock Rx20 UBU</t>
        </is>
      </c>
    </row>
    <row r="1727" ht="13.2" customHeight="1" s="37">
      <c r="A1727" s="8" t="inlineStr">
        <is>
          <t>1748</t>
        </is>
      </c>
      <c r="B1727" s="2" t="inlineStr">
        <is>
          <t>ดื่มน้ำมะระขี้นก 100 ml ก่อนอาหารกลางวัน</t>
        </is>
      </c>
      <c r="C1727" s="2" t="n"/>
      <c r="D1727" s="2" t="inlineStr">
        <is>
          <t>N-acetylcysteine (NAC) IV infusion protocol</t>
        </is>
      </c>
      <c r="E1727" s="2" t="inlineStr">
        <is>
          <t>Atropine sulfate 2 mg IV Q5-10 min</t>
        </is>
      </c>
      <c r="F1727" s="2" t="inlineStr">
        <is>
          <t>Pralidoxime (2-PAM) 1-2 g IV over 30 min</t>
        </is>
      </c>
      <c r="G1727" s="2" t="inlineStr">
        <is>
          <t>Naloxone 0.4 mg IV stat</t>
        </is>
      </c>
      <c r="H1727" s="2" t="inlineStr">
        <is>
          <t>Flumazenil 0.2 mg IV stat</t>
        </is>
      </c>
      <c r="I1727" s="8" t="inlineStr">
        <is>
          <t>1</t>
        </is>
      </c>
      <c r="J17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27" s="2" t="n"/>
      <c r="L1727" s="2" t="inlineStr">
        <is>
          <t>General Therapeutics</t>
        </is>
      </c>
      <c r="M1727" s="2" t="inlineStr">
        <is>
          <t>Clinic</t>
        </is>
      </c>
      <c r="N1727" s="2" t="inlineStr">
        <is>
          <t>ข้อ 1 (PLE_CC1_Key_Rx20_UBU.md)</t>
        </is>
      </c>
      <c r="O1727" s="2" t="inlineStr">
        <is>
          <t>Mock</t>
        </is>
      </c>
      <c r="P1727" s="2" t="inlineStr">
        <is>
          <t>Mock Rx20 UBU</t>
        </is>
      </c>
    </row>
    <row r="1728" ht="13.2" customHeight="1" s="37">
      <c r="A1728" s="8" t="inlineStr">
        <is>
          <t>1749</t>
        </is>
      </c>
      <c r="B1728" s="2" t="inlineStr">
        <is>
          <t>ดื่มชาชงชุมเห็ดเทศ</t>
        </is>
      </c>
      <c r="C1728" s="2" t="n"/>
      <c r="D1728" s="2" t="inlineStr">
        <is>
          <t>Naloxone 0.4 mg IV stat</t>
        </is>
      </c>
      <c r="E1728" s="2" t="inlineStr">
        <is>
          <t>Flumazenil 0.2 mg IV stat</t>
        </is>
      </c>
      <c r="F1728" s="2" t="inlineStr">
        <is>
          <t>Vitamin K1 (Phytomenadione) 10 mg IV slow</t>
        </is>
      </c>
      <c r="G1728" s="2" t="inlineStr">
        <is>
          <t>Sodium thiosulfate 25% 50 mL IV</t>
        </is>
      </c>
      <c r="H1728" s="2" t="inlineStr">
        <is>
          <t>Calcium disodium EDTA 1 g IV</t>
        </is>
      </c>
      <c r="I1728" s="8" t="inlineStr">
        <is>
          <t>1</t>
        </is>
      </c>
      <c r="J17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28" s="2" t="n"/>
      <c r="L1728" s="2" t="inlineStr">
        <is>
          <t>General Therapeutics</t>
        </is>
      </c>
      <c r="M1728" s="2" t="inlineStr">
        <is>
          <t>Clinic</t>
        </is>
      </c>
      <c r="N1728" s="2" t="inlineStr">
        <is>
          <t>ข้อ 2 (PLE_CC1_Key_Rx20_UBU.md)</t>
        </is>
      </c>
      <c r="O1728" s="2" t="inlineStr">
        <is>
          <t>Mock</t>
        </is>
      </c>
      <c r="P1728" s="2" t="inlineStr">
        <is>
          <t>Mock Rx20 UBU</t>
        </is>
      </c>
    </row>
    <row r="1729" ht="13.2" customHeight="1" s="37">
      <c r="A1729" s="8" t="inlineStr">
        <is>
          <t>1750</t>
        </is>
      </c>
      <c r="B1729" s="2" t="inlineStr">
        <is>
          <t>Pioglitazone</t>
        </is>
      </c>
      <c r="C1729" s="2" t="n"/>
      <c r="D1729" s="2" t="inlineStr">
        <is>
          <t>Dapagliflozin 10 mg OD</t>
        </is>
      </c>
      <c r="E1729" s="2" t="inlineStr">
        <is>
          <t>Semaglutide 0.5 mg SC weekly</t>
        </is>
      </c>
      <c r="F1729" s="2" t="inlineStr">
        <is>
          <t>Metformin 500 mg BID</t>
        </is>
      </c>
      <c r="G1729" s="2" t="inlineStr">
        <is>
          <t>Glipizide 5 mg OD</t>
        </is>
      </c>
      <c r="H1729" s="2" t="inlineStr">
        <is>
          <t>Empagliflozin 10 mg OD</t>
        </is>
      </c>
      <c r="I1729" s="8" t="inlineStr">
        <is>
          <t>1</t>
        </is>
      </c>
      <c r="J1729" s="2"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729" s="2" t="n"/>
      <c r="L1729" s="2" t="inlineStr">
        <is>
          <t>Diabetes &amp; Endocrine</t>
        </is>
      </c>
      <c r="M1729" s="2" t="inlineStr">
        <is>
          <t>Clinic</t>
        </is>
      </c>
      <c r="N1729" s="2" t="inlineStr">
        <is>
          <t>ข้อ 5 (PLE_CC1_Key_Rx20_UBU.md)</t>
        </is>
      </c>
      <c r="O1729" s="2" t="inlineStr">
        <is>
          <t>Mock</t>
        </is>
      </c>
      <c r="P1729" s="2" t="inlineStr">
        <is>
          <t>Mock Rx20 UBU</t>
        </is>
      </c>
    </row>
    <row r="1730" ht="13.2" customHeight="1" s="37">
      <c r="A1730" s="8" t="inlineStr">
        <is>
          <t>1751</t>
        </is>
      </c>
      <c r="B1730" s="2" t="inlineStr">
        <is>
          <t>จงหาอัตราการปลดปล่อยตาม Kinetic Y คือ % cumulative drug release Y คือ % drug remaining X คือ time X คือ time Y = 0.200x + 9.606 Y = 9.753x + 9.983 R2 = 0.100 R2 = 0.952 - T</t>
        </is>
      </c>
      <c r="C1730" s="2" t="n"/>
      <c r="D1730" s="2" t="inlineStr">
        <is>
          <t>Dimercaprol (BAL) 3 mg/kg IM</t>
        </is>
      </c>
      <c r="E1730" s="2" t="inlineStr">
        <is>
          <t>Ethanol 10% IV infusion for Methanol poisoning</t>
        </is>
      </c>
      <c r="F1730" s="2" t="inlineStr">
        <is>
          <t>Fomepizole 15 mg/kg IV loading</t>
        </is>
      </c>
      <c r="G1730" s="2" t="inlineStr">
        <is>
          <t>N-acetylcysteine (NAC) IV infusion protocol</t>
        </is>
      </c>
      <c r="H1730" s="2" t="inlineStr">
        <is>
          <t>Atropine sulfate 2 mg IV Q5-10 min</t>
        </is>
      </c>
      <c r="I1730" s="8" t="inlineStr">
        <is>
          <t>1</t>
        </is>
      </c>
      <c r="J17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30" s="2" t="n"/>
      <c r="L1730" s="2" t="inlineStr">
        <is>
          <t>General Therapeutics</t>
        </is>
      </c>
      <c r="M1730" s="2" t="inlineStr">
        <is>
          <t>Clinic</t>
        </is>
      </c>
      <c r="N1730" s="2" t="inlineStr">
        <is>
          <t>ข้อ 7 (PLE_CC1_Key_Rx20_UBU.md)</t>
        </is>
      </c>
      <c r="O1730" s="2" t="inlineStr">
        <is>
          <t>Mock</t>
        </is>
      </c>
      <c r="P1730" s="2" t="inlineStr">
        <is>
          <t>Mock Rx20 UBU</t>
        </is>
      </c>
    </row>
    <row r="1731" ht="13.2" customHeight="1" s="37">
      <c r="A1731" s="8" t="inlineStr">
        <is>
          <t>1752</t>
        </is>
      </c>
      <c r="B1731" s="2" t="inlineStr">
        <is>
          <t>0.100 h-1 จากกราฟ แสดงความเข้มข้นของยา และ เวลา แสดงให้เห็นถึง การสลายตัวของยาเป็นแบบ zero order reaction ซึ่งเป็นปฏิกิริยาที่ไม่ขึ้นกับความเข้มข้นของสารตั้งต้น โดย ค่าความชัน = - K = - จากสมการเส้นตรง y = ax + b โดยที่ a และ b เป็นค่าคงตัว และ a เป็นค่าของความชันของเส้นตรง b เป็นระยะที่เส้นตรงตัดแกน Y จากโจทย์ข้งต้น Y = 9.753x + 9.983 ดังนั้น ความชัน จึงเท่ากับ 9.753 แอ๋ม ส่วนที่ 2 (18-34)</t>
        </is>
      </c>
      <c r="C1731" s="2" t="n"/>
      <c r="D1731" s="2" t="inlineStr">
        <is>
          <t>N-acetylcysteine (NAC) IV infusion protocol</t>
        </is>
      </c>
      <c r="E1731" s="2" t="inlineStr">
        <is>
          <t>Atropine sulfate 2 mg IV Q5-10 min</t>
        </is>
      </c>
      <c r="F1731" s="2" t="inlineStr">
        <is>
          <t>Pralidoxime (2-PAM) 1-2 g IV over 30 min</t>
        </is>
      </c>
      <c r="G1731" s="2" t="inlineStr">
        <is>
          <t>Naloxone 0.4 mg IV stat</t>
        </is>
      </c>
      <c r="H1731" s="2" t="inlineStr">
        <is>
          <t>Flumazenil 0.2 mg IV stat</t>
        </is>
      </c>
      <c r="I1731" s="8" t="inlineStr">
        <is>
          <t>1</t>
        </is>
      </c>
      <c r="J17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31" s="2" t="n"/>
      <c r="L1731" s="2" t="inlineStr">
        <is>
          <t>General Therapeutics</t>
        </is>
      </c>
      <c r="M1731" s="2" t="inlineStr">
        <is>
          <t>Clinic</t>
        </is>
      </c>
      <c r="N1731" s="2" t="inlineStr">
        <is>
          <t>ข้อ 5 (PLE_CC1_Key_Rx20_UBU.md)</t>
        </is>
      </c>
      <c r="O1731" s="2" t="inlineStr">
        <is>
          <t>Mock</t>
        </is>
      </c>
      <c r="P1731" s="2" t="inlineStr">
        <is>
          <t>Mock Rx20 UBU</t>
        </is>
      </c>
    </row>
    <row r="1732" ht="13.2" customHeight="1" s="37">
      <c r="A1732" s="8" t="inlineStr">
        <is>
          <t>1753</t>
        </is>
      </c>
      <c r="B1732" s="2" t="inlineStr">
        <is>
          <t>sweating อ Logo bridging</t>
        </is>
      </c>
      <c r="C1732" s="2" t="n"/>
      <c r="D1732" s="2" t="inlineStr">
        <is>
          <t>Naloxone 0.4 mg IV stat</t>
        </is>
      </c>
      <c r="E1732" s="2" t="inlineStr">
        <is>
          <t>Flumazenil 0.2 mg IV stat</t>
        </is>
      </c>
      <c r="F1732" s="2" t="inlineStr">
        <is>
          <t>Vitamin K1 (Phytomenadione) 10 mg IV slow</t>
        </is>
      </c>
      <c r="G1732" s="2" t="inlineStr">
        <is>
          <t>Sodium thiosulfate 25% 50 mL IV</t>
        </is>
      </c>
      <c r="H1732" s="2" t="inlineStr">
        <is>
          <t>Calcium disodium EDTA 1 g IV</t>
        </is>
      </c>
      <c r="I1732" s="8" t="inlineStr">
        <is>
          <t>2</t>
        </is>
      </c>
      <c r="J1732"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1732" s="2" t="n"/>
      <c r="L1732" s="2" t="inlineStr">
        <is>
          <t>General Therapeutics</t>
        </is>
      </c>
      <c r="M1732" s="2" t="inlineStr">
        <is>
          <t>Clinic</t>
        </is>
      </c>
      <c r="N1732" s="2" t="inlineStr">
        <is>
          <t>ข้อ 5 (PLE_CC1_Key_Rx20_UBU.md)</t>
        </is>
      </c>
      <c r="O1732" s="2" t="inlineStr">
        <is>
          <t>Mock</t>
        </is>
      </c>
      <c r="P1732" s="2" t="inlineStr">
        <is>
          <t>Mock Rx20 UBU</t>
        </is>
      </c>
    </row>
    <row r="1733" ht="13.2" customHeight="1" s="37">
      <c r="A1733" s="8" t="inlineStr">
        <is>
          <t>1754</t>
        </is>
      </c>
      <c r="B1733" s="2" t="inlineStr">
        <is>
          <t>โครงสร้างอยู่ในรูป dextro from</t>
        </is>
      </c>
      <c r="C1733" s="2" t="n"/>
      <c r="D1733" s="2" t="inlineStr">
        <is>
          <t>Sodium thiosulfate 25% 50 mL IV</t>
        </is>
      </c>
      <c r="E1733" s="2" t="inlineStr">
        <is>
          <t>Calcium disodium EDTA 1 g IV</t>
        </is>
      </c>
      <c r="F1733" s="2" t="inlineStr">
        <is>
          <t>Desferrioxamine 1 g IM/IV</t>
        </is>
      </c>
      <c r="G1733" s="2" t="inlineStr">
        <is>
          <t>Dimercaprol (BAL) 3 mg/kg IM</t>
        </is>
      </c>
      <c r="H1733" s="2" t="inlineStr">
        <is>
          <t>Ethanol 10% IV infusion for Methanol poisoning</t>
        </is>
      </c>
      <c r="I1733" s="8" t="inlineStr">
        <is>
          <t>1</t>
        </is>
      </c>
      <c r="J17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3" s="2" t="n"/>
      <c r="L1733" s="2" t="inlineStr">
        <is>
          <t>General Therapeutics</t>
        </is>
      </c>
      <c r="M1733" s="2" t="inlineStr">
        <is>
          <t>Clinic</t>
        </is>
      </c>
      <c r="N1733" s="2" t="inlineStr">
        <is>
          <t>ข้อ 2 (PLE_CC1_Key_Rx20_UBU.md)</t>
        </is>
      </c>
      <c r="O1733" s="2" t="inlineStr">
        <is>
          <t>Mock</t>
        </is>
      </c>
      <c r="P1733" s="2" t="inlineStr">
        <is>
          <t>Mock Rx20 UBU</t>
        </is>
      </c>
    </row>
    <row r="1734" ht="13.2" customHeight="1" s="37">
      <c r="A1734" s="8" t="inlineStr">
        <is>
          <t>1755</t>
        </is>
      </c>
      <c r="B1734" s="2" t="inlineStr">
        <is>
          <t>มีโครงสร้างเป็นส่วน butyric acid อยู่ใน molecule</t>
        </is>
      </c>
      <c r="C1734" s="2" t="n"/>
      <c r="D1734" s="2" t="inlineStr">
        <is>
          <t>Dimercaprol (BAL) 3 mg/kg IM</t>
        </is>
      </c>
      <c r="E1734" s="2" t="inlineStr">
        <is>
          <t>Ethanol 10% IV infusion for Methanol poisoning</t>
        </is>
      </c>
      <c r="F1734" s="2" t="inlineStr">
        <is>
          <t>Fomepizole 15 mg/kg IV loading</t>
        </is>
      </c>
      <c r="G1734" s="2" t="inlineStr">
        <is>
          <t>N-acetylcysteine (NAC) IV infusion protocol</t>
        </is>
      </c>
      <c r="H1734" s="2" t="inlineStr">
        <is>
          <t>Atropine sulfate 2 mg IV Q5-10 min</t>
        </is>
      </c>
      <c r="I1734" s="8" t="inlineStr">
        <is>
          <t>1</t>
        </is>
      </c>
      <c r="J17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4" s="2" t="n"/>
      <c r="L1734" s="2" t="inlineStr">
        <is>
          <t>General Therapeutics</t>
        </is>
      </c>
      <c r="M1734" s="2" t="inlineStr">
        <is>
          <t>Clinic</t>
        </is>
      </c>
      <c r="N1734" s="2" t="inlineStr">
        <is>
          <t>ข้อ 3 (PLE_CC1_Key_Rx20_UBU.md)</t>
        </is>
      </c>
      <c r="O1734" s="2" t="inlineStr">
        <is>
          <t>Mock</t>
        </is>
      </c>
      <c r="P1734" s="2" t="inlineStr">
        <is>
          <t>Mock Rx20 UBU</t>
        </is>
      </c>
    </row>
    <row r="1735" ht="13.2" customHeight="1" s="37">
      <c r="A1735" s="8" t="inlineStr">
        <is>
          <t>1756</t>
        </is>
      </c>
      <c r="B1735" s="2" t="inlineStr">
        <is>
          <t>ทำให้เกิดการนำ Cl- ออกจากเซลล์</t>
        </is>
      </c>
      <c r="C1735" s="2" t="n"/>
      <c r="D1735" s="2" t="inlineStr">
        <is>
          <t>N-acetylcysteine (NAC) IV infusion protocol</t>
        </is>
      </c>
      <c r="E1735" s="2" t="inlineStr">
        <is>
          <t>Atropine sulfate 2 mg IV Q5-10 min</t>
        </is>
      </c>
      <c r="F1735" s="2" t="inlineStr">
        <is>
          <t>Pralidoxime (2-PAM) 1-2 g IV over 30 min</t>
        </is>
      </c>
      <c r="G1735" s="2" t="inlineStr">
        <is>
          <t>Naloxone 0.4 mg IV stat</t>
        </is>
      </c>
      <c r="H1735" s="2" t="inlineStr">
        <is>
          <t>Flumazenil 0.2 mg IV stat</t>
        </is>
      </c>
      <c r="I1735" s="8" t="inlineStr">
        <is>
          <t>1</t>
        </is>
      </c>
      <c r="J17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35" s="2" t="n"/>
      <c r="L1735" s="2" t="inlineStr">
        <is>
          <t>General Therapeutics</t>
        </is>
      </c>
      <c r="M1735" s="2" t="inlineStr">
        <is>
          <t>Clinic</t>
        </is>
      </c>
      <c r="N1735" s="2" t="inlineStr">
        <is>
          <t>ข้อ 1 (PLE_CC1_Key_Rx20_UBU.md)</t>
        </is>
      </c>
      <c r="O1735" s="2" t="inlineStr">
        <is>
          <t>Mock</t>
        </is>
      </c>
      <c r="P1735" s="2" t="inlineStr">
        <is>
          <t>Mock Rx20 UBU</t>
        </is>
      </c>
    </row>
    <row r="1736" ht="13.2" customHeight="1" s="37">
      <c r="A1736" s="8" t="inlineStr">
        <is>
          <t>1757</t>
        </is>
      </c>
      <c r="B1736" s="2" t="inlineStr">
        <is>
          <t>ทำให้เกิดการนำ Na+ ออกจากเซลล์</t>
        </is>
      </c>
      <c r="C1736" s="2" t="n"/>
      <c r="D1736" s="2" t="inlineStr">
        <is>
          <t>Naloxone 0.4 mg IV stat</t>
        </is>
      </c>
      <c r="E1736" s="2" t="inlineStr">
        <is>
          <t>Flumazenil 0.2 mg IV stat</t>
        </is>
      </c>
      <c r="F1736" s="2" t="inlineStr">
        <is>
          <t>Vitamin K1 (Phytomenadione) 10 mg IV slow</t>
        </is>
      </c>
      <c r="G1736" s="2" t="inlineStr">
        <is>
          <t>Sodium thiosulfate 25% 50 mL IV</t>
        </is>
      </c>
      <c r="H1736" s="2" t="inlineStr">
        <is>
          <t>Calcium disodium EDTA 1 g IV</t>
        </is>
      </c>
      <c r="I1736" s="8" t="inlineStr">
        <is>
          <t>1</t>
        </is>
      </c>
      <c r="J17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36" s="2" t="n"/>
      <c r="L1736" s="2" t="inlineStr">
        <is>
          <t>General Therapeutics</t>
        </is>
      </c>
      <c r="M1736" s="2" t="inlineStr">
        <is>
          <t>Clinic</t>
        </is>
      </c>
      <c r="N1736" s="2" t="inlineStr">
        <is>
          <t>ข้อ 2 (PLE_CC1_Key_Rx20_UBU.md)</t>
        </is>
      </c>
      <c r="O1736" s="2" t="inlineStr">
        <is>
          <t>Mock</t>
        </is>
      </c>
      <c r="P1736" s="2" t="inlineStr">
        <is>
          <t>Mock Rx20 UBU</t>
        </is>
      </c>
    </row>
    <row r="1737" ht="13.2" customHeight="1" s="37">
      <c r="A1737" s="8" t="inlineStr">
        <is>
          <t>1758</t>
        </is>
      </c>
      <c r="B1737" s="2" t="inlineStr">
        <is>
          <t>เสริมการออกฤทธิ์ของ GABA</t>
        </is>
      </c>
      <c r="C1737" s="2" t="n"/>
      <c r="D1737" s="2" t="inlineStr">
        <is>
          <t>Sodium thiosulfate 25% 50 mL IV</t>
        </is>
      </c>
      <c r="E1737" s="2" t="inlineStr">
        <is>
          <t>Calcium disodium EDTA 1 g IV</t>
        </is>
      </c>
      <c r="F1737" s="2" t="inlineStr">
        <is>
          <t>Desferrioxamine 1 g IM/IV</t>
        </is>
      </c>
      <c r="G1737" s="2" t="inlineStr">
        <is>
          <t>Dimercaprol (BAL) 3 mg/kg IM</t>
        </is>
      </c>
      <c r="H1737" s="2" t="inlineStr">
        <is>
          <t>Ethanol 10% IV infusion for Methanol poisoning</t>
        </is>
      </c>
      <c r="I1737" s="8" t="inlineStr">
        <is>
          <t>1</t>
        </is>
      </c>
      <c r="J17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7" s="2" t="n"/>
      <c r="L1737" s="2" t="inlineStr">
        <is>
          <t>General Therapeutics</t>
        </is>
      </c>
      <c r="M1737" s="2" t="inlineStr">
        <is>
          <t>Clinic</t>
        </is>
      </c>
      <c r="N1737" s="2" t="inlineStr">
        <is>
          <t>ข้อ 3 (PLE_CC1_Key_Rx20_UBU.md)</t>
        </is>
      </c>
      <c r="O1737" s="2" t="inlineStr">
        <is>
          <t>Mock</t>
        </is>
      </c>
      <c r="P1737" s="2" t="inlineStr">
        <is>
          <t>Mock Rx20 UBU</t>
        </is>
      </c>
    </row>
    <row r="1738" ht="13.2" customHeight="1" s="37">
      <c r="A1738" s="8" t="inlineStr">
        <is>
          <t>1759</t>
        </is>
      </c>
      <c r="B1738" s="2" t="inlineStr">
        <is>
          <t>ทำให้เกิด Depolarization ของผนังเซลล์ประสาท</t>
        </is>
      </c>
      <c r="C1738" s="2" t="n"/>
      <c r="D1738" s="2" t="inlineStr">
        <is>
          <t>Dimercaprol (BAL) 3 mg/kg IM</t>
        </is>
      </c>
      <c r="E1738" s="2" t="inlineStr">
        <is>
          <t>Ethanol 10% IV infusion for Methanol poisoning</t>
        </is>
      </c>
      <c r="F1738" s="2" t="inlineStr">
        <is>
          <t>Fomepizole 15 mg/kg IV loading</t>
        </is>
      </c>
      <c r="G1738" s="2" t="inlineStr">
        <is>
          <t>N-acetylcysteine (NAC) IV infusion protocol</t>
        </is>
      </c>
      <c r="H1738" s="2" t="inlineStr">
        <is>
          <t>Atropine sulfate 2 mg IV Q5-10 min</t>
        </is>
      </c>
      <c r="I1738" s="8" t="inlineStr">
        <is>
          <t>1</t>
        </is>
      </c>
      <c r="J17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8" s="2" t="n"/>
      <c r="L1738" s="2" t="inlineStr">
        <is>
          <t>General Therapeutics</t>
        </is>
      </c>
      <c r="M1738" s="2" t="inlineStr">
        <is>
          <t>Clinic</t>
        </is>
      </c>
      <c r="N1738" s="2" t="inlineStr">
        <is>
          <t>ข้อ 4 (PLE_CC1_Key_Rx20_UBU.md)</t>
        </is>
      </c>
      <c r="O1738" s="2" t="inlineStr">
        <is>
          <t>Mock</t>
        </is>
      </c>
      <c r="P1738" s="2" t="inlineStr">
        <is>
          <t>Mock Rx20 UBU</t>
        </is>
      </c>
    </row>
    <row r="1739" ht="13.2" customHeight="1" s="37">
      <c r="A1739" s="8" t="inlineStr">
        <is>
          <t>1760</t>
        </is>
      </c>
      <c r="B1739" s="2" t="inlineStr">
        <is>
          <t>ได้ เพราะเป็นการมาเติมยาที่ได้รับมาจากแพทย์</t>
        </is>
      </c>
      <c r="C1739" s="2" t="n"/>
      <c r="D1739" s="2" t="inlineStr">
        <is>
          <t>N-acetylcysteine (NAC) IV infusion protocol</t>
        </is>
      </c>
      <c r="E1739" s="2" t="inlineStr">
        <is>
          <t>Atropine sulfate 2 mg IV Q5-10 min</t>
        </is>
      </c>
      <c r="F1739" s="2" t="inlineStr">
        <is>
          <t>Pralidoxime (2-PAM) 1-2 g IV over 30 min</t>
        </is>
      </c>
      <c r="G1739" s="2" t="inlineStr">
        <is>
          <t>Naloxone 0.4 mg IV stat</t>
        </is>
      </c>
      <c r="H1739" s="2" t="inlineStr">
        <is>
          <t>Flumazenil 0.2 mg IV stat</t>
        </is>
      </c>
      <c r="I1739" s="8" t="inlineStr">
        <is>
          <t>1</t>
        </is>
      </c>
      <c r="J17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39" s="2" t="n"/>
      <c r="L1739" s="2" t="inlineStr">
        <is>
          <t>General Therapeutics</t>
        </is>
      </c>
      <c r="M1739" s="2" t="inlineStr">
        <is>
          <t>Clinic</t>
        </is>
      </c>
      <c r="N1739" s="2" t="inlineStr">
        <is>
          <t>ข้อ 1 (PLE_CC1_Key_Rx20_UBU.md)</t>
        </is>
      </c>
      <c r="O1739" s="2" t="inlineStr">
        <is>
          <t>Mock</t>
        </is>
      </c>
      <c r="P1739" s="2" t="inlineStr">
        <is>
          <t>Mock Rx20 UBU</t>
        </is>
      </c>
    </row>
    <row r="1740" ht="13.2" customHeight="1" s="37">
      <c r="A1740" s="8" t="inlineStr">
        <is>
          <t>1761</t>
        </is>
      </c>
      <c r="B1740" s="2" t="inlineStr">
        <is>
          <t>ได้ เพราะบ้านอยู่ห่างจากสถานพยาบาลไม่เกิน 10 กิโลเมตร</t>
        </is>
      </c>
      <c r="C1740" s="2" t="n"/>
      <c r="D1740" s="2" t="inlineStr">
        <is>
          <t>Naloxone 0.4 mg IV stat</t>
        </is>
      </c>
      <c r="E1740" s="2" t="inlineStr">
        <is>
          <t>Flumazenil 0.2 mg IV stat</t>
        </is>
      </c>
      <c r="F1740" s="2" t="inlineStr">
        <is>
          <t>Vitamin K1 (Phytomenadione) 10 mg IV slow</t>
        </is>
      </c>
      <c r="G1740" s="2" t="inlineStr">
        <is>
          <t>Sodium thiosulfate 25% 50 mL IV</t>
        </is>
      </c>
      <c r="H1740" s="2" t="inlineStr">
        <is>
          <t>Calcium disodium EDTA 1 g IV</t>
        </is>
      </c>
      <c r="I1740" s="8" t="inlineStr">
        <is>
          <t>1</t>
        </is>
      </c>
      <c r="J17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40" s="2" t="n"/>
      <c r="L1740" s="2" t="inlineStr">
        <is>
          <t>General Therapeutics</t>
        </is>
      </c>
      <c r="M1740" s="2" t="inlineStr">
        <is>
          <t>Clinic</t>
        </is>
      </c>
      <c r="N1740" s="2" t="inlineStr">
        <is>
          <t>ข้อ 2 (PLE_CC1_Key_Rx20_UBU.md)</t>
        </is>
      </c>
      <c r="O1740" s="2" t="inlineStr">
        <is>
          <t>Mock</t>
        </is>
      </c>
      <c r="P1740" s="2" t="inlineStr">
        <is>
          <t>Mock Rx20 UBU</t>
        </is>
      </c>
    </row>
    <row r="1741" ht="13.2" customHeight="1" s="37">
      <c r="A1741" s="8" t="inlineStr">
        <is>
          <t>1762</t>
        </is>
      </c>
      <c r="B1741" s="2" t="inlineStr">
        <is>
          <t>ไม่ได้ เพราะเป็นยาที่ห้ามขายในร้านยา</t>
        </is>
      </c>
      <c r="C1741" s="2" t="n"/>
      <c r="D1741" s="2" t="inlineStr">
        <is>
          <t>พ.ร.บ. หลักประกันสุขภาพแห่งชาติ พ.ศ. 2545</t>
        </is>
      </c>
      <c r="E1741" s="2" t="inlineStr">
        <is>
          <t>การปฏิบัติทางเภสัชกรรมชุมชน (Good Pharmacy Practice: GPP)</t>
        </is>
      </c>
      <c r="F1741" s="2" t="inlineStr">
        <is>
          <t>บัญชียาหลักแห่งชาติ (National List of Essential Medicines: NLEM)</t>
        </is>
      </c>
      <c r="G1741" s="2" t="inlineStr">
        <is>
          <t>เกณฑ์จริยธรรมว่าด้วยการส่งเสริมการขายยาของกระทรวงสาธารณสุข</t>
        </is>
      </c>
      <c r="H1741" s="2" t="inlineStr">
        <is>
          <t>พ.ร.บ. ยา พ.ศ. 2510 (การจำหน่ายยาอันตรายและยาควบคุมพิเศษ)</t>
        </is>
      </c>
      <c r="I1741" s="8" t="inlineStr">
        <is>
          <t>1</t>
        </is>
      </c>
      <c r="J174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1" s="2" t="n"/>
      <c r="L1741" s="2" t="inlineStr">
        <is>
          <t>Pharmacy Laws &amp; Ethics</t>
        </is>
      </c>
      <c r="M1741" s="2" t="inlineStr">
        <is>
          <t>SAP</t>
        </is>
      </c>
      <c r="N1741" s="2" t="inlineStr">
        <is>
          <t>ข้อ 3 (PLE_CC1_Key_Rx20_UBU.md)</t>
        </is>
      </c>
      <c r="O1741" s="2" t="inlineStr">
        <is>
          <t>Mock</t>
        </is>
      </c>
      <c r="P1741" s="2" t="inlineStr">
        <is>
          <t>Mock Rx20 UBU</t>
        </is>
      </c>
    </row>
    <row r="1742" ht="13.2" customHeight="1" s="37">
      <c r="A1742" s="8" t="inlineStr">
        <is>
          <t>1763</t>
        </is>
      </c>
      <c r="B1742" s="2" t="inlineStr">
        <is>
          <t>ไม่ได้ เพราะไม่มีใบสั่งแพทย์</t>
        </is>
      </c>
      <c r="C1742" s="2" t="n"/>
      <c r="D1742" s="2" t="inlineStr">
        <is>
          <t>Dimercaprol (BAL) 3 mg/kg IM</t>
        </is>
      </c>
      <c r="E1742" s="2" t="inlineStr">
        <is>
          <t>Ethanol 10% IV infusion for Methanol poisoning</t>
        </is>
      </c>
      <c r="F1742" s="2" t="inlineStr">
        <is>
          <t>Fomepizole 15 mg/kg IV loading</t>
        </is>
      </c>
      <c r="G1742" s="2" t="inlineStr">
        <is>
          <t>N-acetylcysteine (NAC) IV infusion protocol</t>
        </is>
      </c>
      <c r="H1742" s="2" t="inlineStr">
        <is>
          <t>Atropine sulfate 2 mg IV Q5-10 min</t>
        </is>
      </c>
      <c r="I1742" s="8" t="inlineStr">
        <is>
          <t>1</t>
        </is>
      </c>
      <c r="J17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2" s="2" t="n"/>
      <c r="L1742" s="2" t="inlineStr">
        <is>
          <t>General Therapeutics</t>
        </is>
      </c>
      <c r="M1742" s="2" t="inlineStr">
        <is>
          <t>Clinic</t>
        </is>
      </c>
      <c r="N1742" s="2" t="inlineStr">
        <is>
          <t>ข้อ 4 (PLE_CC1_Key_Rx20_UBU.md)</t>
        </is>
      </c>
      <c r="O1742" s="2" t="inlineStr">
        <is>
          <t>Mock</t>
        </is>
      </c>
      <c r="P1742" s="2" t="inlineStr">
        <is>
          <t>Mock Rx20 UBU</t>
        </is>
      </c>
    </row>
    <row r="1743" ht="13.2" customHeight="1" s="37">
      <c r="A1743" s="8" t="inlineStr">
        <is>
          <t>1764</t>
        </is>
      </c>
      <c r="B1743" s="2" t="inlineStr">
        <is>
          <t>นอกจากยาข้างต้น สามารถจ่ายยาใดได้ในร้านยา -</t>
        </is>
      </c>
      <c r="C1743" s="2" t="n"/>
      <c r="D1743" s="2" t="inlineStr">
        <is>
          <t>พ.ร.บ. วัตถุที่ออกฤทธิ์ต่อจิตและประสาท พ.ศ. 2559 (ประเภท 2 และ 4)</t>
        </is>
      </c>
      <c r="E1743" s="2" t="inlineStr">
        <is>
          <t>พ.ร.บ. วิชาชีพเภสัชกรรม พ.ศ. 2537 และข้อบังคับจรรยาบรรณวิชาชีพ</t>
        </is>
      </c>
      <c r="F1743" s="2" t="inlineStr">
        <is>
          <t>พ.ร.บ. ผลิตภัณฑ์สมุนไพร พ.ศ. 2562</t>
        </is>
      </c>
      <c r="G1743" s="2" t="inlineStr">
        <is>
          <t>พ.ร.บ. เครื่องสำอาง พ.ศ. 2558</t>
        </is>
      </c>
      <c r="H1743" s="2" t="inlineStr">
        <is>
          <t>พ.ร.บ. หลักประกันสุขภาพแห่งชาติ พ.ศ. 2545</t>
        </is>
      </c>
      <c r="I1743" s="8" t="inlineStr">
        <is>
          <t>1</t>
        </is>
      </c>
      <c r="J174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3" s="2" t="n"/>
      <c r="L1743" s="2" t="inlineStr">
        <is>
          <t>Pharmacy Laws &amp; Ethics</t>
        </is>
      </c>
      <c r="M1743" s="2" t="inlineStr">
        <is>
          <t>SAP</t>
        </is>
      </c>
      <c r="N1743" s="2" t="inlineStr">
        <is>
          <t>ข้อ 3 (PLE_CC1_Key_Rx20_UBU.md)</t>
        </is>
      </c>
      <c r="O1743" s="2" t="inlineStr">
        <is>
          <t>Mock</t>
        </is>
      </c>
      <c r="P1743" s="2" t="inlineStr">
        <is>
          <t>Mock Rx20 UBU</t>
        </is>
      </c>
    </row>
    <row r="1744" ht="13.2" customHeight="1" s="37">
      <c r="A1744" s="8" t="inlineStr">
        <is>
          <t>1765</t>
        </is>
      </c>
      <c r="B1744" s="2" t="inlineStr">
        <is>
          <t>ข้อใดต่อไปนี้ถูกต้อง</t>
        </is>
      </c>
      <c r="C1744" s="2" t="n"/>
      <c r="D1744" s="2" t="inlineStr">
        <is>
          <t>Naloxone 0.4 mg IV stat</t>
        </is>
      </c>
      <c r="E1744" s="2" t="inlineStr">
        <is>
          <t>Flumazenil 0.2 mg IV stat</t>
        </is>
      </c>
      <c r="F1744" s="2" t="inlineStr">
        <is>
          <t>Vitamin K1 (Phytomenadione) 10 mg IV slow</t>
        </is>
      </c>
      <c r="G1744" s="2" t="inlineStr">
        <is>
          <t>Sodium thiosulfate 25% 50 mL IV</t>
        </is>
      </c>
      <c r="H1744" s="2" t="inlineStr">
        <is>
          <t>Calcium disodium EDTA 1 g IV</t>
        </is>
      </c>
      <c r="I1744" s="8" t="inlineStr">
        <is>
          <t>1</t>
        </is>
      </c>
      <c r="J17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44" s="2" t="n"/>
      <c r="L1744" s="2" t="inlineStr">
        <is>
          <t>General Therapeutics</t>
        </is>
      </c>
      <c r="M1744" s="2" t="inlineStr">
        <is>
          <t>Clinic</t>
        </is>
      </c>
      <c r="N1744" s="2" t="inlineStr">
        <is>
          <t>ข้อ 5 (PLE_CC1_Key_Rx20_UBU.md)</t>
        </is>
      </c>
      <c r="O1744" s="2" t="inlineStr">
        <is>
          <t>Mock</t>
        </is>
      </c>
      <c r="P1744" s="2" t="inlineStr">
        <is>
          <t>Mock Rx20 UBU</t>
        </is>
      </c>
    </row>
    <row r="1745" ht="13.2" customHeight="1" s="37">
      <c r="A1745" s="8" t="inlineStr">
        <is>
          <t>1766</t>
        </is>
      </c>
      <c r="B1745" s="2" t="inlineStr">
        <is>
          <t>เป็นการผสมแบบ cosolvent system ละลายได้ดี ใน D5W IV infusion 100 ml</t>
        </is>
      </c>
      <c r="C1745" s="2" t="n"/>
      <c r="D1745" s="2" t="inlineStr">
        <is>
          <t>Sodium thiosulfate 25% 50 mL IV</t>
        </is>
      </c>
      <c r="E1745" s="2" t="inlineStr">
        <is>
          <t>Calcium disodium EDTA 1 g IV</t>
        </is>
      </c>
      <c r="F1745" s="2" t="inlineStr">
        <is>
          <t>Desferrioxamine 1 g IM/IV</t>
        </is>
      </c>
      <c r="G1745" s="2" t="inlineStr">
        <is>
          <t>Dimercaprol (BAL) 3 mg/kg IM</t>
        </is>
      </c>
      <c r="H1745" s="2" t="inlineStr">
        <is>
          <t>Ethanol 10% IV infusion for Methanol poisoning</t>
        </is>
      </c>
      <c r="I1745" s="8" t="inlineStr">
        <is>
          <t>1</t>
        </is>
      </c>
      <c r="J17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5" s="2" t="n"/>
      <c r="L1745" s="2" t="inlineStr">
        <is>
          <t>General Therapeutics</t>
        </is>
      </c>
      <c r="M1745" s="2" t="inlineStr">
        <is>
          <t>Clinic</t>
        </is>
      </c>
      <c r="N1745" s="2" t="inlineStr">
        <is>
          <t>ข้อ 1 (PLE_CC1_Key_Rx20_UBU.md)</t>
        </is>
      </c>
      <c r="O1745" s="2" t="inlineStr">
        <is>
          <t>Mock</t>
        </is>
      </c>
      <c r="P1745" s="2" t="inlineStr">
        <is>
          <t>Mock Rx20 UBU</t>
        </is>
      </c>
    </row>
    <row r="1746" ht="13.2" customHeight="1" s="37">
      <c r="A1746" s="8" t="inlineStr">
        <is>
          <t>1767</t>
        </is>
      </c>
      <c r="B1746" s="2" t="inlineStr">
        <is>
          <t>pH ยาจะตกตะกอนที่ psychologic pH</t>
        </is>
      </c>
      <c r="C1746" s="2" t="n"/>
      <c r="D1746" s="2" t="inlineStr">
        <is>
          <t>Dimercaprol (BAL) 3 mg/kg IM</t>
        </is>
      </c>
      <c r="E1746" s="2" t="inlineStr">
        <is>
          <t>Ethanol 10% IV infusion for Methanol poisoning</t>
        </is>
      </c>
      <c r="F1746" s="2" t="inlineStr">
        <is>
          <t>Fomepizole 15 mg/kg IV loading</t>
        </is>
      </c>
      <c r="G1746" s="2" t="inlineStr">
        <is>
          <t>N-acetylcysteine (NAC) IV infusion protocol</t>
        </is>
      </c>
      <c r="H1746" s="2" t="inlineStr">
        <is>
          <t>Atropine sulfate 2 mg IV Q5-10 min</t>
        </is>
      </c>
      <c r="I1746" s="8" t="inlineStr">
        <is>
          <t>1</t>
        </is>
      </c>
      <c r="J17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46" s="2" t="n"/>
      <c r="L1746" s="2" t="inlineStr">
        <is>
          <t>General Therapeutics</t>
        </is>
      </c>
      <c r="M1746" s="2" t="inlineStr">
        <is>
          <t>Clinic</t>
        </is>
      </c>
      <c r="N1746" s="2" t="inlineStr">
        <is>
          <t>ข้อ 2 (PLE_CC1_Key_Rx20_UBU.md)</t>
        </is>
      </c>
      <c r="O1746" s="2" t="inlineStr">
        <is>
          <t>Mock</t>
        </is>
      </c>
      <c r="P1746" s="2" t="inlineStr">
        <is>
          <t>Mock Rx20 UBU</t>
        </is>
      </c>
    </row>
    <row r="1747" ht="13.2" customHeight="1" s="37">
      <c r="A1747" s="8" t="inlineStr">
        <is>
          <t>1768</t>
        </is>
      </c>
      <c r="B1747" s="2" t="inlineStr">
        <is>
          <t>ให้ก่อนการให้นำสลบก่อนผ่าตัด</t>
        </is>
      </c>
      <c r="C1747" s="2" t="n"/>
      <c r="D1747" s="2" t="inlineStr">
        <is>
          <t>N-acetylcysteine (NAC) IV infusion protocol</t>
        </is>
      </c>
      <c r="E1747" s="2" t="inlineStr">
        <is>
          <t>Atropine sulfate 2 mg IV Q5-10 min</t>
        </is>
      </c>
      <c r="F1747" s="2" t="inlineStr">
        <is>
          <t>Pralidoxime (2-PAM) 1-2 g IV over 30 min</t>
        </is>
      </c>
      <c r="G1747" s="2" t="inlineStr">
        <is>
          <t>Naloxone 0.4 mg IV stat</t>
        </is>
      </c>
      <c r="H1747" s="2" t="inlineStr">
        <is>
          <t>Flumazenil 0.2 mg IV stat</t>
        </is>
      </c>
      <c r="I1747" s="8" t="inlineStr">
        <is>
          <t>1</t>
        </is>
      </c>
      <c r="J17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47" s="2" t="n"/>
      <c r="L1747" s="2" t="inlineStr">
        <is>
          <t>General Therapeutics</t>
        </is>
      </c>
      <c r="M1747" s="2" t="inlineStr">
        <is>
          <t>Clinic</t>
        </is>
      </c>
      <c r="N1747" s="2" t="inlineStr">
        <is>
          <t>ข้อ 1 (PLE_CC1_Key_Rx20_UBU.md)</t>
        </is>
      </c>
      <c r="O1747" s="2" t="inlineStr">
        <is>
          <t>Mock</t>
        </is>
      </c>
      <c r="P1747" s="2" t="inlineStr">
        <is>
          <t>Mock Rx20 UBU</t>
        </is>
      </c>
    </row>
    <row r="1748" ht="13.2" customHeight="1" s="37">
      <c r="A1748" s="8" t="inlineStr">
        <is>
          <t>1769</t>
        </is>
      </c>
      <c r="B1748" s="2" t="inlineStr">
        <is>
          <t>ให้life style modification อย่างเดียว</t>
        </is>
      </c>
      <c r="C1748" s="2" t="n"/>
      <c r="D1748" s="2" t="inlineStr">
        <is>
          <t>Naloxone 0.4 mg IV stat</t>
        </is>
      </c>
      <c r="E1748" s="2" t="inlineStr">
        <is>
          <t>Flumazenil 0.2 mg IV stat</t>
        </is>
      </c>
      <c r="F1748" s="2" t="inlineStr">
        <is>
          <t>Vitamin K1 (Phytomenadione) 10 mg IV slow</t>
        </is>
      </c>
      <c r="G1748" s="2" t="inlineStr">
        <is>
          <t>Sodium thiosulfate 25% 50 mL IV</t>
        </is>
      </c>
      <c r="H1748" s="2" t="inlineStr">
        <is>
          <t>Calcium disodium EDTA 1 g IV</t>
        </is>
      </c>
      <c r="I1748" s="8" t="inlineStr">
        <is>
          <t>1</t>
        </is>
      </c>
      <c r="J17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48" s="2" t="n"/>
      <c r="L1748" s="2" t="inlineStr">
        <is>
          <t>General Therapeutics</t>
        </is>
      </c>
      <c r="M1748" s="2" t="inlineStr">
        <is>
          <t>Clinic</t>
        </is>
      </c>
      <c r="N1748" s="2" t="inlineStr">
        <is>
          <t>ข้อ 1 (PLE_CC1_Key_Rx20_UBU.md)</t>
        </is>
      </c>
      <c r="O1748" s="2" t="inlineStr">
        <is>
          <t>Mock</t>
        </is>
      </c>
      <c r="P1748" s="2" t="inlineStr">
        <is>
          <t>Mock Rx20 UBU</t>
        </is>
      </c>
    </row>
    <row r="1749" ht="13.2" customHeight="1" s="37">
      <c r="A1749" s="8" t="inlineStr">
        <is>
          <t>1770</t>
        </is>
      </c>
      <c r="B1749" s="2" t="inlineStr">
        <is>
          <t>ให้การรักษาด้วยยาอย่างเดียว</t>
        </is>
      </c>
      <c r="C1749" s="2" t="n"/>
      <c r="D1749" s="2" t="inlineStr">
        <is>
          <t>Sodium thiosulfate 25% 50 mL IV</t>
        </is>
      </c>
      <c r="E1749" s="2" t="inlineStr">
        <is>
          <t>Calcium disodium EDTA 1 g IV</t>
        </is>
      </c>
      <c r="F1749" s="2" t="inlineStr">
        <is>
          <t>Desferrioxamine 1 g IM/IV</t>
        </is>
      </c>
      <c r="G1749" s="2" t="inlineStr">
        <is>
          <t>Dimercaprol (BAL) 3 mg/kg IM</t>
        </is>
      </c>
      <c r="H1749" s="2" t="inlineStr">
        <is>
          <t>Ethanol 10% IV infusion for Methanol poisoning</t>
        </is>
      </c>
      <c r="I1749" s="8" t="inlineStr">
        <is>
          <t>1</t>
        </is>
      </c>
      <c r="J17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9" s="2" t="n"/>
      <c r="L1749" s="2" t="inlineStr">
        <is>
          <t>General Therapeutics</t>
        </is>
      </c>
      <c r="M1749" s="2" t="inlineStr">
        <is>
          <t>Clinic</t>
        </is>
      </c>
      <c r="N1749" s="2" t="inlineStr">
        <is>
          <t>ข้อ 2 (PLE_CC1_Key_Rx20_UBU.md)</t>
        </is>
      </c>
      <c r="O1749" s="2" t="inlineStr">
        <is>
          <t>Mock</t>
        </is>
      </c>
      <c r="P1749" s="2" t="inlineStr">
        <is>
          <t>Mock Rx20 UBU</t>
        </is>
      </c>
    </row>
    <row r="1750" ht="13.2" customHeight="1" s="37">
      <c r="A1750" s="8" t="inlineStr">
        <is>
          <t>1771</t>
        </is>
      </c>
      <c r="B1750" s="2" t="inlineStr">
        <is>
          <t>ให้ปรับ life style modification ร่วมกับให้ยา</t>
        </is>
      </c>
      <c r="C1750" s="2" t="n"/>
      <c r="D1750" s="2" t="inlineStr">
        <is>
          <t>พ.ร.บ. วิชาชีพเภสัชกรรม พ.ศ. 2537 และข้อบังคับจรรยาบรรณวิชาชีพ</t>
        </is>
      </c>
      <c r="E1750" s="2" t="inlineStr">
        <is>
          <t>พ.ร.บ. ผลิตภัณฑ์สมุนไพร พ.ศ. 2562</t>
        </is>
      </c>
      <c r="F1750" s="2" t="inlineStr">
        <is>
          <t>พ.ร.บ. เครื่องสำอาง พ.ศ. 2558</t>
        </is>
      </c>
      <c r="G1750" s="2" t="inlineStr">
        <is>
          <t>พ.ร.บ. หลักประกันสุขภาพแห่งชาติ พ.ศ. 2545</t>
        </is>
      </c>
      <c r="H1750" s="2" t="inlineStr">
        <is>
          <t>การปฏิบัติทางเภสัชกรรมชุมชน (Good Pharmacy Practice: GPP)</t>
        </is>
      </c>
      <c r="I1750" s="8" t="inlineStr">
        <is>
          <t>1</t>
        </is>
      </c>
      <c r="J175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0" s="2" t="n"/>
      <c r="L1750" s="2" t="inlineStr">
        <is>
          <t>Pharmacy Laws &amp; Ethics</t>
        </is>
      </c>
      <c r="M1750" s="2" t="inlineStr">
        <is>
          <t>SAP</t>
        </is>
      </c>
      <c r="N1750" s="2" t="inlineStr">
        <is>
          <t>ข้อ 3 (PLE_CC1_Key_Rx20_UBU.md)</t>
        </is>
      </c>
      <c r="O1750" s="2" t="inlineStr">
        <is>
          <t>Mock</t>
        </is>
      </c>
      <c r="P1750" s="2" t="inlineStr">
        <is>
          <t>Mock Rx20 UBU</t>
        </is>
      </c>
    </row>
    <row r="1751" ht="13.2" customHeight="1" s="37">
      <c r="A1751" s="8" t="inlineStr">
        <is>
          <t>1772</t>
        </is>
      </c>
      <c r="B1751" s="2" t="inlineStr">
        <is>
          <t>ให้ปรับ life style modificationก่อน6เดือนและรักษาด้วยยา</t>
        </is>
      </c>
      <c r="C1751" s="2" t="n"/>
      <c r="D1751" s="2" t="inlineStr">
        <is>
          <t>พ.ร.บ. หลักประกันสุขภาพแห่งชาติ พ.ศ. 2545</t>
        </is>
      </c>
      <c r="E1751" s="2" t="inlineStr">
        <is>
          <t>การปฏิบัติทางเภสัชกรรมชุมชน (Good Pharmacy Practice: GPP)</t>
        </is>
      </c>
      <c r="F1751" s="2" t="inlineStr">
        <is>
          <t>บัญชียาหลักแห่งชาติ (National List of Essential Medicines: NLEM)</t>
        </is>
      </c>
      <c r="G1751" s="2" t="inlineStr">
        <is>
          <t>เกณฑ์จริยธรรมว่าด้วยการส่งเสริมการขายยาของกระทรวงสาธารณสุข</t>
        </is>
      </c>
      <c r="H1751" s="2" t="inlineStr">
        <is>
          <t>พ.ร.บ. ยา พ.ศ. 2510 (การจำหน่ายยาอันตรายและยาควบคุมพิเศษ)</t>
        </is>
      </c>
      <c r="I1751" s="8" t="inlineStr">
        <is>
          <t>1</t>
        </is>
      </c>
      <c r="J175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1" s="2" t="n"/>
      <c r="L1751" s="2" t="inlineStr">
        <is>
          <t>Pharmacy Laws &amp; Ethics</t>
        </is>
      </c>
      <c r="M1751" s="2" t="inlineStr">
        <is>
          <t>SAP</t>
        </is>
      </c>
      <c r="N1751" s="2" t="inlineStr">
        <is>
          <t>ข้อ 4 (PLE_CC1_Key_Rx20_UBU.md)</t>
        </is>
      </c>
      <c r="O1751" s="2" t="inlineStr">
        <is>
          <t>Mock</t>
        </is>
      </c>
      <c r="P1751" s="2" t="inlineStr">
        <is>
          <t>Mock Rx20 UBU</t>
        </is>
      </c>
    </row>
    <row r="1752" ht="13.2" customHeight="1" s="37">
      <c r="A1752" s="8" t="inlineStr">
        <is>
          <t>1773</t>
        </is>
      </c>
      <c r="B1752" s="2" t="inlineStr">
        <is>
          <t>ให้ปรับ life style modification ก่อน12เดือนแล้วรักษาด้วยยา</t>
        </is>
      </c>
      <c r="C1752" s="2" t="n"/>
      <c r="D1752" s="2" t="inlineStr">
        <is>
          <t>เกณฑ์จริยธรรมว่าด้วยการส่งเสริมการขายยาของกระทรวงสาธารณสุข</t>
        </is>
      </c>
      <c r="E1752" s="2" t="inlineStr">
        <is>
          <t>พ.ร.บ. ยา พ.ศ. 2510 (การจำหน่ายยาอันตรายและยาควบคุมพิเศษ)</t>
        </is>
      </c>
      <c r="F1752" s="2" t="inlineStr">
        <is>
          <t>พ.ร.บ. ยาเสพติดให้โทษ พ.ศ. 2522 (ยาเสพติดให้โทษประเภท 2 และ 3)</t>
        </is>
      </c>
      <c r="G1752" s="2" t="inlineStr">
        <is>
          <t>พ.ร.บ. วัตถุที่ออกฤทธิ์ต่อจิตและประสาท พ.ศ. 2559 (ประเภท 2 และ 4)</t>
        </is>
      </c>
      <c r="H1752" s="2" t="inlineStr">
        <is>
          <t>พ.ร.บ. วิชาชีพเภสัชกรรม พ.ศ. 2537 และข้อบังคับจรรยาบรรณวิชาชีพ</t>
        </is>
      </c>
      <c r="I1752" s="8" t="inlineStr">
        <is>
          <t>1</t>
        </is>
      </c>
      <c r="J175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2" s="2" t="n"/>
      <c r="L1752" s="2" t="inlineStr">
        <is>
          <t>Pharmacy Laws &amp; Ethics</t>
        </is>
      </c>
      <c r="M1752" s="2" t="inlineStr">
        <is>
          <t>SAP</t>
        </is>
      </c>
      <c r="N1752" s="2" t="inlineStr">
        <is>
          <t>ข้อ 5 (PLE_CC1_Key_Rx20_UBU.md)</t>
        </is>
      </c>
      <c r="O1752" s="2" t="inlineStr">
        <is>
          <t>Mock</t>
        </is>
      </c>
      <c r="P1752" s="2" t="inlineStr">
        <is>
          <t>Mock Rx20 UBU</t>
        </is>
      </c>
    </row>
    <row r="1753" ht="13.2" customHeight="1" s="37">
      <c r="A1753" s="8" t="inlineStr">
        <is>
          <t>1774</t>
        </is>
      </c>
      <c r="B1753" s="2" t="inlineStr">
        <is>
          <t>Serum magnesium</t>
        </is>
      </c>
      <c r="C1753" s="2" t="n"/>
      <c r="D1753" s="2" t="inlineStr">
        <is>
          <t>Sodium thiosulfate 25% 50 mL IV</t>
        </is>
      </c>
      <c r="E1753" s="2" t="inlineStr">
        <is>
          <t>Calcium disodium EDTA 1 g IV</t>
        </is>
      </c>
      <c r="F1753" s="2" t="inlineStr">
        <is>
          <t>Desferrioxamine 1 g IM/IV</t>
        </is>
      </c>
      <c r="G1753" s="2" t="inlineStr">
        <is>
          <t>Dimercaprol (BAL) 3 mg/kg IM</t>
        </is>
      </c>
      <c r="H1753" s="2" t="inlineStr">
        <is>
          <t>Ethanol 10% IV infusion for Methanol poisoning</t>
        </is>
      </c>
      <c r="I1753" s="8" t="inlineStr">
        <is>
          <t>1</t>
        </is>
      </c>
      <c r="J17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53" s="2" t="n"/>
      <c r="L1753" s="2" t="inlineStr">
        <is>
          <t>General Therapeutics</t>
        </is>
      </c>
      <c r="M1753" s="2" t="inlineStr">
        <is>
          <t>Clinic</t>
        </is>
      </c>
      <c r="N1753" s="2" t="inlineStr">
        <is>
          <t>ข้อ 4 (PLE_CC1_Key_Rx20_UBU.md)</t>
        </is>
      </c>
      <c r="O1753" s="2" t="inlineStr">
        <is>
          <t>Mock</t>
        </is>
      </c>
      <c r="P1753" s="2" t="inlineStr">
        <is>
          <t>Mock Rx20 UBU</t>
        </is>
      </c>
    </row>
    <row r="1754" ht="13.2" customHeight="1" s="37">
      <c r="A1754" s="8" t="inlineStr">
        <is>
          <t>1775</t>
        </is>
      </c>
      <c r="B1754" s="2" t="inlineStr">
        <is>
          <t>Serum potassium วิรุฬห์ (35-51)</t>
        </is>
      </c>
      <c r="C1754" s="2" t="n"/>
      <c r="D1754" s="2" t="inlineStr">
        <is>
          <t>ข้อใดคือกลไกของยา HCTZ</t>
        </is>
      </c>
      <c r="E1754" s="2" t="inlineStr">
        <is>
          <t>Ethanol 10% IV infusion for Methanol poisoning</t>
        </is>
      </c>
      <c r="F1754" s="2" t="inlineStr">
        <is>
          <t>Fomepizole 15 mg/kg IV loading</t>
        </is>
      </c>
      <c r="G1754" s="2" t="inlineStr">
        <is>
          <t>N-acetylcysteine (NAC) IV infusion protocol</t>
        </is>
      </c>
      <c r="H1754" s="2" t="inlineStr">
        <is>
          <t>Atropine sulfate 2 mg IV Q5-10 min</t>
        </is>
      </c>
      <c r="I1754" s="8" t="inlineStr">
        <is>
          <t>5</t>
        </is>
      </c>
      <c r="J1754" s="2" t="inlineStr">
        <is>
          <t>✅ คำตอบที่ถูกต้อง: ข้อ จ.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(ข้อใดคือกลไกของยา HCTZ): ข้อนี้ไม่ใช่คำตอบที่ถูกต้องสำหรับภาวะ General Therapeutics เนื่องจากกลไกการออกฤทธิ์, efficacy หรือข้อบ่งใช้ไม่ตรงกับโจทย์ที่กำหนด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754" s="2" t="n"/>
      <c r="L1754" s="2" t="inlineStr">
        <is>
          <t>General Therapeutics</t>
        </is>
      </c>
      <c r="M1754" s="2" t="inlineStr">
        <is>
          <t>Clinic</t>
        </is>
      </c>
      <c r="N1754" s="2" t="inlineStr">
        <is>
          <t>ข้อ 5 (PLE_CC1_Key_Rx20_UBU.md)</t>
        </is>
      </c>
      <c r="O1754" s="2" t="inlineStr">
        <is>
          <t>Mock</t>
        </is>
      </c>
      <c r="P1754" s="2" t="inlineStr">
        <is>
          <t>Mock Rx20 UBU</t>
        </is>
      </c>
    </row>
    <row r="1755" ht="13.2" customHeight="1" s="37">
      <c r="A1755" s="8" t="inlineStr">
        <is>
          <t>1776</t>
        </is>
      </c>
      <c r="B1755" s="2" t="inlineStr">
        <is>
          <t>ยับยั้ง Na/K/Cl</t>
        </is>
      </c>
      <c r="C1755" s="2" t="n"/>
      <c r="D1755" s="2" t="inlineStr">
        <is>
          <t>N-acetylcysteine (NAC) IV infusion protocol</t>
        </is>
      </c>
      <c r="E1755" s="2" t="inlineStr">
        <is>
          <t>Atropine sulfate 2 mg IV Q5-10 min</t>
        </is>
      </c>
      <c r="F1755" s="2" t="inlineStr">
        <is>
          <t>Pralidoxime (2-PAM) 1-2 g IV over 30 min</t>
        </is>
      </c>
      <c r="G1755" s="2" t="inlineStr">
        <is>
          <t>Naloxone 0.4 mg IV stat</t>
        </is>
      </c>
      <c r="H1755" s="2" t="inlineStr">
        <is>
          <t>Flumazenil 0.2 mg IV stat</t>
        </is>
      </c>
      <c r="I1755" s="8" t="inlineStr">
        <is>
          <t>1</t>
        </is>
      </c>
      <c r="J17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55" s="2" t="n"/>
      <c r="L1755" s="2" t="inlineStr">
        <is>
          <t>General Therapeutics</t>
        </is>
      </c>
      <c r="M1755" s="2" t="inlineStr">
        <is>
          <t>Clinic</t>
        </is>
      </c>
      <c r="N1755" s="2" t="inlineStr">
        <is>
          <t>ข้อ 2 (PLE_CC1_Key_Rx20_UBU.md)</t>
        </is>
      </c>
      <c r="O1755" s="2" t="inlineStr">
        <is>
          <t>Mock</t>
        </is>
      </c>
      <c r="P1755" s="2" t="inlineStr">
        <is>
          <t>Mock Rx20 UBU</t>
        </is>
      </c>
    </row>
    <row r="1756" ht="13.2" customHeight="1" s="37">
      <c r="A1756" s="8" t="inlineStr">
        <is>
          <t>1777</t>
        </is>
      </c>
      <c r="B1756" s="2" t="inlineStr">
        <is>
          <t>HUI !การHypokt ศdistal 6.จงเรียงลำดับความแรงของยาขับปัสสาวะดังต่อไปนี้ โดยให้เรียงจากมากไปหาน้อย</t>
        </is>
      </c>
      <c r="C1756" s="2" t="n"/>
      <c r="D1756" s="2" t="inlineStr">
        <is>
          <t>Naloxone 0.4 mg IV stat</t>
        </is>
      </c>
      <c r="E1756" s="2" t="inlineStr">
        <is>
          <t>Flumazenil 0.2 mg IV stat</t>
        </is>
      </c>
      <c r="F1756" s="2" t="inlineStr">
        <is>
          <t>Vitamin K1 (Phytomenadione) 10 mg IV slow</t>
        </is>
      </c>
      <c r="G1756" s="2" t="inlineStr">
        <is>
          <t>Sodium thiosulfate 25% 50 mL IV</t>
        </is>
      </c>
      <c r="H1756" s="2" t="inlineStr">
        <is>
          <t>Calcium disodium EDTA 1 g IV</t>
        </is>
      </c>
      <c r="I1756" s="8" t="inlineStr">
        <is>
          <t>1</t>
        </is>
      </c>
      <c r="J17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56" s="2" t="n"/>
      <c r="L1756" s="2" t="inlineStr">
        <is>
          <t>General Therapeutics</t>
        </is>
      </c>
      <c r="M1756" s="2" t="inlineStr">
        <is>
          <t>Clinic</t>
        </is>
      </c>
      <c r="N1756" s="2" t="inlineStr">
        <is>
          <t>ข้อ 5 (PLE_CC1_Key_Rx20_UBU.md)</t>
        </is>
      </c>
      <c r="O1756" s="2" t="inlineStr">
        <is>
          <t>Mock</t>
        </is>
      </c>
      <c r="P1756" s="2" t="inlineStr">
        <is>
          <t>Mock Rx20 UBU</t>
        </is>
      </c>
    </row>
    <row r="1757" ht="13.2" customHeight="1" s="37">
      <c r="A1757" s="8" t="inlineStr">
        <is>
          <t>1778</t>
        </is>
      </c>
      <c r="B1757" s="2" t="inlineStr">
        <is>
          <t>high solubility and low permeability</t>
        </is>
      </c>
      <c r="C1757" s="2" t="n"/>
      <c r="D1757" s="2" t="inlineStr">
        <is>
          <t>Sodium thiosulfate 25% 50 mL IV</t>
        </is>
      </c>
      <c r="E1757" s="2" t="inlineStr">
        <is>
          <t>Calcium disodium EDTA 1 g IV</t>
        </is>
      </c>
      <c r="F1757" s="2" t="inlineStr">
        <is>
          <t>Desferrioxamine 1 g IM/IV</t>
        </is>
      </c>
      <c r="G1757" s="2" t="inlineStr">
        <is>
          <t>Dimercaprol (BAL) 3 mg/kg IM</t>
        </is>
      </c>
      <c r="H1757" s="2" t="inlineStr">
        <is>
          <t>Ethanol 10% IV infusion for Methanol poisoning</t>
        </is>
      </c>
      <c r="I1757" s="8" t="inlineStr">
        <is>
          <t>1</t>
        </is>
      </c>
      <c r="J17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57" s="2" t="n"/>
      <c r="L1757" s="2" t="inlineStr">
        <is>
          <t>General Therapeutics</t>
        </is>
      </c>
      <c r="M1757" s="2" t="inlineStr">
        <is>
          <t>Clinic</t>
        </is>
      </c>
      <c r="N1757" s="2" t="inlineStr">
        <is>
          <t>ข้อ 3 (PLE_CC1_Key_Rx20_UBU.md)</t>
        </is>
      </c>
      <c r="O1757" s="2" t="inlineStr">
        <is>
          <t>Mock</t>
        </is>
      </c>
      <c r="P1757" s="2" t="inlineStr">
        <is>
          <t>Mock Rx20 UBU</t>
        </is>
      </c>
    </row>
    <row r="1758" ht="13.2" customHeight="1" s="37">
      <c r="A1758" s="8" t="inlineStr">
        <is>
          <t>1779</t>
        </is>
      </c>
      <c r="B1758" s="2" t="inlineStr">
        <is>
          <t>Hardness (ความแข็ง)</t>
        </is>
      </c>
      <c r="C1758" s="2" t="n"/>
      <c r="D1758" s="2" t="inlineStr">
        <is>
          <t>Dimercaprol (BAL) 3 mg/kg IM</t>
        </is>
      </c>
      <c r="E1758" s="2" t="inlineStr">
        <is>
          <t>Ethanol 10% IV infusion for Methanol poisoning</t>
        </is>
      </c>
      <c r="F1758" s="2" t="inlineStr">
        <is>
          <t>Fomepizole 15 mg/kg IV loading</t>
        </is>
      </c>
      <c r="G1758" s="2" t="inlineStr">
        <is>
          <t>N-acetylcysteine (NAC) IV infusion protocol</t>
        </is>
      </c>
      <c r="H1758" s="2" t="inlineStr">
        <is>
          <t>Atropine sulfate 2 mg IV Q5-10 min</t>
        </is>
      </c>
      <c r="I1758" s="8" t="inlineStr">
        <is>
          <t>1</t>
        </is>
      </c>
      <c r="J17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58" s="2" t="n"/>
      <c r="L1758" s="2" t="inlineStr">
        <is>
          <t>General Therapeutics</t>
        </is>
      </c>
      <c r="M1758" s="2" t="inlineStr">
        <is>
          <t>Clinic</t>
        </is>
      </c>
      <c r="N1758" s="2" t="inlineStr">
        <is>
          <t>ข้อ 3 (PLE_CC1_Key_Rx20_UBU.md)</t>
        </is>
      </c>
      <c r="O1758" s="2" t="inlineStr">
        <is>
          <t>Mock</t>
        </is>
      </c>
      <c r="P1758" s="2" t="inlineStr">
        <is>
          <t>Mock Rx20 UBU</t>
        </is>
      </c>
    </row>
    <row r="1759" ht="13.2" customHeight="1" s="37">
      <c r="A1759" s="8" t="inlineStr">
        <is>
          <t>1780</t>
        </is>
      </c>
      <c r="B1759" s="2" t="inlineStr">
        <is>
          <t>เก็บไว้ในตู้เย็น</t>
        </is>
      </c>
      <c r="C1759" s="2" t="n"/>
      <c r="D1759" s="2" t="inlineStr">
        <is>
          <t>N-acetylcysteine (NAC) IV infusion protocol</t>
        </is>
      </c>
      <c r="E1759" s="2" t="inlineStr">
        <is>
          <t>Atropine sulfate 2 mg IV Q5-10 min</t>
        </is>
      </c>
      <c r="F1759" s="2" t="inlineStr">
        <is>
          <t>Pralidoxime (2-PAM) 1-2 g IV over 30 min</t>
        </is>
      </c>
      <c r="G1759" s="2" t="inlineStr">
        <is>
          <t>Naloxone 0.4 mg IV stat</t>
        </is>
      </c>
      <c r="H1759" s="2" t="inlineStr">
        <is>
          <t>Flumazenil 0.2 mg IV stat</t>
        </is>
      </c>
      <c r="I1759" s="8" t="inlineStr">
        <is>
          <t>1</t>
        </is>
      </c>
      <c r="J17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59" s="2" t="n"/>
      <c r="L1759" s="2" t="inlineStr">
        <is>
          <t>General Therapeutics</t>
        </is>
      </c>
      <c r="M1759" s="2" t="inlineStr">
        <is>
          <t>Clinic</t>
        </is>
      </c>
      <c r="N1759" s="2" t="inlineStr">
        <is>
          <t>ข้อ 1 (PLE_CC1_Key_Rx20_UBU.md)</t>
        </is>
      </c>
      <c r="O1759" s="2" t="inlineStr">
        <is>
          <t>Mock</t>
        </is>
      </c>
      <c r="P1759" s="2" t="inlineStr">
        <is>
          <t>Mock Rx20 UBU</t>
        </is>
      </c>
    </row>
    <row r="1760" ht="13.2" customHeight="1" s="37">
      <c r="A1760" s="8" t="inlineStr">
        <is>
          <t>1781</t>
        </is>
      </c>
      <c r="B1760" s="2" t="inlineStr">
        <is>
          <t>ควรหลีกเลี่ยงแสงและการแช่แข็ง</t>
        </is>
      </c>
      <c r="C1760" s="2" t="n"/>
      <c r="D1760" s="2" t="inlineStr">
        <is>
          <t>Naloxone 0.4 mg IV stat</t>
        </is>
      </c>
      <c r="E1760" s="2" t="inlineStr">
        <is>
          <t>Flumazenil 0.2 mg IV stat</t>
        </is>
      </c>
      <c r="F1760" s="2" t="inlineStr">
        <is>
          <t>Vitamin K1 (Phytomenadione) 10 mg IV slow</t>
        </is>
      </c>
      <c r="G1760" s="2" t="inlineStr">
        <is>
          <t>Sodium thiosulfate 25% 50 mL IV</t>
        </is>
      </c>
      <c r="H1760" s="2" t="inlineStr">
        <is>
          <t>Calcium disodium EDTA 1 g IV</t>
        </is>
      </c>
      <c r="I1760" s="8" t="inlineStr">
        <is>
          <t>1</t>
        </is>
      </c>
      <c r="J17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60" s="2" t="n"/>
      <c r="L1760" s="2" t="inlineStr">
        <is>
          <t>General Therapeutics</t>
        </is>
      </c>
      <c r="M1760" s="2" t="inlineStr">
        <is>
          <t>Clinic</t>
        </is>
      </c>
      <c r="N1760" s="2" t="inlineStr">
        <is>
          <t>ข้อ 2 (PLE_CC1_Key_Rx20_UBU.md)</t>
        </is>
      </c>
      <c r="O1760" s="2" t="inlineStr">
        <is>
          <t>Mock</t>
        </is>
      </c>
      <c r="P1760" s="2" t="inlineStr">
        <is>
          <t>Mock Rx20 UBU</t>
        </is>
      </c>
    </row>
    <row r="1761" ht="13.2" customHeight="1" s="37">
      <c r="A1761" s="8" t="inlineStr">
        <is>
          <t>1782</t>
        </is>
      </c>
      <c r="B1761" s="2" t="inlineStr">
        <is>
          <t>ปรับขนาด CCB ขึ้น</t>
        </is>
      </c>
      <c r="C1761" s="2" t="n"/>
      <c r="D1761" s="2" t="inlineStr">
        <is>
          <t>พ.ร.บ. หลักประกันสุขภาพแห่งชาติ พ.ศ. 2545</t>
        </is>
      </c>
      <c r="E1761" s="2" t="inlineStr">
        <is>
          <t>การปฏิบัติทางเภสัชกรรมชุมชน (Good Pharmacy Practice: GPP)</t>
        </is>
      </c>
      <c r="F1761" s="2" t="inlineStr">
        <is>
          <t>บัญชียาหลักแห่งชาติ (National List of Essential Medicines: NLEM)</t>
        </is>
      </c>
      <c r="G1761" s="2" t="inlineStr">
        <is>
          <t>เกณฑ์จริยธรรมว่าด้วยการส่งเสริมการขายยาของกระทรวงสาธารณสุข</t>
        </is>
      </c>
      <c r="H1761" s="2" t="inlineStr">
        <is>
          <t>พ.ร.บ. ยา พ.ศ. 2510 (การจำหน่ายยาอันตรายและยาควบคุมพิเศษ)</t>
        </is>
      </c>
      <c r="I1761" s="8" t="inlineStr">
        <is>
          <t>1</t>
        </is>
      </c>
      <c r="J176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1" s="2" t="n"/>
      <c r="L1761" s="2" t="inlineStr">
        <is>
          <t>Pharmacy Laws &amp; Ethics</t>
        </is>
      </c>
      <c r="M1761" s="2" t="inlineStr">
        <is>
          <t>SAP</t>
        </is>
      </c>
      <c r="N1761" s="2" t="inlineStr">
        <is>
          <t>ข้อ 2 (PLE_CC1_Key_Rx20_UBU.md)</t>
        </is>
      </c>
      <c r="O1761" s="2" t="inlineStr">
        <is>
          <t>Mock</t>
        </is>
      </c>
      <c r="P1761" s="2" t="inlineStr">
        <is>
          <t>Mock Rx20 UBU</t>
        </is>
      </c>
    </row>
    <row r="1762" ht="13.2" customHeight="1" s="37">
      <c r="A1762" s="8" t="inlineStr">
        <is>
          <t>1783</t>
        </is>
      </c>
      <c r="B1762" s="2" t="inlineStr">
        <is>
          <t>คำแนะนำที่เหมาะสมสำหรับผู้ป่วยรายนี้ คือ</t>
        </is>
      </c>
      <c r="C1762" s="2" t="n"/>
      <c r="D1762" s="2" t="inlineStr">
        <is>
          <t>Dimercaprol (BAL) 3 mg/kg IM</t>
        </is>
      </c>
      <c r="E1762" s="2" t="inlineStr">
        <is>
          <t>Ethanol 10% IV infusion for Methanol poisoning</t>
        </is>
      </c>
      <c r="F1762" s="2" t="inlineStr">
        <is>
          <t>Fomepizole 15 mg/kg IV loading</t>
        </is>
      </c>
      <c r="G1762" s="2" t="inlineStr">
        <is>
          <t>N-acetylcysteine (NAC) IV infusion protocol</t>
        </is>
      </c>
      <c r="H1762" s="2" t="inlineStr">
        <is>
          <t>Atropine sulfate 2 mg IV Q5-10 min</t>
        </is>
      </c>
      <c r="I1762" s="8" t="inlineStr">
        <is>
          <t>1</t>
        </is>
      </c>
      <c r="J17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62" s="2" t="n"/>
      <c r="L1762" s="2" t="inlineStr">
        <is>
          <t>General Therapeutics</t>
        </is>
      </c>
      <c r="M1762" s="2" t="inlineStr">
        <is>
          <t>Clinic</t>
        </is>
      </c>
      <c r="N1762" s="2" t="inlineStr">
        <is>
          <t>ข้อ 4 (PLE_CC1_Key_Rx20_UBU.md)</t>
        </is>
      </c>
      <c r="O1762" s="2" t="inlineStr">
        <is>
          <t>Mock</t>
        </is>
      </c>
      <c r="P1762" s="2" t="inlineStr">
        <is>
          <t>Mock Rx20 UBU</t>
        </is>
      </c>
    </row>
    <row r="1763" ht="13.2" customHeight="1" s="37">
      <c r="A1763" s="8" t="inlineStr">
        <is>
          <t>1784</t>
        </is>
      </c>
      <c r="B1763" s="2" t="inlineStr">
        <is>
          <t>แนะนำให้กินไข่ขาวเพิ่มเติม</t>
        </is>
      </c>
      <c r="C1763" s="2" t="n"/>
      <c r="D1763" s="2" t="inlineStr">
        <is>
          <t>N-acetylcysteine (NAC) IV infusion protocol</t>
        </is>
      </c>
      <c r="E1763" s="2" t="inlineStr">
        <is>
          <t>Atropine sulfate 2 mg IV Q5-10 min</t>
        </is>
      </c>
      <c r="F1763" s="2" t="inlineStr">
        <is>
          <t>Pralidoxime (2-PAM) 1-2 g IV over 30 min</t>
        </is>
      </c>
      <c r="G1763" s="2" t="inlineStr">
        <is>
          <t>Naloxone 0.4 mg IV stat</t>
        </is>
      </c>
      <c r="H1763" s="2" t="inlineStr">
        <is>
          <t>Flumazenil 0.2 mg IV stat</t>
        </is>
      </c>
      <c r="I1763" s="8" t="inlineStr">
        <is>
          <t>1</t>
        </is>
      </c>
      <c r="J17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63" s="2" t="n"/>
      <c r="L1763" s="2" t="inlineStr">
        <is>
          <t>General Therapeutics</t>
        </is>
      </c>
      <c r="M1763" s="2" t="inlineStr">
        <is>
          <t>Clinic</t>
        </is>
      </c>
      <c r="N1763" s="2" t="inlineStr">
        <is>
          <t>ข้อ 1 (PLE_CC1_Key_Rx20_UBU.md)</t>
        </is>
      </c>
      <c r="O1763" s="2" t="inlineStr">
        <is>
          <t>Mock</t>
        </is>
      </c>
      <c r="P1763" s="2" t="inlineStr">
        <is>
          <t>Mock Rx20 UBU</t>
        </is>
      </c>
    </row>
    <row r="1764" ht="13.2" customHeight="1" s="37">
      <c r="A1764" s="8" t="inlineStr">
        <is>
          <t>1785</t>
        </is>
      </c>
      <c r="B1764" s="2" t="inlineStr">
        <is>
          <t>แนะนำให้กินผลไม้ประเภทกล้วย ส้มมากๆ</t>
        </is>
      </c>
      <c r="C1764" s="2" t="n"/>
      <c r="D1764" s="2" t="inlineStr">
        <is>
          <t>Naloxone 0.4 mg IV stat</t>
        </is>
      </c>
      <c r="E1764" s="2" t="inlineStr">
        <is>
          <t>Flumazenil 0.2 mg IV stat</t>
        </is>
      </c>
      <c r="F1764" s="2" t="inlineStr">
        <is>
          <t>Vitamin K1 (Phytomenadione) 10 mg IV slow</t>
        </is>
      </c>
      <c r="G1764" s="2" t="inlineStr">
        <is>
          <t>Sodium thiosulfate 25% 50 mL IV</t>
        </is>
      </c>
      <c r="H1764" s="2" t="inlineStr">
        <is>
          <t>Calcium disodium EDTA 1 g IV</t>
        </is>
      </c>
      <c r="I1764" s="8" t="inlineStr">
        <is>
          <t>1</t>
        </is>
      </c>
      <c r="J17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64" s="2" t="n"/>
      <c r="L1764" s="2" t="inlineStr">
        <is>
          <t>General Therapeutics</t>
        </is>
      </c>
      <c r="M1764" s="2" t="inlineStr">
        <is>
          <t>Clinic</t>
        </is>
      </c>
      <c r="N1764" s="2" t="inlineStr">
        <is>
          <t>ข้อ 2 (PLE_CC1_Key_Rx20_UBU.md)</t>
        </is>
      </c>
      <c r="O1764" s="2" t="inlineStr">
        <is>
          <t>Mock</t>
        </is>
      </c>
      <c r="P1764" s="2" t="inlineStr">
        <is>
          <t>Mock Rx20 UBU</t>
        </is>
      </c>
    </row>
    <row r="1765" ht="13.2" customHeight="1" s="37">
      <c r="A1765" s="8" t="inlineStr">
        <is>
          <t>1786</t>
        </is>
      </c>
      <c r="B1765" s="2" t="inlineStr">
        <is>
          <t>กินอาหารประเภทปลาเล็กปลาน้อยทั้งตัว</t>
        </is>
      </c>
      <c r="C1765" s="2" t="n"/>
      <c r="D1765" s="2" t="inlineStr">
        <is>
          <t>Sodium thiosulfate 25% 50 mL IV</t>
        </is>
      </c>
      <c r="E1765" s="2" t="inlineStr">
        <is>
          <t>Calcium disodium EDTA 1 g IV</t>
        </is>
      </c>
      <c r="F1765" s="2" t="inlineStr">
        <is>
          <t>Desferrioxamine 1 g IM/IV</t>
        </is>
      </c>
      <c r="G1765" s="2" t="inlineStr">
        <is>
          <t>Dimercaprol (BAL) 3 mg/kg IM</t>
        </is>
      </c>
      <c r="H1765" s="2" t="inlineStr">
        <is>
          <t>Ethanol 10% IV infusion for Methanol poisoning</t>
        </is>
      </c>
      <c r="I1765" s="8" t="inlineStr">
        <is>
          <t>1</t>
        </is>
      </c>
      <c r="J17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65" s="2" t="n"/>
      <c r="L1765" s="2" t="inlineStr">
        <is>
          <t>General Therapeutics</t>
        </is>
      </c>
      <c r="M1765" s="2" t="inlineStr">
        <is>
          <t>Clinic</t>
        </is>
      </c>
      <c r="N1765" s="2" t="inlineStr">
        <is>
          <t>ข้อ 3 (PLE_CC1_Key_Rx20_UBU.md)</t>
        </is>
      </c>
      <c r="O1765" s="2" t="inlineStr">
        <is>
          <t>Mock</t>
        </is>
      </c>
      <c r="P1765" s="2" t="inlineStr">
        <is>
          <t>Mock Rx20 UBU</t>
        </is>
      </c>
    </row>
    <row r="1766" ht="13.2" customHeight="1" s="37">
      <c r="A1766" s="8" t="inlineStr">
        <is>
          <t>1787</t>
        </is>
      </c>
      <c r="B1766" s="2" t="inlineStr">
        <is>
          <t>กินCalcium เสริม</t>
        </is>
      </c>
      <c r="C1766" s="2" t="n"/>
      <c r="D1766" s="2" t="inlineStr">
        <is>
          <t>Dimercaprol (BAL) 3 mg/kg IM</t>
        </is>
      </c>
      <c r="E1766" s="2" t="inlineStr">
        <is>
          <t>Ethanol 10% IV infusion for Methanol poisoning</t>
        </is>
      </c>
      <c r="F1766" s="2" t="inlineStr">
        <is>
          <t>Fomepizole 15 mg/kg IV loading</t>
        </is>
      </c>
      <c r="G1766" s="2" t="inlineStr">
        <is>
          <t>N-acetylcysteine (NAC) IV infusion protocol</t>
        </is>
      </c>
      <c r="H1766" s="2" t="inlineStr">
        <is>
          <t>Atropine sulfate 2 mg IV Q5-10 min</t>
        </is>
      </c>
      <c r="I1766" s="8" t="inlineStr">
        <is>
          <t>1</t>
        </is>
      </c>
      <c r="J17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66" s="2" t="n"/>
      <c r="L1766" s="2" t="inlineStr">
        <is>
          <t>General Therapeutics</t>
        </is>
      </c>
      <c r="M1766" s="2" t="inlineStr">
        <is>
          <t>Clinic</t>
        </is>
      </c>
      <c r="N1766" s="2" t="inlineStr">
        <is>
          <t>ข้อ 4 (PLE_CC1_Key_Rx20_UBU.md)</t>
        </is>
      </c>
      <c r="O1766" s="2" t="inlineStr">
        <is>
          <t>Mock</t>
        </is>
      </c>
      <c r="P1766" s="2" t="inlineStr">
        <is>
          <t>Mock Rx20 UBU</t>
        </is>
      </c>
    </row>
    <row r="1767" ht="13.2" customHeight="1" s="37">
      <c r="A1767" s="8" t="inlineStr">
        <is>
          <t>1788</t>
        </is>
      </c>
      <c r="B1767" s="2" t="inlineStr">
        <is>
          <t>ข้อใดคือ Indication ในการได้รับ Chlak tab ของผู้ป่วยรายนี้</t>
        </is>
      </c>
      <c r="C1767" s="2" t="n"/>
      <c r="D1767" s="2" t="inlineStr">
        <is>
          <t>N-acetylcysteine (NAC) IV infusion protocol</t>
        </is>
      </c>
      <c r="E1767" s="2" t="inlineStr">
        <is>
          <t>Atropine sulfate 2 mg IV Q5-10 min</t>
        </is>
      </c>
      <c r="F1767" s="2" t="inlineStr">
        <is>
          <t>Pralidoxime (2-PAM) 1-2 g IV over 30 min</t>
        </is>
      </c>
      <c r="G1767" s="2" t="inlineStr">
        <is>
          <t>Naloxone 0.4 mg IV stat</t>
        </is>
      </c>
      <c r="H1767" s="2" t="inlineStr">
        <is>
          <t>Flumazenil 0.2 mg IV stat</t>
        </is>
      </c>
      <c r="I1767" s="8" t="inlineStr">
        <is>
          <t>1</t>
        </is>
      </c>
      <c r="J17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67" s="2" t="n"/>
      <c r="L1767" s="2" t="inlineStr">
        <is>
          <t>General Therapeutics</t>
        </is>
      </c>
      <c r="M1767" s="2" t="inlineStr">
        <is>
          <t>Clinic</t>
        </is>
      </c>
      <c r="N1767" s="2" t="inlineStr">
        <is>
          <t>ข้อ 5 (PLE_CC1_Key_Rx20_UBU.md)</t>
        </is>
      </c>
      <c r="O1767" s="2" t="inlineStr">
        <is>
          <t>Mock</t>
        </is>
      </c>
      <c r="P1767" s="2" t="inlineStr">
        <is>
          <t>Mock Rx20 UBU</t>
        </is>
      </c>
    </row>
    <row r="1768" ht="13.2" customHeight="1" s="37">
      <c r="A1768" s="8" t="inlineStr">
        <is>
          <t>1789</t>
        </is>
      </c>
      <c r="B1768" s="2" t="inlineStr">
        <is>
          <t>metabolic acidosis</t>
        </is>
      </c>
      <c r="C1768" s="2" t="n"/>
      <c r="D1768" s="2" t="inlineStr">
        <is>
          <t>Naloxone 0.4 mg IV stat</t>
        </is>
      </c>
      <c r="E1768" s="2" t="inlineStr">
        <is>
          <t>Flumazenil 0.2 mg IV stat</t>
        </is>
      </c>
      <c r="F1768" s="2" t="inlineStr">
        <is>
          <t>Vitamin K1 (Phytomenadione) 10 mg IV slow</t>
        </is>
      </c>
      <c r="G1768" s="2" t="inlineStr">
        <is>
          <t>Sodium thiosulfate 25% 50 mL IV</t>
        </is>
      </c>
      <c r="H1768" s="2" t="inlineStr">
        <is>
          <t>Calcium disodium EDTA 1 g IV</t>
        </is>
      </c>
      <c r="I1768" s="8" t="inlineStr">
        <is>
          <t>1</t>
        </is>
      </c>
      <c r="J17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68" s="2" t="n"/>
      <c r="L1768" s="2" t="inlineStr">
        <is>
          <t>General Therapeutics</t>
        </is>
      </c>
      <c r="M1768" s="2" t="inlineStr">
        <is>
          <t>Clinic</t>
        </is>
      </c>
      <c r="N1768" s="2" t="inlineStr">
        <is>
          <t>ข้อ 4 (PLE_CC1_Key_Rx20_UBU.md)</t>
        </is>
      </c>
      <c r="O1768" s="2" t="inlineStr">
        <is>
          <t>Mock</t>
        </is>
      </c>
      <c r="P1768" s="2" t="inlineStr">
        <is>
          <t>Mock Rx20 UBU</t>
        </is>
      </c>
    </row>
    <row r="1769" ht="13.2" customHeight="1" s="37">
      <c r="A1769" s="8" t="inlineStr">
        <is>
          <t>1790</t>
        </is>
      </c>
      <c r="B1769" s="2" t="inlineStr">
        <is>
          <t>ควรรักษาภาวะน้ำตาลในเลือดสูงของผู้ป่วยรายนี้อย่างไรเมื่ออยู่ในโรงพยาบาล</t>
        </is>
      </c>
      <c r="C1769" s="2" t="n"/>
      <c r="D1769" s="2" t="inlineStr">
        <is>
          <t>Glipizide 5 mg OD</t>
        </is>
      </c>
      <c r="E1769" s="2" t="inlineStr">
        <is>
          <t>Empagliflozin 10 mg OD</t>
        </is>
      </c>
      <c r="F1769" s="2" t="inlineStr">
        <is>
          <t>Sitagliptin 100 mg OD</t>
        </is>
      </c>
      <c r="G1769" s="2" t="inlineStr">
        <is>
          <t>Liraglutide 1.2 mg SC OD</t>
        </is>
      </c>
      <c r="H1769" s="2" t="inlineStr">
        <is>
          <t>Levothyroxine 50 mcg OD</t>
        </is>
      </c>
      <c r="I1769" s="8" t="inlineStr">
        <is>
          <t>1</t>
        </is>
      </c>
      <c r="J1769" s="2"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ค. (Sitagliptin 100 mg OD): เป็น DPP-4 inhibitor เพิ่ม active GLP-1 แบบ glucose-dependent มี neutral effect ต่อน้ำหนักตัว และความเสี่ยงต่อ hypoglycemia ต่ำมาก แต่ต้องปรับ dose ตาม CrCl
• ข้อ ง.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ข้อ จ.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769" s="2" t="n"/>
      <c r="L1769" s="2" t="inlineStr">
        <is>
          <t>Diabetes &amp; Endocrine</t>
        </is>
      </c>
      <c r="M1769" s="2" t="inlineStr">
        <is>
          <t>Clinic</t>
        </is>
      </c>
      <c r="N1769" s="2" t="inlineStr">
        <is>
          <t>ข้อ 6 (PLE_CC1_Key_Rx20_UBU.md)</t>
        </is>
      </c>
      <c r="O1769" s="2" t="inlineStr">
        <is>
          <t>Mock</t>
        </is>
      </c>
      <c r="P1769" s="2" t="inlineStr">
        <is>
          <t>Mock Rx20 UBU</t>
        </is>
      </c>
    </row>
    <row r="1770" ht="13.2" customHeight="1" s="37">
      <c r="A1770" s="8" t="inlineStr">
        <is>
          <t>1791</t>
        </is>
      </c>
      <c r="B1770" s="2" t="inlineStr">
        <is>
          <t>เพิ่มยา Valgibose</t>
        </is>
      </c>
      <c r="C1770" s="2" t="n"/>
      <c r="D1770" s="2" t="inlineStr">
        <is>
          <t>Dimercaprol (BAL) 3 mg/kg IM</t>
        </is>
      </c>
      <c r="E1770" s="2" t="inlineStr">
        <is>
          <t>Ethanol 10% IV infusion for Methanol poisoning</t>
        </is>
      </c>
      <c r="F1770" s="2" t="inlineStr">
        <is>
          <t>Fomepizole 15 mg/kg IV loading</t>
        </is>
      </c>
      <c r="G1770" s="2" t="inlineStr">
        <is>
          <t>N-acetylcysteine (NAC) IV infusion protocol</t>
        </is>
      </c>
      <c r="H1770" s="2" t="inlineStr">
        <is>
          <t>Atropine sulfate 2 mg IV Q5-10 min</t>
        </is>
      </c>
      <c r="I1770" s="8" t="inlineStr">
        <is>
          <t>1</t>
        </is>
      </c>
      <c r="J17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70" s="2" t="n"/>
      <c r="L1770" s="2" t="inlineStr">
        <is>
          <t>General Therapeutics</t>
        </is>
      </c>
      <c r="M1770" s="2" t="inlineStr">
        <is>
          <t>Clinic</t>
        </is>
      </c>
      <c r="N1770" s="2" t="inlineStr">
        <is>
          <t>ข้อ 4 (PLE_CC1_Key_Rx20_UBU.md)</t>
        </is>
      </c>
      <c r="O1770" s="2" t="inlineStr">
        <is>
          <t>Mock</t>
        </is>
      </c>
      <c r="P1770" s="2" t="inlineStr">
        <is>
          <t>Mock Rx20 UBU</t>
        </is>
      </c>
    </row>
    <row r="1771" ht="13.2" customHeight="1" s="37">
      <c r="A1771" s="8" t="inlineStr">
        <is>
          <t>1792</t>
        </is>
      </c>
      <c r="B1771" s="2" t="inlineStr">
        <is>
          <t>Furrous sulphate</t>
        </is>
      </c>
      <c r="C1771" s="2" t="n"/>
      <c r="D1771" s="2" t="inlineStr">
        <is>
          <t>N-acetylcysteine (NAC) IV infusion protocol</t>
        </is>
      </c>
      <c r="E1771" s="2" t="inlineStr">
        <is>
          <t>Atropine sulfate 2 mg IV Q5-10 min</t>
        </is>
      </c>
      <c r="F1771" s="2" t="inlineStr">
        <is>
          <t>Pralidoxime (2-PAM) 1-2 g IV over 30 min</t>
        </is>
      </c>
      <c r="G1771" s="2" t="inlineStr">
        <is>
          <t>Naloxone 0.4 mg IV stat</t>
        </is>
      </c>
      <c r="H1771" s="2" t="inlineStr">
        <is>
          <t>Flumazenil 0.2 mg IV stat</t>
        </is>
      </c>
      <c r="I1771" s="8" t="inlineStr">
        <is>
          <t>1</t>
        </is>
      </c>
      <c r="J17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71" s="2" t="n"/>
      <c r="L1771" s="2" t="inlineStr">
        <is>
          <t>General Therapeutics</t>
        </is>
      </c>
      <c r="M1771" s="2" t="inlineStr">
        <is>
          <t>Clinic</t>
        </is>
      </c>
      <c r="N1771" s="2" t="inlineStr">
        <is>
          <t>ข้อ 3 (PLE_CC1_Key_Rx20_UBU.md)</t>
        </is>
      </c>
      <c r="O1771" s="2" t="inlineStr">
        <is>
          <t>Mock</t>
        </is>
      </c>
      <c r="P1771" s="2" t="inlineStr">
        <is>
          <t>Mock Rx20 UBU</t>
        </is>
      </c>
    </row>
    <row r="1772" ht="13.2" customHeight="1" s="37">
      <c r="A1772" s="8" t="inlineStr">
        <is>
          <t>1793</t>
        </is>
      </c>
      <c r="B1772" s="2" t="inlineStr">
        <is>
          <t>ฝ่าฝืน เพราะถือเป็นการโฆษณาที่โอ้อวดสรรพคุณ</t>
        </is>
      </c>
      <c r="C1772" s="2" t="n"/>
      <c r="D1772" s="2" t="inlineStr">
        <is>
          <t>Naloxone 0.4 mg IV stat</t>
        </is>
      </c>
      <c r="E1772" s="2" t="inlineStr">
        <is>
          <t>Flumazenil 0.2 mg IV stat</t>
        </is>
      </c>
      <c r="F1772" s="2" t="inlineStr">
        <is>
          <t>Vitamin K1 (Phytomenadione) 10 mg IV slow</t>
        </is>
      </c>
      <c r="G1772" s="2" t="inlineStr">
        <is>
          <t>Sodium thiosulfate 25% 50 mL IV</t>
        </is>
      </c>
      <c r="H1772" s="2" t="inlineStr">
        <is>
          <t>Calcium disodium EDTA 1 g IV</t>
        </is>
      </c>
      <c r="I1772" s="8" t="inlineStr">
        <is>
          <t>1</t>
        </is>
      </c>
      <c r="J17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72" s="2" t="n"/>
      <c r="L1772" s="2" t="inlineStr">
        <is>
          <t>General Therapeutics</t>
        </is>
      </c>
      <c r="M1772" s="2" t="inlineStr">
        <is>
          <t>Clinic</t>
        </is>
      </c>
      <c r="N1772" s="2" t="inlineStr">
        <is>
          <t>ข้อ 1 (PLE_CC1_Key_Rx20_UBU.md)</t>
        </is>
      </c>
      <c r="O1772" s="2" t="inlineStr">
        <is>
          <t>Mock</t>
        </is>
      </c>
      <c r="P1772" s="2" t="inlineStr">
        <is>
          <t>Mock Rx20 UBU</t>
        </is>
      </c>
    </row>
    <row r="1773" ht="13.2" customHeight="1" s="37">
      <c r="A1773" s="8" t="inlineStr">
        <is>
          <t>1794</t>
        </is>
      </c>
      <c r="B1773" s="2" t="inlineStr">
        <is>
          <t>ไม่ฝ่าฝืน เพราะได้รับอนุญาตแล้ว</t>
        </is>
      </c>
      <c r="C1773" s="2" t="n"/>
      <c r="D1773" s="2" t="inlineStr">
        <is>
          <t>Sodium thiosulfate 25% 50 mL IV</t>
        </is>
      </c>
      <c r="E1773" s="2" t="inlineStr">
        <is>
          <t>Calcium disodium EDTA 1 g IV</t>
        </is>
      </c>
      <c r="F1773" s="2" t="inlineStr">
        <is>
          <t>Desferrioxamine 1 g IM/IV</t>
        </is>
      </c>
      <c r="G1773" s="2" t="inlineStr">
        <is>
          <t>Dimercaprol (BAL) 3 mg/kg IM</t>
        </is>
      </c>
      <c r="H1773" s="2" t="inlineStr">
        <is>
          <t>Ethanol 10% IV infusion for Methanol poisoning</t>
        </is>
      </c>
      <c r="I1773" s="8" t="inlineStr">
        <is>
          <t>1</t>
        </is>
      </c>
      <c r="J17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3" s="2" t="n"/>
      <c r="L1773" s="2" t="inlineStr">
        <is>
          <t>General Therapeutics</t>
        </is>
      </c>
      <c r="M1773" s="2" t="inlineStr">
        <is>
          <t>Clinic</t>
        </is>
      </c>
      <c r="N1773" s="2" t="inlineStr">
        <is>
          <t>ข้อ 3 (PLE_CC1_Key_Rx20_UBU.md)</t>
        </is>
      </c>
      <c r="O1773" s="2" t="inlineStr">
        <is>
          <t>Mock</t>
        </is>
      </c>
      <c r="P1773" s="2" t="inlineStr">
        <is>
          <t>Mock Rx20 UBU</t>
        </is>
      </c>
    </row>
    <row r="1774" ht="13.2" customHeight="1" s="37">
      <c r="A1774" s="8" t="inlineStr">
        <is>
          <t>1795</t>
        </is>
      </c>
      <c r="B1774" s="2" t="inlineStr">
        <is>
          <t>ไม่ฝ่าฝืน เพราะจัดเป็นยาแผนโบราณ</t>
        </is>
      </c>
      <c r="C1774" s="2" t="n"/>
      <c r="D1774" s="2" t="inlineStr">
        <is>
          <t>Soxhlet Extraction for heat-stable phytochemicals</t>
        </is>
      </c>
      <c r="E1774" s="2" t="inlineStr">
        <is>
          <t>Supercritical Fluid Extraction (SFE-CO2)</t>
        </is>
      </c>
      <c r="F1774" s="2" t="inlineStr">
        <is>
          <t>Standardized Curcuminoids in Curcuma longa</t>
        </is>
      </c>
      <c r="G1774" s="2" t="inlineStr">
        <is>
          <t>Standardized Andrographolide in Andrographis paniculata</t>
        </is>
      </c>
      <c r="H1774" s="2" t="inlineStr">
        <is>
          <t>Senna glycosides (Sennosides A &amp; B) Extraction</t>
        </is>
      </c>
      <c r="I1774" s="8" t="inlineStr">
        <is>
          <t>1</t>
        </is>
      </c>
      <c r="J1774" s="2"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USP/NF, British Pharmacopoeia (BP) &amp; Remington: The Science and Practice of Pharmacy (หัวข้อ Herbal Medicine)
Herbal Medicine: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Herbal Medicine)
🔍 ข้ออื่นผิดเพราะอะไร:
• ข้อ ข. (Supercritical Fluid Extraction (SFE-CO2)): ข้อนี้ไม่ใช่คำตอบที่ถูกต้องสำหรับภาวะ Herbal Medicine เนื่องจากกลไกการออกฤทธิ์, efficacy หรือข้อบ่งใช้ไม่ตรงกับโจทย์ที่กำหนด
• ข้อ ค. (Standardized Curcuminoids in Curcuma longa): ข้อนี้ไม่ใช่คำตอบที่ถูกต้องสำหรับภาวะ Herbal Medicine เนื่องจากกลไกการออกฤทธิ์, efficacy หรือข้อบ่งใช้ไม่ตรงกับโจทย์ที่กำหนด
• ข้อ ง. (Standardized Andrographolide in Andrographis paniculata): ข้อนี้ไม่ใช่คำตอบที่ถูกต้องสำหรับภาวะ Herbal Medicine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4" s="2" t="n"/>
      <c r="L1774" s="2" t="inlineStr">
        <is>
          <t>Herbal Medicine</t>
        </is>
      </c>
      <c r="M1774" s="2" t="inlineStr">
        <is>
          <t>Product</t>
        </is>
      </c>
      <c r="N1774" s="2" t="inlineStr">
        <is>
          <t>ข้อ 4 (PLE_CC1_Key_Rx20_UBU.md)</t>
        </is>
      </c>
      <c r="O1774" s="2" t="inlineStr">
        <is>
          <t>Mock</t>
        </is>
      </c>
      <c r="P1774" s="2" t="inlineStr">
        <is>
          <t>Mock Rx20 UBU</t>
        </is>
      </c>
    </row>
    <row r="1775" ht="13.2" customHeight="1" s="37">
      <c r="A1775" s="8" t="inlineStr">
        <is>
          <t>1796</t>
        </is>
      </c>
      <c r="B1775" s="2" t="inlineStr">
        <is>
          <t>ยาสามัญประจำบ้าน</t>
        </is>
      </c>
      <c r="C1775" s="2" t="n"/>
      <c r="D1775" s="2" t="inlineStr">
        <is>
          <t>บัญชียาหลักแห่งชาติ (National List of Essential Medicines: NLEM)</t>
        </is>
      </c>
      <c r="E1775" s="2" t="inlineStr">
        <is>
          <t>เกณฑ์จริยธรรมว่าด้วยการส่งเสริมการขายยาของกระทรวงสาธารณสุข</t>
        </is>
      </c>
      <c r="F1775" s="2" t="inlineStr">
        <is>
          <t>พ.ร.บ. ยา พ.ศ. 2510 (การจำหน่ายยาอันตรายและยาควบคุมพิเศษ)</t>
        </is>
      </c>
      <c r="G1775" s="2" t="inlineStr">
        <is>
          <t>พ.ร.บ. ยาเสพติดให้โทษ พ.ศ. 2522 (ยาเสพติดให้โทษประเภท 2 และ 3)</t>
        </is>
      </c>
      <c r="H1775" s="2" t="inlineStr">
        <is>
          <t>พ.ร.บ. วัตถุที่ออกฤทธิ์ต่อจิตและประสาท พ.ศ. 2559 (ประเภท 2 และ 4)</t>
        </is>
      </c>
      <c r="I1775" s="8" t="inlineStr">
        <is>
          <t>1</t>
        </is>
      </c>
      <c r="J177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5" s="2" t="n"/>
      <c r="L1775" s="2" t="inlineStr">
        <is>
          <t>Pharmacy Laws &amp; Ethics</t>
        </is>
      </c>
      <c r="M1775" s="2" t="inlineStr">
        <is>
          <t>SAP</t>
        </is>
      </c>
      <c r="N1775" s="2" t="inlineStr">
        <is>
          <t>ข้อ 4 (PLE_CC1_Key_Rx20_UBU.md)</t>
        </is>
      </c>
      <c r="O1775" s="2" t="inlineStr">
        <is>
          <t>Mock</t>
        </is>
      </c>
      <c r="P1775" s="2" t="inlineStr">
        <is>
          <t>Mock Rx20 UBU</t>
        </is>
      </c>
    </row>
    <row r="1776" ht="13.2" customHeight="1" s="37">
      <c r="A1776" s="8" t="inlineStr">
        <is>
          <t>1797</t>
        </is>
      </c>
      <c r="B1776" s="2" t="inlineStr">
        <is>
          <t>คนไข้เป็นโรคกรดไหลย้อน เลือกใช้ยาใดต่อไป</t>
        </is>
      </c>
      <c r="C1776" s="2" t="n"/>
      <c r="D1776" s="2" t="inlineStr">
        <is>
          <t>Clarithromycin 500 mg BID</t>
        </is>
      </c>
      <c r="E1776" s="2" t="inlineStr">
        <is>
          <t>Hyoscine butylbromide 10 mg TID</t>
        </is>
      </c>
      <c r="F1776" s="2" t="inlineStr">
        <is>
          <t>Aluminium hydroxide/Magnesium hydroxide suspension</t>
        </is>
      </c>
      <c r="G1776" s="2" t="inlineStr">
        <is>
          <t>Metoclopramide 10 mg TID before meals</t>
        </is>
      </c>
      <c r="H1776" s="2" t="inlineStr">
        <is>
          <t>Omeprazole 20 mg OD</t>
        </is>
      </c>
      <c r="I1776" s="8" t="inlineStr">
        <is>
          <t>1</t>
        </is>
      </c>
      <c r="J1776" s="2"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ข้อนี้ไม่ใช่คำตอบที่ถูกต้องสำหรับภาวะ GI Disorders เนื่องจากกลไกการออกฤทธิ์, efficacy หรือข้อบ่งใช้ไม่ตรงกับโจทย์ที่กำหนด
• ข้อ ค. (Aluminium hydroxide/Magnesium hydroxide suspension): ข้อนี้ไม่ใช่คำตอบที่ถูกต้องสำหรับภาวะ GI Disorders เนื่องจากกลไกการออกฤทธิ์, efficacy หรือข้อบ่งใช้ไม่ตรงกับโจทย์ที่กำหนด
• ข้อ ง. (Metoclopramide 10 mg TID before meals): เป็น central และ peripheral D2 antagonist เพิ่ม gastric emptying และแก้อาเจียน แต่ผ่าน BBB จึงทำให้เกิด acute dystonia และ EPS ได้ง่าย
• ข้อ จ.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76" s="2" t="n"/>
      <c r="L1776" s="2" t="inlineStr">
        <is>
          <t>GI Disorders</t>
        </is>
      </c>
      <c r="M1776" s="2" t="inlineStr">
        <is>
          <t>Clinic</t>
        </is>
      </c>
      <c r="N1776" s="2" t="inlineStr">
        <is>
          <t>ข้อ 1 (PLE_CC1_Key_Rx20_UBU.md)</t>
        </is>
      </c>
      <c r="O1776" s="2" t="inlineStr">
        <is>
          <t>Mock</t>
        </is>
      </c>
      <c r="P1776" s="2" t="inlineStr">
        <is>
          <t>Mock Rx20 UBU</t>
        </is>
      </c>
    </row>
    <row r="1777" ht="13.2" customHeight="1" s="37">
      <c r="A1777" s="8" t="inlineStr">
        <is>
          <t>1798</t>
        </is>
      </c>
      <c r="B1777" s="2" t="inlineStr">
        <is>
          <t>Bismuth subsalicylate</t>
        </is>
      </c>
      <c r="C1777" s="2" t="n"/>
      <c r="D1777" s="2" t="inlineStr">
        <is>
          <t>Sodium thiosulfate 25% 50 mL IV</t>
        </is>
      </c>
      <c r="E1777" s="2" t="inlineStr">
        <is>
          <t>Calcium disodium EDTA 1 g IV</t>
        </is>
      </c>
      <c r="F1777" s="2" t="inlineStr">
        <is>
          <t>Desferrioxamine 1 g IM/IV</t>
        </is>
      </c>
      <c r="G1777" s="2" t="inlineStr">
        <is>
          <t>Dimercaprol (BAL) 3 mg/kg IM</t>
        </is>
      </c>
      <c r="H1777" s="2" t="inlineStr">
        <is>
          <t>Ethanol 10% IV infusion for Methanol poisoning</t>
        </is>
      </c>
      <c r="I1777" s="8" t="inlineStr">
        <is>
          <t>1</t>
        </is>
      </c>
      <c r="J17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7" s="2" t="n"/>
      <c r="L1777" s="2" t="inlineStr">
        <is>
          <t>General Therapeutics</t>
        </is>
      </c>
      <c r="M1777" s="2" t="inlineStr">
        <is>
          <t>Clinic</t>
        </is>
      </c>
      <c r="N1777" s="2" t="inlineStr">
        <is>
          <t>ข้อ 2 (PLE_CC1_Key_Rx20_UBU.md)</t>
        </is>
      </c>
      <c r="O1777" s="2" t="inlineStr">
        <is>
          <t>Mock</t>
        </is>
      </c>
      <c r="P1777" s="2" t="inlineStr">
        <is>
          <t>Mock Rx20 UBU</t>
        </is>
      </c>
    </row>
    <row r="1778" ht="13.2" customHeight="1" s="37">
      <c r="A1778" s="8" t="inlineStr">
        <is>
          <t>1799</t>
        </is>
      </c>
      <c r="B1778" s="2" t="inlineStr">
        <is>
          <t>Non-touch Technique</t>
        </is>
      </c>
      <c r="C1778" s="2" t="n"/>
      <c r="D1778" s="2" t="inlineStr">
        <is>
          <t>Dimercaprol (BAL) 3 mg/kg IM</t>
        </is>
      </c>
      <c r="E1778" s="2" t="inlineStr">
        <is>
          <t>Ethanol 10% IV infusion for Methanol poisoning</t>
        </is>
      </c>
      <c r="F1778" s="2" t="inlineStr">
        <is>
          <t>Fomepizole 15 mg/kg IV loading</t>
        </is>
      </c>
      <c r="G1778" s="2" t="inlineStr">
        <is>
          <t>N-acetylcysteine (NAC) IV infusion protocol</t>
        </is>
      </c>
      <c r="H1778" s="2" t="inlineStr">
        <is>
          <t>Atropine sulfate 2 mg IV Q5-10 min</t>
        </is>
      </c>
      <c r="I1778" s="8" t="inlineStr">
        <is>
          <t>1</t>
        </is>
      </c>
      <c r="J17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8" s="2" t="n"/>
      <c r="L1778" s="2" t="inlineStr">
        <is>
          <t>General Therapeutics</t>
        </is>
      </c>
      <c r="M1778" s="2" t="inlineStr">
        <is>
          <t>Clinic</t>
        </is>
      </c>
      <c r="N1778" s="2" t="inlineStr">
        <is>
          <t>ข้อ 1 (PLE_CC1_Key_Rx20_UBU.md)</t>
        </is>
      </c>
      <c r="O1778" s="2" t="inlineStr">
        <is>
          <t>Mock</t>
        </is>
      </c>
      <c r="P1778" s="2" t="inlineStr">
        <is>
          <t>Mock Rx20 UBU</t>
        </is>
      </c>
    </row>
    <row r="1779" ht="13.2" customHeight="1" s="37">
      <c r="A1779" s="8" t="inlineStr">
        <is>
          <t>1800</t>
        </is>
      </c>
      <c r="B1779" s="2" t="inlineStr">
        <is>
          <t>Open window Technique</t>
        </is>
      </c>
      <c r="C1779" s="2" t="n"/>
      <c r="D1779" s="2" t="inlineStr">
        <is>
          <t>N-acetylcysteine (NAC) IV infusion protocol</t>
        </is>
      </c>
      <c r="E1779" s="2" t="inlineStr">
        <is>
          <t>Atropine sulfate 2 mg IV Q5-10 min</t>
        </is>
      </c>
      <c r="F1779" s="2" t="inlineStr">
        <is>
          <t>Pralidoxime (2-PAM) 1-2 g IV over 30 min</t>
        </is>
      </c>
      <c r="G1779" s="2" t="inlineStr">
        <is>
          <t>Naloxone 0.4 mg IV stat</t>
        </is>
      </c>
      <c r="H1779" s="2" t="inlineStr">
        <is>
          <t>Flumazenil 0.2 mg IV stat</t>
        </is>
      </c>
      <c r="I1779" s="8" t="inlineStr">
        <is>
          <t>1</t>
        </is>
      </c>
      <c r="J17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79" s="2" t="n"/>
      <c r="L1779" s="2" t="inlineStr">
        <is>
          <t>General Therapeutics</t>
        </is>
      </c>
      <c r="M1779" s="2" t="inlineStr">
        <is>
          <t>Clinic</t>
        </is>
      </c>
      <c r="N1779" s="2" t="inlineStr">
        <is>
          <t>ข้อ 2 (PLE_CC1_Key_Rx20_UBU.md)</t>
        </is>
      </c>
      <c r="O1779" s="2" t="inlineStr">
        <is>
          <t>Mock</t>
        </is>
      </c>
      <c r="P1779" s="2" t="inlineStr">
        <is>
          <t>Mock Rx20 UBU</t>
        </is>
      </c>
    </row>
    <row r="1780" ht="13.2" customHeight="1" s="37">
      <c r="A1780" s="8" t="inlineStr">
        <is>
          <t>1801</t>
        </is>
      </c>
      <c r="B1780" s="2" t="inlineStr">
        <is>
          <t>Core prevention Technique</t>
        </is>
      </c>
      <c r="C1780" s="2" t="n"/>
      <c r="D1780" s="2" t="inlineStr">
        <is>
          <t>Naloxone 0.4 mg IV stat</t>
        </is>
      </c>
      <c r="E1780" s="2" t="inlineStr">
        <is>
          <t>Flumazenil 0.2 mg IV stat</t>
        </is>
      </c>
      <c r="F1780" s="2" t="inlineStr">
        <is>
          <t>Vitamin K1 (Phytomenadione) 10 mg IV slow</t>
        </is>
      </c>
      <c r="G1780" s="2" t="inlineStr">
        <is>
          <t>Sodium thiosulfate 25% 50 mL IV</t>
        </is>
      </c>
      <c r="H1780" s="2" t="inlineStr">
        <is>
          <t>Calcium disodium EDTA 1 g IV</t>
        </is>
      </c>
      <c r="I1780" s="8" t="inlineStr">
        <is>
          <t>1</t>
        </is>
      </c>
      <c r="J17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80" s="2" t="n"/>
      <c r="L1780" s="2" t="inlineStr">
        <is>
          <t>General Therapeutics</t>
        </is>
      </c>
      <c r="M1780" s="2" t="inlineStr">
        <is>
          <t>Clinic</t>
        </is>
      </c>
      <c r="N1780" s="2" t="inlineStr">
        <is>
          <t>ข้อ 4 (PLE_CC1_Key_Rx20_UBU.md)</t>
        </is>
      </c>
      <c r="O1780" s="2" t="inlineStr">
        <is>
          <t>Mock</t>
        </is>
      </c>
      <c r="P1780" s="2" t="inlineStr">
        <is>
          <t>Mock Rx20 UBU</t>
        </is>
      </c>
    </row>
    <row r="1781" ht="13.2" customHeight="1" s="37">
      <c r="A1781" s="8" t="inlineStr">
        <is>
          <t>1802</t>
        </is>
      </c>
      <c r="B1781" s="2" t="inlineStr">
        <is>
          <t>D-10-W 115 ml และ D-10-NSS 135 ml ปรับปริมาตรให้ครบ 500 ml</t>
        </is>
      </c>
      <c r="C1781" s="2" t="n"/>
      <c r="D1781" s="2" t="inlineStr">
        <is>
          <t>พ.ร.บ. หลักประกันสุขภาพแห่งชาติ พ.ศ. 2545</t>
        </is>
      </c>
      <c r="E1781" s="2" t="inlineStr">
        <is>
          <t>การปฏิบัติทางเภสัชกรรมชุมชน (Good Pharmacy Practice: GPP)</t>
        </is>
      </c>
      <c r="F1781" s="2" t="inlineStr">
        <is>
          <t>บัญชียาหลักแห่งชาติ (National List of Essential Medicines: NLEM)</t>
        </is>
      </c>
      <c r="G1781" s="2" t="inlineStr">
        <is>
          <t>เกณฑ์จริยธรรมว่าด้วยการส่งเสริมการขายยาของกระทรวงสาธารณสุข</t>
        </is>
      </c>
      <c r="H1781" s="2" t="inlineStr">
        <is>
          <t>พ.ร.บ. ยา พ.ศ. 2510 (การจำหน่ายยาอันตรายและยาควบคุมพิเศษ)</t>
        </is>
      </c>
      <c r="I1781" s="8" t="inlineStr">
        <is>
          <t>1</t>
        </is>
      </c>
      <c r="J178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1" s="2" t="n"/>
      <c r="L1781" s="2" t="inlineStr">
        <is>
          <t>Pharmacy Laws &amp; Ethics</t>
        </is>
      </c>
      <c r="M1781" s="2" t="inlineStr">
        <is>
          <t>SAP</t>
        </is>
      </c>
      <c r="N1781" s="2" t="inlineStr">
        <is>
          <t>ข้อ 1 (PLE_CC1_Key_Rx20_UBU.md)</t>
        </is>
      </c>
      <c r="O1781" s="2" t="inlineStr">
        <is>
          <t>Mock</t>
        </is>
      </c>
      <c r="P1781" s="2" t="inlineStr">
        <is>
          <t>Mock Rx20 UBU</t>
        </is>
      </c>
    </row>
    <row r="1782" ht="13.2" customHeight="1" s="37">
      <c r="A1782" s="8" t="inlineStr">
        <is>
          <t>1803</t>
        </is>
      </c>
      <c r="B1782" s="2" t="inlineStr">
        <is>
          <t>D-10-W 125 ml และ D-10-NSS 125 ml ปรับปริมาตรให้ครบ 500 ml</t>
        </is>
      </c>
      <c r="C1782" s="2" t="n"/>
      <c r="D1782" s="2" t="inlineStr">
        <is>
          <t>เกณฑ์จริยธรรมว่าด้วยการส่งเสริมการขายยาของกระทรวงสาธารณสุข</t>
        </is>
      </c>
      <c r="E1782" s="2" t="inlineStr">
        <is>
          <t>พ.ร.บ. ยา พ.ศ. 2510 (การจำหน่ายยาอันตรายและยาควบคุมพิเศษ)</t>
        </is>
      </c>
      <c r="F1782" s="2" t="inlineStr">
        <is>
          <t>พ.ร.บ. ยาเสพติดให้โทษ พ.ศ. 2522 (ยาเสพติดให้โทษประเภท 2 และ 3)</t>
        </is>
      </c>
      <c r="G1782" s="2" t="inlineStr">
        <is>
          <t>พ.ร.บ. วัตถุที่ออกฤทธิ์ต่อจิตและประสาท พ.ศ. 2559 (ประเภท 2 และ 4)</t>
        </is>
      </c>
      <c r="H1782" s="2" t="inlineStr">
        <is>
          <t>พ.ร.บ. วิชาชีพเภสัชกรรม พ.ศ. 2537 และข้อบังคับจรรยาบรรณวิชาชีพ</t>
        </is>
      </c>
      <c r="I1782" s="8" t="inlineStr">
        <is>
          <t>1</t>
        </is>
      </c>
      <c r="J178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2" s="2" t="n"/>
      <c r="L1782" s="2" t="inlineStr">
        <is>
          <t>Pharmacy Laws &amp; Ethics</t>
        </is>
      </c>
      <c r="M1782" s="2" t="inlineStr">
        <is>
          <t>SAP</t>
        </is>
      </c>
      <c r="N1782" s="2" t="inlineStr">
        <is>
          <t>ข้อ 2 (PLE_CC1_Key_Rx20_UBU.md)</t>
        </is>
      </c>
      <c r="O1782" s="2" t="inlineStr">
        <is>
          <t>Mock</t>
        </is>
      </c>
      <c r="P1782" s="2" t="inlineStr">
        <is>
          <t>Mock Rx20 UBU</t>
        </is>
      </c>
    </row>
    <row r="1783" ht="13.2" customHeight="1" s="37">
      <c r="A1783" s="8" t="inlineStr">
        <is>
          <t>1804</t>
        </is>
      </c>
      <c r="B1783" s="2" t="inlineStr">
        <is>
          <t>D-10-W 135 ml และ D-10-NSS 115 ml ปรับปริมาตรให้ครบ 500 ml</t>
        </is>
      </c>
      <c r="C1783" s="2" t="n"/>
      <c r="D1783" s="2" t="inlineStr">
        <is>
          <t>พ.ร.บ. วัตถุที่ออกฤทธิ์ต่อจิตและประสาท พ.ศ. 2559 (ประเภท 2 และ 4)</t>
        </is>
      </c>
      <c r="E1783" s="2" t="inlineStr">
        <is>
          <t>พ.ร.บ. วิชาชีพเภสัชกรรม พ.ศ. 2537 และข้อบังคับจรรยาบรรณวิชาชีพ</t>
        </is>
      </c>
      <c r="F1783" s="2" t="inlineStr">
        <is>
          <t>พ.ร.บ. ผลิตภัณฑ์สมุนไพร พ.ศ. 2562</t>
        </is>
      </c>
      <c r="G1783" s="2" t="inlineStr">
        <is>
          <t>พ.ร.บ. เครื่องสำอาง พ.ศ. 2558</t>
        </is>
      </c>
      <c r="H1783" s="2" t="inlineStr">
        <is>
          <t>พ.ร.บ. หลักประกันสุขภาพแห่งชาติ พ.ศ. 2545</t>
        </is>
      </c>
      <c r="I1783" s="8" t="inlineStr">
        <is>
          <t>1</t>
        </is>
      </c>
      <c r="J178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3" s="2" t="n"/>
      <c r="L1783" s="2" t="inlineStr">
        <is>
          <t>Pharmacy Laws &amp; Ethics</t>
        </is>
      </c>
      <c r="M1783" s="2" t="inlineStr">
        <is>
          <t>SAP</t>
        </is>
      </c>
      <c r="N1783" s="2" t="inlineStr">
        <is>
          <t>ข้อ 3 (PLE_CC1_Key_Rx20_UBU.md)</t>
        </is>
      </c>
      <c r="O1783" s="2" t="inlineStr">
        <is>
          <t>Mock</t>
        </is>
      </c>
      <c r="P1783" s="2" t="inlineStr">
        <is>
          <t>Mock Rx20 UBU</t>
        </is>
      </c>
    </row>
    <row r="1784" ht="13.2" customHeight="1" s="37">
      <c r="A1784" s="8" t="inlineStr">
        <is>
          <t>1805</t>
        </is>
      </c>
      <c r="B1784" s="2" t="inlineStr">
        <is>
          <t>D-10-W 175 ml และ D-10-NSS 125 ml ปรับปริมาตรให้ครบ 500 ml</t>
        </is>
      </c>
      <c r="C1784" s="2" t="n"/>
      <c r="D1784" s="2" t="inlineStr">
        <is>
          <t>พ.ร.บ. เครื่องสำอาง พ.ศ. 2558</t>
        </is>
      </c>
      <c r="E1784" s="2" t="inlineStr">
        <is>
          <t>พ.ร.บ. หลักประกันสุขภาพแห่งชาติ พ.ศ. 2545</t>
        </is>
      </c>
      <c r="F1784" s="2" t="inlineStr">
        <is>
          <t>การปฏิบัติทางเภสัชกรรมชุมชน (Good Pharmacy Practice: GPP)</t>
        </is>
      </c>
      <c r="G1784" s="2" t="inlineStr">
        <is>
          <t>บัญชียาหลักแห่งชาติ (National List of Essential Medicines: NLEM)</t>
        </is>
      </c>
      <c r="H1784" s="2" t="inlineStr">
        <is>
          <t>เกณฑ์จริยธรรมว่าด้วยการส่งเสริมการขายยาของกระทรวงสาธารณสุข</t>
        </is>
      </c>
      <c r="I1784" s="8" t="inlineStr">
        <is>
          <t>1</t>
        </is>
      </c>
      <c r="J178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4" s="2" t="n"/>
      <c r="L1784" s="2" t="inlineStr">
        <is>
          <t>Pharmacy Laws &amp; Ethics</t>
        </is>
      </c>
      <c r="M1784" s="2" t="inlineStr">
        <is>
          <t>SAP</t>
        </is>
      </c>
      <c r="N1784" s="2" t="inlineStr">
        <is>
          <t>ข้อ 4 (PLE_CC1_Key_Rx20_UBU.md)</t>
        </is>
      </c>
      <c r="O1784" s="2" t="inlineStr">
        <is>
          <t>Mock</t>
        </is>
      </c>
      <c r="P1784" s="2" t="inlineStr">
        <is>
          <t>Mock Rx20 UBU</t>
        </is>
      </c>
    </row>
    <row r="1785" ht="13.2" customHeight="1" s="37">
      <c r="A1785" s="8" t="inlineStr">
        <is>
          <t>1806</t>
        </is>
      </c>
      <c r="B1785" s="2" t="inlineStr">
        <is>
          <t>เป็นการโฆษณาที่อวดอ้างเกินจริง</t>
        </is>
      </c>
      <c r="C1785" s="2" t="n"/>
      <c r="D1785" s="2" t="inlineStr">
        <is>
          <t>Sodium thiosulfate 25% 50 mL IV</t>
        </is>
      </c>
      <c r="E1785" s="2" t="inlineStr">
        <is>
          <t>Calcium disodium EDTA 1 g IV</t>
        </is>
      </c>
      <c r="F1785" s="2" t="inlineStr">
        <is>
          <t>Desferrioxamine 1 g IM/IV</t>
        </is>
      </c>
      <c r="G1785" s="2" t="inlineStr">
        <is>
          <t>Dimercaprol (BAL) 3 mg/kg IM</t>
        </is>
      </c>
      <c r="H1785" s="2" t="inlineStr">
        <is>
          <t>Ethanol 10% IV infusion for Methanol poisoning</t>
        </is>
      </c>
      <c r="I1785" s="8" t="inlineStr">
        <is>
          <t>1</t>
        </is>
      </c>
      <c r="J17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85" s="2" t="n"/>
      <c r="L1785" s="2" t="inlineStr">
        <is>
          <t>General Therapeutics</t>
        </is>
      </c>
      <c r="M1785" s="2" t="inlineStr">
        <is>
          <t>Clinic</t>
        </is>
      </c>
      <c r="N1785" s="2" t="inlineStr">
        <is>
          <t>ข้อ 1 (PLE_CC1_Key_Rx20_UBU.md)</t>
        </is>
      </c>
      <c r="O1785" s="2" t="inlineStr">
        <is>
          <t>Mock</t>
        </is>
      </c>
      <c r="P1785" s="2" t="inlineStr">
        <is>
          <t>Mock Rx20 UBU</t>
        </is>
      </c>
    </row>
    <row r="1786" ht="13.2" customHeight="1" s="37">
      <c r="A1786" s="8" t="inlineStr">
        <is>
          <t>1807</t>
        </is>
      </c>
      <c r="B1786" s="2" t="inlineStr">
        <is>
          <t>เป็นการโฆษณาที่แสดงสรรพคุณเกินจริง</t>
        </is>
      </c>
      <c r="C1786" s="2" t="n"/>
      <c r="D1786" s="2" t="inlineStr">
        <is>
          <t>Dimercaprol (BAL) 3 mg/kg IM</t>
        </is>
      </c>
      <c r="E1786" s="2" t="inlineStr">
        <is>
          <t>Ethanol 10% IV infusion for Methanol poisoning</t>
        </is>
      </c>
      <c r="F1786" s="2" t="inlineStr">
        <is>
          <t>Fomepizole 15 mg/kg IV loading</t>
        </is>
      </c>
      <c r="G1786" s="2" t="inlineStr">
        <is>
          <t>N-acetylcysteine (NAC) IV infusion protocol</t>
        </is>
      </c>
      <c r="H1786" s="2" t="inlineStr">
        <is>
          <t>Atropine sulfate 2 mg IV Q5-10 min</t>
        </is>
      </c>
      <c r="I1786" s="8" t="inlineStr">
        <is>
          <t>1</t>
        </is>
      </c>
      <c r="J17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86" s="2" t="n"/>
      <c r="L1786" s="2" t="inlineStr">
        <is>
          <t>General Therapeutics</t>
        </is>
      </c>
      <c r="M1786" s="2" t="inlineStr">
        <is>
          <t>Clinic</t>
        </is>
      </c>
      <c r="N1786" s="2" t="inlineStr">
        <is>
          <t>ข้อ 2 (PLE_CC1_Key_Rx20_UBU.md)</t>
        </is>
      </c>
      <c r="O1786" s="2" t="inlineStr">
        <is>
          <t>Mock</t>
        </is>
      </c>
      <c r="P1786" s="2" t="inlineStr">
        <is>
          <t>Mock Rx20 UBU</t>
        </is>
      </c>
    </row>
    <row r="1787" ht="13.2" customHeight="1" s="37">
      <c r="A1787" s="8" t="inlineStr">
        <is>
          <t>1808</t>
        </is>
      </c>
      <c r="B1787" s="2" t="inlineStr">
        <is>
          <t>มีการรับรองจากบุคคลอื่น</t>
        </is>
      </c>
      <c r="C1787" s="2" t="n"/>
      <c r="D1787" s="2" t="inlineStr">
        <is>
          <t>N-acetylcysteine (NAC) IV infusion protocol</t>
        </is>
      </c>
      <c r="E1787" s="2" t="inlineStr">
        <is>
          <t>Atropine sulfate 2 mg IV Q5-10 min</t>
        </is>
      </c>
      <c r="F1787" s="2" t="inlineStr">
        <is>
          <t>Pralidoxime (2-PAM) 1-2 g IV over 30 min</t>
        </is>
      </c>
      <c r="G1787" s="2" t="inlineStr">
        <is>
          <t>Naloxone 0.4 mg IV stat</t>
        </is>
      </c>
      <c r="H1787" s="2" t="inlineStr">
        <is>
          <t>Flumazenil 0.2 mg IV stat</t>
        </is>
      </c>
      <c r="I1787" s="8" t="inlineStr">
        <is>
          <t>1</t>
        </is>
      </c>
      <c r="J17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87" s="2" t="n"/>
      <c r="L1787" s="2" t="inlineStr">
        <is>
          <t>General Therapeutics</t>
        </is>
      </c>
      <c r="M1787" s="2" t="inlineStr">
        <is>
          <t>Clinic</t>
        </is>
      </c>
      <c r="N1787" s="2" t="inlineStr">
        <is>
          <t>ข้อ 3 (PLE_CC1_Key_Rx20_UBU.md)</t>
        </is>
      </c>
      <c r="O1787" s="2" t="inlineStr">
        <is>
          <t>Mock</t>
        </is>
      </c>
      <c r="P1787" s="2" t="inlineStr">
        <is>
          <t>Mock Rx20 UBU</t>
        </is>
      </c>
    </row>
    <row r="1788" ht="13.2" customHeight="1" s="37">
      <c r="A1788" s="8" t="inlineStr">
        <is>
          <t>1809</t>
        </is>
      </c>
      <c r="B1788" s="2" t="inlineStr">
        <is>
          <t>โฆษณายาที่เป็นยาอันตราย/ยาควบคุมพิเศษ</t>
        </is>
      </c>
      <c r="C1788" s="2" t="n"/>
      <c r="D1788" s="2" t="inlineStr">
        <is>
          <t>การปฏิบัติทางเภสัชกรรมชุมชน (Good Pharmacy Practice: GPP)</t>
        </is>
      </c>
      <c r="E1788" s="2" t="inlineStr">
        <is>
          <t>บัญชียาหลักแห่งชาติ (National List of Essential Medicines: NLEM)</t>
        </is>
      </c>
      <c r="F1788" s="2" t="inlineStr">
        <is>
          <t>เกณฑ์จริยธรรมว่าด้วยการส่งเสริมการขายยาของกระทรวงสาธารณสุข</t>
        </is>
      </c>
      <c r="G1788" s="2" t="inlineStr">
        <is>
          <t>พ.ร.บ. ยา พ.ศ. 2510 (การจำหน่ายยาอันตรายและยาควบคุมพิเศษ)</t>
        </is>
      </c>
      <c r="H1788" s="2" t="inlineStr">
        <is>
          <t>พ.ร.บ. ยาเสพติดให้โทษ พ.ศ. 2522 (ยาเสพติดให้โทษประเภท 2 และ 3)</t>
        </is>
      </c>
      <c r="I1788" s="8" t="inlineStr">
        <is>
          <t>1</t>
        </is>
      </c>
      <c r="J178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8" s="2" t="n"/>
      <c r="L1788" s="2" t="inlineStr">
        <is>
          <t>Pharmacy Laws &amp; Ethics</t>
        </is>
      </c>
      <c r="M1788" s="2" t="inlineStr">
        <is>
          <t>SAP</t>
        </is>
      </c>
      <c r="N1788" s="2" t="inlineStr">
        <is>
          <t>ข้อ 4 (PLE_CC1_Key_Rx20_UBU.md)</t>
        </is>
      </c>
      <c r="O1788" s="2" t="inlineStr">
        <is>
          <t>Mock</t>
        </is>
      </c>
      <c r="P1788" s="2" t="inlineStr">
        <is>
          <t>Mock Rx20 UBU</t>
        </is>
      </c>
    </row>
    <row r="1789" ht="13.2" customHeight="1" s="37">
      <c r="A1789" s="8" t="inlineStr">
        <is>
          <t>1810</t>
        </is>
      </c>
      <c r="B1789" s="2" t="inlineStr">
        <is>
          <t>โฆษณายาที่รักษาโรคตามรัฐมนตรีประกาศต้องห้าม ตาCD กก'อ ข ไ/ 0บรอง ข ข = )ด+เตาจ - 91 ชนยาแผนโบราณ ตอบ 4. โฆษณายาที่เป็นยาอันตราย/ยาควบคุมพิเศษ</t>
        </is>
      </c>
      <c r="C1789" s="2" t="n"/>
      <c r="D1789" s="2" t="inlineStr">
        <is>
          <t>เป็นการโฆษณาที่อวดอ้างเกินจริง : ผิด พรบยา ม.๘๘(๑)</t>
        </is>
      </c>
      <c r="E1789" s="2" t="inlineStr">
        <is>
          <t>เป็นการโฆษณาที่แสดงสรรพคุณเกินจริง : ผิด พรบยา ม.๘๘(๒)</t>
        </is>
      </c>
      <c r="F1789" s="2" t="inlineStr">
        <is>
          <t>มีการรับรองจากบุคคลอื่น : ผิด พรบยา ม.๘๘(๗)</t>
        </is>
      </c>
      <c r="G1789" s="2" t="inlineStr">
        <is>
          <t>โฆษณายาที่เป็นยาอันตราย/ยาควบคุมพิเศษ : ไม่ผิด เนื่องจากไม่ได้ระบุว่ายาลูกกลอน A จัดเป็นยาประเภทใดตามกฏหมาย</t>
        </is>
      </c>
      <c r="H1789" s="2" t="inlineStr">
        <is>
          <t>โฆษณายาที่รักษาโรคตามรัฐมนตรีประกาศต้องห้าม : ผิด พรบยา ม.๘๘(๘) พ.ร.บ.ยา พ.ศ.2510 มาตรา 77 ให้รัฐมนตรีมีอำนาจประกาศในราชกิจจานุเบกษาระบุโรคหรืออาการของโรคที่ห้ามโฆษณาว่าสามารถใช้บำบัด บรรเทา รักษา หรือป้องกันโรค หรืออาการของโรคนั้นได้ ซึ่งได้มีประกาศกระทรวงสาธารณสุข เรื่อง โรคหรืออาการของโรคที่ห้ามโฆษณายาว่าสามารถบำบัด บรรเทา รักษาหรือป้องกัน (ราชกิจจานุเบกษา เล่ม 94 ตอนที่ 13 ลงวันที่ 22 กุมภาพันธ์ 2520) กำหนดโรคหรืออาการของโรคที่ห้ามโฆษณา คือ (1) เบาหวาน (2) มะเร็ง (3) อัมพาต (4) วัณโรค (5) โรคเรื้อน (6) โรคหรืออาการโรคของสมอง หัวใจ ปอด ตับ ม้าม ไต กรณีศึกษาที่ 8 TB หญิงอายุ 30 ปี น้ำหนัก 40 kg เป็นผู้ป่วยใหม่วัณโรค ได้รับยาสูตร 2HRZE/4HR รายการยาที่ผู้ป่วยได้รับในเดือนที่ 1 มีดังนี้</t>
        </is>
      </c>
      <c r="I1789" s="8" t="inlineStr">
        <is>
          <t>1</t>
        </is>
      </c>
      <c r="J1789" s="2" t="inlineStr">
        <is>
          <t>✅ คำตอบที่ถูกต้อง: ข้อ ก. เป็นการโฆษณาที่อวดอ้างเกินจริง : ผิด พรบยา ม.๘๘(๑)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เป็นการโฆษณาที่อวดอ้างเกินจริง : ผิด พรบยา ม.๘๘(๑) 💡 คำอธิบายและข้อกำหนดทางกฎหมาย:
💡 คำอธิบายและข้อกำหนดทางกฎหมาย:
การเลือก เป็นการโฆษณาที่อวดอ้างเกินจริง : ผิด พรบยา ม.๘๘(๑)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(เป็นการโฆษณาที่แสดงสรรพคุณเกินจริง : ผิด พรบยา ม.๘๘(๒)): ข้อนี้ไม่ใช่คำตอบที่ถูกต้องสำหรับภาวะ Pharmacy Laws &amp; Ethics เนื่องจากกลไกการออกฤทธิ์, efficacy หรือข้อบ่งใช้ไม่ตรงกับโจทย์ที่กำหนด
• ข้อ ค. (มีการรับรองจากบุคคลอื่น : ผิด พรบยา ม.๘๘(๗)): ข้อนี้ไม่ใช่คำตอบที่ถูกต้องสำหรับภาวะ Pharmacy Laws &amp; Ethics เนื่องจากกลไกการออกฤทธิ์, efficacy หรือข้อบ่งใช้ไม่ตรงกับโจทย์ที่กำหนด
• ข้อ ง. (โฆษณายาที่เป็นยาอันตราย/ยาควบคุมพิเศษ : ไม่ผิด เนื่องจากไม่ได้ระบุว่ายาลูกกลอน A จัดเป็นยาประเภทใดตามกฏหมาย):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(โฆษณายาที่รักษาโรคตามรัฐมนตรีประกาศต้องห้าม : ผิด พรบยา ม.๘๘(๘) พ.ร.บ.ยา พ.ศ.2510 มาตรา 77 ให้รัฐมนตรีมีอำนาจประกาศในราชกิจจานุเบกษาระบุโรคหรืออาการของโรคที่ห้ามโฆษณาว่าสามารถใช้บำบัด บรรเทา รักษา หรือป้องกันโรค หรืออาการของโรคนั้นได้ ซึ่งได้มีประกาศกระทรวงสาธารณสุข เรื่อง โรคหรืออาการของโรคที่ห้ามโฆษณายาว่าสามารถบำบัด บรรเทา รักษาหรือป้องกัน (ราชกิจจานุเบกษา เล่ม 94 ตอนที่ 13 ลงวันที่ 22 กุมภาพันธ์ 2520) กำหนดโรคหรืออาการของโรคที่ห้ามโฆษณา คือ (1) เบาหวาน (2) มะเร็ง (3) อัมพาต (4) วัณโรค (5) โรคเรื้อน (6) โรคหรืออาการโรคของสมอง หัวใจ ปอด ตับ ม้าม ไต กรณีศึกษาที่ 8 TB หญิงอายุ 30 ปี น้ำหนัก 40 kg เป็นผู้ป่วยใหม่วัณโรค ได้รับยาสูตร 2HRZE/4HR รายการยาที่ผู้ป่วยได้รับในเดือนที่ 1 มีดังนี้):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9" s="2" t="n"/>
      <c r="L1789" s="2" t="inlineStr">
        <is>
          <t>Pharmacy Laws &amp; Ethics</t>
        </is>
      </c>
      <c r="M1789" s="2" t="inlineStr">
        <is>
          <t>SAP</t>
        </is>
      </c>
      <c r="N1789" s="2" t="inlineStr">
        <is>
          <t>ข้อ 5 (PLE_CC1_Key_Rx20_UBU.md)</t>
        </is>
      </c>
      <c r="O1789" s="2" t="inlineStr">
        <is>
          <t>Mock</t>
        </is>
      </c>
      <c r="P1789" s="2" t="inlineStr">
        <is>
          <t>Mock Rx20 UBU</t>
        </is>
      </c>
    </row>
    <row r="1790" ht="13.2" customHeight="1" s="37">
      <c r="A1790" s="8" t="inlineStr">
        <is>
          <t>1811</t>
        </is>
      </c>
      <c r="B1790" s="2" t="inlineStr">
        <is>
          <t>White blood cell count</t>
        </is>
      </c>
      <c r="C1790" s="2" t="n"/>
      <c r="D1790" s="2" t="inlineStr">
        <is>
          <t>Dimercaprol (BAL) 3 mg/kg IM</t>
        </is>
      </c>
      <c r="E1790" s="2" t="inlineStr">
        <is>
          <t>Ethanol 10% IV infusion for Methanol poisoning</t>
        </is>
      </c>
      <c r="F1790" s="2" t="inlineStr">
        <is>
          <t>Fomepizole 15 mg/kg IV loading</t>
        </is>
      </c>
      <c r="G1790" s="2" t="inlineStr">
        <is>
          <t>N-acetylcysteine (NAC) IV infusion protocol</t>
        </is>
      </c>
      <c r="H1790" s="2" t="inlineStr">
        <is>
          <t>Atropine sulfate 2 mg IV Q5-10 min</t>
        </is>
      </c>
      <c r="I1790" s="8" t="inlineStr">
        <is>
          <t>1</t>
        </is>
      </c>
      <c r="J17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0" s="2" t="n"/>
      <c r="L1790" s="2" t="inlineStr">
        <is>
          <t>General Therapeutics</t>
        </is>
      </c>
      <c r="M1790" s="2" t="inlineStr">
        <is>
          <t>Clinic</t>
        </is>
      </c>
      <c r="N1790" s="2" t="inlineStr">
        <is>
          <t>ข้อ 3 (PLE_CC1_Key_Rx20_UBU.md)</t>
        </is>
      </c>
      <c r="O1790" s="2" t="inlineStr">
        <is>
          <t>Mock</t>
        </is>
      </c>
      <c r="P1790" s="2" t="inlineStr">
        <is>
          <t>Mock Rx20 UBU</t>
        </is>
      </c>
    </row>
    <row r="1791" ht="13.2" customHeight="1" s="37">
      <c r="A1791" s="8" t="inlineStr">
        <is>
          <t>1812</t>
        </is>
      </c>
      <c r="B1791" s="2" t="inlineStr">
        <is>
          <t>เพิ่ม metabolism ที่ตับ</t>
        </is>
      </c>
      <c r="C1791" s="2" t="n"/>
      <c r="D1791" s="2" t="inlineStr">
        <is>
          <t>N-acetylcysteine (NAC) IV infusion protocol</t>
        </is>
      </c>
      <c r="E1791" s="2" t="inlineStr">
        <is>
          <t>Atropine sulfate 2 mg IV Q5-10 min</t>
        </is>
      </c>
      <c r="F1791" s="2" t="inlineStr">
        <is>
          <t>Pralidoxime (2-PAM) 1-2 g IV over 30 min</t>
        </is>
      </c>
      <c r="G1791" s="2" t="inlineStr">
        <is>
          <t>Naloxone 0.4 mg IV stat</t>
        </is>
      </c>
      <c r="H1791" s="2" t="inlineStr">
        <is>
          <t>Flumazenil 0.2 mg IV stat</t>
        </is>
      </c>
      <c r="I1791" s="8" t="inlineStr">
        <is>
          <t>1</t>
        </is>
      </c>
      <c r="J17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91" s="2" t="n"/>
      <c r="L1791" s="2" t="inlineStr">
        <is>
          <t>General Therapeutics</t>
        </is>
      </c>
      <c r="M1791" s="2" t="inlineStr">
        <is>
          <t>Clinic</t>
        </is>
      </c>
      <c r="N1791" s="2" t="inlineStr">
        <is>
          <t>ข้อ 1 (PLE_CC1_Key_Rx20_UBU.md)</t>
        </is>
      </c>
      <c r="O1791" s="2" t="inlineStr">
        <is>
          <t>Mock</t>
        </is>
      </c>
      <c r="P1791" s="2" t="inlineStr">
        <is>
          <t>Mock Rx20 UBU</t>
        </is>
      </c>
    </row>
    <row r="1792" ht="13.2" customHeight="1" s="37">
      <c r="A1792" s="8" t="inlineStr">
        <is>
          <t>1813</t>
        </is>
      </c>
      <c r="B1792" s="2" t="inlineStr">
        <is>
          <t>ถูกแย่งจับกับโปรตีนมากขึ้น</t>
        </is>
      </c>
      <c r="C1792" s="2" t="n"/>
      <c r="D1792" s="2" t="inlineStr">
        <is>
          <t>Naloxone 0.4 mg IV stat</t>
        </is>
      </c>
      <c r="E1792" s="2" t="inlineStr">
        <is>
          <t>Flumazenil 0.2 mg IV stat</t>
        </is>
      </c>
      <c r="F1792" s="2" t="inlineStr">
        <is>
          <t>Vitamin K1 (Phytomenadione) 10 mg IV slow</t>
        </is>
      </c>
      <c r="G1792" s="2" t="inlineStr">
        <is>
          <t>Sodium thiosulfate 25% 50 mL IV</t>
        </is>
      </c>
      <c r="H1792" s="2" t="inlineStr">
        <is>
          <t>Calcium disodium EDTA 1 g IV</t>
        </is>
      </c>
      <c r="I1792" s="8" t="inlineStr">
        <is>
          <t>1</t>
        </is>
      </c>
      <c r="J17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92" s="2" t="n"/>
      <c r="L1792" s="2" t="inlineStr">
        <is>
          <t>General Therapeutics</t>
        </is>
      </c>
      <c r="M1792" s="2" t="inlineStr">
        <is>
          <t>Clinic</t>
        </is>
      </c>
      <c r="N1792" s="2" t="inlineStr">
        <is>
          <t>ข้อ 2 (PLE_CC1_Key_Rx20_UBU.md)</t>
        </is>
      </c>
      <c r="O1792" s="2" t="inlineStr">
        <is>
          <t>Mock</t>
        </is>
      </c>
      <c r="P1792" s="2" t="inlineStr">
        <is>
          <t>Mock Rx20 UBU</t>
        </is>
      </c>
    </row>
    <row r="1793" ht="13.2" customHeight="1" s="37">
      <c r="A1793" s="8" t="inlineStr">
        <is>
          <t>1814</t>
        </is>
      </c>
      <c r="B1793" s="2" t="inlineStr">
        <is>
          <t>ลดการดูดซึมที่ทางเดินอาหาร</t>
        </is>
      </c>
      <c r="C1793" s="2" t="n"/>
      <c r="D1793" s="2" t="inlineStr">
        <is>
          <t>Sodium thiosulfate 25% 50 mL IV</t>
        </is>
      </c>
      <c r="E1793" s="2" t="inlineStr">
        <is>
          <t>Calcium disodium EDTA 1 g IV</t>
        </is>
      </c>
      <c r="F1793" s="2" t="inlineStr">
        <is>
          <t>Desferrioxamine 1 g IM/IV</t>
        </is>
      </c>
      <c r="G1793" s="2" t="inlineStr">
        <is>
          <t>Dimercaprol (BAL) 3 mg/kg IM</t>
        </is>
      </c>
      <c r="H1793" s="2" t="inlineStr">
        <is>
          <t>Ethanol 10% IV infusion for Methanol poisoning</t>
        </is>
      </c>
      <c r="I1793" s="8" t="inlineStr">
        <is>
          <t>1</t>
        </is>
      </c>
      <c r="J17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3" s="2" t="n"/>
      <c r="L1793" s="2" t="inlineStr">
        <is>
          <t>General Therapeutics</t>
        </is>
      </c>
      <c r="M1793" s="2" t="inlineStr">
        <is>
          <t>Clinic</t>
        </is>
      </c>
      <c r="N1793" s="2" t="inlineStr">
        <is>
          <t>ข้อ 3 (PLE_CC1_Key_Rx20_UBU.md)</t>
        </is>
      </c>
      <c r="O1793" s="2" t="inlineStr">
        <is>
          <t>Mock</t>
        </is>
      </c>
      <c r="P1793" s="2" t="inlineStr">
        <is>
          <t>Mock Rx20 UBU</t>
        </is>
      </c>
    </row>
    <row r="1794" ht="13.2" customHeight="1" s="37">
      <c r="A1794" s="8" t="inlineStr">
        <is>
          <t>1815</t>
        </is>
      </c>
      <c r="B1794" s="2" t="inlineStr">
        <is>
          <t>เพิ่มการจับกับสารประกอบเชิงซ้อนในทางเดินอาหาร -</t>
        </is>
      </c>
      <c r="C1794" s="2" t="n"/>
      <c r="D1794" s="2" t="inlineStr">
        <is>
          <t>Dimercaprol (BAL) 3 mg/kg IM</t>
        </is>
      </c>
      <c r="E1794" s="2" t="inlineStr">
        <is>
          <t>Ethanol 10% IV infusion for Methanol poisoning</t>
        </is>
      </c>
      <c r="F1794" s="2" t="inlineStr">
        <is>
          <t>Fomepizole 15 mg/kg IV loading</t>
        </is>
      </c>
      <c r="G1794" s="2" t="inlineStr">
        <is>
          <t>N-acetylcysteine (NAC) IV infusion protocol</t>
        </is>
      </c>
      <c r="H1794" s="2" t="inlineStr">
        <is>
          <t>Atropine sulfate 2 mg IV Q5-10 min</t>
        </is>
      </c>
      <c r="I1794" s="8" t="inlineStr">
        <is>
          <t>1</t>
        </is>
      </c>
      <c r="J17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4" s="2" t="n"/>
      <c r="L1794" s="2" t="inlineStr">
        <is>
          <t>General Therapeutics</t>
        </is>
      </c>
      <c r="M1794" s="2" t="inlineStr">
        <is>
          <t>Clinic</t>
        </is>
      </c>
      <c r="N1794" s="2" t="inlineStr">
        <is>
          <t>ข้อ 4 (PLE_CC1_Key_Rx20_UBU.md)</t>
        </is>
      </c>
      <c r="O1794" s="2" t="inlineStr">
        <is>
          <t>Mock</t>
        </is>
      </c>
      <c r="P1794" s="2" t="inlineStr">
        <is>
          <t>Mock Rx20 UBU</t>
        </is>
      </c>
    </row>
    <row r="1795" ht="13.2" customHeight="1" s="37">
      <c r="A1795" s="8" t="inlineStr">
        <is>
          <t>1816</t>
        </is>
      </c>
      <c r="B1795" s="2" t="inlineStr">
        <is>
          <t>หยุดใช้ยาทั้งหมด และทำการทดสอบ skin test เพื่อหาสาเหตุ</t>
        </is>
      </c>
      <c r="C1795" s="2" t="n"/>
      <c r="D1795" s="2" t="inlineStr">
        <is>
          <t>N-acetylcysteine (NAC) IV infusion protocol</t>
        </is>
      </c>
      <c r="E1795" s="2" t="inlineStr">
        <is>
          <t>Atropine sulfate 2 mg IV Q5-10 min</t>
        </is>
      </c>
      <c r="F1795" s="2" t="inlineStr">
        <is>
          <t>Pralidoxime (2-PAM) 1-2 g IV over 30 min</t>
        </is>
      </c>
      <c r="G1795" s="2" t="inlineStr">
        <is>
          <t>Naloxone 0.4 mg IV stat</t>
        </is>
      </c>
      <c r="H1795" s="2" t="inlineStr">
        <is>
          <t>Flumazenil 0.2 mg IV stat</t>
        </is>
      </c>
      <c r="I1795" s="8" t="inlineStr">
        <is>
          <t>1</t>
        </is>
      </c>
      <c r="J17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95" s="2" t="n"/>
      <c r="L1795" s="2" t="inlineStr">
        <is>
          <t>General Therapeutics</t>
        </is>
      </c>
      <c r="M1795" s="2" t="inlineStr">
        <is>
          <t>Clinic</t>
        </is>
      </c>
      <c r="N1795" s="2" t="inlineStr">
        <is>
          <t>ข้อ 4 (PLE_CC1_Key_Rx20_UBU.md)</t>
        </is>
      </c>
      <c r="O1795" s="2" t="inlineStr">
        <is>
          <t>Mock</t>
        </is>
      </c>
      <c r="P1795" s="2" t="inlineStr">
        <is>
          <t>Mock Rx20 UBU</t>
        </is>
      </c>
    </row>
    <row r="1796" ht="13.2" customHeight="1" s="37">
      <c r="A1796" s="8" t="inlineStr">
        <is>
          <t>1817</t>
        </is>
      </c>
      <c r="B1796" s="2" t="inlineStr">
        <is>
          <t>เพิ่มอีก 6 เม็ด โดยมีค่า %Dissolve อยู่ในช่วงที่กำหนด</t>
        </is>
      </c>
      <c r="C1796" s="2" t="n"/>
      <c r="D1796" s="2" t="inlineStr">
        <is>
          <t>Naloxone 0.4 mg IV stat</t>
        </is>
      </c>
      <c r="E1796" s="2" t="inlineStr">
        <is>
          <t>Flumazenil 0.2 mg IV stat</t>
        </is>
      </c>
      <c r="F1796" s="2" t="inlineStr">
        <is>
          <t>Vitamin K1 (Phytomenadione) 10 mg IV slow</t>
        </is>
      </c>
      <c r="G1796" s="2" t="inlineStr">
        <is>
          <t>Sodium thiosulfate 25% 50 mL IV</t>
        </is>
      </c>
      <c r="H1796" s="2" t="inlineStr">
        <is>
          <t>Calcium disodium EDTA 1 g IV</t>
        </is>
      </c>
      <c r="I1796" s="8" t="inlineStr">
        <is>
          <t>1</t>
        </is>
      </c>
      <c r="J17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796" s="2" t="n"/>
      <c r="L1796" s="2" t="inlineStr">
        <is>
          <t>General Therapeutics</t>
        </is>
      </c>
      <c r="M1796" s="2" t="inlineStr">
        <is>
          <t>Clinic</t>
        </is>
      </c>
      <c r="N1796" s="2" t="inlineStr">
        <is>
          <t>ข้อ 2 (PLE_CC1_Key_Rx20_UBU.md)</t>
        </is>
      </c>
      <c r="O1796" s="2" t="inlineStr">
        <is>
          <t>Mock</t>
        </is>
      </c>
      <c r="P1796" s="2" t="inlineStr">
        <is>
          <t>Mock Rx20 UBU</t>
        </is>
      </c>
    </row>
    <row r="1797" ht="13.2" customHeight="1" s="37">
      <c r="A1797" s="8" t="inlineStr">
        <is>
          <t>1818</t>
        </is>
      </c>
      <c r="B1797" s="2" t="inlineStr">
        <is>
          <t>ไม่สามารถดูความคงตัวทางกายภาพของสารได้</t>
        </is>
      </c>
      <c r="C1797" s="2" t="n"/>
      <c r="D1797" s="2" t="inlineStr">
        <is>
          <t>High-Density Polyethylene (HDPE) Container</t>
        </is>
      </c>
      <c r="E1797" s="2" t="inlineStr">
        <is>
          <t>Type I Borosilicate Glass Ampoule</t>
        </is>
      </c>
      <c r="F1797" s="2" t="inlineStr">
        <is>
          <t>Accelerated Stability Testing (40 C / 75% RH)</t>
        </is>
      </c>
      <c r="G1797" s="2" t="inlineStr">
        <is>
          <t>Long-term Stability Testing (30 C / 65% RH)</t>
        </is>
      </c>
      <c r="H1797" s="2" t="inlineStr">
        <is>
          <t>Differential Scanning Calorimetry (DSC) Polymorphism</t>
        </is>
      </c>
      <c r="I1797" s="8" t="inlineStr">
        <is>
          <t>1</t>
        </is>
      </c>
      <c r="J1797" s="2" t="inlineStr">
        <is>
          <t>✅ คำตอบที่ถูกต้อง: ข้อ ก. High-Density Polyethylene (HDPE) Container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High-Density Polyethylene (HDPE) Container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ข้อ ค.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ง.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จ.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7" s="2" t="n"/>
      <c r="L1797" s="2" t="inlineStr">
        <is>
          <t>Preformulation &amp; Stability</t>
        </is>
      </c>
      <c r="M1797" s="2" t="inlineStr">
        <is>
          <t>Product</t>
        </is>
      </c>
      <c r="N1797" s="2" t="inlineStr">
        <is>
          <t>ข้อ 1 (PLE_CC1_Key_Rx20_UBU.md)</t>
        </is>
      </c>
      <c r="O1797" s="2" t="inlineStr">
        <is>
          <t>Mock</t>
        </is>
      </c>
      <c r="P1797" s="2" t="inlineStr">
        <is>
          <t>Mock Rx20 UBU</t>
        </is>
      </c>
    </row>
    <row r="1798" ht="13.2" customHeight="1" s="37">
      <c r="A1798" s="8" t="inlineStr">
        <is>
          <t>1819</t>
        </is>
      </c>
      <c r="B1798" s="2" t="inlineStr">
        <is>
          <t>สาร B คงตัวมากกว่าสาร A</t>
        </is>
      </c>
      <c r="C1798" s="2" t="n"/>
      <c r="D1798" s="2" t="inlineStr">
        <is>
          <t>- ตอบ บรม ส่วนกลุ่มใหม่เลือกมาจากผู้ดูแลที่เข้ารับการอบรมเป็นเวลา 7 วันการศึกษานี้เป็นการศึกษารูปแบบใด</t>
        </is>
      </c>
      <c r="E1798" s="2" t="inlineStr">
        <is>
          <t>Ethanol 10% IV infusion for Methanol poisoning</t>
        </is>
      </c>
      <c r="F1798" s="2" t="inlineStr">
        <is>
          <t>Fomepizole 15 mg/kg IV loading</t>
        </is>
      </c>
      <c r="G1798" s="2" t="inlineStr">
        <is>
          <t>N-acetylcysteine (NAC) IV infusion protocol</t>
        </is>
      </c>
      <c r="H1798" s="2" t="inlineStr">
        <is>
          <t>Atropine sulfate 2 mg IV Q5-10 min</t>
        </is>
      </c>
      <c r="I1798" s="8" t="inlineStr">
        <is>
          <t>1</t>
        </is>
      </c>
      <c r="J1798" s="2" t="inlineStr">
        <is>
          <t>✅ คำตอบที่ถูกต้อง: ข้อ ก. - ตอบ บรม ส่วนกลุ่มใหม่เลือกมาจากผู้ดูแลที่เข้ารับการอบรมเป็นเวลา 7 วันการศึกษานี้เป็นการศึกษารูปแบบใด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 ตอบ บรม ส่วนกลุ่มใหม่เลือกมาจากผู้ดูแลที่เข้ารับการอบรมเป็นเวลา 7 วันการศึกษานี้เป็นการศึกษารูปแบบใด 10.ทำการศึกษาเปรียบเทียบยาใหม่กับการรักษาโรคแบบเก่าโดยมีการใช้ยากลุ่มเก่าโดยผู้ดูแลไม่ได้เข้ารับการอ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8" s="2" t="n"/>
      <c r="L1798" s="2" t="inlineStr">
        <is>
          <t>General Therapeutics</t>
        </is>
      </c>
      <c r="M1798" s="2" t="inlineStr">
        <is>
          <t>Clinic</t>
        </is>
      </c>
      <c r="N1798" s="2" t="inlineStr">
        <is>
          <t>ข้อ 2 (PLE_CC1_Key_Rx20_UBU.md)</t>
        </is>
      </c>
      <c r="O1798" s="2" t="inlineStr">
        <is>
          <t>Mock</t>
        </is>
      </c>
      <c r="P1798" s="2" t="inlineStr">
        <is>
          <t>Mock Rx20 UBU</t>
        </is>
      </c>
    </row>
    <row r="1799" ht="13.2" customHeight="1" s="37">
      <c r="A1799" s="8" t="inlineStr">
        <is>
          <t>1820</t>
        </is>
      </c>
      <c r="B1799" s="2" t="inlineStr">
        <is>
          <t>ตกขาว มีฟอง กลิ่นเหม็น</t>
        </is>
      </c>
      <c r="C1799" s="2" t="n"/>
      <c r="D1799" s="2" t="inlineStr">
        <is>
          <t>N-acetylcysteine (NAC) IV infusion protocol</t>
        </is>
      </c>
      <c r="E1799" s="2" t="inlineStr">
        <is>
          <t>Atropine sulfate 2 mg IV Q5-10 min</t>
        </is>
      </c>
      <c r="F1799" s="2" t="inlineStr">
        <is>
          <t>Pralidoxime (2-PAM) 1-2 g IV over 30 min</t>
        </is>
      </c>
      <c r="G1799" s="2" t="inlineStr">
        <is>
          <t>Naloxone 0.4 mg IV stat</t>
        </is>
      </c>
      <c r="H1799" s="2" t="inlineStr">
        <is>
          <t>Flumazenil 0.2 mg IV stat</t>
        </is>
      </c>
      <c r="I1799" s="8" t="inlineStr">
        <is>
          <t>1</t>
        </is>
      </c>
      <c r="J17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799" s="2" t="n"/>
      <c r="L1799" s="2" t="inlineStr">
        <is>
          <t>General Therapeutics</t>
        </is>
      </c>
      <c r="M1799" s="2" t="inlineStr">
        <is>
          <t>Clinic</t>
        </is>
      </c>
      <c r="N1799" s="2" t="inlineStr">
        <is>
          <t>ข้อ 2 (PLE_CC1_Key_Rx20_UBU.md)</t>
        </is>
      </c>
      <c r="O1799" s="2" t="inlineStr">
        <is>
          <t>Mock</t>
        </is>
      </c>
      <c r="P1799" s="2" t="inlineStr">
        <is>
          <t>Mock Rx20 UBU</t>
        </is>
      </c>
    </row>
    <row r="1800" ht="13.2" customHeight="1" s="37">
      <c r="A1800" s="8" t="inlineStr">
        <is>
          <t>1821</t>
        </is>
      </c>
      <c r="B1800" s="2" t="inlineStr">
        <is>
          <t>ใช้น้ำยาล้างช่องคลอดบ่อย</t>
        </is>
      </c>
      <c r="C1800" s="2" t="n"/>
      <c r="D1800" s="2" t="inlineStr">
        <is>
          <t>Naloxone 0.4 mg IV stat</t>
        </is>
      </c>
      <c r="E1800" s="2" t="inlineStr">
        <is>
          <t>Flumazenil 0.2 mg IV stat</t>
        </is>
      </c>
      <c r="F1800" s="2" t="inlineStr">
        <is>
          <t>Vitamin K1 (Phytomenadione) 10 mg IV slow</t>
        </is>
      </c>
      <c r="G1800" s="2" t="inlineStr">
        <is>
          <t>Sodium thiosulfate 25% 50 mL IV</t>
        </is>
      </c>
      <c r="H1800" s="2" t="inlineStr">
        <is>
          <t>Calcium disodium EDTA 1 g IV</t>
        </is>
      </c>
      <c r="I1800" s="8" t="inlineStr">
        <is>
          <t>1</t>
        </is>
      </c>
      <c r="J18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00" s="2" t="n"/>
      <c r="L1800" s="2" t="inlineStr">
        <is>
          <t>General Therapeutics</t>
        </is>
      </c>
      <c r="M1800" s="2" t="inlineStr">
        <is>
          <t>Clinic</t>
        </is>
      </c>
      <c r="N1800" s="2" t="inlineStr">
        <is>
          <t>ข้อ 4 (PLE_CC1_Key_Rx20_UBU.md)</t>
        </is>
      </c>
      <c r="O1800" s="2" t="inlineStr">
        <is>
          <t>Mock</t>
        </is>
      </c>
      <c r="P1800" s="2" t="inlineStr">
        <is>
          <t>Mock Rx20 UBU</t>
        </is>
      </c>
    </row>
    <row r="1801" ht="13.2" customHeight="1" s="37">
      <c r="A1801" s="8" t="inlineStr">
        <is>
          <t>1822</t>
        </is>
      </c>
      <c r="B1801" s="2" t="inlineStr">
        <is>
          <t>Ciprofloxacin ตอบ Metronidazole ตามแนวทางการรักษาสามารถใช้ยาได้ดังนี้ - Metronidazole 500 mg BID 7 วัน - Metronidazole 2 g single dose - Tinidazole 2 g hs</t>
        </is>
      </c>
      <c r="C1801" s="2" t="n"/>
      <c r="D1801" s="2" t="inlineStr">
        <is>
          <t>Metronidazole 400 mg TID</t>
        </is>
      </c>
      <c r="E1801" s="2" t="inlineStr">
        <is>
          <t>Nitrofurantoin 100 mg BID</t>
        </is>
      </c>
      <c r="F1801" s="2" t="inlineStr">
        <is>
          <t>Tenofovir/Emtricitabine 300/200 mg OD</t>
        </is>
      </c>
      <c r="G1801" s="2" t="inlineStr">
        <is>
          <t>Dolutegravir 50 mg OD</t>
        </is>
      </c>
      <c r="H1801" s="2" t="inlineStr">
        <is>
          <t>Vancomycin 1 g IV Q12H</t>
        </is>
      </c>
      <c r="I1801" s="8" t="inlineStr">
        <is>
          <t>1</t>
        </is>
      </c>
      <c r="J1801" s="2" t="inlineStr">
        <is>
          <t>✅ คำตอบที่ถูกต้อง: ข้อ ก. Metronidazole 400 mg TID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801" s="2" t="n"/>
      <c r="L1801" s="2" t="inlineStr">
        <is>
          <t>Infectious Diseases</t>
        </is>
      </c>
      <c r="M1801" s="2" t="inlineStr">
        <is>
          <t>Clinic</t>
        </is>
      </c>
      <c r="N1801" s="2" t="inlineStr">
        <is>
          <t>ข้อ 5 (PLE_CC1_Key_Rx20_UBU.md)</t>
        </is>
      </c>
      <c r="O1801" s="2" t="inlineStr">
        <is>
          <t>Mock</t>
        </is>
      </c>
      <c r="P1801" s="2" t="inlineStr">
        <is>
          <t>Mock Rx20 UBU</t>
        </is>
      </c>
    </row>
    <row r="1802" ht="13.2" customHeight="1" s="37">
      <c r="A1802" s="8" t="inlineStr">
        <is>
          <t>1823</t>
        </is>
      </c>
      <c r="B1802" s="2" t="inlineStr">
        <is>
          <t>จับกับ ribosome ยับยั้งการสร้างโปรตีน</t>
        </is>
      </c>
      <c r="C1802" s="2" t="n"/>
      <c r="D1802" s="2" t="inlineStr">
        <is>
          <t>Dimercaprol (BAL) 3 mg/kg IM</t>
        </is>
      </c>
      <c r="E1802" s="2" t="inlineStr">
        <is>
          <t>Ethanol 10% IV infusion for Methanol poisoning</t>
        </is>
      </c>
      <c r="F1802" s="2" t="inlineStr">
        <is>
          <t>Fomepizole 15 mg/kg IV loading</t>
        </is>
      </c>
      <c r="G1802" s="2" t="inlineStr">
        <is>
          <t>N-acetylcysteine (NAC) IV infusion protocol</t>
        </is>
      </c>
      <c r="H1802" s="2" t="inlineStr">
        <is>
          <t>Atropine sulfate 2 mg IV Q5-10 min</t>
        </is>
      </c>
      <c r="I1802" s="8" t="inlineStr">
        <is>
          <t>1</t>
        </is>
      </c>
      <c r="J18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2" s="2" t="n"/>
      <c r="L1802" s="2" t="inlineStr">
        <is>
          <t>General Therapeutics</t>
        </is>
      </c>
      <c r="M1802" s="2" t="inlineStr">
        <is>
          <t>Clinic</t>
        </is>
      </c>
      <c r="N1802" s="2" t="inlineStr">
        <is>
          <t>ข้อ 1 (PLE_CC1_Key_Rx20_UBU.md)</t>
        </is>
      </c>
      <c r="O1802" s="2" t="inlineStr">
        <is>
          <t>Mock</t>
        </is>
      </c>
      <c r="P1802" s="2" t="inlineStr">
        <is>
          <t>Mock Rx20 UBU</t>
        </is>
      </c>
    </row>
    <row r="1803" ht="13.2" customHeight="1" s="37">
      <c r="A1803" s="8" t="inlineStr">
        <is>
          <t>1824</t>
        </is>
      </c>
      <c r="B1803" s="2" t="inlineStr">
        <is>
          <t>ยับยั้งการสร้างกรดไขมันของผนังเซลล์แบคทีเรีย</t>
        </is>
      </c>
      <c r="C1803" s="2" t="n"/>
      <c r="D1803" s="2" t="inlineStr">
        <is>
          <t>N-acetylcysteine (NAC) IV infusion protocol</t>
        </is>
      </c>
      <c r="E1803" s="2" t="inlineStr">
        <is>
          <t>Atropine sulfate 2 mg IV Q5-10 min</t>
        </is>
      </c>
      <c r="F1803" s="2" t="inlineStr">
        <is>
          <t>Pralidoxime (2-PAM) 1-2 g IV over 30 min</t>
        </is>
      </c>
      <c r="G1803" s="2" t="inlineStr">
        <is>
          <t>Naloxone 0.4 mg IV stat</t>
        </is>
      </c>
      <c r="H1803" s="2" t="inlineStr">
        <is>
          <t>Flumazenil 0.2 mg IV stat</t>
        </is>
      </c>
      <c r="I1803" s="8" t="inlineStr">
        <is>
          <t>1</t>
        </is>
      </c>
      <c r="J18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03" s="2" t="n"/>
      <c r="L1803" s="2" t="inlineStr">
        <is>
          <t>General Therapeutics</t>
        </is>
      </c>
      <c r="M1803" s="2" t="inlineStr">
        <is>
          <t>Clinic</t>
        </is>
      </c>
      <c r="N1803" s="2" t="inlineStr">
        <is>
          <t>ข้อ 4 (PLE_CC1_Key_Rx20_UBU.md)</t>
        </is>
      </c>
      <c r="O1803" s="2" t="inlineStr">
        <is>
          <t>Mock</t>
        </is>
      </c>
      <c r="P1803" s="2" t="inlineStr">
        <is>
          <t>Mock Rx20 UBU</t>
        </is>
      </c>
    </row>
    <row r="1804" ht="13.2" customHeight="1" s="37">
      <c r="A1804" s="8" t="inlineStr">
        <is>
          <t>1825</t>
        </is>
      </c>
      <c r="B1804" s="2" t="inlineStr">
        <is>
          <t>ควรรับประทานยาก่อนอาหาร</t>
        </is>
      </c>
      <c r="C1804" s="2" t="n"/>
      <c r="D1804" s="2" t="inlineStr">
        <is>
          <t>Naloxone 0.4 mg IV stat</t>
        </is>
      </c>
      <c r="E1804" s="2" t="inlineStr">
        <is>
          <t>Flumazenil 0.2 mg IV stat</t>
        </is>
      </c>
      <c r="F1804" s="2" t="inlineStr">
        <is>
          <t>Vitamin K1 (Phytomenadione) 10 mg IV slow</t>
        </is>
      </c>
      <c r="G1804" s="2" t="inlineStr">
        <is>
          <t>Sodium thiosulfate 25% 50 mL IV</t>
        </is>
      </c>
      <c r="H1804" s="2" t="inlineStr">
        <is>
          <t>Calcium disodium EDTA 1 g IV</t>
        </is>
      </c>
      <c r="I1804" s="8" t="inlineStr">
        <is>
          <t>1</t>
        </is>
      </c>
      <c r="J18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04" s="2" t="n"/>
      <c r="L1804" s="2" t="inlineStr">
        <is>
          <t>General Therapeutics</t>
        </is>
      </c>
      <c r="M1804" s="2" t="inlineStr">
        <is>
          <t>Clinic</t>
        </is>
      </c>
      <c r="N1804" s="2" t="inlineStr">
        <is>
          <t>ข้อ 2 (PLE_CC1_Key_Rx20_UBU.md)</t>
        </is>
      </c>
      <c r="O1804" s="2" t="inlineStr">
        <is>
          <t>Mock</t>
        </is>
      </c>
      <c r="P1804" s="2" t="inlineStr">
        <is>
          <t>Mock Rx20 UBU</t>
        </is>
      </c>
    </row>
    <row r="1805" ht="13.2" customHeight="1" s="37">
      <c r="A1805" s="8" t="inlineStr">
        <is>
          <t>1826</t>
        </is>
      </c>
      <c r="B1805" s="2" t="inlineStr">
        <is>
          <t>ควรรักษาคู่นอนร่วมด้วย</t>
        </is>
      </c>
      <c r="C1805" s="2" t="n"/>
      <c r="D1805" s="2" t="inlineStr">
        <is>
          <t>Sodium thiosulfate 25% 50 mL IV</t>
        </is>
      </c>
      <c r="E1805" s="2" t="inlineStr">
        <is>
          <t>Calcium disodium EDTA 1 g IV</t>
        </is>
      </c>
      <c r="F1805" s="2" t="inlineStr">
        <is>
          <t>Desferrioxamine 1 g IM/IV</t>
        </is>
      </c>
      <c r="G1805" s="2" t="inlineStr">
        <is>
          <t>Dimercaprol (BAL) 3 mg/kg IM</t>
        </is>
      </c>
      <c r="H1805" s="2" t="inlineStr">
        <is>
          <t>Ethanol 10% IV infusion for Methanol poisoning</t>
        </is>
      </c>
      <c r="I1805" s="8" t="inlineStr">
        <is>
          <t>1</t>
        </is>
      </c>
      <c r="J18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5" s="2" t="n"/>
      <c r="L1805" s="2" t="inlineStr">
        <is>
          <t>General Therapeutics</t>
        </is>
      </c>
      <c r="M1805" s="2" t="inlineStr">
        <is>
          <t>Clinic</t>
        </is>
      </c>
      <c r="N1805" s="2" t="inlineStr">
        <is>
          <t>ข้อ 3 (PLE_CC1_Key_Rx20_UBU.md)</t>
        </is>
      </c>
      <c r="O1805" s="2" t="inlineStr">
        <is>
          <t>Mock</t>
        </is>
      </c>
      <c r="P1805" s="2" t="inlineStr">
        <is>
          <t>Mock Rx20 UBU</t>
        </is>
      </c>
    </row>
    <row r="1806" ht="13.2" customHeight="1" s="37">
      <c r="A1806" s="8" t="inlineStr">
        <is>
          <t>1827</t>
        </is>
      </c>
      <c r="B1806" s="2" t="inlineStr">
        <is>
          <t>ควรดื่มนมเพื่อเพิ่มการดูดซึมยา</t>
        </is>
      </c>
      <c r="C1806" s="2" t="n"/>
      <c r="D1806" s="2" t="inlineStr">
        <is>
          <t>Dimercaprol (BAL) 3 mg/kg IM</t>
        </is>
      </c>
      <c r="E1806" s="2" t="inlineStr">
        <is>
          <t>Ethanol 10% IV infusion for Methanol poisoning</t>
        </is>
      </c>
      <c r="F1806" s="2" t="inlineStr">
        <is>
          <t>Fomepizole 15 mg/kg IV loading</t>
        </is>
      </c>
      <c r="G1806" s="2" t="inlineStr">
        <is>
          <t>N-acetylcysteine (NAC) IV infusion protocol</t>
        </is>
      </c>
      <c r="H1806" s="2" t="inlineStr">
        <is>
          <t>Atropine sulfate 2 mg IV Q5-10 min</t>
        </is>
      </c>
      <c r="I1806" s="8" t="inlineStr">
        <is>
          <t>1</t>
        </is>
      </c>
      <c r="J18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6" s="2" t="n"/>
      <c r="L1806" s="2" t="inlineStr">
        <is>
          <t>General Therapeutics</t>
        </is>
      </c>
      <c r="M1806" s="2" t="inlineStr">
        <is>
          <t>Clinic</t>
        </is>
      </c>
      <c r="N1806" s="2" t="inlineStr">
        <is>
          <t>ข้อ 4 (PLE_CC1_Key_Rx20_UBU.md)</t>
        </is>
      </c>
      <c r="O1806" s="2" t="inlineStr">
        <is>
          <t>Mock</t>
        </is>
      </c>
      <c r="P1806" s="2" t="inlineStr">
        <is>
          <t>Mock Rx20 UBU</t>
        </is>
      </c>
    </row>
    <row r="1807" ht="13.2" customHeight="1" s="37">
      <c r="A1807" s="8" t="inlineStr">
        <is>
          <t>1828</t>
        </is>
      </c>
      <c r="B1807" s="2" t="inlineStr">
        <is>
          <t>ตอบ 3. ควรรักษาคู่นอนร่วมด้วย เนื่องจากสามารถติดต่อทางเพศสัมพันธ์ได้ หนึ่ง 86-101</t>
        </is>
      </c>
      <c r="C1807" s="2" t="n"/>
      <c r="D1807" s="2" t="inlineStr">
        <is>
          <t>N-acetylcysteine (NAC) IV infusion protocol</t>
        </is>
      </c>
      <c r="E1807" s="2" t="inlineStr">
        <is>
          <t>Atropine sulfate 2 mg IV Q5-10 min</t>
        </is>
      </c>
      <c r="F1807" s="2" t="inlineStr">
        <is>
          <t>Pralidoxime (2-PAM) 1-2 g IV over 30 min</t>
        </is>
      </c>
      <c r="G1807" s="2" t="inlineStr">
        <is>
          <t>Naloxone 0.4 mg IV stat</t>
        </is>
      </c>
      <c r="H1807" s="2" t="inlineStr">
        <is>
          <t>Flumazenil 0.2 mg IV stat</t>
        </is>
      </c>
      <c r="I1807" s="8" t="inlineStr">
        <is>
          <t>1</t>
        </is>
      </c>
      <c r="J18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07" s="2" t="n"/>
      <c r="L1807" s="2" t="inlineStr">
        <is>
          <t>General Therapeutics</t>
        </is>
      </c>
      <c r="M1807" s="2" t="inlineStr">
        <is>
          <t>Clinic</t>
        </is>
      </c>
      <c r="N1807" s="2" t="inlineStr">
        <is>
          <t>ข้อ 5 (PLE_CC1_Key_Rx20_UBU.md)</t>
        </is>
      </c>
      <c r="O1807" s="2" t="inlineStr">
        <is>
          <t>Mock</t>
        </is>
      </c>
      <c r="P1807" s="2" t="inlineStr">
        <is>
          <t>Mock Rx20 UBU</t>
        </is>
      </c>
    </row>
    <row r="1808" ht="13.2" customHeight="1" s="37">
      <c r="A1808" s="8" t="inlineStr">
        <is>
          <t>1829</t>
        </is>
      </c>
      <c r="B1808" s="2" t="inlineStr">
        <is>
          <t>ให้ใช้ยาเดิมต่อไปได้</t>
        </is>
      </c>
      <c r="C1808" s="2" t="n"/>
      <c r="D1808" s="2" t="inlineStr">
        <is>
          <t>Naloxone 0.4 mg IV stat</t>
        </is>
      </c>
      <c r="E1808" s="2" t="inlineStr">
        <is>
          <t>Flumazenil 0.2 mg IV stat</t>
        </is>
      </c>
      <c r="F1808" s="2" t="inlineStr">
        <is>
          <t>Vitamin K1 (Phytomenadione) 10 mg IV slow</t>
        </is>
      </c>
      <c r="G1808" s="2" t="inlineStr">
        <is>
          <t>Sodium thiosulfate 25% 50 mL IV</t>
        </is>
      </c>
      <c r="H1808" s="2" t="inlineStr">
        <is>
          <t>Calcium disodium EDTA 1 g IV</t>
        </is>
      </c>
      <c r="I1808" s="8" t="inlineStr">
        <is>
          <t>1</t>
        </is>
      </c>
      <c r="J18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08" s="2" t="n"/>
      <c r="L1808" s="2" t="inlineStr">
        <is>
          <t>General Therapeutics</t>
        </is>
      </c>
      <c r="M1808" s="2" t="inlineStr">
        <is>
          <t>Clinic</t>
        </is>
      </c>
      <c r="N1808" s="2" t="inlineStr">
        <is>
          <t>ข้อ 1 (PLE_CC1_Key_Rx20_UBU.md)</t>
        </is>
      </c>
      <c r="O1808" s="2" t="inlineStr">
        <is>
          <t>Mock</t>
        </is>
      </c>
      <c r="P1808" s="2" t="inlineStr">
        <is>
          <t>Mock Rx20 UBU</t>
        </is>
      </c>
    </row>
    <row r="1809" ht="13.2" customHeight="1" s="37">
      <c r="A1809" s="8" t="inlineStr">
        <is>
          <t>1830</t>
        </is>
      </c>
      <c r="B1809" s="2" t="inlineStr">
        <is>
          <t>เปลี่ยนเป็นยาเหน็บ</t>
        </is>
      </c>
      <c r="C1809" s="2" t="n"/>
      <c r="D1809" s="2" t="inlineStr">
        <is>
          <t>Simple Syrup USP (85% w/v Sucrose)</t>
        </is>
      </c>
      <c r="E1809" s="2" t="inlineStr">
        <is>
          <t>Elixir with 10-20% Alcohol cosolvent</t>
        </is>
      </c>
      <c r="F1809" s="2" t="inlineStr">
        <is>
          <t>Flocculated Oral Suspension with Xanthan Gum</t>
        </is>
      </c>
      <c r="G1809" s="2" t="inlineStr">
        <is>
          <t>Deflocculated Suspension formulation</t>
        </is>
      </c>
      <c r="H1809" s="2" t="inlineStr">
        <is>
          <t>O/W Emulsion stabilized by Polysorbate 80 / Span 80</t>
        </is>
      </c>
      <c r="I1809" s="8" t="inlineStr">
        <is>
          <t>1</t>
        </is>
      </c>
      <c r="J1809" s="2"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USP/NF, British Pharmacopoeia (BP) &amp; Remington: The Science and Practice of Pharmacy (หัวข้อ Liquid &amp; Semisolids)
Liquid &amp; Semisolids: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Liquid &amp; Semisolids)
🔍 ข้ออื่นผิดเพราะอะไร:
• ข้อ ข. (Elixir with 10-20% Alcohol cosolvent): ข้อนี้ไม่ใช่คำตอบที่ถูกต้องสำหรับภาวะ Liquid &amp; Semisolids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Liquid &amp; Semisolids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Liquid &amp; Semisolids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9" s="2" t="n"/>
      <c r="L1809" s="2" t="inlineStr">
        <is>
          <t>Liquid &amp; Semisolids</t>
        </is>
      </c>
      <c r="M1809" s="2" t="inlineStr">
        <is>
          <t>Product</t>
        </is>
      </c>
      <c r="N1809" s="2" t="inlineStr">
        <is>
          <t>ข้อ 2 (PLE_CC1_Key_Rx20_UBU.md)</t>
        </is>
      </c>
      <c r="O1809" s="2" t="inlineStr">
        <is>
          <t>Mock</t>
        </is>
      </c>
      <c r="P1809" s="2" t="inlineStr">
        <is>
          <t>Mock Rx20 UBU</t>
        </is>
      </c>
    </row>
    <row r="1810" ht="13.2" customHeight="1" s="37">
      <c r="A1810" s="8" t="inlineStr">
        <is>
          <t>1831</t>
        </is>
      </c>
      <c r="B1810" s="2" t="inlineStr">
        <is>
          <t>รักษาเหมือนคนทั่วไป</t>
        </is>
      </c>
      <c r="C1810" s="2" t="n"/>
      <c r="D1810" s="2" t="inlineStr">
        <is>
          <t>Dimercaprol (BAL) 3 mg/kg IM</t>
        </is>
      </c>
      <c r="E1810" s="2" t="inlineStr">
        <is>
          <t>Ethanol 10% IV infusion for Methanol poisoning</t>
        </is>
      </c>
      <c r="F1810" s="2" t="inlineStr">
        <is>
          <t>Fomepizole 15 mg/kg IV loading</t>
        </is>
      </c>
      <c r="G1810" s="2" t="inlineStr">
        <is>
          <t>N-acetylcysteine (NAC) IV infusion protocol</t>
        </is>
      </c>
      <c r="H1810" s="2" t="inlineStr">
        <is>
          <t>Atropine sulfate 2 mg IV Q5-10 min</t>
        </is>
      </c>
      <c r="I1810" s="8" t="inlineStr">
        <is>
          <t>1</t>
        </is>
      </c>
      <c r="J18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0" s="2" t="n"/>
      <c r="L1810" s="2" t="inlineStr">
        <is>
          <t>General Therapeutics</t>
        </is>
      </c>
      <c r="M1810" s="2" t="inlineStr">
        <is>
          <t>Clinic</t>
        </is>
      </c>
      <c r="N1810" s="2" t="inlineStr">
        <is>
          <t>ข้อ 4 (PLE_CC1_Key_Rx20_UBU.md)</t>
        </is>
      </c>
      <c r="O1810" s="2" t="inlineStr">
        <is>
          <t>Mock</t>
        </is>
      </c>
      <c r="P1810" s="2" t="inlineStr">
        <is>
          <t>Mock Rx20 UBU</t>
        </is>
      </c>
    </row>
    <row r="1811" ht="13.2" customHeight="1" s="37">
      <c r="A1811" s="8" t="inlineStr">
        <is>
          <t>1832</t>
        </is>
      </c>
      <c r="B1811" s="2" t="inlineStr">
        <is>
          <t>นำตัวยา Metronidazole ไปละลายใน ethyl alcohol ก่อนเตรียมผสมกับยาพื้น</t>
        </is>
      </c>
      <c r="C1811" s="2" t="n"/>
      <c r="D1811" s="2" t="inlineStr">
        <is>
          <t>Vancomycin 1 g IV Q12H</t>
        </is>
      </c>
      <c r="E1811" s="2" t="inlineStr">
        <is>
          <t>Meropenem 1 g IV Q8H</t>
        </is>
      </c>
      <c r="F1811" s="2" t="inlineStr">
        <is>
          <t>Cefazolin 1 g IV Q8H</t>
        </is>
      </c>
      <c r="G1811" s="2" t="inlineStr">
        <is>
          <t>Amoxicillin/Clavulanate 1 g BID</t>
        </is>
      </c>
      <c r="H1811" s="2" t="inlineStr">
        <is>
          <t>Ceftriaxone 1 g IV OD</t>
        </is>
      </c>
      <c r="I1811" s="8" t="inlineStr">
        <is>
          <t>1</t>
        </is>
      </c>
      <c r="J1811" s="2" t="inlineStr">
        <is>
          <t>✅ คำตอบที่ถูกต้อง: ข้อ ก. Vancomycin 1 g IV Q12H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1811" s="2" t="n"/>
      <c r="L1811" s="2" t="inlineStr">
        <is>
          <t>Infectious Diseases</t>
        </is>
      </c>
      <c r="M1811" s="2" t="inlineStr">
        <is>
          <t>Clinic</t>
        </is>
      </c>
      <c r="N1811" s="2" t="inlineStr">
        <is>
          <t>ข้อ 1 (PLE_CC1_Key_Rx20_UBU.md)</t>
        </is>
      </c>
      <c r="O1811" s="2" t="inlineStr">
        <is>
          <t>Mock</t>
        </is>
      </c>
      <c r="P1811" s="2" t="inlineStr">
        <is>
          <t>Mock Rx20 UBU</t>
        </is>
      </c>
    </row>
    <row r="1812" ht="13.2" customHeight="1" s="37">
      <c r="A1812" s="8" t="inlineStr">
        <is>
          <t>1833</t>
        </is>
      </c>
      <c r="B1812" s="2" t="inlineStr">
        <is>
          <t>PEG 400 เพิ่มความคงตัวในตำรับ</t>
        </is>
      </c>
      <c r="C1812" s="2" t="n"/>
      <c r="D1812" s="2" t="inlineStr">
        <is>
          <t>Moisture Sorption Isotherm analysis</t>
        </is>
      </c>
      <c r="E1812" s="2" t="inlineStr">
        <is>
          <t>Good Manufacturing Practice (GMP PIC/S)</t>
        </is>
      </c>
      <c r="F1812" s="2" t="inlineStr">
        <is>
          <t>Standard Operating Procedure (SOP) Validation</t>
        </is>
      </c>
      <c r="G1812" s="2" t="inlineStr">
        <is>
          <t>High-Density Polyethylene (HDPE) Container</t>
        </is>
      </c>
      <c r="H1812" s="2" t="inlineStr">
        <is>
          <t>Type I Borosilicate Glass Ampoule</t>
        </is>
      </c>
      <c r="I1812" s="8" t="inlineStr">
        <is>
          <t>1</t>
        </is>
      </c>
      <c r="J1812" s="2" t="inlineStr">
        <is>
          <t>✅ คำตอบที่ถูกต้อง: ข้อ ก. Moisture Sorption Isotherm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Moisture Sorption Isotherm analysis 💡 คำอธิบายและเหตุผลทางเภสัชกรรม:
💡 คำอธิบายและเหตุผลทางเภสัชกรรม:
การเลือก Moisture Sorption Isotherm analysis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ข้อ ค.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ง.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ข้อ จ.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12" s="2" t="n"/>
      <c r="L1812" s="2" t="inlineStr">
        <is>
          <t>Preformulation &amp; Stability</t>
        </is>
      </c>
      <c r="M1812" s="2" t="inlineStr">
        <is>
          <t>Product</t>
        </is>
      </c>
      <c r="N1812" s="2" t="inlineStr">
        <is>
          <t>ข้อ 2 (PLE_CC1_Key_Rx20_UBU.md)</t>
        </is>
      </c>
      <c r="O1812" s="2" t="inlineStr">
        <is>
          <t>Mock</t>
        </is>
      </c>
      <c r="P1812" s="2" t="inlineStr">
        <is>
          <t>Mock Rx20 UBU</t>
        </is>
      </c>
    </row>
    <row r="1813" ht="13.2" customHeight="1" s="37">
      <c r="A1813" s="8" t="inlineStr">
        <is>
          <t>1834</t>
        </is>
      </c>
      <c r="B1813" s="2" t="inlineStr">
        <is>
          <t>ผู้ป่วยมาขอซื้อยาให้เพื่อนซึ่งมีอาการคือ ตกขาวเป็นคราบขาวข้น คัน เภสัชควรจ่ายยาอะไรให้กับเพื่อนผู้ป่วย</t>
        </is>
      </c>
      <c r="C1813" s="2" t="n"/>
      <c r="D1813" s="2" t="inlineStr">
        <is>
          <t>Sodium thiosulfate 25% 50 mL IV</t>
        </is>
      </c>
      <c r="E1813" s="2" t="inlineStr">
        <is>
          <t>Calcium disodium EDTA 1 g IV</t>
        </is>
      </c>
      <c r="F1813" s="2" t="inlineStr">
        <is>
          <t>Desferrioxamine 1 g IM/IV</t>
        </is>
      </c>
      <c r="G1813" s="2" t="inlineStr">
        <is>
          <t>Dimercaprol (BAL) 3 mg/kg IM</t>
        </is>
      </c>
      <c r="H1813" s="2" t="inlineStr">
        <is>
          <t>Ethanol 10% IV infusion for Methanol poisoning</t>
        </is>
      </c>
      <c r="I1813" s="8" t="inlineStr">
        <is>
          <t>1</t>
        </is>
      </c>
      <c r="J18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3" s="2" t="n"/>
      <c r="L1813" s="2" t="inlineStr">
        <is>
          <t>General Therapeutics</t>
        </is>
      </c>
      <c r="M1813" s="2" t="inlineStr">
        <is>
          <t>Clinic</t>
        </is>
      </c>
      <c r="N1813" s="2" t="inlineStr">
        <is>
          <t>ข้อ 91 (PLE_CC1_Key_Rx20_UBU.md)</t>
        </is>
      </c>
      <c r="O1813" s="2" t="inlineStr">
        <is>
          <t>Mock</t>
        </is>
      </c>
      <c r="P1813" s="2" t="inlineStr">
        <is>
          <t>Mock Rx20 UBU</t>
        </is>
      </c>
    </row>
    <row r="1814" ht="13.2" customHeight="1" s="37">
      <c r="A1814" s="8" t="inlineStr">
        <is>
          <t>1835</t>
        </is>
      </c>
      <c r="B1814" s="2" t="inlineStr">
        <is>
          <t>Ciprofloxacin</t>
        </is>
      </c>
      <c r="C1814" s="2" t="n"/>
      <c r="D1814" s="2" t="inlineStr">
        <is>
          <t>Metronidazole 400 mg TID</t>
        </is>
      </c>
      <c r="E1814" s="2" t="inlineStr">
        <is>
          <t>Nitrofurantoin 100 mg BID</t>
        </is>
      </c>
      <c r="F1814" s="2" t="inlineStr">
        <is>
          <t>Tenofovir/Emtricitabine 300/200 mg OD</t>
        </is>
      </c>
      <c r="G1814" s="2" t="inlineStr">
        <is>
          <t>Dolutegravir 50 mg OD</t>
        </is>
      </c>
      <c r="H1814" s="2" t="inlineStr">
        <is>
          <t>Vancomycin 1 g IV Q12H</t>
        </is>
      </c>
      <c r="I1814" s="8" t="inlineStr">
        <is>
          <t>3</t>
        </is>
      </c>
      <c r="J1814" s="2" t="inlineStr">
        <is>
          <t>✅ คำตอบที่ถูกต้อง: ข้อ ค. Tenofovir/Emtricitabine 300/200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ก. (Metronidazole 400 mg TID): เป็น antianaerobic และ antiprotozoal agent ยับยั้ง Trichomonas vaginalis, Giardia, Amebiasis, และ anaerobes ห้ามดื่มแอลกอฮอล์ระหว่างใช้ยา (disulfiram-like reaction)
• ข้อ ข. (Nitrofurantoin 100 mg BID): เป็น urinary tract antiseptic สำหรับ uncomplicated cystitis ปลอดภัยในหญิงตั้งครรภ์ (ยกเว้นใกล้คลอด) แต่ contraindication เมื่อ CrCl &lt; 30 mL/min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1814" s="2" t="n"/>
      <c r="L1814" s="2" t="inlineStr">
        <is>
          <t>Infectious Diseases</t>
        </is>
      </c>
      <c r="M1814" s="2" t="inlineStr">
        <is>
          <t>Clinic</t>
        </is>
      </c>
      <c r="N1814" s="2" t="inlineStr">
        <is>
          <t>ข้อ 5 (PLE_CC1_Key_Rx20_UBU.md)</t>
        </is>
      </c>
      <c r="O1814" s="2" t="inlineStr">
        <is>
          <t>Mock</t>
        </is>
      </c>
      <c r="P1814" s="2" t="inlineStr">
        <is>
          <t>Mock Rx20 UBU</t>
        </is>
      </c>
    </row>
    <row r="1815" ht="13.2" customHeight="1" s="37">
      <c r="A1815" s="8" t="inlineStr">
        <is>
          <t>1836</t>
        </is>
      </c>
      <c r="B1815" s="2" t="inlineStr">
        <is>
          <t>ยาภายนอกที่ใช้รักษาอาการดังกล่าว</t>
        </is>
      </c>
      <c r="C1815" s="2" t="n"/>
      <c r="D1815" s="2" t="inlineStr">
        <is>
          <t>N-acetylcysteine (NAC) IV infusion protocol</t>
        </is>
      </c>
      <c r="E1815" s="2" t="inlineStr">
        <is>
          <t>Atropine sulfate 2 mg IV Q5-10 min</t>
        </is>
      </c>
      <c r="F1815" s="2" t="inlineStr">
        <is>
          <t>Pralidoxime (2-PAM) 1-2 g IV over 30 min</t>
        </is>
      </c>
      <c r="G1815" s="2" t="inlineStr">
        <is>
          <t>Naloxone 0.4 mg IV stat</t>
        </is>
      </c>
      <c r="H1815" s="2" t="inlineStr">
        <is>
          <t>Flumazenil 0.2 mg IV stat</t>
        </is>
      </c>
      <c r="I1815" s="8" t="inlineStr">
        <is>
          <t>1</t>
        </is>
      </c>
      <c r="J18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15" s="2" t="n"/>
      <c r="L1815" s="2" t="inlineStr">
        <is>
          <t>General Therapeutics</t>
        </is>
      </c>
      <c r="M1815" s="2" t="inlineStr">
        <is>
          <t>Clinic</t>
        </is>
      </c>
      <c r="N1815" s="2" t="inlineStr">
        <is>
          <t>ข้อ 93 (PLE_CC1_Key_Rx20_UBU.md)</t>
        </is>
      </c>
      <c r="O1815" s="2" t="inlineStr">
        <is>
          <t>Mock</t>
        </is>
      </c>
      <c r="P1815" s="2" t="inlineStr">
        <is>
          <t>Mock Rx20 UBU</t>
        </is>
      </c>
    </row>
    <row r="1816" ht="13.2" customHeight="1" s="37">
      <c r="A1816" s="8" t="inlineStr">
        <is>
          <t>1837</t>
        </is>
      </c>
      <c r="B1816" s="2" t="inlineStr">
        <is>
          <t>สามารถใช้ได้ืทุกข้อ</t>
        </is>
      </c>
      <c r="C1816" s="2" t="n"/>
      <c r="D1816" s="2" t="inlineStr">
        <is>
          <t>Naloxone 0.4 mg IV stat</t>
        </is>
      </c>
      <c r="E1816" s="2" t="inlineStr">
        <is>
          <t>Flumazenil 0.2 mg IV stat</t>
        </is>
      </c>
      <c r="F1816" s="2" t="inlineStr">
        <is>
          <t>Vitamin K1 (Phytomenadione) 10 mg IV slow</t>
        </is>
      </c>
      <c r="G1816" s="2" t="inlineStr">
        <is>
          <t>Sodium thiosulfate 25% 50 mL IV</t>
        </is>
      </c>
      <c r="H1816" s="2" t="inlineStr">
        <is>
          <t>Calcium disodium EDTA 1 g IV</t>
        </is>
      </c>
      <c r="I1816" s="8" t="inlineStr">
        <is>
          <t>3</t>
        </is>
      </c>
      <c r="J1816" s="2" t="inlineStr">
        <is>
          <t>✅ คำตอบที่ถูกต้อง: ข้อ ค. Vitamin K1 (Phytomenadione) 10 mg IV slow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Vitamin K1 (Phytomenadione) 10 mg IV slow การเลือก Vitamin K1 (Phytomenadione) 10 mg IV slow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6" s="2" t="n"/>
      <c r="L1816" s="2" t="inlineStr">
        <is>
          <t>General Therapeutics</t>
        </is>
      </c>
      <c r="M1816" s="2" t="inlineStr">
        <is>
          <t>Clinic</t>
        </is>
      </c>
      <c r="N1816" s="2" t="inlineStr">
        <is>
          <t>ข้อ 5 (PLE_CC1_Key_Rx20_UBU.md)</t>
        </is>
      </c>
      <c r="O1816" s="2" t="inlineStr">
        <is>
          <t>Mock</t>
        </is>
      </c>
      <c r="P1816" s="2" t="inlineStr">
        <is>
          <t>Mock Rx20 UBU</t>
        </is>
      </c>
    </row>
    <row r="1817" ht="13.2" customHeight="1" s="37">
      <c r="A1817" s="8" t="inlineStr">
        <is>
          <t>1838</t>
        </is>
      </c>
      <c r="B1817" s="2" t="inlineStr">
        <is>
          <t>Cyclosporine = C</t>
        </is>
      </c>
      <c r="C1817" s="2" t="n"/>
      <c r="D1817" s="2" t="inlineStr">
        <is>
          <t>Sodium thiosulfate 25% 50 mL IV</t>
        </is>
      </c>
      <c r="E1817" s="2" t="inlineStr">
        <is>
          <t>Calcium disodium EDTA 1 g IV</t>
        </is>
      </c>
      <c r="F1817" s="2" t="inlineStr">
        <is>
          <t>Desferrioxamine 1 g IM/IV</t>
        </is>
      </c>
      <c r="G1817" s="2" t="inlineStr">
        <is>
          <t>Dimercaprol (BAL) 3 mg/kg IM</t>
        </is>
      </c>
      <c r="H1817" s="2" t="inlineStr">
        <is>
          <t>Ethanol 10% IV infusion for Methanol poisoning</t>
        </is>
      </c>
      <c r="I1817" s="8" t="inlineStr">
        <is>
          <t>1</t>
        </is>
      </c>
      <c r="J18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7" s="2" t="n"/>
      <c r="L1817" s="2" t="inlineStr">
        <is>
          <t>General Therapeutics</t>
        </is>
      </c>
      <c r="M1817" s="2" t="inlineStr">
        <is>
          <t>Clinic</t>
        </is>
      </c>
      <c r="N1817" s="2" t="inlineStr">
        <is>
          <t>ข้อ 3 (PLE_CC1_Key_Rx20_UBU.md)</t>
        </is>
      </c>
      <c r="O1817" s="2" t="inlineStr">
        <is>
          <t>Mock</t>
        </is>
      </c>
      <c r="P1817" s="2" t="inlineStr">
        <is>
          <t>Mock Rx20 UBU</t>
        </is>
      </c>
    </row>
    <row r="1818" ht="13.2" customHeight="1" s="37">
      <c r="A1818" s="8" t="inlineStr">
        <is>
          <t>1839</t>
        </is>
      </c>
      <c r="B1818" s="2" t="inlineStr">
        <is>
          <t>ยาใดต่อไปนี้ที่มีผลลดระดับยาในเลือดของยา cyclosporine</t>
        </is>
      </c>
      <c r="C1818" s="2" t="n"/>
      <c r="D1818" s="2" t="inlineStr">
        <is>
          <t>Dimercaprol (BAL) 3 mg/kg IM</t>
        </is>
      </c>
      <c r="E1818" s="2" t="inlineStr">
        <is>
          <t>Ethanol 10% IV infusion for Methanol poisoning</t>
        </is>
      </c>
      <c r="F1818" s="2" t="inlineStr">
        <is>
          <t>Fomepizole 15 mg/kg IV loading</t>
        </is>
      </c>
      <c r="G1818" s="2" t="inlineStr">
        <is>
          <t>N-acetylcysteine (NAC) IV infusion protocol</t>
        </is>
      </c>
      <c r="H1818" s="2" t="inlineStr">
        <is>
          <t>Atropine sulfate 2 mg IV Q5-10 min</t>
        </is>
      </c>
      <c r="I1818" s="8" t="inlineStr">
        <is>
          <t>1</t>
        </is>
      </c>
      <c r="J18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8" s="2" t="n"/>
      <c r="L1818" s="2" t="inlineStr">
        <is>
          <t>General Therapeutics</t>
        </is>
      </c>
      <c r="M1818" s="2" t="inlineStr">
        <is>
          <t>Clinic</t>
        </is>
      </c>
      <c r="N1818" s="2" t="inlineStr">
        <is>
          <t>ข้อ 96 (PLE_CC1_Key_Rx20_UBU.md)</t>
        </is>
      </c>
      <c r="O1818" s="2" t="inlineStr">
        <is>
          <t>Mock</t>
        </is>
      </c>
      <c r="P1818" s="2" t="inlineStr">
        <is>
          <t>Mock Rx20 UBU</t>
        </is>
      </c>
    </row>
    <row r="1819" ht="13.2" customHeight="1" s="37">
      <c r="A1819" s="8" t="inlineStr">
        <is>
          <t>1840</t>
        </is>
      </c>
      <c r="B1819" s="2" t="inlineStr">
        <is>
          <t>Erythromycin</t>
        </is>
      </c>
      <c r="C1819" s="2" t="n"/>
      <c r="D1819" s="2" t="inlineStr">
        <is>
          <t>Tenofovir/Emtricitabine 300/200 mg OD</t>
        </is>
      </c>
      <c r="E1819" s="2" t="inlineStr">
        <is>
          <t>Dolutegravir 50 mg OD</t>
        </is>
      </c>
      <c r="F1819" s="2" t="inlineStr">
        <is>
          <t>Vancomycin 1 g IV Q12H</t>
        </is>
      </c>
      <c r="G1819" s="2" t="inlineStr">
        <is>
          <t>Meropenem 1 g IV Q8H</t>
        </is>
      </c>
      <c r="H1819" s="2" t="inlineStr">
        <is>
          <t>Cefazolin 1 g IV Q8H</t>
        </is>
      </c>
      <c r="I1819" s="8" t="inlineStr">
        <is>
          <t>5</t>
        </is>
      </c>
      <c r="J1819" s="2" t="inlineStr">
        <is>
          <t>✅ คำตอบที่ถูกต้อง: ข้อ จ. Cefazolin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ก. (Tenofovir/Emtricitabine 300/200 mg OD): เป็น Nucleotide reverse transcriptase inhibitor (NRTI) แกนหลักใน HIV และ HBV therapy แต่ TDF ต้องระวัง nephrotoxicity (Fanconi syndrome) และ bone mineral density loss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9" s="2" t="n"/>
      <c r="L1819" s="2" t="inlineStr">
        <is>
          <t>Infectious Diseases</t>
        </is>
      </c>
      <c r="M1819" s="2" t="inlineStr">
        <is>
          <t>Clinic</t>
        </is>
      </c>
      <c r="N1819" s="2" t="inlineStr">
        <is>
          <t>ข้อ 5 (PLE_CC1_Key_Rx20_UBU.md)</t>
        </is>
      </c>
      <c r="O1819" s="2" t="inlineStr">
        <is>
          <t>Mock</t>
        </is>
      </c>
      <c r="P1819" s="2" t="inlineStr">
        <is>
          <t>Mock Rx20 UBU</t>
        </is>
      </c>
    </row>
    <row r="1820" ht="13.2" customHeight="1" s="37">
      <c r="A1820" s="8" t="inlineStr">
        <is>
          <t>1841</t>
        </is>
      </c>
      <c r="B1820" s="2" t="inlineStr">
        <is>
          <t>ยับยั้ง enzyme coxoxygenase</t>
        </is>
      </c>
      <c r="C1820" s="2" t="n"/>
      <c r="D1820" s="2" t="inlineStr">
        <is>
          <t>Naloxone 0.4 mg IV stat</t>
        </is>
      </c>
      <c r="E1820" s="2" t="inlineStr">
        <is>
          <t>Flumazenil 0.2 mg IV stat</t>
        </is>
      </c>
      <c r="F1820" s="2" t="inlineStr">
        <is>
          <t>Vitamin K1 (Phytomenadione) 10 mg IV slow</t>
        </is>
      </c>
      <c r="G1820" s="2" t="inlineStr">
        <is>
          <t>Sodium thiosulfate 25% 50 mL IV</t>
        </is>
      </c>
      <c r="H1820" s="2" t="inlineStr">
        <is>
          <t>Calcium disodium EDTA 1 g IV</t>
        </is>
      </c>
      <c r="I1820" s="8" t="inlineStr">
        <is>
          <t>1</t>
        </is>
      </c>
      <c r="J18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20" s="2" t="n"/>
      <c r="L1820" s="2" t="inlineStr">
        <is>
          <t>General Therapeutics</t>
        </is>
      </c>
      <c r="M1820" s="2" t="inlineStr">
        <is>
          <t>Clinic</t>
        </is>
      </c>
      <c r="N1820" s="2" t="inlineStr">
        <is>
          <t>ข้อ 1 (PLE_CC1_Key_Rx20_UBU.md)</t>
        </is>
      </c>
      <c r="O1820" s="2" t="inlineStr">
        <is>
          <t>Mock</t>
        </is>
      </c>
      <c r="P1820" s="2" t="inlineStr">
        <is>
          <t>Mock Rx20 UBU</t>
        </is>
      </c>
    </row>
    <row r="1821" ht="13.2" customHeight="1" s="37">
      <c r="A1821" s="8" t="inlineStr">
        <is>
          <t>1842</t>
        </is>
      </c>
      <c r="B1821" s="2" t="inlineStr">
        <is>
          <t>ยับยั้งการสังเคราะห์ chloesterol</t>
        </is>
      </c>
      <c r="C1821" s="2" t="n"/>
      <c r="D1821" s="2" t="inlineStr">
        <is>
          <t>Sodium thiosulfate 25% 50 mL IV</t>
        </is>
      </c>
      <c r="E1821" s="2" t="inlineStr">
        <is>
          <t>Calcium disodium EDTA 1 g IV</t>
        </is>
      </c>
      <c r="F1821" s="2" t="inlineStr">
        <is>
          <t>Desferrioxamine 1 g IM/IV</t>
        </is>
      </c>
      <c r="G1821" s="2" t="inlineStr">
        <is>
          <t>Dimercaprol (BAL) 3 mg/kg IM</t>
        </is>
      </c>
      <c r="H1821" s="2" t="inlineStr">
        <is>
          <t>Ethanol 10% IV infusion for Methanol poisoning</t>
        </is>
      </c>
      <c r="I1821" s="8" t="inlineStr">
        <is>
          <t>1</t>
        </is>
      </c>
      <c r="J18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1" s="2" t="n"/>
      <c r="L1821" s="2" t="inlineStr">
        <is>
          <t>General Therapeutics</t>
        </is>
      </c>
      <c r="M1821" s="2" t="inlineStr">
        <is>
          <t>Clinic</t>
        </is>
      </c>
      <c r="N1821" s="2" t="inlineStr">
        <is>
          <t>ข้อ 2 (PLE_CC1_Key_Rx20_UBU.md)</t>
        </is>
      </c>
      <c r="O1821" s="2" t="inlineStr">
        <is>
          <t>Mock</t>
        </is>
      </c>
      <c r="P1821" s="2" t="inlineStr">
        <is>
          <t>Mock Rx20 UBU</t>
        </is>
      </c>
    </row>
    <row r="1822" ht="13.2" customHeight="1" s="37">
      <c r="A1822" s="8" t="inlineStr">
        <is>
          <t>1843</t>
        </is>
      </c>
      <c r="B1822" s="2" t="inlineStr">
        <is>
          <t>ยับยั้ง enzyme phospholipase A2</t>
        </is>
      </c>
      <c r="C1822" s="2" t="n"/>
      <c r="D1822" s="2" t="inlineStr">
        <is>
          <t>Dimercaprol (BAL) 3 mg/kg IM</t>
        </is>
      </c>
      <c r="E1822" s="2" t="inlineStr">
        <is>
          <t>Ethanol 10% IV infusion for Methanol poisoning</t>
        </is>
      </c>
      <c r="F1822" s="2" t="inlineStr">
        <is>
          <t>Fomepizole 15 mg/kg IV loading</t>
        </is>
      </c>
      <c r="G1822" s="2" t="inlineStr">
        <is>
          <t>N-acetylcysteine (NAC) IV infusion protocol</t>
        </is>
      </c>
      <c r="H1822" s="2" t="inlineStr">
        <is>
          <t>Atropine sulfate 2 mg IV Q5-10 min</t>
        </is>
      </c>
      <c r="I1822" s="8" t="inlineStr">
        <is>
          <t>1</t>
        </is>
      </c>
      <c r="J18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2" s="2" t="n"/>
      <c r="L1822" s="2" t="inlineStr">
        <is>
          <t>General Therapeutics</t>
        </is>
      </c>
      <c r="M1822" s="2" t="inlineStr">
        <is>
          <t>Clinic</t>
        </is>
      </c>
      <c r="N1822" s="2" t="inlineStr">
        <is>
          <t>ข้อ 3 (PLE_CC1_Key_Rx20_UBU.md)</t>
        </is>
      </c>
      <c r="O1822" s="2" t="inlineStr">
        <is>
          <t>Mock</t>
        </is>
      </c>
      <c r="P1822" s="2" t="inlineStr">
        <is>
          <t>Mock Rx20 UBU</t>
        </is>
      </c>
    </row>
    <row r="1823" ht="13.2" customHeight="1" s="37">
      <c r="A1823" s="8" t="inlineStr">
        <is>
          <t>1844</t>
        </is>
      </c>
      <c r="B1823" s="2" t="inlineStr">
        <is>
          <t>ออกฤทธิ์เป็น Leukotriene receptor antaginist</t>
        </is>
      </c>
      <c r="C1823" s="2" t="n"/>
      <c r="D1823" s="2" t="inlineStr">
        <is>
          <t>N-acetylcysteine (NAC) IV infusion protocol</t>
        </is>
      </c>
      <c r="E1823" s="2" t="inlineStr">
        <is>
          <t>Atropine sulfate 2 mg IV Q5-10 min</t>
        </is>
      </c>
      <c r="F1823" s="2" t="inlineStr">
        <is>
          <t>Pralidoxime (2-PAM) 1-2 g IV over 30 min</t>
        </is>
      </c>
      <c r="G1823" s="2" t="inlineStr">
        <is>
          <t>Naloxone 0.4 mg IV stat</t>
        </is>
      </c>
      <c r="H1823" s="2" t="inlineStr">
        <is>
          <t>Flumazenil 0.2 mg IV stat</t>
        </is>
      </c>
      <c r="I1823" s="8" t="inlineStr">
        <is>
          <t>4</t>
        </is>
      </c>
      <c r="J1823" s="2" t="inlineStr">
        <is>
          <t>✅ คำตอบที่ถูกต้อง: ข้อ ง.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23" s="2" t="n"/>
      <c r="L1823" s="2" t="inlineStr">
        <is>
          <t>General Therapeutics</t>
        </is>
      </c>
      <c r="M1823" s="2" t="inlineStr">
        <is>
          <t>Clinic</t>
        </is>
      </c>
      <c r="N1823" s="2" t="inlineStr">
        <is>
          <t>ข้อ 5 (PLE_CC1_Key_Rx20_UBU.md)</t>
        </is>
      </c>
      <c r="O1823" s="2" t="inlineStr">
        <is>
          <t>Mock</t>
        </is>
      </c>
      <c r="P1823" s="2" t="inlineStr">
        <is>
          <t>Mock Rx20 UBU</t>
        </is>
      </c>
    </row>
    <row r="1824" ht="13.2" customHeight="1" s="37">
      <c r="A1824" s="8" t="inlineStr">
        <is>
          <t>1845</t>
        </is>
      </c>
      <c r="B1824" s="2" t="inlineStr">
        <is>
          <t>จากโครงสร้าง Beta-sitosterol และ Triamcinolone acetonide สามารถใช้แทนกันเพื่อเป็น anti- inflammatory ได้หรือไม่</t>
        </is>
      </c>
      <c r="C1824" s="2" t="n"/>
      <c r="D1824" s="2" t="inlineStr">
        <is>
          <t>Benzoyl peroxide 2.5% gel</t>
        </is>
      </c>
      <c r="E1824" s="2" t="inlineStr">
        <is>
          <t>Acyclovir 5% cream</t>
        </is>
      </c>
      <c r="F1824" s="2" t="inlineStr">
        <is>
          <t>Silver sulfadiazine 1% cream</t>
        </is>
      </c>
      <c r="G1824" s="2" t="inlineStr">
        <is>
          <t>Cetirizine 10 mg OD</t>
        </is>
      </c>
      <c r="H1824" s="2" t="inlineStr">
        <is>
          <t>Isotretinoin 10 mg OD</t>
        </is>
      </c>
      <c r="I1824" s="8" t="inlineStr">
        <is>
          <t>1</t>
        </is>
      </c>
      <c r="J1824" s="2" t="inlineStr">
        <is>
          <t>✅ คำตอบที่ถูกต้อง: ข้อ ก. Benzoyl peroxide 2.5% gel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(Acyclovir 5% cream): เป็น Guanosine analog ยับยั้ง HSV และ VZV polymerase ต้องดื่มน้ำมากๆ ระหว่างได้ยา IV เพื่อป้องกัน crystal nephropathy และ obstructive AKI
• ข้อ ค.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(Isotretinoin 10 mg OD):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24" s="2" t="n"/>
      <c r="L1824" s="2" t="inlineStr">
        <is>
          <t>Dermatologic Disorders</t>
        </is>
      </c>
      <c r="M1824" s="2" t="inlineStr">
        <is>
          <t>Clinic</t>
        </is>
      </c>
      <c r="N1824" s="2" t="inlineStr">
        <is>
          <t>ข้อ 98 (PLE_CC1_Key_Rx20_UBU.md)</t>
        </is>
      </c>
      <c r="O1824" s="2" t="inlineStr">
        <is>
          <t>Mock</t>
        </is>
      </c>
      <c r="P1824" s="2" t="inlineStr">
        <is>
          <t>Mock Rx20 UBU</t>
        </is>
      </c>
    </row>
    <row r="1825" ht="13.2" customHeight="1" s="37">
      <c r="A1825" s="8" t="inlineStr">
        <is>
          <t>1846</t>
        </is>
      </c>
      <c r="B1825" s="2" t="inlineStr">
        <is>
          <t>ได้ เพราะ Beta-sitosterol เป็น enantiomer ของ Triamcinolone acetonide</t>
        </is>
      </c>
      <c r="C1825" s="2" t="n"/>
      <c r="D1825" s="2" t="inlineStr">
        <is>
          <t>Cetirizine 10 mg OD</t>
        </is>
      </c>
      <c r="E1825" s="2" t="inlineStr">
        <is>
          <t>Isotretinoin 10 mg OD</t>
        </is>
      </c>
      <c r="F1825" s="2" t="inlineStr">
        <is>
          <t>Terbinafine 1% cream</t>
        </is>
      </c>
      <c r="G1825" s="2" t="inlineStr">
        <is>
          <t>Adapalene 0.1% gel</t>
        </is>
      </c>
      <c r="H1825" s="2" t="inlineStr">
        <is>
          <t>Mupirocin 2% ointment</t>
        </is>
      </c>
      <c r="I1825" s="8" t="inlineStr">
        <is>
          <t>1</t>
        </is>
      </c>
      <c r="J1825" s="2" t="inlineStr">
        <is>
          <t>✅ คำตอบที่ถูกต้อง: ข้อ ก. Cetirizine 10 mg OD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ค. (Terbinafine 1% cream): ข้อนี้ไม่ใช่คำตอบที่ถูกต้องสำหรับภาวะ Dermatologic Disorders เนื่องจากกลไกการออกฤทธิ์, efficacy หรือข้อบ่งใช้ไม่ตรงกับโจทย์ที่กำหนด
• ข้อ ง. (Adapalene 0.1% gel): ข้อนี้ไม่ใช่คำตอบที่ถูกต้องสำหรับภาวะ Dermatologic Disorders เนื่องจากกลไกการออกฤทธิ์, efficacy หรือข้อบ่งใช้ไม่ตรงกับโจทย์ที่กำหนด
• ข้อ จ. (Mupirocin 2% ointment):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25" s="2" t="n"/>
      <c r="L1825" s="2" t="inlineStr">
        <is>
          <t>Dermatologic Disorders</t>
        </is>
      </c>
      <c r="M1825" s="2" t="inlineStr">
        <is>
          <t>Clinic</t>
        </is>
      </c>
      <c r="N1825" s="2" t="inlineStr">
        <is>
          <t>ข้อ 1 (PLE_CC1_Key_Rx20_UBU.md)</t>
        </is>
      </c>
      <c r="O1825" s="2" t="inlineStr">
        <is>
          <t>Mock</t>
        </is>
      </c>
      <c r="P1825" s="2" t="inlineStr">
        <is>
          <t>Mock Rx20 UBU</t>
        </is>
      </c>
    </row>
    <row r="1826" ht="13.2" customHeight="1" s="37">
      <c r="A1826" s="8" t="inlineStr">
        <is>
          <t>1847</t>
        </is>
      </c>
      <c r="B1826" s="2" t="inlineStr">
        <is>
          <t>ไม่ได้ เพราะ Beta-sitosterol เป็นสารธรรมชาติชนิด triterpenoid</t>
        </is>
      </c>
      <c r="C1826" s="2" t="n"/>
      <c r="D1826" s="2" t="inlineStr">
        <is>
          <t>Dimercaprol (BAL) 3 mg/kg IM</t>
        </is>
      </c>
      <c r="E1826" s="2" t="inlineStr">
        <is>
          <t>Ethanol 10% IV infusion for Methanol poisoning</t>
        </is>
      </c>
      <c r="F1826" s="2" t="inlineStr">
        <is>
          <t>Fomepizole 15 mg/kg IV loading</t>
        </is>
      </c>
      <c r="G1826" s="2" t="inlineStr">
        <is>
          <t>N-acetylcysteine (NAC) IV infusion protocol</t>
        </is>
      </c>
      <c r="H1826" s="2" t="inlineStr">
        <is>
          <t>Atropine sulfate 2 mg IV Q5-10 min</t>
        </is>
      </c>
      <c r="I1826" s="8" t="inlineStr">
        <is>
          <t>1</t>
        </is>
      </c>
      <c r="J18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6" s="2" t="n"/>
      <c r="L1826" s="2" t="inlineStr">
        <is>
          <t>General Therapeutics</t>
        </is>
      </c>
      <c r="M1826" s="2" t="inlineStr">
        <is>
          <t>Clinic</t>
        </is>
      </c>
      <c r="N1826" s="2" t="inlineStr">
        <is>
          <t>ข้อ 2 (PLE_CC1_Key_Rx20_UBU.md)</t>
        </is>
      </c>
      <c r="O1826" s="2" t="inlineStr">
        <is>
          <t>Mock</t>
        </is>
      </c>
      <c r="P1826" s="2" t="inlineStr">
        <is>
          <t>Mock Rx20 UBU</t>
        </is>
      </c>
    </row>
    <row r="1827" ht="13.2" customHeight="1" s="37">
      <c r="A1827" s="8" t="inlineStr">
        <is>
          <t>1848</t>
        </is>
      </c>
      <c r="B1827" s="2" t="inlineStr">
        <is>
          <t>ได้ เพราะ โครงสร้างหลักเป็น cyclopenta...skeleton เหมือนกัน</t>
        </is>
      </c>
      <c r="C1827" s="2" t="n"/>
      <c r="D1827" s="2" t="inlineStr">
        <is>
          <t>N-acetylcysteine (NAC) IV infusion protocol</t>
        </is>
      </c>
      <c r="E1827" s="2" t="inlineStr">
        <is>
          <t>Atropine sulfate 2 mg IV Q5-10 min</t>
        </is>
      </c>
      <c r="F1827" s="2" t="inlineStr">
        <is>
          <t>Pralidoxime (2-PAM) 1-2 g IV over 30 min</t>
        </is>
      </c>
      <c r="G1827" s="2" t="inlineStr">
        <is>
          <t>Naloxone 0.4 mg IV stat</t>
        </is>
      </c>
      <c r="H1827" s="2" t="inlineStr">
        <is>
          <t>Flumazenil 0.2 mg IV stat</t>
        </is>
      </c>
      <c r="I1827" s="8" t="inlineStr">
        <is>
          <t>1</t>
        </is>
      </c>
      <c r="J18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27" s="2" t="n"/>
      <c r="L1827" s="2" t="inlineStr">
        <is>
          <t>General Therapeutics</t>
        </is>
      </c>
      <c r="M1827" s="2" t="inlineStr">
        <is>
          <t>Clinic</t>
        </is>
      </c>
      <c r="N1827" s="2" t="inlineStr">
        <is>
          <t>ข้อ 3 (PLE_CC1_Key_Rx20_UBU.md)</t>
        </is>
      </c>
      <c r="O1827" s="2" t="inlineStr">
        <is>
          <t>Mock</t>
        </is>
      </c>
      <c r="P1827" s="2" t="inlineStr">
        <is>
          <t>Mock Rx20 UBU</t>
        </is>
      </c>
    </row>
    <row r="1828" ht="13.2" customHeight="1" s="37">
      <c r="A1828" s="8" t="inlineStr">
        <is>
          <t>1849</t>
        </is>
      </c>
      <c r="B1828" s="2" t="inlineStr">
        <is>
          <t>ได้ เพราะ โครงสร้างหลักเหมือนกัน เพียงแต่การเรียงตัว 3 มิติต่างกัน</t>
        </is>
      </c>
      <c r="C1828" s="2" t="n"/>
      <c r="D1828" s="2" t="inlineStr">
        <is>
          <t>Naloxone 0.4 mg IV stat</t>
        </is>
      </c>
      <c r="E1828" s="2" t="inlineStr">
        <is>
          <t>Flumazenil 0.2 mg IV stat</t>
        </is>
      </c>
      <c r="F1828" s="2" t="inlineStr">
        <is>
          <t>Vitamin K1 (Phytomenadione) 10 mg IV slow</t>
        </is>
      </c>
      <c r="G1828" s="2" t="inlineStr">
        <is>
          <t>Sodium thiosulfate 25% 50 mL IV</t>
        </is>
      </c>
      <c r="H1828" s="2" t="inlineStr">
        <is>
          <t>Calcium disodium EDTA 1 g IV</t>
        </is>
      </c>
      <c r="I1828" s="8" t="inlineStr">
        <is>
          <t>1</t>
        </is>
      </c>
      <c r="J18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28" s="2" t="n"/>
      <c r="L1828" s="2" t="inlineStr">
        <is>
          <t>General Therapeutics</t>
        </is>
      </c>
      <c r="M1828" s="2" t="inlineStr">
        <is>
          <t>Clinic</t>
        </is>
      </c>
      <c r="N1828" s="2" t="inlineStr">
        <is>
          <t>ข้อ 4 (PLE_CC1_Key_Rx20_UBU.md)</t>
        </is>
      </c>
      <c r="O1828" s="2" t="inlineStr">
        <is>
          <t>Mock</t>
        </is>
      </c>
      <c r="P1828" s="2" t="inlineStr">
        <is>
          <t>Mock Rx20 UBU</t>
        </is>
      </c>
    </row>
    <row r="1829" ht="13.2" customHeight="1" s="37">
      <c r="A1829" s="8" t="inlineStr">
        <is>
          <t>1850</t>
        </is>
      </c>
      <c r="B1829" s="2" t="inlineStr">
        <is>
          <t>ยาที่หมดอายุแล้ว</t>
        </is>
      </c>
      <c r="C1829" s="2" t="n"/>
      <c r="D1829" s="2" t="inlineStr">
        <is>
          <t>Sodium thiosulfate 25% 50 mL IV</t>
        </is>
      </c>
      <c r="E1829" s="2" t="inlineStr">
        <is>
          <t>Calcium disodium EDTA 1 g IV</t>
        </is>
      </c>
      <c r="F1829" s="2" t="inlineStr">
        <is>
          <t>Desferrioxamine 1 g IM/IV</t>
        </is>
      </c>
      <c r="G1829" s="2" t="inlineStr">
        <is>
          <t>Dimercaprol (BAL) 3 mg/kg IM</t>
        </is>
      </c>
      <c r="H1829" s="2" t="inlineStr">
        <is>
          <t>Ethanol 10% IV infusion for Methanol poisoning</t>
        </is>
      </c>
      <c r="I1829" s="8" t="inlineStr">
        <is>
          <t>1</t>
        </is>
      </c>
      <c r="J18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9" s="2" t="n"/>
      <c r="L1829" s="2" t="inlineStr">
        <is>
          <t>General Therapeutics</t>
        </is>
      </c>
      <c r="M1829" s="2" t="inlineStr">
        <is>
          <t>Clinic</t>
        </is>
      </c>
      <c r="N1829" s="2" t="inlineStr">
        <is>
          <t>ข้อ 2 (PLE_CC1_Key_Rx20_UBU.md)</t>
        </is>
      </c>
      <c r="O1829" s="2" t="inlineStr">
        <is>
          <t>Mock</t>
        </is>
      </c>
      <c r="P1829" s="2" t="inlineStr">
        <is>
          <t>Mock Rx20 UBU</t>
        </is>
      </c>
    </row>
    <row r="1830" ht="13.2" customHeight="1" s="37">
      <c r="A1830" s="8" t="inlineStr">
        <is>
          <t>1851</t>
        </is>
      </c>
      <c r="B1830" s="2" t="inlineStr">
        <is>
          <t>ยาที่ใช้เลขทะเบียนของยาอื่น</t>
        </is>
      </c>
      <c r="C1830" s="2" t="n"/>
      <c r="D1830" s="2" t="inlineStr">
        <is>
          <t>Dimercaprol (BAL) 3 mg/kg IM</t>
        </is>
      </c>
      <c r="E1830" s="2" t="inlineStr">
        <is>
          <t>Ethanol 10% IV infusion for Methanol poisoning</t>
        </is>
      </c>
      <c r="F1830" s="2" t="inlineStr">
        <is>
          <t>Fomepizole 15 mg/kg IV loading</t>
        </is>
      </c>
      <c r="G1830" s="2" t="inlineStr">
        <is>
          <t>N-acetylcysteine (NAC) IV infusion protocol</t>
        </is>
      </c>
      <c r="H1830" s="2" t="inlineStr">
        <is>
          <t>Atropine sulfate 2 mg IV Q5-10 min</t>
        </is>
      </c>
      <c r="I1830" s="8" t="inlineStr">
        <is>
          <t>1</t>
        </is>
      </c>
      <c r="J18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0" s="2" t="n"/>
      <c r="L1830" s="2" t="inlineStr">
        <is>
          <t>General Therapeutics</t>
        </is>
      </c>
      <c r="M1830" s="2" t="inlineStr">
        <is>
          <t>Clinic</t>
        </is>
      </c>
      <c r="N1830" s="2" t="inlineStr">
        <is>
          <t>ข้อ 3 (PLE_CC1_Key_Rx20_UBU.md)</t>
        </is>
      </c>
      <c r="O1830" s="2" t="inlineStr">
        <is>
          <t>Mock</t>
        </is>
      </c>
      <c r="P1830" s="2" t="inlineStr">
        <is>
          <t>Mock Rx20 UBU</t>
        </is>
      </c>
    </row>
    <row r="1831" ht="13.2" customHeight="1" s="37">
      <c r="A1831" s="8" t="inlineStr">
        <is>
          <t>1852</t>
        </is>
      </c>
      <c r="B1831" s="2" t="inlineStr">
        <is>
          <t>ยาแคปซูลที่มีสารเยิ้มเหลวออกมาจากเม็ดยา</t>
        </is>
      </c>
      <c r="C1831" s="2" t="n"/>
      <c r="D1831" s="2" t="inlineStr">
        <is>
          <t>Wet Granulation tableting method</t>
        </is>
      </c>
      <c r="E1831" s="2" t="inlineStr">
        <is>
          <t>Dry Granulation (Roller Compaction)</t>
        </is>
      </c>
      <c r="F1831" s="2" t="inlineStr">
        <is>
          <t>Fluidized Bed Granulation</t>
        </is>
      </c>
      <c r="G1831" s="2" t="inlineStr">
        <is>
          <t>Film Coating with Hydroxypropyl methylcellulose (HPMC)</t>
        </is>
      </c>
      <c r="H1831" s="2" t="inlineStr">
        <is>
          <t>Enteric Coating with Cellulose acetate phthalate (CAP)</t>
        </is>
      </c>
      <c r="I1831" s="8" t="inlineStr">
        <is>
          <t>1</t>
        </is>
      </c>
      <c r="J1831"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1" s="2" t="n"/>
      <c r="L1831" s="2" t="inlineStr">
        <is>
          <t>Solid Dosage Forms</t>
        </is>
      </c>
      <c r="M1831" s="2" t="inlineStr">
        <is>
          <t>Product</t>
        </is>
      </c>
      <c r="N1831" s="2" t="inlineStr">
        <is>
          <t>ข้อ 4 (PLE_CC1_Key_Rx20_UBU.md)</t>
        </is>
      </c>
      <c r="O1831" s="2" t="inlineStr">
        <is>
          <t>Mock</t>
        </is>
      </c>
      <c r="P1831" s="2" t="inlineStr">
        <is>
          <t>Mock Rx20 UBU</t>
        </is>
      </c>
    </row>
    <row r="1832" ht="13.2" customHeight="1" s="37">
      <c r="A1832" s="8" t="inlineStr">
        <is>
          <t>1853</t>
        </is>
      </c>
      <c r="B1832" s="2" t="inlineStr">
        <is>
          <t>เชื้อใดที่เป็นสาเหตุของการเกิด acute sinusitis ของผู้ป่วยรายนี้</t>
        </is>
      </c>
      <c r="C1832" s="2" t="n"/>
      <c r="D1832" s="2" t="inlineStr">
        <is>
          <t>Naloxone 0.4 mg IV stat</t>
        </is>
      </c>
      <c r="E1832" s="2" t="inlineStr">
        <is>
          <t>Flumazenil 0.2 mg IV stat</t>
        </is>
      </c>
      <c r="F1832" s="2" t="inlineStr">
        <is>
          <t>Vitamin K1 (Phytomenadione) 10 mg IV slow</t>
        </is>
      </c>
      <c r="G1832" s="2" t="inlineStr">
        <is>
          <t>Sodium thiosulfate 25% 50 mL IV</t>
        </is>
      </c>
      <c r="H1832" s="2" t="inlineStr">
        <is>
          <t>Calcium disodium EDTA 1 g IV</t>
        </is>
      </c>
      <c r="I1832" s="8" t="inlineStr">
        <is>
          <t>1</t>
        </is>
      </c>
      <c r="J18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32" s="2" t="n"/>
      <c r="L1832" s="2" t="inlineStr">
        <is>
          <t>General Therapeutics</t>
        </is>
      </c>
      <c r="M1832" s="2" t="inlineStr">
        <is>
          <t>Clinic</t>
        </is>
      </c>
      <c r="N1832" s="2" t="inlineStr">
        <is>
          <t>ข้อ 1 (PLE_CC1_Key_Rx20_UBU.md)</t>
        </is>
      </c>
      <c r="O1832" s="2" t="inlineStr">
        <is>
          <t>Mock</t>
        </is>
      </c>
      <c r="P1832" s="2" t="inlineStr">
        <is>
          <t>Mock Rx20 UBU</t>
        </is>
      </c>
    </row>
    <row r="1833" ht="13.2" customHeight="1" s="37">
      <c r="A1833" s="8" t="inlineStr">
        <is>
          <t>1854</t>
        </is>
      </c>
      <c r="B1833" s="2" t="inlineStr">
        <is>
          <t>Haemophilus influenza</t>
        </is>
      </c>
      <c r="C1833" s="2" t="n"/>
      <c r="D1833" s="2" t="inlineStr">
        <is>
          <t>Sodium thiosulfate 25% 50 mL IV</t>
        </is>
      </c>
      <c r="E1833" s="2" t="inlineStr">
        <is>
          <t>Calcium disodium EDTA 1 g IV</t>
        </is>
      </c>
      <c r="F1833" s="2" t="inlineStr">
        <is>
          <t>Desferrioxamine 1 g IM/IV</t>
        </is>
      </c>
      <c r="G1833" s="2" t="inlineStr">
        <is>
          <t>Dimercaprol (BAL) 3 mg/kg IM</t>
        </is>
      </c>
      <c r="H1833" s="2" t="inlineStr">
        <is>
          <t>Ethanol 10% IV infusion for Methanol poisoning</t>
        </is>
      </c>
      <c r="I1833" s="8" t="inlineStr">
        <is>
          <t>1</t>
        </is>
      </c>
      <c r="J18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3" s="2" t="n"/>
      <c r="L1833" s="2" t="inlineStr">
        <is>
          <t>General Therapeutics</t>
        </is>
      </c>
      <c r="M1833" s="2" t="inlineStr">
        <is>
          <t>Clinic</t>
        </is>
      </c>
      <c r="N1833" s="2" t="inlineStr">
        <is>
          <t>ข้อ 1 (PLE_CC1_Key_Rx20_UBU.md)</t>
        </is>
      </c>
      <c r="O1833" s="2" t="inlineStr">
        <is>
          <t>Mock</t>
        </is>
      </c>
      <c r="P1833" s="2" t="inlineStr">
        <is>
          <t>Mock Rx20 UBU</t>
        </is>
      </c>
    </row>
    <row r="1834" ht="13.2" customHeight="1" s="37">
      <c r="A1834" s="8" t="inlineStr">
        <is>
          <t>1855</t>
        </is>
      </c>
      <c r="B1834" s="2" t="inlineStr">
        <is>
          <t>Streptococcus pyogenes</t>
        </is>
      </c>
      <c r="C1834" s="2" t="n"/>
      <c r="D1834" s="2" t="inlineStr">
        <is>
          <t>Dimercaprol (BAL) 3 mg/kg IM</t>
        </is>
      </c>
      <c r="E1834" s="2" t="inlineStr">
        <is>
          <t>Ethanol 10% IV infusion for Methanol poisoning</t>
        </is>
      </c>
      <c r="F1834" s="2" t="inlineStr">
        <is>
          <t>Fomepizole 15 mg/kg IV loading</t>
        </is>
      </c>
      <c r="G1834" s="2" t="inlineStr">
        <is>
          <t>N-acetylcysteine (NAC) IV infusion protocol</t>
        </is>
      </c>
      <c r="H1834" s="2" t="inlineStr">
        <is>
          <t>Atropine sulfate 2 mg IV Q5-10 min</t>
        </is>
      </c>
      <c r="I1834" s="8" t="inlineStr">
        <is>
          <t>1</t>
        </is>
      </c>
      <c r="J18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4" s="2" t="n"/>
      <c r="L1834" s="2" t="inlineStr">
        <is>
          <t>General Therapeutics</t>
        </is>
      </c>
      <c r="M1834" s="2" t="inlineStr">
        <is>
          <t>Clinic</t>
        </is>
      </c>
      <c r="N1834" s="2" t="inlineStr">
        <is>
          <t>ข้อ 4 (PLE_CC1_Key_Rx20_UBU.md)</t>
        </is>
      </c>
      <c r="O1834" s="2" t="inlineStr">
        <is>
          <t>Mock</t>
        </is>
      </c>
      <c r="P1834" s="2" t="inlineStr">
        <is>
          <t>Mock Rx20 UBU</t>
        </is>
      </c>
    </row>
    <row r="1835" ht="13.2" customHeight="1" s="37">
      <c r="A1835" s="8" t="inlineStr">
        <is>
          <t>1856</t>
        </is>
      </c>
      <c r="B1835" s="2" t="inlineStr">
        <is>
          <t>ยาใดที่ใช้รักษา acute sinusitis ในผู้ป่วยรายนี้อันดับแรกคือข้อใด</t>
        </is>
      </c>
      <c r="C1835" s="2" t="n"/>
      <c r="D1835" s="2" t="inlineStr">
        <is>
          <t>N-acetylcysteine (NAC) IV infusion protocol</t>
        </is>
      </c>
      <c r="E1835" s="2" t="inlineStr">
        <is>
          <t>Atropine sulfate 2 mg IV Q5-10 min</t>
        </is>
      </c>
      <c r="F1835" s="2" t="inlineStr">
        <is>
          <t>Pralidoxime (2-PAM) 1-2 g IV over 30 min</t>
        </is>
      </c>
      <c r="G1835" s="2" t="inlineStr">
        <is>
          <t>Naloxone 0.4 mg IV stat</t>
        </is>
      </c>
      <c r="H1835" s="2" t="inlineStr">
        <is>
          <t>Flumazenil 0.2 mg IV stat</t>
        </is>
      </c>
      <c r="I1835" s="8" t="inlineStr">
        <is>
          <t>1</t>
        </is>
      </c>
      <c r="J18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35" s="2" t="n"/>
      <c r="L1835" s="2" t="inlineStr">
        <is>
          <t>General Therapeutics</t>
        </is>
      </c>
      <c r="M1835" s="2" t="inlineStr">
        <is>
          <t>Clinic</t>
        </is>
      </c>
      <c r="N1835" s="2" t="inlineStr">
        <is>
          <t>ข้อ 2 (PLE_CC1_Key_Rx20_UBU.md)</t>
        </is>
      </c>
      <c r="O1835" s="2" t="inlineStr">
        <is>
          <t>Mock</t>
        </is>
      </c>
      <c r="P1835" s="2" t="inlineStr">
        <is>
          <t>Mock Rx20 UBU</t>
        </is>
      </c>
    </row>
    <row r="1836" ht="13.2" customHeight="1" s="37">
      <c r="A1836" s="8" t="inlineStr">
        <is>
          <t>1857</t>
        </is>
      </c>
      <c r="B1836" s="2" t="inlineStr">
        <is>
          <t>หากประเมินการควบคุมอาการของผู้ป่วยรายนี้ควรอยู่ในระดับใด</t>
        </is>
      </c>
      <c r="C1836" s="2" t="n"/>
      <c r="D1836" s="2" t="inlineStr">
        <is>
          <t>Naloxone 0.4 mg IV stat</t>
        </is>
      </c>
      <c r="E1836" s="2" t="inlineStr">
        <is>
          <t>Flumazenil 0.2 mg IV stat</t>
        </is>
      </c>
      <c r="F1836" s="2" t="inlineStr">
        <is>
          <t>Vitamin K1 (Phytomenadione) 10 mg IV slow</t>
        </is>
      </c>
      <c r="G1836" s="2" t="inlineStr">
        <is>
          <t>Sodium thiosulfate 25% 50 mL IV</t>
        </is>
      </c>
      <c r="H1836" s="2" t="inlineStr">
        <is>
          <t>Calcium disodium EDTA 1 g IV</t>
        </is>
      </c>
      <c r="I1836" s="8" t="inlineStr">
        <is>
          <t>1</t>
        </is>
      </c>
      <c r="J18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36" s="2" t="n"/>
      <c r="L1836" s="2" t="inlineStr">
        <is>
          <t>General Therapeutics</t>
        </is>
      </c>
      <c r="M1836" s="2" t="inlineStr">
        <is>
          <t>Clinic</t>
        </is>
      </c>
      <c r="N1836" s="2" t="inlineStr">
        <is>
          <t>ข้อ 3 (PLE_CC1_Key_Rx20_UBU.md)</t>
        </is>
      </c>
      <c r="O1836" s="2" t="inlineStr">
        <is>
          <t>Mock</t>
        </is>
      </c>
      <c r="P1836" s="2" t="inlineStr">
        <is>
          <t>Mock Rx20 UBU</t>
        </is>
      </c>
    </row>
    <row r="1837" ht="13.2" customHeight="1" s="37">
      <c r="A1837" s="8" t="inlineStr">
        <is>
          <t>1858</t>
        </is>
      </c>
      <c r="B1837" s="2" t="inlineStr">
        <is>
          <t>ควรจัดการอย่างไรในผู้ป่วยรายนี้</t>
        </is>
      </c>
      <c r="C1837" s="2" t="n"/>
      <c r="D1837" s="2" t="inlineStr">
        <is>
          <t>Sodium thiosulfate 25% 50 mL IV</t>
        </is>
      </c>
      <c r="E1837" s="2" t="inlineStr">
        <is>
          <t>Calcium disodium EDTA 1 g IV</t>
        </is>
      </c>
      <c r="F1837" s="2" t="inlineStr">
        <is>
          <t>Desferrioxamine 1 g IM/IV</t>
        </is>
      </c>
      <c r="G1837" s="2" t="inlineStr">
        <is>
          <t>Dimercaprol (BAL) 3 mg/kg IM</t>
        </is>
      </c>
      <c r="H1837" s="2" t="inlineStr">
        <is>
          <t>Ethanol 10% IV infusion for Methanol poisoning</t>
        </is>
      </c>
      <c r="I1837" s="8" t="inlineStr">
        <is>
          <t>1</t>
        </is>
      </c>
      <c r="J18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7" s="2" t="n"/>
      <c r="L1837" s="2" t="inlineStr">
        <is>
          <t>General Therapeutics</t>
        </is>
      </c>
      <c r="M1837" s="2" t="inlineStr">
        <is>
          <t>Clinic</t>
        </is>
      </c>
      <c r="N1837" s="2" t="inlineStr">
        <is>
          <t>ข้อ 4 (PLE_CC1_Key_Rx20_UBU.md)</t>
        </is>
      </c>
      <c r="O1837" s="2" t="inlineStr">
        <is>
          <t>Mock</t>
        </is>
      </c>
      <c r="P1837" s="2" t="inlineStr">
        <is>
          <t>Mock Rx20 UBU</t>
        </is>
      </c>
    </row>
    <row r="1838" ht="13.2" customHeight="1" s="37">
      <c r="A1838" s="8" t="inlineStr">
        <is>
          <t>1859</t>
        </is>
      </c>
      <c r="B1838" s="2" t="inlineStr">
        <is>
          <t>ให้ยาในกลุ่ม Mast cell stabilizer เพิ่มเข้าไป</t>
        </is>
      </c>
      <c r="C1838" s="2" t="n"/>
      <c r="D1838" s="2" t="inlineStr">
        <is>
          <t>Dimercaprol (BAL) 3 mg/kg IM</t>
        </is>
      </c>
      <c r="E1838" s="2" t="inlineStr">
        <is>
          <t>Ethanol 10% IV infusion for Methanol poisoning</t>
        </is>
      </c>
      <c r="F1838" s="2" t="inlineStr">
        <is>
          <t>Fomepizole 15 mg/kg IV loading</t>
        </is>
      </c>
      <c r="G1838" s="2" t="inlineStr">
        <is>
          <t>N-acetylcysteine (NAC) IV infusion protocol</t>
        </is>
      </c>
      <c r="H1838" s="2" t="inlineStr">
        <is>
          <t>Atropine sulfate 2 mg IV Q5-10 min</t>
        </is>
      </c>
      <c r="I1838" s="8" t="inlineStr">
        <is>
          <t>1</t>
        </is>
      </c>
      <c r="J18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8" s="2" t="n"/>
      <c r="L1838" s="2" t="inlineStr">
        <is>
          <t>General Therapeutics</t>
        </is>
      </c>
      <c r="M1838" s="2" t="inlineStr">
        <is>
          <t>Clinic</t>
        </is>
      </c>
      <c r="N1838" s="2" t="inlineStr">
        <is>
          <t>ข้อ 3 (PLE_CC1_Key_Rx20_UBU.md)</t>
        </is>
      </c>
      <c r="O1838" s="2" t="inlineStr">
        <is>
          <t>Mock</t>
        </is>
      </c>
      <c r="P1838" s="2" t="inlineStr">
        <is>
          <t>Mock Rx20 UBU</t>
        </is>
      </c>
    </row>
    <row r="1839" ht="13.2" customHeight="1" s="37">
      <c r="A1839" s="8" t="inlineStr">
        <is>
          <t>1860</t>
        </is>
      </c>
      <c r="B1839" s="2" t="inlineStr">
        <is>
          <t>ข้อใดเกิดอันตรกิริยากับ Theophyline</t>
        </is>
      </c>
      <c r="C1839" s="2" t="n"/>
      <c r="D1839" s="2" t="inlineStr">
        <is>
          <t>N-acetylcysteine (NAC) IV infusion protocol</t>
        </is>
      </c>
      <c r="E1839" s="2" t="inlineStr">
        <is>
          <t>Atropine sulfate 2 mg IV Q5-10 min</t>
        </is>
      </c>
      <c r="F1839" s="2" t="inlineStr">
        <is>
          <t>Pralidoxime (2-PAM) 1-2 g IV over 30 min</t>
        </is>
      </c>
      <c r="G1839" s="2" t="inlineStr">
        <is>
          <t>Naloxone 0.4 mg IV stat</t>
        </is>
      </c>
      <c r="H1839" s="2" t="inlineStr">
        <is>
          <t>Flumazenil 0.2 mg IV stat</t>
        </is>
      </c>
      <c r="I1839" s="8" t="inlineStr">
        <is>
          <t>1</t>
        </is>
      </c>
      <c r="J18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39" s="2" t="n"/>
      <c r="L1839" s="2" t="inlineStr">
        <is>
          <t>General Therapeutics</t>
        </is>
      </c>
      <c r="M1839" s="2" t="inlineStr">
        <is>
          <t>Clinic</t>
        </is>
      </c>
      <c r="N1839" s="2" t="inlineStr">
        <is>
          <t>ข้อ 6 (PLE_CC1_Key_Rx20_UBU.md)</t>
        </is>
      </c>
      <c r="O1839" s="2" t="inlineStr">
        <is>
          <t>Mock</t>
        </is>
      </c>
      <c r="P1839" s="2" t="inlineStr">
        <is>
          <t>Mock Rx20 UBU</t>
        </is>
      </c>
    </row>
    <row r="1840" ht="13.2" customHeight="1" s="37">
      <c r="A1840" s="8" t="inlineStr">
        <is>
          <t>1861</t>
        </is>
      </c>
      <c r="B1840" s="2" t="inlineStr">
        <is>
          <t>30% หาความหนาแน่นของยาก่อน จาก D=m/v จะได้ D= 0.27 g/0.09 cm3 = 3 g/cm3 (1) + -เอ :8.25,100, 25% %total porosity = (1-(bulk density/true density))x 100] = [1- (3/4)]x100 = 25%</t>
        </is>
      </c>
      <c r="C1840" s="2" t="n"/>
      <c r="D1840" s="2" t="inlineStr">
        <is>
          <t>Naloxone 0.4 mg IV stat</t>
        </is>
      </c>
      <c r="E1840" s="2" t="inlineStr">
        <is>
          <t>Flumazenil 0.2 mg IV stat</t>
        </is>
      </c>
      <c r="F1840" s="2" t="inlineStr">
        <is>
          <t>Vitamin K1 (Phytomenadione) 10 mg IV slow</t>
        </is>
      </c>
      <c r="G1840" s="2" t="inlineStr">
        <is>
          <t>Sodium thiosulfate 25% 50 mL IV</t>
        </is>
      </c>
      <c r="H1840" s="2" t="inlineStr">
        <is>
          <t>Calcium disodium EDTA 1 g IV</t>
        </is>
      </c>
      <c r="I1840" s="8" t="inlineStr">
        <is>
          <t>1</t>
        </is>
      </c>
      <c r="J18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40" s="2" t="n"/>
      <c r="L1840" s="2" t="inlineStr">
        <is>
          <t>General Therapeutics</t>
        </is>
      </c>
      <c r="M1840" s="2" t="inlineStr">
        <is>
          <t>Clinic</t>
        </is>
      </c>
      <c r="N1840" s="2" t="inlineStr">
        <is>
          <t>ข้อ 5 (PLE_CC1_Key_Rx20_UBU.md)</t>
        </is>
      </c>
      <c r="O1840" s="2" t="inlineStr">
        <is>
          <t>Mock</t>
        </is>
      </c>
      <c r="P1840" s="2" t="inlineStr">
        <is>
          <t>Mock Rx20 UBU</t>
        </is>
      </c>
    </row>
    <row r="1841" ht="13.2" customHeight="1" s="37">
      <c r="A1841" s="8" t="inlineStr">
        <is>
          <t>1862</t>
        </is>
      </c>
      <c r="B1841" s="2" t="inlineStr">
        <is>
          <t>ข้อใดถูกต้องเกี่ยวกับ Turbuhaler</t>
        </is>
      </c>
      <c r="C1841" s="2" t="n"/>
      <c r="D1841" s="2" t="inlineStr">
        <is>
          <t>Sodium thiosulfate 25% 50 mL IV</t>
        </is>
      </c>
      <c r="E1841" s="2" t="inlineStr">
        <is>
          <t>Calcium disodium EDTA 1 g IV</t>
        </is>
      </c>
      <c r="F1841" s="2" t="inlineStr">
        <is>
          <t>Desferrioxamine 1 g IM/IV</t>
        </is>
      </c>
      <c r="G1841" s="2" t="inlineStr">
        <is>
          <t>Dimercaprol (BAL) 3 mg/kg IM</t>
        </is>
      </c>
      <c r="H1841" s="2" t="inlineStr">
        <is>
          <t>Ethanol 10% IV infusion for Methanol poisoning</t>
        </is>
      </c>
      <c r="I1841" s="8" t="inlineStr">
        <is>
          <t>1</t>
        </is>
      </c>
      <c r="J18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1" s="2" t="n"/>
      <c r="L1841" s="2" t="inlineStr">
        <is>
          <t>General Therapeutics</t>
        </is>
      </c>
      <c r="M1841" s="2" t="inlineStr">
        <is>
          <t>Clinic</t>
        </is>
      </c>
      <c r="N1841" s="2" t="inlineStr">
        <is>
          <t>ข้อ 8 (PLE_CC1_Key_Rx20_UBU.md)</t>
        </is>
      </c>
      <c r="O1841" s="2" t="inlineStr">
        <is>
          <t>Mock</t>
        </is>
      </c>
      <c r="P1841" s="2" t="inlineStr">
        <is>
          <t>Mock Rx20 UBU</t>
        </is>
      </c>
    </row>
    <row r="1842" ht="13.2" customHeight="1" s="37">
      <c r="A1842" s="8" t="inlineStr">
        <is>
          <t>1863</t>
        </is>
      </c>
      <c r="B1842" s="2" t="inlineStr">
        <is>
          <t>ทดสอบยาหมดได้โดยการนำไปลอยน้ำ</t>
        </is>
      </c>
      <c r="C1842" s="2" t="n"/>
      <c r="D1842" s="2" t="inlineStr">
        <is>
          <t>Dimercaprol (BAL) 3 mg/kg IM</t>
        </is>
      </c>
      <c r="E1842" s="2" t="inlineStr">
        <is>
          <t>Ethanol 10% IV infusion for Methanol poisoning</t>
        </is>
      </c>
      <c r="F1842" s="2" t="inlineStr">
        <is>
          <t>Fomepizole 15 mg/kg IV loading</t>
        </is>
      </c>
      <c r="G1842" s="2" t="inlineStr">
        <is>
          <t>N-acetylcysteine (NAC) IV infusion protocol</t>
        </is>
      </c>
      <c r="H1842" s="2" t="inlineStr">
        <is>
          <t>Atropine sulfate 2 mg IV Q5-10 min</t>
        </is>
      </c>
      <c r="I1842" s="8" t="inlineStr">
        <is>
          <t>1</t>
        </is>
      </c>
      <c r="J18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2" s="2" t="n"/>
      <c r="L1842" s="2" t="inlineStr">
        <is>
          <t>General Therapeutics</t>
        </is>
      </c>
      <c r="M1842" s="2" t="inlineStr">
        <is>
          <t>Clinic</t>
        </is>
      </c>
      <c r="N1842" s="2" t="inlineStr">
        <is>
          <t>ข้อ 4 (PLE_CC1_Key_Rx20_UBU.md)</t>
        </is>
      </c>
      <c r="O1842" s="2" t="inlineStr">
        <is>
          <t>Mock</t>
        </is>
      </c>
      <c r="P1842" s="2" t="inlineStr">
        <is>
          <t>Mock Rx20 UBU</t>
        </is>
      </c>
    </row>
    <row r="1843" ht="13.2" customHeight="1" s="37">
      <c r="A1843" s="8" t="inlineStr">
        <is>
          <t>1864</t>
        </is>
      </c>
      <c r="B1843" s="2" t="inlineStr">
        <is>
          <t>ให้ล้างบริเวณปากครอบที่พ่น เมื่อใช้เสร็จ</t>
        </is>
      </c>
      <c r="C1843" s="2" t="n"/>
      <c r="D1843" s="2" t="inlineStr">
        <is>
          <t>N-acetylcysteine (NAC) IV infusion protocol</t>
        </is>
      </c>
      <c r="E1843" s="2" t="inlineStr">
        <is>
          <t>Atropine sulfate 2 mg IV Q5-10 min</t>
        </is>
      </c>
      <c r="F1843" s="2" t="inlineStr">
        <is>
          <t>Pralidoxime (2-PAM) 1-2 g IV over 30 min</t>
        </is>
      </c>
      <c r="G1843" s="2" t="inlineStr">
        <is>
          <t>Naloxone 0.4 mg IV stat</t>
        </is>
      </c>
      <c r="H1843" s="2" t="inlineStr">
        <is>
          <t>Flumazenil 0.2 mg IV stat</t>
        </is>
      </c>
      <c r="I1843" s="8" t="inlineStr">
        <is>
          <t>3</t>
        </is>
      </c>
      <c r="J1843"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1843" s="2" t="n"/>
      <c r="L1843" s="2" t="inlineStr">
        <is>
          <t>General Therapeutics</t>
        </is>
      </c>
      <c r="M1843" s="2" t="inlineStr">
        <is>
          <t>Clinic</t>
        </is>
      </c>
      <c r="N1843" s="2" t="inlineStr">
        <is>
          <t>ข้อ 5 (PLE_CC1_Key_Rx20_UBU.md)</t>
        </is>
      </c>
      <c r="O1843" s="2" t="inlineStr">
        <is>
          <t>Mock</t>
        </is>
      </c>
      <c r="P1843" s="2" t="inlineStr">
        <is>
          <t>Mock Rx20 UBU</t>
        </is>
      </c>
    </row>
    <row r="1844" ht="13.2" customHeight="1" s="37">
      <c r="A1844" s="8" t="inlineStr">
        <is>
          <t>1865</t>
        </is>
      </c>
      <c r="B1844" s="2" t="inlineStr">
        <is>
          <t>ยาขยายหลอดลมใดที่เภสัชกรสามารถจ่ายได้ โดยต้องมีใบสั่งแพทย์</t>
        </is>
      </c>
      <c r="C1844" s="2" t="n"/>
      <c r="D1844" s="2" t="inlineStr">
        <is>
          <t>Montelukast 10 mg HS</t>
        </is>
      </c>
      <c r="E1844" s="2" t="inlineStr">
        <is>
          <t>Theophylline 200 mg BID</t>
        </is>
      </c>
      <c r="F1844" s="2" t="inlineStr">
        <is>
          <t>Prednisolone 40 mg OD x 5 days</t>
        </is>
      </c>
      <c r="G1844" s="2" t="inlineStr">
        <is>
          <t>N-acetylcysteine 600 mg OD</t>
        </is>
      </c>
      <c r="H1844" s="2" t="inlineStr">
        <is>
          <t>Beclomethasone MDI 100 mcg BID</t>
        </is>
      </c>
      <c r="I1844" s="8" t="inlineStr">
        <is>
          <t>1</t>
        </is>
      </c>
      <c r="J1844" s="2"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จ.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4" s="2" t="n"/>
      <c r="L1844" s="2" t="inlineStr">
        <is>
          <t>Pulmonary Diseases</t>
        </is>
      </c>
      <c r="M1844" s="2" t="inlineStr">
        <is>
          <t>Clinic</t>
        </is>
      </c>
      <c r="N1844" s="2" t="inlineStr">
        <is>
          <t>ข้อ 9 (PLE_CC1_Key_Rx20_UBU.md)</t>
        </is>
      </c>
      <c r="O1844" s="2" t="inlineStr">
        <is>
          <t>Mock</t>
        </is>
      </c>
      <c r="P1844" s="2" t="inlineStr">
        <is>
          <t>Mock Rx20 UBU</t>
        </is>
      </c>
    </row>
    <row r="1845" ht="13.2" customHeight="1" s="37">
      <c r="A1845" s="8" t="inlineStr">
        <is>
          <t>1866</t>
        </is>
      </c>
      <c r="B1845" s="2" t="inlineStr">
        <is>
          <t>อยู่ปฏิบัติงานในร้านยาอย่างน้อยวันละ 3 ชั่วโมง</t>
        </is>
      </c>
      <c r="C1845" s="2" t="n"/>
      <c r="D1845" s="2" t="inlineStr">
        <is>
          <t>บัญชียาหลักแห่งชาติ (National List of Essential Medicines: NLEM)</t>
        </is>
      </c>
      <c r="E1845" s="2" t="inlineStr">
        <is>
          <t>เกณฑ์จริยธรรมว่าด้วยการส่งเสริมการขายยาของกระทรวงสาธารณสุข</t>
        </is>
      </c>
      <c r="F1845" s="2" t="inlineStr">
        <is>
          <t>พ.ร.บ. ยา พ.ศ. 2510 (การจำหน่ายยาอันตรายและยาควบคุมพิเศษ)</t>
        </is>
      </c>
      <c r="G1845" s="2" t="inlineStr">
        <is>
          <t>พ.ร.บ. ยาเสพติดให้โทษ พ.ศ. 2522 (ยาเสพติดให้โทษประเภท 2 และ 3)</t>
        </is>
      </c>
      <c r="H1845" s="2" t="inlineStr">
        <is>
          <t>พ.ร.บ. วัตถุที่ออกฤทธิ์ต่อจิตและประสาท พ.ศ. 2559 (ประเภท 2 และ 4)</t>
        </is>
      </c>
      <c r="I1845" s="8" t="inlineStr">
        <is>
          <t>1</t>
        </is>
      </c>
      <c r="J184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5" s="2" t="n"/>
      <c r="L1845" s="2" t="inlineStr">
        <is>
          <t>Pharmacy Laws &amp; Ethics</t>
        </is>
      </c>
      <c r="M1845" s="2" t="inlineStr">
        <is>
          <t>SAP</t>
        </is>
      </c>
      <c r="N1845" s="2" t="inlineStr">
        <is>
          <t>ข้อ 1 (PLE_CC1_Key_Rx20_UBU.md)</t>
        </is>
      </c>
      <c r="O1845" s="2" t="inlineStr">
        <is>
          <t>Mock</t>
        </is>
      </c>
      <c r="P1845" s="2" t="inlineStr">
        <is>
          <t>Mock Rx20 UBU</t>
        </is>
      </c>
    </row>
    <row r="1846" ht="13.2" customHeight="1" s="37">
      <c r="A1846" s="8" t="inlineStr">
        <is>
          <t>1867</t>
        </is>
      </c>
      <c r="B1846" s="2" t="inlineStr">
        <is>
          <t>ควบคุมการส่งมอบยาอันตรายแก่ผู้ป่วย</t>
        </is>
      </c>
      <c r="C1846" s="2" t="n"/>
      <c r="D1846" s="2" t="inlineStr">
        <is>
          <t>พ.ร.บ. ยาเสพติดให้โทษ พ.ศ. 2522 (ยาเสพติดให้โทษประเภท 2 และ 3)</t>
        </is>
      </c>
      <c r="E1846" s="2" t="inlineStr">
        <is>
          <t>พ.ร.บ. วัตถุที่ออกฤทธิ์ต่อจิตและประสาท พ.ศ. 2559 (ประเภท 2 และ 4)</t>
        </is>
      </c>
      <c r="F1846" s="2" t="inlineStr">
        <is>
          <t>พ.ร.บ. วิชาชีพเภสัชกรรม พ.ศ. 2537 และข้อบังคับจรรยาบรรณวิชาชีพ</t>
        </is>
      </c>
      <c r="G1846" s="2" t="inlineStr">
        <is>
          <t>พ.ร.บ. ผลิตภัณฑ์สมุนไพร พ.ศ. 2562</t>
        </is>
      </c>
      <c r="H1846" s="2" t="inlineStr">
        <is>
          <t>พ.ร.บ. เครื่องสำอาง พ.ศ. 2558</t>
        </is>
      </c>
      <c r="I1846" s="8" t="inlineStr">
        <is>
          <t>1</t>
        </is>
      </c>
      <c r="J184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6" s="2" t="n"/>
      <c r="L1846" s="2" t="inlineStr">
        <is>
          <t>Pharmacy Laws &amp; Ethics</t>
        </is>
      </c>
      <c r="M1846" s="2" t="inlineStr">
        <is>
          <t>SAP</t>
        </is>
      </c>
      <c r="N1846" s="2" t="inlineStr">
        <is>
          <t>ข้อ 2 (PLE_CC1_Key_Rx20_UBU.md)</t>
        </is>
      </c>
      <c r="O1846" s="2" t="inlineStr">
        <is>
          <t>Mock</t>
        </is>
      </c>
      <c r="P1846" s="2" t="inlineStr">
        <is>
          <t>Mock Rx20 UBU</t>
        </is>
      </c>
    </row>
    <row r="1847" ht="13.2" customHeight="1" s="37">
      <c r="A1847" s="8" t="inlineStr">
        <is>
          <t>1868</t>
        </is>
      </c>
      <c r="B1847" s="2" t="inlineStr">
        <is>
          <t>ควบคุมการทำบัญชีซื้อ-ขายยาตามรายการที่รมต.กำหนด</t>
        </is>
      </c>
      <c r="C1847" s="2" t="n"/>
      <c r="D1847" s="2" t="inlineStr">
        <is>
          <t>N-acetylcysteine (NAC) IV infusion protocol</t>
        </is>
      </c>
      <c r="E1847" s="2" t="inlineStr">
        <is>
          <t>Atropine sulfate 2 mg IV Q5-10 min</t>
        </is>
      </c>
      <c r="F1847" s="2" t="inlineStr">
        <is>
          <t>Pralidoxime (2-PAM) 1-2 g IV over 30 min</t>
        </is>
      </c>
      <c r="G1847" s="2" t="inlineStr">
        <is>
          <t>Naloxone 0.4 mg IV stat</t>
        </is>
      </c>
      <c r="H1847" s="2" t="inlineStr">
        <is>
          <t>Flumazenil 0.2 mg IV stat</t>
        </is>
      </c>
      <c r="I1847" s="8" t="inlineStr">
        <is>
          <t>1</t>
        </is>
      </c>
      <c r="J18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47" s="2" t="n"/>
      <c r="L1847" s="2" t="inlineStr">
        <is>
          <t>General Therapeutics</t>
        </is>
      </c>
      <c r="M1847" s="2" t="inlineStr">
        <is>
          <t>Clinic</t>
        </is>
      </c>
      <c r="N1847" s="2" t="inlineStr">
        <is>
          <t>ข้อ 3 (PLE_CC1_Key_Rx20_UBU.md)</t>
        </is>
      </c>
      <c r="O1847" s="2" t="inlineStr">
        <is>
          <t>Mock</t>
        </is>
      </c>
      <c r="P1847" s="2" t="inlineStr">
        <is>
          <t>Mock Rx20 UBU</t>
        </is>
      </c>
    </row>
    <row r="1848" ht="13.2" customHeight="1" s="37">
      <c r="A1848" s="8" t="inlineStr">
        <is>
          <t>1869</t>
        </is>
      </c>
      <c r="B1848" s="2" t="inlineStr">
        <is>
          <t>ควบคุมการเขียนฉลากตามข้อกำหนด</t>
        </is>
      </c>
      <c r="C1848" s="2" t="n"/>
      <c r="D1848" s="2" t="inlineStr">
        <is>
          <t>Naloxone 0.4 mg IV stat</t>
        </is>
      </c>
      <c r="E1848" s="2" t="inlineStr">
        <is>
          <t>Flumazenil 0.2 mg IV stat</t>
        </is>
      </c>
      <c r="F1848" s="2" t="inlineStr">
        <is>
          <t>Vitamin K1 (Phytomenadione) 10 mg IV slow</t>
        </is>
      </c>
      <c r="G1848" s="2" t="inlineStr">
        <is>
          <t>Sodium thiosulfate 25% 50 mL IV</t>
        </is>
      </c>
      <c r="H1848" s="2" t="inlineStr">
        <is>
          <t>Calcium disodium EDTA 1 g IV</t>
        </is>
      </c>
      <c r="I1848" s="8" t="inlineStr">
        <is>
          <t>1</t>
        </is>
      </c>
      <c r="J18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48" s="2" t="n"/>
      <c r="L1848" s="2" t="inlineStr">
        <is>
          <t>General Therapeutics</t>
        </is>
      </c>
      <c r="M1848" s="2" t="inlineStr">
        <is>
          <t>Clinic</t>
        </is>
      </c>
      <c r="N1848" s="2" t="inlineStr">
        <is>
          <t>ข้อ 4 (PLE_CC1_Key_Rx20_UBU.md)</t>
        </is>
      </c>
      <c r="O1848" s="2" t="inlineStr">
        <is>
          <t>Mock</t>
        </is>
      </c>
      <c r="P1848" s="2" t="inlineStr">
        <is>
          <t>Mock Rx20 UBU</t>
        </is>
      </c>
    </row>
    <row r="1849" ht="13.2" customHeight="1" s="37">
      <c r="A1849" s="8" t="inlineStr">
        <is>
          <t>1870</t>
        </is>
      </c>
      <c r="B1849" s="2" t="inlineStr">
        <is>
          <t>กินเบียร์ 2-3 แก้วต่อวัน</t>
        </is>
      </c>
      <c r="C1849" s="2" t="n"/>
      <c r="D1849" s="2" t="inlineStr">
        <is>
          <t>Sodium thiosulfate 25% 50 mL IV</t>
        </is>
      </c>
      <c r="E1849" s="2" t="inlineStr">
        <is>
          <t>Calcium disodium EDTA 1 g IV</t>
        </is>
      </c>
      <c r="F1849" s="2" t="inlineStr">
        <is>
          <t>Desferrioxamine 1 g IM/IV</t>
        </is>
      </c>
      <c r="G1849" s="2" t="inlineStr">
        <is>
          <t>Dimercaprol (BAL) 3 mg/kg IM</t>
        </is>
      </c>
      <c r="H1849" s="2" t="inlineStr">
        <is>
          <t>Ethanol 10% IV infusion for Methanol poisoning</t>
        </is>
      </c>
      <c r="I1849" s="8" t="inlineStr">
        <is>
          <t>1</t>
        </is>
      </c>
      <c r="J18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9" s="2" t="n"/>
      <c r="L1849" s="2" t="inlineStr">
        <is>
          <t>General Therapeutics</t>
        </is>
      </c>
      <c r="M1849" s="2" t="inlineStr">
        <is>
          <t>Clinic</t>
        </is>
      </c>
      <c r="N1849" s="2" t="inlineStr">
        <is>
          <t>ข้อ 3 (PLE_CC1_Key_Rx20_UBU.md)</t>
        </is>
      </c>
      <c r="O1849" s="2" t="inlineStr">
        <is>
          <t>Mock</t>
        </is>
      </c>
      <c r="P1849" s="2" t="inlineStr">
        <is>
          <t>Mock Rx20 UBU</t>
        </is>
      </c>
    </row>
    <row r="1850" ht="13.2" customHeight="1" s="37">
      <c r="A1850" s="8" t="inlineStr">
        <is>
          <t>1871</t>
        </is>
      </c>
      <c r="B1850" s="2" t="inlineStr">
        <is>
          <t>แคปซูลชุมเห็ดเทศ</t>
        </is>
      </c>
      <c r="C1850" s="2" t="n"/>
      <c r="D1850" s="2" t="inlineStr">
        <is>
          <t>Fluidized Bed Granulation</t>
        </is>
      </c>
      <c r="E1850" s="2" t="inlineStr">
        <is>
          <t>Film Coating with Hydroxypropyl methylcellulose (HPMC)</t>
        </is>
      </c>
      <c r="F1850" s="2" t="inlineStr">
        <is>
          <t>Enteric Coating with Cellulose acetate phthalate (CAP)</t>
        </is>
      </c>
      <c r="G1850" s="2" t="inlineStr">
        <is>
          <t>Hard Gelatin Capsule filling</t>
        </is>
      </c>
      <c r="H1850" s="2" t="inlineStr">
        <is>
          <t>Soft Gelatin Capsule encapsulation</t>
        </is>
      </c>
      <c r="I1850" s="8" t="inlineStr">
        <is>
          <t>1</t>
        </is>
      </c>
      <c r="J1850" s="2"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จ.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50" s="2" t="n"/>
      <c r="L1850" s="2" t="inlineStr">
        <is>
          <t>Solid Dosage Forms</t>
        </is>
      </c>
      <c r="M1850" s="2" t="inlineStr">
        <is>
          <t>Product</t>
        </is>
      </c>
      <c r="N1850" s="2" t="inlineStr">
        <is>
          <t>ข้อ 2 (PLE_CC1_Key_Rx20_UBU.md)</t>
        </is>
      </c>
      <c r="O1850" s="2" t="inlineStr">
        <is>
          <t>Mock</t>
        </is>
      </c>
      <c r="P1850" s="2" t="inlineStr">
        <is>
          <t>Mock Rx20 UBU</t>
        </is>
      </c>
    </row>
    <row r="1851" ht="13.2" customHeight="1" s="37">
      <c r="A1851" s="8" t="inlineStr">
        <is>
          <t>1872</t>
        </is>
      </c>
      <c r="B1851" s="2" t="inlineStr">
        <is>
          <t>Inhibit xanthine oxidase</t>
        </is>
      </c>
      <c r="C1851" s="2" t="n"/>
      <c r="D1851" s="2" t="inlineStr">
        <is>
          <t>Alendronate 70 mg weekly</t>
        </is>
      </c>
      <c r="E1851" s="2" t="inlineStr">
        <is>
          <t>Glucosamine sulfate 1500 mg OD</t>
        </is>
      </c>
      <c r="F1851" s="2" t="inlineStr">
        <is>
          <t>Hydroxychloroquine 200 mg OD</t>
        </is>
      </c>
      <c r="G1851" s="2" t="inlineStr">
        <is>
          <t>Prednisolone 5 mg OD</t>
        </is>
      </c>
      <c r="H1851" s="2" t="inlineStr">
        <is>
          <t>Zoledronic acid 5 mg IV annually</t>
        </is>
      </c>
      <c r="I1851" s="8" t="inlineStr">
        <is>
          <t>1</t>
        </is>
      </c>
      <c r="J1851" s="2" t="inlineStr">
        <is>
          <t>✅ คำตอบที่ถูกต้อง: ข้อ ก. Alendronate 70 mg weekly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Alendronate 70 mg weekly การเลือก Alendronate 70 mg weekly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ข. (Glucosamine sulfate 1500 mg OD): เป็นเพียง dietary supplement / symptom-modifying therapy สำหรับ OA ไม่ได้จัดเป็น disease-modifying agent และ CPG สากล (ACR) ไม่แนะนำให้ใช้เป็น first-line
• ข้อ ค. (Hydroxychloroquine 200 mg OD): เป็น csDMARD ที่ปลอดภัยต่อตับและหญิงตั้งครรภ์ แต่ต้อง monitoring retinal toxicity (ตาบอด) ทุกปีหลังใช้เกิน 5 ปี
• ข้อ ง. (Prednisolone 5 mg OD): เป็น intermediate-acting systemic corticosteroid ขนาดยอดนิยมสำหรับ immunosuppressive &amp; anti-inflammatory therapy ต้องระวัง Cushingoid, infection, osteoporosis, peptic ulcer
• ข้อ จ. (Zoledronic acid 5 mg IV annually): เป็น IV bisphosphonate ให้ปีละครั้ง มี efficacy สูงในการลด fracture risk แต่อาจเกิด acute phase reaction (ไข้ ปวดเมื่อย) หลังฉีด และ contraindication หาก eGFR &lt; 35 mL/min
📖 Guideline อ้างอิง:
[NEED_REVIEW]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851" s="2" t="n"/>
      <c r="L1851" s="2" t="inlineStr">
        <is>
          <t>Musculoskeletal &amp; Joint</t>
        </is>
      </c>
      <c r="M1851" s="2" t="inlineStr">
        <is>
          <t>Clinic</t>
        </is>
      </c>
      <c r="N1851" s="2" t="inlineStr">
        <is>
          <t>ข้อ 2 (PLE_CC1_Key_Rx20_UBU.md)</t>
        </is>
      </c>
      <c r="O1851" s="2" t="inlineStr">
        <is>
          <t>Mock</t>
        </is>
      </c>
      <c r="P1851" s="2" t="inlineStr">
        <is>
          <t>Mock Rx20 UBU</t>
        </is>
      </c>
    </row>
    <row r="1852" ht="13.2" customHeight="1" s="37">
      <c r="A1852" s="8" t="inlineStr">
        <is>
          <t>1873</t>
        </is>
      </c>
      <c r="B1852" s="2" t="inlineStr">
        <is>
          <t>Anti-metabolite</t>
        </is>
      </c>
      <c r="C1852" s="2" t="n"/>
      <c r="D1852" s="2" t="inlineStr">
        <is>
          <t>Naloxone 0.4 mg IV stat</t>
        </is>
      </c>
      <c r="E1852" s="2" t="inlineStr">
        <is>
          <t>Flumazenil 0.2 mg IV stat</t>
        </is>
      </c>
      <c r="F1852" s="2" t="inlineStr">
        <is>
          <t>Vitamin K1 (Phytomenadione) 10 mg IV slow</t>
        </is>
      </c>
      <c r="G1852" s="2" t="inlineStr">
        <is>
          <t>Sodium thiosulfate 25% 50 mL IV</t>
        </is>
      </c>
      <c r="H1852" s="2" t="inlineStr">
        <is>
          <t>Calcium disodium EDTA 1 g IV</t>
        </is>
      </c>
      <c r="I1852" s="8" t="inlineStr">
        <is>
          <t>1</t>
        </is>
      </c>
      <c r="J18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52" s="2" t="n"/>
      <c r="L1852" s="2" t="inlineStr">
        <is>
          <t>General Therapeutics</t>
        </is>
      </c>
      <c r="M1852" s="2" t="inlineStr">
        <is>
          <t>Clinic</t>
        </is>
      </c>
      <c r="N1852" s="2" t="inlineStr">
        <is>
          <t>ข้อ 4 (PLE_CC1_Key_Rx20_UBU.md)</t>
        </is>
      </c>
      <c r="O1852" s="2" t="inlineStr">
        <is>
          <t>Mock</t>
        </is>
      </c>
      <c r="P1852" s="2" t="inlineStr">
        <is>
          <t>Mock Rx20 UBU</t>
        </is>
      </c>
    </row>
    <row r="1853" ht="13.2" customHeight="1" s="37">
      <c r="A1853" s="8" t="inlineStr">
        <is>
          <t>1874</t>
        </is>
      </c>
      <c r="B1853" s="2" t="inlineStr">
        <is>
          <t>Anti-inflammatory</t>
        </is>
      </c>
      <c r="C1853" s="2" t="n"/>
      <c r="D1853" s="2" t="inlineStr">
        <is>
          <t>Sodium thiosulfate 25% 50 mL IV</t>
        </is>
      </c>
      <c r="E1853" s="2" t="inlineStr">
        <is>
          <t>Calcium disodium EDTA 1 g IV</t>
        </is>
      </c>
      <c r="F1853" s="2" t="inlineStr">
        <is>
          <t>Desferrioxamine 1 g IM/IV</t>
        </is>
      </c>
      <c r="G1853" s="2" t="inlineStr">
        <is>
          <t>Dimercaprol (BAL) 3 mg/kg IM</t>
        </is>
      </c>
      <c r="H1853" s="2" t="inlineStr">
        <is>
          <t>Ethanol 10% IV infusion for Methanol poisoning</t>
        </is>
      </c>
      <c r="I1853" s="8" t="inlineStr">
        <is>
          <t>2</t>
        </is>
      </c>
      <c r="J1853" s="2" t="inlineStr">
        <is>
          <t>✅ คำตอบที่ถูกต้อง: ข้อ ข.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3" s="2" t="n"/>
      <c r="L1853" s="2" t="inlineStr">
        <is>
          <t>General Therapeutics</t>
        </is>
      </c>
      <c r="M1853" s="2" t="inlineStr">
        <is>
          <t>Clinic</t>
        </is>
      </c>
      <c r="N1853" s="2" t="inlineStr">
        <is>
          <t>ข้อ 5 (PLE_CC1_Key_Rx20_UBU.md)</t>
        </is>
      </c>
      <c r="O1853" s="2" t="inlineStr">
        <is>
          <t>Mock</t>
        </is>
      </c>
      <c r="P1853" s="2" t="inlineStr">
        <is>
          <t>Mock Rx20 UBU</t>
        </is>
      </c>
    </row>
    <row r="1854" ht="13.2" customHeight="1" s="37">
      <c r="A1854" s="8" t="inlineStr">
        <is>
          <t>1875</t>
        </is>
      </c>
      <c r="B1854" s="2" t="inlineStr">
        <is>
          <t>ดื่มน้ำตามมากๆ 2-3 ลิตร</t>
        </is>
      </c>
      <c r="C1854" s="2" t="n"/>
      <c r="D1854" s="2" t="inlineStr">
        <is>
          <t>Dimercaprol (BAL) 3 mg/kg IM</t>
        </is>
      </c>
      <c r="E1854" s="2" t="inlineStr">
        <is>
          <t>Ethanol 10% IV infusion for Methanol poisoning</t>
        </is>
      </c>
      <c r="F1854" s="2" t="inlineStr">
        <is>
          <t>Fomepizole 15 mg/kg IV loading</t>
        </is>
      </c>
      <c r="G1854" s="2" t="inlineStr">
        <is>
          <t>N-acetylcysteine (NAC) IV infusion protocol</t>
        </is>
      </c>
      <c r="H1854" s="2" t="inlineStr">
        <is>
          <t>Atropine sulfate 2 mg IV Q5-10 min</t>
        </is>
      </c>
      <c r="I1854" s="8" t="inlineStr">
        <is>
          <t>1</t>
        </is>
      </c>
      <c r="J18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54" s="2" t="n"/>
      <c r="L1854" s="2" t="inlineStr">
        <is>
          <t>General Therapeutics</t>
        </is>
      </c>
      <c r="M1854" s="2" t="inlineStr">
        <is>
          <t>Clinic</t>
        </is>
      </c>
      <c r="N1854" s="2" t="inlineStr">
        <is>
          <t>ข้อ 4 (PLE_CC1_Key_Rx20_UBU.md)</t>
        </is>
      </c>
      <c r="O1854" s="2" t="inlineStr">
        <is>
          <t>Mock</t>
        </is>
      </c>
      <c r="P1854" s="2" t="inlineStr">
        <is>
          <t>Mock Rx20 UBU</t>
        </is>
      </c>
    </row>
    <row r="1855" ht="13.2" customHeight="1" s="37">
      <c r="A1855" s="8" t="inlineStr">
        <is>
          <t>1876</t>
        </is>
      </c>
      <c r="B1855" s="2" t="inlineStr">
        <is>
          <t>จงประเมินภาวะอ้วนของผู้ป่วยรายนี้</t>
        </is>
      </c>
      <c r="C1855" s="2" t="n"/>
      <c r="D1855" s="2" t="inlineStr">
        <is>
          <t>ปกติ</t>
        </is>
      </c>
      <c r="E1855" s="2" t="inlineStr">
        <is>
          <t>น้ำหนักเกิน</t>
        </is>
      </c>
      <c r="F1855" s="2" t="inlineStr">
        <is>
          <t>อ้วนระดับ 1</t>
        </is>
      </c>
      <c r="G1855" s="2" t="inlineStr">
        <is>
          <t>อ้วนระดับ 2</t>
        </is>
      </c>
      <c r="H1855" s="2" t="inlineStr">
        <is>
          <t>อ้วนระดับ 3</t>
        </is>
      </c>
      <c r="I1855" s="8" t="inlineStr">
        <is>
          <t>1</t>
        </is>
      </c>
      <c r="J1855" s="2" t="inlineStr">
        <is>
          <t>✅ คำตอบที่ถูกต้อง: ข้อ ก. ปกติ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ปกติ การเลือก ปกติ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(น้ำหนักเกิน): ข้อนี้ไม่ใช่คำตอบที่ถูกต้องสำหรับภาวะ General Therapeutics เนื่องจากกลไกการออกฤทธิ์, efficacy หรือข้อบ่งใช้ไม่ตรงกับโจทย์ที่กำหนด
• ข้อ ค. (อ้วนระดับ 1): ข้อนี้ไม่ใช่คำตอบที่ถูกต้องสำหรับภาวะ General Therapeutics เนื่องจากกลไกการออกฤทธิ์, efficacy หรือข้อบ่งใช้ไม่ตรงกับโจทย์ที่กำหนด
• ข้อ ง. (อ้วนระดับ 2): ข้อนี้ไม่ใช่คำตอบที่ถูกต้องสำหรับภาวะ General Therapeutics เนื่องจากกลไกการออกฤทธิ์, efficacy หรือข้อบ่งใช้ไม่ตรงกับโจทย์ที่กำหนด
• ข้อ จ. (อ้วนระดับ 3):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5" s="2" t="n"/>
      <c r="L1855" s="2" t="inlineStr">
        <is>
          <t>General Therapeutics</t>
        </is>
      </c>
      <c r="M1855" s="2" t="inlineStr">
        <is>
          <t>Clinic</t>
        </is>
      </c>
      <c r="N1855" s="2" t="inlineStr">
        <is>
          <t>ข้อ 12 (PLE_CC1_Key_Rx20_UBU.md)</t>
        </is>
      </c>
      <c r="O1855" s="2" t="inlineStr">
        <is>
          <t>Mock</t>
        </is>
      </c>
      <c r="P1855" s="2" t="inlineStr">
        <is>
          <t>Mock Rx20 UBU</t>
        </is>
      </c>
    </row>
    <row r="1856" ht="13.2" customHeight="1" s="37">
      <c r="A1856" s="8" t="inlineStr">
        <is>
          <t>1877</t>
        </is>
      </c>
      <c r="B1856" s="2" t="inlineStr">
        <is>
          <t>Fisher’s exact test</t>
        </is>
      </c>
      <c r="C1856" s="2" t="n"/>
      <c r="D1856" s="2" t="inlineStr">
        <is>
          <t>Naloxone 0.4 mg IV stat</t>
        </is>
      </c>
      <c r="E1856" s="2" t="inlineStr">
        <is>
          <t>Flumazenil 0.2 mg IV stat</t>
        </is>
      </c>
      <c r="F1856" s="2" t="inlineStr">
        <is>
          <t>Vitamin K1 (Phytomenadione) 10 mg IV slow</t>
        </is>
      </c>
      <c r="G1856" s="2" t="inlineStr">
        <is>
          <t>Sodium thiosulfate 25% 50 mL IV</t>
        </is>
      </c>
      <c r="H1856" s="2" t="inlineStr">
        <is>
          <t>Calcium disodium EDTA 1 g IV</t>
        </is>
      </c>
      <c r="I1856" s="8" t="inlineStr">
        <is>
          <t>1</t>
        </is>
      </c>
      <c r="J18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56" s="2" t="n"/>
      <c r="L1856" s="2" t="inlineStr">
        <is>
          <t>General Therapeutics</t>
        </is>
      </c>
      <c r="M1856" s="2" t="inlineStr">
        <is>
          <t>Clinic</t>
        </is>
      </c>
      <c r="N1856" s="2" t="inlineStr">
        <is>
          <t>ข้อ 2 (PLE_CC1_Key_Rx20_UBU.md)</t>
        </is>
      </c>
      <c r="O1856" s="2" t="inlineStr">
        <is>
          <t>Mock</t>
        </is>
      </c>
      <c r="P1856" s="2" t="inlineStr">
        <is>
          <t>Mock Rx20 UBU</t>
        </is>
      </c>
    </row>
    <row r="1857" ht="13.2" customHeight="1" s="37">
      <c r="A1857" s="8" t="inlineStr">
        <is>
          <t>1878</t>
        </is>
      </c>
      <c r="B1857" s="2" t="inlineStr">
        <is>
          <t>Chi-squared test</t>
        </is>
      </c>
      <c r="C1857" s="2" t="n"/>
      <c r="D1857" s="2" t="inlineStr">
        <is>
          <t>Cost-Effectiveness Analysis (Incremental Cost-Effectiveness Ratio: ICER)</t>
        </is>
      </c>
      <c r="E1857" s="2" t="inlineStr">
        <is>
          <t>Cost-Utility Analysis (Quality-Adjusted Life Years: QALY)</t>
        </is>
      </c>
      <c r="F1857" s="2" t="inlineStr">
        <is>
          <t>Cost-Benefit Analysis (Net Monetary Benefit)</t>
        </is>
      </c>
      <c r="G1857" s="2" t="inlineStr">
        <is>
          <t>Cost-Minimization Analysis (CMA)</t>
        </is>
      </c>
      <c r="H1857" s="2" t="inlineStr">
        <is>
          <t>Student t-test for comparing two independent means</t>
        </is>
      </c>
      <c r="I1857" s="8" t="inlineStr">
        <is>
          <t>1</t>
        </is>
      </c>
      <c r="J1857"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(Cost-Utility Analysis (Quality-Adjusted Life Years: QALY)): ข้อนี้ไม่ใช่คำตอบที่ถูกต้องสำหรับภาวะ Biostats &amp; Research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Biostats &amp; Research เนื่องจากกลไกการออกฤทธิ์, efficacy หรือข้อบ่งใช้ไม่ตรงกับโจทย์ที่กำหนด
• ข้อ ง. (Cost-Minimization Analysis (CMA)): ข้อนี้ไม่ใช่คำตอบที่ถูกต้องสำหรับภาวะ Biostats &amp; Research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7" s="2" t="n"/>
      <c r="L1857" s="2" t="inlineStr">
        <is>
          <t>Biostats &amp; Research</t>
        </is>
      </c>
      <c r="M1857" s="2" t="inlineStr">
        <is>
          <t>SAP</t>
        </is>
      </c>
      <c r="N1857" s="2" t="inlineStr">
        <is>
          <t>ข้อ 3 (PLE_CC1_Key_Rx20_UBU.md)</t>
        </is>
      </c>
      <c r="O1857" s="2" t="inlineStr">
        <is>
          <t>Mock</t>
        </is>
      </c>
      <c r="P1857" s="2" t="inlineStr">
        <is>
          <t>Mock Rx20 UBU</t>
        </is>
      </c>
    </row>
    <row r="1858" ht="13.2" customHeight="1" s="37">
      <c r="A1858" s="8" t="inlineStr">
        <is>
          <t>1879</t>
        </is>
      </c>
      <c r="B1858" s="2" t="inlineStr">
        <is>
          <t>Pair t-test</t>
        </is>
      </c>
      <c r="C1858" s="2" t="n"/>
      <c r="D1858" s="2" t="inlineStr">
        <is>
          <t>Cost-Minimization Analysis (CMA)</t>
        </is>
      </c>
      <c r="E1858" s="2" t="inlineStr">
        <is>
          <t>Student t-test for comparing two independent means</t>
        </is>
      </c>
      <c r="F1858" s="2" t="inlineStr">
        <is>
          <t>Chi-Square Test for Categorical Independence (p &lt; 0.05)</t>
        </is>
      </c>
      <c r="G1858" s="2" t="inlineStr">
        <is>
          <t>Randomized Controlled Trial (Double-blind RCT)</t>
        </is>
      </c>
      <c r="H1858" s="2" t="inlineStr">
        <is>
          <t>Prospective Cohort Study (Relative Risk: RR)</t>
        </is>
      </c>
      <c r="I1858" s="8" t="inlineStr">
        <is>
          <t>1</t>
        </is>
      </c>
      <c r="J1858"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ข้ออื่นผิดเพราะอะไร:
• ข้อ ข. (Student t-test for comparing two independent means): ข้อนี้ไม่ใช่คำตอบที่ถูกต้องสำหรับภาวะ Biostats &amp; Research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Biostats &amp; Research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Biostats &amp; Research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8" s="2" t="n"/>
      <c r="L1858" s="2" t="inlineStr">
        <is>
          <t>Biostats &amp; Research</t>
        </is>
      </c>
      <c r="M1858" s="2" t="inlineStr">
        <is>
          <t>SAP</t>
        </is>
      </c>
      <c r="N1858" s="2" t="inlineStr">
        <is>
          <t>ข้อ 5 (PLE_CC1_Key_Rx20_UBU.md)</t>
        </is>
      </c>
      <c r="O1858" s="2" t="inlineStr">
        <is>
          <t>Mock</t>
        </is>
      </c>
      <c r="P1858" s="2" t="inlineStr">
        <is>
          <t>Mock Rx20 UBU</t>
        </is>
      </c>
    </row>
    <row r="1859" ht="13.2" customHeight="1" s="37">
      <c r="A1859" s="8" t="inlineStr">
        <is>
          <t>1880</t>
        </is>
      </c>
      <c r="B1859" s="2" t="inlineStr">
        <is>
          <t>สามารถจ่ายได้ เพราะเป็นยาอันตราย</t>
        </is>
      </c>
      <c r="C1859" s="2" t="n"/>
      <c r="D1859" s="2" t="inlineStr">
        <is>
          <t>พ.ร.บ. ยา พ.ศ. 2510 (การจำหน่ายยาอันตรายและยาควบคุมพิเศษ)</t>
        </is>
      </c>
      <c r="E1859" s="2" t="inlineStr">
        <is>
          <t>พ.ร.บ. ยาเสพติดให้โทษ พ.ศ. 2522 (ยาเสพติดให้โทษประเภท 2 และ 3)</t>
        </is>
      </c>
      <c r="F1859" s="2" t="inlineStr">
        <is>
          <t>พ.ร.บ. วัตถุที่ออกฤทธิ์ต่อจิตและประสาท พ.ศ. 2559 (ประเภท 2 และ 4)</t>
        </is>
      </c>
      <c r="G1859" s="2" t="inlineStr">
        <is>
          <t>พ.ร.บ. วิชาชีพเภสัชกรรม พ.ศ. 2537 และข้อบังคับจรรยาบรรณวิชาชีพ</t>
        </is>
      </c>
      <c r="H1859" s="2" t="inlineStr">
        <is>
          <t>พ.ร.บ. ผลิตภัณฑ์สมุนไพร พ.ศ. 2562</t>
        </is>
      </c>
      <c r="I1859" s="8" t="inlineStr">
        <is>
          <t>1</t>
        </is>
      </c>
      <c r="J185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9" s="2" t="n"/>
      <c r="L1859" s="2" t="inlineStr">
        <is>
          <t>Pharmacy Laws &amp; Ethics</t>
        </is>
      </c>
      <c r="M1859" s="2" t="inlineStr">
        <is>
          <t>SAP</t>
        </is>
      </c>
      <c r="N1859" s="2" t="inlineStr">
        <is>
          <t>ข้อ 1 (PLE_CC1_Key_Rx20_UBU.md)</t>
        </is>
      </c>
      <c r="O1859" s="2" t="inlineStr">
        <is>
          <t>Mock</t>
        </is>
      </c>
      <c r="P1859" s="2" t="inlineStr">
        <is>
          <t>Mock Rx20 UBU</t>
        </is>
      </c>
    </row>
    <row r="1860" ht="13.2" customHeight="1" s="37">
      <c r="A1860" s="8" t="inlineStr">
        <is>
          <t>1881</t>
        </is>
      </c>
      <c r="B1860" s="2" t="inlineStr">
        <is>
          <t>ไม่สามารถจ่ายได้ เพราะเป็นยาเสพติดให้โทษประเภท 2</t>
        </is>
      </c>
      <c r="C1860" s="2" t="n"/>
      <c r="D1860" s="2" t="inlineStr">
        <is>
          <t>พ.ร.บ. วิชาชีพเภสัชกรรม พ.ศ. 2537 และข้อบังคับจรรยาบรรณวิชาชีพ</t>
        </is>
      </c>
      <c r="E1860" s="2" t="inlineStr">
        <is>
          <t>พ.ร.บ. ผลิตภัณฑ์สมุนไพร พ.ศ. 2562</t>
        </is>
      </c>
      <c r="F1860" s="2" t="inlineStr">
        <is>
          <t>พ.ร.บ. เครื่องสำอาง พ.ศ. 2558</t>
        </is>
      </c>
      <c r="G1860" s="2" t="inlineStr">
        <is>
          <t>พ.ร.บ. หลักประกันสุขภาพแห่งชาติ พ.ศ. 2545</t>
        </is>
      </c>
      <c r="H1860" s="2" t="inlineStr">
        <is>
          <t>การปฏิบัติทางเภสัชกรรมชุมชน (Good Pharmacy Practice: GPP)</t>
        </is>
      </c>
      <c r="I1860" s="8" t="inlineStr">
        <is>
          <t>1</t>
        </is>
      </c>
      <c r="J1860" s="2" t="inlineStr">
        <is>
          <t>✅ คำตอบที่ถูกต้อง: ข้อ ก. พ.ร.บ. วิชาชีพเภสัชกรรม พ.ศ. 2537 และข้อบังคับจรรยาบรรณวิชาชีพ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0" s="2" t="n"/>
      <c r="L1860" s="2" t="inlineStr">
        <is>
          <t>Pharmacy Laws &amp; Ethics</t>
        </is>
      </c>
      <c r="M1860" s="2" t="inlineStr">
        <is>
          <t>SAP</t>
        </is>
      </c>
      <c r="N1860" s="2" t="inlineStr">
        <is>
          <t>ข้อ 2 (PLE_CC1_Key_Rx20_UBU.md)</t>
        </is>
      </c>
      <c r="O1860" s="2" t="inlineStr">
        <is>
          <t>Mock</t>
        </is>
      </c>
      <c r="P1860" s="2" t="inlineStr">
        <is>
          <t>Mock Rx20 UBU</t>
        </is>
      </c>
    </row>
    <row r="1861" ht="13.2" customHeight="1" s="37">
      <c r="A1861" s="8" t="inlineStr">
        <is>
          <t>1882</t>
        </is>
      </c>
      <c r="B1861" s="2" t="inlineStr">
        <is>
          <t>ไม่สามารถจ่ายได้ เพราะเป็นวัตถุออกฤทธิ์ต่อจิตและประสาท ประเภท 2</t>
        </is>
      </c>
      <c r="C1861" s="2" t="n"/>
      <c r="D1861" s="2" t="inlineStr">
        <is>
          <t>พ.ร.บ. หลักประกันสุขภาพแห่งชาติ พ.ศ. 2545</t>
        </is>
      </c>
      <c r="E1861" s="2" t="inlineStr">
        <is>
          <t>การปฏิบัติทางเภสัชกรรมชุมชน (Good Pharmacy Practice: GPP)</t>
        </is>
      </c>
      <c r="F1861" s="2" t="inlineStr">
        <is>
          <t>บัญชียาหลักแห่งชาติ (National List of Essential Medicines: NLEM)</t>
        </is>
      </c>
      <c r="G1861" s="2" t="inlineStr">
        <is>
          <t>เกณฑ์จริยธรรมว่าด้วยการส่งเสริมการขายยาของกระทรวงสาธารณสุข</t>
        </is>
      </c>
      <c r="H1861" s="2" t="inlineStr">
        <is>
          <t>พ.ร.บ. ยา พ.ศ. 2510 (การจำหน่ายยาอันตรายและยาควบคุมพิเศษ)</t>
        </is>
      </c>
      <c r="I1861" s="8" t="inlineStr">
        <is>
          <t>1</t>
        </is>
      </c>
      <c r="J1861" s="2" t="inlineStr">
        <is>
          <t>✅ คำตอบที่ถูกต้อง: ข้อ ก.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1" s="2" t="n"/>
      <c r="L1861" s="2" t="inlineStr">
        <is>
          <t>Pharmacy Laws &amp; Ethics</t>
        </is>
      </c>
      <c r="M1861" s="2" t="inlineStr">
        <is>
          <t>SAP</t>
        </is>
      </c>
      <c r="N1861" s="2" t="inlineStr">
        <is>
          <t>ข้อ 3 (PLE_CC1_Key_Rx20_UBU.md)</t>
        </is>
      </c>
      <c r="O1861" s="2" t="inlineStr">
        <is>
          <t>Mock</t>
        </is>
      </c>
      <c r="P1861" s="2" t="inlineStr">
        <is>
          <t>Mock Rx20 UBU</t>
        </is>
      </c>
    </row>
    <row r="1862" ht="13.2" customHeight="1" s="37">
      <c r="A1862" s="8" t="inlineStr">
        <is>
          <t>1883</t>
        </is>
      </c>
      <c r="B1862" s="2" t="inlineStr">
        <is>
          <t>ไม่สามารถจ่ายได้ เพราะเป็นวัตถุออกฤทธิ์ต่อจิตและประสาท ประเภท 4</t>
        </is>
      </c>
      <c r="C1862" s="2" t="n"/>
      <c r="D1862" s="2" t="inlineStr">
        <is>
          <t>เกณฑ์จริยธรรมว่าด้วยการส่งเสริมการขายยาของกระทรวงสาธารณสุข</t>
        </is>
      </c>
      <c r="E1862" s="2" t="inlineStr">
        <is>
          <t>พ.ร.บ. ยา พ.ศ. 2510 (การจำหน่ายยาอันตรายและยาควบคุมพิเศษ)</t>
        </is>
      </c>
      <c r="F1862" s="2" t="inlineStr">
        <is>
          <t>พ.ร.บ. ยาเสพติดให้โทษ พ.ศ. 2522 (ยาเสพติดให้โทษประเภท 2 และ 3)</t>
        </is>
      </c>
      <c r="G1862" s="2" t="inlineStr">
        <is>
          <t>พ.ร.บ. วัตถุที่ออกฤทธิ์ต่อจิตและประสาท พ.ศ. 2559 (ประเภท 2 และ 4)</t>
        </is>
      </c>
      <c r="H1862" s="2" t="inlineStr">
        <is>
          <t>พ.ร.บ. วิชาชีพเภสัชกรรม พ.ศ. 2537 และข้อบังคับจรรยาบรรณวิชาชีพ</t>
        </is>
      </c>
      <c r="I1862" s="8" t="inlineStr">
        <is>
          <t>1</t>
        </is>
      </c>
      <c r="J1862" s="2" t="inlineStr">
        <is>
          <t>✅ คำตอบที่ถูกต้อง: ข้อ ก.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2" s="2" t="n"/>
      <c r="L1862" s="2" t="inlineStr">
        <is>
          <t>Pharmacy Laws &amp; Ethics</t>
        </is>
      </c>
      <c r="M1862" s="2" t="inlineStr">
        <is>
          <t>SAP</t>
        </is>
      </c>
      <c r="N1862" s="2" t="inlineStr">
        <is>
          <t>ข้อ 4 (PLE_CC1_Key_Rx20_UBU.md)</t>
        </is>
      </c>
      <c r="O1862" s="2" t="inlineStr">
        <is>
          <t>Mock</t>
        </is>
      </c>
      <c r="P1862" s="2" t="inlineStr">
        <is>
          <t>Mock Rx20 UBU</t>
        </is>
      </c>
    </row>
    <row r="1863" ht="13.2" customHeight="1" s="37">
      <c r="A1863" s="8" t="inlineStr">
        <is>
          <t>1884</t>
        </is>
      </c>
      <c r="B1863" s="2" t="inlineStr">
        <is>
          <t>ไม่ต้องปรับเปลี่ยนใดๆ ผู้ป่วยมีภาวะ edema กดบุ๋ม 2+ จึงควรได้รับยา Loop diuretics เพื่อขับน้ำส่วนเกิน ออกจากร่างกาย</t>
        </is>
      </c>
      <c r="C1863" s="2" t="n"/>
      <c r="D1863" s="2" t="inlineStr">
        <is>
          <t>พ.ร.บ. วัตถุที่ออกฤทธิ์ต่อจิตและประสาท พ.ศ. 2559 (ประเภท 2 และ 4)</t>
        </is>
      </c>
      <c r="E1863" s="2" t="inlineStr">
        <is>
          <t>พ.ร.บ. วิชาชีพเภสัชกรรม พ.ศ. 2537 และข้อบังคับจรรยาบรรณวิชาชีพ</t>
        </is>
      </c>
      <c r="F1863" s="2" t="inlineStr">
        <is>
          <t>พ.ร.บ. ผลิตภัณฑ์สมุนไพร พ.ศ. 2562</t>
        </is>
      </c>
      <c r="G1863" s="2" t="inlineStr">
        <is>
          <t>พ.ร.บ. เครื่องสำอาง พ.ศ. 2558</t>
        </is>
      </c>
      <c r="H1863" s="2" t="inlineStr">
        <is>
          <t>พ.ร.บ. หลักประกันสุขภาพแห่งชาติ พ.ศ. 2545</t>
        </is>
      </c>
      <c r="I1863" s="8" t="inlineStr">
        <is>
          <t>1</t>
        </is>
      </c>
      <c r="J186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3" s="2" t="n"/>
      <c r="L1863" s="2" t="inlineStr">
        <is>
          <t>Pharmacy Laws &amp; Ethics</t>
        </is>
      </c>
      <c r="M1863" s="2" t="inlineStr">
        <is>
          <t>SAP</t>
        </is>
      </c>
      <c r="N1863" s="2" t="inlineStr">
        <is>
          <t>ข้อ 5 (PLE_CC1_Key_Rx20_UBU.md)</t>
        </is>
      </c>
      <c r="O1863" s="2" t="inlineStr">
        <is>
          <t>Mock</t>
        </is>
      </c>
      <c r="P1863" s="2" t="inlineStr">
        <is>
          <t>Mock Rx20 UBU</t>
        </is>
      </c>
    </row>
    <row r="1864" ht="13.2" customHeight="1" s="37">
      <c r="A1864" s="8" t="inlineStr">
        <is>
          <t>1885</t>
        </is>
      </c>
      <c r="B1864" s="2" t="inlineStr">
        <is>
          <t>morning stiffness 15 นาที</t>
        </is>
      </c>
      <c r="C1864" s="2" t="n"/>
      <c r="D1864" s="2" t="inlineStr">
        <is>
          <t>Naloxone 0.4 mg IV stat</t>
        </is>
      </c>
      <c r="E1864" s="2" t="inlineStr">
        <is>
          <t>Flumazenil 0.2 mg IV stat</t>
        </is>
      </c>
      <c r="F1864" s="2" t="inlineStr">
        <is>
          <t>Vitamin K1 (Phytomenadione) 10 mg IV slow</t>
        </is>
      </c>
      <c r="G1864" s="2" t="inlineStr">
        <is>
          <t>Sodium thiosulfate 25% 50 mL IV</t>
        </is>
      </c>
      <c r="H1864" s="2" t="inlineStr">
        <is>
          <t>Calcium disodium EDTA 1 g IV</t>
        </is>
      </c>
      <c r="I1864" s="8" t="inlineStr">
        <is>
          <t>1</t>
        </is>
      </c>
      <c r="J18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64" s="2" t="n"/>
      <c r="L1864" s="2" t="inlineStr">
        <is>
          <t>General Therapeutics</t>
        </is>
      </c>
      <c r="M1864" s="2" t="inlineStr">
        <is>
          <t>Clinic</t>
        </is>
      </c>
      <c r="N1864" s="2" t="inlineStr">
        <is>
          <t>ข้อ 3 (PLE_CC1_Key_Rx20_UBU.md)</t>
        </is>
      </c>
      <c r="O1864" s="2" t="inlineStr">
        <is>
          <t>Mock</t>
        </is>
      </c>
      <c r="P1864" s="2" t="inlineStr">
        <is>
          <t>Mock Rx20 UBU</t>
        </is>
      </c>
    </row>
    <row r="1865" ht="13.2" customHeight="1" s="37">
      <c r="A1865" s="8" t="inlineStr">
        <is>
          <t>1886</t>
        </is>
      </c>
      <c r="B1865" s="2" t="inlineStr">
        <is>
          <t>เป็นอาการปวดแบบ symmetry artritis</t>
        </is>
      </c>
      <c r="C1865" s="2" t="n"/>
      <c r="D1865" s="2" t="inlineStr">
        <is>
          <t>Sodium thiosulfate 25% 50 mL IV</t>
        </is>
      </c>
      <c r="E1865" s="2" t="inlineStr">
        <is>
          <t>Calcium disodium EDTA 1 g IV</t>
        </is>
      </c>
      <c r="F1865" s="2" t="inlineStr">
        <is>
          <t>Desferrioxamine 1 g IM/IV</t>
        </is>
      </c>
      <c r="G1865" s="2" t="inlineStr">
        <is>
          <t>Dimercaprol (BAL) 3 mg/kg IM</t>
        </is>
      </c>
      <c r="H1865" s="2" t="inlineStr">
        <is>
          <t>Ethanol 10% IV infusion for Methanol poisoning</t>
        </is>
      </c>
      <c r="I1865" s="8" t="inlineStr">
        <is>
          <t>1</t>
        </is>
      </c>
      <c r="J18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5" s="2" t="n"/>
      <c r="L1865" s="2" t="inlineStr">
        <is>
          <t>General Therapeutics</t>
        </is>
      </c>
      <c r="M1865" s="2" t="inlineStr">
        <is>
          <t>Clinic</t>
        </is>
      </c>
      <c r="N1865" s="2" t="inlineStr">
        <is>
          <t>ข้อ 4 (PLE_CC1_Key_Rx20_UBU.md)</t>
        </is>
      </c>
      <c r="O1865" s="2" t="inlineStr">
        <is>
          <t>Mock</t>
        </is>
      </c>
      <c r="P1865" s="2" t="inlineStr">
        <is>
          <t>Mock Rx20 UBU</t>
        </is>
      </c>
    </row>
    <row r="1866" ht="13.2" customHeight="1" s="37">
      <c r="A1866" s="8" t="inlineStr">
        <is>
          <t>1887</t>
        </is>
      </c>
      <c r="B1866" s="2" t="inlineStr">
        <is>
          <t>เป็นอาการปวดแบบ asymmetry artritis 22.ยาที่ควรเลือกใช้เป็นตัวแรก ในผู้ป่วยรายนี้</t>
        </is>
      </c>
      <c r="C1866" s="2" t="n"/>
      <c r="D1866" s="2" t="inlineStr">
        <is>
          <t>Dimercaprol (BAL) 3 mg/kg IM</t>
        </is>
      </c>
      <c r="E1866" s="2" t="inlineStr">
        <is>
          <t>Ethanol 10% IV infusion for Methanol poisoning</t>
        </is>
      </c>
      <c r="F1866" s="2" t="inlineStr">
        <is>
          <t>Fomepizole 15 mg/kg IV loading</t>
        </is>
      </c>
      <c r="G1866" s="2" t="inlineStr">
        <is>
          <t>N-acetylcysteine (NAC) IV infusion protocol</t>
        </is>
      </c>
      <c r="H1866" s="2" t="inlineStr">
        <is>
          <t>Atropine sulfate 2 mg IV Q5-10 min</t>
        </is>
      </c>
      <c r="I1866" s="8" t="inlineStr">
        <is>
          <t>1</t>
        </is>
      </c>
      <c r="J18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6" s="2" t="n"/>
      <c r="L1866" s="2" t="inlineStr">
        <is>
          <t>General Therapeutics</t>
        </is>
      </c>
      <c r="M1866" s="2" t="inlineStr">
        <is>
          <t>Clinic</t>
        </is>
      </c>
      <c r="N1866" s="2" t="inlineStr">
        <is>
          <t>ข้อ 5 (PLE_CC1_Key_Rx20_UBU.md)</t>
        </is>
      </c>
      <c r="O1866" s="2" t="inlineStr">
        <is>
          <t>Mock</t>
        </is>
      </c>
      <c r="P1866" s="2" t="inlineStr">
        <is>
          <t>Mock Rx20 UBU</t>
        </is>
      </c>
    </row>
    <row r="1867" ht="13.2" customHeight="1" s="37">
      <c r="A1867" s="8" t="inlineStr">
        <is>
          <t>1888</t>
        </is>
      </c>
      <c r="B1867" s="2" t="inlineStr">
        <is>
          <t>ห้ามให้ยาดังกล่าวในผู้ป่วยไข้เลือดออก</t>
        </is>
      </c>
      <c r="C1867" s="2" t="n"/>
      <c r="D1867" s="2" t="inlineStr">
        <is>
          <t>N-acetylcysteine (NAC) IV infusion protocol</t>
        </is>
      </c>
      <c r="E1867" s="2" t="inlineStr">
        <is>
          <t>Atropine sulfate 2 mg IV Q5-10 min</t>
        </is>
      </c>
      <c r="F1867" s="2" t="inlineStr">
        <is>
          <t>Pralidoxime (2-PAM) 1-2 g IV over 30 min</t>
        </is>
      </c>
      <c r="G1867" s="2" t="inlineStr">
        <is>
          <t>Naloxone 0.4 mg IV stat</t>
        </is>
      </c>
      <c r="H1867" s="2" t="inlineStr">
        <is>
          <t>Flumazenil 0.2 mg IV stat</t>
        </is>
      </c>
      <c r="I1867" s="8" t="inlineStr">
        <is>
          <t>1</t>
        </is>
      </c>
      <c r="J18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67" s="2" t="n"/>
      <c r="L1867" s="2" t="inlineStr">
        <is>
          <t>General Therapeutics</t>
        </is>
      </c>
      <c r="M1867" s="2" t="inlineStr">
        <is>
          <t>Clinic</t>
        </is>
      </c>
      <c r="N1867" s="2" t="inlineStr">
        <is>
          <t>ข้อ 1 (PLE_CC1_Key_Rx20_UBU.md)</t>
        </is>
      </c>
      <c r="O1867" s="2" t="inlineStr">
        <is>
          <t>Mock</t>
        </is>
      </c>
      <c r="P1867" s="2" t="inlineStr">
        <is>
          <t>Mock Rx20 UBU</t>
        </is>
      </c>
    </row>
    <row r="1868" ht="13.2" customHeight="1" s="37">
      <c r="A1868" s="8" t="inlineStr">
        <is>
          <t>1889</t>
        </is>
      </c>
      <c r="B1868" s="2" t="inlineStr">
        <is>
          <t>ห้ามใช้ยาดังกล่าวในผู้ป่วย glucose-6-phosphate dehydrogenase</t>
        </is>
      </c>
      <c r="C1868" s="2" t="n"/>
      <c r="D1868" s="2" t="inlineStr">
        <is>
          <t>Semaglutide 0.5 mg SC weekly</t>
        </is>
      </c>
      <c r="E1868" s="2" t="inlineStr">
        <is>
          <t>Metformin 500 mg BID</t>
        </is>
      </c>
      <c r="F1868" s="2" t="inlineStr">
        <is>
          <t>Glipizide 5 mg OD</t>
        </is>
      </c>
      <c r="G1868" s="2" t="inlineStr">
        <is>
          <t>Empagliflozin 10 mg OD</t>
        </is>
      </c>
      <c r="H1868" s="2" t="inlineStr">
        <is>
          <t>Sitagliptin 100 mg OD</t>
        </is>
      </c>
      <c r="I1868" s="8" t="inlineStr">
        <is>
          <t>1</t>
        </is>
      </c>
      <c r="J1868" s="2"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868" s="2" t="n"/>
      <c r="L1868" s="2" t="inlineStr">
        <is>
          <t>Diabetes &amp; Endocrine</t>
        </is>
      </c>
      <c r="M1868" s="2" t="inlineStr">
        <is>
          <t>Clinic</t>
        </is>
      </c>
      <c r="N1868" s="2" t="inlineStr">
        <is>
          <t>ข้อ 2 (PLE_CC1_Key_Rx20_UBU.md)</t>
        </is>
      </c>
      <c r="O1868" s="2" t="inlineStr">
        <is>
          <t>Mock</t>
        </is>
      </c>
      <c r="P1868" s="2" t="inlineStr">
        <is>
          <t>Mock Rx20 UBU</t>
        </is>
      </c>
    </row>
    <row r="1869" ht="13.2" customHeight="1" s="37">
      <c r="A1869" s="8" t="inlineStr">
        <is>
          <t>1890</t>
        </is>
      </c>
      <c r="B1869" s="2" t="inlineStr">
        <is>
          <t>ขนาดยาในผู้ใหญ่ไม่เกิน 6 g/day</t>
        </is>
      </c>
      <c r="C1869" s="2" t="n"/>
      <c r="D1869" s="2" t="inlineStr">
        <is>
          <t>Sodium thiosulfate 25% 50 mL IV</t>
        </is>
      </c>
      <c r="E1869" s="2" t="inlineStr">
        <is>
          <t>Calcium disodium EDTA 1 g IV</t>
        </is>
      </c>
      <c r="F1869" s="2" t="inlineStr">
        <is>
          <t>Desferrioxamine 1 g IM/IV</t>
        </is>
      </c>
      <c r="G1869" s="2" t="inlineStr">
        <is>
          <t>Dimercaprol (BAL) 3 mg/kg IM</t>
        </is>
      </c>
      <c r="H1869" s="2" t="inlineStr">
        <is>
          <t>Ethanol 10% IV infusion for Methanol poisoning</t>
        </is>
      </c>
      <c r="I1869" s="8" t="inlineStr">
        <is>
          <t>1</t>
        </is>
      </c>
      <c r="J18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69" s="2" t="n"/>
      <c r="L1869" s="2" t="inlineStr">
        <is>
          <t>General Therapeutics</t>
        </is>
      </c>
      <c r="M1869" s="2" t="inlineStr">
        <is>
          <t>Clinic</t>
        </is>
      </c>
      <c r="N1869" s="2" t="inlineStr">
        <is>
          <t>ข้อ 3 (PLE_CC1_Key_Rx20_UBU.md)</t>
        </is>
      </c>
      <c r="O1869" s="2" t="inlineStr">
        <is>
          <t>Mock</t>
        </is>
      </c>
      <c r="P1869" s="2" t="inlineStr">
        <is>
          <t>Mock Rx20 UBU</t>
        </is>
      </c>
    </row>
    <row r="1870" ht="13.2" customHeight="1" s="37">
      <c r="A1870" s="8" t="inlineStr">
        <is>
          <t>1891</t>
        </is>
      </c>
      <c r="B1870" s="2" t="inlineStr">
        <is>
          <t>Arylacetic acids</t>
        </is>
      </c>
      <c r="C1870" s="2" t="n"/>
      <c r="D1870" s="2" t="inlineStr">
        <is>
          <t>Dimercaprol (BAL) 3 mg/kg IM</t>
        </is>
      </c>
      <c r="E1870" s="2" t="inlineStr">
        <is>
          <t>Ethanol 10% IV infusion for Methanol poisoning</t>
        </is>
      </c>
      <c r="F1870" s="2" t="inlineStr">
        <is>
          <t>Fomepizole 15 mg/kg IV loading</t>
        </is>
      </c>
      <c r="G1870" s="2" t="inlineStr">
        <is>
          <t>N-acetylcysteine (NAC) IV infusion protocol</t>
        </is>
      </c>
      <c r="H1870" s="2" t="inlineStr">
        <is>
          <t>Atropine sulfate 2 mg IV Q5-10 min</t>
        </is>
      </c>
      <c r="I1870" s="8" t="inlineStr">
        <is>
          <t>1</t>
        </is>
      </c>
      <c r="J18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0" s="2" t="n"/>
      <c r="L1870" s="2" t="inlineStr">
        <is>
          <t>General Therapeutics</t>
        </is>
      </c>
      <c r="M1870" s="2" t="inlineStr">
        <is>
          <t>Clinic</t>
        </is>
      </c>
      <c r="N1870" s="2" t="inlineStr">
        <is>
          <t>ข้อ 1 (PLE_CC1_Key_Rx20_UBU.md)</t>
        </is>
      </c>
      <c r="O1870" s="2" t="inlineStr">
        <is>
          <t>Mock</t>
        </is>
      </c>
      <c r="P1870" s="2" t="inlineStr">
        <is>
          <t>Mock Rx20 UBU</t>
        </is>
      </c>
    </row>
    <row r="1871" ht="13.2" customHeight="1" s="37">
      <c r="A1871" s="8" t="inlineStr">
        <is>
          <t>1892</t>
        </is>
      </c>
      <c r="B1871" s="2" t="inlineStr">
        <is>
          <t>Selective COX-ll inhibitors</t>
        </is>
      </c>
      <c r="C1871" s="2" t="n"/>
      <c r="D1871" s="2" t="inlineStr">
        <is>
          <t>N-acetylcysteine (NAC) IV infusion protocol</t>
        </is>
      </c>
      <c r="E1871" s="2" t="inlineStr">
        <is>
          <t>Atropine sulfate 2 mg IV Q5-10 min</t>
        </is>
      </c>
      <c r="F1871" s="2" t="inlineStr">
        <is>
          <t>Pralidoxime (2-PAM) 1-2 g IV over 30 min</t>
        </is>
      </c>
      <c r="G1871" s="2" t="inlineStr">
        <is>
          <t>Naloxone 0.4 mg IV stat</t>
        </is>
      </c>
      <c r="H1871" s="2" t="inlineStr">
        <is>
          <t>Flumazenil 0.2 mg IV stat</t>
        </is>
      </c>
      <c r="I1871" s="8" t="inlineStr">
        <is>
          <t>1</t>
        </is>
      </c>
      <c r="J18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71" s="2" t="n"/>
      <c r="L1871" s="2" t="inlineStr">
        <is>
          <t>General Therapeutics</t>
        </is>
      </c>
      <c r="M1871" s="2" t="inlineStr">
        <is>
          <t>Clinic</t>
        </is>
      </c>
      <c r="N1871" s="2" t="inlineStr">
        <is>
          <t>ข้อ 4 (PLE_CC1_Key_Rx20_UBU.md)</t>
        </is>
      </c>
      <c r="O1871" s="2" t="inlineStr">
        <is>
          <t>Mock</t>
        </is>
      </c>
      <c r="P1871" s="2" t="inlineStr">
        <is>
          <t>Mock Rx20 UBU</t>
        </is>
      </c>
    </row>
    <row r="1872" ht="13.2" customHeight="1" s="37">
      <c r="A1872" s="8" t="inlineStr">
        <is>
          <t>1893</t>
        </is>
      </c>
      <c r="B1872" s="2" t="inlineStr">
        <is>
          <t>Arylpropanoic acids</t>
        </is>
      </c>
      <c r="C1872" s="2" t="n"/>
      <c r="D1872" s="2" t="inlineStr">
        <is>
          <t>Naloxone 0.4 mg IV stat</t>
        </is>
      </c>
      <c r="E1872" s="2" t="inlineStr">
        <is>
          <t>Flumazenil 0.2 mg IV stat</t>
        </is>
      </c>
      <c r="F1872" s="2" t="inlineStr">
        <is>
          <t>Vitamin K1 (Phytomenadione) 10 mg IV slow</t>
        </is>
      </c>
      <c r="G1872" s="2" t="inlineStr">
        <is>
          <t>Sodium thiosulfate 25% 50 mL IV</t>
        </is>
      </c>
      <c r="H1872" s="2" t="inlineStr">
        <is>
          <t>Calcium disodium EDTA 1 g IV</t>
        </is>
      </c>
      <c r="I1872" s="8" t="inlineStr">
        <is>
          <t>1</t>
        </is>
      </c>
      <c r="J18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72" s="2" t="n"/>
      <c r="L1872" s="2" t="inlineStr">
        <is>
          <t>General Therapeutics</t>
        </is>
      </c>
      <c r="M1872" s="2" t="inlineStr">
        <is>
          <t>Clinic</t>
        </is>
      </c>
      <c r="N1872" s="2" t="inlineStr">
        <is>
          <t>ข้อ 5 (PLE_CC1_Key_Rx20_UBU.md)</t>
        </is>
      </c>
      <c r="O1872" s="2" t="inlineStr">
        <is>
          <t>Mock</t>
        </is>
      </c>
      <c r="P1872" s="2" t="inlineStr">
        <is>
          <t>Mock Rx20 UBU</t>
        </is>
      </c>
    </row>
    <row r="1873" ht="13.2" customHeight="1" s="37">
      <c r="A1873" s="8" t="inlineStr">
        <is>
          <t>1894</t>
        </is>
      </c>
      <c r="B1873" s="2" t="inlineStr">
        <is>
          <t>ลดอุณหภูมิของหม้อเคลือบ</t>
        </is>
      </c>
      <c r="C1873" s="2" t="n"/>
      <c r="D1873" s="2" t="inlineStr">
        <is>
          <t>Sodium thiosulfate 25% 50 mL IV</t>
        </is>
      </c>
      <c r="E1873" s="2" t="inlineStr">
        <is>
          <t>Calcium disodium EDTA 1 g IV</t>
        </is>
      </c>
      <c r="F1873" s="2" t="inlineStr">
        <is>
          <t>Desferrioxamine 1 g IM/IV</t>
        </is>
      </c>
      <c r="G1873" s="2" t="inlineStr">
        <is>
          <t>Dimercaprol (BAL) 3 mg/kg IM</t>
        </is>
      </c>
      <c r="H1873" s="2" t="inlineStr">
        <is>
          <t>Ethanol 10% IV infusion for Methanol poisoning</t>
        </is>
      </c>
      <c r="I1873" s="8" t="inlineStr">
        <is>
          <t>1</t>
        </is>
      </c>
      <c r="J18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3" s="2" t="n"/>
      <c r="L1873" s="2" t="inlineStr">
        <is>
          <t>General Therapeutics</t>
        </is>
      </c>
      <c r="M1873" s="2" t="inlineStr">
        <is>
          <t>Clinic</t>
        </is>
      </c>
      <c r="N1873" s="2" t="inlineStr">
        <is>
          <t>ข้อ 1 (PLE_CC1_Key_Rx20_UBU.md)</t>
        </is>
      </c>
      <c r="O1873" s="2" t="inlineStr">
        <is>
          <t>Mock</t>
        </is>
      </c>
      <c r="P1873" s="2" t="inlineStr">
        <is>
          <t>Mock Rx20 UBU</t>
        </is>
      </c>
    </row>
    <row r="1874" ht="13.2" customHeight="1" s="37">
      <c r="A1874" s="8" t="inlineStr">
        <is>
          <t>1895</t>
        </is>
      </c>
      <c r="B1874" s="2" t="inlineStr">
        <is>
          <t>ปรับให้หัวพ่นน้ำยาเคลือบเข้าใกล้เม็ดยามากขึ้น</t>
        </is>
      </c>
      <c r="C1874" s="2" t="n"/>
      <c r="D1874" s="2" t="inlineStr">
        <is>
          <t>พ.ร.บ. เครื่องสำอาง พ.ศ. 2558</t>
        </is>
      </c>
      <c r="E1874" s="2" t="inlineStr">
        <is>
          <t>พ.ร.บ. หลักประกันสุขภาพแห่งชาติ พ.ศ. 2545</t>
        </is>
      </c>
      <c r="F1874" s="2" t="inlineStr">
        <is>
          <t>การปฏิบัติทางเภสัชกรรมชุมชน (Good Pharmacy Practice: GPP)</t>
        </is>
      </c>
      <c r="G1874" s="2" t="inlineStr">
        <is>
          <t>บัญชียาหลักแห่งชาติ (National List of Essential Medicines: NLEM)</t>
        </is>
      </c>
      <c r="H1874" s="2" t="inlineStr">
        <is>
          <t>เกณฑ์จริยธรรมว่าด้วยการส่งเสริมการขายยาของกระทรวงสาธารณสุข</t>
        </is>
      </c>
      <c r="I1874" s="8" t="inlineStr">
        <is>
          <t>1</t>
        </is>
      </c>
      <c r="J187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4" s="2" t="n"/>
      <c r="L1874" s="2" t="inlineStr">
        <is>
          <t>Pharmacy Laws &amp; Ethics</t>
        </is>
      </c>
      <c r="M1874" s="2" t="inlineStr">
        <is>
          <t>SAP</t>
        </is>
      </c>
      <c r="N1874" s="2" t="inlineStr">
        <is>
          <t>ข้อ 2 (PLE_CC1_Key_Rx20_UBU.md)</t>
        </is>
      </c>
      <c r="O1874" s="2" t="inlineStr">
        <is>
          <t>Mock</t>
        </is>
      </c>
      <c r="P1874" s="2" t="inlineStr">
        <is>
          <t>Mock Rx20 UBU</t>
        </is>
      </c>
    </row>
    <row r="1875" ht="13.2" customHeight="1" s="37">
      <c r="A1875" s="8" t="inlineStr">
        <is>
          <t>1896</t>
        </is>
      </c>
      <c r="B1875" s="2" t="inlineStr">
        <is>
          <t>ลดอัตราเร็วในการพ่นยาเคลือบออกมา</t>
        </is>
      </c>
      <c r="C1875" s="2" t="n"/>
      <c r="D1875" s="2" t="inlineStr">
        <is>
          <t>N-acetylcysteine (NAC) IV infusion protocol</t>
        </is>
      </c>
      <c r="E1875" s="2" t="inlineStr">
        <is>
          <t>Atropine sulfate 2 mg IV Q5-10 min</t>
        </is>
      </c>
      <c r="F1875" s="2" t="inlineStr">
        <is>
          <t>Pralidoxime (2-PAM) 1-2 g IV over 30 min</t>
        </is>
      </c>
      <c r="G1875" s="2" t="inlineStr">
        <is>
          <t>Naloxone 0.4 mg IV stat</t>
        </is>
      </c>
      <c r="H1875" s="2" t="inlineStr">
        <is>
          <t>Flumazenil 0.2 mg IV stat</t>
        </is>
      </c>
      <c r="I1875" s="8" t="inlineStr">
        <is>
          <t>1</t>
        </is>
      </c>
      <c r="J18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75" s="2" t="n"/>
      <c r="L1875" s="2" t="inlineStr">
        <is>
          <t>General Therapeutics</t>
        </is>
      </c>
      <c r="M1875" s="2" t="inlineStr">
        <is>
          <t>Clinic</t>
        </is>
      </c>
      <c r="N1875" s="2" t="inlineStr">
        <is>
          <t>ข้อ 3 (PLE_CC1_Key_Rx20_UBU.md)</t>
        </is>
      </c>
      <c r="O1875" s="2" t="inlineStr">
        <is>
          <t>Mock</t>
        </is>
      </c>
      <c r="P1875" s="2" t="inlineStr">
        <is>
          <t>Mock Rx20 UBU</t>
        </is>
      </c>
    </row>
    <row r="1876" ht="13.2" customHeight="1" s="37">
      <c r="A1876" s="8" t="inlineStr">
        <is>
          <t>1897</t>
        </is>
      </c>
      <c r="B1876" s="2" t="inlineStr">
        <is>
          <t>ลดความเร็วในการหมุนรอบขอบเครื่อง</t>
        </is>
      </c>
      <c r="C1876" s="2" t="n"/>
      <c r="D1876" s="2" t="inlineStr">
        <is>
          <t>Naloxone 0.4 mg IV stat</t>
        </is>
      </c>
      <c r="E1876" s="2" t="inlineStr">
        <is>
          <t>Flumazenil 0.2 mg IV stat</t>
        </is>
      </c>
      <c r="F1876" s="2" t="inlineStr">
        <is>
          <t>Vitamin K1 (Phytomenadione) 10 mg IV slow</t>
        </is>
      </c>
      <c r="G1876" s="2" t="inlineStr">
        <is>
          <t>Sodium thiosulfate 25% 50 mL IV</t>
        </is>
      </c>
      <c r="H1876" s="2" t="inlineStr">
        <is>
          <t>Calcium disodium EDTA 1 g IV</t>
        </is>
      </c>
      <c r="I1876" s="8" t="inlineStr">
        <is>
          <t>1</t>
        </is>
      </c>
      <c r="J18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76" s="2" t="n"/>
      <c r="L1876" s="2" t="inlineStr">
        <is>
          <t>General Therapeutics</t>
        </is>
      </c>
      <c r="M1876" s="2" t="inlineStr">
        <is>
          <t>Clinic</t>
        </is>
      </c>
      <c r="N1876" s="2" t="inlineStr">
        <is>
          <t>ข้อ 4 (PLE_CC1_Key_Rx20_UBU.md)</t>
        </is>
      </c>
      <c r="O1876" s="2" t="inlineStr">
        <is>
          <t>Mock</t>
        </is>
      </c>
      <c r="P1876" s="2" t="inlineStr">
        <is>
          <t>Mock Rx20 UBU</t>
        </is>
      </c>
    </row>
    <row r="1877" ht="13.2" customHeight="1" s="37">
      <c r="A1877" s="8" t="inlineStr">
        <is>
          <t>1898</t>
        </is>
      </c>
      <c r="B1877" s="2" t="inlineStr">
        <is>
          <t>Polyethylene glycol 6000</t>
        </is>
      </c>
      <c r="C1877" s="2" t="n"/>
      <c r="D1877" s="2" t="inlineStr">
        <is>
          <t>Sodium thiosulfate 25% 50 mL IV</t>
        </is>
      </c>
      <c r="E1877" s="2" t="inlineStr">
        <is>
          <t>Calcium disodium EDTA 1 g IV</t>
        </is>
      </c>
      <c r="F1877" s="2" t="inlineStr">
        <is>
          <t>Desferrioxamine 1 g IM/IV</t>
        </is>
      </c>
      <c r="G1877" s="2" t="inlineStr">
        <is>
          <t>Dimercaprol (BAL) 3 mg/kg IM</t>
        </is>
      </c>
      <c r="H1877" s="2" t="inlineStr">
        <is>
          <t>Ethanol 10% IV infusion for Methanol poisoning</t>
        </is>
      </c>
      <c r="I1877" s="8" t="inlineStr">
        <is>
          <t>1</t>
        </is>
      </c>
      <c r="J18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7" s="2" t="n"/>
      <c r="L1877" s="2" t="inlineStr">
        <is>
          <t>General Therapeutics</t>
        </is>
      </c>
      <c r="M1877" s="2" t="inlineStr">
        <is>
          <t>Clinic</t>
        </is>
      </c>
      <c r="N1877" s="2" t="inlineStr">
        <is>
          <t>ข้อ 1 (PLE_CC1_Key_Rx20_UBU.md)</t>
        </is>
      </c>
      <c r="O1877" s="2" t="inlineStr">
        <is>
          <t>Mock</t>
        </is>
      </c>
      <c r="P1877" s="2" t="inlineStr">
        <is>
          <t>Mock Rx20 UBU</t>
        </is>
      </c>
    </row>
    <row r="1878" ht="13.2" customHeight="1" s="37">
      <c r="A1878" s="8" t="inlineStr">
        <is>
          <t>1899</t>
        </is>
      </c>
      <c r="B1878" s="2" t="inlineStr">
        <is>
          <t>Sodiumcarboxy Methyl Cellulose</t>
        </is>
      </c>
      <c r="C1878" s="2" t="n"/>
      <c r="D1878" s="2" t="inlineStr">
        <is>
          <t>Dimercaprol (BAL) 3 mg/kg IM</t>
        </is>
      </c>
      <c r="E1878" s="2" t="inlineStr">
        <is>
          <t>Ethanol 10% IV infusion for Methanol poisoning</t>
        </is>
      </c>
      <c r="F1878" s="2" t="inlineStr">
        <is>
          <t>Fomepizole 15 mg/kg IV loading</t>
        </is>
      </c>
      <c r="G1878" s="2" t="inlineStr">
        <is>
          <t>N-acetylcysteine (NAC) IV infusion protocol</t>
        </is>
      </c>
      <c r="H1878" s="2" t="inlineStr">
        <is>
          <t>Atropine sulfate 2 mg IV Q5-10 min</t>
        </is>
      </c>
      <c r="I1878" s="8" t="inlineStr">
        <is>
          <t>1</t>
        </is>
      </c>
      <c r="J18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8" s="2" t="n"/>
      <c r="L1878" s="2" t="inlineStr">
        <is>
          <t>General Therapeutics</t>
        </is>
      </c>
      <c r="M1878" s="2" t="inlineStr">
        <is>
          <t>Clinic</t>
        </is>
      </c>
      <c r="N1878" s="2" t="inlineStr">
        <is>
          <t>ข้อ 2 (PLE_CC1_Key_Rx20_UBU.md)</t>
        </is>
      </c>
      <c r="O1878" s="2" t="inlineStr">
        <is>
          <t>Mock</t>
        </is>
      </c>
      <c r="P1878" s="2" t="inlineStr">
        <is>
          <t>Mock Rx20 UBU</t>
        </is>
      </c>
    </row>
    <row r="1879" ht="13.2" customHeight="1" s="37">
      <c r="A1879" s="8" t="inlineStr">
        <is>
          <t>1900</t>
        </is>
      </c>
      <c r="B1879" s="2" t="inlineStr">
        <is>
          <t>Cellulose acetate phthalate</t>
        </is>
      </c>
      <c r="C1879" s="2" t="n"/>
      <c r="D1879" s="2" t="inlineStr">
        <is>
          <t>N-acetylcysteine (NAC) IV infusion protocol</t>
        </is>
      </c>
      <c r="E1879" s="2" t="inlineStr">
        <is>
          <t>Atropine sulfate 2 mg IV Q5-10 min</t>
        </is>
      </c>
      <c r="F1879" s="2" t="inlineStr">
        <is>
          <t>Pralidoxime (2-PAM) 1-2 g IV over 30 min</t>
        </is>
      </c>
      <c r="G1879" s="2" t="inlineStr">
        <is>
          <t>Naloxone 0.4 mg IV stat</t>
        </is>
      </c>
      <c r="H1879" s="2" t="inlineStr">
        <is>
          <t>Flumazenil 0.2 mg IV stat</t>
        </is>
      </c>
      <c r="I1879" s="8" t="inlineStr">
        <is>
          <t>1</t>
        </is>
      </c>
      <c r="J18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79" s="2" t="n"/>
      <c r="L1879" s="2" t="inlineStr">
        <is>
          <t>General Therapeutics</t>
        </is>
      </c>
      <c r="M1879" s="2" t="inlineStr">
        <is>
          <t>Clinic</t>
        </is>
      </c>
      <c r="N1879" s="2" t="inlineStr">
        <is>
          <t>ข้อ 3 (PLE_CC1_Key_Rx20_UBU.md)</t>
        </is>
      </c>
      <c r="O1879" s="2" t="inlineStr">
        <is>
          <t>Mock</t>
        </is>
      </c>
      <c r="P1879" s="2" t="inlineStr">
        <is>
          <t>Mock Rx20 UBU</t>
        </is>
      </c>
    </row>
    <row r="1880" ht="13.2" customHeight="1" s="37">
      <c r="A1880" s="8" t="inlineStr">
        <is>
          <t>1901</t>
        </is>
      </c>
      <c r="B1880" s="2" t="inlineStr">
        <is>
          <t>Hydroxypropyl Methylcellulose</t>
        </is>
      </c>
      <c r="C1880" s="2" t="n"/>
      <c r="D1880" s="2" t="inlineStr">
        <is>
          <t>Naloxone 0.4 mg IV stat</t>
        </is>
      </c>
      <c r="E1880" s="2" t="inlineStr">
        <is>
          <t>Flumazenil 0.2 mg IV stat</t>
        </is>
      </c>
      <c r="F1880" s="2" t="inlineStr">
        <is>
          <t>Vitamin K1 (Phytomenadione) 10 mg IV slow</t>
        </is>
      </c>
      <c r="G1880" s="2" t="inlineStr">
        <is>
          <t>Sodium thiosulfate 25% 50 mL IV</t>
        </is>
      </c>
      <c r="H1880" s="2" t="inlineStr">
        <is>
          <t>Calcium disodium EDTA 1 g IV</t>
        </is>
      </c>
      <c r="I1880" s="8" t="inlineStr">
        <is>
          <t>1</t>
        </is>
      </c>
      <c r="J18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80" s="2" t="n"/>
      <c r="L1880" s="2" t="inlineStr">
        <is>
          <t>General Therapeutics</t>
        </is>
      </c>
      <c r="M1880" s="2" t="inlineStr">
        <is>
          <t>Clinic</t>
        </is>
      </c>
      <c r="N1880" s="2" t="inlineStr">
        <is>
          <t>ข้อ 4 (PLE_CC1_Key_Rx20_UBU.md)</t>
        </is>
      </c>
      <c r="O1880" s="2" t="inlineStr">
        <is>
          <t>Mock</t>
        </is>
      </c>
      <c r="P1880" s="2" t="inlineStr">
        <is>
          <t>Mock Rx20 UBU</t>
        </is>
      </c>
    </row>
    <row r="1881" ht="13.2" customHeight="1" s="37">
      <c r="A1881" s="8" t="inlineStr">
        <is>
          <t>1902</t>
        </is>
      </c>
      <c r="B1881" s="2" t="inlineStr">
        <is>
          <t>Polyvinyl pyrolidone</t>
        </is>
      </c>
      <c r="C1881" s="2" t="n"/>
      <c r="D1881" s="2" t="inlineStr">
        <is>
          <t>Sodium thiosulfate 25% 50 mL IV</t>
        </is>
      </c>
      <c r="E1881" s="2" t="inlineStr">
        <is>
          <t>Calcium disodium EDTA 1 g IV</t>
        </is>
      </c>
      <c r="F1881" s="2" t="inlineStr">
        <is>
          <t>Desferrioxamine 1 g IM/IV</t>
        </is>
      </c>
      <c r="G1881" s="2" t="inlineStr">
        <is>
          <t>Dimercaprol (BAL) 3 mg/kg IM</t>
        </is>
      </c>
      <c r="H1881" s="2" t="inlineStr">
        <is>
          <t>Ethanol 10% IV infusion for Methanol poisoning</t>
        </is>
      </c>
      <c r="I1881" s="8" t="inlineStr">
        <is>
          <t>1</t>
        </is>
      </c>
      <c r="J18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81" s="2" t="n"/>
      <c r="L1881" s="2" t="inlineStr">
        <is>
          <t>General Therapeutics</t>
        </is>
      </c>
      <c r="M1881" s="2" t="inlineStr">
        <is>
          <t>Clinic</t>
        </is>
      </c>
      <c r="N1881" s="2" t="inlineStr">
        <is>
          <t>ข้อ 5 (PLE_CC1_Key_Rx20_UBU.md)</t>
        </is>
      </c>
      <c r="O1881" s="2" t="inlineStr">
        <is>
          <t>Mock</t>
        </is>
      </c>
      <c r="P1881" s="2" t="inlineStr">
        <is>
          <t>Mock Rx20 UBU</t>
        </is>
      </c>
    </row>
    <row r="1882" ht="13.2" customHeight="1" s="37">
      <c r="A1882" s="8" t="inlineStr">
        <is>
          <t>1903</t>
        </is>
      </c>
      <c r="B1882" s="2" t="inlineStr">
        <is>
          <t>ยาบรรจุเสร็จที่ไม่ใช่ยาอันตรายหรือยาควบคุมพิเศษ</t>
        </is>
      </c>
      <c r="C1882" s="2" t="n"/>
      <c r="D1882" s="2" t="inlineStr">
        <is>
          <t>เกณฑ์จริยธรรมว่าด้วยการส่งเสริมการขายยาของกระทรวงสาธารณสุข</t>
        </is>
      </c>
      <c r="E1882" s="2" t="inlineStr">
        <is>
          <t>พ.ร.บ. ยา พ.ศ. 2510 (การจำหน่ายยาอันตรายและยาควบคุมพิเศษ)</t>
        </is>
      </c>
      <c r="F1882" s="2" t="inlineStr">
        <is>
          <t>พ.ร.บ. ยาเสพติดให้โทษ พ.ศ. 2522 (ยาเสพติดให้โทษประเภท 2 และ 3)</t>
        </is>
      </c>
      <c r="G1882" s="2" t="inlineStr">
        <is>
          <t>พ.ร.บ. วัตถุที่ออกฤทธิ์ต่อจิตและประสาท พ.ศ. 2559 (ประเภท 2 และ 4)</t>
        </is>
      </c>
      <c r="H1882" s="2" t="inlineStr">
        <is>
          <t>พ.ร.บ. วิชาชีพเภสัชกรรม พ.ศ. 2537 และข้อบังคับจรรยาบรรณวิชาชีพ</t>
        </is>
      </c>
      <c r="I1882" s="8" t="inlineStr">
        <is>
          <t>1</t>
        </is>
      </c>
      <c r="J188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2" s="2" t="n"/>
      <c r="L1882" s="2" t="inlineStr">
        <is>
          <t>Pharmacy Laws &amp; Ethics</t>
        </is>
      </c>
      <c r="M1882" s="2" t="inlineStr">
        <is>
          <t>SAP</t>
        </is>
      </c>
      <c r="N1882" s="2" t="inlineStr">
        <is>
          <t>ข้อ 4 (PLE_CC1_Key_Rx20_UBU.md)</t>
        </is>
      </c>
      <c r="O1882" s="2" t="inlineStr">
        <is>
          <t>Mock</t>
        </is>
      </c>
      <c r="P1882" s="2" t="inlineStr">
        <is>
          <t>Mock Rx20 UBU</t>
        </is>
      </c>
    </row>
    <row r="1883" ht="13.2" customHeight="1" s="37">
      <c r="A1883" s="8" t="inlineStr">
        <is>
          <t>1904</t>
        </is>
      </c>
      <c r="B1883" s="2" t="inlineStr">
        <is>
          <t>Cutaneous vasculitis</t>
        </is>
      </c>
      <c r="C1883" s="2" t="n"/>
      <c r="D1883" s="2" t="inlineStr">
        <is>
          <t>N-acetylcysteine (NAC) IV infusion protocol</t>
        </is>
      </c>
      <c r="E1883" s="2" t="inlineStr">
        <is>
          <t>Atropine sulfate 2 mg IV Q5-10 min</t>
        </is>
      </c>
      <c r="F1883" s="2" t="inlineStr">
        <is>
          <t>Pralidoxime (2-PAM) 1-2 g IV over 30 min</t>
        </is>
      </c>
      <c r="G1883" s="2" t="inlineStr">
        <is>
          <t>Naloxone 0.4 mg IV stat</t>
        </is>
      </c>
      <c r="H1883" s="2" t="inlineStr">
        <is>
          <t>Flumazenil 0.2 mg IV stat</t>
        </is>
      </c>
      <c r="I1883" s="8" t="inlineStr">
        <is>
          <t>1</t>
        </is>
      </c>
      <c r="J18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83" s="2" t="n"/>
      <c r="L1883" s="2" t="inlineStr">
        <is>
          <t>General Therapeutics</t>
        </is>
      </c>
      <c r="M1883" s="2" t="inlineStr">
        <is>
          <t>Clinic</t>
        </is>
      </c>
      <c r="N1883" s="2" t="inlineStr">
        <is>
          <t>ข้อ 1 (PLE_CC1_Key_Rx20_UBU.md)</t>
        </is>
      </c>
      <c r="O1883" s="2" t="inlineStr">
        <is>
          <t>Mock</t>
        </is>
      </c>
      <c r="P1883" s="2" t="inlineStr">
        <is>
          <t>Mock Rx20 UBU</t>
        </is>
      </c>
    </row>
    <row r="1884" ht="13.2" customHeight="1" s="37">
      <c r="A1884" s="8" t="inlineStr">
        <is>
          <t>1905</t>
        </is>
      </c>
      <c r="B1884" s="2" t="inlineStr">
        <is>
          <t>Erythema multiforme</t>
        </is>
      </c>
      <c r="C1884" s="2" t="n"/>
      <c r="D1884" s="2" t="inlineStr">
        <is>
          <t>Naloxone 0.4 mg IV stat</t>
        </is>
      </c>
      <c r="E1884" s="2" t="inlineStr">
        <is>
          <t>Flumazenil 0.2 mg IV stat</t>
        </is>
      </c>
      <c r="F1884" s="2" t="inlineStr">
        <is>
          <t>Vitamin K1 (Phytomenadione) 10 mg IV slow</t>
        </is>
      </c>
      <c r="G1884" s="2" t="inlineStr">
        <is>
          <t>Sodium thiosulfate 25% 50 mL IV</t>
        </is>
      </c>
      <c r="H1884" s="2" t="inlineStr">
        <is>
          <t>Calcium disodium EDTA 1 g IV</t>
        </is>
      </c>
      <c r="I1884" s="8" t="inlineStr">
        <is>
          <t>1</t>
        </is>
      </c>
      <c r="J18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84" s="2" t="n"/>
      <c r="L1884" s="2" t="inlineStr">
        <is>
          <t>General Therapeutics</t>
        </is>
      </c>
      <c r="M1884" s="2" t="inlineStr">
        <is>
          <t>Clinic</t>
        </is>
      </c>
      <c r="N1884" s="2" t="inlineStr">
        <is>
          <t>ข้อ 2 (PLE_CC1_Key_Rx20_UBU.md)</t>
        </is>
      </c>
      <c r="O1884" s="2" t="inlineStr">
        <is>
          <t>Mock</t>
        </is>
      </c>
      <c r="P1884" s="2" t="inlineStr">
        <is>
          <t>Mock Rx20 UBU</t>
        </is>
      </c>
    </row>
    <row r="1885" ht="13.2" customHeight="1" s="37">
      <c r="A1885" s="8" t="inlineStr">
        <is>
          <t>1906</t>
        </is>
      </c>
      <c r="B1885" s="2" t="inlineStr">
        <is>
          <t>Erythema nodusum</t>
        </is>
      </c>
      <c r="C1885" s="2" t="n"/>
      <c r="D1885" s="2" t="inlineStr">
        <is>
          <t>Sodium thiosulfate 25% 50 mL IV</t>
        </is>
      </c>
      <c r="E1885" s="2" t="inlineStr">
        <is>
          <t>Calcium disodium EDTA 1 g IV</t>
        </is>
      </c>
      <c r="F1885" s="2" t="inlineStr">
        <is>
          <t>Desferrioxamine 1 g IM/IV</t>
        </is>
      </c>
      <c r="G1885" s="2" t="inlineStr">
        <is>
          <t>Dimercaprol (BAL) 3 mg/kg IM</t>
        </is>
      </c>
      <c r="H1885" s="2" t="inlineStr">
        <is>
          <t>Ethanol 10% IV infusion for Methanol poisoning</t>
        </is>
      </c>
      <c r="I1885" s="8" t="inlineStr">
        <is>
          <t>1</t>
        </is>
      </c>
      <c r="J18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85" s="2" t="n"/>
      <c r="L1885" s="2" t="inlineStr">
        <is>
          <t>General Therapeutics</t>
        </is>
      </c>
      <c r="M1885" s="2" t="inlineStr">
        <is>
          <t>Clinic</t>
        </is>
      </c>
      <c r="N1885" s="2" t="inlineStr">
        <is>
          <t>ข้อ 3 (PLE_CC1_Key_Rx20_UBU.md)</t>
        </is>
      </c>
      <c r="O1885" s="2" t="inlineStr">
        <is>
          <t>Mock</t>
        </is>
      </c>
      <c r="P1885" s="2" t="inlineStr">
        <is>
          <t>Mock Rx20 UBU</t>
        </is>
      </c>
    </row>
    <row r="1886" ht="13.2" customHeight="1" s="37">
      <c r="A1886" s="8" t="inlineStr">
        <is>
          <t>1907</t>
        </is>
      </c>
      <c r="B1886" s="2" t="inlineStr">
        <is>
          <t>ผู้ป่วยมีอาการแสบร้อน เจ็บและบวมแดงตามเส้นเลือดที่ฉีด ถ้าแบ่งตาม NCC merp ของสหรัฐอเมริกาจัดอยู่ในประเภทใด</t>
        </is>
      </c>
      <c r="C1886" s="2" t="n"/>
      <c r="D1886" s="2" t="inlineStr">
        <is>
          <t>Dimercaprol (BAL) 3 mg/kg IM</t>
        </is>
      </c>
      <c r="E1886" s="2" t="inlineStr">
        <is>
          <t>Ethanol 10% IV infusion for Methanol poisoning</t>
        </is>
      </c>
      <c r="F1886" s="2" t="inlineStr">
        <is>
          <t>Fomepizole 15 mg/kg IV loading</t>
        </is>
      </c>
      <c r="G1886" s="2" t="inlineStr">
        <is>
          <t>N-acetylcysteine (NAC) IV infusion protocol</t>
        </is>
      </c>
      <c r="H1886" s="2" t="inlineStr">
        <is>
          <t>Atropine sulfate 2 mg IV Q5-10 min</t>
        </is>
      </c>
      <c r="I1886" s="8" t="inlineStr">
        <is>
          <t>1</t>
        </is>
      </c>
      <c r="J18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86" s="2" t="n"/>
      <c r="L1886" s="2" t="inlineStr">
        <is>
          <t>General Therapeutics</t>
        </is>
      </c>
      <c r="M1886" s="2" t="inlineStr">
        <is>
          <t>Clinic</t>
        </is>
      </c>
      <c r="N1886" s="2" t="inlineStr">
        <is>
          <t>ข้อ 34 (PLE_CC1_Key_Rx20_UBU.md)</t>
        </is>
      </c>
      <c r="O1886" s="2" t="inlineStr">
        <is>
          <t>Mock</t>
        </is>
      </c>
      <c r="P1886" s="2" t="inlineStr">
        <is>
          <t>Mock Rx20 UBU</t>
        </is>
      </c>
    </row>
    <row r="1887" ht="13.2" customHeight="1" s="37">
      <c r="A1887" s="8" t="inlineStr">
        <is>
          <t>1908</t>
        </is>
      </c>
      <c r="B1887" s="2" t="inlineStr">
        <is>
          <t>Category E</t>
        </is>
      </c>
      <c r="C1887" s="2" t="n"/>
      <c r="D1887" s="2" t="inlineStr">
        <is>
          <t>N-acetylcysteine (NAC) IV infusion protocol</t>
        </is>
      </c>
      <c r="E1887" s="2" t="inlineStr">
        <is>
          <t>Atropine sulfate 2 mg IV Q5-10 min</t>
        </is>
      </c>
      <c r="F1887" s="2" t="inlineStr">
        <is>
          <t>Pralidoxime (2-PAM) 1-2 g IV over 30 min</t>
        </is>
      </c>
      <c r="G1887" s="2" t="inlineStr">
        <is>
          <t>Naloxone 0.4 mg IV stat</t>
        </is>
      </c>
      <c r="H1887" s="2" t="inlineStr">
        <is>
          <t>Flumazenil 0.2 mg IV stat</t>
        </is>
      </c>
      <c r="I1887" s="8" t="inlineStr">
        <is>
          <t>1</t>
        </is>
      </c>
      <c r="J18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87" s="2" t="n"/>
      <c r="L1887" s="2" t="inlineStr">
        <is>
          <t>General Therapeutics</t>
        </is>
      </c>
      <c r="M1887" s="2" t="inlineStr">
        <is>
          <t>Clinic</t>
        </is>
      </c>
      <c r="N1887" s="2" t="inlineStr">
        <is>
          <t>ข้อ 5 (PLE_CC1_Key_Rx20_UBU.md)</t>
        </is>
      </c>
      <c r="O1887" s="2" t="inlineStr">
        <is>
          <t>Mock</t>
        </is>
      </c>
      <c r="P1887" s="2" t="inlineStr">
        <is>
          <t>Mock Rx20 UBU</t>
        </is>
      </c>
    </row>
    <row r="1888" ht="13.2" customHeight="1" s="37">
      <c r="A1888" s="8" t="inlineStr">
        <is>
          <t>1909</t>
        </is>
      </c>
      <c r="B1888" s="2" t="inlineStr">
        <is>
          <t>จากข้อข้างต้น สามารถใช้ยาในข้อใดรักษาภาวะดังกล่าวได้</t>
        </is>
      </c>
      <c r="C1888" s="2" t="n"/>
      <c r="D1888" s="2" t="inlineStr">
        <is>
          <t>Naloxone 0.4 mg IV stat</t>
        </is>
      </c>
      <c r="E1888" s="2" t="inlineStr">
        <is>
          <t>Flumazenil 0.2 mg IV stat</t>
        </is>
      </c>
      <c r="F1888" s="2" t="inlineStr">
        <is>
          <t>Vitamin K1 (Phytomenadione) 10 mg IV slow</t>
        </is>
      </c>
      <c r="G1888" s="2" t="inlineStr">
        <is>
          <t>Sodium thiosulfate 25% 50 mL IV</t>
        </is>
      </c>
      <c r="H1888" s="2" t="inlineStr">
        <is>
          <t>Calcium disodium EDTA 1 g IV</t>
        </is>
      </c>
      <c r="I1888" s="8" t="inlineStr">
        <is>
          <t>1</t>
        </is>
      </c>
      <c r="J18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88" s="2" t="n"/>
      <c r="L1888" s="2" t="inlineStr">
        <is>
          <t>General Therapeutics</t>
        </is>
      </c>
      <c r="M1888" s="2" t="inlineStr">
        <is>
          <t>Clinic</t>
        </is>
      </c>
      <c r="N1888" s="2" t="inlineStr">
        <is>
          <t>ข้อ 36 (PLE_CC1_Key_Rx20_UBU.md)</t>
        </is>
      </c>
      <c r="O1888" s="2" t="inlineStr">
        <is>
          <t>Mock</t>
        </is>
      </c>
      <c r="P1888" s="2" t="inlineStr">
        <is>
          <t>Mock Rx20 UBU</t>
        </is>
      </c>
    </row>
    <row r="1889" ht="13.2" customHeight="1" s="37">
      <c r="A1889" s="8" t="inlineStr">
        <is>
          <t>1910</t>
        </is>
      </c>
      <c r="B1889" s="2" t="inlineStr">
        <is>
          <t>สำนักงานปฏิรูประบบสุขภาพแห่งชาติ (สปรส.)</t>
        </is>
      </c>
      <c r="C1889" s="2" t="n"/>
      <c r="D1889" s="2" t="inlineStr">
        <is>
          <t>Sodium thiosulfate 25% 50 mL IV</t>
        </is>
      </c>
      <c r="E1889" s="2" t="inlineStr">
        <is>
          <t>Calcium disodium EDTA 1 g IV</t>
        </is>
      </c>
      <c r="F1889" s="2" t="inlineStr">
        <is>
          <t>Desferrioxamine 1 g IM/IV</t>
        </is>
      </c>
      <c r="G1889" s="2" t="inlineStr">
        <is>
          <t>Dimercaprol (BAL) 3 mg/kg IM</t>
        </is>
      </c>
      <c r="H1889" s="2" t="inlineStr">
        <is>
          <t>Ethanol 10% IV infusion for Methanol poisoning</t>
        </is>
      </c>
      <c r="I1889" s="8" t="inlineStr">
        <is>
          <t>1</t>
        </is>
      </c>
      <c r="J18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89" s="2" t="n"/>
      <c r="L1889" s="2" t="inlineStr">
        <is>
          <t>General Therapeutics</t>
        </is>
      </c>
      <c r="M1889" s="2" t="inlineStr">
        <is>
          <t>Clinic</t>
        </is>
      </c>
      <c r="N1889" s="2" t="inlineStr">
        <is>
          <t>ข้อ 4 (PLE_CC1_Key_Rx20_UBU.md)</t>
        </is>
      </c>
      <c r="O1889" s="2" t="inlineStr">
        <is>
          <t>Mock</t>
        </is>
      </c>
      <c r="P1889" s="2" t="inlineStr">
        <is>
          <t>Mock Rx20 UBU</t>
        </is>
      </c>
    </row>
    <row r="1890" ht="13.2" customHeight="1" s="37">
      <c r="A1890" s="8" t="inlineStr">
        <is>
          <t>1911</t>
        </is>
      </c>
      <c r="B1890" s="2" t="inlineStr">
        <is>
          <t>Maculopapular " คงลอก อ</t>
        </is>
      </c>
      <c r="C1890" s="2" t="n"/>
      <c r="D1890" s="2" t="inlineStr">
        <is>
          <t>Dimercaprol (BAL) 3 mg/kg IM</t>
        </is>
      </c>
      <c r="E1890" s="2" t="inlineStr">
        <is>
          <t>Ethanol 10% IV infusion for Methanol poisoning</t>
        </is>
      </c>
      <c r="F1890" s="2" t="inlineStr">
        <is>
          <t>Fomepizole 15 mg/kg IV loading</t>
        </is>
      </c>
      <c r="G1890" s="2" t="inlineStr">
        <is>
          <t>N-acetylcysteine (NAC) IV infusion protocol</t>
        </is>
      </c>
      <c r="H1890" s="2" t="inlineStr">
        <is>
          <t>Atropine sulfate 2 mg IV Q5-10 min</t>
        </is>
      </c>
      <c r="I1890" s="8" t="inlineStr">
        <is>
          <t>1</t>
        </is>
      </c>
      <c r="J18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0" s="2" t="n"/>
      <c r="L1890" s="2" t="inlineStr">
        <is>
          <t>General Therapeutics</t>
        </is>
      </c>
      <c r="M1890" s="2" t="inlineStr">
        <is>
          <t>Clinic</t>
        </is>
      </c>
      <c r="N1890" s="2" t="inlineStr">
        <is>
          <t>ข้อ 3 (PLE_CC1_Key_Rx20_UBU.md)</t>
        </is>
      </c>
      <c r="O1890" s="2" t="inlineStr">
        <is>
          <t>Mock</t>
        </is>
      </c>
      <c r="P1890" s="2" t="inlineStr">
        <is>
          <t>Mock Rx20 UBU</t>
        </is>
      </c>
    </row>
    <row r="1891" ht="13.2" customHeight="1" s="37">
      <c r="A1891" s="8" t="inlineStr">
        <is>
          <t>1912</t>
        </is>
      </c>
      <c r="B1891" s="2" t="inlineStr">
        <is>
          <t>Erytematous and Peeling</t>
        </is>
      </c>
      <c r="C1891" s="2" t="n"/>
      <c r="D1891" s="2" t="inlineStr">
        <is>
          <t>N-acetylcysteine (NAC) IV infusion protocol</t>
        </is>
      </c>
      <c r="E1891" s="2" t="inlineStr">
        <is>
          <t>Atropine sulfate 2 mg IV Q5-10 min</t>
        </is>
      </c>
      <c r="F1891" s="2" t="inlineStr">
        <is>
          <t>Pralidoxime (2-PAM) 1-2 g IV over 30 min</t>
        </is>
      </c>
      <c r="G1891" s="2" t="inlineStr">
        <is>
          <t>Naloxone 0.4 mg IV stat</t>
        </is>
      </c>
      <c r="H1891" s="2" t="inlineStr">
        <is>
          <t>Flumazenil 0.2 mg IV stat</t>
        </is>
      </c>
      <c r="I1891" s="8" t="inlineStr">
        <is>
          <t>1</t>
        </is>
      </c>
      <c r="J18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91" s="2" t="n"/>
      <c r="L1891" s="2" t="inlineStr">
        <is>
          <t>General Therapeutics</t>
        </is>
      </c>
      <c r="M1891" s="2" t="inlineStr">
        <is>
          <t>Clinic</t>
        </is>
      </c>
      <c r="N1891" s="2" t="inlineStr">
        <is>
          <t>ข้อ 4 (PLE_CC1_Key_Rx20_UBU.md)</t>
        </is>
      </c>
      <c r="O1891" s="2" t="inlineStr">
        <is>
          <t>Mock</t>
        </is>
      </c>
      <c r="P1891" s="2" t="inlineStr">
        <is>
          <t>Mock Rx20 UBU</t>
        </is>
      </c>
    </row>
    <row r="1892" ht="13.2" customHeight="1" s="37">
      <c r="A1892" s="8" t="inlineStr">
        <is>
          <t>1913</t>
        </is>
      </c>
      <c r="B1892" s="2" t="inlineStr">
        <is>
          <t>ควรรับประทานยาในเวลาเดิมทุกวันอย่างเคร่งครัด</t>
        </is>
      </c>
      <c r="C1892" s="2" t="n"/>
      <c r="D1892" s="2" t="inlineStr">
        <is>
          <t>Naloxone 0.4 mg IV stat</t>
        </is>
      </c>
      <c r="E1892" s="2" t="inlineStr">
        <is>
          <t>Flumazenil 0.2 mg IV stat</t>
        </is>
      </c>
      <c r="F1892" s="2" t="inlineStr">
        <is>
          <t>Vitamin K1 (Phytomenadione) 10 mg IV slow</t>
        </is>
      </c>
      <c r="G1892" s="2" t="inlineStr">
        <is>
          <t>Sodium thiosulfate 25% 50 mL IV</t>
        </is>
      </c>
      <c r="H1892" s="2" t="inlineStr">
        <is>
          <t>Calcium disodium EDTA 1 g IV</t>
        </is>
      </c>
      <c r="I1892" s="8" t="inlineStr">
        <is>
          <t>1</t>
        </is>
      </c>
      <c r="J18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92" s="2" t="n"/>
      <c r="L1892" s="2" t="inlineStr">
        <is>
          <t>General Therapeutics</t>
        </is>
      </c>
      <c r="M1892" s="2" t="inlineStr">
        <is>
          <t>Clinic</t>
        </is>
      </c>
      <c r="N1892" s="2" t="inlineStr">
        <is>
          <t>ข้อ 2 (PLE_CC1_Key_Rx20_UBU.md)</t>
        </is>
      </c>
      <c r="O1892" s="2" t="inlineStr">
        <is>
          <t>Mock</t>
        </is>
      </c>
      <c r="P1892" s="2" t="inlineStr">
        <is>
          <t>Mock Rx20 UBU</t>
        </is>
      </c>
    </row>
    <row r="1893" ht="13.2" customHeight="1" s="37">
      <c r="A1893" s="8" t="inlineStr">
        <is>
          <t>1914</t>
        </is>
      </c>
      <c r="B1893" s="2" t="inlineStr">
        <is>
          <t>หลีกเลี่ยงการออกกำลังกายกลางแจ้ง</t>
        </is>
      </c>
      <c r="C1893" s="2" t="n"/>
      <c r="D1893" s="2" t="inlineStr">
        <is>
          <t>Sodium thiosulfate 25% 50 mL IV</t>
        </is>
      </c>
      <c r="E1893" s="2" t="inlineStr">
        <is>
          <t>Calcium disodium EDTA 1 g IV</t>
        </is>
      </c>
      <c r="F1893" s="2" t="inlineStr">
        <is>
          <t>Desferrioxamine 1 g IM/IV</t>
        </is>
      </c>
      <c r="G1893" s="2" t="inlineStr">
        <is>
          <t>Dimercaprol (BAL) 3 mg/kg IM</t>
        </is>
      </c>
      <c r="H1893" s="2" t="inlineStr">
        <is>
          <t>Ethanol 10% IV infusion for Methanol poisoning</t>
        </is>
      </c>
      <c r="I1893" s="8" t="inlineStr">
        <is>
          <t>1</t>
        </is>
      </c>
      <c r="J18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3" s="2" t="n"/>
      <c r="L1893" s="2" t="inlineStr">
        <is>
          <t>General Therapeutics</t>
        </is>
      </c>
      <c r="M1893" s="2" t="inlineStr">
        <is>
          <t>Clinic</t>
        </is>
      </c>
      <c r="N1893" s="2" t="inlineStr">
        <is>
          <t>ข้อ 3 (PLE_CC1_Key_Rx20_UBU.md)</t>
        </is>
      </c>
      <c r="O1893" s="2" t="inlineStr">
        <is>
          <t>Mock</t>
        </is>
      </c>
      <c r="P1893" s="2" t="inlineStr">
        <is>
          <t>Mock Rx20 UBU</t>
        </is>
      </c>
    </row>
    <row r="1894" ht="13.2" customHeight="1" s="37">
      <c r="A1894" s="8" t="inlineStr">
        <is>
          <t>1915</t>
        </is>
      </c>
      <c r="B1894" s="2" t="inlineStr">
        <is>
          <t>ห้ามรับประทานยานี้ก่อนนอน</t>
        </is>
      </c>
      <c r="C1894" s="2" t="n"/>
      <c r="D1894" s="2" t="inlineStr">
        <is>
          <t>Dimercaprol (BAL) 3 mg/kg IM</t>
        </is>
      </c>
      <c r="E1894" s="2" t="inlineStr">
        <is>
          <t>Ethanol 10% IV infusion for Methanol poisoning</t>
        </is>
      </c>
      <c r="F1894" s="2" t="inlineStr">
        <is>
          <t>Fomepizole 15 mg/kg IV loading</t>
        </is>
      </c>
      <c r="G1894" s="2" t="inlineStr">
        <is>
          <t>N-acetylcysteine (NAC) IV infusion protocol</t>
        </is>
      </c>
      <c r="H1894" s="2" t="inlineStr">
        <is>
          <t>Atropine sulfate 2 mg IV Q5-10 min</t>
        </is>
      </c>
      <c r="I1894" s="8" t="inlineStr">
        <is>
          <t>1</t>
        </is>
      </c>
      <c r="J18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4" s="2" t="n"/>
      <c r="L1894" s="2" t="inlineStr">
        <is>
          <t>General Therapeutics</t>
        </is>
      </c>
      <c r="M1894" s="2" t="inlineStr">
        <is>
          <t>Clinic</t>
        </is>
      </c>
      <c r="N1894" s="2" t="inlineStr">
        <is>
          <t>ข้อ 4 (PLE_CC1_Key_Rx20_UBU.md)</t>
        </is>
      </c>
      <c r="O1894" s="2" t="inlineStr">
        <is>
          <t>Mock</t>
        </is>
      </c>
      <c r="P1894" s="2" t="inlineStr">
        <is>
          <t>Mock Rx20 UBU</t>
        </is>
      </c>
    </row>
    <row r="1895" ht="13.2" customHeight="1" s="37">
      <c r="A1895" s="8" t="inlineStr">
        <is>
          <t>1916</t>
        </is>
      </c>
      <c r="B1895" s="2" t="inlineStr">
        <is>
          <t>ควรหลีกเลี่ยงการรับประทานเครื่องในสัตว์</t>
        </is>
      </c>
      <c r="C1895" s="2" t="n"/>
      <c r="D1895" s="2" t="inlineStr">
        <is>
          <t>N-acetylcysteine (NAC) IV infusion protocol</t>
        </is>
      </c>
      <c r="E1895" s="2" t="inlineStr">
        <is>
          <t>Atropine sulfate 2 mg IV Q5-10 min</t>
        </is>
      </c>
      <c r="F1895" s="2" t="inlineStr">
        <is>
          <t>Pralidoxime (2-PAM) 1-2 g IV over 30 min</t>
        </is>
      </c>
      <c r="G1895" s="2" t="inlineStr">
        <is>
          <t>Naloxone 0.4 mg IV stat</t>
        </is>
      </c>
      <c r="H1895" s="2" t="inlineStr">
        <is>
          <t>Flumazenil 0.2 mg IV stat</t>
        </is>
      </c>
      <c r="I1895" s="8" t="inlineStr">
        <is>
          <t>1</t>
        </is>
      </c>
      <c r="J18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895" s="2" t="n"/>
      <c r="L1895" s="2" t="inlineStr">
        <is>
          <t>General Therapeutics</t>
        </is>
      </c>
      <c r="M1895" s="2" t="inlineStr">
        <is>
          <t>Clinic</t>
        </is>
      </c>
      <c r="N1895" s="2" t="inlineStr">
        <is>
          <t>ข้อ 5 (PLE_CC1_Key_Rx20_UBU.md)</t>
        </is>
      </c>
      <c r="O1895" s="2" t="inlineStr">
        <is>
          <t>Mock</t>
        </is>
      </c>
      <c r="P1895" s="2" t="inlineStr">
        <is>
          <t>Mock Rx20 UBU</t>
        </is>
      </c>
    </row>
    <row r="1896" ht="13.2" customHeight="1" s="37">
      <c r="A1896" s="8" t="inlineStr">
        <is>
          <t>1917</t>
        </is>
      </c>
      <c r="B1896" s="2" t="inlineStr">
        <is>
          <t>ข้อใดถูกต้องเกี่ยวกับการแนะนำการรับประทานยา Isotretinoid</t>
        </is>
      </c>
      <c r="C1896" s="2" t="n"/>
      <c r="D1896" s="2" t="inlineStr">
        <is>
          <t>Naloxone 0.4 mg IV stat</t>
        </is>
      </c>
      <c r="E1896" s="2" t="inlineStr">
        <is>
          <t>Flumazenil 0.2 mg IV stat</t>
        </is>
      </c>
      <c r="F1896" s="2" t="inlineStr">
        <is>
          <t>Vitamin K1 (Phytomenadione) 10 mg IV slow</t>
        </is>
      </c>
      <c r="G1896" s="2" t="inlineStr">
        <is>
          <t>Sodium thiosulfate 25% 50 mL IV</t>
        </is>
      </c>
      <c r="H1896" s="2" t="inlineStr">
        <is>
          <t>Calcium disodium EDTA 1 g IV</t>
        </is>
      </c>
      <c r="I1896" s="8" t="inlineStr">
        <is>
          <t>1</t>
        </is>
      </c>
      <c r="J18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896" s="2" t="n"/>
      <c r="L1896" s="2" t="inlineStr">
        <is>
          <t>General Therapeutics</t>
        </is>
      </c>
      <c r="M1896" s="2" t="inlineStr">
        <is>
          <t>Clinic</t>
        </is>
      </c>
      <c r="N1896" s="2" t="inlineStr">
        <is>
          <t>ข้อ 42 (PLE_CC1_Key_Rx20_UBU.md)</t>
        </is>
      </c>
      <c r="O1896" s="2" t="inlineStr">
        <is>
          <t>Mock</t>
        </is>
      </c>
      <c r="P1896" s="2" t="inlineStr">
        <is>
          <t>Mock Rx20 UBU</t>
        </is>
      </c>
    </row>
    <row r="1897" ht="13.2" customHeight="1" s="37">
      <c r="A1897" s="8" t="inlineStr">
        <is>
          <t>1918</t>
        </is>
      </c>
      <c r="B1897" s="2" t="inlineStr">
        <is>
          <t>เปลือกแคปซูลสามารถทำได้จากสัตว์เท่านั้น ไม่สามารถทำมาจากพืชได้</t>
        </is>
      </c>
      <c r="C1897" s="2" t="n"/>
      <c r="D1897" s="2" t="inlineStr">
        <is>
          <t>Wet Granulation tableting method</t>
        </is>
      </c>
      <c r="E1897" s="2" t="inlineStr">
        <is>
          <t>Dry Granulation (Roller Compaction)</t>
        </is>
      </c>
      <c r="F1897" s="2" t="inlineStr">
        <is>
          <t>Fluidized Bed Granulation</t>
        </is>
      </c>
      <c r="G1897" s="2" t="inlineStr">
        <is>
          <t>Film Coating with Hydroxypropyl methylcellulose (HPMC)</t>
        </is>
      </c>
      <c r="H1897" s="2" t="inlineStr">
        <is>
          <t>Enteric Coating with Cellulose acetate phthalate (CAP)</t>
        </is>
      </c>
      <c r="I1897" s="8" t="inlineStr">
        <is>
          <t>1</t>
        </is>
      </c>
      <c r="J1897"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97" s="2" t="n"/>
      <c r="L1897" s="2" t="inlineStr">
        <is>
          <t>Solid Dosage Forms</t>
        </is>
      </c>
      <c r="M1897" s="2" t="inlineStr">
        <is>
          <t>Product</t>
        </is>
      </c>
      <c r="N1897" s="2" t="inlineStr">
        <is>
          <t>ข้อ 3 (PLE_CC1_Key_Rx20_UBU.md)</t>
        </is>
      </c>
      <c r="O1897" s="2" t="inlineStr">
        <is>
          <t>Mock</t>
        </is>
      </c>
      <c r="P1897" s="2" t="inlineStr">
        <is>
          <t>Mock Rx20 UBU</t>
        </is>
      </c>
    </row>
    <row r="1898" ht="13.2" customHeight="1" s="37">
      <c r="A1898" s="8" t="inlineStr">
        <is>
          <t>1919</t>
        </is>
      </c>
      <c r="B1898" s="2" t="inlineStr">
        <is>
          <t>น้ำหนักลด &gt;10% ในเวลา 3 เดือน /</t>
        </is>
      </c>
      <c r="C1898" s="2" t="n"/>
      <c r="D1898" s="2" t="inlineStr">
        <is>
          <t>Dimercaprol (BAL) 3 mg/kg IM</t>
        </is>
      </c>
      <c r="E1898" s="2" t="inlineStr">
        <is>
          <t>Ethanol 10% IV infusion for Methanol poisoning</t>
        </is>
      </c>
      <c r="F1898" s="2" t="inlineStr">
        <is>
          <t>Fomepizole 15 mg/kg IV loading</t>
        </is>
      </c>
      <c r="G1898" s="2" t="inlineStr">
        <is>
          <t>N-acetylcysteine (NAC) IV infusion protocol</t>
        </is>
      </c>
      <c r="H1898" s="2" t="inlineStr">
        <is>
          <t>Atropine sulfate 2 mg IV Q5-10 min</t>
        </is>
      </c>
      <c r="I1898" s="8" t="inlineStr">
        <is>
          <t>1</t>
        </is>
      </c>
      <c r="J18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8" s="2" t="n"/>
      <c r="L1898" s="2" t="inlineStr">
        <is>
          <t>General Therapeutics</t>
        </is>
      </c>
      <c r="M1898" s="2" t="inlineStr">
        <is>
          <t>Clinic</t>
        </is>
      </c>
      <c r="N1898" s="2" t="inlineStr">
        <is>
          <t>ข้อ 5 (PLE_CC1_Key_Rx20_UBU.md)</t>
        </is>
      </c>
      <c r="O1898" s="2" t="inlineStr">
        <is>
          <t>Mock</t>
        </is>
      </c>
      <c r="P1898" s="2" t="inlineStr">
        <is>
          <t>Mock Rx20 UBU</t>
        </is>
      </c>
    </row>
    <row r="1899" ht="13.2" customHeight="1" s="37">
      <c r="A1899" s="8" t="inlineStr">
        <is>
          <t>1920</t>
        </is>
      </c>
      <c r="B1899" s="2" t="inlineStr">
        <is>
          <t>ยาที่เหมาะสมในการรักษาโรคฉวยโอกาสในผู้ป่วยรายนี้ 1Amphotericin B + Flucytocine</t>
        </is>
      </c>
      <c r="C1899" s="2" t="n"/>
      <c r="D1899" s="2" t="inlineStr">
        <is>
          <t>Ceftriaxone 1 g IV OD</t>
        </is>
      </c>
      <c r="E1899" s="2" t="inlineStr">
        <is>
          <t>Ciprofloxacin 500 mg BID</t>
        </is>
      </c>
      <c r="F1899" s="2" t="inlineStr">
        <is>
          <t>Azithromycin 500 mg OD</t>
        </is>
      </c>
      <c r="G1899" s="2" t="inlineStr">
        <is>
          <t>Doxycycline 100 mg BID</t>
        </is>
      </c>
      <c r="H1899" s="2" t="inlineStr">
        <is>
          <t>Cotrimoxazole 160/800 mg BID</t>
        </is>
      </c>
      <c r="I1899" s="8" t="inlineStr">
        <is>
          <t>1</t>
        </is>
      </c>
      <c r="J1899" s="2"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9" s="2" t="n"/>
      <c r="L1899" s="2" t="inlineStr">
        <is>
          <t>Infectious Diseases</t>
        </is>
      </c>
      <c r="M1899" s="2" t="inlineStr">
        <is>
          <t>Clinic</t>
        </is>
      </c>
      <c r="N1899" s="2" t="inlineStr">
        <is>
          <t>ข้อ 46 (PLE_CC1_Key_Rx20_UBU.md)</t>
        </is>
      </c>
      <c r="O1899" s="2" t="inlineStr">
        <is>
          <t>Mock</t>
        </is>
      </c>
      <c r="P1899" s="2" t="inlineStr">
        <is>
          <t>Mock Rx20 UBU</t>
        </is>
      </c>
    </row>
    <row r="1900" ht="13.2" customHeight="1" s="37">
      <c r="A1900" s="8" t="inlineStr">
        <is>
          <t>1921</t>
        </is>
      </c>
      <c r="B1900" s="2" t="inlineStr">
        <is>
          <t>Clarithromycin + Ethambutol</t>
        </is>
      </c>
      <c r="C1900" s="2" t="n"/>
      <c r="D1900" s="2" t="inlineStr">
        <is>
          <t>Doxycycline 100 mg BID</t>
        </is>
      </c>
      <c r="E1900" s="2" t="inlineStr">
        <is>
          <t>Cotrimoxazole 160/800 mg BID</t>
        </is>
      </c>
      <c r="F1900" s="2" t="inlineStr">
        <is>
          <t>Metronidazole 400 mg TID</t>
        </is>
      </c>
      <c r="G1900" s="2" t="inlineStr">
        <is>
          <t>Nitrofurantoin 100 mg BID</t>
        </is>
      </c>
      <c r="H1900" s="2" t="inlineStr">
        <is>
          <t>Tenofovir/Emtricitabine 300/200 mg OD</t>
        </is>
      </c>
      <c r="I1900" s="8" t="inlineStr">
        <is>
          <t>1</t>
        </is>
      </c>
      <c r="J1900" s="2" t="inlineStr">
        <is>
          <t>✅ คำตอบที่ถูกต้อง: ข้อ ก. Doxycycline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Optic Neuritis Monitoring: ทำให้เกิด retrobulbar optic neuritis (ตามัว ตาบอดสีแดง-เขียว Visual acuity ลดลง) ต้องทดสอบสายตาก่อนและระหว่างใช้ยา
• Renal Adjustment: ขับออกทางไตเป็นหลัก ต้องปรับลดความถี่ในการให้ยาเป็น 3 ครั้ง/สัปดาห์ เมื่อ CrCl &lt; 50 mL/min</t>
        </is>
      </c>
      <c r="K1900" s="2" t="n"/>
      <c r="L1900" s="2" t="inlineStr">
        <is>
          <t>Infectious Diseases</t>
        </is>
      </c>
      <c r="M1900" s="2" t="inlineStr">
        <is>
          <t>Clinic</t>
        </is>
      </c>
      <c r="N1900" s="2" t="inlineStr">
        <is>
          <t>ข้อ 2 (PLE_CC1_Key_Rx20_UBU.md)</t>
        </is>
      </c>
      <c r="O1900" s="2" t="inlineStr">
        <is>
          <t>Mock</t>
        </is>
      </c>
      <c r="P1900" s="2" t="inlineStr">
        <is>
          <t>Mock Rx20 UBU</t>
        </is>
      </c>
    </row>
    <row r="1901" ht="13.2" customHeight="1" s="37">
      <c r="A1901" s="8" t="inlineStr">
        <is>
          <t>1922</t>
        </is>
      </c>
      <c r="B1901" s="2" t="inlineStr">
        <is>
          <t>Clindamycin + Primaquine</t>
        </is>
      </c>
      <c r="C1901" s="2" t="n"/>
      <c r="D1901" s="2" t="inlineStr">
        <is>
          <t>Sodium thiosulfate 25% 50 mL IV</t>
        </is>
      </c>
      <c r="E1901" s="2" t="inlineStr">
        <is>
          <t>Calcium disodium EDTA 1 g IV</t>
        </is>
      </c>
      <c r="F1901" s="2" t="inlineStr">
        <is>
          <t>Desferrioxamine 1 g IM/IV</t>
        </is>
      </c>
      <c r="G1901" s="2" t="inlineStr">
        <is>
          <t>Dimercaprol (BAL) 3 mg/kg IM</t>
        </is>
      </c>
      <c r="H1901" s="2" t="inlineStr">
        <is>
          <t>Ethanol 10% IV infusion for Methanol poisoning</t>
        </is>
      </c>
      <c r="I1901" s="8" t="inlineStr">
        <is>
          <t>1</t>
        </is>
      </c>
      <c r="J190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1" s="2" t="n"/>
      <c r="L1901" s="2" t="inlineStr">
        <is>
          <t>General Therapeutics</t>
        </is>
      </c>
      <c r="M1901" s="2" t="inlineStr">
        <is>
          <t>Clinic</t>
        </is>
      </c>
      <c r="N1901" s="2" t="inlineStr">
        <is>
          <t>ข้อ 3 (PLE_CC1_Key_Rx20_UBU.md)</t>
        </is>
      </c>
      <c r="O1901" s="2" t="inlineStr">
        <is>
          <t>Mock</t>
        </is>
      </c>
      <c r="P1901" s="2" t="inlineStr">
        <is>
          <t>Mock Rx20 UBU</t>
        </is>
      </c>
    </row>
    <row r="1902" ht="13.2" customHeight="1" s="37">
      <c r="A1902" s="8" t="inlineStr">
        <is>
          <t>1923</t>
        </is>
      </c>
      <c r="B1902" s="2" t="inlineStr">
        <is>
          <t>Trimethoprim + Sulfamethoxazole</t>
        </is>
      </c>
      <c r="C1902" s="2" t="n"/>
      <c r="D1902" s="2" t="inlineStr">
        <is>
          <t>Dimercaprol (BAL) 3 mg/kg IM</t>
        </is>
      </c>
      <c r="E1902" s="2" t="inlineStr">
        <is>
          <t>Ethanol 10% IV infusion for Methanol poisoning</t>
        </is>
      </c>
      <c r="F1902" s="2" t="inlineStr">
        <is>
          <t>Fomepizole 15 mg/kg IV loading</t>
        </is>
      </c>
      <c r="G1902" s="2" t="inlineStr">
        <is>
          <t>N-acetylcysteine (NAC) IV infusion protocol</t>
        </is>
      </c>
      <c r="H1902" s="2" t="inlineStr">
        <is>
          <t>Atropine sulfate 2 mg IV Q5-10 min</t>
        </is>
      </c>
      <c r="I1902" s="8" t="inlineStr">
        <is>
          <t>1</t>
        </is>
      </c>
      <c r="J190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2" s="2" t="n"/>
      <c r="L1902" s="2" t="inlineStr">
        <is>
          <t>General Therapeutics</t>
        </is>
      </c>
      <c r="M1902" s="2" t="inlineStr">
        <is>
          <t>Clinic</t>
        </is>
      </c>
      <c r="N1902" s="2" t="inlineStr">
        <is>
          <t>ข้อ 5 (PLE_CC1_Key_Rx20_UBU.md)</t>
        </is>
      </c>
      <c r="O1902" s="2" t="inlineStr">
        <is>
          <t>Mock</t>
        </is>
      </c>
      <c r="P1902" s="2" t="inlineStr">
        <is>
          <t>Mock Rx20 UBU</t>
        </is>
      </c>
    </row>
    <row r="1903" ht="13.2" customHeight="1" s="37">
      <c r="A1903" s="8" t="inlineStr">
        <is>
          <t>1924</t>
        </is>
      </c>
      <c r="B1903" s="2" t="inlineStr">
        <is>
          <t>การทำ BE ในยา GPO vir S ที่มีตัวยาสำคัญ 3 ตัวผสมกัน แทนด้วยตัวอักษร A,B,C ยา 90%confidence interval (Test/Ref) Half-life(hr) A 102-128</t>
        </is>
      </c>
      <c r="C1903" s="2" t="n"/>
      <c r="D1903" s="2" t="inlineStr">
        <is>
          <t>5± 0.3 B 107-120</t>
        </is>
      </c>
      <c r="E1903" s="2" t="inlineStr">
        <is>
          <t>97±0.1 C 98-105 67±16 เลือกว่ายาใดเหมาะสมตามข้อกำหนดหรือมาตรฐานชีวสมมูล</t>
        </is>
      </c>
      <c r="F1903" s="2" t="inlineStr">
        <is>
          <t>Pralidoxime (2-PAM) 1-2 g IV over 30 min</t>
        </is>
      </c>
      <c r="G1903" s="2" t="inlineStr">
        <is>
          <t>Naloxone 0.4 mg IV stat</t>
        </is>
      </c>
      <c r="H1903" s="2" t="inlineStr">
        <is>
          <t>Flumazenil 0.2 mg IV stat</t>
        </is>
      </c>
      <c r="I1903" s="8" t="inlineStr">
        <is>
          <t>1</t>
        </is>
      </c>
      <c r="J1903" s="2" t="inlineStr">
        <is>
          <t>✅ คำตอบที่ถูกต้อง: ข้อ ก. 5± 0.3 B 107-120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5± 0.3 B 107-120 การเลือก 5± 0.3 B 107-120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(97±0.1 C 98-105 67±16 เลือกว่ายาใดเหมาะสมตามข้อกำหนดหรือมาตรฐานชีวสมมูล):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3" s="2" t="n"/>
      <c r="L1903" s="2" t="inlineStr">
        <is>
          <t>General Therapeutics</t>
        </is>
      </c>
      <c r="M1903" s="2" t="inlineStr">
        <is>
          <t>Clinic</t>
        </is>
      </c>
      <c r="N1903" s="2" t="inlineStr">
        <is>
          <t>ข้อ 48 (PLE_CC1_Key_Rx20_UBU.md)</t>
        </is>
      </c>
      <c r="O1903" s="2" t="inlineStr">
        <is>
          <t>Mock</t>
        </is>
      </c>
      <c r="P1903" s="2" t="inlineStr">
        <is>
          <t>Mock Rx20 UBU</t>
        </is>
      </c>
    </row>
    <row r="1904" ht="13.2" customHeight="1" s="37">
      <c r="A1904" s="8" t="inlineStr">
        <is>
          <t>1925</t>
        </is>
      </c>
      <c r="B1904" s="2" t="inlineStr">
        <is>
          <t>หากระดับยา GPO-vir S ก่อนให้ยาครั้งที่ 2 ยังสูงอยู่ ควรทำอย่างไร</t>
        </is>
      </c>
      <c r="C1904" s="2" t="n"/>
      <c r="D1904" s="2" t="inlineStr">
        <is>
          <t>Naloxone 0.4 mg IV stat</t>
        </is>
      </c>
      <c r="E1904" s="2" t="inlineStr">
        <is>
          <t>Flumazenil 0.2 mg IV stat</t>
        </is>
      </c>
      <c r="F1904" s="2" t="inlineStr">
        <is>
          <t>Vitamin K1 (Phytomenadione) 10 mg IV slow</t>
        </is>
      </c>
      <c r="G1904" s="2" t="inlineStr">
        <is>
          <t>Sodium thiosulfate 25% 50 mL IV</t>
        </is>
      </c>
      <c r="H1904" s="2" t="inlineStr">
        <is>
          <t>Calcium disodium EDTA 1 g IV</t>
        </is>
      </c>
      <c r="I1904" s="8" t="inlineStr">
        <is>
          <t>1</t>
        </is>
      </c>
      <c r="J19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04" s="2" t="n"/>
      <c r="L1904" s="2" t="inlineStr">
        <is>
          <t>General Therapeutics</t>
        </is>
      </c>
      <c r="M1904" s="2" t="inlineStr">
        <is>
          <t>Clinic</t>
        </is>
      </c>
      <c r="N1904" s="2" t="inlineStr">
        <is>
          <t>ข้อ 50 (PLE_CC1_Key_Rx20_UBU.md)</t>
        </is>
      </c>
      <c r="O1904" s="2" t="inlineStr">
        <is>
          <t>Mock</t>
        </is>
      </c>
      <c r="P1904" s="2" t="inlineStr">
        <is>
          <t>Mock Rx20 UBU</t>
        </is>
      </c>
    </row>
    <row r="1905" ht="13.2" customHeight="1" s="37">
      <c r="A1905" s="8" t="inlineStr">
        <is>
          <t>1926</t>
        </is>
      </c>
      <c r="B1905" s="2" t="inlineStr">
        <is>
          <t>ลด Wash out period</t>
        </is>
      </c>
      <c r="C1905" s="2" t="n"/>
      <c r="D1905" s="2" t="inlineStr">
        <is>
          <t>Sodium thiosulfate 25% 50 mL IV</t>
        </is>
      </c>
      <c r="E1905" s="2" t="inlineStr">
        <is>
          <t>Calcium disodium EDTA 1 g IV</t>
        </is>
      </c>
      <c r="F1905" s="2" t="inlineStr">
        <is>
          <t>Desferrioxamine 1 g IM/IV</t>
        </is>
      </c>
      <c r="G1905" s="2" t="inlineStr">
        <is>
          <t>Dimercaprol (BAL) 3 mg/kg IM</t>
        </is>
      </c>
      <c r="H1905" s="2" t="inlineStr">
        <is>
          <t>Ethanol 10% IV infusion for Methanol poisoning</t>
        </is>
      </c>
      <c r="I1905" s="8" t="inlineStr">
        <is>
          <t>1</t>
        </is>
      </c>
      <c r="J19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5" s="2" t="n"/>
      <c r="L1905" s="2" t="inlineStr">
        <is>
          <t>General Therapeutics</t>
        </is>
      </c>
      <c r="M1905" s="2" t="inlineStr">
        <is>
          <t>Clinic</t>
        </is>
      </c>
      <c r="N1905" s="2" t="inlineStr">
        <is>
          <t>ข้อ 1 (PLE_CC1_Key_Rx20_UBU.md)</t>
        </is>
      </c>
      <c r="O1905" s="2" t="inlineStr">
        <is>
          <t>Mock</t>
        </is>
      </c>
      <c r="P1905" s="2" t="inlineStr">
        <is>
          <t>Mock Rx20 UBU</t>
        </is>
      </c>
    </row>
    <row r="1906" ht="13.2" customHeight="1" s="37">
      <c r="A1906" s="8" t="inlineStr">
        <is>
          <t>1927</t>
        </is>
      </c>
      <c r="B1906" s="2" t="inlineStr">
        <is>
          <t>เพิ่ม Wash out period</t>
        </is>
      </c>
      <c r="C1906" s="2" t="n"/>
      <c r="D1906" s="2" t="inlineStr">
        <is>
          <t>Dimercaprol (BAL) 3 mg/kg IM</t>
        </is>
      </c>
      <c r="E1906" s="2" t="inlineStr">
        <is>
          <t>Ethanol 10% IV infusion for Methanol poisoning</t>
        </is>
      </c>
      <c r="F1906" s="2" t="inlineStr">
        <is>
          <t>Fomepizole 15 mg/kg IV loading</t>
        </is>
      </c>
      <c r="G1906" s="2" t="inlineStr">
        <is>
          <t>N-acetylcysteine (NAC) IV infusion protocol</t>
        </is>
      </c>
      <c r="H1906" s="2" t="inlineStr">
        <is>
          <t>Atropine sulfate 2 mg IV Q5-10 min</t>
        </is>
      </c>
      <c r="I1906" s="8" t="inlineStr">
        <is>
          <t>1</t>
        </is>
      </c>
      <c r="J19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6" s="2" t="n"/>
      <c r="L1906" s="2" t="inlineStr">
        <is>
          <t>General Therapeutics</t>
        </is>
      </c>
      <c r="M1906" s="2" t="inlineStr">
        <is>
          <t>Clinic</t>
        </is>
      </c>
      <c r="N1906" s="2" t="inlineStr">
        <is>
          <t>ข้อ 2 (PLE_CC1_Key_Rx20_UBU.md)</t>
        </is>
      </c>
      <c r="O1906" s="2" t="inlineStr">
        <is>
          <t>Mock</t>
        </is>
      </c>
      <c r="P1906" s="2" t="inlineStr">
        <is>
          <t>Mock Rx20 UBU</t>
        </is>
      </c>
    </row>
    <row r="1907" ht="13.2" customHeight="1" s="37">
      <c r="A1907" s="8" t="inlineStr">
        <is>
          <t>1928</t>
        </is>
      </c>
      <c r="B1907" s="2" t="inlineStr">
        <is>
          <t>Ethyl cellulose</t>
        </is>
      </c>
      <c r="C1907" s="2" t="n"/>
      <c r="D1907" s="2" t="inlineStr">
        <is>
          <t>N-acetylcysteine (NAC) IV infusion protocol</t>
        </is>
      </c>
      <c r="E1907" s="2" t="inlineStr">
        <is>
          <t>Atropine sulfate 2 mg IV Q5-10 min</t>
        </is>
      </c>
      <c r="F1907" s="2" t="inlineStr">
        <is>
          <t>Pralidoxime (2-PAM) 1-2 g IV over 30 min</t>
        </is>
      </c>
      <c r="G1907" s="2" t="inlineStr">
        <is>
          <t>Naloxone 0.4 mg IV stat</t>
        </is>
      </c>
      <c r="H1907" s="2" t="inlineStr">
        <is>
          <t>Flumazenil 0.2 mg IV stat</t>
        </is>
      </c>
      <c r="I1907" s="8" t="inlineStr">
        <is>
          <t>1</t>
        </is>
      </c>
      <c r="J19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07" s="2" t="n"/>
      <c r="L1907" s="2" t="inlineStr">
        <is>
          <t>General Therapeutics</t>
        </is>
      </c>
      <c r="M1907" s="2" t="inlineStr">
        <is>
          <t>Clinic</t>
        </is>
      </c>
      <c r="N1907" s="2" t="inlineStr">
        <is>
          <t>ข้อ 3 (PLE_CC1_Key_Rx20_UBU.md)</t>
        </is>
      </c>
      <c r="O1907" s="2" t="inlineStr">
        <is>
          <t>Mock</t>
        </is>
      </c>
      <c r="P1907" s="2" t="inlineStr">
        <is>
          <t>Mock Rx20 UBU</t>
        </is>
      </c>
    </row>
    <row r="1908" ht="13.2" customHeight="1" s="37">
      <c r="A1908" s="8" t="inlineStr">
        <is>
          <t>1929</t>
        </is>
      </c>
      <c r="B1908" s="2" t="inlineStr">
        <is>
          <t>ได้รับยาทุกชนิดฟรี</t>
        </is>
      </c>
      <c r="C1908" s="2" t="n"/>
      <c r="D1908" s="2" t="inlineStr">
        <is>
          <t>Naloxone 0.4 mg IV stat</t>
        </is>
      </c>
      <c r="E1908" s="2" t="inlineStr">
        <is>
          <t>Flumazenil 0.2 mg IV stat</t>
        </is>
      </c>
      <c r="F1908" s="2" t="inlineStr">
        <is>
          <t>Vitamin K1 (Phytomenadione) 10 mg IV slow</t>
        </is>
      </c>
      <c r="G1908" s="2" t="inlineStr">
        <is>
          <t>Sodium thiosulfate 25% 50 mL IV</t>
        </is>
      </c>
      <c r="H1908" s="2" t="inlineStr">
        <is>
          <t>Calcium disodium EDTA 1 g IV</t>
        </is>
      </c>
      <c r="I1908" s="8" t="inlineStr">
        <is>
          <t>1</t>
        </is>
      </c>
      <c r="J19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08" s="2" t="n"/>
      <c r="L1908" s="2" t="inlineStr">
        <is>
          <t>General Therapeutics</t>
        </is>
      </c>
      <c r="M1908" s="2" t="inlineStr">
        <is>
          <t>Clinic</t>
        </is>
      </c>
      <c r="N1908" s="2" t="inlineStr">
        <is>
          <t>ข้อ 1 (PLE_CC1_Key_Rx20_UBU.md)</t>
        </is>
      </c>
      <c r="O1908" s="2" t="inlineStr">
        <is>
          <t>Mock</t>
        </is>
      </c>
      <c r="P1908" s="2" t="inlineStr">
        <is>
          <t>Mock Rx20 UBU</t>
        </is>
      </c>
    </row>
    <row r="1909" ht="13.2" customHeight="1" s="37">
      <c r="A1909" s="8" t="inlineStr">
        <is>
          <t>1930</t>
        </is>
      </c>
      <c r="B1909" s="2" t="inlineStr">
        <is>
          <t>ต้องจ่ายเงินค่ายาทั้งหมดร้อยละ 30</t>
        </is>
      </c>
      <c r="C1909" s="2" t="n"/>
      <c r="D1909" s="2" t="inlineStr">
        <is>
          <t>Sodium thiosulfate 25% 50 mL IV</t>
        </is>
      </c>
      <c r="E1909" s="2" t="inlineStr">
        <is>
          <t>Calcium disodium EDTA 1 g IV</t>
        </is>
      </c>
      <c r="F1909" s="2" t="inlineStr">
        <is>
          <t>Desferrioxamine 1 g IM/IV</t>
        </is>
      </c>
      <c r="G1909" s="2" t="inlineStr">
        <is>
          <t>Dimercaprol (BAL) 3 mg/kg IM</t>
        </is>
      </c>
      <c r="H1909" s="2" t="inlineStr">
        <is>
          <t>Ethanol 10% IV infusion for Methanol poisoning</t>
        </is>
      </c>
      <c r="I1909" s="8" t="inlineStr">
        <is>
          <t>1</t>
        </is>
      </c>
      <c r="J19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9" s="2" t="n"/>
      <c r="L1909" s="2" t="inlineStr">
        <is>
          <t>General Therapeutics</t>
        </is>
      </c>
      <c r="M1909" s="2" t="inlineStr">
        <is>
          <t>Clinic</t>
        </is>
      </c>
      <c r="N1909" s="2" t="inlineStr">
        <is>
          <t>ข้อ 2 (PLE_CC1_Key_Rx20_UBU.md)</t>
        </is>
      </c>
      <c r="O1909" s="2" t="inlineStr">
        <is>
          <t>Mock</t>
        </is>
      </c>
      <c r="P1909" s="2" t="inlineStr">
        <is>
          <t>Mock Rx20 UBU</t>
        </is>
      </c>
    </row>
    <row r="1910" ht="13.2" customHeight="1" s="37">
      <c r="A1910" s="8" t="inlineStr">
        <is>
          <t>1931</t>
        </is>
      </c>
      <c r="B1910" s="2" t="inlineStr">
        <is>
          <t>ไม่ต้องจ่ายเงินในยาที่อยู่ในบัญชียาหลัก จริงๆคือเสียค่ารักษาพยาบาล 30 บาท และยาที่ใช้รักษาที่จำเป็นมีอยู่ในบัญชียาหลัก</t>
        </is>
      </c>
      <c r="C1910" s="2" t="n"/>
      <c r="D1910" s="2" t="inlineStr">
        <is>
          <t>นโยบายการใช้ยาอย่างสมเหตุผล (Rational Drug Use: RDU Literacy)</t>
        </is>
      </c>
      <c r="E1910" s="2" t="inlineStr">
        <is>
          <t>การเฝ้าระวังการดื้อยาต้านจุลชีพ (Antimicrobial Stewardship: AMS Program)</t>
        </is>
      </c>
      <c r="F1910" s="2" t="inlineStr">
        <is>
          <t>ระบบส่งต่อและเชื่อมโยงเครือข่ายบริการสุขภาพ (Health Referral System)</t>
        </is>
      </c>
      <c r="G1910" s="2" t="inlineStr">
        <is>
          <t>ระบบหลักประกันสุขภาพถ้วนหน้า (Universal Health Coverage: UC)</t>
        </is>
      </c>
      <c r="H1910" s="2" t="inlineStr">
        <is>
          <t>ระบบประกันสังคม (Social Security Scheme: SSS)</t>
        </is>
      </c>
      <c r="I1910" s="8" t="inlineStr">
        <is>
          <t>1</t>
        </is>
      </c>
      <c r="J1910" s="2" t="inlineStr">
        <is>
          <t>✅ คำตอบที่ถูกต้อง: ข้อ ก. นโยบายการใช้ยาอย่างสมเหตุผล (Rational Drug Use: RDU Literacy)
💡 Background:
กฎหมายยาและจรรยาบรรณวิชาชีพมีขึ้นเพื่อคุ้มครองความปลอดภัยของผู้บริโภคตามมาตรฐาน Good Pharmacy Practice (GPP)
🎯 ทำไมข้อนี้ถึงถูก:
นโยบายการใช้ยาอย่างสมเหตุผล (Rational Drug Use: RDU Literacy) 💡 คำอธิบายและข้อกำหนดทางกฎหมาย:
💡 คำอธิบายและข้อกำหนดทางกฎหมาย:
🔍 ข้ออื่นผิดเพราะอะไร:
• ข้อ ข. (การเฝ้าระวังการดื้อยาต้านจุลชีพ (Antimicrobial Stewardship: AMS Program)): ข้อนี้ไม่ใช่คำตอบที่ถูกต้องสำหรับภาวะ Administration &amp; System เนื่องจากกลไกการออกฤทธิ์, efficacy หรือข้อบ่งใช้ไม่ตรงกับโจทย์ที่กำหนด
• ข้อ ค. (ระบบส่งต่อและเชื่อมโยงเครือข่ายบริการสุขภาพ (Health Referral System)): ข้อนี้ไม่ใช่คำตอบที่ถูกต้องสำหรับภาวะ Administration &amp; System เนื่องจากกลไกการออกฤทธิ์, efficacy หรือข้อบ่งใช้ไม่ตรงกับโจทย์ที่กำหนด
• ข้อ ง. (ระบบหลักประกันสุขภาพถ้วนหน้า (Universal Health Coverage: UC)): ข้อนี้ไม่ใช่คำตอบที่ถูกต้องสำหรับภาวะ Administration &amp; System เนื่องจากกลไกการออกฤทธิ์, efficacy หรือข้อบ่งใช้ไม่ตรงกับโจทย์ที่กำหนด
• ข้อ จ. (ระบบประกันสังคม (Social Security Scheme: SSS)): ข้อนี้ไม่ใช่คำตอบที่ถูกต้องสำหรับภาวะ Administration &amp; System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0" s="2" t="n"/>
      <c r="L1910" s="2" t="inlineStr">
        <is>
          <t>Administration &amp; System</t>
        </is>
      </c>
      <c r="M1910" s="2" t="inlineStr">
        <is>
          <t>SAP</t>
        </is>
      </c>
      <c r="N1910" s="2" t="inlineStr">
        <is>
          <t>ข้อ 3 (PLE_CC1_Key_Rx20_UBU.md)</t>
        </is>
      </c>
      <c r="O1910" s="2" t="inlineStr">
        <is>
          <t>Mock</t>
        </is>
      </c>
      <c r="P1910" s="2" t="inlineStr">
        <is>
          <t>Mock Rx20 UBU</t>
        </is>
      </c>
    </row>
    <row r="1911" ht="13.2" customHeight="1" s="37">
      <c r="A1911" s="8" t="inlineStr">
        <is>
          <t>1932</t>
        </is>
      </c>
      <c r="B1911" s="2" t="inlineStr">
        <is>
          <t>เชื้อใดเป็นเชื้อสาเหตุก่อโรคในผู้ป่วยรายนี้</t>
        </is>
      </c>
      <c r="C1911" s="2" t="n"/>
      <c r="D1911" s="2" t="inlineStr">
        <is>
          <t>N-acetylcysteine (NAC) IV infusion protocol</t>
        </is>
      </c>
      <c r="E1911" s="2" t="inlineStr">
        <is>
          <t>Atropine sulfate 2 mg IV Q5-10 min</t>
        </is>
      </c>
      <c r="F1911" s="2" t="inlineStr">
        <is>
          <t>Pralidoxime (2-PAM) 1-2 g IV over 30 min</t>
        </is>
      </c>
      <c r="G1911" s="2" t="inlineStr">
        <is>
          <t>Naloxone 0.4 mg IV stat</t>
        </is>
      </c>
      <c r="H1911" s="2" t="inlineStr">
        <is>
          <t>Flumazenil 0.2 mg IV stat</t>
        </is>
      </c>
      <c r="I1911" s="8" t="inlineStr">
        <is>
          <t>1</t>
        </is>
      </c>
      <c r="J19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11" s="2" t="n"/>
      <c r="L1911" s="2" t="inlineStr">
        <is>
          <t>General Therapeutics</t>
        </is>
      </c>
      <c r="M1911" s="2" t="inlineStr">
        <is>
          <t>Clinic</t>
        </is>
      </c>
      <c r="N1911" s="2" t="inlineStr">
        <is>
          <t>ข้อ 53 (PLE_CC1_Key_Rx20_UBU.md)</t>
        </is>
      </c>
      <c r="O1911" s="2" t="inlineStr">
        <is>
          <t>Mock</t>
        </is>
      </c>
      <c r="P1911" s="2" t="inlineStr">
        <is>
          <t>Mock Rx20 UBU</t>
        </is>
      </c>
    </row>
    <row r="1912" ht="13.2" customHeight="1" s="37">
      <c r="A1912" s="8" t="inlineStr">
        <is>
          <t>1933</t>
        </is>
      </c>
      <c r="B1912" s="2" t="inlineStr">
        <is>
          <t>Malassezia furfur เชื้อในโรคเกลื้อน</t>
        </is>
      </c>
      <c r="C1912" s="2" t="n"/>
      <c r="D1912" s="2" t="inlineStr">
        <is>
          <t>Naloxone 0.4 mg IV stat</t>
        </is>
      </c>
      <c r="E1912" s="2" t="inlineStr">
        <is>
          <t>Flumazenil 0.2 mg IV stat</t>
        </is>
      </c>
      <c r="F1912" s="2" t="inlineStr">
        <is>
          <t>Vitamin K1 (Phytomenadione) 10 mg IV slow</t>
        </is>
      </c>
      <c r="G1912" s="2" t="inlineStr">
        <is>
          <t>Sodium thiosulfate 25% 50 mL IV</t>
        </is>
      </c>
      <c r="H1912" s="2" t="inlineStr">
        <is>
          <t>Calcium disodium EDTA 1 g IV</t>
        </is>
      </c>
      <c r="I1912" s="8" t="inlineStr">
        <is>
          <t>1</t>
        </is>
      </c>
      <c r="J19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12" s="2" t="n"/>
      <c r="L1912" s="2" t="inlineStr">
        <is>
          <t>General Therapeutics</t>
        </is>
      </c>
      <c r="M1912" s="2" t="inlineStr">
        <is>
          <t>Clinic</t>
        </is>
      </c>
      <c r="N1912" s="2" t="inlineStr">
        <is>
          <t>ข้อ 1 (PLE_CC1_Key_Rx20_UBU.md)</t>
        </is>
      </c>
      <c r="O1912" s="2" t="inlineStr">
        <is>
          <t>Mock</t>
        </is>
      </c>
      <c r="P1912" s="2" t="inlineStr">
        <is>
          <t>Mock Rx20 UBU</t>
        </is>
      </c>
    </row>
    <row r="1913" ht="13.2" customHeight="1" s="37">
      <c r="A1913" s="8" t="inlineStr">
        <is>
          <t>1934</t>
        </is>
      </c>
      <c r="B1913" s="2" t="inlineStr">
        <is>
          <t>Tinea solium ถ้าเป็น taenia solium คือพยาธิตืดหมู</t>
        </is>
      </c>
      <c r="C1913" s="2" t="n"/>
      <c r="D1913" s="2" t="inlineStr">
        <is>
          <t>Acyclovir 5% cream</t>
        </is>
      </c>
      <c r="E1913" s="2" t="inlineStr">
        <is>
          <t>Silver sulfadiazine 1% cream</t>
        </is>
      </c>
      <c r="F1913" s="2" t="inlineStr">
        <is>
          <t>Cetirizine 10 mg OD</t>
        </is>
      </c>
      <c r="G1913" s="2" t="inlineStr">
        <is>
          <t>Isotretinoin 10 mg OD</t>
        </is>
      </c>
      <c r="H1913" s="2" t="inlineStr">
        <is>
          <t>Terbinafine 1% cream</t>
        </is>
      </c>
      <c r="I1913" s="8" t="inlineStr">
        <is>
          <t>1</t>
        </is>
      </c>
      <c r="J1913" s="2" t="inlineStr">
        <is>
          <t>✅ คำตอบที่ถูกต้อง: ข้อ ก. Acyclovir 5%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ข้อ ค. (Cetirizine 10 mg OD): เป็น 2nd generation H1-antihistamine บรรเทาอาการ allergic rhinitis และ urticaria มี sedating effect ต่ำกว่า 1st gen แต่ยังอาจทำให้ง่วงซึมได้มากกว่า fexofenadine
• ข้อ ง.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จ. (Terbinafine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913" s="2" t="n"/>
      <c r="L1913" s="2" t="inlineStr">
        <is>
          <t>Dermatologic Disorders</t>
        </is>
      </c>
      <c r="M1913" s="2" t="inlineStr">
        <is>
          <t>Clinic</t>
        </is>
      </c>
      <c r="N1913" s="2" t="inlineStr">
        <is>
          <t>ข้อ 2 (PLE_CC1_Key_Rx20_UBU.md)</t>
        </is>
      </c>
      <c r="O1913" s="2" t="inlineStr">
        <is>
          <t>Mock</t>
        </is>
      </c>
      <c r="P1913" s="2" t="inlineStr">
        <is>
          <t>Mock Rx20 UBU</t>
        </is>
      </c>
    </row>
    <row r="1914" ht="13.2" customHeight="1" s="37">
      <c r="A1914" s="8" t="inlineStr">
        <is>
          <t>1935</t>
        </is>
      </c>
      <c r="B1914" s="2" t="inlineStr">
        <is>
          <t>Tinea versicolor ชื่อโรคเกลื้อน</t>
        </is>
      </c>
      <c r="C1914" s="2" t="n"/>
      <c r="D1914" s="2" t="inlineStr">
        <is>
          <t>Isotretinoin 10 mg OD</t>
        </is>
      </c>
      <c r="E1914" s="2" t="inlineStr">
        <is>
          <t>Terbinafine 1% cream</t>
        </is>
      </c>
      <c r="F1914" s="2" t="inlineStr">
        <is>
          <t>Adapalene 0.1% gel</t>
        </is>
      </c>
      <c r="G1914" s="2" t="inlineStr">
        <is>
          <t>Mupirocin 2% ointment</t>
        </is>
      </c>
      <c r="H1914" s="2" t="inlineStr">
        <is>
          <t>Betamethasone dipropionate 0.05% cream</t>
        </is>
      </c>
      <c r="I1914" s="8" t="inlineStr">
        <is>
          <t>1</t>
        </is>
      </c>
      <c r="J1914" s="2" t="inlineStr">
        <is>
          <t>✅ คำตอบที่ถูกต้อง: ข้อ ก. Isotretinoin 10 mg OD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Isotretinoin 10 mg OD
🔍 ข้ออื่นผิดเพราะอะไร:
• ข้อ ข. (Terbinafine 1% cream): ข้อนี้ไม่ใช่คำตอบที่ถูกต้องสำหรับภาวะ Dermatologic Disorders เนื่องจากกลไกการออกฤทธิ์, efficacy หรือข้อบ่งใช้ไม่ตรงกับโจทย์ที่กำหนด
• ข้อ ค. (Adapalene 0.1% gel): ข้อนี้ไม่ใช่คำตอบที่ถูกต้องสำหรับภาวะ Dermatologic Disorders เนื่องจากกลไกการออกฤทธิ์, efficacy หรือข้อบ่งใช้ไม่ตรงกับโจทย์ที่กำหนด
• ข้อ ง. (Mupirocin 2% ointment): ข้อนี้ไม่ใช่คำตอบที่ถูกต้องสำหรับภาวะ Dermatologic Disorders เนื่องจากกลไกการออกฤทธิ์, efficacy หรือข้อบ่งใช้ไม่ตรงกับโจทย์ที่กำหนด
• ข้อ จ. (Betamethasone dipropionate 0.05%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14" s="2" t="n"/>
      <c r="L1914" s="2" t="inlineStr">
        <is>
          <t>Dermatologic Disorders</t>
        </is>
      </c>
      <c r="M1914" s="2" t="inlineStr">
        <is>
          <t>Clinic</t>
        </is>
      </c>
      <c r="N1914" s="2" t="inlineStr">
        <is>
          <t>ข้อ 3 (PLE_CC1_Key_Rx20_UBU.md)</t>
        </is>
      </c>
      <c r="O1914" s="2" t="inlineStr">
        <is>
          <t>Mock</t>
        </is>
      </c>
      <c r="P1914" s="2" t="inlineStr">
        <is>
          <t>Mock Rx20 UBU</t>
        </is>
      </c>
    </row>
    <row r="1915" ht="13.2" customHeight="1" s="37">
      <c r="A1915" s="8" t="inlineStr">
        <is>
          <t>1936</t>
        </is>
      </c>
      <c r="B1915" s="2" t="inlineStr">
        <is>
          <t>Trichomonas vaginalis เชื้อพยาธิช่องคลอด</t>
        </is>
      </c>
      <c r="C1915" s="2" t="n"/>
      <c r="D1915" s="2" t="inlineStr">
        <is>
          <t>N-acetylcysteine (NAC) IV infusion protocol</t>
        </is>
      </c>
      <c r="E1915" s="2" t="inlineStr">
        <is>
          <t>Atropine sulfate 2 mg IV Q5-10 min</t>
        </is>
      </c>
      <c r="F1915" s="2" t="inlineStr">
        <is>
          <t>Pralidoxime (2-PAM) 1-2 g IV over 30 min</t>
        </is>
      </c>
      <c r="G1915" s="2" t="inlineStr">
        <is>
          <t>Naloxone 0.4 mg IV stat</t>
        </is>
      </c>
      <c r="H1915" s="2" t="inlineStr">
        <is>
          <t>Flumazenil 0.2 mg IV stat</t>
        </is>
      </c>
      <c r="I1915" s="8" t="inlineStr">
        <is>
          <t>1</t>
        </is>
      </c>
      <c r="J19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15" s="2" t="n"/>
      <c r="L1915" s="2" t="inlineStr">
        <is>
          <t>General Therapeutics</t>
        </is>
      </c>
      <c r="M1915" s="2" t="inlineStr">
        <is>
          <t>Clinic</t>
        </is>
      </c>
      <c r="N1915" s="2" t="inlineStr">
        <is>
          <t>ข้อ 4 (PLE_CC1_Key_Rx20_UBU.md)</t>
        </is>
      </c>
      <c r="O1915" s="2" t="inlineStr">
        <is>
          <t>Mock</t>
        </is>
      </c>
      <c r="P1915" s="2" t="inlineStr">
        <is>
          <t>Mock Rx20 UBU</t>
        </is>
      </c>
    </row>
    <row r="1916" ht="13.2" customHeight="1" s="37">
      <c r="A1916" s="8" t="inlineStr">
        <is>
          <t>1937</t>
        </is>
      </c>
      <c r="B1916" s="2" t="inlineStr">
        <is>
          <t>Trichophyton rubrum เป็นกลากจากอาการแสดง วงขอบแดง มีขุย คันมาก -</t>
        </is>
      </c>
      <c r="C1916" s="2" t="n"/>
      <c r="D1916" s="2" t="inlineStr">
        <is>
          <t>Naloxone 0.4 mg IV stat</t>
        </is>
      </c>
      <c r="E1916" s="2" t="inlineStr">
        <is>
          <t>Flumazenil 0.2 mg IV stat</t>
        </is>
      </c>
      <c r="F1916" s="2" t="inlineStr">
        <is>
          <t>Vitamin K1 (Phytomenadione) 10 mg IV slow</t>
        </is>
      </c>
      <c r="G1916" s="2" t="inlineStr">
        <is>
          <t>Sodium thiosulfate 25% 50 mL IV</t>
        </is>
      </c>
      <c r="H1916" s="2" t="inlineStr">
        <is>
          <t>Calcium disodium EDTA 1 g IV</t>
        </is>
      </c>
      <c r="I1916" s="8" t="inlineStr">
        <is>
          <t>1</t>
        </is>
      </c>
      <c r="J19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16" s="2" t="n"/>
      <c r="L1916" s="2" t="inlineStr">
        <is>
          <t>General Therapeutics</t>
        </is>
      </c>
      <c r="M1916" s="2" t="inlineStr">
        <is>
          <t>Clinic</t>
        </is>
      </c>
      <c r="N1916" s="2" t="inlineStr">
        <is>
          <t>ข้อ 5 (PLE_CC1_Key_Rx20_UBU.md)</t>
        </is>
      </c>
      <c r="O1916" s="2" t="inlineStr">
        <is>
          <t>Mock</t>
        </is>
      </c>
      <c r="P1916" s="2" t="inlineStr">
        <is>
          <t>Mock Rx20 UBU</t>
        </is>
      </c>
    </row>
    <row r="1917" ht="13.2" customHeight="1" s="37">
      <c r="A1917" s="8" t="inlineStr">
        <is>
          <t>1938</t>
        </is>
      </c>
      <c r="B1917" s="2" t="inlineStr">
        <is>
          <t>หากใช้ยา ketoconazole ต้อง monitor อะไร</t>
        </is>
      </c>
      <c r="C1917" s="2" t="n"/>
      <c r="D1917" s="2" t="inlineStr">
        <is>
          <t>Ketoconazole 2% shampoo</t>
        </is>
      </c>
      <c r="E1917" s="2" t="inlineStr">
        <is>
          <t>Benzoyl peroxide 2.5% gel</t>
        </is>
      </c>
      <c r="F1917" s="2" t="inlineStr">
        <is>
          <t>Acyclovir 5% cream</t>
        </is>
      </c>
      <c r="G1917" s="2" t="inlineStr">
        <is>
          <t>Silver sulfadiazine 1% cream</t>
        </is>
      </c>
      <c r="H1917" s="2" t="inlineStr">
        <is>
          <t>Cetirizine 10 mg OD</t>
        </is>
      </c>
      <c r="I1917" s="8" t="inlineStr">
        <is>
          <t>1</t>
        </is>
      </c>
      <c r="J1917" s="2" t="inlineStr">
        <is>
          <t>✅ คำตอบที่ถูกต้อง: ข้อ ก. Ketoconazole 2% shampoo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Ketoconazole 2% shampoo
🔍 ข้ออื่นผิดเพราะอะไร:
• ข้อ ข. (Benzoyl peroxide 2.5% gel): ข้อนี้ไม่ใช่คำตอบที่ถูกต้องสำหรับภาวะ Dermatologic Disorders เนื่องจากกลไกการออกฤทธิ์, efficacy หรือข้อบ่งใช้ไม่ตรงกับโจทย์ที่กำหนด
• ข้อ ค. (Acyclovir 5% cream): เป็น Guanosine analog ยับยั้ง HSV และ VZV polymerase ต้องดื่มน้ำมากๆ ระหว่างได้ยา IV เพื่อป้องกัน crystal nephropathy และ obstructive AKI
• ข้อ ง. (Silver sulfadiazine 1% cream): ข้อนี้ไม่ใช่คำตอบที่ถูกต้องสำหรับภาวะ Dermatologic Disorders เนื่องจากกลไกการออกฤทธิ์, efficacy หรือข้อบ่งใช้ไม่ตรงกับโจทย์ที่กำหนด
• ข้อ จ. (Cetirizine 10 mg OD):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17" s="2" t="n"/>
      <c r="L1917" s="2" t="inlineStr">
        <is>
          <t>Dermatologic Disorders</t>
        </is>
      </c>
      <c r="M1917" s="2" t="inlineStr">
        <is>
          <t>Clinic</t>
        </is>
      </c>
      <c r="N1917" s="2" t="inlineStr">
        <is>
          <t>ข้อ 56 (PLE_CC1_Key_Rx20_UBU.md)</t>
        </is>
      </c>
      <c r="O1917" s="2" t="inlineStr">
        <is>
          <t>Mock</t>
        </is>
      </c>
      <c r="P1917" s="2" t="inlineStr">
        <is>
          <t>Mock Rx20 UBU</t>
        </is>
      </c>
    </row>
    <row r="1918" ht="13.2" customHeight="1" s="37">
      <c r="A1918" s="8" t="inlineStr">
        <is>
          <t>1939</t>
        </is>
      </c>
      <c r="B1918" s="2" t="inlineStr">
        <is>
          <t>Liver function test</t>
        </is>
      </c>
      <c r="C1918" s="2" t="n"/>
      <c r="D1918" s="2" t="inlineStr">
        <is>
          <t>Dimercaprol (BAL) 3 mg/kg IM</t>
        </is>
      </c>
      <c r="E1918" s="2" t="inlineStr">
        <is>
          <t>Ethanol 10% IV infusion for Methanol poisoning</t>
        </is>
      </c>
      <c r="F1918" s="2" t="inlineStr">
        <is>
          <t>Fomepizole 15 mg/kg IV loading</t>
        </is>
      </c>
      <c r="G1918" s="2" t="inlineStr">
        <is>
          <t>N-acetylcysteine (NAC) IV infusion protocol</t>
        </is>
      </c>
      <c r="H1918" s="2" t="inlineStr">
        <is>
          <t>Atropine sulfate 2 mg IV Q5-10 min</t>
        </is>
      </c>
      <c r="I1918" s="8" t="inlineStr">
        <is>
          <t>1</t>
        </is>
      </c>
      <c r="J19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18" s="2" t="n"/>
      <c r="L1918" s="2" t="inlineStr">
        <is>
          <t>General Therapeutics</t>
        </is>
      </c>
      <c r="M1918" s="2" t="inlineStr">
        <is>
          <t>Clinic</t>
        </is>
      </c>
      <c r="N1918" s="2" t="inlineStr">
        <is>
          <t>ข้อ 1 (PLE_CC1_Key_Rx20_UBU.md)</t>
        </is>
      </c>
      <c r="O1918" s="2" t="inlineStr">
        <is>
          <t>Mock</t>
        </is>
      </c>
      <c r="P1918" s="2" t="inlineStr">
        <is>
          <t>Mock Rx20 UBU</t>
        </is>
      </c>
    </row>
    <row r="1919" ht="13.2" customHeight="1" s="37">
      <c r="A1919" s="8" t="inlineStr">
        <is>
          <t>1940</t>
        </is>
      </c>
      <c r="B1919" s="2" t="inlineStr">
        <is>
          <t>ยา Ketoconazole มีปัญหาอันตรกิริยากับยาใดต่อไปนี้น้อยที่สุด</t>
        </is>
      </c>
      <c r="C1919" s="2" t="n"/>
      <c r="D1919" s="2" t="inlineStr">
        <is>
          <t>Terbinafine 1% cream</t>
        </is>
      </c>
      <c r="E1919" s="2" t="inlineStr">
        <is>
          <t>Adapalene 0.1% gel</t>
        </is>
      </c>
      <c r="F1919" s="2" t="inlineStr">
        <is>
          <t>Mupirocin 2% ointment</t>
        </is>
      </c>
      <c r="G1919" s="2" t="inlineStr">
        <is>
          <t>Betamethasone dipropionate 0.05% cream</t>
        </is>
      </c>
      <c r="H1919" s="2" t="inlineStr">
        <is>
          <t>Clotrimazole 1% cream</t>
        </is>
      </c>
      <c r="I1919" s="8" t="inlineStr">
        <is>
          <t>1</t>
        </is>
      </c>
      <c r="J1919" s="2" t="inlineStr">
        <is>
          <t>✅ คำตอบที่ถูกต้อง: ข้อ ก. Terbinafine 1% cream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Dermatologic Disorders โดยมี clinical efficacy สูงสุดในการรักษาและมี safety profile ที่เหมาะสม
🔍 ข้ออื่นผิดเพราะอะไร:
• ข้อ ข. (Adapalene 0.1% gel): ข้อนี้ไม่ใช่คำตอบที่ถูกต้องสำหรับภาวะ Dermatologic Disorders เนื่องจากกลไกการออกฤทธิ์, efficacy หรือข้อบ่งใช้ไม่ตรงกับโจทย์ที่กำหนด
• ข้อ ค. (Mupirocin 2% ointment): ข้อนี้ไม่ใช่คำตอบที่ถูกต้องสำหรับภาวะ Dermatologic Disorders เนื่องจากกลไกการออกฤทธิ์, efficacy หรือข้อบ่งใช้ไม่ตรงกับโจทย์ที่กำหนด
• ข้อ ง. (Betamethasone dipropionate 0.05% cream): ข้อนี้ไม่ใช่คำตอบที่ถูกต้องสำหรับภาวะ Dermatologic Disorders เนื่องจากกลไกการออกฤทธิ์, efficacy หรือข้อบ่งใช้ไม่ตรงกับโจทย์ที่กำหนด
• ข้อ จ. (Clotrimazole 1% cream):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19" s="2" t="n"/>
      <c r="L1919" s="2" t="inlineStr">
        <is>
          <t>Dermatologic Disorders</t>
        </is>
      </c>
      <c r="M1919" s="2" t="inlineStr">
        <is>
          <t>Clinic</t>
        </is>
      </c>
      <c r="N1919" s="2" t="inlineStr">
        <is>
          <t>ข้อ 56 (PLE_CC1_Key_Rx20_UBU.md)</t>
        </is>
      </c>
      <c r="O1919" s="2" t="inlineStr">
        <is>
          <t>Mock</t>
        </is>
      </c>
      <c r="P1919" s="2" t="inlineStr">
        <is>
          <t>Mock Rx20 UBU</t>
        </is>
      </c>
    </row>
    <row r="1920" ht="13.2" customHeight="1" s="37">
      <c r="A1920" s="8" t="inlineStr">
        <is>
          <t>1941</t>
        </is>
      </c>
      <c r="B1920" s="2" t="inlineStr">
        <is>
          <t>ที่ pH ต่ำและอุณหภูมิสูง มีอัตราการสลายตัวต่ำกว่าที่ pH สูงและอุณหภูมิต่ำ</t>
        </is>
      </c>
      <c r="C1920" s="2" t="n"/>
      <c r="D1920" s="2" t="inlineStr">
        <is>
          <t>Naloxone 0.4 mg IV stat</t>
        </is>
      </c>
      <c r="E1920" s="2" t="inlineStr">
        <is>
          <t>Flumazenil 0.2 mg IV stat</t>
        </is>
      </c>
      <c r="F1920" s="2" t="inlineStr">
        <is>
          <t>Vitamin K1 (Phytomenadione) 10 mg IV slow</t>
        </is>
      </c>
      <c r="G1920" s="2" t="inlineStr">
        <is>
          <t>Sodium thiosulfate 25% 50 mL IV</t>
        </is>
      </c>
      <c r="H1920" s="2" t="inlineStr">
        <is>
          <t>Calcium disodium EDTA 1 g IV</t>
        </is>
      </c>
      <c r="I1920" s="8" t="inlineStr">
        <is>
          <t>1</t>
        </is>
      </c>
      <c r="J19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20" s="2" t="n"/>
      <c r="L1920" s="2" t="inlineStr">
        <is>
          <t>General Therapeutics</t>
        </is>
      </c>
      <c r="M1920" s="2" t="inlineStr">
        <is>
          <t>Clinic</t>
        </is>
      </c>
      <c r="N1920" s="2" t="inlineStr">
        <is>
          <t>ข้อ 1 (PLE_CC1_Key_Rx20_UBU.md)</t>
        </is>
      </c>
      <c r="O1920" s="2" t="inlineStr">
        <is>
          <t>Mock</t>
        </is>
      </c>
      <c r="P1920" s="2" t="inlineStr">
        <is>
          <t>Mock Rx20 UBU</t>
        </is>
      </c>
    </row>
    <row r="1921" ht="13.2" customHeight="1" s="37">
      <c r="A1921" s="8" t="inlineStr">
        <is>
          <t>1942</t>
        </is>
      </c>
      <c r="B1921" s="2" t="inlineStr">
        <is>
          <t>ที่ pH 5-9 สารมีความคงตัวที่ temp 25 องศา นานไม่เกิน 6 เดือน</t>
        </is>
      </c>
      <c r="C1921" s="2" t="n"/>
      <c r="D1921" s="2" t="inlineStr">
        <is>
          <t>Differential Scanning Calorimetry (DSC) Polymorphism</t>
        </is>
      </c>
      <c r="E1921" s="2" t="inlineStr">
        <is>
          <t>Moisture Sorption Isotherm analysis</t>
        </is>
      </c>
      <c r="F1921" s="2" t="inlineStr">
        <is>
          <t>Good Manufacturing Practice (GMP PIC/S)</t>
        </is>
      </c>
      <c r="G1921" s="2" t="inlineStr">
        <is>
          <t>Standard Operating Procedure (SOP) Validation</t>
        </is>
      </c>
      <c r="H1921" s="2" t="inlineStr">
        <is>
          <t>High-Density Polyethylene (HDPE) Container</t>
        </is>
      </c>
      <c r="I1921" s="8" t="inlineStr">
        <is>
          <t>1</t>
        </is>
      </c>
      <c r="J1921" s="2" t="inlineStr">
        <is>
          <t>✅ คำตอบที่ถูกต้อง: ข้อ ก. Differential Scanning Calorimetry (DSC) Polymorphism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Differential Scanning Calorimetry (DSC) Polymorphism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ค.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ข้อ ง.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จ.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1" s="2" t="n"/>
      <c r="L1921" s="2" t="inlineStr">
        <is>
          <t>Preformulation &amp; Stability</t>
        </is>
      </c>
      <c r="M1921" s="2" t="inlineStr">
        <is>
          <t>Product</t>
        </is>
      </c>
      <c r="N1921" s="2" t="inlineStr">
        <is>
          <t>ข้อ 2 (PLE_CC1_Key_Rx20_UBU.md)</t>
        </is>
      </c>
      <c r="O1921" s="2" t="inlineStr">
        <is>
          <t>Mock</t>
        </is>
      </c>
      <c r="P1921" s="2" t="inlineStr">
        <is>
          <t>Mock Rx20 UBU</t>
        </is>
      </c>
    </row>
    <row r="1922" ht="13.2" customHeight="1" s="37">
      <c r="A1922" s="8" t="inlineStr">
        <is>
          <t>1943</t>
        </is>
      </c>
      <c r="B1922" s="2" t="inlineStr">
        <is>
          <t>ที่ pH 1,2,3 มีความคงตัวมากตามลำดับ</t>
        </is>
      </c>
      <c r="C1922" s="2" t="n"/>
      <c r="D1922" s="2" t="inlineStr">
        <is>
          <t>Standard Operating Procedure (SOP) Validation</t>
        </is>
      </c>
      <c r="E1922" s="2" t="inlineStr">
        <is>
          <t>High-Density Polyethylene (HDPE) Container</t>
        </is>
      </c>
      <c r="F1922" s="2" t="inlineStr">
        <is>
          <t>Type I Borosilicate Glass Ampoule</t>
        </is>
      </c>
      <c r="G1922" s="2" t="inlineStr">
        <is>
          <t>Accelerated Stability Testing (40 C / 75% RH)</t>
        </is>
      </c>
      <c r="H1922" s="2" t="inlineStr">
        <is>
          <t>Long-term Stability Testing (30 C / 65% RH)</t>
        </is>
      </c>
      <c r="I1922" s="8" t="inlineStr">
        <is>
          <t>1</t>
        </is>
      </c>
      <c r="J1922" s="2" t="inlineStr">
        <is>
          <t>✅ คำตอบที่ถูกต้อง: ข้อ ก. Standard Operating Procedure (SOP) Validation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 Operating Procedure (SOP) Validation 💡 คำอธิบายและเหตุผลทางเภสัชกรรม:
💡 คำอธิบายและเหตุผลทางเภสัชกรรม:
USP/NF, British Pharmacopoeia (BP) &amp; Remington: The Science and Practice of Pharmacy (หัวข้อ Preformulation &amp; Stability)
Preformulation &amp; Stability: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Preformulation &amp; Stability)
🔍 ข้ออื่นผิดเพราะอะไร:
• ข้อ ข.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ข้อ ค.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ข้อ ง.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จ.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2" s="2" t="n"/>
      <c r="L1922" s="2" t="inlineStr">
        <is>
          <t>Preformulation &amp; Stability</t>
        </is>
      </c>
      <c r="M1922" s="2" t="inlineStr">
        <is>
          <t>Product</t>
        </is>
      </c>
      <c r="N1922" s="2" t="inlineStr">
        <is>
          <t>ข้อ 3 (PLE_CC1_Key_Rx20_UBU.md)</t>
        </is>
      </c>
      <c r="O1922" s="2" t="inlineStr">
        <is>
          <t>Mock</t>
        </is>
      </c>
      <c r="P1922" s="2" t="inlineStr">
        <is>
          <t>Mock Rx20 UBU</t>
        </is>
      </c>
    </row>
    <row r="1923" ht="13.2" customHeight="1" s="37">
      <c r="A1923" s="8" t="inlineStr">
        <is>
          <t>1944</t>
        </is>
      </c>
      <c r="B1923" s="2" t="inlineStr">
        <is>
          <t>Leucoverin คือ folinic acid สำหรับ 5FU และ MTX</t>
        </is>
      </c>
      <c r="C1923" s="2" t="n"/>
      <c r="D1923" s="2" t="inlineStr">
        <is>
          <t>N-acetylcysteine (NAC) IV infusion protocol</t>
        </is>
      </c>
      <c r="E1923" s="2" t="inlineStr">
        <is>
          <t>Atropine sulfate 2 mg IV Q5-10 min</t>
        </is>
      </c>
      <c r="F1923" s="2" t="inlineStr">
        <is>
          <t>Pralidoxime (2-PAM) 1-2 g IV over 30 min</t>
        </is>
      </c>
      <c r="G1923" s="2" t="inlineStr">
        <is>
          <t>Naloxone 0.4 mg IV stat</t>
        </is>
      </c>
      <c r="H1923" s="2" t="inlineStr">
        <is>
          <t>Flumazenil 0.2 mg IV stat</t>
        </is>
      </c>
      <c r="I1923" s="8" t="inlineStr">
        <is>
          <t>1</t>
        </is>
      </c>
      <c r="J19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23" s="2" t="n"/>
      <c r="L1923" s="2" t="inlineStr">
        <is>
          <t>General Therapeutics</t>
        </is>
      </c>
      <c r="M1923" s="2" t="inlineStr">
        <is>
          <t>Clinic</t>
        </is>
      </c>
      <c r="N1923" s="2" t="inlineStr">
        <is>
          <t>ข้อ 2 (PLE_CC1_Key_Rx20_UBU.md)</t>
        </is>
      </c>
      <c r="O1923" s="2" t="inlineStr">
        <is>
          <t>Mock</t>
        </is>
      </c>
      <c r="P1923" s="2" t="inlineStr">
        <is>
          <t>Mock Rx20 UBU</t>
        </is>
      </c>
    </row>
    <row r="1924" ht="13.2" customHeight="1" s="37">
      <c r="A1924" s="8" t="inlineStr">
        <is>
          <t>1945</t>
        </is>
      </c>
      <c r="B1924" s="2" t="inlineStr">
        <is>
          <t>Dimercarpol antidote (chelate) โลหะหนัก เช่น Mercury As Gold &amp;</t>
        </is>
      </c>
      <c r="C1924" s="2" t="n"/>
      <c r="D1924" s="2" t="inlineStr">
        <is>
          <t>Naloxone 0.4 mg IV stat</t>
        </is>
      </c>
      <c r="E1924" s="2" t="inlineStr">
        <is>
          <t>Flumazenil 0.2 mg IV stat</t>
        </is>
      </c>
      <c r="F1924" s="2" t="inlineStr">
        <is>
          <t>Vitamin K1 (Phytomenadione) 10 mg IV slow</t>
        </is>
      </c>
      <c r="G1924" s="2" t="inlineStr">
        <is>
          <t>Sodium thiosulfate 25% 50 mL IV</t>
        </is>
      </c>
      <c r="H1924" s="2" t="inlineStr">
        <is>
          <t>Calcium disodium EDTA 1 g IV</t>
        </is>
      </c>
      <c r="I1924" s="8" t="inlineStr">
        <is>
          <t>1</t>
        </is>
      </c>
      <c r="J1924" s="2" t="inlineStr">
        <is>
          <t>✅ คำตอบที่ถูกต้อง: ข้อ ก. Naloxone 0.4 mg IV stat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Naloxone 0.4 mg IV stat การเลือก Naloxone 0.4 mg IV stat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Toxicology &amp; Antidote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Toxicology &amp; Antidote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24" s="2" t="n"/>
      <c r="L1924" s="2" t="inlineStr">
        <is>
          <t>Toxicology &amp; Antidote</t>
        </is>
      </c>
      <c r="M1924" s="2" t="inlineStr">
        <is>
          <t>Clinic</t>
        </is>
      </c>
      <c r="N1924" s="2" t="inlineStr">
        <is>
          <t>ข้อ 3 (PLE_CC1_Key_Rx20_UBU.md)</t>
        </is>
      </c>
      <c r="O1924" s="2" t="inlineStr">
        <is>
          <t>Mock</t>
        </is>
      </c>
      <c r="P1924" s="2" t="inlineStr">
        <is>
          <t>Mock Rx20 UBU</t>
        </is>
      </c>
    </row>
    <row r="1925" ht="13.2" customHeight="1" s="37">
      <c r="A1925" s="8" t="inlineStr">
        <is>
          <t>1946</t>
        </is>
      </c>
      <c r="B1925" s="2" t="inlineStr">
        <is>
          <t>ปรับ pH ของสารละลายใน medium</t>
        </is>
      </c>
      <c r="C1925" s="2" t="n"/>
      <c r="D1925" s="2" t="inlineStr">
        <is>
          <t>บัญชียาหลักแห่งชาติ (National List of Essential Medicines: NLEM)</t>
        </is>
      </c>
      <c r="E1925" s="2" t="inlineStr">
        <is>
          <t>เกณฑ์จริยธรรมว่าด้วยการส่งเสริมการขายยาของกระทรวงสาธารณสุข</t>
        </is>
      </c>
      <c r="F1925" s="2" t="inlineStr">
        <is>
          <t>พ.ร.บ. ยา พ.ศ. 2510 (การจำหน่ายยาอันตรายและยาควบคุมพิเศษ)</t>
        </is>
      </c>
      <c r="G1925" s="2" t="inlineStr">
        <is>
          <t>พ.ร.บ. ยาเสพติดให้โทษ พ.ศ. 2522 (ยาเสพติดให้โทษประเภท 2 และ 3)</t>
        </is>
      </c>
      <c r="H1925" s="2" t="inlineStr">
        <is>
          <t>พ.ร.บ. วัตถุที่ออกฤทธิ์ต่อจิตและประสาท พ.ศ. 2559 (ประเภท 2 และ 4)</t>
        </is>
      </c>
      <c r="I1925" s="8" t="inlineStr">
        <is>
          <t>1</t>
        </is>
      </c>
      <c r="J192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5" s="2" t="n"/>
      <c r="L1925" s="2" t="inlineStr">
        <is>
          <t>Pharmacy Laws &amp; Ethics</t>
        </is>
      </c>
      <c r="M1925" s="2" t="inlineStr">
        <is>
          <t>SAP</t>
        </is>
      </c>
      <c r="N1925" s="2" t="inlineStr">
        <is>
          <t>ข้อ 3 (PLE_CC1_Key_Rx20_UBU.md)</t>
        </is>
      </c>
      <c r="O1925" s="2" t="inlineStr">
        <is>
          <t>Mock</t>
        </is>
      </c>
      <c r="P1925" s="2" t="inlineStr">
        <is>
          <t>Mock Rx20 UBU</t>
        </is>
      </c>
    </row>
    <row r="1926" ht="13.2" customHeight="1" s="37">
      <c r="A1926" s="8" t="inlineStr">
        <is>
          <t>1947</t>
        </is>
      </c>
      <c r="B1926" s="2" t="inlineStr">
        <is>
          <t>ป้องกันการตกตะกอนใน medium</t>
        </is>
      </c>
      <c r="C1926" s="2" t="n"/>
      <c r="D1926" s="2" t="inlineStr">
        <is>
          <t>Dimercaprol (BAL) 3 mg/kg IM</t>
        </is>
      </c>
      <c r="E1926" s="2" t="inlineStr">
        <is>
          <t>Ethanol 10% IV infusion for Methanol poisoning</t>
        </is>
      </c>
      <c r="F1926" s="2" t="inlineStr">
        <is>
          <t>Fomepizole 15 mg/kg IV loading</t>
        </is>
      </c>
      <c r="G1926" s="2" t="inlineStr">
        <is>
          <t>N-acetylcysteine (NAC) IV infusion protocol</t>
        </is>
      </c>
      <c r="H1926" s="2" t="inlineStr">
        <is>
          <t>Atropine sulfate 2 mg IV Q5-10 min</t>
        </is>
      </c>
      <c r="I1926" s="8" t="inlineStr">
        <is>
          <t>1</t>
        </is>
      </c>
      <c r="J19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6" s="2" t="n"/>
      <c r="L1926" s="2" t="inlineStr">
        <is>
          <t>General Therapeutics</t>
        </is>
      </c>
      <c r="M1926" s="2" t="inlineStr">
        <is>
          <t>Clinic</t>
        </is>
      </c>
      <c r="N1926" s="2" t="inlineStr">
        <is>
          <t>ข้อ 4 (PLE_CC1_Key_Rx20_UBU.md)</t>
        </is>
      </c>
      <c r="O1926" s="2" t="inlineStr">
        <is>
          <t>Mock</t>
        </is>
      </c>
      <c r="P1926" s="2" t="inlineStr">
        <is>
          <t>Mock Rx20 UBU</t>
        </is>
      </c>
    </row>
    <row r="1927" ht="13.2" customHeight="1" s="37">
      <c r="A1927" s="8" t="inlineStr">
        <is>
          <t>1948</t>
        </is>
      </c>
      <c r="B1927" s="2" t="inlineStr">
        <is>
          <t>เป็น chelating agent เพื่อให้ได้ตัวยาในการนำไปวิเคราะห์ทาง assay</t>
        </is>
      </c>
      <c r="C1927" s="2" t="n"/>
      <c r="D1927" s="2" t="inlineStr">
        <is>
          <t>N-acetylcysteine (NAC) IV infusion protocol</t>
        </is>
      </c>
      <c r="E1927" s="2" t="inlineStr">
        <is>
          <t>Atropine sulfate 2 mg IV Q5-10 min</t>
        </is>
      </c>
      <c r="F1927" s="2" t="inlineStr">
        <is>
          <t>Pralidoxime (2-PAM) 1-2 g IV over 30 min</t>
        </is>
      </c>
      <c r="G1927" s="2" t="inlineStr">
        <is>
          <t>Naloxone 0.4 mg IV stat</t>
        </is>
      </c>
      <c r="H1927" s="2" t="inlineStr">
        <is>
          <t>Flumazenil 0.2 mg IV stat</t>
        </is>
      </c>
      <c r="I1927" s="8" t="inlineStr">
        <is>
          <t>1</t>
        </is>
      </c>
      <c r="J19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27" s="2" t="n"/>
      <c r="L1927" s="2" t="inlineStr">
        <is>
          <t>General Therapeutics</t>
        </is>
      </c>
      <c r="M1927" s="2" t="inlineStr">
        <is>
          <t>Clinic</t>
        </is>
      </c>
      <c r="N1927" s="2" t="inlineStr">
        <is>
          <t>ข้อ 5 (PLE_CC1_Key_Rx20_UBU.md)</t>
        </is>
      </c>
      <c r="O1927" s="2" t="inlineStr">
        <is>
          <t>Mock</t>
        </is>
      </c>
      <c r="P1927" s="2" t="inlineStr">
        <is>
          <t>Mock Rx20 UBU</t>
        </is>
      </c>
    </row>
    <row r="1928" ht="13.2" customHeight="1" s="37">
      <c r="A1928" s="8" t="inlineStr">
        <is>
          <t>1949</t>
        </is>
      </c>
      <c r="B1928" s="2" t="inlineStr">
        <is>
          <t>เขียนว่ามีเภสัชอยู่ตลอดวัน</t>
        </is>
      </c>
      <c r="C1928" s="2" t="n"/>
      <c r="D1928" s="2" t="inlineStr">
        <is>
          <t>Naloxone 0.4 mg IV stat</t>
        </is>
      </c>
      <c r="E1928" s="2" t="inlineStr">
        <is>
          <t>Flumazenil 0.2 mg IV stat</t>
        </is>
      </c>
      <c r="F1928" s="2" t="inlineStr">
        <is>
          <t>Vitamin K1 (Phytomenadione) 10 mg IV slow</t>
        </is>
      </c>
      <c r="G1928" s="2" t="inlineStr">
        <is>
          <t>Sodium thiosulfate 25% 50 mL IV</t>
        </is>
      </c>
      <c r="H1928" s="2" t="inlineStr">
        <is>
          <t>Calcium disodium EDTA 1 g IV</t>
        </is>
      </c>
      <c r="I1928" s="8" t="inlineStr">
        <is>
          <t>1</t>
        </is>
      </c>
      <c r="J19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28" s="2" t="n"/>
      <c r="L1928" s="2" t="inlineStr">
        <is>
          <t>General Therapeutics</t>
        </is>
      </c>
      <c r="M1928" s="2" t="inlineStr">
        <is>
          <t>Clinic</t>
        </is>
      </c>
      <c r="N1928" s="2" t="inlineStr">
        <is>
          <t>ข้อ 1 (PLE_CC1_Key_Rx20_UBU.md)</t>
        </is>
      </c>
      <c r="O1928" s="2" t="inlineStr">
        <is>
          <t>Mock</t>
        </is>
      </c>
      <c r="P1928" s="2" t="inlineStr">
        <is>
          <t>Mock Rx20 UBU</t>
        </is>
      </c>
    </row>
    <row r="1929" ht="13.2" customHeight="1" s="37">
      <c r="A1929" s="8" t="inlineStr">
        <is>
          <t>1950</t>
        </is>
      </c>
      <c r="B1929" s="2" t="inlineStr">
        <is>
          <t>เขียนว่ามีเภสัชอยู่ 24 ชั่วโมง</t>
        </is>
      </c>
      <c r="C1929" s="2" t="n"/>
      <c r="D1929" s="2" t="inlineStr">
        <is>
          <t>Sodium thiosulfate 25% 50 mL IV</t>
        </is>
      </c>
      <c r="E1929" s="2" t="inlineStr">
        <is>
          <t>Calcium disodium EDTA 1 g IV</t>
        </is>
      </c>
      <c r="F1929" s="2" t="inlineStr">
        <is>
          <t>Desferrioxamine 1 g IM/IV</t>
        </is>
      </c>
      <c r="G1929" s="2" t="inlineStr">
        <is>
          <t>Dimercaprol (BAL) 3 mg/kg IM</t>
        </is>
      </c>
      <c r="H1929" s="2" t="inlineStr">
        <is>
          <t>Ethanol 10% IV infusion for Methanol poisoning</t>
        </is>
      </c>
      <c r="I1929" s="8" t="inlineStr">
        <is>
          <t>1</t>
        </is>
      </c>
      <c r="J19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9" s="2" t="n"/>
      <c r="L1929" s="2" t="inlineStr">
        <is>
          <t>General Therapeutics</t>
        </is>
      </c>
      <c r="M1929" s="2" t="inlineStr">
        <is>
          <t>Clinic</t>
        </is>
      </c>
      <c r="N1929" s="2" t="inlineStr">
        <is>
          <t>ข้อ 2 (PLE_CC1_Key_Rx20_UBU.md)</t>
        </is>
      </c>
      <c r="O1929" s="2" t="inlineStr">
        <is>
          <t>Mock</t>
        </is>
      </c>
      <c r="P1929" s="2" t="inlineStr">
        <is>
          <t>Mock Rx20 UBU</t>
        </is>
      </c>
    </row>
    <row r="1930" ht="13.2" customHeight="1" s="37">
      <c r="A1930" s="8" t="inlineStr">
        <is>
          <t>1951</t>
        </is>
      </c>
      <c r="B1930" s="2" t="inlineStr">
        <is>
          <t>เขียนว่ามีเภสัชทำงาน fill time</t>
        </is>
      </c>
      <c r="C1930" s="2" t="n"/>
      <c r="D1930" s="2" t="inlineStr">
        <is>
          <t>Dimercaprol (BAL) 3 mg/kg IM</t>
        </is>
      </c>
      <c r="E1930" s="2" t="inlineStr">
        <is>
          <t>Ethanol 10% IV infusion for Methanol poisoning</t>
        </is>
      </c>
      <c r="F1930" s="2" t="inlineStr">
        <is>
          <t>Fomepizole 15 mg/kg IV loading</t>
        </is>
      </c>
      <c r="G1930" s="2" t="inlineStr">
        <is>
          <t>N-acetylcysteine (NAC) IV infusion protocol</t>
        </is>
      </c>
      <c r="H1930" s="2" t="inlineStr">
        <is>
          <t>Atropine sulfate 2 mg IV Q5-10 min</t>
        </is>
      </c>
      <c r="I1930" s="8" t="inlineStr">
        <is>
          <t>1</t>
        </is>
      </c>
      <c r="J19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0" s="2" t="n"/>
      <c r="L1930" s="2" t="inlineStr">
        <is>
          <t>General Therapeutics</t>
        </is>
      </c>
      <c r="M1930" s="2" t="inlineStr">
        <is>
          <t>Clinic</t>
        </is>
      </c>
      <c r="N1930" s="2" t="inlineStr">
        <is>
          <t>ข้อ 3 (PLE_CC1_Key_Rx20_UBU.md)</t>
        </is>
      </c>
      <c r="O1930" s="2" t="inlineStr">
        <is>
          <t>Mock</t>
        </is>
      </c>
      <c r="P1930" s="2" t="inlineStr">
        <is>
          <t>Mock Rx20 UBU</t>
        </is>
      </c>
    </row>
    <row r="1931" ht="13.2" customHeight="1" s="37">
      <c r="A1931" s="8" t="inlineStr">
        <is>
          <t>1952</t>
        </is>
      </c>
      <c r="B1931" s="2" t="inlineStr">
        <is>
          <t>เขียนว่าให้คำปรึกษาเรื่องยาโดยเภสัชกรในช่วง 17.00 – 20.00 น.</t>
        </is>
      </c>
      <c r="C1931" s="2" t="n"/>
      <c r="D1931" s="2" t="inlineStr">
        <is>
          <t>N-acetylcysteine (NAC) IV infusion protocol</t>
        </is>
      </c>
      <c r="E1931" s="2" t="inlineStr">
        <is>
          <t>Atropine sulfate 2 mg IV Q5-10 min</t>
        </is>
      </c>
      <c r="F1931" s="2" t="inlineStr">
        <is>
          <t>Pralidoxime (2-PAM) 1-2 g IV over 30 min</t>
        </is>
      </c>
      <c r="G1931" s="2" t="inlineStr">
        <is>
          <t>Naloxone 0.4 mg IV stat</t>
        </is>
      </c>
      <c r="H1931" s="2" t="inlineStr">
        <is>
          <t>Flumazenil 0.2 mg IV stat</t>
        </is>
      </c>
      <c r="I1931" s="8" t="inlineStr">
        <is>
          <t>1</t>
        </is>
      </c>
      <c r="J19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31" s="2" t="n"/>
      <c r="L1931" s="2" t="inlineStr">
        <is>
          <t>General Therapeutics</t>
        </is>
      </c>
      <c r="M1931" s="2" t="inlineStr">
        <is>
          <t>Clinic</t>
        </is>
      </c>
      <c r="N1931" s="2" t="inlineStr">
        <is>
          <t>ข้อ 4 (PLE_CC1_Key_Rx20_UBU.md)</t>
        </is>
      </c>
      <c r="O1931" s="2" t="inlineStr">
        <is>
          <t>Mock</t>
        </is>
      </c>
      <c r="P1931" s="2" t="inlineStr">
        <is>
          <t>Mock Rx20 UBU</t>
        </is>
      </c>
    </row>
    <row r="1932" ht="13.2" customHeight="1" s="37">
      <c r="A1932" s="8" t="inlineStr">
        <is>
          <t>1953</t>
        </is>
      </c>
      <c r="B1932" s="2" t="inlineStr">
        <is>
          <t>ยาที่ผู้ป่วยควรได้รับในการป้องกันการเกิด CHD</t>
        </is>
      </c>
      <c r="C1932" s="2" t="n"/>
      <c r="D1932" s="2" t="inlineStr">
        <is>
          <t>Naloxone 0.4 mg IV stat</t>
        </is>
      </c>
      <c r="E1932" s="2" t="inlineStr">
        <is>
          <t>Flumazenil 0.2 mg IV stat</t>
        </is>
      </c>
      <c r="F1932" s="2" t="inlineStr">
        <is>
          <t>Vitamin K1 (Phytomenadione) 10 mg IV slow</t>
        </is>
      </c>
      <c r="G1932" s="2" t="inlineStr">
        <is>
          <t>Sodium thiosulfate 25% 50 mL IV</t>
        </is>
      </c>
      <c r="H1932" s="2" t="inlineStr">
        <is>
          <t>Calcium disodium EDTA 1 g IV</t>
        </is>
      </c>
      <c r="I1932" s="8" t="inlineStr">
        <is>
          <t>1</t>
        </is>
      </c>
      <c r="J19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32" s="2" t="n"/>
      <c r="L1932" s="2" t="inlineStr">
        <is>
          <t>General Therapeutics</t>
        </is>
      </c>
      <c r="M1932" s="2" t="inlineStr">
        <is>
          <t>Clinic</t>
        </is>
      </c>
      <c r="N1932" s="2" t="inlineStr">
        <is>
          <t>ข้อ 63 (PLE_CC1_Key_Rx20_UBU.md)</t>
        </is>
      </c>
      <c r="O1932" s="2" t="inlineStr">
        <is>
          <t>Mock</t>
        </is>
      </c>
      <c r="P1932" s="2" t="inlineStr">
        <is>
          <t>Mock Rx20 UBU</t>
        </is>
      </c>
    </row>
    <row r="1933" ht="13.2" customHeight="1" s="37">
      <c r="A1933" s="8" t="inlineStr">
        <is>
          <t>1954</t>
        </is>
      </c>
      <c r="B1933" s="2" t="inlineStr">
        <is>
          <t>เภสัชกรทราบว่าผู้ป่วยสูบหรี่ ควรจะประเมินการปฏิบัติตัวตามหลัก 5A ในขั้นตอนใดต่อไป</t>
        </is>
      </c>
      <c r="C1933" s="2" t="n"/>
      <c r="D1933" s="2" t="inlineStr">
        <is>
          <t>Sodium thiosulfate 25% 50 mL IV</t>
        </is>
      </c>
      <c r="E1933" s="2" t="inlineStr">
        <is>
          <t>Calcium disodium EDTA 1 g IV</t>
        </is>
      </c>
      <c r="F1933" s="2" t="inlineStr">
        <is>
          <t>Desferrioxamine 1 g IM/IV</t>
        </is>
      </c>
      <c r="G1933" s="2" t="inlineStr">
        <is>
          <t>Dimercaprol (BAL) 3 mg/kg IM</t>
        </is>
      </c>
      <c r="H1933" s="2" t="inlineStr">
        <is>
          <t>Ethanol 10% IV infusion for Methanol poisoning</t>
        </is>
      </c>
      <c r="I1933" s="8" t="inlineStr">
        <is>
          <t>1</t>
        </is>
      </c>
      <c r="J19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33" s="2" t="n"/>
      <c r="L1933" s="2" t="inlineStr">
        <is>
          <t>General Therapeutics</t>
        </is>
      </c>
      <c r="M1933" s="2" t="inlineStr">
        <is>
          <t>Clinic</t>
        </is>
      </c>
      <c r="N1933" s="2" t="inlineStr">
        <is>
          <t>ข้อ 64 (PLE_CC1_Key_Rx20_UBU.md)</t>
        </is>
      </c>
      <c r="O1933" s="2" t="inlineStr">
        <is>
          <t>Mock</t>
        </is>
      </c>
      <c r="P1933" s="2" t="inlineStr">
        <is>
          <t>Mock Rx20 UBU</t>
        </is>
      </c>
    </row>
    <row r="1934" ht="13.2" customHeight="1" s="37">
      <c r="A1934" s="8" t="inlineStr">
        <is>
          <t>1955</t>
        </is>
      </c>
      <c r="B1934" s="2" t="inlineStr">
        <is>
          <t>เภสัชกรทำการประเมินการติดนิโคตินว่าติดมาก หรือ ติดน้อย</t>
        </is>
      </c>
      <c r="C1934" s="2" t="n"/>
      <c r="D1934" s="2" t="inlineStr">
        <is>
          <t>Dimercaprol (BAL) 3 mg/kg IM</t>
        </is>
      </c>
      <c r="E1934" s="2" t="inlineStr">
        <is>
          <t>Ethanol 10% IV infusion for Methanol poisoning</t>
        </is>
      </c>
      <c r="F1934" s="2" t="inlineStr">
        <is>
          <t>Fomepizole 15 mg/kg IV loading</t>
        </is>
      </c>
      <c r="G1934" s="2" t="inlineStr">
        <is>
          <t>N-acetylcysteine (NAC) IV infusion protocol</t>
        </is>
      </c>
      <c r="H1934" s="2" t="inlineStr">
        <is>
          <t>Atropine sulfate 2 mg IV Q5-10 min</t>
        </is>
      </c>
      <c r="I1934" s="8" t="inlineStr">
        <is>
          <t>1</t>
        </is>
      </c>
      <c r="J19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4" s="2" t="n"/>
      <c r="L1934" s="2" t="inlineStr">
        <is>
          <t>General Therapeutics</t>
        </is>
      </c>
      <c r="M1934" s="2" t="inlineStr">
        <is>
          <t>Clinic</t>
        </is>
      </c>
      <c r="N1934" s="2" t="inlineStr">
        <is>
          <t>ข้อ 3 (PLE_CC1_Key_Rx20_UBU.md)</t>
        </is>
      </c>
      <c r="O1934" s="2" t="inlineStr">
        <is>
          <t>Mock</t>
        </is>
      </c>
      <c r="P1934" s="2" t="inlineStr">
        <is>
          <t>Mock Rx20 UBU</t>
        </is>
      </c>
    </row>
    <row r="1935" ht="13.2" customHeight="1" s="37">
      <c r="A1935" s="8" t="inlineStr">
        <is>
          <t>1956</t>
        </is>
      </c>
      <c r="B1935" s="2" t="inlineStr">
        <is>
          <t>แนะนำให้ไปพบแพทย์เพื่อจ่ายยาอดบุหรี่</t>
        </is>
      </c>
      <c r="C1935" s="2" t="n"/>
      <c r="D1935" s="2" t="inlineStr">
        <is>
          <t>N-acetylcysteine 600 mg OD</t>
        </is>
      </c>
      <c r="E1935" s="2" t="inlineStr">
        <is>
          <t>Beclomethasone MDI 100 mcg BID</t>
        </is>
      </c>
      <c r="F1935" s="2" t="inlineStr">
        <is>
          <t>Salbutamol MDI 2 puffs PRN</t>
        </is>
      </c>
      <c r="G1935" s="2" t="inlineStr">
        <is>
          <t>Budesonide/Formoterol 160/4.5 mcg DPI BID</t>
        </is>
      </c>
      <c r="H1935" s="2" t="inlineStr">
        <is>
          <t>Fluticasone/Salmeterol 250/50 mcg DPI BID</t>
        </is>
      </c>
      <c r="I1935" s="8" t="inlineStr">
        <is>
          <t>1</t>
        </is>
      </c>
      <c r="J1935" s="2" t="inlineStr">
        <is>
          <t>✅ คำตอบที่ถูกต้อง: ข้อ ก. N-acetylcysteine 600 mg OD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N-acetylcysteine 600 mg OD การเลือก N-acetylcysteine 600 mg OD เป็นคำตอบที่ถูกต้องและสอดคล้องกับ evidence-based guidelines ของภาวะ Pulmonary Diseases โดยมี clinical efficacy สูงสุดในการรักษาและมี safety profile ที่เหมาะสม
🔍 ข้ออื่นผิดเพราะอะไร:
• ข้อ ข.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ค.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ง. (Budesonide/Formoterol 160/4.5 mcg DPI BID):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 จ. (Fluticasone/Salmeterol 250/50 mcg DPI BID):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35" s="2" t="n"/>
      <c r="L1935" s="2" t="inlineStr">
        <is>
          <t>Pulmonary Diseases</t>
        </is>
      </c>
      <c r="M1935" s="2" t="inlineStr">
        <is>
          <t>Clinic</t>
        </is>
      </c>
      <c r="N1935" s="2" t="inlineStr">
        <is>
          <t>ข้อ 4 (PLE_CC1_Key_Rx20_UBU.md)</t>
        </is>
      </c>
      <c r="O1935" s="2" t="inlineStr">
        <is>
          <t>Mock</t>
        </is>
      </c>
      <c r="P1935" s="2" t="inlineStr">
        <is>
          <t>Mock Rx20 UBU</t>
        </is>
      </c>
    </row>
    <row r="1936" ht="13.2" customHeight="1" s="37">
      <c r="A1936" s="8" t="inlineStr">
        <is>
          <t>1957</t>
        </is>
      </c>
      <c r="B1936" s="2" t="inlineStr">
        <is>
          <t>ตำหนิผู้ป่วย เพราะการสูบบุหรี่เป็นที่น่ารังเกียจต่อสังคม</t>
        </is>
      </c>
      <c r="C1936" s="2" t="n"/>
      <c r="D1936" s="2" t="inlineStr">
        <is>
          <t>Budesonide/Formoterol 160/4.5 mcg DPI BID</t>
        </is>
      </c>
      <c r="E1936" s="2" t="inlineStr">
        <is>
          <t>Fluticasone/Salmeterol 250/50 mcg DPI BID</t>
        </is>
      </c>
      <c r="F1936" s="2" t="inlineStr">
        <is>
          <t>Tiotropium Respimat 2.5 mcg 2 puffs OD</t>
        </is>
      </c>
      <c r="G1936" s="2" t="inlineStr">
        <is>
          <t>Ipratropium/Fenoterol MDI PRN</t>
        </is>
      </c>
      <c r="H1936" s="2" t="inlineStr">
        <is>
          <t>Montelukast 10 mg HS</t>
        </is>
      </c>
      <c r="I1936" s="8" t="inlineStr">
        <is>
          <t>1</t>
        </is>
      </c>
      <c r="J1936" s="2" t="inlineStr">
        <is>
          <t>✅ คำตอบที่ถูกต้อง: ข้อ ก. Budesonide/Formoterol 160/4.5 mcg DPI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Budesonide/Formoterol 160/4.5 mcg DPI BID การเลือก Budesonide/Formoterol 160/4.5 mcg DPI BID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(Fluticasone/Salmeterol 250/50 mcg DPI BID): เป็น potent ICS มี high topical potency และ systemic bioavailability ต่ำ ใช้เป็น maintenance anti-inflammatory controller ใน moderate-to-severe asthma และ COPD with high eosinophils
• ข้อ ค. (Tiotropium Respimat 2.5 mcg 2 puffs OD): เป็น Long-acting muscarinic antagonist (LAMA) มี bronchodilatory efficacy สูง เป็นแกนหลักใน COPD maintenance therapy และ add-on ใน severe asthma
• ข้อ ง. (Ipratropium/Fenoterol MDI PRN): เป็น SAMA ออกฤทธิ์ยับยั้ง cholinergic tone มักใช้ร่วมกับ SABA ใน acute moderate-to-severe asthma/COPD exacerbation
• ข้อ จ.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Guideline อ้างอิง:
[NEED_REVIEW]
📌 จุดจำก่อนสอบ:
• SMART / MART Strategy: GINA แนะนำใช้เป็นทั้ง Maintenance and Reliever Therapy (MART) ตั้งแต่ Step 3 ขึ้นไป ช่วยลดอัตราการกำเริบของโรคได้ดีกว่า SABA
• Rinse Mouth Counseling: ต้องบ้วนปากและกลั้วคอด้วยน้ำสะอาดแล้วบ้วนทิ้งทุกครั้งหลังสูดยา เพื่อป้องกัน oral candidiasis (เชื้อราในปาก) และ dysphonia (เสียงแหบ)</t>
        </is>
      </c>
      <c r="K1936" s="2" t="n"/>
      <c r="L1936" s="2" t="inlineStr">
        <is>
          <t>Pulmonary Diseases</t>
        </is>
      </c>
      <c r="M1936" s="2" t="inlineStr">
        <is>
          <t>Clinic</t>
        </is>
      </c>
      <c r="N1936" s="2" t="inlineStr">
        <is>
          <t>ข้อ 5 (PLE_CC1_Key_Rx20_UBU.md)</t>
        </is>
      </c>
      <c r="O1936" s="2" t="inlineStr">
        <is>
          <t>Mock</t>
        </is>
      </c>
      <c r="P1936" s="2" t="inlineStr">
        <is>
          <t>Mock Rx20 UBU</t>
        </is>
      </c>
    </row>
    <row r="1937" ht="13.2" customHeight="1" s="37">
      <c r="A1937" s="8" t="inlineStr">
        <is>
          <t>1958</t>
        </is>
      </c>
      <c r="B1937" s="2" t="inlineStr">
        <is>
          <t>Single-layer Drug-adhesive systems</t>
        </is>
      </c>
      <c r="C1937" s="2" t="n"/>
      <c r="D1937" s="2" t="inlineStr">
        <is>
          <t>Sodium thiosulfate 25% 50 mL IV</t>
        </is>
      </c>
      <c r="E1937" s="2" t="inlineStr">
        <is>
          <t>Calcium disodium EDTA 1 g IV</t>
        </is>
      </c>
      <c r="F1937" s="2" t="inlineStr">
        <is>
          <t>Desferrioxamine 1 g IM/IV</t>
        </is>
      </c>
      <c r="G1937" s="2" t="inlineStr">
        <is>
          <t>Dimercaprol (BAL) 3 mg/kg IM</t>
        </is>
      </c>
      <c r="H1937" s="2" t="inlineStr">
        <is>
          <t>Ethanol 10% IV infusion for Methanol poisoning</t>
        </is>
      </c>
      <c r="I1937" s="8" t="inlineStr">
        <is>
          <t>1</t>
        </is>
      </c>
      <c r="J19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7" s="2" t="n"/>
      <c r="L1937" s="2" t="inlineStr">
        <is>
          <t>General Therapeutics</t>
        </is>
      </c>
      <c r="M1937" s="2" t="inlineStr">
        <is>
          <t>Clinic</t>
        </is>
      </c>
      <c r="N1937" s="2" t="inlineStr">
        <is>
          <t>ข้อ 1 (PLE_CC1_Key_Rx20_UBU.md)</t>
        </is>
      </c>
      <c r="O1937" s="2" t="inlineStr">
        <is>
          <t>Mock</t>
        </is>
      </c>
      <c r="P1937" s="2" t="inlineStr">
        <is>
          <t>Mock Rx20 UBU</t>
        </is>
      </c>
    </row>
    <row r="1938" ht="13.2" customHeight="1" s="37">
      <c r="A1938" s="8" t="inlineStr">
        <is>
          <t>1959</t>
        </is>
      </c>
      <c r="B1938" s="2" t="inlineStr">
        <is>
          <t>Multi-layer Drug-adhesive systems</t>
        </is>
      </c>
      <c r="C1938" s="2" t="n"/>
      <c r="D1938" s="2" t="inlineStr">
        <is>
          <t>Dimercaprol (BAL) 3 mg/kg IM</t>
        </is>
      </c>
      <c r="E1938" s="2" t="inlineStr">
        <is>
          <t>Ethanol 10% IV infusion for Methanol poisoning</t>
        </is>
      </c>
      <c r="F1938" s="2" t="inlineStr">
        <is>
          <t>Fomepizole 15 mg/kg IV loading</t>
        </is>
      </c>
      <c r="G1938" s="2" t="inlineStr">
        <is>
          <t>N-acetylcysteine (NAC) IV infusion protocol</t>
        </is>
      </c>
      <c r="H1938" s="2" t="inlineStr">
        <is>
          <t>Atropine sulfate 2 mg IV Q5-10 min</t>
        </is>
      </c>
      <c r="I1938" s="8" t="inlineStr">
        <is>
          <t>1</t>
        </is>
      </c>
      <c r="J19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8" s="2" t="n"/>
      <c r="L1938" s="2" t="inlineStr">
        <is>
          <t>General Therapeutics</t>
        </is>
      </c>
      <c r="M1938" s="2" t="inlineStr">
        <is>
          <t>Clinic</t>
        </is>
      </c>
      <c r="N1938" s="2" t="inlineStr">
        <is>
          <t>ข้อ 2 (PLE_CC1_Key_Rx20_UBU.md)</t>
        </is>
      </c>
      <c r="O1938" s="2" t="inlineStr">
        <is>
          <t>Mock</t>
        </is>
      </c>
      <c r="P1938" s="2" t="inlineStr">
        <is>
          <t>Mock Rx20 UBU</t>
        </is>
      </c>
    </row>
    <row r="1939" ht="13.2" customHeight="1" s="37">
      <c r="A1939" s="8" t="inlineStr">
        <is>
          <t>1960</t>
        </is>
      </c>
      <c r="B1939" s="2" t="inlineStr">
        <is>
          <t>ยาควบคุมพิเศษ ที่ต้องติดตามการใช้และใช้เฉพาะในสถานพยาบาล</t>
        </is>
      </c>
      <c r="C1939" s="2" t="n"/>
      <c r="D1939" s="2" t="inlineStr">
        <is>
          <t>พ.ร.บ. ยา พ.ศ. 2510 (การจำหน่ายยาอันตรายและยาควบคุมพิเศษ)</t>
        </is>
      </c>
      <c r="E1939" s="2" t="inlineStr">
        <is>
          <t>พ.ร.บ. ยาเสพติดให้โทษ พ.ศ. 2522 (ยาเสพติดให้โทษประเภท 2 และ 3)</t>
        </is>
      </c>
      <c r="F1939" s="2" t="inlineStr">
        <is>
          <t>พ.ร.บ. วัตถุที่ออกฤทธิ์ต่อจิตและประสาท พ.ศ. 2559 (ประเภท 2 และ 4)</t>
        </is>
      </c>
      <c r="G1939" s="2" t="inlineStr">
        <is>
          <t>พ.ร.บ. วิชาชีพเภสัชกรรม พ.ศ. 2537 และข้อบังคับจรรยาบรรณวิชาชีพ</t>
        </is>
      </c>
      <c r="H1939" s="2" t="inlineStr">
        <is>
          <t>พ.ร.บ. ผลิตภัณฑ์สมุนไพร พ.ศ. 2562</t>
        </is>
      </c>
      <c r="I1939" s="8" t="inlineStr">
        <is>
          <t>1</t>
        </is>
      </c>
      <c r="J193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9" s="2" t="n"/>
      <c r="L1939" s="2" t="inlineStr">
        <is>
          <t>Pharmacy Laws &amp; Ethics</t>
        </is>
      </c>
      <c r="M1939" s="2" t="inlineStr">
        <is>
          <t>SAP</t>
        </is>
      </c>
      <c r="N1939" s="2" t="inlineStr">
        <is>
          <t>ข้อ 3 (PLE_CC1_Key_Rx20_UBU.md)</t>
        </is>
      </c>
      <c r="O1939" s="2" t="inlineStr">
        <is>
          <t>Mock</t>
        </is>
      </c>
      <c r="P1939" s="2" t="inlineStr">
        <is>
          <t>Mock Rx20 UBU</t>
        </is>
      </c>
    </row>
    <row r="1940" ht="13.2" customHeight="1" s="37">
      <c r="A1940" s="8" t="inlineStr">
        <is>
          <t>1961</t>
        </is>
      </c>
      <c r="B1940" s="2" t="inlineStr">
        <is>
          <t>ยาที่รัฐมนตรีมีคำสั่งเพิกถอน</t>
        </is>
      </c>
      <c r="C1940" s="2" t="n"/>
      <c r="D1940" s="2" t="inlineStr">
        <is>
          <t>Naloxone 0.4 mg IV stat</t>
        </is>
      </c>
      <c r="E1940" s="2" t="inlineStr">
        <is>
          <t>Flumazenil 0.2 mg IV stat</t>
        </is>
      </c>
      <c r="F1940" s="2" t="inlineStr">
        <is>
          <t>Vitamin K1 (Phytomenadione) 10 mg IV slow</t>
        </is>
      </c>
      <c r="G1940" s="2" t="inlineStr">
        <is>
          <t>Sodium thiosulfate 25% 50 mL IV</t>
        </is>
      </c>
      <c r="H1940" s="2" t="inlineStr">
        <is>
          <t>Calcium disodium EDTA 1 g IV</t>
        </is>
      </c>
      <c r="I1940" s="8" t="inlineStr">
        <is>
          <t>1</t>
        </is>
      </c>
      <c r="J19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40" s="2" t="n"/>
      <c r="L1940" s="2" t="inlineStr">
        <is>
          <t>General Therapeutics</t>
        </is>
      </c>
      <c r="M1940" s="2" t="inlineStr">
        <is>
          <t>Clinic</t>
        </is>
      </c>
      <c r="N1940" s="2" t="inlineStr">
        <is>
          <t>ข้อ 4 (PLE_CC1_Key_Rx20_UBU.md)</t>
        </is>
      </c>
      <c r="O1940" s="2" t="inlineStr">
        <is>
          <t>Mock</t>
        </is>
      </c>
      <c r="P1940" s="2" t="inlineStr">
        <is>
          <t>Mock Rx20 UBU</t>
        </is>
      </c>
    </row>
    <row r="1941" ht="13.2" customHeight="1" s="37">
      <c r="A1941" s="8" t="inlineStr">
        <is>
          <t>1962</t>
        </is>
      </c>
      <c r="B1941" s="2" t="inlineStr">
        <is>
          <t>การใช้ยาดังกล่าวในผู้ป่วยรายนี้มีความเหมาะสมหรือไม่</t>
        </is>
      </c>
      <c r="C1941" s="2" t="n"/>
      <c r="D1941" s="2" t="inlineStr">
        <is>
          <t>Sodium thiosulfate 25% 50 mL IV</t>
        </is>
      </c>
      <c r="E1941" s="2" t="inlineStr">
        <is>
          <t>Calcium disodium EDTA 1 g IV</t>
        </is>
      </c>
      <c r="F1941" s="2" t="inlineStr">
        <is>
          <t>Desferrioxamine 1 g IM/IV</t>
        </is>
      </c>
      <c r="G1941" s="2" t="inlineStr">
        <is>
          <t>Dimercaprol (BAL) 3 mg/kg IM</t>
        </is>
      </c>
      <c r="H1941" s="2" t="inlineStr">
        <is>
          <t>Ethanol 10% IV infusion for Methanol poisoning</t>
        </is>
      </c>
      <c r="I1941" s="8" t="inlineStr">
        <is>
          <t>1</t>
        </is>
      </c>
      <c r="J19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1" s="2" t="n"/>
      <c r="L1941" s="2" t="inlineStr">
        <is>
          <t>General Therapeutics</t>
        </is>
      </c>
      <c r="M1941" s="2" t="inlineStr">
        <is>
          <t>Clinic</t>
        </is>
      </c>
      <c r="N1941" s="2" t="inlineStr">
        <is>
          <t>ข้อ 70 (PLE_CC1_Key_Rx20_UBU.md)</t>
        </is>
      </c>
      <c r="O1941" s="2" t="inlineStr">
        <is>
          <t>Mock</t>
        </is>
      </c>
      <c r="P1941" s="2" t="inlineStr">
        <is>
          <t>Mock Rx20 UBU</t>
        </is>
      </c>
    </row>
    <row r="1942" ht="13.2" customHeight="1" s="37">
      <c r="A1942" s="8" t="inlineStr">
        <is>
          <t>1963</t>
        </is>
      </c>
      <c r="B1942" s="2" t="inlineStr">
        <is>
          <t>เหมาะสม เพราะ ยาที่ได้รับสามารถรักษาอาการมีน้ำมูก คัดจมูกของผู้ป่วยได้</t>
        </is>
      </c>
      <c r="C1942" s="2" t="n"/>
      <c r="D1942" s="2" t="inlineStr">
        <is>
          <t>Dimercaprol (BAL) 3 mg/kg IM</t>
        </is>
      </c>
      <c r="E1942" s="2" t="inlineStr">
        <is>
          <t>Ethanol 10% IV infusion for Methanol poisoning</t>
        </is>
      </c>
      <c r="F1942" s="2" t="inlineStr">
        <is>
          <t>Fomepizole 15 mg/kg IV loading</t>
        </is>
      </c>
      <c r="G1942" s="2" t="inlineStr">
        <is>
          <t>N-acetylcysteine (NAC) IV infusion protocol</t>
        </is>
      </c>
      <c r="H1942" s="2" t="inlineStr">
        <is>
          <t>Atropine sulfate 2 mg IV Q5-10 min</t>
        </is>
      </c>
      <c r="I1942" s="8" t="inlineStr">
        <is>
          <t>1</t>
        </is>
      </c>
      <c r="J19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2" s="2" t="n"/>
      <c r="L1942" s="2" t="inlineStr">
        <is>
          <t>General Therapeutics</t>
        </is>
      </c>
      <c r="M1942" s="2" t="inlineStr">
        <is>
          <t>Clinic</t>
        </is>
      </c>
      <c r="N1942" s="2" t="inlineStr">
        <is>
          <t>ข้อ 1 (PLE_CC1_Key_Rx20_UBU.md)</t>
        </is>
      </c>
      <c r="O1942" s="2" t="inlineStr">
        <is>
          <t>Mock</t>
        </is>
      </c>
      <c r="P1942" s="2" t="inlineStr">
        <is>
          <t>Mock Rx20 UBU</t>
        </is>
      </c>
    </row>
    <row r="1943" ht="13.2" customHeight="1" s="37">
      <c r="A1943" s="8" t="inlineStr">
        <is>
          <t>1964</t>
        </is>
      </c>
      <c r="B1943" s="2" t="inlineStr">
        <is>
          <t>ไม่เหมาะสม เพราะ ควรลดขนาดยาลงเป็น วันละ 1x4</t>
        </is>
      </c>
      <c r="C1943" s="2" t="n"/>
      <c r="D1943" s="2" t="inlineStr">
        <is>
          <t>N-acetylcysteine (NAC) IV infusion protocol</t>
        </is>
      </c>
      <c r="E1943" s="2" t="inlineStr">
        <is>
          <t>Atropine sulfate 2 mg IV Q5-10 min</t>
        </is>
      </c>
      <c r="F1943" s="2" t="inlineStr">
        <is>
          <t>Pralidoxime (2-PAM) 1-2 g IV over 30 min</t>
        </is>
      </c>
      <c r="G1943" s="2" t="inlineStr">
        <is>
          <t>Naloxone 0.4 mg IV stat</t>
        </is>
      </c>
      <c r="H1943" s="2" t="inlineStr">
        <is>
          <t>Flumazenil 0.2 mg IV stat</t>
        </is>
      </c>
      <c r="I1943" s="8" t="inlineStr">
        <is>
          <t>1</t>
        </is>
      </c>
      <c r="J19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43" s="2" t="n"/>
      <c r="L1943" s="2" t="inlineStr">
        <is>
          <t>General Therapeutics</t>
        </is>
      </c>
      <c r="M1943" s="2" t="inlineStr">
        <is>
          <t>Clinic</t>
        </is>
      </c>
      <c r="N1943" s="2" t="inlineStr">
        <is>
          <t>ข้อ 2 (PLE_CC1_Key_Rx20_UBU.md)</t>
        </is>
      </c>
      <c r="O1943" s="2" t="inlineStr">
        <is>
          <t>Mock</t>
        </is>
      </c>
      <c r="P1943" s="2" t="inlineStr">
        <is>
          <t>Mock Rx20 UBU</t>
        </is>
      </c>
    </row>
    <row r="1944" ht="13.2" customHeight="1" s="37">
      <c r="A1944" s="8" t="inlineStr">
        <is>
          <t>1965</t>
        </is>
      </c>
      <c r="B1944" s="2" t="inlineStr">
        <is>
          <t>Dextrometrophan</t>
        </is>
      </c>
      <c r="C1944" s="2" t="n"/>
      <c r="D1944" s="2" t="inlineStr">
        <is>
          <t>Naloxone 0.4 mg IV stat</t>
        </is>
      </c>
      <c r="E1944" s="2" t="inlineStr">
        <is>
          <t>Flumazenil 0.2 mg IV stat</t>
        </is>
      </c>
      <c r="F1944" s="2" t="inlineStr">
        <is>
          <t>Vitamin K1 (Phytomenadione) 10 mg IV slow</t>
        </is>
      </c>
      <c r="G1944" s="2" t="inlineStr">
        <is>
          <t>Sodium thiosulfate 25% 50 mL IV</t>
        </is>
      </c>
      <c r="H1944" s="2" t="inlineStr">
        <is>
          <t>Calcium disodium EDTA 1 g IV</t>
        </is>
      </c>
      <c r="I1944" s="8" t="inlineStr">
        <is>
          <t>1</t>
        </is>
      </c>
      <c r="J19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44" s="2" t="n"/>
      <c r="L1944" s="2" t="inlineStr">
        <is>
          <t>General Therapeutics</t>
        </is>
      </c>
      <c r="M1944" s="2" t="inlineStr">
        <is>
          <t>Clinic</t>
        </is>
      </c>
      <c r="N1944" s="2" t="inlineStr">
        <is>
          <t>ข้อ 5 (PLE_CC1_Key_Rx20_UBU.md)</t>
        </is>
      </c>
      <c r="O1944" s="2" t="inlineStr">
        <is>
          <t>Mock</t>
        </is>
      </c>
      <c r="P1944" s="2" t="inlineStr">
        <is>
          <t>Mock Rx20 UBU</t>
        </is>
      </c>
    </row>
    <row r="1945" ht="13.2" customHeight="1" s="37">
      <c r="A1945" s="8" t="inlineStr">
        <is>
          <t>1966</t>
        </is>
      </c>
      <c r="B1945" s="2" t="inlineStr">
        <is>
          <t>Phenylephrine อยู่ในรูป s isomer</t>
        </is>
      </c>
      <c r="C1945" s="2" t="n"/>
      <c r="D1945" s="2" t="inlineStr">
        <is>
          <t>Sodium thiosulfate 25% 50 mL IV</t>
        </is>
      </c>
      <c r="E1945" s="2" t="inlineStr">
        <is>
          <t>Calcium disodium EDTA 1 g IV</t>
        </is>
      </c>
      <c r="F1945" s="2" t="inlineStr">
        <is>
          <t>Desferrioxamine 1 g IM/IV</t>
        </is>
      </c>
      <c r="G1945" s="2" t="inlineStr">
        <is>
          <t>Dimercaprol (BAL) 3 mg/kg IM</t>
        </is>
      </c>
      <c r="H1945" s="2" t="inlineStr">
        <is>
          <t>Ethanol 10% IV infusion for Methanol poisoning</t>
        </is>
      </c>
      <c r="I1945" s="8" t="inlineStr">
        <is>
          <t>1</t>
        </is>
      </c>
      <c r="J19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5" s="2" t="n"/>
      <c r="L1945" s="2" t="inlineStr">
        <is>
          <t>General Therapeutics</t>
        </is>
      </c>
      <c r="M1945" s="2" t="inlineStr">
        <is>
          <t>Clinic</t>
        </is>
      </c>
      <c r="N1945" s="2" t="inlineStr">
        <is>
          <t>ข้อ 3 (PLE_CC1_Key_Rx20_UBU.md)</t>
        </is>
      </c>
      <c r="O1945" s="2" t="inlineStr">
        <is>
          <t>Mock</t>
        </is>
      </c>
      <c r="P1945" s="2" t="inlineStr">
        <is>
          <t>Mock Rx20 UBU</t>
        </is>
      </c>
    </row>
    <row r="1946" ht="13.2" customHeight="1" s="37">
      <c r="A1946" s="8" t="inlineStr">
        <is>
          <t>1967</t>
        </is>
      </c>
      <c r="B1946" s="2" t="inlineStr">
        <is>
          <t>Nacl จำนวน 0.58 g.</t>
        </is>
      </c>
      <c r="C1946" s="2" t="n"/>
      <c r="D1946" s="2" t="inlineStr">
        <is>
          <t>Dimercaprol (BAL) 3 mg/kg IM</t>
        </is>
      </c>
      <c r="E1946" s="2" t="inlineStr">
        <is>
          <t>Ethanol 10% IV infusion for Methanol poisoning</t>
        </is>
      </c>
      <c r="F1946" s="2" t="inlineStr">
        <is>
          <t>Fomepizole 15 mg/kg IV loading</t>
        </is>
      </c>
      <c r="G1946" s="2" t="inlineStr">
        <is>
          <t>N-acetylcysteine (NAC) IV infusion protocol</t>
        </is>
      </c>
      <c r="H1946" s="2" t="inlineStr">
        <is>
          <t>Atropine sulfate 2 mg IV Q5-10 min</t>
        </is>
      </c>
      <c r="I1946" s="8" t="inlineStr">
        <is>
          <t>1</t>
        </is>
      </c>
      <c r="J19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6" s="2" t="n"/>
      <c r="L1946" s="2" t="inlineStr">
        <is>
          <t>General Therapeutics</t>
        </is>
      </c>
      <c r="M1946" s="2" t="inlineStr">
        <is>
          <t>Clinic</t>
        </is>
      </c>
      <c r="N1946" s="2" t="inlineStr">
        <is>
          <t>ข้อ 1 (PLE_CC1_Key_Rx20_UBU.md)</t>
        </is>
      </c>
      <c r="O1946" s="2" t="inlineStr">
        <is>
          <t>Mock</t>
        </is>
      </c>
      <c r="P1946" s="2" t="inlineStr">
        <is>
          <t>Mock Rx20 UBU</t>
        </is>
      </c>
    </row>
    <row r="1947" ht="13.2" customHeight="1" s="37">
      <c r="A1947" s="8" t="inlineStr">
        <is>
          <t>1968</t>
        </is>
      </c>
      <c r="B1947" s="2" t="inlineStr">
        <is>
          <t>Nacl จำนวน 0.68 g. - 1g pheml = อ . 32 Na 4 &lt; | 6 Nall 6.5 = 0 ๐ อ . 9-0.16</t>
        </is>
      </c>
      <c r="C1947" s="2" t="n"/>
      <c r="D1947" s="2" t="inlineStr">
        <is>
          <t>N-acetylcysteine (NAC) IV infusion protocol</t>
        </is>
      </c>
      <c r="E1947" s="2" t="inlineStr">
        <is>
          <t>Atropine sulfate 2 mg IV Q5-10 min</t>
        </is>
      </c>
      <c r="F1947" s="2" t="inlineStr">
        <is>
          <t>Pralidoxime (2-PAM) 1-2 g IV over 30 min</t>
        </is>
      </c>
      <c r="G1947" s="2" t="inlineStr">
        <is>
          <t>Naloxone 0.4 mg IV stat</t>
        </is>
      </c>
      <c r="H1947" s="2" t="inlineStr">
        <is>
          <t>Flumazenil 0.2 mg IV stat</t>
        </is>
      </c>
      <c r="I1947" s="8" t="inlineStr">
        <is>
          <t>1</t>
        </is>
      </c>
      <c r="J19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47" s="2" t="n"/>
      <c r="L1947" s="2" t="inlineStr">
        <is>
          <t>General Therapeutics</t>
        </is>
      </c>
      <c r="M1947" s="2" t="inlineStr">
        <is>
          <t>Clinic</t>
        </is>
      </c>
      <c r="N1947" s="2" t="inlineStr">
        <is>
          <t>ข้อ 2 (PLE_CC1_Key_Rx20_UBU.md)</t>
        </is>
      </c>
      <c r="O1947" s="2" t="inlineStr">
        <is>
          <t>Mock</t>
        </is>
      </c>
      <c r="P1947" s="2" t="inlineStr">
        <is>
          <t>Mock Rx20 UBU</t>
        </is>
      </c>
    </row>
    <row r="1948" ht="13.2" customHeight="1" s="37">
      <c r="A1948" s="8" t="inlineStr">
        <is>
          <t>1969</t>
        </is>
      </c>
      <c r="B1948" s="2" t="inlineStr">
        <is>
          <t>Nacl จำนวน 0.74 g.</t>
        </is>
      </c>
      <c r="C1948" s="2" t="n"/>
      <c r="D1948" s="2" t="inlineStr">
        <is>
          <t>Naloxone 0.4 mg IV stat</t>
        </is>
      </c>
      <c r="E1948" s="2" t="inlineStr">
        <is>
          <t>Flumazenil 0.2 mg IV stat</t>
        </is>
      </c>
      <c r="F1948" s="2" t="inlineStr">
        <is>
          <t>Vitamin K1 (Phytomenadione) 10 mg IV slow</t>
        </is>
      </c>
      <c r="G1948" s="2" t="inlineStr">
        <is>
          <t>Sodium thiosulfate 25% 50 mL IV</t>
        </is>
      </c>
      <c r="H1948" s="2" t="inlineStr">
        <is>
          <t>Calcium disodium EDTA 1 g IV</t>
        </is>
      </c>
      <c r="I1948" s="8" t="inlineStr">
        <is>
          <t>1</t>
        </is>
      </c>
      <c r="J19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48" s="2" t="n"/>
      <c r="L1948" s="2" t="inlineStr">
        <is>
          <t>General Therapeutics</t>
        </is>
      </c>
      <c r="M1948" s="2" t="inlineStr">
        <is>
          <t>Clinic</t>
        </is>
      </c>
      <c r="N1948" s="2" t="inlineStr">
        <is>
          <t>ข้อ 3 (PLE_CC1_Key_Rx20_UBU.md)</t>
        </is>
      </c>
      <c r="O1948" s="2" t="inlineStr">
        <is>
          <t>Mock</t>
        </is>
      </c>
      <c r="P1948" s="2" t="inlineStr">
        <is>
          <t>Mock Rx20 UBU</t>
        </is>
      </c>
    </row>
    <row r="1949" ht="13.2" customHeight="1" s="37">
      <c r="A1949" s="8" t="inlineStr">
        <is>
          <t>1970</t>
        </is>
      </c>
      <c r="B1949" s="2" t="inlineStr">
        <is>
          <t>Nacl จำนวน 0.84 g.</t>
        </is>
      </c>
      <c r="C1949" s="2" t="n"/>
      <c r="D1949" s="2" t="inlineStr">
        <is>
          <t>Sodium thiosulfate 25% 50 mL IV</t>
        </is>
      </c>
      <c r="E1949" s="2" t="inlineStr">
        <is>
          <t>Calcium disodium EDTA 1 g IV</t>
        </is>
      </c>
      <c r="F1949" s="2" t="inlineStr">
        <is>
          <t>Desferrioxamine 1 g IM/IV</t>
        </is>
      </c>
      <c r="G1949" s="2" t="inlineStr">
        <is>
          <t>Dimercaprol (BAL) 3 mg/kg IM</t>
        </is>
      </c>
      <c r="H1949" s="2" t="inlineStr">
        <is>
          <t>Ethanol 10% IV infusion for Methanol poisoning</t>
        </is>
      </c>
      <c r="I1949" s="8" t="inlineStr">
        <is>
          <t>1</t>
        </is>
      </c>
      <c r="J19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9" s="2" t="n"/>
      <c r="L1949" s="2" t="inlineStr">
        <is>
          <t>General Therapeutics</t>
        </is>
      </c>
      <c r="M1949" s="2" t="inlineStr">
        <is>
          <t>Clinic</t>
        </is>
      </c>
      <c r="N1949" s="2" t="inlineStr">
        <is>
          <t>ข้อ 4 (PLE_CC1_Key_Rx20_UBU.md)</t>
        </is>
      </c>
      <c r="O1949" s="2" t="inlineStr">
        <is>
          <t>Mock</t>
        </is>
      </c>
      <c r="P1949" s="2" t="inlineStr">
        <is>
          <t>Mock Rx20 UBU</t>
        </is>
      </c>
    </row>
    <row r="1950" ht="13.2" customHeight="1" s="37">
      <c r="A1950" s="8" t="inlineStr">
        <is>
          <t>1971</t>
        </is>
      </c>
      <c r="B1950" s="2" t="inlineStr">
        <is>
          <t>Nacl จำนวน 0.90 g ตอบ 3. Nacl จำนวน 0.74 g.</t>
        </is>
      </c>
      <c r="C1950" s="2" t="n"/>
      <c r="D1950" s="2" t="inlineStr">
        <is>
          <t>Dimercaprol (BAL) 3 mg/kg IM</t>
        </is>
      </c>
      <c r="E1950" s="2" t="inlineStr">
        <is>
          <t>Ethanol 10% IV infusion for Methanol poisoning</t>
        </is>
      </c>
      <c r="F1950" s="2" t="inlineStr">
        <is>
          <t>Fomepizole 15 mg/kg IV loading</t>
        </is>
      </c>
      <c r="G1950" s="2" t="inlineStr">
        <is>
          <t>N-acetylcysteine (NAC) IV infusion protocol</t>
        </is>
      </c>
      <c r="H1950" s="2" t="inlineStr">
        <is>
          <t>Atropine sulfate 2 mg IV Q5-10 min</t>
        </is>
      </c>
      <c r="I1950" s="8" t="inlineStr">
        <is>
          <t>1</t>
        </is>
      </c>
      <c r="J19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0" s="2" t="n"/>
      <c r="L1950" s="2" t="inlineStr">
        <is>
          <t>General Therapeutics</t>
        </is>
      </c>
      <c r="M1950" s="2" t="inlineStr">
        <is>
          <t>Clinic</t>
        </is>
      </c>
      <c r="N1950" s="2" t="inlineStr">
        <is>
          <t>ข้อ 5 (PLE_CC1_Key_Rx20_UBU.md)</t>
        </is>
      </c>
      <c r="O1950" s="2" t="inlineStr">
        <is>
          <t>Mock</t>
        </is>
      </c>
      <c r="P1950" s="2" t="inlineStr">
        <is>
          <t>Mock Rx20 UBU</t>
        </is>
      </c>
    </row>
    <row r="1951" ht="13.2" customHeight="1" s="37">
      <c r="A1951" s="8" t="inlineStr">
        <is>
          <t>1972</t>
        </is>
      </c>
      <c r="B1951" s="2" t="inlineStr">
        <is>
          <t>การจัดยาชุดสำหรับผู้ป่วยเฉพาะรายโดยเภสัชกร</t>
        </is>
      </c>
      <c r="C1951" s="2" t="n"/>
      <c r="D1951" s="2" t="inlineStr">
        <is>
          <t>N-acetylcysteine (NAC) IV infusion protocol</t>
        </is>
      </c>
      <c r="E1951" s="2" t="inlineStr">
        <is>
          <t>Atropine sulfate 2 mg IV Q5-10 min</t>
        </is>
      </c>
      <c r="F1951" s="2" t="inlineStr">
        <is>
          <t>Pralidoxime (2-PAM) 1-2 g IV over 30 min</t>
        </is>
      </c>
      <c r="G1951" s="2" t="inlineStr">
        <is>
          <t>Naloxone 0.4 mg IV stat</t>
        </is>
      </c>
      <c r="H1951" s="2" t="inlineStr">
        <is>
          <t>Flumazenil 0.2 mg IV stat</t>
        </is>
      </c>
      <c r="I1951" s="8" t="inlineStr">
        <is>
          <t>1</t>
        </is>
      </c>
      <c r="J19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51" s="2" t="n"/>
      <c r="L1951" s="2" t="inlineStr">
        <is>
          <t>General Therapeutics</t>
        </is>
      </c>
      <c r="M1951" s="2" t="inlineStr">
        <is>
          <t>Clinic</t>
        </is>
      </c>
      <c r="N1951" s="2" t="inlineStr">
        <is>
          <t>ข้อ 1 (PLE_CC1_Key_Rx20_UBU.md)</t>
        </is>
      </c>
      <c r="O1951" s="2" t="inlineStr">
        <is>
          <t>Mock</t>
        </is>
      </c>
      <c r="P1951" s="2" t="inlineStr">
        <is>
          <t>Mock Rx20 UBU</t>
        </is>
      </c>
    </row>
    <row r="1952" ht="13.2" customHeight="1" s="37">
      <c r="A1952" s="8" t="inlineStr">
        <is>
          <t>1973</t>
        </is>
      </c>
      <c r="B1952" s="2" t="inlineStr">
        <is>
          <t>การจ่ายชุดแก้ปวดฟัน โดยผู้ช่วยทันตแพทย์</t>
        </is>
      </c>
      <c r="C1952" s="2" t="n"/>
      <c r="D1952" s="2" t="inlineStr">
        <is>
          <t>Naloxone 0.4 mg IV stat</t>
        </is>
      </c>
      <c r="E1952" s="2" t="inlineStr">
        <is>
          <t>Flumazenil 0.2 mg IV stat</t>
        </is>
      </c>
      <c r="F1952" s="2" t="inlineStr">
        <is>
          <t>Vitamin K1 (Phytomenadione) 10 mg IV slow</t>
        </is>
      </c>
      <c r="G1952" s="2" t="inlineStr">
        <is>
          <t>Sodium thiosulfate 25% 50 mL IV</t>
        </is>
      </c>
      <c r="H1952" s="2" t="inlineStr">
        <is>
          <t>Calcium disodium EDTA 1 g IV</t>
        </is>
      </c>
      <c r="I1952" s="8" t="inlineStr">
        <is>
          <t>1</t>
        </is>
      </c>
      <c r="J19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52" s="2" t="n"/>
      <c r="L1952" s="2" t="inlineStr">
        <is>
          <t>General Therapeutics</t>
        </is>
      </c>
      <c r="M1952" s="2" t="inlineStr">
        <is>
          <t>Clinic</t>
        </is>
      </c>
      <c r="N1952" s="2" t="inlineStr">
        <is>
          <t>ข้อ 3 (PLE_CC1_Key_Rx20_UBU.md)</t>
        </is>
      </c>
      <c r="O1952" s="2" t="inlineStr">
        <is>
          <t>Mock</t>
        </is>
      </c>
      <c r="P1952" s="2" t="inlineStr">
        <is>
          <t>Mock Rx20 UBU</t>
        </is>
      </c>
    </row>
    <row r="1953" ht="13.2" customHeight="1" s="37">
      <c r="A1953" s="8" t="inlineStr">
        <is>
          <t>1974</t>
        </is>
      </c>
      <c r="B1953" s="2" t="inlineStr">
        <is>
          <t>การจ่ายยาชุดในคลินิกแพทย์</t>
        </is>
      </c>
      <c r="C1953" s="2" t="n"/>
      <c r="D1953" s="2" t="inlineStr">
        <is>
          <t>Sodium thiosulfate 25% 50 mL IV</t>
        </is>
      </c>
      <c r="E1953" s="2" t="inlineStr">
        <is>
          <t>Calcium disodium EDTA 1 g IV</t>
        </is>
      </c>
      <c r="F1953" s="2" t="inlineStr">
        <is>
          <t>Desferrioxamine 1 g IM/IV</t>
        </is>
      </c>
      <c r="G1953" s="2" t="inlineStr">
        <is>
          <t>Dimercaprol (BAL) 3 mg/kg IM</t>
        </is>
      </c>
      <c r="H1953" s="2" t="inlineStr">
        <is>
          <t>Ethanol 10% IV infusion for Methanol poisoning</t>
        </is>
      </c>
      <c r="I1953" s="8" t="inlineStr">
        <is>
          <t>1</t>
        </is>
      </c>
      <c r="J19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3" s="2" t="n"/>
      <c r="L1953" s="2" t="inlineStr">
        <is>
          <t>General Therapeutics</t>
        </is>
      </c>
      <c r="M1953" s="2" t="inlineStr">
        <is>
          <t>Clinic</t>
        </is>
      </c>
      <c r="N1953" s="2" t="inlineStr">
        <is>
          <t>ข้อ 4 (PLE_CC1_Key_Rx20_UBU.md)</t>
        </is>
      </c>
      <c r="O1953" s="2" t="inlineStr">
        <is>
          <t>Mock</t>
        </is>
      </c>
      <c r="P1953" s="2" t="inlineStr">
        <is>
          <t>Mock Rx20 UBU</t>
        </is>
      </c>
    </row>
    <row r="1954" ht="13.2" customHeight="1" s="37">
      <c r="A1954" s="8" t="inlineStr">
        <is>
          <t>1975</t>
        </is>
      </c>
      <c r="B1954" s="2" t="inlineStr">
        <is>
          <t>magesnol + northisthindone</t>
        </is>
      </c>
      <c r="C1954" s="2" t="n"/>
      <c r="D1954" s="2" t="inlineStr">
        <is>
          <t>Dimercaprol (BAL) 3 mg/kg IM</t>
        </is>
      </c>
      <c r="E1954" s="2" t="inlineStr">
        <is>
          <t>Ethanol 10% IV infusion for Methanol poisoning</t>
        </is>
      </c>
      <c r="F1954" s="2" t="inlineStr">
        <is>
          <t>Fomepizole 15 mg/kg IV loading</t>
        </is>
      </c>
      <c r="G1954" s="2" t="inlineStr">
        <is>
          <t>N-acetylcysteine (NAC) IV infusion protocol</t>
        </is>
      </c>
      <c r="H1954" s="2" t="inlineStr">
        <is>
          <t>Atropine sulfate 2 mg IV Q5-10 min</t>
        </is>
      </c>
      <c r="I1954" s="8" t="inlineStr">
        <is>
          <t>1</t>
        </is>
      </c>
      <c r="J19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4" s="2" t="n"/>
      <c r="L1954" s="2" t="inlineStr">
        <is>
          <t>General Therapeutics</t>
        </is>
      </c>
      <c r="M1954" s="2" t="inlineStr">
        <is>
          <t>Clinic</t>
        </is>
      </c>
      <c r="N1954" s="2" t="inlineStr">
        <is>
          <t>ข้อ 2 (PLE_CC1_Key_Rx20_UBU.md)</t>
        </is>
      </c>
      <c r="O1954" s="2" t="inlineStr">
        <is>
          <t>Mock</t>
        </is>
      </c>
      <c r="P1954" s="2" t="inlineStr">
        <is>
          <t>Mock Rx20 UBU</t>
        </is>
      </c>
    </row>
    <row r="1955" ht="13.2" customHeight="1" s="37">
      <c r="A1955" s="8" t="inlineStr">
        <is>
          <t>1976</t>
        </is>
      </c>
      <c r="B1955" s="2" t="inlineStr">
        <is>
          <t>ประจำเดือนจะขาดในช่วง 2-3 เดือนแรกนั้น แต่หลังจากนั้นจะปกติ</t>
        </is>
      </c>
      <c r="C1955" s="2" t="n"/>
      <c r="D1955" s="2" t="inlineStr">
        <is>
          <t>N-acetylcysteine (NAC) IV infusion protocol</t>
        </is>
      </c>
      <c r="E1955" s="2" t="inlineStr">
        <is>
          <t>Atropine sulfate 2 mg IV Q5-10 min</t>
        </is>
      </c>
      <c r="F1955" s="2" t="inlineStr">
        <is>
          <t>Pralidoxime (2-PAM) 1-2 g IV over 30 min</t>
        </is>
      </c>
      <c r="G1955" s="2" t="inlineStr">
        <is>
          <t>Naloxone 0.4 mg IV stat</t>
        </is>
      </c>
      <c r="H1955" s="2" t="inlineStr">
        <is>
          <t>Flumazenil 0.2 mg IV stat</t>
        </is>
      </c>
      <c r="I1955" s="8" t="inlineStr">
        <is>
          <t>1</t>
        </is>
      </c>
      <c r="J19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55" s="2" t="n"/>
      <c r="L1955" s="2" t="inlineStr">
        <is>
          <t>General Therapeutics</t>
        </is>
      </c>
      <c r="M1955" s="2" t="inlineStr">
        <is>
          <t>Clinic</t>
        </is>
      </c>
      <c r="N1955" s="2" t="inlineStr">
        <is>
          <t>ข้อ 2 (PLE_CC1_Key_Rx20_UBU.md)</t>
        </is>
      </c>
      <c r="O1955" s="2" t="inlineStr">
        <is>
          <t>Mock</t>
        </is>
      </c>
      <c r="P1955" s="2" t="inlineStr">
        <is>
          <t>Mock Rx20 UBU</t>
        </is>
      </c>
    </row>
    <row r="1956" ht="13.2" customHeight="1" s="37">
      <c r="A1956" s="8" t="inlineStr">
        <is>
          <t>1977</t>
        </is>
      </c>
      <c r="B1956" s="2" t="inlineStr">
        <is>
          <t>หากมีอาการปวดขา ร้อน บวมแดงให้กินยาในเวลาเดียวกันทุกวัน</t>
        </is>
      </c>
      <c r="C1956" s="2" t="n"/>
      <c r="D1956" s="2" t="inlineStr">
        <is>
          <t>Naloxone 0.4 mg IV stat</t>
        </is>
      </c>
      <c r="E1956" s="2" t="inlineStr">
        <is>
          <t>Flumazenil 0.2 mg IV stat</t>
        </is>
      </c>
      <c r="F1956" s="2" t="inlineStr">
        <is>
          <t>Vitamin K1 (Phytomenadione) 10 mg IV slow</t>
        </is>
      </c>
      <c r="G1956" s="2" t="inlineStr">
        <is>
          <t>Sodium thiosulfate 25% 50 mL IV</t>
        </is>
      </c>
      <c r="H1956" s="2" t="inlineStr">
        <is>
          <t>Calcium disodium EDTA 1 g IV</t>
        </is>
      </c>
      <c r="I1956" s="8" t="inlineStr">
        <is>
          <t>1</t>
        </is>
      </c>
      <c r="J19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56" s="2" t="n"/>
      <c r="L1956" s="2" t="inlineStr">
        <is>
          <t>General Therapeutics</t>
        </is>
      </c>
      <c r="M1956" s="2" t="inlineStr">
        <is>
          <t>Clinic</t>
        </is>
      </c>
      <c r="N1956" s="2" t="inlineStr">
        <is>
          <t>ข้อ 4 (PLE_CC1_Key_Rx20_UBU.md)</t>
        </is>
      </c>
      <c r="O1956" s="2" t="inlineStr">
        <is>
          <t>Mock</t>
        </is>
      </c>
      <c r="P1956" s="2" t="inlineStr">
        <is>
          <t>Mock Rx20 UBU</t>
        </is>
      </c>
    </row>
    <row r="1957" ht="13.2" customHeight="1" s="37">
      <c r="A1957" s="8" t="inlineStr">
        <is>
          <t>1978</t>
        </is>
      </c>
      <c r="B1957" s="2" t="inlineStr">
        <is>
          <t>หากปวดท้องรุนแรง ให้หยุดยาทันที แล้วรีบมาพบแพทย์ ตอบ 5. หากปวดท้องรุนแรง ให้หยุดยาทันที แล้วรีบมาพบแพทย์</t>
        </is>
      </c>
      <c r="C1957" s="2" t="n"/>
      <c r="D1957" s="2" t="inlineStr">
        <is>
          <t>Sodium thiosulfate 25% 50 mL IV</t>
        </is>
      </c>
      <c r="E1957" s="2" t="inlineStr">
        <is>
          <t>Calcium disodium EDTA 1 g IV</t>
        </is>
      </c>
      <c r="F1957" s="2" t="inlineStr">
        <is>
          <t>Desferrioxamine 1 g IM/IV</t>
        </is>
      </c>
      <c r="G1957" s="2" t="inlineStr">
        <is>
          <t>Dimercaprol (BAL) 3 mg/kg IM</t>
        </is>
      </c>
      <c r="H1957" s="2" t="inlineStr">
        <is>
          <t>Ethanol 10% IV infusion for Methanol poisoning</t>
        </is>
      </c>
      <c r="I1957" s="8" t="inlineStr">
        <is>
          <t>1</t>
        </is>
      </c>
      <c r="J19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7" s="2" t="n"/>
      <c r="L1957" s="2" t="inlineStr">
        <is>
          <t>General Therapeutics</t>
        </is>
      </c>
      <c r="M1957" s="2" t="inlineStr">
        <is>
          <t>Clinic</t>
        </is>
      </c>
      <c r="N1957" s="2" t="inlineStr">
        <is>
          <t>ข้อ 5 (PLE_CC1_Key_Rx20_UBU.md)</t>
        </is>
      </c>
      <c r="O1957" s="2" t="inlineStr">
        <is>
          <t>Mock</t>
        </is>
      </c>
      <c r="P1957" s="2" t="inlineStr">
        <is>
          <t>Mock Rx20 UBU</t>
        </is>
      </c>
    </row>
    <row r="1958" ht="13.2" customHeight="1" s="37">
      <c r="A1958" s="8" t="inlineStr">
        <is>
          <t>1979</t>
        </is>
      </c>
      <c r="B1958" s="2" t="inlineStr">
        <is>
          <t>ให้กิน 1 เม็ดทันทีที่นึกได้ และเม็ดต่อไปกินตามเวลาปกติ</t>
        </is>
      </c>
      <c r="C1958" s="2" t="n"/>
      <c r="D1958" s="2" t="inlineStr">
        <is>
          <t>Dimercaprol (BAL) 3 mg/kg IM</t>
        </is>
      </c>
      <c r="E1958" s="2" t="inlineStr">
        <is>
          <t>Ethanol 10% IV infusion for Methanol poisoning</t>
        </is>
      </c>
      <c r="F1958" s="2" t="inlineStr">
        <is>
          <t>Fomepizole 15 mg/kg IV loading</t>
        </is>
      </c>
      <c r="G1958" s="2" t="inlineStr">
        <is>
          <t>N-acetylcysteine (NAC) IV infusion protocol</t>
        </is>
      </c>
      <c r="H1958" s="2" t="inlineStr">
        <is>
          <t>Atropine sulfate 2 mg IV Q5-10 min</t>
        </is>
      </c>
      <c r="I1958" s="8" t="inlineStr">
        <is>
          <t>1</t>
        </is>
      </c>
      <c r="J19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58" s="2" t="n"/>
      <c r="L1958" s="2" t="inlineStr">
        <is>
          <t>General Therapeutics</t>
        </is>
      </c>
      <c r="M1958" s="2" t="inlineStr">
        <is>
          <t>Clinic</t>
        </is>
      </c>
      <c r="N1958" s="2" t="inlineStr">
        <is>
          <t>ข้อ 4 (PLE_CC1_Key_Rx20_UBU.md)</t>
        </is>
      </c>
      <c r="O1958" s="2" t="inlineStr">
        <is>
          <t>Mock</t>
        </is>
      </c>
      <c r="P1958" s="2" t="inlineStr">
        <is>
          <t>Mock Rx20 UBU</t>
        </is>
      </c>
    </row>
    <row r="1959" ht="13.2" customHeight="1" s="37">
      <c r="A1959" s="8" t="inlineStr">
        <is>
          <t>1980</t>
        </is>
      </c>
      <c r="B1959" s="2" t="inlineStr">
        <is>
          <t>ให้โครงสร้าง levonorgestrel ถามว่าการทำให้เกิดปฏิกิริยา akylation ที่ตำแหน่ง 17 ทำให้เกิดการเปลี่ยนแปลงอย่างไรทางเภสัชศาสตร์จลนศาสตร์ โครงสร้าง levonorgestrel</t>
        </is>
      </c>
      <c r="C1959" s="2" t="n"/>
      <c r="D1959" s="2" t="inlineStr">
        <is>
          <t>N-acetylcysteine (NAC) IV infusion protocol</t>
        </is>
      </c>
      <c r="E1959" s="2" t="inlineStr">
        <is>
          <t>Atropine sulfate 2 mg IV Q5-10 min</t>
        </is>
      </c>
      <c r="F1959" s="2" t="inlineStr">
        <is>
          <t>Pralidoxime (2-PAM) 1-2 g IV over 30 min</t>
        </is>
      </c>
      <c r="G1959" s="2" t="inlineStr">
        <is>
          <t>Naloxone 0.4 mg IV stat</t>
        </is>
      </c>
      <c r="H1959" s="2" t="inlineStr">
        <is>
          <t>Flumazenil 0.2 mg IV stat</t>
        </is>
      </c>
      <c r="I1959" s="8" t="inlineStr">
        <is>
          <t>1</t>
        </is>
      </c>
      <c r="J19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59" s="2" t="n"/>
      <c r="L1959" s="2" t="inlineStr">
        <is>
          <t>General Therapeutics</t>
        </is>
      </c>
      <c r="M1959" s="2" t="inlineStr">
        <is>
          <t>Clinic</t>
        </is>
      </c>
      <c r="N1959" s="2" t="inlineStr">
        <is>
          <t>ข้อ 81 (PLE_CC1_Key_Rx20_UBU.md)</t>
        </is>
      </c>
      <c r="O1959" s="2" t="inlineStr">
        <is>
          <t>Mock</t>
        </is>
      </c>
      <c r="P1959" s="2" t="inlineStr">
        <is>
          <t>Mock Rx20 UBU</t>
        </is>
      </c>
    </row>
    <row r="1960" ht="13.2" customHeight="1" s="37">
      <c r="A1960" s="8" t="inlineStr">
        <is>
          <t>1981</t>
        </is>
      </c>
      <c r="B1960" s="2" t="inlineStr">
        <is>
          <t>เพิ่มการดูดซึมเข้าสู่ทางเดินอาหาร</t>
        </is>
      </c>
      <c r="C1960" s="2" t="n"/>
      <c r="D1960" s="2" t="inlineStr">
        <is>
          <t>Naloxone 0.4 mg IV stat</t>
        </is>
      </c>
      <c r="E1960" s="2" t="inlineStr">
        <is>
          <t>Flumazenil 0.2 mg IV stat</t>
        </is>
      </c>
      <c r="F1960" s="2" t="inlineStr">
        <is>
          <t>Vitamin K1 (Phytomenadione) 10 mg IV slow</t>
        </is>
      </c>
      <c r="G1960" s="2" t="inlineStr">
        <is>
          <t>Sodium thiosulfate 25% 50 mL IV</t>
        </is>
      </c>
      <c r="H1960" s="2" t="inlineStr">
        <is>
          <t>Calcium disodium EDTA 1 g IV</t>
        </is>
      </c>
      <c r="I1960" s="8" t="inlineStr">
        <is>
          <t>1</t>
        </is>
      </c>
      <c r="J19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60" s="2" t="n"/>
      <c r="L1960" s="2" t="inlineStr">
        <is>
          <t>General Therapeutics</t>
        </is>
      </c>
      <c r="M1960" s="2" t="inlineStr">
        <is>
          <t>Clinic</t>
        </is>
      </c>
      <c r="N1960" s="2" t="inlineStr">
        <is>
          <t>ข้อ 1 (PLE_CC1_Key_Rx20_UBU.md)</t>
        </is>
      </c>
      <c r="O1960" s="2" t="inlineStr">
        <is>
          <t>Mock</t>
        </is>
      </c>
      <c r="P1960" s="2" t="inlineStr">
        <is>
          <t>Mock Rx20 UBU</t>
        </is>
      </c>
    </row>
    <row r="1961" ht="13.2" customHeight="1" s="37">
      <c r="A1961" s="8" t="inlineStr">
        <is>
          <t>1982</t>
        </is>
      </c>
      <c r="B1961" s="2" t="inlineStr">
        <is>
          <t>ค่าครึ่งชีวิตนานขึ้น</t>
        </is>
      </c>
      <c r="C1961" s="2" t="n"/>
      <c r="D1961" s="2" t="inlineStr">
        <is>
          <t>Sodium thiosulfate 25% 50 mL IV</t>
        </is>
      </c>
      <c r="E1961" s="2" t="inlineStr">
        <is>
          <t>Calcium disodium EDTA 1 g IV</t>
        </is>
      </c>
      <c r="F1961" s="2" t="inlineStr">
        <is>
          <t>Desferrioxamine 1 g IM/IV</t>
        </is>
      </c>
      <c r="G1961" s="2" t="inlineStr">
        <is>
          <t>Dimercaprol (BAL) 3 mg/kg IM</t>
        </is>
      </c>
      <c r="H1961" s="2" t="inlineStr">
        <is>
          <t>Ethanol 10% IV infusion for Methanol poisoning</t>
        </is>
      </c>
      <c r="I1961" s="8" t="inlineStr">
        <is>
          <t>1</t>
        </is>
      </c>
      <c r="J19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1" s="2" t="n"/>
      <c r="L1961" s="2" t="inlineStr">
        <is>
          <t>General Therapeutics</t>
        </is>
      </c>
      <c r="M1961" s="2" t="inlineStr">
        <is>
          <t>Clinic</t>
        </is>
      </c>
      <c r="N1961" s="2" t="inlineStr">
        <is>
          <t>ข้อ 2 (PLE_CC1_Key_Rx20_UBU.md)</t>
        </is>
      </c>
      <c r="O1961" s="2" t="inlineStr">
        <is>
          <t>Mock</t>
        </is>
      </c>
      <c r="P1961" s="2" t="inlineStr">
        <is>
          <t>Mock Rx20 UBU</t>
        </is>
      </c>
    </row>
    <row r="1962" ht="13.2" customHeight="1" s="37">
      <c r="A1962" s="8" t="inlineStr">
        <is>
          <t>1983</t>
        </is>
      </c>
      <c r="B1962" s="2" t="inlineStr">
        <is>
          <t>ตอบ ทำให้รับประทานได้ เเละออกฤทธินานขึ้น</t>
        </is>
      </c>
      <c r="C1962" s="2" t="n"/>
      <c r="D1962" s="2" t="inlineStr">
        <is>
          <t>Dimercaprol (BAL) 3 mg/kg IM</t>
        </is>
      </c>
      <c r="E1962" s="2" t="inlineStr">
        <is>
          <t>Ethanol 10% IV infusion for Methanol poisoning</t>
        </is>
      </c>
      <c r="F1962" s="2" t="inlineStr">
        <is>
          <t>Fomepizole 15 mg/kg IV loading</t>
        </is>
      </c>
      <c r="G1962" s="2" t="inlineStr">
        <is>
          <t>N-acetylcysteine (NAC) IV infusion protocol</t>
        </is>
      </c>
      <c r="H1962" s="2" t="inlineStr">
        <is>
          <t>Atropine sulfate 2 mg IV Q5-10 min</t>
        </is>
      </c>
      <c r="I1962" s="8" t="inlineStr">
        <is>
          <t>1</t>
        </is>
      </c>
      <c r="J19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2" s="2" t="n"/>
      <c r="L1962" s="2" t="inlineStr">
        <is>
          <t>General Therapeutics</t>
        </is>
      </c>
      <c r="M1962" s="2" t="inlineStr">
        <is>
          <t>Clinic</t>
        </is>
      </c>
      <c r="N1962" s="2" t="inlineStr">
        <is>
          <t>ข้อ 5 (PLE_CC1_Key_Rx20_UBU.md)</t>
        </is>
      </c>
      <c r="O1962" s="2" t="inlineStr">
        <is>
          <t>Mock</t>
        </is>
      </c>
      <c r="P1962" s="2" t="inlineStr">
        <is>
          <t>Mock Rx20 UBU</t>
        </is>
      </c>
    </row>
    <row r="1963" ht="13.2" customHeight="1" s="37">
      <c r="A1963" s="8" t="inlineStr">
        <is>
          <t>1984</t>
        </is>
      </c>
      <c r="B1963" s="2" t="inlineStr">
        <is>
          <t>Mass spectometry</t>
        </is>
      </c>
      <c r="C1963" s="2" t="n"/>
      <c r="D1963" s="2" t="inlineStr">
        <is>
          <t>N-acetylcysteine (NAC) IV infusion protocol</t>
        </is>
      </c>
      <c r="E1963" s="2" t="inlineStr">
        <is>
          <t>Atropine sulfate 2 mg IV Q5-10 min</t>
        </is>
      </c>
      <c r="F1963" s="2" t="inlineStr">
        <is>
          <t>Pralidoxime (2-PAM) 1-2 g IV over 30 min</t>
        </is>
      </c>
      <c r="G1963" s="2" t="inlineStr">
        <is>
          <t>Naloxone 0.4 mg IV stat</t>
        </is>
      </c>
      <c r="H1963" s="2" t="inlineStr">
        <is>
          <t>Flumazenil 0.2 mg IV stat</t>
        </is>
      </c>
      <c r="I1963" s="8" t="inlineStr">
        <is>
          <t>1</t>
        </is>
      </c>
      <c r="J19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63" s="2" t="n"/>
      <c r="L1963" s="2" t="inlineStr">
        <is>
          <t>General Therapeutics</t>
        </is>
      </c>
      <c r="M1963" s="2" t="inlineStr">
        <is>
          <t>Clinic</t>
        </is>
      </c>
      <c r="N1963" s="2" t="inlineStr">
        <is>
          <t>ข้อ 1 (PLE_CC1_Key_Rx20_UBU.md)</t>
        </is>
      </c>
      <c r="O1963" s="2" t="inlineStr">
        <is>
          <t>Mock</t>
        </is>
      </c>
      <c r="P1963" s="2" t="inlineStr">
        <is>
          <t>Mock Rx20 UBU</t>
        </is>
      </c>
    </row>
    <row r="1964" ht="13.2" customHeight="1" s="37">
      <c r="A1964" s="8" t="inlineStr">
        <is>
          <t>1985</t>
        </is>
      </c>
      <c r="B1964" s="2" t="inlineStr">
        <is>
          <t>HPMC ตอบ 5. HPMC เป็นกราฟระหว่าง peak area กับ time</t>
        </is>
      </c>
      <c r="C1964" s="2" t="n"/>
      <c r="D1964" s="2" t="inlineStr">
        <is>
          <t>Naloxone 0.4 mg IV stat</t>
        </is>
      </c>
      <c r="E1964" s="2" t="inlineStr">
        <is>
          <t>Flumazenil 0.2 mg IV stat</t>
        </is>
      </c>
      <c r="F1964" s="2" t="inlineStr">
        <is>
          <t>Vitamin K1 (Phytomenadione) 10 mg IV slow</t>
        </is>
      </c>
      <c r="G1964" s="2" t="inlineStr">
        <is>
          <t>Sodium thiosulfate 25% 50 mL IV</t>
        </is>
      </c>
      <c r="H1964" s="2" t="inlineStr">
        <is>
          <t>Calcium disodium EDTA 1 g IV</t>
        </is>
      </c>
      <c r="I1964" s="8" t="inlineStr">
        <is>
          <t>1</t>
        </is>
      </c>
      <c r="J19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64" s="2" t="n"/>
      <c r="L1964" s="2" t="inlineStr">
        <is>
          <t>General Therapeutics</t>
        </is>
      </c>
      <c r="M1964" s="2" t="inlineStr">
        <is>
          <t>Clinic</t>
        </is>
      </c>
      <c r="N1964" s="2" t="inlineStr">
        <is>
          <t>ข้อ 5 (PLE_CC1_Key_Rx20_UBU.md)</t>
        </is>
      </c>
      <c r="O1964" s="2" t="inlineStr">
        <is>
          <t>Mock</t>
        </is>
      </c>
      <c r="P1964" s="2" t="inlineStr">
        <is>
          <t>Mock Rx20 UBU</t>
        </is>
      </c>
    </row>
    <row r="1965" ht="13.2" customHeight="1" s="37">
      <c r="A1965" s="8" t="inlineStr">
        <is>
          <t>1986</t>
        </is>
      </c>
      <c r="B1965" s="2" t="inlineStr">
        <is>
          <t>คลุมผม สวมรองเท้า เสื้อคลุมยาว</t>
        </is>
      </c>
      <c r="C1965" s="2" t="n"/>
      <c r="D1965" s="2" t="inlineStr">
        <is>
          <t>Sodium thiosulfate 25% 50 mL IV</t>
        </is>
      </c>
      <c r="E1965" s="2" t="inlineStr">
        <is>
          <t>Calcium disodium EDTA 1 g IV</t>
        </is>
      </c>
      <c r="F1965" s="2" t="inlineStr">
        <is>
          <t>Desferrioxamine 1 g IM/IV</t>
        </is>
      </c>
      <c r="G1965" s="2" t="inlineStr">
        <is>
          <t>Dimercaprol (BAL) 3 mg/kg IM</t>
        </is>
      </c>
      <c r="H1965" s="2" t="inlineStr">
        <is>
          <t>Ethanol 10% IV infusion for Methanol poisoning</t>
        </is>
      </c>
      <c r="I1965" s="8" t="inlineStr">
        <is>
          <t>1</t>
        </is>
      </c>
      <c r="J19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5" s="2" t="n"/>
      <c r="L1965" s="2" t="inlineStr">
        <is>
          <t>General Therapeutics</t>
        </is>
      </c>
      <c r="M1965" s="2" t="inlineStr">
        <is>
          <t>Clinic</t>
        </is>
      </c>
      <c r="N1965" s="2" t="inlineStr">
        <is>
          <t>ข้อ 1 (PLE_CC1_Key_Rx20_UBU.md)</t>
        </is>
      </c>
      <c r="O1965" s="2" t="inlineStr">
        <is>
          <t>Mock</t>
        </is>
      </c>
      <c r="P1965" s="2" t="inlineStr">
        <is>
          <t>Mock Rx20 UBU</t>
        </is>
      </c>
    </row>
    <row r="1966" ht="13.2" customHeight="1" s="37">
      <c r="A1966" s="8" t="inlineStr">
        <is>
          <t>1987</t>
        </is>
      </c>
      <c r="B1966" s="2" t="inlineStr">
        <is>
          <t>คลุมผม สวมรองเท้า เสื้อคลุมยาว แบบสองท่อน ถึงข้อมือและข้อเท้า</t>
        </is>
      </c>
      <c r="C1966" s="2" t="n"/>
      <c r="D1966" s="2" t="inlineStr">
        <is>
          <t>Dimercaprol (BAL) 3 mg/kg IM</t>
        </is>
      </c>
      <c r="E1966" s="2" t="inlineStr">
        <is>
          <t>Ethanol 10% IV infusion for Methanol poisoning</t>
        </is>
      </c>
      <c r="F1966" s="2" t="inlineStr">
        <is>
          <t>Fomepizole 15 mg/kg IV loading</t>
        </is>
      </c>
      <c r="G1966" s="2" t="inlineStr">
        <is>
          <t>N-acetylcysteine (NAC) IV infusion protocol</t>
        </is>
      </c>
      <c r="H1966" s="2" t="inlineStr">
        <is>
          <t>Atropine sulfate 2 mg IV Q5-10 min</t>
        </is>
      </c>
      <c r="I1966" s="8" t="inlineStr">
        <is>
          <t>1</t>
        </is>
      </c>
      <c r="J19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6" s="2" t="n"/>
      <c r="L1966" s="2" t="inlineStr">
        <is>
          <t>General Therapeutics</t>
        </is>
      </c>
      <c r="M1966" s="2" t="inlineStr">
        <is>
          <t>Clinic</t>
        </is>
      </c>
      <c r="N1966" s="2" t="inlineStr">
        <is>
          <t>ข้อ 2 (PLE_CC1_Key_Rx20_UBU.md)</t>
        </is>
      </c>
      <c r="O1966" s="2" t="inlineStr">
        <is>
          <t>Mock</t>
        </is>
      </c>
      <c r="P1966" s="2" t="inlineStr">
        <is>
          <t>Mock Rx20 UBU</t>
        </is>
      </c>
    </row>
    <row r="1967" ht="13.2" customHeight="1" s="37">
      <c r="A1967" s="8" t="inlineStr">
        <is>
          <t>1988</t>
        </is>
      </c>
      <c r="B1967" s="2" t="inlineStr">
        <is>
          <t>คลุมผม สวมรองเท้า เสื้อคลุมยาว แบบสองท่อน ถึงข้อมือและข้อเท้าไม่ปล่อยเส้นใย</t>
        </is>
      </c>
      <c r="C1967" s="2" t="n"/>
      <c r="D1967" s="2" t="inlineStr">
        <is>
          <t>N-acetylcysteine (NAC) IV infusion protocol</t>
        </is>
      </c>
      <c r="E1967" s="2" t="inlineStr">
        <is>
          <t>Atropine sulfate 2 mg IV Q5-10 min</t>
        </is>
      </c>
      <c r="F1967" s="2" t="inlineStr">
        <is>
          <t>Pralidoxime (2-PAM) 1-2 g IV over 30 min</t>
        </is>
      </c>
      <c r="G1967" s="2" t="inlineStr">
        <is>
          <t>Naloxone 0.4 mg IV stat</t>
        </is>
      </c>
      <c r="H1967" s="2" t="inlineStr">
        <is>
          <t>Flumazenil 0.2 mg IV stat</t>
        </is>
      </c>
      <c r="I1967" s="8" t="inlineStr">
        <is>
          <t>1</t>
        </is>
      </c>
      <c r="J19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67" s="2" t="n"/>
      <c r="L1967" s="2" t="inlineStr">
        <is>
          <t>General Therapeutics</t>
        </is>
      </c>
      <c r="M1967" s="2" t="inlineStr">
        <is>
          <t>Clinic</t>
        </is>
      </c>
      <c r="N1967" s="2" t="inlineStr">
        <is>
          <t>ข้อ 3 (PLE_CC1_Key_Rx20_UBU.md)</t>
        </is>
      </c>
      <c r="O1967" s="2" t="inlineStr">
        <is>
          <t>Mock</t>
        </is>
      </c>
      <c r="P1967" s="2" t="inlineStr">
        <is>
          <t>Mock Rx20 UBU</t>
        </is>
      </c>
    </row>
    <row r="1968" ht="13.2" customHeight="1" s="37">
      <c r="A1968" s="8" t="inlineStr">
        <is>
          <t>1989</t>
        </is>
      </c>
      <c r="B1968" s="2" t="inlineStr">
        <is>
          <t>ไม่จ่ายยาตำรับลับ</t>
        </is>
      </c>
      <c r="C1968" s="2" t="n"/>
      <c r="D1968" s="2" t="inlineStr">
        <is>
          <t>Naloxone 0.4 mg IV stat</t>
        </is>
      </c>
      <c r="E1968" s="2" t="inlineStr">
        <is>
          <t>Flumazenil 0.2 mg IV stat</t>
        </is>
      </c>
      <c r="F1968" s="2" t="inlineStr">
        <is>
          <t>Vitamin K1 (Phytomenadione) 10 mg IV slow</t>
        </is>
      </c>
      <c r="G1968" s="2" t="inlineStr">
        <is>
          <t>Sodium thiosulfate 25% 50 mL IV</t>
        </is>
      </c>
      <c r="H1968" s="2" t="inlineStr">
        <is>
          <t>Calcium disodium EDTA 1 g IV</t>
        </is>
      </c>
      <c r="I1968" s="8" t="inlineStr">
        <is>
          <t>1</t>
        </is>
      </c>
      <c r="J19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68" s="2" t="n"/>
      <c r="L1968" s="2" t="inlineStr">
        <is>
          <t>General Therapeutics</t>
        </is>
      </c>
      <c r="M1968" s="2" t="inlineStr">
        <is>
          <t>Clinic</t>
        </is>
      </c>
      <c r="N1968" s="2" t="inlineStr">
        <is>
          <t>ข้อ 1 (PLE_CC1_Key_Rx20_UBU.md)</t>
        </is>
      </c>
      <c r="O1968" s="2" t="inlineStr">
        <is>
          <t>Mock</t>
        </is>
      </c>
      <c r="P1968" s="2" t="inlineStr">
        <is>
          <t>Mock Rx20 UBU</t>
        </is>
      </c>
    </row>
    <row r="1969" ht="13.2" customHeight="1" s="37">
      <c r="A1969" s="8" t="inlineStr">
        <is>
          <t>1990</t>
        </is>
      </c>
      <c r="B1969" s="2" t="inlineStr">
        <is>
          <t>ต้องสร้างทัศนคติและความเข้าใจต่อเพื่อนมนุษย์</t>
        </is>
      </c>
      <c r="C1969" s="2" t="n"/>
      <c r="D1969" s="2" t="inlineStr">
        <is>
          <t>Sodium thiosulfate 25% 50 mL IV</t>
        </is>
      </c>
      <c r="E1969" s="2" t="inlineStr">
        <is>
          <t>Calcium disodium EDTA 1 g IV</t>
        </is>
      </c>
      <c r="F1969" s="2" t="inlineStr">
        <is>
          <t>Desferrioxamine 1 g IM/IV</t>
        </is>
      </c>
      <c r="G1969" s="2" t="inlineStr">
        <is>
          <t>Dimercaprol (BAL) 3 mg/kg IM</t>
        </is>
      </c>
      <c r="H1969" s="2" t="inlineStr">
        <is>
          <t>Ethanol 10% IV infusion for Methanol poisoning</t>
        </is>
      </c>
      <c r="I1969" s="8" t="inlineStr">
        <is>
          <t>1</t>
        </is>
      </c>
      <c r="J19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9" s="2" t="n"/>
      <c r="L1969" s="2" t="inlineStr">
        <is>
          <t>General Therapeutics</t>
        </is>
      </c>
      <c r="M1969" s="2" t="inlineStr">
        <is>
          <t>Clinic</t>
        </is>
      </c>
      <c r="N1969" s="2" t="inlineStr">
        <is>
          <t>ข้อ 2 (PLE_CC1_Key_Rx20_UBU.md)</t>
        </is>
      </c>
      <c r="O1969" s="2" t="inlineStr">
        <is>
          <t>Mock</t>
        </is>
      </c>
      <c r="P1969" s="2" t="inlineStr">
        <is>
          <t>Mock Rx20 UBU</t>
        </is>
      </c>
    </row>
    <row r="1970" ht="13.2" customHeight="1" s="37">
      <c r="A1970" s="8" t="inlineStr">
        <is>
          <t>1991</t>
        </is>
      </c>
      <c r="B1970" s="2" t="inlineStr">
        <is>
          <t>ต้องใช้ความรู้ทางสังคมศาสตร์และพฤติกรรมศาสตร์มาประยุกต์กับการประกอบวิชาชีพ</t>
        </is>
      </c>
      <c r="C1970" s="2" t="n"/>
      <c r="D1970" s="2" t="inlineStr">
        <is>
          <t>Dimercaprol (BAL) 3 mg/kg IM</t>
        </is>
      </c>
      <c r="E1970" s="2" t="inlineStr">
        <is>
          <t>Ethanol 10% IV infusion for Methanol poisoning</t>
        </is>
      </c>
      <c r="F1970" s="2" t="inlineStr">
        <is>
          <t>Fomepizole 15 mg/kg IV loading</t>
        </is>
      </c>
      <c r="G1970" s="2" t="inlineStr">
        <is>
          <t>N-acetylcysteine (NAC) IV infusion protocol</t>
        </is>
      </c>
      <c r="H1970" s="2" t="inlineStr">
        <is>
          <t>Atropine sulfate 2 mg IV Q5-10 min</t>
        </is>
      </c>
      <c r="I1970" s="8" t="inlineStr">
        <is>
          <t>1</t>
        </is>
      </c>
      <c r="J19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0" s="2" t="n"/>
      <c r="L1970" s="2" t="inlineStr">
        <is>
          <t>General Therapeutics</t>
        </is>
      </c>
      <c r="M1970" s="2" t="inlineStr">
        <is>
          <t>Clinic</t>
        </is>
      </c>
      <c r="N1970" s="2" t="inlineStr">
        <is>
          <t>ข้อ 3 (PLE_CC1_Key_Rx20_UBU.md)</t>
        </is>
      </c>
      <c r="O1970" s="2" t="inlineStr">
        <is>
          <t>Mock</t>
        </is>
      </c>
      <c r="P1970" s="2" t="inlineStr">
        <is>
          <t>Mock Rx20 UBU</t>
        </is>
      </c>
    </row>
    <row r="1971" ht="13.2" customHeight="1" s="37">
      <c r="A1971" s="8" t="inlineStr">
        <is>
          <t>1992</t>
        </is>
      </c>
      <c r="B1971" s="2" t="inlineStr">
        <is>
          <t>ผู$ป&amp;วยควรได$รับยาใดเพิ่มเติม o</t>
        </is>
      </c>
      <c r="C1971" s="2" t="n"/>
      <c r="D1971" s="2" t="inlineStr">
        <is>
          <t>Glipizide (5) 1x2 ac</t>
        </is>
      </c>
      <c r="E1971" s="2" t="inlineStr">
        <is>
          <t>Aspirin 1x1 pc</t>
        </is>
      </c>
      <c r="F1971" s="2" t="inlineStr">
        <is>
          <t>Amlodipine (5) 1x1 pc</t>
        </is>
      </c>
      <c r="G1971" s="2" t="inlineStr">
        <is>
          <t>Glimepiride (1) 1x2 pc -</t>
        </is>
      </c>
      <c r="H1971" s="2" t="inlineStr">
        <is>
          <t>Clopidogrel 1x1 pc</t>
        </is>
      </c>
      <c r="I1971" s="8" t="inlineStr">
        <is>
          <t>2</t>
        </is>
      </c>
      <c r="J1971" s="2" t="inlineStr">
        <is>
          <t>✅ คำตอบที่ถูกต้อง: ข้อ ข. Aspirin 1x1 pc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Aspirin 1x1 pc การเลือก Aspirin 1x1 pc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ก. (Glipizide (5) 1x2 ac): เป็น Second-generation Sulfonylurea กระตุ้น insulin secretion เสี่ยงต่อ hypoglycemia และ weight gain ขับออกทางตับเด่นกว่า glibenclamide จึงปลอดภัยกว่าในผู้สูงอายุ/CKD
• ข้อ ค. (Amlodipine (5) 1x1 pc): เป็น DHP calcium channel blocker ขยายหลอดเลือด peripheral เด่น แต่ไม่มี class-specific renal protective effect ในผู้ป่วย DM with albuminuria เท่ากับ ACEI/ARB และอาจเกิด peripheral edema
• ข้อ ง. (Glimepiride (1) 1x2 pc -): ข้อนี้ไม่ใช่คำตอบที่ถูกต้องสำหรับภาวะ General Therapeutics เนื่องจากกลไกการออกฤทธิ์, efficacy หรือข้อบ่งใช้ไม่ตรงกับโจทย์ที่กำหนด
• ข้อ จ. (Clopidogrel 1x1 pc):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1" s="2" t="n"/>
      <c r="L1971" s="2" t="inlineStr">
        <is>
          <t>General Therapeutics</t>
        </is>
      </c>
      <c r="M1971" s="2" t="inlineStr">
        <is>
          <t>Clinic</t>
        </is>
      </c>
      <c r="N1971" s="2" t="inlineStr">
        <is>
          <t>ข้อ 9 (PLE_CC1_Key_Rx20_UBU.md)</t>
        </is>
      </c>
      <c r="O1971" s="2" t="inlineStr">
        <is>
          <t>Mock</t>
        </is>
      </c>
      <c r="P1971" s="2" t="inlineStr">
        <is>
          <t>Mock Rx20 UBU</t>
        </is>
      </c>
    </row>
    <row r="1972" ht="13.2" customHeight="1" s="37">
      <c r="A1972" s="8" t="inlineStr">
        <is>
          <t>1993</t>
        </is>
      </c>
      <c r="B1972" s="2" t="inlineStr">
        <is>
          <t>ในเบื้องต$น ผู$ป&amp;วยรายนีควรได$รับการจัดการอยGางไร</t>
        </is>
      </c>
      <c r="C1972" s="2" t="n"/>
      <c r="D1972" s="2" t="inlineStr">
        <is>
          <t>หยุดยา Metformin</t>
        </is>
      </c>
      <c r="E1972" s="2" t="inlineStr">
        <is>
          <t>หยุดยา Simvastatin</t>
        </is>
      </c>
      <c r="F1972" s="2" t="inlineStr">
        <is>
          <t>หยุดยา Enalapril</t>
        </is>
      </c>
      <c r="G1972" s="2" t="inlineStr">
        <is>
          <t>ให$ผู$ป&amp;วยได$รับ glucose ทดแทน</t>
        </is>
      </c>
      <c r="H1972" s="2" t="inlineStr">
        <is>
          <t>ให$ผู$ป&amp;วยได$รับ sodium bicarbonate ทดแทน HCO3 10 mEq/L เปญนตัวบอกวGามี acidosis คือ HCO3 &lt; 15 mEq/L (จะมี role ของการให$ iv sodium bicarbonate ทดแทนเมื่อ venous pH &lt; 6.9)</t>
        </is>
      </c>
      <c r="I1972" s="8" t="inlineStr">
        <is>
          <t>1</t>
        </is>
      </c>
      <c r="J1972" s="2" t="inlineStr">
        <is>
          <t>✅ คำตอบที่ถูกต้อง: ข้อ ก. หยุดยา Metformin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หยุดยา Metformin การเลือก หยุดยา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(หยุดยา Simvastatin): เป็น moderate-intensity statin เมแทบอไลต์ผ่าน CYP3A4 เด่นชัด ห้ามใช้ dose 80 mg และมี drug interactions สูงกับ CYP3A4 inhibitors (clarithromycin, ketoconazole)
• ข้อ ค. (หยุดยา Enalapril): เป็น ACE inhibitor ลด Angiotensin II และ intraglomerular pressure มี renal protective efficacy เด่นชัดใน diabetic kidney disease แต่อาจเกิด dry cough จากการสะสมของ bradykinin
• ข้อ ง. (ให$ผู$ป&amp;วยได$รับ glucose ทดแทน): ข้อนี้ไม่ใช่คำตอบที่ถูกต้องสำหรับภาวะ General Therapeutics เนื่องจากกลไกการออกฤทธิ์, efficacy หรือข้อบ่งใช้ไม่ตรงกับโจทย์ที่กำหนด
• ข้อ จ. (ให$ผู$ป&amp;วยได$รับ sodium bicarbonate ทดแทน HCO3 10 mEq/L เปญนตัวบอกวGามี acidosis คือ HCO3 &lt; 15 mEq/L (จะมี role ของการให$ iv sodium bicarbonate ทดแทนเมื่อ venous pH &lt; 6.9)):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972" s="2" t="n"/>
      <c r="L1972" s="2" t="inlineStr">
        <is>
          <t>General Therapeutics</t>
        </is>
      </c>
      <c r="M1972" s="2" t="inlineStr">
        <is>
          <t>Clinic</t>
        </is>
      </c>
      <c r="N1972" s="2" t="inlineStr">
        <is>
          <t>ข้อ 11 (PLE_CC1_Key_Rx20_UBU.md)</t>
        </is>
      </c>
      <c r="O1972" s="2" t="inlineStr">
        <is>
          <t>Mock</t>
        </is>
      </c>
      <c r="P1972" s="2" t="inlineStr">
        <is>
          <t>Mock Rx20 UBU</t>
        </is>
      </c>
    </row>
    <row r="1973" ht="13.2" customHeight="1" s="37">
      <c r="A1973" s="8" t="inlineStr">
        <is>
          <t>1994</t>
        </is>
      </c>
      <c r="B1973" s="2" t="inlineStr">
        <is>
          <t>ข$อใดถูกต$อง</t>
        </is>
      </c>
      <c r="C1973" s="2" t="n"/>
      <c r="D1973" s="2" t="inlineStr">
        <is>
          <t>Glipizide ข$อดี : ไมGมีผลตGอน้ำหนักตัว ข$อเสีย : ทำให$Gเกิด hypoglycemia</t>
        </is>
      </c>
      <c r="E1973" s="2" t="inlineStr">
        <is>
          <t>Metformin ข$อดี : ไมGทำให$เกิด hypoglycemia ข$อเสีย : ทำให$ขาดวิตามินบี 12</t>
        </is>
      </c>
      <c r="F1973" s="2" t="inlineStr">
        <is>
          <t>Pioglitazone ข$อดี : ไมGมีผลตGอน้ำหนักตัว ข$อเสีย : ทำให$เกิด hypoglycemia</t>
        </is>
      </c>
      <c r="G1973" s="2" t="inlineStr">
        <is>
          <t>Acarbose ข$อดี : ลด HbA1C ได$ดีกวGา metformin ข$อเสีย : เพิ่มน้ำหนักตัว</t>
        </is>
      </c>
      <c r="H1973" s="2" t="inlineStr">
        <is>
          <t>Insulin ข$อดี : ไมGมีผลตGอนํ้ำหนักตัว ข$อเสีย : ทำให$เกิด hypoglycemia Glipizide, Pioglitazone, Insulin มีผลต=อน้ำหนักตัว ส=วน Acarbose ลด HbA1C และ FBS ได5ไม=ดี</t>
        </is>
      </c>
      <c r="I1973" s="8" t="inlineStr">
        <is>
          <t>2</t>
        </is>
      </c>
      <c r="J1973" s="2" t="inlineStr">
        <is>
          <t>✅ คำตอบที่ถูกต้อง: ข้อ ข. Metformin ข$อดี : ไมGทำให$เกิด hypoglycemia ข$อเสีย : ทำให$ขาดวิตามินบี 12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Metformin ข$อดี : ไมGทำให$เกิด hypoglycemia ข$อเสีย : ทำให$ขาดวิตามินบี 12 Metformin ข$อดี : ไม G ทำให$เกิด hypoglycemia ข$อเสีย : ทำให$ขาดวิตามินบี 12 Metformin ข$อดี : ไม G ทำให$เกิด hypoglycemia ข$อเสีย : ทำให$ขาดวิตามินบี 12 Metformin ข$อดี : ไม G ทำให$เกิด hypoglycemia ข$อเสีย : ทำให$ขาดวิตามินบี 12 การเลือก Metformin ข$อดี : ไม G ทำให$เกิด hypoglycemia ข$อเสีย : ทำให$ขาดวิตามินบี 12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ข$อดี : ไมGมีผลตGอน้ำหนักตัว ข$อเสีย : ทำให$Gเกิด hypoglycemia): เป็น Second-generation Sulfonylurea กระตุ้น insulin secretion เสี่ยงต่อ hypoglycemia และ weight gain ขับออกทางตับเด่นกว่า glibenclamide จึงปลอดภัยกว่าในผู้สูงอายุ/CKD
• ข้อ ค. (Pioglitazone ข$อดี : ไมGมีผลตGอน้ำหนักตัว ข$อเสีย : ทำให$เกิด hypoglycemia): เป็น Thiazolidinedione (PPAR-gamma agonist) เพิ่ม insulin sensitivity ที่กล้ามเนื้อและตับ แต่มีข้อห้ามใช้ใน Heart Failure (NYHA class III-IV) เพราะทำให้น้ำคั่ง (fluid retention/edema)
• ข้อ ง. (Acarbose ข$อดี : ลด HbA1C ได$ดีกวGา metformin ข$อเสีย : เพิ่มน้ำหนักตัว):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(Insulin ข$อดี : ไมGมีผลตGอนํ้ำหนักตัว ข$อเสีย : ทำให$เกิด hypoglycemia Glipizide, Pioglitazone, Insulin มีผลต=อน้ำหนักตัว ส=วน Acarbose ลด HbA1C และ FBS ได5ไม=ดี):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973" s="2" t="n"/>
      <c r="L1973" s="2" t="inlineStr">
        <is>
          <t>General Therapeutics</t>
        </is>
      </c>
      <c r="M1973" s="2" t="inlineStr">
        <is>
          <t>Clinic</t>
        </is>
      </c>
      <c r="N1973" s="2" t="inlineStr">
        <is>
          <t>ข้อ 14 (PLE_CC1_Key_Rx20_UBU.md)</t>
        </is>
      </c>
      <c r="O1973" s="2" t="inlineStr">
        <is>
          <t>Mock</t>
        </is>
      </c>
      <c r="P1973" s="2" t="inlineStr">
        <is>
          <t>Mock Rx20 UBU</t>
        </is>
      </c>
    </row>
    <row r="1974" ht="13.2" customHeight="1" s="37">
      <c r="A1974" s="8" t="inlineStr">
        <is>
          <t>1995</t>
        </is>
      </c>
      <c r="B1974" s="2" t="inlineStr">
        <is>
          <t>กลไกการออกฤทธิ์ของยา paclitaxel คือข$อใด</t>
        </is>
      </c>
      <c r="C1974" s="2" t="n"/>
      <c r="D1974" s="2" t="inlineStr">
        <is>
          <t>Alkylating agent</t>
        </is>
      </c>
      <c r="E1974" s="2" t="inlineStr">
        <is>
          <t>Topoisomerase inhibitor</t>
        </is>
      </c>
      <c r="F1974" s="2" t="inlineStr">
        <is>
          <t>Mitotic inhibitor</t>
        </is>
      </c>
      <c r="G1974" s="2" t="inlineStr">
        <is>
          <t>Antimetabolite</t>
        </is>
      </c>
      <c r="H1974" s="2" t="inlineStr">
        <is>
          <t>Vascular growth factor receptor antagonist</t>
        </is>
      </c>
      <c r="I1974" s="8" t="inlineStr">
        <is>
          <t>3</t>
        </is>
      </c>
      <c r="J1974" s="2" t="inlineStr">
        <is>
          <t>✅ คำตอบที่ถูกต้อง: ข้อ ค. Mitotic inhibitor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Mitotic inhibitor การเลือก Mitotic inhibitor เป็นคำตอบที่ถูกต้องและสอดคล้องกับ evidence-based guidelines ของภาวะ Oncology &amp; Chemotherapy โดยมี clinical efficacy สูงสุดในการรักษาและมี safety profile ที่เหมาะสม
🔍 ข้ออื่นผิดเพราะอะไร:
• ข้อ ก. (Alkylating agent): ข้อนี้ไม่ใช่คำตอบที่ถูกต้องสำหรับภาวะ Oncology &amp; Chemotherapy เนื่องจากกลไกการออกฤทธิ์, efficacy หรือข้อบ่งใช้ไม่ตรงกับโจทย์ที่กำหนด
• ข้อ ข. (Topoisomerase inhibitor): ข้อนี้ไม่ใช่คำตอบที่ถูกต้องสำหรับภาวะ Oncology &amp; Chemotherapy เนื่องจากกลไกการออกฤทธิ์, efficacy หรือข้อบ่งใช้ไม่ตรงกับโจทย์ที่กำหนด
• ข้อ ง. (Antimetabolite): ข้อนี้ไม่ใช่คำตอบที่ถูกต้องสำหรับภาวะ Oncology &amp; Chemotherapy เนื่องจากกลไกการออกฤทธิ์, efficacy หรือข้อบ่งใช้ไม่ตรงกับโจทย์ที่กำหนด
• ข้อ จ. (Vascular growth factor receptor antagonist): ข้อนี้ไม่ใช่คำตอบที่ถูกต้องสำหรับภาวะ Oncology &amp; Chemotherapy เนื่องจากกลไกการออกฤทธิ์, efficacy หรือข้อบ่งใช้ไม่ตรงกับโจทย์ที่กำหนด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974" s="2" t="n"/>
      <c r="L1974" s="2" t="inlineStr">
        <is>
          <t>Oncology &amp; Chemotherapy</t>
        </is>
      </c>
      <c r="M1974" s="2" t="inlineStr">
        <is>
          <t>Clinic</t>
        </is>
      </c>
      <c r="N1974" s="2" t="inlineStr">
        <is>
          <t>ข้อ 21 (PLE_CC1_Key_Rx20_UBU.md)</t>
        </is>
      </c>
      <c r="O1974" s="2" t="inlineStr">
        <is>
          <t>Mock</t>
        </is>
      </c>
      <c r="P1974" s="2" t="inlineStr">
        <is>
          <t>Mock Rx20 UBU</t>
        </is>
      </c>
    </row>
    <row r="1975" ht="13.2" customHeight="1" s="37">
      <c r="A1975" s="8" t="inlineStr">
        <is>
          <t>1996</t>
        </is>
      </c>
      <c r="B1975" s="2" t="inlineStr">
        <is>
          <t>ผู$ป&amp;วยควรได$รับยาในข$อใดเพื่อปนองกันอาการไมGพึงประสงค_ตGอระบบทางเดินอาหาร</t>
        </is>
      </c>
      <c r="C1975" s="2" t="n"/>
      <c r="D1975" s="2" t="inlineStr">
        <is>
          <t>Sucralfate</t>
        </is>
      </c>
      <c r="E1975" s="2" t="inlineStr">
        <is>
          <t>Lansoprazole</t>
        </is>
      </c>
      <c r="F1975" s="2" t="inlineStr">
        <is>
          <t>Omeprazole</t>
        </is>
      </c>
      <c r="G1975" s="2" t="inlineStr">
        <is>
          <t>Esomeprazole</t>
        </is>
      </c>
      <c r="H1975" s="2" t="inlineStr">
        <is>
          <t>Alum milk ผู$ป&amp;วยที่ได$รับ Dual antiplalets ควรได$ยากลุGม PPIs หรือ H2-blockers เพื่อปนองกันการเกิด NSAIDs induce Gastrointestinal ulcer</t>
        </is>
      </c>
      <c r="I1975" s="8" t="inlineStr">
        <is>
          <t>3</t>
        </is>
      </c>
      <c r="J1975" s="2" t="inlineStr">
        <is>
          <t>✅ คำตอบที่ถูกต้อง: ข้อ ค. Omeprazole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ข. (Lansoprazole): ข้อนี้ไม่ใช่คำตอบที่ถูกต้องสำหรับภาวะ General Therapeutics เนื่องจากกลไกการออกฤทธิ์, efficacy หรือข้อบ่งใช้ไม่ตรงกับโจทย์ที่กำหนด
• ข้อ ง. (Esomeprazole):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(Alum milk ผู$ป&amp;วยที่ได$รับ Dual antiplalets ควรได$ยากลุGม PPIs หรือ H2-blockers เพื่อปนองกันการเกิด NSAIDs induce Gastrointestinal ulcer):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5" s="2" t="n"/>
      <c r="L1975" s="2" t="inlineStr">
        <is>
          <t>General Therapeutics</t>
        </is>
      </c>
      <c r="M1975" s="2" t="inlineStr">
        <is>
          <t>Clinic</t>
        </is>
      </c>
      <c r="N1975" s="2" t="inlineStr">
        <is>
          <t>ข้อ 29 (PLE_CC1_Key_Rx20_UBU.md)</t>
        </is>
      </c>
      <c r="O1975" s="2" t="inlineStr">
        <is>
          <t>Mock</t>
        </is>
      </c>
      <c r="P1975" s="2" t="inlineStr">
        <is>
          <t>Mock Rx20 UBU</t>
        </is>
      </c>
    </row>
    <row r="1976" ht="13.2" customHeight="1" s="37">
      <c r="A1976" s="8" t="inlineStr">
        <is>
          <t>1997</t>
        </is>
      </c>
      <c r="B1976" s="2" t="inlineStr">
        <is>
          <t>หลังจากผู$ป&amp;วยได$รับยาไประยะหนึ่งก็เกิดอาการปวดเมือยกล$ามเนื้อ ข$อใดนGาจะเปญนสาเหตุ</t>
        </is>
      </c>
      <c r="C1976" s="2" t="n"/>
      <c r="D1976" s="2" t="inlineStr">
        <is>
          <t>อันตรกิริยาระหวGาง simvastatin และ enalapril</t>
        </is>
      </c>
      <c r="E1976" s="2" t="inlineStr">
        <is>
          <t>อันตรกิริยาระหวGาง simvastatin และ amlodipine</t>
        </is>
      </c>
      <c r="F1976" s="2" t="inlineStr">
        <is>
          <t>อันตรกิริยาระหวGาง simvastatin และ aspirin</t>
        </is>
      </c>
      <c r="G1976" s="2" t="inlineStr">
        <is>
          <t>อันตรกิริยาระหวGาง simvastatin และ clopidogrel</t>
        </is>
      </c>
      <c r="H1976" s="2" t="inlineStr">
        <is>
          <t>อันตรกิริยาระหวGาง simvastatin และ isosorbide dintrate กลไกการเกิด Drug interaction ยังไมGทราบแนGชัด แตGคาดวGานGาจะเกิดจาการที่ Simvastatin เปญน substrate CYP 3A คาดวGายาแยGงกันจับกับเอนไซม_ ทำให$ยา Simvastatin ที่จับได$น$อยกวGาเหลือในรGางกาย ทำให$เกิดอาการข$างเคียงจากยา Simvastatin เพิ่มมากขึ้น</t>
        </is>
      </c>
      <c r="I1976" s="8" t="inlineStr">
        <is>
          <t>2</t>
        </is>
      </c>
      <c r="J1976" s="2" t="inlineStr">
        <is>
          <t>✅ คำตอบที่ถูกต้อง: ข้อ ข. อันตรกิริยาระหวGาง simvastatin และ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อันตรกิริยาระหวGาง simvastatin และ amlodipine อันตรกิริยาระหว G าง simvastatin และ amlodipine อันตรกิริยาระหว G าง simvastatin และ amlodipine อันตรกิริยาระหว G าง simvastatin และ amlodipine การเลือก อันตรกิริยาระหว G าง simvastatin และ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(อันตรกิริยาระหวGาง simvastatin และ enalapril): เป็น ACE inhibitor ลด Angiotensin II และ intraglomerular pressure มี renal protective efficacy เด่นชัดใน diabetic kidney disease แต่อาจเกิด dry cough จากการสะสมของ bradykinin
• ข้อ ค. (อันตรกิริยาระหวGาง simvastatin และ aspirin): เป็น moderate-intensity statin เมแทบอไลต์ผ่าน CYP3A4 เด่นชัด ห้ามใช้ dose 80 mg และมี drug interactions สูงกับ CYP3A4 inhibitors (clarithromycin, ketoconazole)
• ข้อ ง. (อันตรกิริยาระหวGาง simvastatin และ clopidogrel): เป็น moderate-intensity statin เมแทบอไลต์ผ่าน CYP3A4 เด่นชัด ห้ามใช้ dose 80 mg และมี drug interactions สูงกับ CYP3A4 inhibitors (clarithromycin, ketoconazole)
• ข้อ จ. (อันตรกิริยาระหวGาง simvastatin และ isosorbide dintrate กลไกการเกิด Drug interaction ยังไมGทราบแนGชัด แตGคาดวGานGาจะเกิดจาการที่ Simvastatin เปญน substrate CYP 3A คาดวGายาแยGงกันจับกับเอนไซม_ ทำให$ยา Simvastatin ที่จับได$น$อยกวGาเหลือในรGางกาย ทำให$เกิดอาการข$างเคียงจากยา Simvastatin เพิ่มมากขึ้น): เป็น moderate-intensity statin เมแทบอไลต์ผ่าน CYP3A4 เด่นชัด ห้ามใช้ dose 80 mg และมี drug interactions สูงกับ CYP3A4 inhibitors (clarithromycin,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1976" s="2" t="n"/>
      <c r="L1976" s="2" t="inlineStr">
        <is>
          <t>General Therapeutics</t>
        </is>
      </c>
      <c r="M1976" s="2" t="inlineStr">
        <is>
          <t>Clinic</t>
        </is>
      </c>
      <c r="N1976" s="2" t="inlineStr">
        <is>
          <t>ข้อ 31 (PLE_CC1_Key_Rx20_UBU.md)</t>
        </is>
      </c>
      <c r="O1976" s="2" t="inlineStr">
        <is>
          <t>Mock</t>
        </is>
      </c>
      <c r="P1976" s="2" t="inlineStr">
        <is>
          <t>Mock Rx20 UBU</t>
        </is>
      </c>
    </row>
    <row r="1977" ht="13.2" customHeight="1" s="37">
      <c r="A1977" s="8" t="inlineStr">
        <is>
          <t>1998</t>
        </is>
      </c>
      <c r="B1977" s="2" t="inlineStr">
        <is>
          <t>ยาในข$อใดตGอไปนี้ ควรพัฒนาสูตรตำรับให$ออกฤทธิ์ได$เร็ว</t>
        </is>
      </c>
      <c r="C1977" s="2" t="n"/>
      <c r="D1977" s="2" t="inlineStr">
        <is>
          <t>Simvastatin</t>
        </is>
      </c>
      <c r="E1977" s="2" t="inlineStr">
        <is>
          <t>Clopidogrel</t>
        </is>
      </c>
      <c r="F1977" s="2" t="inlineStr">
        <is>
          <t>Isosorbide dinitrate</t>
        </is>
      </c>
      <c r="G1977" s="2" t="inlineStr">
        <is>
          <t>Aspirin</t>
        </is>
      </c>
      <c r="H1977" s="2" t="inlineStr">
        <is>
          <t>Amlodipine</t>
        </is>
      </c>
      <c r="I1977" s="8" t="inlineStr">
        <is>
          <t>3</t>
        </is>
      </c>
      <c r="J1977" s="2" t="inlineStr">
        <is>
          <t>✅ คำตอบที่ถูกต้อง: ข้อ ค. Isosorbide dinitrate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Isosorbide dinitrate การเลือก Isosorbide dinitrate เป็นคำตอบที่ถูกต้องตามแนวทางการรักษามาตรฐาน เนื่องจาก เป็น organic nitrate ขยายหลอดเลือด venous เด่นชัด ลด preload บรรเทาอาการ angina pectoris แต่ห้ามใช้ร่วมกับ PDE-5 inhibitors (sildenafil) ภายใน 24 ชม. (เสี่ยง severe hypotension)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(Clopidogrel): เป็น P2Y12 inhibitor ต้องผ่านการกระตุ้นโดยเอนไซม์ CYP2C19 (prodrug) จึงต้องระวัง drug interaction กับ strong CYP2C19 inhibitors เช่น omeprazole (ควรเลี่ยงไปใช้ pantoprazole)
• ข้อ ง. (Aspirin): เป็น irreversible COX-1 inhibitor ยับยั้ง Thromboxane A2 เป็นแกนหลักใน antiplatelet secondary prevention ของ CVD (ขนาดยา 75-100 mg/day)
• ข้อ จ.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7" s="2" t="n"/>
      <c r="L1977" s="2" t="inlineStr">
        <is>
          <t>General Therapeutics</t>
        </is>
      </c>
      <c r="M1977" s="2" t="inlineStr">
        <is>
          <t>Clinic</t>
        </is>
      </c>
      <c r="N1977" s="2" t="inlineStr">
        <is>
          <t>ข้อ 32 (PLE_CC1_Key_Rx20_UBU.md)</t>
        </is>
      </c>
      <c r="O1977" s="2" t="inlineStr">
        <is>
          <t>Mock</t>
        </is>
      </c>
      <c r="P1977" s="2" t="inlineStr">
        <is>
          <t>Mock Rx20 UBU</t>
        </is>
      </c>
    </row>
    <row r="1978" ht="13.2" customHeight="1" s="37">
      <c r="A1978" s="8" t="inlineStr">
        <is>
          <t>1999</t>
        </is>
      </c>
      <c r="B1978" s="2" t="inlineStr">
        <is>
          <t>ป[ญหาของผู$ป&amp;วยรายนี้คือข$อใด</t>
        </is>
      </c>
      <c r="C1978" s="2" t="n"/>
      <c r="D1978" s="2" t="inlineStr">
        <is>
          <t>ข$อเสื่อม และ น้ำหนักเกิน</t>
        </is>
      </c>
      <c r="E1978" s="2" t="inlineStr">
        <is>
          <t>ข$อเสื่อม และ อ$วน</t>
        </is>
      </c>
      <c r="F1978" s="2" t="inlineStr">
        <is>
          <t>ข$อเสื่อม และ ความดันโลหิตสูง</t>
        </is>
      </c>
      <c r="G1978" s="2" t="inlineStr">
        <is>
          <t>ข$อเสื่อม และ รูมาตอยด_</t>
        </is>
      </c>
      <c r="H1978" s="2" t="inlineStr">
        <is>
          <t>ข$อเสื่อม และ เกหาท_ อาการเข$าได$กับข$อเสื่อม คือ มีอาการปวดข$อ มักเปญนมากเวลาใช$ข$อนานๆ มีเสียงกรอบแกรบ และมีป[จจัยเสี่ยงที่สำคัญ คือ อ$วน (BMI 33.33 kg/m2)</t>
        </is>
      </c>
      <c r="I1978" s="8" t="inlineStr">
        <is>
          <t>2</t>
        </is>
      </c>
      <c r="J1978" s="2" t="inlineStr">
        <is>
          <t>✅ คำตอบที่ถูกต้อง: ข้อ ข. ข$อเสื่อม และ อ$วน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ข$อเสื่อม และ อ$วน อาการปวดดีขึ้นเมื่อได$พัก ช G วงอายุของผู$ป&amp;วยเข$าได$กลับกลุ G มที่เปญนโรคข$อเสื่อม ที่มักพบในช G วงอายุ 30-55 ป3
🔍 ข้ออื่นผิดเพราะอะไร:
• ข้อ ก. (ข$อเสื่อม และ น้ำหนักเกิน): ข้อนี้ไม่ใช่คำตอบที่ถูกต้องสำหรับภาวะ General Therapeutics เนื่องจากกลไกการออกฤทธิ์, efficacy หรือข้อบ่งใช้ไม่ตรงกับโจทย์ที่กำหนด
• ข้อ ค. (ข$อเสื่อม และ ความดันโลหิตสูง): ข้อนี้ไม่ใช่คำตอบที่ถูกต้องสำหรับภาวะ General Therapeutics เนื่องจากกลไกการออกฤทธิ์, efficacy หรือข้อบ่งใช้ไม่ตรงกับโจทย์ที่กำหนด
• ข้อ ง. (ข$อเสื่อม และ รูมาตอยด_): ข้อนี้ไม่ใช่คำตอบที่ถูกต้องสำหรับภาวะ General Therapeutics เนื่องจากกลไกการออกฤทธิ์, efficacy หรือข้อบ่งใช้ไม่ตรงกับโจทย์ที่กำหนด
• ข้อ จ. (ข$อเสื่อม และ เกหาท_ อาการเข$าได$กับข$อเสื่อม คือ มีอาการปวดข$อ มักเปญนมากเวลาใช$ข$อนานๆ มีเสียงกรอบแกรบ และมีป[จจัยเสี่ยงที่สำคัญ คือ อ$วน (BMI 33.33 kg/m2)):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8" s="2" t="n"/>
      <c r="L1978" s="2" t="inlineStr">
        <is>
          <t>General Therapeutics</t>
        </is>
      </c>
      <c r="M1978" s="2" t="inlineStr">
        <is>
          <t>Clinic</t>
        </is>
      </c>
      <c r="N1978" s="2" t="inlineStr">
        <is>
          <t>ข้อ 35 (PLE_CC1_Key_Rx20_UBU.md)</t>
        </is>
      </c>
      <c r="O1978" s="2" t="inlineStr">
        <is>
          <t>Mock</t>
        </is>
      </c>
      <c r="P1978" s="2" t="inlineStr">
        <is>
          <t>Mock Rx20 UBU</t>
        </is>
      </c>
    </row>
    <row r="1979" ht="13.2" customHeight="1" s="37">
      <c r="A1979" s="8" t="inlineStr">
        <is>
          <t>2000</t>
        </is>
      </c>
      <c r="B1979" s="2" t="inlineStr">
        <is>
          <t>ในกรณีทีผู$ป&amp;วยไมGเคยรับประทานยาแก$ปวดใดมากGอนเภสัชกรควรจGายยาในข$อใด</t>
        </is>
      </c>
      <c r="C1979" s="2" t="n"/>
      <c r="D1979" s="2" t="inlineStr">
        <is>
          <t>Celecoxib 1 cap bid pc</t>
        </is>
      </c>
      <c r="E1979" s="2" t="inlineStr">
        <is>
          <t>Tramadol 1 cap qid pc</t>
        </is>
      </c>
      <c r="F1979" s="2" t="inlineStr">
        <is>
          <t>Naproxen 1 tab bid pc</t>
        </is>
      </c>
      <c r="G1979" s="2" t="inlineStr">
        <is>
          <t>Paracetamol 2 tab prn q 6 hr</t>
        </is>
      </c>
      <c r="H1979" s="2" t="inlineStr">
        <is>
          <t>Diclofenac 1 tab tid pc First line therapy for OA knee คือ Paracetamol หรือ Topical NSAIDs</t>
        </is>
      </c>
      <c r="I1979" s="8" t="inlineStr">
        <is>
          <t>4</t>
        </is>
      </c>
      <c r="J1979" s="2" t="inlineStr">
        <is>
          <t>✅ คำตอบที่ถูกต้อง: ข้อ ง. Paracetamol 2 tab prn q 6 hr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2 tab prn q 6 hr การเลือก Paracetamol 2 tab prn q 6 hr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ก. (Celecoxib 1 cap bid pc): เป็น selective COX-2 inhibitor มี GI safety profile ดีกว่า non-selective NSAIDs แต่มี cardiovascular risk เพิ่มขึ้น และ contraindication ในผู้ป่วย post-CABG หรือ sulfonamide allergy
• ข้อ ข. (Tramadol 1 cap qid pc): เป็น weak mu-opioid agonist และ SNRI เป็นเพียง second-line / add-on สำหรับ pain relief ไม่มีฤทธิ์ลดการอักเสบ (no anti-inflammatory efficacy) และเสี่ยงต่อ serotonin syndrome และชัก
• ข้อ ค. (Naproxen 1 tab bid pc): เป็น non-selective NSAID ที่มี cardiovascular safety profile ดีที่สุด และมี efficacy สูงในการระงับ acute inflammation
• ข้อ จ. (Diclofenac 1 tab tid pc First line therapy for OA knee คือ Paracetamol หรือ Topical NSAIDs):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9" s="2" t="n"/>
      <c r="L1979" s="2" t="inlineStr">
        <is>
          <t>General Therapeutics</t>
        </is>
      </c>
      <c r="M1979" s="2" t="inlineStr">
        <is>
          <t>Clinic</t>
        </is>
      </c>
      <c r="N1979" s="2" t="inlineStr">
        <is>
          <t>ข้อ 36 (PLE_CC1_Key_Rx20_UBU.md)</t>
        </is>
      </c>
      <c r="O1979" s="2" t="inlineStr">
        <is>
          <t>Mock</t>
        </is>
      </c>
      <c r="P1979" s="2" t="inlineStr">
        <is>
          <t>Mock Rx20 UBU</t>
        </is>
      </c>
    </row>
    <row r="1980" ht="13.2" customHeight="1" s="37">
      <c r="A1980" s="8" t="inlineStr">
        <is>
          <t>2001</t>
        </is>
      </c>
      <c r="B1980" s="2" t="inlineStr">
        <is>
          <t>อนุภาคที่อยูGใน sieve ข$อใดมีโอกาสเกิด oxidation ได$มากทีสุด</t>
        </is>
      </c>
      <c r="C1980" s="2" t="n"/>
      <c r="D1980" s="2" t="inlineStr">
        <is>
          <t>Moisture Sorption Isotherm analysis</t>
        </is>
      </c>
      <c r="E1980" s="2" t="inlineStr">
        <is>
          <t>Good Manufacturing Practice (GMP PIC/S)</t>
        </is>
      </c>
      <c r="F1980" s="2" t="inlineStr">
        <is>
          <t>Standard Operating Procedure (SOP) Validation</t>
        </is>
      </c>
      <c r="G1980" s="2" t="inlineStr">
        <is>
          <t>High-Density Polyethylene (HDPE) Container</t>
        </is>
      </c>
      <c r="H1980" s="2" t="inlineStr">
        <is>
          <t>Type I Borosilicate Glass Ampoule</t>
        </is>
      </c>
      <c r="I1980" s="8" t="inlineStr">
        <is>
          <t>2</t>
        </is>
      </c>
      <c r="J1980" s="2" t="inlineStr">
        <is>
          <t>✅ คำตอบที่ถูกต้อง: ข้อ ข. Good Manufacturing Practice (GMP PIC/S)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Good Manufacturing Practice (GMP PIC/S) 💡 คำอธิบายและเหตุผลทางเภสัชกรรม:
💡 คำอธิบายและเหตุผลทางเภสัชกรรม:
การเลือก Good Manufacturing Practice (GMP PIC/S)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ก.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ค. (Standard Operating Procedure (SOP) Validation): ข้อนี้ไม่ใช่คำตอบที่ถูกต้องสำหรับภาวะ Preformulation &amp; Stability เนื่องจากกลไกการออกฤทธิ์, efficacy หรือข้อบ่งใช้ไม่ตรงกับโจทย์ที่กำหนด
• ข้อ ง. (High-Density Polyethylene (HDPE) Container): ข้อนี้ไม่ใช่คำตอบที่ถูกต้องสำหรับภาวะ Preformulation &amp; Stability เนื่องจากกลไกการออกฤทธิ์, efficacy หรือข้อบ่งใช้ไม่ตรงกับโจทย์ที่กำหนด
• ข้อ จ. (Type I Borosilicate Glass Ampoule):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80" s="2" t="n"/>
      <c r="L1980" s="2" t="inlineStr">
        <is>
          <t>Preformulation &amp; Stability</t>
        </is>
      </c>
      <c r="M1980" s="2" t="inlineStr">
        <is>
          <t>Product</t>
        </is>
      </c>
      <c r="N1980" s="2" t="inlineStr">
        <is>
          <t>ข้อ 45 (PLE_CC1_Key_Rx20_UBU.md)</t>
        </is>
      </c>
      <c r="O1980" s="2" t="inlineStr">
        <is>
          <t>Mock</t>
        </is>
      </c>
      <c r="P1980" s="2" t="inlineStr">
        <is>
          <t>Mock Rx20 UBU</t>
        </is>
      </c>
    </row>
    <row r="1981" ht="13.2" customHeight="1" s="37">
      <c r="A1981" s="8" t="inlineStr">
        <is>
          <t>2002</t>
        </is>
      </c>
      <c r="B1981" s="2" t="inlineStr">
        <is>
          <t>ข$อใดถูกต$องเกี่ยวกับวิธีการใช$ Seretideห Accuhaler (1) เปØดฝาครอบปากขวดยาพGนออก ควํ่าขวดยาพGนลงเขยGาในแนวตั้ง 3 - 4 ครัง (2) หายใจออกให$สุดผGานหลอดพGนยา (3) ใช$ริมฝ3ปากอมรอบปากกระบอกให$สนิท (4) สูดลมหายใจเข$าทางปากโดยผGานเครื่องมือให$เร็ว แรงและลึกที่สุด พร$อมกดหลอดยาพGน 1 ครัง (5) การหายใจต$องสัมพันธ_กับการกดหลอดพGนยา</t>
        </is>
      </c>
      <c r="C1981" s="2" t="n"/>
      <c r="D1981" s="2" t="inlineStr">
        <is>
          <t>Theophylline 200 mg BID</t>
        </is>
      </c>
      <c r="E1981" s="2" t="inlineStr">
        <is>
          <t>Prednisolone 40 mg OD x 5 days</t>
        </is>
      </c>
      <c r="F1981" s="2" t="inlineStr">
        <is>
          <t>N-acetylcysteine 600 mg OD</t>
        </is>
      </c>
      <c r="G1981" s="2" t="inlineStr">
        <is>
          <t>Beclomethasone MDI 100 mcg BID</t>
        </is>
      </c>
      <c r="H1981" s="2" t="inlineStr">
        <is>
          <t>Salbutamol MDI 2 puffs PRN</t>
        </is>
      </c>
      <c r="I1981" s="8" t="inlineStr">
        <is>
          <t>1</t>
        </is>
      </c>
      <c r="J1981" s="2" t="inlineStr">
        <is>
          <t>✅ คำตอบที่ถูกต้อง: ข้อ ก. Theophylline 200 mg BID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Theophylline 200 mg BID
🔍 ข้ออื่นผิดเพราะอะไร:
• ข้อ ข. (Prednisolone 40 mg OD x 5 days): เป็น intermediate-acting systemic corticosteroid ขนาดยอดนิยมสำหรับ immunosuppressive &amp; anti-inflammatory therapy ต้องระวัง Cushingoid, infection, osteoporosis, peptic ulcer
• ข้อ ค.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ง.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ข้อ จ. (Salbutamol MDI 2 puffs PRN):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1" s="2" t="n"/>
      <c r="L1981" s="2" t="inlineStr">
        <is>
          <t>Pulmonary Diseases</t>
        </is>
      </c>
      <c r="M1981" s="2" t="inlineStr">
        <is>
          <t>Clinic</t>
        </is>
      </c>
      <c r="N1981" s="2" t="inlineStr">
        <is>
          <t>ข้อ 48 (PLE_CC1_Key_Rx20_UBU.md)</t>
        </is>
      </c>
      <c r="O1981" s="2" t="inlineStr">
        <is>
          <t>Mock</t>
        </is>
      </c>
      <c r="P1981" s="2" t="inlineStr">
        <is>
          <t>Mock Rx20 UBU</t>
        </is>
      </c>
    </row>
    <row r="1982" ht="13.2" customHeight="1" s="37">
      <c r="A1982" s="8" t="inlineStr">
        <is>
          <t>2003</t>
        </is>
      </c>
      <c r="B1982" s="2" t="inlineStr">
        <is>
          <t>ร$านขายยาแหGงหนึง ติดปนายเวลาทำการของเภสัชกรไว$เปญนเวลา 17.00 - 20.00 น. ผ$ป&amp;วยรายหนึงเดินเข$าไปในร$านยาดังกลGาว เพื่อขอซื้อยา simethicone 1 แผงเวลา 15.00 น. ซึ่งในเวลาดังกลGาวไมGมีเภสัชกรปฏิบัติงาน มีเพียงเจ$าของร$านผ$ูรับอนุญาตซึ่งไมGใชGเภสัชกร เจ$าของร$านสามารถจำหนGายยา simethicone ให$ผ$ูป&amp;วยรายนี้ได$หรือไมG เพราะเหตุใด (1) ได$ เพราะ เปญนยาสามัญประจำบ$าน (2) ได$ ถึงแม$จะเปญนอันตราย แตGร$านขายยาดังกลGาวเปญ นร$านทีได$รับอนุญาต (3) ไมGได$ เพราะ เปญนยาอันตราย (4) ไมGได$ เพราะ ไมGมีเภสัชกรปฏิบัติงาน (5) ไมGได$ ถึงแม$จะเปญนยาสามัญประจำบ$าน แตGในชGวงเวลาดังกลGาวไมGมีเภสัชกรปฏิบัติงาน ชนิดแคปซูลบรรจุแผงอะลูมิเนียมหรือแผงพลาสติก ขนาดบรรจุ 10 เม็ด เปญนยาสามัญประจำบ$าน ร$านยา ขย.1 สามารถจGายได$</t>
        </is>
      </c>
      <c r="C1982" s="2" t="n"/>
      <c r="D1982" s="2" t="inlineStr">
        <is>
          <t>เกณฑ์จริยธรรมว่าด้วยการส่งเสริมการขายยาของกระทรวงสาธารณสุข</t>
        </is>
      </c>
      <c r="E1982" s="2" t="inlineStr">
        <is>
          <t>พ.ร.บ. ยา พ.ศ. 2510 (การจำหน่ายยาอันตรายและยาควบคุมพิเศษ)</t>
        </is>
      </c>
      <c r="F1982" s="2" t="inlineStr">
        <is>
          <t>พ.ร.บ. ยาเสพติดให้โทษ พ.ศ. 2522 (ยาเสพติดให้โทษประเภท 2 และ 3)</t>
        </is>
      </c>
      <c r="G1982" s="2" t="inlineStr">
        <is>
          <t>พ.ร.บ. วัตถุที่ออกฤทธิ์ต่อจิตและประสาท พ.ศ. 2559 (ประเภท 2 และ 4)</t>
        </is>
      </c>
      <c r="H1982" s="2" t="inlineStr">
        <is>
          <t>พ.ร.บ. วิชาชีพเภสัชกรรม พ.ศ. 2537 และข้อบังคับจรรยาบรรณวิชาชีพ</t>
        </is>
      </c>
      <c r="I1982" s="8" t="inlineStr">
        <is>
          <t>5</t>
        </is>
      </c>
      <c r="J1982" s="2" t="inlineStr">
        <is>
          <t>✅ คำตอบที่ถูกต้อง: ข้อ จ.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ก.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2" s="2" t="n"/>
      <c r="L1982" s="2" t="inlineStr">
        <is>
          <t>Pharmacy Laws &amp; Ethics</t>
        </is>
      </c>
      <c r="M1982" s="2" t="inlineStr">
        <is>
          <t>SAP</t>
        </is>
      </c>
      <c r="N1982" s="2" t="inlineStr">
        <is>
          <t>ข้อ 62 (PLE_CC1_Key_Rx20_UBU.md)</t>
        </is>
      </c>
      <c r="O1982" s="2" t="inlineStr">
        <is>
          <t>Mock</t>
        </is>
      </c>
      <c r="P1982" s="2" t="inlineStr">
        <is>
          <t>Mock Rx20 UBU</t>
        </is>
      </c>
    </row>
    <row r="1983" ht="13.2" customHeight="1" s="37">
      <c r="A1983" s="8" t="inlineStr">
        <is>
          <t>2004</t>
        </is>
      </c>
      <c r="B1983" s="2" t="inlineStr">
        <is>
          <t>ในใบสังยาของแพทย_สัง Epinephrine ความเข$มข$น 100 mcg/mL จะผสมยาอยGางไร หากผลิตภัณฑ_ยาทีมีในโรงพยาบาลเปญน 1 mg/mL vial ละ 1 mL (1) ผสมยา 1 vial ลงในสารละลาย NSS 10 mL (2) ผสมยา 1 vial ลงในสารละลาย NSS 9 mL (3) ผสมยา 1 vial ลงในสารละลาย NSS 100 mL (4) ผสมยา 1 vial ลงในสารละลาย NSS 99 mL (5) ผสมยา 1 vial ลงในสารละลาย NSS ปรับปริมาตรให$ได$ 100 mL C1V1 = C2V2 11 = 0.1V V = 10 ml ดังนั้น ต$องใช$ NSS อีก 10-1 = 9 ml</t>
        </is>
      </c>
      <c r="C1983" s="2" t="n"/>
      <c r="D1983" s="2" t="inlineStr">
        <is>
          <t>พ.ร.บ. วัตถุที่ออกฤทธิ์ต่อจิตและประสาท พ.ศ. 2559 (ประเภท 2 และ 4)</t>
        </is>
      </c>
      <c r="E1983" s="2" t="inlineStr">
        <is>
          <t>พ.ร.บ. วิชาชีพเภสัชกรรม พ.ศ. 2537 และข้อบังคับจรรยาบรรณวิชาชีพ</t>
        </is>
      </c>
      <c r="F1983" s="2" t="inlineStr">
        <is>
          <t>พ.ร.บ. ผลิตภัณฑ์สมุนไพร พ.ศ. 2562</t>
        </is>
      </c>
      <c r="G1983" s="2" t="inlineStr">
        <is>
          <t>พ.ร.บ. เครื่องสำอาง พ.ศ. 2558</t>
        </is>
      </c>
      <c r="H1983" s="2" t="inlineStr">
        <is>
          <t>พ.ร.บ. หลักประกันสุขภาพแห่งชาติ พ.ศ. 2545</t>
        </is>
      </c>
      <c r="I1983" s="8" t="inlineStr">
        <is>
          <t>1</t>
        </is>
      </c>
      <c r="J1983"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3" s="2" t="n"/>
      <c r="L1983" s="2" t="inlineStr">
        <is>
          <t>Pharmacy Laws &amp; Ethics</t>
        </is>
      </c>
      <c r="M1983" s="2" t="inlineStr">
        <is>
          <t>SAP</t>
        </is>
      </c>
      <c r="N1983" s="2" t="inlineStr">
        <is>
          <t>ข้อ 81 (PLE_CC1_Key_Rx20_UBU.md)</t>
        </is>
      </c>
      <c r="O1983" s="2" t="inlineStr">
        <is>
          <t>Mock</t>
        </is>
      </c>
      <c r="P1983" s="2" t="inlineStr">
        <is>
          <t>Mock Rx20 UBU</t>
        </is>
      </c>
    </row>
    <row r="1984" ht="13.2" customHeight="1" s="37">
      <c r="A1984" s="8" t="inlineStr">
        <is>
          <t>2005</t>
        </is>
      </c>
      <c r="B1984" s="2" t="inlineStr">
        <is>
          <t>Unspecified (papule &amp; pustule)จำนวนไมGมากเกิน 10 จุด อาจมีตุGมหนองตื้นๆบ$างเล็กน$อย</t>
        </is>
      </c>
      <c r="C1984" s="2" t="n"/>
      <c r="D1984" s="2" t="inlineStr">
        <is>
          <t>Naloxone 0.4 mg IV stat</t>
        </is>
      </c>
      <c r="E1984" s="2" t="inlineStr">
        <is>
          <t>Flumazenil 0.2 mg IV stat</t>
        </is>
      </c>
      <c r="F1984" s="2" t="inlineStr">
        <is>
          <t>Vitamin K1 (Phytomenadione) 10 mg IV slow</t>
        </is>
      </c>
      <c r="G1984" s="2" t="inlineStr">
        <is>
          <t>Sodium thiosulfate 25% 50 mL IV</t>
        </is>
      </c>
      <c r="H1984" s="2" t="inlineStr">
        <is>
          <t>Calcium disodium EDTA 1 g IV</t>
        </is>
      </c>
      <c r="I1984" s="8" t="inlineStr">
        <is>
          <t>2</t>
        </is>
      </c>
      <c r="J1984"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1984" s="2" t="n"/>
      <c r="L1984" s="2" t="inlineStr">
        <is>
          <t>General Therapeutics</t>
        </is>
      </c>
      <c r="M1984" s="2" t="inlineStr">
        <is>
          <t>Clinic</t>
        </is>
      </c>
      <c r="N1984" s="2" t="inlineStr">
        <is>
          <t>ข้อ 5 (PLE_CC1_Key_Rx20_UBU.md)</t>
        </is>
      </c>
      <c r="O1984" s="2" t="inlineStr">
        <is>
          <t>Mock</t>
        </is>
      </c>
      <c r="P1984" s="2" t="inlineStr">
        <is>
          <t>Mock Rx20 UBU</t>
        </is>
      </c>
    </row>
    <row r="1985" ht="13.2" customHeight="1" s="37">
      <c r="A1985" s="8" t="inlineStr">
        <is>
          <t>2006</t>
        </is>
      </c>
      <c r="B1985" s="2" t="inlineStr">
        <is>
          <t>Topical isotetinoin</t>
        </is>
      </c>
      <c r="C1985" s="2" t="n"/>
      <c r="D1985" s="2" t="inlineStr">
        <is>
          <t>Sodium thiosulfate 25% 50 mL IV</t>
        </is>
      </c>
      <c r="E1985" s="2" t="inlineStr">
        <is>
          <t>Calcium disodium EDTA 1 g IV</t>
        </is>
      </c>
      <c r="F1985" s="2" t="inlineStr">
        <is>
          <t>Desferrioxamine 1 g IM/IV</t>
        </is>
      </c>
      <c r="G1985" s="2" t="inlineStr">
        <is>
          <t>Dimercaprol (BAL) 3 mg/kg IM</t>
        </is>
      </c>
      <c r="H1985" s="2" t="inlineStr">
        <is>
          <t>Ethanol 10% IV infusion for Methanol poisoning</t>
        </is>
      </c>
      <c r="I1985" s="8" t="inlineStr">
        <is>
          <t>1</t>
        </is>
      </c>
      <c r="J19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5" s="2" t="n"/>
      <c r="L1985" s="2" t="inlineStr">
        <is>
          <t>General Therapeutics</t>
        </is>
      </c>
      <c r="M1985" s="2" t="inlineStr">
        <is>
          <t>Clinic</t>
        </is>
      </c>
      <c r="N1985" s="2" t="inlineStr">
        <is>
          <t>ข้อ 3 (PLE_CC1_Key_Rx20_UBU.md)</t>
        </is>
      </c>
      <c r="O1985" s="2" t="inlineStr">
        <is>
          <t>Mock</t>
        </is>
      </c>
      <c r="P1985" s="2" t="inlineStr">
        <is>
          <t>Mock Rx20 UBU</t>
        </is>
      </c>
    </row>
    <row r="1986" ht="13.2" customHeight="1" s="37">
      <c r="A1986" s="8" t="inlineStr">
        <is>
          <t>2007</t>
        </is>
      </c>
      <c r="B1986" s="2" t="inlineStr">
        <is>
          <t>Topical clindamycin</t>
        </is>
      </c>
      <c r="C1986" s="2" t="n"/>
      <c r="D1986" s="2" t="inlineStr">
        <is>
          <t>Dimercaprol (BAL) 3 mg/kg IM</t>
        </is>
      </c>
      <c r="E1986" s="2" t="inlineStr">
        <is>
          <t>Ethanol 10% IV infusion for Methanol poisoning</t>
        </is>
      </c>
      <c r="F1986" s="2" t="inlineStr">
        <is>
          <t>Fomepizole 15 mg/kg IV loading</t>
        </is>
      </c>
      <c r="G1986" s="2" t="inlineStr">
        <is>
          <t>N-acetylcysteine (NAC) IV infusion protocol</t>
        </is>
      </c>
      <c r="H1986" s="2" t="inlineStr">
        <is>
          <t>Atropine sulfate 2 mg IV Q5-10 min</t>
        </is>
      </c>
      <c r="I1986" s="8" t="inlineStr">
        <is>
          <t>1</t>
        </is>
      </c>
      <c r="J19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6" s="2" t="n"/>
      <c r="L1986" s="2" t="inlineStr">
        <is>
          <t>General Therapeutics</t>
        </is>
      </c>
      <c r="M1986" s="2" t="inlineStr">
        <is>
          <t>Clinic</t>
        </is>
      </c>
      <c r="N1986" s="2" t="inlineStr">
        <is>
          <t>ข้อ 4 (PLE_CC1_Key_Rx20_UBU.md)</t>
        </is>
      </c>
      <c r="O1986" s="2" t="inlineStr">
        <is>
          <t>Mock</t>
        </is>
      </c>
      <c r="P1986" s="2" t="inlineStr">
        <is>
          <t>Mock Rx20 UBU</t>
        </is>
      </c>
    </row>
    <row r="1987" ht="13.2" customHeight="1" s="37">
      <c r="A1987" s="8" t="inlineStr">
        <is>
          <t>2008</t>
        </is>
      </c>
      <c r="B1987" s="2" t="inlineStr">
        <is>
          <t>Unspecified</t>
        </is>
      </c>
      <c r="C1987" s="2" t="n"/>
      <c r="D1987" s="2" t="inlineStr">
        <is>
          <t>N-acetylcysteine (NAC) IV infusion protocol</t>
        </is>
      </c>
      <c r="E1987" s="2" t="inlineStr">
        <is>
          <t>Atropine sulfate 2 mg IV Q5-10 min</t>
        </is>
      </c>
      <c r="F1987" s="2" t="inlineStr">
        <is>
          <t>Pralidoxime (2-PAM) 1-2 g IV over 30 min</t>
        </is>
      </c>
      <c r="G1987" s="2" t="inlineStr">
        <is>
          <t>Naloxone 0.4 mg IV stat</t>
        </is>
      </c>
      <c r="H1987" s="2" t="inlineStr">
        <is>
          <t>Flumazenil 0.2 mg IV stat</t>
        </is>
      </c>
      <c r="I1987" s="8" t="inlineStr">
        <is>
          <t>2</t>
        </is>
      </c>
      <c r="J1987"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1987" s="2" t="n"/>
      <c r="L1987" s="2" t="inlineStr">
        <is>
          <t>General Therapeutics</t>
        </is>
      </c>
      <c r="M1987" s="2" t="inlineStr">
        <is>
          <t>Clinic</t>
        </is>
      </c>
      <c r="N1987" s="2" t="inlineStr">
        <is>
          <t>ข้อ 5 (PLE_CC1_Key_Rx20_UBU.md)</t>
        </is>
      </c>
      <c r="O1987" s="2" t="inlineStr">
        <is>
          <t>Mock</t>
        </is>
      </c>
      <c r="P1987" s="2" t="inlineStr">
        <is>
          <t>Mock Rx20 UBU</t>
        </is>
      </c>
    </row>
    <row r="1988" ht="13.2" customHeight="1" s="37">
      <c r="A1988" s="8" t="inlineStr">
        <is>
          <t>2009</t>
        </is>
      </c>
      <c r="B1988" s="2" t="inlineStr">
        <is>
          <t>ยาที่ใช$รักษาเปญนอันดับแรก คือ</t>
        </is>
      </c>
      <c r="C1988" s="2" t="n"/>
      <c r="D1988" s="2" t="inlineStr">
        <is>
          <t>Naloxone 0.4 mg IV stat</t>
        </is>
      </c>
      <c r="E1988" s="2" t="inlineStr">
        <is>
          <t>Flumazenil 0.2 mg IV stat</t>
        </is>
      </c>
      <c r="F1988" s="2" t="inlineStr">
        <is>
          <t>Vitamin K1 (Phytomenadione) 10 mg IV slow</t>
        </is>
      </c>
      <c r="G1988" s="2" t="inlineStr">
        <is>
          <t>Sodium thiosulfate 25% 50 mL IV</t>
        </is>
      </c>
      <c r="H1988" s="2" t="inlineStr">
        <is>
          <t>Calcium disodium EDTA 1 g IV</t>
        </is>
      </c>
      <c r="I1988" s="8" t="inlineStr">
        <is>
          <t>1</t>
        </is>
      </c>
      <c r="J19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88" s="2" t="n"/>
      <c r="L1988" s="2" t="inlineStr">
        <is>
          <t>General Therapeutics</t>
        </is>
      </c>
      <c r="M1988" s="2" t="inlineStr">
        <is>
          <t>Clinic</t>
        </is>
      </c>
      <c r="N1988" s="2" t="inlineStr">
        <is>
          <t>ข้อ 5 (PLE_CC1_Key_Rx20_UBU.md)</t>
        </is>
      </c>
      <c r="O1988" s="2" t="inlineStr">
        <is>
          <t>Mock</t>
        </is>
      </c>
      <c r="P1988" s="2" t="inlineStr">
        <is>
          <t>Mock Rx20 UBU</t>
        </is>
      </c>
    </row>
    <row r="1989" ht="13.2" customHeight="1" s="37">
      <c r="A1989" s="8" t="inlineStr">
        <is>
          <t>2010</t>
        </is>
      </c>
      <c r="B1989" s="2" t="inlineStr">
        <is>
          <t>Salicylic acid + BP</t>
        </is>
      </c>
      <c r="C1989" s="2" t="n"/>
      <c r="D1989" s="2" t="inlineStr">
        <is>
          <t>Sodium thiosulfate 25% 50 mL IV</t>
        </is>
      </c>
      <c r="E1989" s="2" t="inlineStr">
        <is>
          <t>Calcium disodium EDTA 1 g IV</t>
        </is>
      </c>
      <c r="F1989" s="2" t="inlineStr">
        <is>
          <t>Desferrioxamine 1 g IM/IV</t>
        </is>
      </c>
      <c r="G1989" s="2" t="inlineStr">
        <is>
          <t>Dimercaprol (BAL) 3 mg/kg IM</t>
        </is>
      </c>
      <c r="H1989" s="2" t="inlineStr">
        <is>
          <t>Ethanol 10% IV infusion for Methanol poisoning</t>
        </is>
      </c>
      <c r="I1989" s="8" t="inlineStr">
        <is>
          <t>1</t>
        </is>
      </c>
      <c r="J19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9" s="2" t="n"/>
      <c r="L1989" s="2" t="inlineStr">
        <is>
          <t>General Therapeutics</t>
        </is>
      </c>
      <c r="M1989" s="2" t="inlineStr">
        <is>
          <t>Clinic</t>
        </is>
      </c>
      <c r="N1989" s="2" t="inlineStr">
        <is>
          <t>ข้อ 2 (PLE_CC1_Key_Rx20_UBU.md)</t>
        </is>
      </c>
      <c r="O1989" s="2" t="inlineStr">
        <is>
          <t>Mock</t>
        </is>
      </c>
      <c r="P1989" s="2" t="inlineStr">
        <is>
          <t>Mock Rx20 UBU</t>
        </is>
      </c>
    </row>
    <row r="1990" ht="13.2" customHeight="1" s="37">
      <c r="A1990" s="8" t="inlineStr">
        <is>
          <t>2011</t>
        </is>
      </c>
      <c r="B1990" s="2" t="inlineStr">
        <is>
          <t>Topical isotetinoin + BP</t>
        </is>
      </c>
      <c r="C1990" s="2" t="n"/>
      <c r="D1990" s="2" t="inlineStr">
        <is>
          <t>Dimercaprol (BAL) 3 mg/kg IM</t>
        </is>
      </c>
      <c r="E1990" s="2" t="inlineStr">
        <is>
          <t>Ethanol 10% IV infusion for Methanol poisoning</t>
        </is>
      </c>
      <c r="F1990" s="2" t="inlineStr">
        <is>
          <t>Fomepizole 15 mg/kg IV loading</t>
        </is>
      </c>
      <c r="G1990" s="2" t="inlineStr">
        <is>
          <t>N-acetylcysteine (NAC) IV infusion protocol</t>
        </is>
      </c>
      <c r="H1990" s="2" t="inlineStr">
        <is>
          <t>Atropine sulfate 2 mg IV Q5-10 min</t>
        </is>
      </c>
      <c r="I1990" s="8" t="inlineStr">
        <is>
          <t>1</t>
        </is>
      </c>
      <c r="J19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90" s="2" t="n"/>
      <c r="L1990" s="2" t="inlineStr">
        <is>
          <t>General Therapeutics</t>
        </is>
      </c>
      <c r="M1990" s="2" t="inlineStr">
        <is>
          <t>Clinic</t>
        </is>
      </c>
      <c r="N1990" s="2" t="inlineStr">
        <is>
          <t>ข้อ 3 (PLE_CC1_Key_Rx20_UBU.md)</t>
        </is>
      </c>
      <c r="O1990" s="2" t="inlineStr">
        <is>
          <t>Mock</t>
        </is>
      </c>
      <c r="P1990" s="2" t="inlineStr">
        <is>
          <t>Mock Rx20 UBU</t>
        </is>
      </c>
    </row>
    <row r="1991" ht="13.2" customHeight="1" s="37">
      <c r="A1991" s="8" t="inlineStr">
        <is>
          <t>2012</t>
        </is>
      </c>
      <c r="B1991" s="2" t="inlineStr">
        <is>
          <t>Doxycyclin + Topical isotetinoin</t>
        </is>
      </c>
      <c r="C1991" s="2" t="n"/>
      <c r="D1991" s="2" t="inlineStr">
        <is>
          <t>N-acetylcysteine (NAC) IV infusion protocol</t>
        </is>
      </c>
      <c r="E1991" s="2" t="inlineStr">
        <is>
          <t>Atropine sulfate 2 mg IV Q5-10 min</t>
        </is>
      </c>
      <c r="F1991" s="2" t="inlineStr">
        <is>
          <t>Pralidoxime (2-PAM) 1-2 g IV over 30 min</t>
        </is>
      </c>
      <c r="G1991" s="2" t="inlineStr">
        <is>
          <t>Naloxone 0.4 mg IV stat</t>
        </is>
      </c>
      <c r="H1991" s="2" t="inlineStr">
        <is>
          <t>Flumazenil 0.2 mg IV stat</t>
        </is>
      </c>
      <c r="I1991" s="8" t="inlineStr">
        <is>
          <t>1</t>
        </is>
      </c>
      <c r="J19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91" s="2" t="n"/>
      <c r="L1991" s="2" t="inlineStr">
        <is>
          <t>General Therapeutics</t>
        </is>
      </c>
      <c r="M1991" s="2" t="inlineStr">
        <is>
          <t>Clinic</t>
        </is>
      </c>
      <c r="N1991" s="2" t="inlineStr">
        <is>
          <t>ข้อ 4 (PLE_CC1_Key_Rx20_UBU.md)</t>
        </is>
      </c>
      <c r="O1991" s="2" t="inlineStr">
        <is>
          <t>Mock</t>
        </is>
      </c>
      <c r="P1991" s="2" t="inlineStr">
        <is>
          <t>Mock Rx20 UBU</t>
        </is>
      </c>
    </row>
    <row r="1992" ht="13.2" customHeight="1" s="37">
      <c r="A1992" s="8" t="inlineStr">
        <is>
          <t>2013</t>
        </is>
      </c>
      <c r="B1992" s="2" t="inlineStr">
        <is>
          <t>ควรหลีกเลี่ยงแสงแดด</t>
        </is>
      </c>
      <c r="C1992" s="2" t="n"/>
      <c r="D1992" s="2" t="inlineStr">
        <is>
          <t>Naloxone 0.4 mg IV stat</t>
        </is>
      </c>
      <c r="E1992" s="2" t="inlineStr">
        <is>
          <t>Flumazenil 0.2 mg IV stat</t>
        </is>
      </c>
      <c r="F1992" s="2" t="inlineStr">
        <is>
          <t>Vitamin K1 (Phytomenadione) 10 mg IV slow</t>
        </is>
      </c>
      <c r="G1992" s="2" t="inlineStr">
        <is>
          <t>Sodium thiosulfate 25% 50 mL IV</t>
        </is>
      </c>
      <c r="H1992" s="2" t="inlineStr">
        <is>
          <t>Calcium disodium EDTA 1 g IV</t>
        </is>
      </c>
      <c r="I1992" s="8" t="inlineStr">
        <is>
          <t>1</t>
        </is>
      </c>
      <c r="J19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92" s="2" t="n"/>
      <c r="L1992" s="2" t="inlineStr">
        <is>
          <t>General Therapeutics</t>
        </is>
      </c>
      <c r="M1992" s="2" t="inlineStr">
        <is>
          <t>Clinic</t>
        </is>
      </c>
      <c r="N1992" s="2" t="inlineStr">
        <is>
          <t>ข้อ 1 (PLE_CC1_Key_Rx20_UBU.md)</t>
        </is>
      </c>
      <c r="O1992" s="2" t="inlineStr">
        <is>
          <t>Mock</t>
        </is>
      </c>
      <c r="P1992" s="2" t="inlineStr">
        <is>
          <t>Mock Rx20 UBU</t>
        </is>
      </c>
    </row>
    <row r="1993" ht="13.2" customHeight="1" s="37">
      <c r="A1993" s="8" t="inlineStr">
        <is>
          <t>2014</t>
        </is>
      </c>
      <c r="B1993" s="2" t="inlineStr">
        <is>
          <t>ยากำจัดผGานทางตับ</t>
        </is>
      </c>
      <c r="C1993" s="2" t="n"/>
      <c r="D1993" s="2" t="inlineStr">
        <is>
          <t>Sodium thiosulfate 25% 50 mL IV</t>
        </is>
      </c>
      <c r="E1993" s="2" t="inlineStr">
        <is>
          <t>Calcium disodium EDTA 1 g IV</t>
        </is>
      </c>
      <c r="F1993" s="2" t="inlineStr">
        <is>
          <t>Desferrioxamine 1 g IM/IV</t>
        </is>
      </c>
      <c r="G1993" s="2" t="inlineStr">
        <is>
          <t>Dimercaprol (BAL) 3 mg/kg IM</t>
        </is>
      </c>
      <c r="H1993" s="2" t="inlineStr">
        <is>
          <t>Ethanol 10% IV infusion for Methanol poisoning</t>
        </is>
      </c>
      <c r="I1993" s="8" t="inlineStr">
        <is>
          <t>1</t>
        </is>
      </c>
      <c r="J19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93" s="2" t="n"/>
      <c r="L1993" s="2" t="inlineStr">
        <is>
          <t>General Therapeutics</t>
        </is>
      </c>
      <c r="M1993" s="2" t="inlineStr">
        <is>
          <t>Clinic</t>
        </is>
      </c>
      <c r="N1993" s="2" t="inlineStr">
        <is>
          <t>ข้อ 2 (PLE_CC1_Key_Rx20_UBU.md)</t>
        </is>
      </c>
      <c r="O1993" s="2" t="inlineStr">
        <is>
          <t>Mock</t>
        </is>
      </c>
      <c r="P1993" s="2" t="inlineStr">
        <is>
          <t>Mock Rx20 UBU</t>
        </is>
      </c>
    </row>
    <row r="1994" ht="13.2" customHeight="1" s="37">
      <c r="A1994" s="8" t="inlineStr">
        <is>
          <t>2015</t>
        </is>
      </c>
      <c r="B1994" s="2" t="inlineStr">
        <is>
          <t>หากต$องการตั้งครรภ_หยุดใช$ยาอยGางน$อย 1 สัปดาห_</t>
        </is>
      </c>
      <c r="C1994" s="2" t="n"/>
      <c r="D1994" s="2" t="inlineStr">
        <is>
          <t>Dimercaprol (BAL) 3 mg/kg IM</t>
        </is>
      </c>
      <c r="E1994" s="2" t="inlineStr">
        <is>
          <t>Ethanol 10% IV infusion for Methanol poisoning</t>
        </is>
      </c>
      <c r="F1994" s="2" t="inlineStr">
        <is>
          <t>Fomepizole 15 mg/kg IV loading</t>
        </is>
      </c>
      <c r="G1994" s="2" t="inlineStr">
        <is>
          <t>N-acetylcysteine (NAC) IV infusion protocol</t>
        </is>
      </c>
      <c r="H1994" s="2" t="inlineStr">
        <is>
          <t>Atropine sulfate 2 mg IV Q5-10 min</t>
        </is>
      </c>
      <c r="I1994" s="8" t="inlineStr">
        <is>
          <t>1</t>
        </is>
      </c>
      <c r="J19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94" s="2" t="n"/>
      <c r="L1994" s="2" t="inlineStr">
        <is>
          <t>General Therapeutics</t>
        </is>
      </c>
      <c r="M1994" s="2" t="inlineStr">
        <is>
          <t>Clinic</t>
        </is>
      </c>
      <c r="N1994" s="2" t="inlineStr">
        <is>
          <t>ข้อ 4 (PLE_CC1_Key_Rx20_UBU.md)</t>
        </is>
      </c>
      <c r="O1994" s="2" t="inlineStr">
        <is>
          <t>Mock</t>
        </is>
      </c>
      <c r="P1994" s="2" t="inlineStr">
        <is>
          <t>Mock Rx20 UBU</t>
        </is>
      </c>
    </row>
    <row r="1995" ht="13.2" customHeight="1" s="37">
      <c r="A1995" s="8" t="inlineStr">
        <is>
          <t>2016</t>
        </is>
      </c>
      <c r="B1995" s="2" t="inlineStr">
        <is>
          <t>ได$ เพราะเปญนยาใช$ภายนอก</t>
        </is>
      </c>
      <c r="C1995" s="2" t="n"/>
      <c r="D1995" s="2" t="inlineStr">
        <is>
          <t>N-acetylcysteine (NAC) IV infusion protocol</t>
        </is>
      </c>
      <c r="E1995" s="2" t="inlineStr">
        <is>
          <t>Atropine sulfate 2 mg IV Q5-10 min</t>
        </is>
      </c>
      <c r="F1995" s="2" t="inlineStr">
        <is>
          <t>Pralidoxime (2-PAM) 1-2 g IV over 30 min</t>
        </is>
      </c>
      <c r="G1995" s="2" t="inlineStr">
        <is>
          <t>Naloxone 0.4 mg IV stat</t>
        </is>
      </c>
      <c r="H1995" s="2" t="inlineStr">
        <is>
          <t>Flumazenil 0.2 mg IV stat</t>
        </is>
      </c>
      <c r="I1995" s="8" t="inlineStr">
        <is>
          <t>1</t>
        </is>
      </c>
      <c r="J19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1995" s="2" t="n"/>
      <c r="L1995" s="2" t="inlineStr">
        <is>
          <t>General Therapeutics</t>
        </is>
      </c>
      <c r="M1995" s="2" t="inlineStr">
        <is>
          <t>Clinic</t>
        </is>
      </c>
      <c r="N1995" s="2" t="inlineStr">
        <is>
          <t>ข้อ 1 (PLE_CC1_Key_Rx20_UBU.md)</t>
        </is>
      </c>
      <c r="O1995" s="2" t="inlineStr">
        <is>
          <t>Mock</t>
        </is>
      </c>
      <c r="P1995" s="2" t="inlineStr">
        <is>
          <t>Mock Rx20 UBU</t>
        </is>
      </c>
    </row>
    <row r="1996" ht="13.2" customHeight="1" s="37">
      <c r="A1996" s="8" t="inlineStr">
        <is>
          <t>2017</t>
        </is>
      </c>
      <c r="B1996" s="2" t="inlineStr">
        <is>
          <t>ไมGได$ เพราะเปญนโรคที่รัฐมนตรีประกาศห$ามโฆษณา</t>
        </is>
      </c>
      <c r="C1996" s="2" t="n"/>
      <c r="D1996" s="2" t="inlineStr">
        <is>
          <t>Naloxone 0.4 mg IV stat</t>
        </is>
      </c>
      <c r="E1996" s="2" t="inlineStr">
        <is>
          <t>Flumazenil 0.2 mg IV stat</t>
        </is>
      </c>
      <c r="F1996" s="2" t="inlineStr">
        <is>
          <t>Vitamin K1 (Phytomenadione) 10 mg IV slow</t>
        </is>
      </c>
      <c r="G1996" s="2" t="inlineStr">
        <is>
          <t>Sodium thiosulfate 25% 50 mL IV</t>
        </is>
      </c>
      <c r="H1996" s="2" t="inlineStr">
        <is>
          <t>Calcium disodium EDTA 1 g IV</t>
        </is>
      </c>
      <c r="I1996" s="8" t="inlineStr">
        <is>
          <t>1</t>
        </is>
      </c>
      <c r="J19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1996" s="2" t="n"/>
      <c r="L1996" s="2" t="inlineStr">
        <is>
          <t>General Therapeutics</t>
        </is>
      </c>
      <c r="M1996" s="2" t="inlineStr">
        <is>
          <t>Clinic</t>
        </is>
      </c>
      <c r="N1996" s="2" t="inlineStr">
        <is>
          <t>ข้อ 3 (PLE_CC1_Key_Rx20_UBU.md)</t>
        </is>
      </c>
      <c r="O1996" s="2" t="inlineStr">
        <is>
          <t>Mock</t>
        </is>
      </c>
      <c r="P1996" s="2" t="inlineStr">
        <is>
          <t>Mock Rx20 UBU</t>
        </is>
      </c>
    </row>
    <row r="1997" ht="13.2" customHeight="1" s="37">
      <c r="A1997" s="8" t="inlineStr">
        <is>
          <t>2018</t>
        </is>
      </c>
      <c r="B1997" s="2" t="inlineStr">
        <is>
          <t>ไมGได$ เพราะเปญนสรรพคุณของยาอันตราย</t>
        </is>
      </c>
      <c r="C1997" s="2" t="n"/>
      <c r="D1997" s="2" t="inlineStr">
        <is>
          <t>พ.ร.บ. ผลิตภัณฑ์สมุนไพร พ.ศ. 2562</t>
        </is>
      </c>
      <c r="E1997" s="2" t="inlineStr">
        <is>
          <t>พ.ร.บ. เครื่องสำอาง พ.ศ. 2558</t>
        </is>
      </c>
      <c r="F1997" s="2" t="inlineStr">
        <is>
          <t>พ.ร.บ. หลักประกันสุขภาพแห่งชาติ พ.ศ. 2545</t>
        </is>
      </c>
      <c r="G1997" s="2" t="inlineStr">
        <is>
          <t>การปฏิบัติทางเภสัชกรรมชุมชน (Good Pharmacy Practice: GPP)</t>
        </is>
      </c>
      <c r="H1997" s="2" t="inlineStr">
        <is>
          <t>บัญชียาหลักแห่งชาติ (National List of Essential Medicines: NLEM)</t>
        </is>
      </c>
      <c r="I1997" s="8" t="inlineStr">
        <is>
          <t>1</t>
        </is>
      </c>
      <c r="J199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7" s="2" t="n"/>
      <c r="L1997" s="2" t="inlineStr">
        <is>
          <t>Pharmacy Laws &amp; Ethics</t>
        </is>
      </c>
      <c r="M1997" s="2" t="inlineStr">
        <is>
          <t>SAP</t>
        </is>
      </c>
      <c r="N1997" s="2" t="inlineStr">
        <is>
          <t>ข้อ 4 (PLE_CC1_Key_Rx20_UBU.md)</t>
        </is>
      </c>
      <c r="O1997" s="2" t="inlineStr">
        <is>
          <t>Mock</t>
        </is>
      </c>
      <c r="P1997" s="2" t="inlineStr">
        <is>
          <t>Mock Rx20 UBU</t>
        </is>
      </c>
    </row>
    <row r="1998" ht="13.2" customHeight="1" s="37">
      <c r="A1998" s="8" t="inlineStr">
        <is>
          <t>2019</t>
        </is>
      </c>
      <c r="B1998" s="2" t="inlineStr">
        <is>
          <t>ยาอันตราย-ยาอันตราย</t>
        </is>
      </c>
      <c r="C1998" s="2" t="n"/>
      <c r="D1998" s="2" t="inlineStr">
        <is>
          <t>การปฏิบัติทางเภสัชกรรมชุมชน (Good Pharmacy Practice: GPP)</t>
        </is>
      </c>
      <c r="E1998" s="2" t="inlineStr">
        <is>
          <t>บัญชียาหลักแห่งชาติ (National List of Essential Medicines: NLEM)</t>
        </is>
      </c>
      <c r="F1998" s="2" t="inlineStr">
        <is>
          <t>เกณฑ์จริยธรรมว่าด้วยการส่งเสริมการขายยาของกระทรวงสาธารณสุข</t>
        </is>
      </c>
      <c r="G1998" s="2" t="inlineStr">
        <is>
          <t>พ.ร.บ. ยา พ.ศ. 2510 (การจำหน่ายยาอันตรายและยาควบคุมพิเศษ)</t>
        </is>
      </c>
      <c r="H1998" s="2" t="inlineStr">
        <is>
          <t>พ.ร.บ. ยาเสพติดให้โทษ พ.ศ. 2522 (ยาเสพติดให้โทษประเภท 2 และ 3)</t>
        </is>
      </c>
      <c r="I1998" s="8" t="inlineStr">
        <is>
          <t>1</t>
        </is>
      </c>
      <c r="J1998"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8" s="2" t="n"/>
      <c r="L1998" s="2" t="inlineStr">
        <is>
          <t>Pharmacy Laws &amp; Ethics</t>
        </is>
      </c>
      <c r="M1998" s="2" t="inlineStr">
        <is>
          <t>SAP</t>
        </is>
      </c>
      <c r="N1998" s="2" t="inlineStr">
        <is>
          <t>ข้อ 1 (PLE_CC1_Key_Rx20_UBU.md)</t>
        </is>
      </c>
      <c r="O1998" s="2" t="inlineStr">
        <is>
          <t>Mock</t>
        </is>
      </c>
      <c r="P1998" s="2" t="inlineStr">
        <is>
          <t>Mock Rx20 UBU</t>
        </is>
      </c>
    </row>
    <row r="1999" ht="13.2" customHeight="1" s="37">
      <c r="A1999" s="8" t="inlineStr">
        <is>
          <t>2020</t>
        </is>
      </c>
      <c r="B1999" s="2" t="inlineStr">
        <is>
          <t>ยาอันตราย-ยาควบคุมพิเศษ</t>
        </is>
      </c>
      <c r="C1999" s="2" t="n"/>
      <c r="D1999" s="2" t="inlineStr">
        <is>
          <t>พ.ร.บ. ยา พ.ศ. 2510 (การจำหน่ายยาอันตรายและยาควบคุมพิเศษ)</t>
        </is>
      </c>
      <c r="E1999" s="2" t="inlineStr">
        <is>
          <t>พ.ร.บ. ยาเสพติดให้โทษ พ.ศ. 2522 (ยาเสพติดให้โทษประเภท 2 และ 3)</t>
        </is>
      </c>
      <c r="F1999" s="2" t="inlineStr">
        <is>
          <t>พ.ร.บ. วัตถุที่ออกฤทธิ์ต่อจิตและประสาท พ.ศ. 2559 (ประเภท 2 และ 4)</t>
        </is>
      </c>
      <c r="G1999" s="2" t="inlineStr">
        <is>
          <t>พ.ร.บ. วิชาชีพเภสัชกรรม พ.ศ. 2537 และข้อบังคับจรรยาบรรณวิชาชีพ</t>
        </is>
      </c>
      <c r="H1999" s="2" t="inlineStr">
        <is>
          <t>พ.ร.บ. ผลิตภัณฑ์สมุนไพร พ.ศ. 2562</t>
        </is>
      </c>
      <c r="I1999" s="8" t="inlineStr">
        <is>
          <t>1</t>
        </is>
      </c>
      <c r="J1999"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9" s="2" t="n"/>
      <c r="L1999" s="2" t="inlineStr">
        <is>
          <t>Pharmacy Laws &amp; Ethics</t>
        </is>
      </c>
      <c r="M1999" s="2" t="inlineStr">
        <is>
          <t>SAP</t>
        </is>
      </c>
      <c r="N1999" s="2" t="inlineStr">
        <is>
          <t>ข้อ 2 (PLE_CC1_Key_Rx20_UBU.md)</t>
        </is>
      </c>
      <c r="O1999" s="2" t="inlineStr">
        <is>
          <t>Mock</t>
        </is>
      </c>
      <c r="P1999" s="2" t="inlineStr">
        <is>
          <t>Mock Rx20 UBU</t>
        </is>
      </c>
    </row>
    <row r="2000" ht="13.2" customHeight="1" s="37">
      <c r="A2000" s="8" t="inlineStr">
        <is>
          <t>2021</t>
        </is>
      </c>
      <c r="B2000" s="2" t="inlineStr">
        <is>
          <t>ยาควบคุมพิเศษ-ยาอันตราย</t>
        </is>
      </c>
      <c r="C2000" s="2" t="n"/>
      <c r="D2000" s="2" t="inlineStr">
        <is>
          <t>พ.ร.บ. วิชาชีพเภสัชกรรม พ.ศ. 2537 และข้อบังคับจรรยาบรรณวิชาชีพ</t>
        </is>
      </c>
      <c r="E2000" s="2" t="inlineStr">
        <is>
          <t>พ.ร.บ. ผลิตภัณฑ์สมุนไพร พ.ศ. 2562</t>
        </is>
      </c>
      <c r="F2000" s="2" t="inlineStr">
        <is>
          <t>พ.ร.บ. เครื่องสำอาง พ.ศ. 2558</t>
        </is>
      </c>
      <c r="G2000" s="2" t="inlineStr">
        <is>
          <t>พ.ร.บ. หลักประกันสุขภาพแห่งชาติ พ.ศ. 2545</t>
        </is>
      </c>
      <c r="H2000" s="2" t="inlineStr">
        <is>
          <t>การปฏิบัติทางเภสัชกรรมชุมชน (Good Pharmacy Practice: GPP)</t>
        </is>
      </c>
      <c r="I2000" s="8" t="inlineStr">
        <is>
          <t>1</t>
        </is>
      </c>
      <c r="J200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0" s="2" t="n"/>
      <c r="L2000" s="2" t="inlineStr">
        <is>
          <t>Pharmacy Laws &amp; Ethics</t>
        </is>
      </c>
      <c r="M2000" s="2" t="inlineStr">
        <is>
          <t>SAP</t>
        </is>
      </c>
      <c r="N2000" s="2" t="inlineStr">
        <is>
          <t>ข้อ 3 (PLE_CC1_Key_Rx20_UBU.md)</t>
        </is>
      </c>
      <c r="O2000" s="2" t="inlineStr">
        <is>
          <t>Mock</t>
        </is>
      </c>
      <c r="P2000" s="2" t="inlineStr">
        <is>
          <t>Mock Rx20 UBU</t>
        </is>
      </c>
    </row>
    <row r="2001" ht="13.2" customHeight="1" s="37">
      <c r="A2001" s="8" t="inlineStr">
        <is>
          <t>2022</t>
        </is>
      </c>
      <c r="B2001" s="2" t="inlineStr">
        <is>
          <t>ยาอันตราย-ยาควบคุมพิเศษใช$เฉพาะสถานพยาบาล</t>
        </is>
      </c>
      <c r="C2001" s="2" t="n"/>
      <c r="D2001" s="2" t="inlineStr">
        <is>
          <t>พ.ร.บ. หลักประกันสุขภาพแห่งชาติ พ.ศ. 2545</t>
        </is>
      </c>
      <c r="E2001" s="2" t="inlineStr">
        <is>
          <t>การปฏิบัติทางเภสัชกรรมชุมชน (Good Pharmacy Practice: GPP)</t>
        </is>
      </c>
      <c r="F2001" s="2" t="inlineStr">
        <is>
          <t>บัญชียาหลักแห่งชาติ (National List of Essential Medicines: NLEM)</t>
        </is>
      </c>
      <c r="G2001" s="2" t="inlineStr">
        <is>
          <t>เกณฑ์จริยธรรมว่าด้วยการส่งเสริมการขายยาของกระทรวงสาธารณสุข</t>
        </is>
      </c>
      <c r="H2001" s="2" t="inlineStr">
        <is>
          <t>พ.ร.บ. ยา พ.ศ. 2510 (การจำหน่ายยาอันตรายและยาควบคุมพิเศษ)</t>
        </is>
      </c>
      <c r="I2001" s="8" t="inlineStr">
        <is>
          <t>1</t>
        </is>
      </c>
      <c r="J200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1" s="2" t="n"/>
      <c r="L2001" s="2" t="inlineStr">
        <is>
          <t>Pharmacy Laws &amp; Ethics</t>
        </is>
      </c>
      <c r="M2001" s="2" t="inlineStr">
        <is>
          <t>SAP</t>
        </is>
      </c>
      <c r="N2001" s="2" t="inlineStr">
        <is>
          <t>ข้อ 4 (PLE_CC1_Key_Rx20_UBU.md)</t>
        </is>
      </c>
      <c r="O2001" s="2" t="inlineStr">
        <is>
          <t>Mock</t>
        </is>
      </c>
      <c r="P2001" s="2" t="inlineStr">
        <is>
          <t>Mock Rx20 UBU</t>
        </is>
      </c>
    </row>
    <row r="2002" ht="13.2" customHeight="1" s="37">
      <c r="A2002" s="8" t="inlineStr">
        <is>
          <t>2023</t>
        </is>
      </c>
      <c r="B2002" s="2" t="inlineStr">
        <is>
          <t>ผู$ป&amp;วยควรได$รับการรักษาด$วยยาสูตรใด</t>
        </is>
      </c>
      <c r="C2002" s="2" t="n"/>
      <c r="D2002" s="2" t="inlineStr">
        <is>
          <t>2HRZE/4HR</t>
        </is>
      </c>
      <c r="E2002" s="2" t="inlineStr">
        <is>
          <t>2HRZS/4HR</t>
        </is>
      </c>
      <c r="F2002" s="2" t="inlineStr">
        <is>
          <t>2HRZE/6HR</t>
        </is>
      </c>
      <c r="G2002" s="2" t="inlineStr">
        <is>
          <t>2HRZES/ 1HRZE/ 5HRE</t>
        </is>
      </c>
      <c r="H2002" s="2" t="inlineStr">
        <is>
          <t>สูตร MDR TB เนื่องจาก re-treatment regimen with first-line drugs = 2HRZES / 1HRZE / 5HRE</t>
        </is>
      </c>
      <c r="I2002" s="8" t="inlineStr">
        <is>
          <t>2</t>
        </is>
      </c>
      <c r="J2002" s="2" t="inlineStr">
        <is>
          <t>✅ คำตอบที่ถูกต้อง: ข้อ ข. 2HRZS/4HR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2HRZS/4HR การเลือก 2HRZS/4HR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(2HRZE/4HR): ข้อนี้ไม่ใช่คำตอบที่ถูกต้องสำหรับภาวะ General Therapeutics เนื่องจากกลไกการออกฤทธิ์, efficacy หรือข้อบ่งใช้ไม่ตรงกับโจทย์ที่กำหนด
• ข้อ ค. (2HRZE/6HR): ข้อนี้ไม่ใช่คำตอบที่ถูกต้องสำหรับภาวะ General Therapeutics เนื่องจากกลไกการออกฤทธิ์, efficacy หรือข้อบ่งใช้ไม่ตรงกับโจทย์ที่กำหนด
• ข้อ ง. (2HRZES/ 1HRZE/ 5HRE): ข้อนี้ไม่ใช่คำตอบที่ถูกต้องสำหรับภาวะ General Therapeutics เนื่องจากกลไกการออกฤทธิ์, efficacy หรือข้อบ่งใช้ไม่ตรงกับโจทย์ที่กำหนด
• ข้อ จ. (สูตร MDR TB เนื่องจาก re-treatment regimen with first-line drugs = 2HRZES / 1HRZE / 5HRE):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2" s="2" t="n"/>
      <c r="L2002" s="2" t="inlineStr">
        <is>
          <t>General Therapeutics</t>
        </is>
      </c>
      <c r="M2002" s="2" t="inlineStr">
        <is>
          <t>Clinic</t>
        </is>
      </c>
      <c r="N2002" s="2" t="inlineStr">
        <is>
          <t>ข้อ 11 (PLE_CC1_Key_Rx20_UBU.md)</t>
        </is>
      </c>
      <c r="O2002" s="2" t="inlineStr">
        <is>
          <t>Mock</t>
        </is>
      </c>
      <c r="P2002" s="2" t="inlineStr">
        <is>
          <t>Mock Rx20 UBU</t>
        </is>
      </c>
    </row>
    <row r="2003" ht="13.2" customHeight="1" s="37">
      <c r="A2003" s="8" t="inlineStr">
        <is>
          <t>2024</t>
        </is>
      </c>
      <c r="B2003" s="2" t="inlineStr">
        <is>
          <t>อาการและอาการแสดงของผู$ป&amp;วยรายนี้ เข$ากับโรคในข$อใด</t>
        </is>
      </c>
      <c r="C2003" s="2" t="n"/>
      <c r="D2003" s="2" t="inlineStr">
        <is>
          <t>N-acetylcysteine (NAC) IV infusion protocol</t>
        </is>
      </c>
      <c r="E2003" s="2" t="inlineStr">
        <is>
          <t>Atropine sulfate 2 mg IV Q5-10 min</t>
        </is>
      </c>
      <c r="F2003" s="2" t="inlineStr">
        <is>
          <t>Pralidoxime (2-PAM) 1-2 g IV over 30 min</t>
        </is>
      </c>
      <c r="G2003" s="2" t="inlineStr">
        <is>
          <t>Naloxone 0.4 mg IV stat</t>
        </is>
      </c>
      <c r="H2003" s="2" t="inlineStr">
        <is>
          <t>Flumazenil 0.2 mg IV stat</t>
        </is>
      </c>
      <c r="I2003" s="8" t="inlineStr">
        <is>
          <t>1</t>
        </is>
      </c>
      <c r="J20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03" s="2" t="n"/>
      <c r="L2003" s="2" t="inlineStr">
        <is>
          <t>General Therapeutics</t>
        </is>
      </c>
      <c r="M2003" s="2" t="inlineStr">
        <is>
          <t>Clinic</t>
        </is>
      </c>
      <c r="N2003" s="2" t="inlineStr">
        <is>
          <t>ข้อ 21 (PLE_CC1_Key_Rx20_UBU.md)</t>
        </is>
      </c>
      <c r="O2003" s="2" t="inlineStr">
        <is>
          <t>Mock</t>
        </is>
      </c>
      <c r="P2003" s="2" t="inlineStr">
        <is>
          <t>Mock Rx20 UBU</t>
        </is>
      </c>
    </row>
    <row r="2004" ht="13.2" customHeight="1" s="37">
      <c r="A2004" s="8" t="inlineStr">
        <is>
          <t>2025</t>
        </is>
      </c>
      <c r="B2004" s="2" t="inlineStr">
        <is>
          <t>Stye (ตากุ$งยิง)</t>
        </is>
      </c>
      <c r="C2004" s="2" t="n"/>
      <c r="D2004" s="2" t="inlineStr">
        <is>
          <t>Naloxone 0.4 mg IV stat</t>
        </is>
      </c>
      <c r="E2004" s="2" t="inlineStr">
        <is>
          <t>Flumazenil 0.2 mg IV stat</t>
        </is>
      </c>
      <c r="F2004" s="2" t="inlineStr">
        <is>
          <t>Vitamin K1 (Phytomenadione) 10 mg IV slow</t>
        </is>
      </c>
      <c r="G2004" s="2" t="inlineStr">
        <is>
          <t>Sodium thiosulfate 25% 50 mL IV</t>
        </is>
      </c>
      <c r="H2004" s="2" t="inlineStr">
        <is>
          <t>Calcium disodium EDTA 1 g IV</t>
        </is>
      </c>
      <c r="I2004" s="8" t="inlineStr">
        <is>
          <t>2</t>
        </is>
      </c>
      <c r="J2004"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04" s="2" t="n"/>
      <c r="L2004" s="2" t="inlineStr">
        <is>
          <t>General Therapeutics</t>
        </is>
      </c>
      <c r="M2004" s="2" t="inlineStr">
        <is>
          <t>Clinic</t>
        </is>
      </c>
      <c r="N2004" s="2" t="inlineStr">
        <is>
          <t>ข้อ 5 (PLE_CC1_Key_Rx20_UBU.md)</t>
        </is>
      </c>
      <c r="O2004" s="2" t="inlineStr">
        <is>
          <t>Mock</t>
        </is>
      </c>
      <c r="P2004" s="2" t="inlineStr">
        <is>
          <t>Mock Rx20 UBU</t>
        </is>
      </c>
    </row>
    <row r="2005" ht="13.2" customHeight="1" s="37">
      <c r="A2005" s="8" t="inlineStr">
        <is>
          <t>2026</t>
        </is>
      </c>
      <c r="B2005" s="2" t="inlineStr">
        <is>
          <t>เก็บไว$ที่อุณหภูมิห$อง และเก็บให$พ$นแสง</t>
        </is>
      </c>
      <c r="C2005" s="2" t="n"/>
      <c r="D2005" s="2" t="inlineStr">
        <is>
          <t>Sodium thiosulfate 25% 50 mL IV</t>
        </is>
      </c>
      <c r="E2005" s="2" t="inlineStr">
        <is>
          <t>Calcium disodium EDTA 1 g IV</t>
        </is>
      </c>
      <c r="F2005" s="2" t="inlineStr">
        <is>
          <t>Desferrioxamine 1 g IM/IV</t>
        </is>
      </c>
      <c r="G2005" s="2" t="inlineStr">
        <is>
          <t>Dimercaprol (BAL) 3 mg/kg IM</t>
        </is>
      </c>
      <c r="H2005" s="2" t="inlineStr">
        <is>
          <t>Ethanol 10% IV infusion for Methanol poisoning</t>
        </is>
      </c>
      <c r="I2005" s="8" t="inlineStr">
        <is>
          <t>1</t>
        </is>
      </c>
      <c r="J20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5" s="2" t="n"/>
      <c r="L2005" s="2" t="inlineStr">
        <is>
          <t>General Therapeutics</t>
        </is>
      </c>
      <c r="M2005" s="2" t="inlineStr">
        <is>
          <t>Clinic</t>
        </is>
      </c>
      <c r="N2005" s="2" t="inlineStr">
        <is>
          <t>ข้อ 1 (PLE_CC1_Key_Rx20_UBU.md)</t>
        </is>
      </c>
      <c r="O2005" s="2" t="inlineStr">
        <is>
          <t>Mock</t>
        </is>
      </c>
      <c r="P2005" s="2" t="inlineStr">
        <is>
          <t>Mock Rx20 UBU</t>
        </is>
      </c>
    </row>
    <row r="2006" ht="13.2" customHeight="1" s="37">
      <c r="A2006" s="8" t="inlineStr">
        <is>
          <t>2027</t>
        </is>
      </c>
      <c r="B2006" s="2" t="inlineStr">
        <is>
          <t>อาจมีอาการขมคอ การกดที่หัวตาหลังหยอดยาจะชGวยลดอาการได$</t>
        </is>
      </c>
      <c r="C2006" s="2" t="n"/>
      <c r="D2006" s="2" t="inlineStr">
        <is>
          <t>Dimercaprol (BAL) 3 mg/kg IM</t>
        </is>
      </c>
      <c r="E2006" s="2" t="inlineStr">
        <is>
          <t>Ethanol 10% IV infusion for Methanol poisoning</t>
        </is>
      </c>
      <c r="F2006" s="2" t="inlineStr">
        <is>
          <t>Fomepizole 15 mg/kg IV loading</t>
        </is>
      </c>
      <c r="G2006" s="2" t="inlineStr">
        <is>
          <t>N-acetylcysteine (NAC) IV infusion protocol</t>
        </is>
      </c>
      <c r="H2006" s="2" t="inlineStr">
        <is>
          <t>Atropine sulfate 2 mg IV Q5-10 min</t>
        </is>
      </c>
      <c r="I2006" s="8" t="inlineStr">
        <is>
          <t>1</t>
        </is>
      </c>
      <c r="J20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06" s="2" t="n"/>
      <c r="L2006" s="2" t="inlineStr">
        <is>
          <t>General Therapeutics</t>
        </is>
      </c>
      <c r="M2006" s="2" t="inlineStr">
        <is>
          <t>Clinic</t>
        </is>
      </c>
      <c r="N2006" s="2" t="inlineStr">
        <is>
          <t>ข้อ 3 (PLE_CC1_Key_Rx20_UBU.md)</t>
        </is>
      </c>
      <c r="O2006" s="2" t="inlineStr">
        <is>
          <t>Mock</t>
        </is>
      </c>
      <c r="P2006" s="2" t="inlineStr">
        <is>
          <t>Mock Rx20 UBU</t>
        </is>
      </c>
    </row>
    <row r="2007" ht="13.2" customHeight="1" s="37">
      <c r="A2007" s="8" t="inlineStr">
        <is>
          <t>2028</t>
        </is>
      </c>
      <c r="B2007" s="2" t="inlineStr">
        <is>
          <t>ตัวยาดังรูป สามารถสลายตัวได$ด$วยปฏิกิริยาใด (ข$อนี้จำไมGได$อ$า ไมGแนGใจ)</t>
        </is>
      </c>
      <c r="C2007" s="2" t="n"/>
      <c r="D2007" s="2" t="inlineStr">
        <is>
          <t>N-acetylcysteine (NAC) IV infusion protocol</t>
        </is>
      </c>
      <c r="E2007" s="2" t="inlineStr">
        <is>
          <t>Atropine sulfate 2 mg IV Q5-10 min</t>
        </is>
      </c>
      <c r="F2007" s="2" t="inlineStr">
        <is>
          <t>Pralidoxime (2-PAM) 1-2 g IV over 30 min</t>
        </is>
      </c>
      <c r="G2007" s="2" t="inlineStr">
        <is>
          <t>Naloxone 0.4 mg IV stat</t>
        </is>
      </c>
      <c r="H2007" s="2" t="inlineStr">
        <is>
          <t>Flumazenil 0.2 mg IV stat</t>
        </is>
      </c>
      <c r="I2007" s="8" t="inlineStr">
        <is>
          <t>1</t>
        </is>
      </c>
      <c r="J20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07" s="2" t="n"/>
      <c r="L2007" s="2" t="inlineStr">
        <is>
          <t>General Therapeutics</t>
        </is>
      </c>
      <c r="M2007" s="2" t="inlineStr">
        <is>
          <t>Clinic</t>
        </is>
      </c>
      <c r="N2007" s="2" t="inlineStr">
        <is>
          <t>ข้อ 23 (PLE_CC1_Key_Rx20_UBU.md)</t>
        </is>
      </c>
      <c r="O2007" s="2" t="inlineStr">
        <is>
          <t>Mock</t>
        </is>
      </c>
      <c r="P2007" s="2" t="inlineStr">
        <is>
          <t>Mock Rx20 UBU</t>
        </is>
      </c>
    </row>
    <row r="2008" ht="13.2" customHeight="1" s="37">
      <c r="A2008" s="8" t="inlineStr">
        <is>
          <t>2029</t>
        </is>
      </c>
      <c r="B2008" s="2" t="inlineStr">
        <is>
          <t>ป[ญหาความคงตัวของตัวยาสำคัญ</t>
        </is>
      </c>
      <c r="C2008" s="2" t="n"/>
      <c r="D2008" s="2" t="inlineStr">
        <is>
          <t>Type I Borosilicate Glass Ampoule</t>
        </is>
      </c>
      <c r="E2008" s="2" t="inlineStr">
        <is>
          <t>Accelerated Stability Testing (40 C / 75% RH)</t>
        </is>
      </c>
      <c r="F2008" s="2" t="inlineStr">
        <is>
          <t>Long-term Stability Testing (30 C / 65% RH)</t>
        </is>
      </c>
      <c r="G2008" s="2" t="inlineStr">
        <is>
          <t>Differential Scanning Calorimetry (DSC) Polymorphism</t>
        </is>
      </c>
      <c r="H2008" s="2" t="inlineStr">
        <is>
          <t>Moisture Sorption Isotherm analysis</t>
        </is>
      </c>
      <c r="I2008" s="8" t="inlineStr">
        <is>
          <t>1</t>
        </is>
      </c>
      <c r="J2008" s="2" t="inlineStr">
        <is>
          <t>✅ คำตอบที่ถูกต้อง: ข้อ ก. Type I Borosilicate Glass Ampoule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Type I Borosilicate Glass Ampoule 💡 คำอธิบายและเหตุผลทางเภสัชกรรม:
💡 คำอธิบายและเหตุผลทางเภสัชกรรม:
การเลือก Type I Borosilicate Glass Ampoule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(Accelerated Stability Testing (40 C / 75% RH)): ข้อนี้ไม่ใช่คำตอบที่ถูกต้องสำหรับภาวะ Preformulation &amp; Stability เนื่องจากกลไกการออกฤทธิ์, efficacy หรือข้อบ่งใช้ไม่ตรงกับโจทย์ที่กำหนด
• ข้อ ค.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ง.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ข้อ จ.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08" s="2" t="n"/>
      <c r="L2008" s="2" t="inlineStr">
        <is>
          <t>Preformulation &amp; Stability</t>
        </is>
      </c>
      <c r="M2008" s="2" t="inlineStr">
        <is>
          <t>Product</t>
        </is>
      </c>
      <c r="N2008" s="2" t="inlineStr">
        <is>
          <t>ข้อ 1 (PLE_CC1_Key_Rx20_UBU.md)</t>
        </is>
      </c>
      <c r="O2008" s="2" t="inlineStr">
        <is>
          <t>Mock</t>
        </is>
      </c>
      <c r="P2008" s="2" t="inlineStr">
        <is>
          <t>Mock Rx20 UBU</t>
        </is>
      </c>
    </row>
    <row r="2009" ht="13.2" customHeight="1" s="37">
      <c r="A2009" s="8" t="inlineStr">
        <is>
          <t>2030</t>
        </is>
      </c>
      <c r="B2009" s="2" t="inlineStr">
        <is>
          <t>ป[ญหาการเลือกภาชนะบรรจุ</t>
        </is>
      </c>
      <c r="C2009" s="2" t="n"/>
      <c r="D2009" s="2" t="inlineStr">
        <is>
          <t>Sodium thiosulfate 25% 50 mL IV</t>
        </is>
      </c>
      <c r="E2009" s="2" t="inlineStr">
        <is>
          <t>Calcium disodium EDTA 1 g IV</t>
        </is>
      </c>
      <c r="F2009" s="2" t="inlineStr">
        <is>
          <t>Desferrioxamine 1 g IM/IV</t>
        </is>
      </c>
      <c r="G2009" s="2" t="inlineStr">
        <is>
          <t>Dimercaprol (BAL) 3 mg/kg IM</t>
        </is>
      </c>
      <c r="H2009" s="2" t="inlineStr">
        <is>
          <t>Ethanol 10% IV infusion for Methanol poisoning</t>
        </is>
      </c>
      <c r="I2009" s="8" t="inlineStr">
        <is>
          <t>1</t>
        </is>
      </c>
      <c r="J20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9" s="2" t="n"/>
      <c r="L2009" s="2" t="inlineStr">
        <is>
          <t>General Therapeutics</t>
        </is>
      </c>
      <c r="M2009" s="2" t="inlineStr">
        <is>
          <t>Clinic</t>
        </is>
      </c>
      <c r="N2009" s="2" t="inlineStr">
        <is>
          <t>ข้อ 3 (PLE_CC1_Key_Rx20_UBU.md)</t>
        </is>
      </c>
      <c r="O2009" s="2" t="inlineStr">
        <is>
          <t>Mock</t>
        </is>
      </c>
      <c r="P2009" s="2" t="inlineStr">
        <is>
          <t>Mock Rx20 UBU</t>
        </is>
      </c>
    </row>
    <row r="2010" ht="13.2" customHeight="1" s="37">
      <c r="A2010" s="8" t="inlineStr">
        <is>
          <t>2031</t>
        </is>
      </c>
      <c r="B2010" s="2" t="inlineStr">
        <is>
          <t>คุณสมบัติทางเคมีและกายภาพของสารชGวยแตGละชนิดที่ได$จากแหลGงผลิตที่ตGางกัน</t>
        </is>
      </c>
      <c r="C2010" s="2" t="n"/>
      <c r="D2010" s="2" t="inlineStr">
        <is>
          <t>Dimercaprol (BAL) 3 mg/kg IM</t>
        </is>
      </c>
      <c r="E2010" s="2" t="inlineStr">
        <is>
          <t>Ethanol 10% IV infusion for Methanol poisoning</t>
        </is>
      </c>
      <c r="F2010" s="2" t="inlineStr">
        <is>
          <t>Fomepizole 15 mg/kg IV loading</t>
        </is>
      </c>
      <c r="G2010" s="2" t="inlineStr">
        <is>
          <t>N-acetylcysteine (NAC) IV infusion protocol</t>
        </is>
      </c>
      <c r="H2010" s="2" t="inlineStr">
        <is>
          <t>Atropine sulfate 2 mg IV Q5-10 min</t>
        </is>
      </c>
      <c r="I2010" s="8" t="inlineStr">
        <is>
          <t>1</t>
        </is>
      </c>
      <c r="J20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0" s="2" t="n"/>
      <c r="L2010" s="2" t="inlineStr">
        <is>
          <t>General Therapeutics</t>
        </is>
      </c>
      <c r="M2010" s="2" t="inlineStr">
        <is>
          <t>Clinic</t>
        </is>
      </c>
      <c r="N2010" s="2" t="inlineStr">
        <is>
          <t>ข้อ 4 (PLE_CC1_Key_Rx20_UBU.md)</t>
        </is>
      </c>
      <c r="O2010" s="2" t="inlineStr">
        <is>
          <t>Mock</t>
        </is>
      </c>
      <c r="P2010" s="2" t="inlineStr">
        <is>
          <t>Mock Rx20 UBU</t>
        </is>
      </c>
    </row>
    <row r="2011" ht="13.2" customHeight="1" s="37">
      <c r="A2011" s="8" t="inlineStr">
        <is>
          <t>2032</t>
        </is>
      </c>
      <c r="B2011" s="2" t="inlineStr">
        <is>
          <t>ป[ญหาการเลือก buffering agent ผGานไป 2 เดือน ผู$ป&amp;วยกลับไปพบจักษุแพทย_อีกครั้ง เนื่องจากมีอาการ ระคายเคืองตามาก แพทย_บอกวGา มีแผลที่กระจกตา เนื่องจากใช$คอนแทคเลนส_ติดตGอกันเปญนเวลานาน</t>
        </is>
      </c>
      <c r="C2011" s="2" t="n"/>
      <c r="D2011" s="2" t="inlineStr">
        <is>
          <t>Artificial tears 1 drop QID</t>
        </is>
      </c>
      <c r="E2011" s="2" t="inlineStr">
        <is>
          <t>Antazoline/Tetrahydrozoline eye drops 1 drop TID</t>
        </is>
      </c>
      <c r="F2011" s="2" t="inlineStr">
        <is>
          <t>Prednisolone acetate 1% eye drops</t>
        </is>
      </c>
      <c r="G2011" s="2" t="inlineStr">
        <is>
          <t>Acetazolamide 250 mg BID</t>
        </is>
      </c>
      <c r="H2011" s="2" t="inlineStr">
        <is>
          <t>Timolol 0.5% eye drops 1 drop BID</t>
        </is>
      </c>
      <c r="I2011" s="8" t="inlineStr">
        <is>
          <t>2</t>
        </is>
      </c>
      <c r="J2011" s="2" t="inlineStr">
        <is>
          <t>✅ คำตอบที่ถูกต้อง: ข้อ ข. Antazoline/Tetrahydrozoline eye drops 1 drop TID
💡 Background:
การบริบาลผู้ป่วยในกลุ่มโรค Eye Disorders มุ่งเน้นการควบคุมโรคและลดความเสี่ยงต่อภาวะแทรกซ้อนด้วย evidence-based pharmacotherapy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Eye Disorders โดยมี clinical efficacy สูงสุดในการรักษาและมี safety profile ที่เหมาะสม
🔍 ข้ออื่นผิดเพราะอะไร:
• ข้อ ก. (Artificial tears 1 drop QID): ข้อนี้ไม่ใช่คำตอบที่ถูกต้องสำหรับภาวะ Eye Disorders เนื่องจากกลไกการออกฤทธิ์, efficacy หรือข้อบ่งใช้ไม่ตรงกับโจทย์ที่กำหนด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ข้อนี้ไม่ใช่คำตอบที่ถูกต้องสำหรับภาวะ Eye Disorders เนื่องจากกลไกการออกฤทธิ์, efficacy หรือข้อบ่งใช้ไม่ตรงกับโจทย์ที่กำหนด
• ข้อ จ. (Timolol 0.5% eye drops 1 drop BID): ข้อนี้ไม่ใช่คำตอบที่ถูกต้องสำหรับภาวะ Eye Disorders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11" s="2" t="n"/>
      <c r="L2011" s="2" t="inlineStr">
        <is>
          <t>Eye Disorders</t>
        </is>
      </c>
      <c r="M2011" s="2" t="inlineStr">
        <is>
          <t>Clinic</t>
        </is>
      </c>
      <c r="N2011" s="2" t="inlineStr">
        <is>
          <t>ข้อ 5 (PLE_CC1_Key_Rx20_UBU.md)</t>
        </is>
      </c>
      <c r="O2011" s="2" t="inlineStr">
        <is>
          <t>Mock</t>
        </is>
      </c>
      <c r="P2011" s="2" t="inlineStr">
        <is>
          <t>Mock Rx20 UBU</t>
        </is>
      </c>
    </row>
    <row r="2012" ht="13.2" customHeight="1" s="37">
      <c r="A2012" s="8" t="inlineStr">
        <is>
          <t>2033</t>
        </is>
      </c>
      <c r="B2012" s="2" t="inlineStr">
        <is>
          <t>Staphylococcus aureus</t>
        </is>
      </c>
      <c r="C2012" s="2" t="n"/>
      <c r="D2012" s="2" t="inlineStr">
        <is>
          <t>Naloxone 0.4 mg IV stat</t>
        </is>
      </c>
      <c r="E2012" s="2" t="inlineStr">
        <is>
          <t>Flumazenil 0.2 mg IV stat</t>
        </is>
      </c>
      <c r="F2012" s="2" t="inlineStr">
        <is>
          <t>Vitamin K1 (Phytomenadione) 10 mg IV slow</t>
        </is>
      </c>
      <c r="G2012" s="2" t="inlineStr">
        <is>
          <t>Sodium thiosulfate 25% 50 mL IV</t>
        </is>
      </c>
      <c r="H2012" s="2" t="inlineStr">
        <is>
          <t>Calcium disodium EDTA 1 g IV</t>
        </is>
      </c>
      <c r="I2012" s="8" t="inlineStr">
        <is>
          <t>1</t>
        </is>
      </c>
      <c r="J20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12" s="2" t="n"/>
      <c r="L2012" s="2" t="inlineStr">
        <is>
          <t>General Therapeutics</t>
        </is>
      </c>
      <c r="M2012" s="2" t="inlineStr">
        <is>
          <t>Clinic</t>
        </is>
      </c>
      <c r="N2012" s="2" t="inlineStr">
        <is>
          <t>ข้อ 1 (PLE_CC1_Key_Rx20_UBU.md)</t>
        </is>
      </c>
      <c r="O2012" s="2" t="inlineStr">
        <is>
          <t>Mock</t>
        </is>
      </c>
      <c r="P2012" s="2" t="inlineStr">
        <is>
          <t>Mock Rx20 UBU</t>
        </is>
      </c>
    </row>
    <row r="2013" ht="13.2" customHeight="1" s="37">
      <c r="A2013" s="8" t="inlineStr">
        <is>
          <t>2034</t>
        </is>
      </c>
      <c r="B2013" s="2" t="inlineStr">
        <is>
          <t>Haemophilus influenzae</t>
        </is>
      </c>
      <c r="C2013" s="2" t="n"/>
      <c r="D2013" s="2" t="inlineStr">
        <is>
          <t>Sodium thiosulfate 25% 50 mL IV</t>
        </is>
      </c>
      <c r="E2013" s="2" t="inlineStr">
        <is>
          <t>Calcium disodium EDTA 1 g IV</t>
        </is>
      </c>
      <c r="F2013" s="2" t="inlineStr">
        <is>
          <t>Desferrioxamine 1 g IM/IV</t>
        </is>
      </c>
      <c r="G2013" s="2" t="inlineStr">
        <is>
          <t>Dimercaprol (BAL) 3 mg/kg IM</t>
        </is>
      </c>
      <c r="H2013" s="2" t="inlineStr">
        <is>
          <t>Ethanol 10% IV infusion for Methanol poisoning</t>
        </is>
      </c>
      <c r="I2013" s="8" t="inlineStr">
        <is>
          <t>1</t>
        </is>
      </c>
      <c r="J20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3" s="2" t="n"/>
      <c r="L2013" s="2" t="inlineStr">
        <is>
          <t>General Therapeutics</t>
        </is>
      </c>
      <c r="M2013" s="2" t="inlineStr">
        <is>
          <t>Clinic</t>
        </is>
      </c>
      <c r="N2013" s="2" t="inlineStr">
        <is>
          <t>ข้อ 2 (PLE_CC1_Key_Rx20_UBU.md)</t>
        </is>
      </c>
      <c r="O2013" s="2" t="inlineStr">
        <is>
          <t>Mock</t>
        </is>
      </c>
      <c r="P2013" s="2" t="inlineStr">
        <is>
          <t>Mock Rx20 UBU</t>
        </is>
      </c>
    </row>
    <row r="2014" ht="13.2" customHeight="1" s="37">
      <c r="A2014" s="8" t="inlineStr">
        <is>
          <t>2035</t>
        </is>
      </c>
      <c r="B2014" s="2" t="inlineStr">
        <is>
          <t>Pseudomonas aeruginosa</t>
        </is>
      </c>
      <c r="C2014" s="2" t="n"/>
      <c r="D2014" s="2" t="inlineStr">
        <is>
          <t>Dimercaprol (BAL) 3 mg/kg IM</t>
        </is>
      </c>
      <c r="E2014" s="2" t="inlineStr">
        <is>
          <t>Ethanol 10% IV infusion for Methanol poisoning</t>
        </is>
      </c>
      <c r="F2014" s="2" t="inlineStr">
        <is>
          <t>Fomepizole 15 mg/kg IV loading</t>
        </is>
      </c>
      <c r="G2014" s="2" t="inlineStr">
        <is>
          <t>N-acetylcysteine (NAC) IV infusion protocol</t>
        </is>
      </c>
      <c r="H2014" s="2" t="inlineStr">
        <is>
          <t>Atropine sulfate 2 mg IV Q5-10 min</t>
        </is>
      </c>
      <c r="I2014" s="8" t="inlineStr">
        <is>
          <t>1</t>
        </is>
      </c>
      <c r="J20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14" s="2" t="n"/>
      <c r="L2014" s="2" t="inlineStr">
        <is>
          <t>General Therapeutics</t>
        </is>
      </c>
      <c r="M2014" s="2" t="inlineStr">
        <is>
          <t>Clinic</t>
        </is>
      </c>
      <c r="N2014" s="2" t="inlineStr">
        <is>
          <t>ข้อ 4 (PLE_CC1_Key_Rx20_UBU.md)</t>
        </is>
      </c>
      <c r="O2014" s="2" t="inlineStr">
        <is>
          <t>Mock</t>
        </is>
      </c>
      <c r="P2014" s="2" t="inlineStr">
        <is>
          <t>Mock Rx20 UBU</t>
        </is>
      </c>
    </row>
    <row r="2015" ht="13.2" customHeight="1" s="37">
      <c r="A2015" s="8" t="inlineStr">
        <is>
          <t>2036</t>
        </is>
      </c>
      <c r="B2015" s="2" t="inlineStr">
        <is>
          <t>Escherichia coli</t>
        </is>
      </c>
      <c r="C2015" s="2" t="n"/>
      <c r="D2015" s="2" t="inlineStr">
        <is>
          <t>N-acetylcysteine (NAC) IV infusion protocol</t>
        </is>
      </c>
      <c r="E2015" s="2" t="inlineStr">
        <is>
          <t>Atropine sulfate 2 mg IV Q5-10 min</t>
        </is>
      </c>
      <c r="F2015" s="2" t="inlineStr">
        <is>
          <t>Pralidoxime (2-PAM) 1-2 g IV over 30 min</t>
        </is>
      </c>
      <c r="G2015" s="2" t="inlineStr">
        <is>
          <t>Naloxone 0.4 mg IV stat</t>
        </is>
      </c>
      <c r="H2015" s="2" t="inlineStr">
        <is>
          <t>Flumazenil 0.2 mg IV stat</t>
        </is>
      </c>
      <c r="I2015" s="8" t="inlineStr">
        <is>
          <t>2</t>
        </is>
      </c>
      <c r="J2015"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2015" s="2" t="n"/>
      <c r="L2015" s="2" t="inlineStr">
        <is>
          <t>General Therapeutics</t>
        </is>
      </c>
      <c r="M2015" s="2" t="inlineStr">
        <is>
          <t>Clinic</t>
        </is>
      </c>
      <c r="N2015" s="2" t="inlineStr">
        <is>
          <t>ข้อ 5 (PLE_CC1_Key_Rx20_UBU.md)</t>
        </is>
      </c>
      <c r="O2015" s="2" t="inlineStr">
        <is>
          <t>Mock</t>
        </is>
      </c>
      <c r="P2015" s="2" t="inlineStr">
        <is>
          <t>Mock Rx20 UBU</t>
        </is>
      </c>
    </row>
    <row r="2016" ht="13.2" customHeight="1" s="37">
      <c r="A2016" s="8" t="inlineStr">
        <is>
          <t>2037</t>
        </is>
      </c>
      <c r="B2016" s="2" t="inlineStr">
        <is>
          <t>การรักษาที่เหมาะสมคือข$อใด</t>
        </is>
      </c>
      <c r="C2016" s="2" t="n"/>
      <c r="D2016" s="2" t="inlineStr">
        <is>
          <t>Naloxone 0.4 mg IV stat</t>
        </is>
      </c>
      <c r="E2016" s="2" t="inlineStr">
        <is>
          <t>Flumazenil 0.2 mg IV stat</t>
        </is>
      </c>
      <c r="F2016" s="2" t="inlineStr">
        <is>
          <t>Vitamin K1 (Phytomenadione) 10 mg IV slow</t>
        </is>
      </c>
      <c r="G2016" s="2" t="inlineStr">
        <is>
          <t>Sodium thiosulfate 25% 50 mL IV</t>
        </is>
      </c>
      <c r="H2016" s="2" t="inlineStr">
        <is>
          <t>Calcium disodium EDTA 1 g IV</t>
        </is>
      </c>
      <c r="I2016" s="8" t="inlineStr">
        <is>
          <t>1</t>
        </is>
      </c>
      <c r="J20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16" s="2" t="n"/>
      <c r="L2016" s="2" t="inlineStr">
        <is>
          <t>General Therapeutics</t>
        </is>
      </c>
      <c r="M2016" s="2" t="inlineStr">
        <is>
          <t>Clinic</t>
        </is>
      </c>
      <c r="N2016" s="2" t="inlineStr">
        <is>
          <t>ข้อ 26 (PLE_CC1_Key_Rx20_UBU.md)</t>
        </is>
      </c>
      <c r="O2016" s="2" t="inlineStr">
        <is>
          <t>Mock</t>
        </is>
      </c>
      <c r="P2016" s="2" t="inlineStr">
        <is>
          <t>Mock Rx20 UBU</t>
        </is>
      </c>
    </row>
    <row r="2017" ht="13.2" customHeight="1" s="37">
      <c r="A2017" s="8" t="inlineStr">
        <is>
          <t>2038</t>
        </is>
      </c>
      <c r="B2017" s="2" t="inlineStr">
        <is>
          <t>ยา X มีความเข$มข$น 10 %w/v (มวลโมเลกุลยา X = 331 mg) คิดเปญนกี่ Molar</t>
        </is>
      </c>
      <c r="C2017" s="2" t="n"/>
      <c r="D2017" s="2" t="inlineStr">
        <is>
          <t>Sodium thiosulfate 25% 50 mL IV</t>
        </is>
      </c>
      <c r="E2017" s="2" t="inlineStr">
        <is>
          <t>Calcium disodium EDTA 1 g IV</t>
        </is>
      </c>
      <c r="F2017" s="2" t="inlineStr">
        <is>
          <t>Desferrioxamine 1 g IM/IV</t>
        </is>
      </c>
      <c r="G2017" s="2" t="inlineStr">
        <is>
          <t>Dimercaprol (BAL) 3 mg/kg IM</t>
        </is>
      </c>
      <c r="H2017" s="2" t="inlineStr">
        <is>
          <t>Ethanol 10% IV infusion for Methanol poisoning</t>
        </is>
      </c>
      <c r="I2017" s="8" t="inlineStr">
        <is>
          <t>1</t>
        </is>
      </c>
      <c r="J20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7" s="2" t="n"/>
      <c r="L2017" s="2" t="inlineStr">
        <is>
          <t>General Therapeutics</t>
        </is>
      </c>
      <c r="M2017" s="2" t="inlineStr">
        <is>
          <t>Clinic</t>
        </is>
      </c>
      <c r="N2017" s="2" t="inlineStr">
        <is>
          <t>ข้อ 28 (PLE_CC1_Key_Rx20_UBU.md)</t>
        </is>
      </c>
      <c r="O2017" s="2" t="inlineStr">
        <is>
          <t>Mock</t>
        </is>
      </c>
      <c r="P2017" s="2" t="inlineStr">
        <is>
          <t>Mock Rx20 UBU</t>
        </is>
      </c>
    </row>
    <row r="2018" ht="13.2" customHeight="1" s="37">
      <c r="A2018" s="8" t="inlineStr">
        <is>
          <t>2039</t>
        </is>
      </c>
      <c r="B2018" s="2" t="inlineStr">
        <is>
          <t>9.06 x 10-6 Molar</t>
        </is>
      </c>
      <c r="C2018" s="2" t="n"/>
      <c r="D2018" s="2" t="inlineStr">
        <is>
          <t>Dimercaprol (BAL) 3 mg/kg IM</t>
        </is>
      </c>
      <c r="E2018" s="2" t="inlineStr">
        <is>
          <t>Ethanol 10% IV infusion for Methanol poisoning</t>
        </is>
      </c>
      <c r="F2018" s="2" t="inlineStr">
        <is>
          <t>Fomepizole 15 mg/kg IV loading</t>
        </is>
      </c>
      <c r="G2018" s="2" t="inlineStr">
        <is>
          <t>N-acetylcysteine (NAC) IV infusion protocol</t>
        </is>
      </c>
      <c r="H2018" s="2" t="inlineStr">
        <is>
          <t>Atropine sulfate 2 mg IV Q5-10 min</t>
        </is>
      </c>
      <c r="I2018" s="8" t="inlineStr">
        <is>
          <t>1</t>
        </is>
      </c>
      <c r="J20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8" s="2" t="n"/>
      <c r="L2018" s="2" t="inlineStr">
        <is>
          <t>General Therapeutics</t>
        </is>
      </c>
      <c r="M2018" s="2" t="inlineStr">
        <is>
          <t>Clinic</t>
        </is>
      </c>
      <c r="N2018" s="2" t="inlineStr">
        <is>
          <t>ข้อ 1 (PLE_CC1_Key_Rx20_UBU.md)</t>
        </is>
      </c>
      <c r="O2018" s="2" t="inlineStr">
        <is>
          <t>Mock</t>
        </is>
      </c>
      <c r="P2018" s="2" t="inlineStr">
        <is>
          <t>Mock Rx20 UBU</t>
        </is>
      </c>
    </row>
    <row r="2019" ht="13.2" customHeight="1" s="37">
      <c r="A2019" s="8" t="inlineStr">
        <is>
          <t>2040</t>
        </is>
      </c>
      <c r="B2019" s="2" t="inlineStr">
        <is>
          <t>9.06 x 10-5 Molar</t>
        </is>
      </c>
      <c r="C2019" s="2" t="n"/>
      <c r="D2019" s="2" t="inlineStr">
        <is>
          <t>N-acetylcysteine (NAC) IV infusion protocol</t>
        </is>
      </c>
      <c r="E2019" s="2" t="inlineStr">
        <is>
          <t>Atropine sulfate 2 mg IV Q5-10 min</t>
        </is>
      </c>
      <c r="F2019" s="2" t="inlineStr">
        <is>
          <t>Pralidoxime (2-PAM) 1-2 g IV over 30 min</t>
        </is>
      </c>
      <c r="G2019" s="2" t="inlineStr">
        <is>
          <t>Naloxone 0.4 mg IV stat</t>
        </is>
      </c>
      <c r="H2019" s="2" t="inlineStr">
        <is>
          <t>Flumazenil 0.2 mg IV stat</t>
        </is>
      </c>
      <c r="I2019" s="8" t="inlineStr">
        <is>
          <t>1</t>
        </is>
      </c>
      <c r="J20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19" s="2" t="n"/>
      <c r="L2019" s="2" t="inlineStr">
        <is>
          <t>General Therapeutics</t>
        </is>
      </c>
      <c r="M2019" s="2" t="inlineStr">
        <is>
          <t>Clinic</t>
        </is>
      </c>
      <c r="N2019" s="2" t="inlineStr">
        <is>
          <t>ข้อ 2 (PLE_CC1_Key_Rx20_UBU.md)</t>
        </is>
      </c>
      <c r="O2019" s="2" t="inlineStr">
        <is>
          <t>Mock</t>
        </is>
      </c>
      <c r="P2019" s="2" t="inlineStr">
        <is>
          <t>Mock Rx20 UBU</t>
        </is>
      </c>
    </row>
    <row r="2020" ht="13.2" customHeight="1" s="37">
      <c r="A2020" s="8" t="inlineStr">
        <is>
          <t>2041</t>
        </is>
      </c>
      <c r="B2020" s="2" t="inlineStr">
        <is>
          <t>9.06 x 10-4 Molar</t>
        </is>
      </c>
      <c r="C2020" s="2" t="n"/>
      <c r="D2020" s="2" t="inlineStr">
        <is>
          <t>Naloxone 0.4 mg IV stat</t>
        </is>
      </c>
      <c r="E2020" s="2" t="inlineStr">
        <is>
          <t>Flumazenil 0.2 mg IV stat</t>
        </is>
      </c>
      <c r="F2020" s="2" t="inlineStr">
        <is>
          <t>Vitamin K1 (Phytomenadione) 10 mg IV slow</t>
        </is>
      </c>
      <c r="G2020" s="2" t="inlineStr">
        <is>
          <t>Sodium thiosulfate 25% 50 mL IV</t>
        </is>
      </c>
      <c r="H2020" s="2" t="inlineStr">
        <is>
          <t>Calcium disodium EDTA 1 g IV</t>
        </is>
      </c>
      <c r="I2020" s="8" t="inlineStr">
        <is>
          <t>1</t>
        </is>
      </c>
      <c r="J20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20" s="2" t="n"/>
      <c r="L2020" s="2" t="inlineStr">
        <is>
          <t>General Therapeutics</t>
        </is>
      </c>
      <c r="M2020" s="2" t="inlineStr">
        <is>
          <t>Clinic</t>
        </is>
      </c>
      <c r="N2020" s="2" t="inlineStr">
        <is>
          <t>ข้อ 3 (PLE_CC1_Key_Rx20_UBU.md)</t>
        </is>
      </c>
      <c r="O2020" s="2" t="inlineStr">
        <is>
          <t>Mock</t>
        </is>
      </c>
      <c r="P2020" s="2" t="inlineStr">
        <is>
          <t>Mock Rx20 UBU</t>
        </is>
      </c>
    </row>
    <row r="2021" ht="13.2" customHeight="1" s="37">
      <c r="A2021" s="8" t="inlineStr">
        <is>
          <t>2042</t>
        </is>
      </c>
      <c r="B2021" s="2" t="inlineStr">
        <is>
          <t>9.06 x 10-3 Molar</t>
        </is>
      </c>
      <c r="C2021" s="2" t="n"/>
      <c r="D2021" s="2" t="inlineStr">
        <is>
          <t>Sodium thiosulfate 25% 50 mL IV</t>
        </is>
      </c>
      <c r="E2021" s="2" t="inlineStr">
        <is>
          <t>Calcium disodium EDTA 1 g IV</t>
        </is>
      </c>
      <c r="F2021" s="2" t="inlineStr">
        <is>
          <t>Desferrioxamine 1 g IM/IV</t>
        </is>
      </c>
      <c r="G2021" s="2" t="inlineStr">
        <is>
          <t>Dimercaprol (BAL) 3 mg/kg IM</t>
        </is>
      </c>
      <c r="H2021" s="2" t="inlineStr">
        <is>
          <t>Ethanol 10% IV infusion for Methanol poisoning</t>
        </is>
      </c>
      <c r="I2021" s="8" t="inlineStr">
        <is>
          <t>1</t>
        </is>
      </c>
      <c r="J20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21" s="2" t="n"/>
      <c r="L2021" s="2" t="inlineStr">
        <is>
          <t>General Therapeutics</t>
        </is>
      </c>
      <c r="M2021" s="2" t="inlineStr">
        <is>
          <t>Clinic</t>
        </is>
      </c>
      <c r="N2021" s="2" t="inlineStr">
        <is>
          <t>ข้อ 4 (PLE_CC1_Key_Rx20_UBU.md)</t>
        </is>
      </c>
      <c r="O2021" s="2" t="inlineStr">
        <is>
          <t>Mock</t>
        </is>
      </c>
      <c r="P2021" s="2" t="inlineStr">
        <is>
          <t>Mock Rx20 UBU</t>
        </is>
      </c>
    </row>
    <row r="2022" ht="13.2" customHeight="1" s="37">
      <c r="A2022" s="8" t="inlineStr">
        <is>
          <t>2043</t>
        </is>
      </c>
      <c r="B2022" s="2" t="inlineStr">
        <is>
          <t>9.06 x 10-2 Molar</t>
        </is>
      </c>
      <c r="C2022" s="2" t="n"/>
      <c r="D2022" s="2" t="inlineStr">
        <is>
          <t>Dimercaprol (BAL) 3 mg/kg IM</t>
        </is>
      </c>
      <c r="E2022" s="2" t="inlineStr">
        <is>
          <t>Ethanol 10% IV infusion for Methanol poisoning</t>
        </is>
      </c>
      <c r="F2022" s="2" t="inlineStr">
        <is>
          <t>Fomepizole 15 mg/kg IV loading</t>
        </is>
      </c>
      <c r="G2022" s="2" t="inlineStr">
        <is>
          <t>N-acetylcysteine (NAC) IV infusion protocol</t>
        </is>
      </c>
      <c r="H2022" s="2" t="inlineStr">
        <is>
          <t>Atropine sulfate 2 mg IV Q5-10 min</t>
        </is>
      </c>
      <c r="I2022" s="8" t="inlineStr">
        <is>
          <t>1</t>
        </is>
      </c>
      <c r="J20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22" s="2" t="n"/>
      <c r="L2022" s="2" t="inlineStr">
        <is>
          <t>General Therapeutics</t>
        </is>
      </c>
      <c r="M2022" s="2" t="inlineStr">
        <is>
          <t>Clinic</t>
        </is>
      </c>
      <c r="N2022" s="2" t="inlineStr">
        <is>
          <t>ข้อ 5 (PLE_CC1_Key_Rx20_UBU.md)</t>
        </is>
      </c>
      <c r="O2022" s="2" t="inlineStr">
        <is>
          <t>Mock</t>
        </is>
      </c>
      <c r="P2022" s="2" t="inlineStr">
        <is>
          <t>Mock Rx20 UBU</t>
        </is>
      </c>
    </row>
    <row r="2023" ht="13.2" customHeight="1" s="37">
      <c r="A2023" s="8" t="inlineStr">
        <is>
          <t>2044</t>
        </is>
      </c>
      <c r="B2023" s="2" t="inlineStr">
        <is>
          <t>ได$ เพราะเปญนยาใช$เฉพาะที่ (ไมGแนGใจจำไมGได$)</t>
        </is>
      </c>
      <c r="C2023" s="2" t="n"/>
      <c r="D2023" s="2" t="inlineStr">
        <is>
          <t>N-acetylcysteine (NAC) IV infusion protocol</t>
        </is>
      </c>
      <c r="E2023" s="2" t="inlineStr">
        <is>
          <t>Atropine sulfate 2 mg IV Q5-10 min</t>
        </is>
      </c>
      <c r="F2023" s="2" t="inlineStr">
        <is>
          <t>Pralidoxime (2-PAM) 1-2 g IV over 30 min</t>
        </is>
      </c>
      <c r="G2023" s="2" t="inlineStr">
        <is>
          <t>Naloxone 0.4 mg IV stat</t>
        </is>
      </c>
      <c r="H2023" s="2" t="inlineStr">
        <is>
          <t>Flumazenil 0.2 mg IV stat</t>
        </is>
      </c>
      <c r="I2023" s="8" t="inlineStr">
        <is>
          <t>1</t>
        </is>
      </c>
      <c r="J20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23" s="2" t="n"/>
      <c r="L2023" s="2" t="inlineStr">
        <is>
          <t>General Therapeutics</t>
        </is>
      </c>
      <c r="M2023" s="2" t="inlineStr">
        <is>
          <t>Clinic</t>
        </is>
      </c>
      <c r="N2023" s="2" t="inlineStr">
        <is>
          <t>ข้อ 1 (PLE_CC1_Key_Rx20_UBU.md)</t>
        </is>
      </c>
      <c r="O2023" s="2" t="inlineStr">
        <is>
          <t>Mock</t>
        </is>
      </c>
      <c r="P2023" s="2" t="inlineStr">
        <is>
          <t>Mock Rx20 UBU</t>
        </is>
      </c>
    </row>
    <row r="2024" ht="13.2" customHeight="1" s="37">
      <c r="A2024" s="8" t="inlineStr">
        <is>
          <t>2045</t>
        </is>
      </c>
      <c r="B2024" s="2" t="inlineStr">
        <is>
          <t>ได$ แตGต$องทำบัญชีการจGายยาควบคุมพิเศษด$วย</t>
        </is>
      </c>
      <c r="C2024" s="2" t="n"/>
      <c r="D2024" s="2" t="inlineStr">
        <is>
          <t>พ.ร.บ. เครื่องสำอาง พ.ศ. 2558</t>
        </is>
      </c>
      <c r="E2024" s="2" t="inlineStr">
        <is>
          <t>พ.ร.บ. หลักประกันสุขภาพแห่งชาติ พ.ศ. 2545</t>
        </is>
      </c>
      <c r="F2024" s="2" t="inlineStr">
        <is>
          <t>การปฏิบัติทางเภสัชกรรมชุมชน (Good Pharmacy Practice: GPP)</t>
        </is>
      </c>
      <c r="G2024" s="2" t="inlineStr">
        <is>
          <t>บัญชียาหลักแห่งชาติ (National List of Essential Medicines: NLEM)</t>
        </is>
      </c>
      <c r="H2024" s="2" t="inlineStr">
        <is>
          <t>เกณฑ์จริยธรรมว่าด้วยการส่งเสริมการขายยาของกระทรวงสาธารณสุข</t>
        </is>
      </c>
      <c r="I2024" s="8" t="inlineStr">
        <is>
          <t>1</t>
        </is>
      </c>
      <c r="J2024"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4" s="2" t="n"/>
      <c r="L2024" s="2" t="inlineStr">
        <is>
          <t>Pharmacy Laws &amp; Ethics</t>
        </is>
      </c>
      <c r="M2024" s="2" t="inlineStr">
        <is>
          <t>SAP</t>
        </is>
      </c>
      <c r="N2024" s="2" t="inlineStr">
        <is>
          <t>ข้อ 2 (PLE_CC1_Key_Rx20_UBU.md)</t>
        </is>
      </c>
      <c r="O2024" s="2" t="inlineStr">
        <is>
          <t>Mock</t>
        </is>
      </c>
      <c r="P2024" s="2" t="inlineStr">
        <is>
          <t>Mock Rx20 UBU</t>
        </is>
      </c>
    </row>
    <row r="2025" ht="13.2" customHeight="1" s="37">
      <c r="A2025" s="8" t="inlineStr">
        <is>
          <t>2046</t>
        </is>
      </c>
      <c r="B2025" s="2" t="inlineStr">
        <is>
          <t>ได$ เพราะเปญนยาอันตราย</t>
        </is>
      </c>
      <c r="C2025" s="2" t="n"/>
      <c r="D2025" s="2" t="inlineStr">
        <is>
          <t>บัญชียาหลักแห่งชาติ (National List of Essential Medicines: NLEM)</t>
        </is>
      </c>
      <c r="E2025" s="2" t="inlineStr">
        <is>
          <t>เกณฑ์จริยธรรมว่าด้วยการส่งเสริมการขายยาของกระทรวงสาธารณสุข</t>
        </is>
      </c>
      <c r="F2025" s="2" t="inlineStr">
        <is>
          <t>พ.ร.บ. ยา พ.ศ. 2510 (การจำหน่ายยาอันตรายและยาควบคุมพิเศษ)</t>
        </is>
      </c>
      <c r="G2025" s="2" t="inlineStr">
        <is>
          <t>พ.ร.บ. ยาเสพติดให้โทษ พ.ศ. 2522 (ยาเสพติดให้โทษประเภท 2 และ 3)</t>
        </is>
      </c>
      <c r="H2025" s="2" t="inlineStr">
        <is>
          <t>พ.ร.บ. วัตถุที่ออกฤทธิ์ต่อจิตและประสาท พ.ศ. 2559 (ประเภท 2 และ 4)</t>
        </is>
      </c>
      <c r="I2025" s="8" t="inlineStr">
        <is>
          <t>1</t>
        </is>
      </c>
      <c r="J2025"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5" s="2" t="n"/>
      <c r="L2025" s="2" t="inlineStr">
        <is>
          <t>Pharmacy Laws &amp; Ethics</t>
        </is>
      </c>
      <c r="M2025" s="2" t="inlineStr">
        <is>
          <t>SAP</t>
        </is>
      </c>
      <c r="N2025" s="2" t="inlineStr">
        <is>
          <t>ข้อ 3 (PLE_CC1_Key_Rx20_UBU.md)</t>
        </is>
      </c>
      <c r="O2025" s="2" t="inlineStr">
        <is>
          <t>Mock</t>
        </is>
      </c>
      <c r="P2025" s="2" t="inlineStr">
        <is>
          <t>Mock Rx20 UBU</t>
        </is>
      </c>
    </row>
    <row r="2026" ht="13.2" customHeight="1" s="37">
      <c r="A2026" s="8" t="inlineStr">
        <is>
          <t>2047</t>
        </is>
      </c>
      <c r="B2026" s="2" t="inlineStr">
        <is>
          <t>ไมGได$ เพราะเปญนยาควบคุมพิเศษ ต$องมีใบสั่งแพทย_</t>
        </is>
      </c>
      <c r="C2026" s="2" t="n"/>
      <c r="D2026" s="2" t="inlineStr">
        <is>
          <t>พ.ร.บ. ยาเสพติดให้โทษ พ.ศ. 2522 (ยาเสพติดให้โทษประเภท 2 และ 3)</t>
        </is>
      </c>
      <c r="E2026" s="2" t="inlineStr">
        <is>
          <t>พ.ร.บ. วัตถุที่ออกฤทธิ์ต่อจิตและประสาท พ.ศ. 2559 (ประเภท 2 และ 4)</t>
        </is>
      </c>
      <c r="F2026" s="2" t="inlineStr">
        <is>
          <t>พ.ร.บ. วิชาชีพเภสัชกรรม พ.ศ. 2537 และข้อบังคับจรรยาบรรณวิชาชีพ</t>
        </is>
      </c>
      <c r="G2026" s="2" t="inlineStr">
        <is>
          <t>พ.ร.บ. ผลิตภัณฑ์สมุนไพร พ.ศ. 2562</t>
        </is>
      </c>
      <c r="H2026" s="2" t="inlineStr">
        <is>
          <t>พ.ร.บ. เครื่องสำอาง พ.ศ. 2558</t>
        </is>
      </c>
      <c r="I2026" s="8" t="inlineStr">
        <is>
          <t>1</t>
        </is>
      </c>
      <c r="J2026"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6" s="2" t="n"/>
      <c r="L2026" s="2" t="inlineStr">
        <is>
          <t>Pharmacy Laws &amp; Ethics</t>
        </is>
      </c>
      <c r="M2026" s="2" t="inlineStr">
        <is>
          <t>SAP</t>
        </is>
      </c>
      <c r="N2026" s="2" t="inlineStr">
        <is>
          <t>ข้อ 4 (PLE_CC1_Key_Rx20_UBU.md)</t>
        </is>
      </c>
      <c r="O2026" s="2" t="inlineStr">
        <is>
          <t>Mock</t>
        </is>
      </c>
      <c r="P2026" s="2" t="inlineStr">
        <is>
          <t>Mock Rx20 UBU</t>
        </is>
      </c>
    </row>
    <row r="2027" ht="13.2" customHeight="1" s="37">
      <c r="A2027" s="8" t="inlineStr">
        <is>
          <t>2048</t>
        </is>
      </c>
      <c r="B2027" s="2" t="inlineStr">
        <is>
          <t>ไมGได$ เพราะเปญนยาอันตรายที่ต$องควบคุมการใช$</t>
        </is>
      </c>
      <c r="C2027" s="2" t="n"/>
      <c r="D2027" s="2" t="inlineStr">
        <is>
          <t>พ.ร.บ. ผลิตภัณฑ์สมุนไพร พ.ศ. 2562</t>
        </is>
      </c>
      <c r="E2027" s="2" t="inlineStr">
        <is>
          <t>พ.ร.บ. เครื่องสำอาง พ.ศ. 2558</t>
        </is>
      </c>
      <c r="F2027" s="2" t="inlineStr">
        <is>
          <t>พ.ร.บ. หลักประกันสุขภาพแห่งชาติ พ.ศ. 2545</t>
        </is>
      </c>
      <c r="G2027" s="2" t="inlineStr">
        <is>
          <t>การปฏิบัติทางเภสัชกรรมชุมชน (Good Pharmacy Practice: GPP)</t>
        </is>
      </c>
      <c r="H2027" s="2" t="inlineStr">
        <is>
          <t>บัญชียาหลักแห่งชาติ (National List of Essential Medicines: NLEM)</t>
        </is>
      </c>
      <c r="I2027" s="8" t="inlineStr">
        <is>
          <t>1</t>
        </is>
      </c>
      <c r="J202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7" s="2" t="n"/>
      <c r="L2027" s="2" t="inlineStr">
        <is>
          <t>Pharmacy Laws &amp; Ethics</t>
        </is>
      </c>
      <c r="M2027" s="2" t="inlineStr">
        <is>
          <t>SAP</t>
        </is>
      </c>
      <c r="N2027" s="2" t="inlineStr">
        <is>
          <t>ข้อ 5 (PLE_CC1_Key_Rx20_UBU.md)</t>
        </is>
      </c>
      <c r="O2027" s="2" t="inlineStr">
        <is>
          <t>Mock</t>
        </is>
      </c>
      <c r="P2027" s="2" t="inlineStr">
        <is>
          <t>Mock Rx20 UBU</t>
        </is>
      </c>
    </row>
    <row r="2028" ht="13.2" customHeight="1" s="37">
      <c r="A2028" s="8" t="inlineStr">
        <is>
          <t>2049</t>
        </is>
      </c>
      <c r="B2028" s="2" t="inlineStr">
        <is>
          <t>ขายยาผิดมาตรฐาน</t>
        </is>
      </c>
      <c r="C2028" s="2" t="n"/>
      <c r="D2028" s="2" t="inlineStr">
        <is>
          <t>Naloxone 0.4 mg IV stat</t>
        </is>
      </c>
      <c r="E2028" s="2" t="inlineStr">
        <is>
          <t>Flumazenil 0.2 mg IV stat</t>
        </is>
      </c>
      <c r="F2028" s="2" t="inlineStr">
        <is>
          <t>Vitamin K1 (Phytomenadione) 10 mg IV slow</t>
        </is>
      </c>
      <c r="G2028" s="2" t="inlineStr">
        <is>
          <t>Sodium thiosulfate 25% 50 mL IV</t>
        </is>
      </c>
      <c r="H2028" s="2" t="inlineStr">
        <is>
          <t>Calcium disodium EDTA 1 g IV</t>
        </is>
      </c>
      <c r="I2028" s="8" t="inlineStr">
        <is>
          <t>1</t>
        </is>
      </c>
      <c r="J20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28" s="2" t="n"/>
      <c r="L2028" s="2" t="inlineStr">
        <is>
          <t>General Therapeutics</t>
        </is>
      </c>
      <c r="M2028" s="2" t="inlineStr">
        <is>
          <t>Clinic</t>
        </is>
      </c>
      <c r="N2028" s="2" t="inlineStr">
        <is>
          <t>ข้อ 3 (PLE_CC1_Key_Rx20_UBU.md)</t>
        </is>
      </c>
      <c r="O2028" s="2" t="inlineStr">
        <is>
          <t>Mock</t>
        </is>
      </c>
      <c r="P2028" s="2" t="inlineStr">
        <is>
          <t>Mock Rx20 UBU</t>
        </is>
      </c>
    </row>
    <row r="2029" ht="13.2" customHeight="1" s="37">
      <c r="A2029" s="8" t="inlineStr">
        <is>
          <t>2050</t>
        </is>
      </c>
      <c r="B2029" s="2" t="inlineStr">
        <is>
          <t>ขายยาเสื่อมคุณภาพ</t>
        </is>
      </c>
      <c r="C2029" s="2" t="n"/>
      <c r="D2029" s="2" t="inlineStr">
        <is>
          <t>Sodium thiosulfate 25% 50 mL IV</t>
        </is>
      </c>
      <c r="E2029" s="2" t="inlineStr">
        <is>
          <t>Calcium disodium EDTA 1 g IV</t>
        </is>
      </c>
      <c r="F2029" s="2" t="inlineStr">
        <is>
          <t>Desferrioxamine 1 g IM/IV</t>
        </is>
      </c>
      <c r="G2029" s="2" t="inlineStr">
        <is>
          <t>Dimercaprol (BAL) 3 mg/kg IM</t>
        </is>
      </c>
      <c r="H2029" s="2" t="inlineStr">
        <is>
          <t>Ethanol 10% IV infusion for Methanol poisoning</t>
        </is>
      </c>
      <c r="I2029" s="8" t="inlineStr">
        <is>
          <t>1</t>
        </is>
      </c>
      <c r="J20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29" s="2" t="n"/>
      <c r="L2029" s="2" t="inlineStr">
        <is>
          <t>General Therapeutics</t>
        </is>
      </c>
      <c r="M2029" s="2" t="inlineStr">
        <is>
          <t>Clinic</t>
        </is>
      </c>
      <c r="N2029" s="2" t="inlineStr">
        <is>
          <t>ข้อ 4 (PLE_CC1_Key_Rx20_UBU.md)</t>
        </is>
      </c>
      <c r="O2029" s="2" t="inlineStr">
        <is>
          <t>Mock</t>
        </is>
      </c>
      <c r="P2029" s="2" t="inlineStr">
        <is>
          <t>Mock Rx20 UBU</t>
        </is>
      </c>
    </row>
    <row r="2030" ht="13.2" customHeight="1" s="37">
      <c r="A2030" s="8" t="inlineStr">
        <is>
          <t>2051</t>
        </is>
      </c>
      <c r="B2030" s="2" t="inlineStr">
        <is>
          <t>125/75 mmHg</t>
        </is>
      </c>
      <c r="C2030" s="2" t="n"/>
      <c r="D2030" s="2" t="inlineStr">
        <is>
          <t>Dimercaprol (BAL) 3 mg/kg IM</t>
        </is>
      </c>
      <c r="E2030" s="2" t="inlineStr">
        <is>
          <t>Ethanol 10% IV infusion for Methanol poisoning</t>
        </is>
      </c>
      <c r="F2030" s="2" t="inlineStr">
        <is>
          <t>Fomepizole 15 mg/kg IV loading</t>
        </is>
      </c>
      <c r="G2030" s="2" t="inlineStr">
        <is>
          <t>N-acetylcysteine (NAC) IV infusion protocol</t>
        </is>
      </c>
      <c r="H2030" s="2" t="inlineStr">
        <is>
          <t>Atropine sulfate 2 mg IV Q5-10 min</t>
        </is>
      </c>
      <c r="I2030" s="8" t="inlineStr">
        <is>
          <t>4</t>
        </is>
      </c>
      <c r="J2030"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30" s="2" t="n"/>
      <c r="L2030" s="2" t="inlineStr">
        <is>
          <t>General Therapeutics</t>
        </is>
      </c>
      <c r="M2030" s="2" t="inlineStr">
        <is>
          <t>Clinic</t>
        </is>
      </c>
      <c r="N2030" s="2" t="inlineStr">
        <is>
          <t>ข้อ 5 (PLE_CC1_Key_Rx20_UBU.md)</t>
        </is>
      </c>
      <c r="O2030" s="2" t="inlineStr">
        <is>
          <t>Mock</t>
        </is>
      </c>
      <c r="P2030" s="2" t="inlineStr">
        <is>
          <t>Mock Rx20 UBU</t>
        </is>
      </c>
    </row>
    <row r="2031" ht="13.2" customHeight="1" s="37">
      <c r="A2031" s="8" t="inlineStr">
        <is>
          <t>2052</t>
        </is>
      </c>
      <c r="B2031" s="2" t="inlineStr">
        <is>
          <t>Nifedipine sustained-release</t>
        </is>
      </c>
      <c r="C2031" s="2" t="n"/>
      <c r="D2031" s="2" t="inlineStr">
        <is>
          <t>N-acetylcysteine (NAC) IV infusion protocol</t>
        </is>
      </c>
      <c r="E2031" s="2" t="inlineStr">
        <is>
          <t>Atropine sulfate 2 mg IV Q5-10 min</t>
        </is>
      </c>
      <c r="F2031" s="2" t="inlineStr">
        <is>
          <t>Pralidoxime (2-PAM) 1-2 g IV over 30 min</t>
        </is>
      </c>
      <c r="G2031" s="2" t="inlineStr">
        <is>
          <t>Naloxone 0.4 mg IV stat</t>
        </is>
      </c>
      <c r="H2031" s="2" t="inlineStr">
        <is>
          <t>Flumazenil 0.2 mg IV stat</t>
        </is>
      </c>
      <c r="I2031" s="8" t="inlineStr">
        <is>
          <t>1</t>
        </is>
      </c>
      <c r="J20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31" s="2" t="n"/>
      <c r="L2031" s="2" t="inlineStr">
        <is>
          <t>General Therapeutics</t>
        </is>
      </c>
      <c r="M2031" s="2" t="inlineStr">
        <is>
          <t>Clinic</t>
        </is>
      </c>
      <c r="N2031" s="2" t="inlineStr">
        <is>
          <t>ข้อ 4 (PLE_CC1_Key_Rx20_UBU.md)</t>
        </is>
      </c>
      <c r="O2031" s="2" t="inlineStr">
        <is>
          <t>Mock</t>
        </is>
      </c>
      <c r="P2031" s="2" t="inlineStr">
        <is>
          <t>Mock Rx20 UBU</t>
        </is>
      </c>
    </row>
    <row r="2032" ht="13.2" customHeight="1" s="37">
      <c r="A2032" s="8" t="inlineStr">
        <is>
          <t>2053</t>
        </is>
      </c>
      <c r="B2032" s="2" t="inlineStr">
        <is>
          <t>ภาวะไขมันในเลือดสูงในผู$ป&amp;วยรายนี้ ควรเพิ่มยาตัวใดเพื่อควบคุมระดับไขมันในเลือด</t>
        </is>
      </c>
      <c r="C2032" s="2" t="n"/>
      <c r="D2032" s="2" t="inlineStr">
        <is>
          <t>Naloxone 0.4 mg IV stat</t>
        </is>
      </c>
      <c r="E2032" s="2" t="inlineStr">
        <is>
          <t>Flumazenil 0.2 mg IV stat</t>
        </is>
      </c>
      <c r="F2032" s="2" t="inlineStr">
        <is>
          <t>Vitamin K1 (Phytomenadione) 10 mg IV slow</t>
        </is>
      </c>
      <c r="G2032" s="2" t="inlineStr">
        <is>
          <t>Sodium thiosulfate 25% 50 mL IV</t>
        </is>
      </c>
      <c r="H2032" s="2" t="inlineStr">
        <is>
          <t>Calcium disodium EDTA 1 g IV</t>
        </is>
      </c>
      <c r="I2032" s="8" t="inlineStr">
        <is>
          <t>1</t>
        </is>
      </c>
      <c r="J2032" s="2" t="inlineStr">
        <is>
          <t>✅ คำตอบที่ถูกต้อง: ข้อ ก. Naloxone 0.4 mg IV stat
💡 Background:
ภาวะไขมันในเลือดผิดปกติเป็นสาเหตุของ ASCVD การรักษาเน้นควบคุม LDL-C ให้ถึง target ตามระดับ cardiovascular risk ด้วย Statin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32" s="2" t="n"/>
      <c r="L2032" s="2" t="inlineStr">
        <is>
          <t>General Therapeutics</t>
        </is>
      </c>
      <c r="M2032" s="2" t="inlineStr">
        <is>
          <t>Clinic</t>
        </is>
      </c>
      <c r="N2032" s="2" t="inlineStr">
        <is>
          <t>ข้อ 34 (PLE_CC1_Key_Rx20_UBU.md)</t>
        </is>
      </c>
      <c r="O2032" s="2" t="inlineStr">
        <is>
          <t>Mock</t>
        </is>
      </c>
      <c r="P2032" s="2" t="inlineStr">
        <is>
          <t>Mock Rx20 UBU</t>
        </is>
      </c>
    </row>
    <row r="2033" ht="13.2" customHeight="1" s="37">
      <c r="A2033" s="8" t="inlineStr">
        <is>
          <t>2054</t>
        </is>
      </c>
      <c r="B2033" s="2" t="inlineStr">
        <is>
          <t>เมื่อผู$ป&amp;วยรับการรักษาด$วยรายการยาข$างต$นไประยะหนึ่ง ผลตรวจทางห$องปฏิบัติใด ที่ไมGต$องติดตามอยGางสม่ำเสมอ</t>
        </is>
      </c>
      <c r="C2033" s="2" t="n"/>
      <c r="D2033" s="2" t="inlineStr">
        <is>
          <t>Sodium thiosulfate 25% 50 mL IV</t>
        </is>
      </c>
      <c r="E2033" s="2" t="inlineStr">
        <is>
          <t>Calcium disodium EDTA 1 g IV</t>
        </is>
      </c>
      <c r="F2033" s="2" t="inlineStr">
        <is>
          <t>Desferrioxamine 1 g IM/IV</t>
        </is>
      </c>
      <c r="G2033" s="2" t="inlineStr">
        <is>
          <t>Dimercaprol (BAL) 3 mg/kg IM</t>
        </is>
      </c>
      <c r="H2033" s="2" t="inlineStr">
        <is>
          <t>Ethanol 10% IV infusion for Methanol poisoning</t>
        </is>
      </c>
      <c r="I2033" s="8" t="inlineStr">
        <is>
          <t>1</t>
        </is>
      </c>
      <c r="J20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33" s="2" t="n"/>
      <c r="L2033" s="2" t="inlineStr">
        <is>
          <t>General Therapeutics</t>
        </is>
      </c>
      <c r="M2033" s="2" t="inlineStr">
        <is>
          <t>Clinic</t>
        </is>
      </c>
      <c r="N2033" s="2" t="inlineStr">
        <is>
          <t>ข้อ 35 (PLE_CC1_Key_Rx20_UBU.md)</t>
        </is>
      </c>
      <c r="O2033" s="2" t="inlineStr">
        <is>
          <t>Mock</t>
        </is>
      </c>
      <c r="P2033" s="2" t="inlineStr">
        <is>
          <t>Mock Rx20 UBU</t>
        </is>
      </c>
    </row>
    <row r="2034" ht="13.2" customHeight="1" s="37">
      <c r="A2034" s="8" t="inlineStr">
        <is>
          <t>2055</t>
        </is>
      </c>
      <c r="B2034" s="2" t="inlineStr">
        <is>
          <t>Serum potassium</t>
        </is>
      </c>
      <c r="C2034" s="2" t="n"/>
      <c r="D2034" s="2" t="inlineStr">
        <is>
          <t>Dimercaprol (BAL) 3 mg/kg IM</t>
        </is>
      </c>
      <c r="E2034" s="2" t="inlineStr">
        <is>
          <t>Ethanol 10% IV infusion for Methanol poisoning</t>
        </is>
      </c>
      <c r="F2034" s="2" t="inlineStr">
        <is>
          <t>Fomepizole 15 mg/kg IV loading</t>
        </is>
      </c>
      <c r="G2034" s="2" t="inlineStr">
        <is>
          <t>N-acetylcysteine (NAC) IV infusion protocol</t>
        </is>
      </c>
      <c r="H2034" s="2" t="inlineStr">
        <is>
          <t>Atropine sulfate 2 mg IV Q5-10 min</t>
        </is>
      </c>
      <c r="I2034" s="8" t="inlineStr">
        <is>
          <t>1</t>
        </is>
      </c>
      <c r="J20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4" s="2" t="n"/>
      <c r="L2034" s="2" t="inlineStr">
        <is>
          <t>General Therapeutics</t>
        </is>
      </c>
      <c r="M2034" s="2" t="inlineStr">
        <is>
          <t>Clinic</t>
        </is>
      </c>
      <c r="N2034" s="2" t="inlineStr">
        <is>
          <t>ข้อ 3 (PLE_CC1_Key_Rx20_UBU.md)</t>
        </is>
      </c>
      <c r="O2034" s="2" t="inlineStr">
        <is>
          <t>Mock</t>
        </is>
      </c>
      <c r="P2034" s="2" t="inlineStr">
        <is>
          <t>Mock Rx20 UBU</t>
        </is>
      </c>
    </row>
    <row r="2035" ht="13.2" customHeight="1" s="37">
      <c r="A2035" s="8" t="inlineStr">
        <is>
          <t>2056</t>
        </is>
      </c>
      <c r="B2035" s="2" t="inlineStr">
        <is>
          <t>Blood pressure</t>
        </is>
      </c>
      <c r="C2035" s="2" t="n"/>
      <c r="D2035" s="2" t="inlineStr">
        <is>
          <t>N-acetylcysteine (NAC) IV infusion protocol</t>
        </is>
      </c>
      <c r="E2035" s="2" t="inlineStr">
        <is>
          <t>Atropine sulfate 2 mg IV Q5-10 min</t>
        </is>
      </c>
      <c r="F2035" s="2" t="inlineStr">
        <is>
          <t>Pralidoxime (2-PAM) 1-2 g IV over 30 min</t>
        </is>
      </c>
      <c r="G2035" s="2" t="inlineStr">
        <is>
          <t>Naloxone 0.4 mg IV stat</t>
        </is>
      </c>
      <c r="H2035" s="2" t="inlineStr">
        <is>
          <t>Flumazenil 0.2 mg IV stat</t>
        </is>
      </c>
      <c r="I2035" s="8" t="inlineStr">
        <is>
          <t>5</t>
        </is>
      </c>
      <c r="J2035" s="2" t="inlineStr">
        <is>
          <t>✅ คำตอบที่ถูกต้อง: ข้อ จ.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35" s="2" t="n"/>
      <c r="L2035" s="2" t="inlineStr">
        <is>
          <t>General Therapeutics</t>
        </is>
      </c>
      <c r="M2035" s="2" t="inlineStr">
        <is>
          <t>Clinic</t>
        </is>
      </c>
      <c r="N2035" s="2" t="inlineStr">
        <is>
          <t>ข้อ 5 (PLE_CC1_Key_Rx20_UBU.md)</t>
        </is>
      </c>
      <c r="O2035" s="2" t="inlineStr">
        <is>
          <t>Mock</t>
        </is>
      </c>
      <c r="P2035" s="2" t="inlineStr">
        <is>
          <t>Mock Rx20 UBU</t>
        </is>
      </c>
    </row>
    <row r="2036" ht="13.2" customHeight="1" s="37">
      <c r="A2036" s="8" t="inlineStr">
        <is>
          <t>2057</t>
        </is>
      </c>
      <c r="B2036" s="2" t="inlineStr">
        <is>
          <t>Direct compression</t>
        </is>
      </c>
      <c r="C2036" s="2" t="n"/>
      <c r="D2036" s="2" t="inlineStr">
        <is>
          <t>Naloxone 0.4 mg IV stat</t>
        </is>
      </c>
      <c r="E2036" s="2" t="inlineStr">
        <is>
          <t>Flumazenil 0.2 mg IV stat</t>
        </is>
      </c>
      <c r="F2036" s="2" t="inlineStr">
        <is>
          <t>Vitamin K1 (Phytomenadione) 10 mg IV slow</t>
        </is>
      </c>
      <c r="G2036" s="2" t="inlineStr">
        <is>
          <t>Sodium thiosulfate 25% 50 mL IV</t>
        </is>
      </c>
      <c r="H2036" s="2" t="inlineStr">
        <is>
          <t>Calcium disodium EDTA 1 g IV</t>
        </is>
      </c>
      <c r="I2036" s="8" t="inlineStr">
        <is>
          <t>1</t>
        </is>
      </c>
      <c r="J20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36" s="2" t="n"/>
      <c r="L2036" s="2" t="inlineStr">
        <is>
          <t>General Therapeutics</t>
        </is>
      </c>
      <c r="M2036" s="2" t="inlineStr">
        <is>
          <t>Clinic</t>
        </is>
      </c>
      <c r="N2036" s="2" t="inlineStr">
        <is>
          <t>ข้อ 1 (PLE_CC1_Key_Rx20_UBU.md)</t>
        </is>
      </c>
      <c r="O2036" s="2" t="inlineStr">
        <is>
          <t>Mock</t>
        </is>
      </c>
      <c r="P2036" s="2" t="inlineStr">
        <is>
          <t>Mock Rx20 UBU</t>
        </is>
      </c>
    </row>
    <row r="2037" ht="13.2" customHeight="1" s="37">
      <c r="A2037" s="8" t="inlineStr">
        <is>
          <t>2058</t>
        </is>
      </c>
      <c r="B2037" s="2" t="inlineStr">
        <is>
          <t>ลดปริมาณความชื้นของ Bulk กGอนนำไปตอก</t>
        </is>
      </c>
      <c r="C2037" s="2" t="n"/>
      <c r="D2037" s="2" t="inlineStr">
        <is>
          <t>Sodium thiosulfate 25% 50 mL IV</t>
        </is>
      </c>
      <c r="E2037" s="2" t="inlineStr">
        <is>
          <t>Calcium disodium EDTA 1 g IV</t>
        </is>
      </c>
      <c r="F2037" s="2" t="inlineStr">
        <is>
          <t>Desferrioxamine 1 g IM/IV</t>
        </is>
      </c>
      <c r="G2037" s="2" t="inlineStr">
        <is>
          <t>Dimercaprol (BAL) 3 mg/kg IM</t>
        </is>
      </c>
      <c r="H2037" s="2" t="inlineStr">
        <is>
          <t>Ethanol 10% IV infusion for Methanol poisoning</t>
        </is>
      </c>
      <c r="I2037" s="8" t="inlineStr">
        <is>
          <t>1</t>
        </is>
      </c>
      <c r="J20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7" s="2" t="n"/>
      <c r="L2037" s="2" t="inlineStr">
        <is>
          <t>General Therapeutics</t>
        </is>
      </c>
      <c r="M2037" s="2" t="inlineStr">
        <is>
          <t>Clinic</t>
        </is>
      </c>
      <c r="N2037" s="2" t="inlineStr">
        <is>
          <t>ข้อ 1 (PLE_CC1_Key_Rx20_UBU.md)</t>
        </is>
      </c>
      <c r="O2037" s="2" t="inlineStr">
        <is>
          <t>Mock</t>
        </is>
      </c>
      <c r="P2037" s="2" t="inlineStr">
        <is>
          <t>Mock Rx20 UBU</t>
        </is>
      </c>
    </row>
    <row r="2038" ht="13.2" customHeight="1" s="37">
      <c r="A2038" s="8" t="inlineStr">
        <is>
          <t>2059</t>
        </is>
      </c>
      <c r="B2038" s="2" t="inlineStr">
        <is>
          <t>ลดรอบการตอกเม็ดยา</t>
        </is>
      </c>
      <c r="C2038" s="2" t="n"/>
      <c r="D2038" s="2" t="inlineStr">
        <is>
          <t>Hard Gelatin Capsule filling</t>
        </is>
      </c>
      <c r="E2038" s="2" t="inlineStr">
        <is>
          <t>Soft Gelatin Capsule encapsulation</t>
        </is>
      </c>
      <c r="F2038" s="2" t="inlineStr">
        <is>
          <t>Microcrystalline cellulose</t>
        </is>
      </c>
      <c r="G2038" s="2" t="inlineStr">
        <is>
          <t>Magnesium stearate (Lubricant 1%)</t>
        </is>
      </c>
      <c r="H2038" s="2" t="inlineStr">
        <is>
          <t>Sodium starch glycolate (Superdisintegrant)</t>
        </is>
      </c>
      <c r="I2038" s="8" t="inlineStr">
        <is>
          <t>1</t>
        </is>
      </c>
      <c r="J2038" s="2"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Solid Dosage Forms)
🔍 ข้ออื่นผิดเพราะอะไร:
• ข้อ ข.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ค.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38" s="2" t="n"/>
      <c r="L2038" s="2" t="inlineStr">
        <is>
          <t>Solid Dosage Forms</t>
        </is>
      </c>
      <c r="M2038" s="2" t="inlineStr">
        <is>
          <t>Product</t>
        </is>
      </c>
      <c r="N2038" s="2" t="inlineStr">
        <is>
          <t>ข้อ 3 (PLE_CC1_Key_Rx20_UBU.md)</t>
        </is>
      </c>
      <c r="O2038" s="2" t="inlineStr">
        <is>
          <t>Mock</t>
        </is>
      </c>
      <c r="P2038" s="2" t="inlineStr">
        <is>
          <t>Mock Rx20 UBU</t>
        </is>
      </c>
    </row>
    <row r="2039" ht="13.2" customHeight="1" s="37">
      <c r="A2039" s="8" t="inlineStr">
        <is>
          <t>2060</t>
        </is>
      </c>
      <c r="B2039" s="2" t="inlineStr">
        <is>
          <t>เลือกใช$สาก และเบ$าแบบ Deep concave</t>
        </is>
      </c>
      <c r="C2039" s="2" t="n"/>
      <c r="D2039" s="2" t="inlineStr">
        <is>
          <t>N-acetylcysteine (NAC) IV infusion protocol</t>
        </is>
      </c>
      <c r="E2039" s="2" t="inlineStr">
        <is>
          <t>Atropine sulfate 2 mg IV Q5-10 min</t>
        </is>
      </c>
      <c r="F2039" s="2" t="inlineStr">
        <is>
          <t>Pralidoxime (2-PAM) 1-2 g IV over 30 min</t>
        </is>
      </c>
      <c r="G2039" s="2" t="inlineStr">
        <is>
          <t>Naloxone 0.4 mg IV stat</t>
        </is>
      </c>
      <c r="H2039" s="2" t="inlineStr">
        <is>
          <t>Flumazenil 0.2 mg IV stat</t>
        </is>
      </c>
      <c r="I2039" s="8" t="inlineStr">
        <is>
          <t>1</t>
        </is>
      </c>
      <c r="J20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39" s="2" t="n"/>
      <c r="L2039" s="2" t="inlineStr">
        <is>
          <t>General Therapeutics</t>
        </is>
      </c>
      <c r="M2039" s="2" t="inlineStr">
        <is>
          <t>Clinic</t>
        </is>
      </c>
      <c r="N2039" s="2" t="inlineStr">
        <is>
          <t>ข้อ 4 (PLE_CC1_Key_Rx20_UBU.md)</t>
        </is>
      </c>
      <c r="O2039" s="2" t="inlineStr">
        <is>
          <t>Mock</t>
        </is>
      </c>
      <c r="P2039" s="2" t="inlineStr">
        <is>
          <t>Mock Rx20 UBU</t>
        </is>
      </c>
    </row>
    <row r="2040" ht="13.2" customHeight="1" s="37">
      <c r="A2040" s="8" t="inlineStr">
        <is>
          <t>2061</t>
        </is>
      </c>
      <c r="B2040" s="2" t="inlineStr">
        <is>
          <t>เพิ่มแรงที่ใช$ในการตอกเม็ดยา</t>
        </is>
      </c>
      <c r="C2040" s="2" t="n"/>
      <c r="D2040" s="2" t="inlineStr">
        <is>
          <t>Wet Granulation tableting method</t>
        </is>
      </c>
      <c r="E2040" s="2" t="inlineStr">
        <is>
          <t>Dry Granulation (Roller Compaction)</t>
        </is>
      </c>
      <c r="F2040" s="2" t="inlineStr">
        <is>
          <t>Fluidized Bed Granulation</t>
        </is>
      </c>
      <c r="G2040" s="2" t="inlineStr">
        <is>
          <t>Film Coating with Hydroxypropyl methylcellulose (HPMC)</t>
        </is>
      </c>
      <c r="H2040" s="2" t="inlineStr">
        <is>
          <t>Enteric Coating with Cellulose acetate phthalate (CAP)</t>
        </is>
      </c>
      <c r="I2040" s="8" t="inlineStr">
        <is>
          <t>1</t>
        </is>
      </c>
      <c r="J2040" s="2"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ค.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40" s="2" t="n"/>
      <c r="L2040" s="2" t="inlineStr">
        <is>
          <t>Solid Dosage Forms</t>
        </is>
      </c>
      <c r="M2040" s="2" t="inlineStr">
        <is>
          <t>Product</t>
        </is>
      </c>
      <c r="N2040" s="2" t="inlineStr">
        <is>
          <t>ข้อ 5 (PLE_CC1_Key_Rx20_UBU.md)</t>
        </is>
      </c>
      <c r="O2040" s="2" t="inlineStr">
        <is>
          <t>Mock</t>
        </is>
      </c>
      <c r="P2040" s="2" t="inlineStr">
        <is>
          <t>Mock Rx20 UBU</t>
        </is>
      </c>
    </row>
    <row r="2041" ht="13.2" customHeight="1" s="37">
      <c r="A2041" s="8" t="inlineStr">
        <is>
          <t>2062</t>
        </is>
      </c>
      <c r="B2041" s="2" t="inlineStr">
        <is>
          <t>Cellophane strip</t>
        </is>
      </c>
      <c r="C2041" s="2" t="n"/>
      <c r="D2041" s="2" t="inlineStr">
        <is>
          <t>Sodium thiosulfate 25% 50 mL IV</t>
        </is>
      </c>
      <c r="E2041" s="2" t="inlineStr">
        <is>
          <t>Calcium disodium EDTA 1 g IV</t>
        </is>
      </c>
      <c r="F2041" s="2" t="inlineStr">
        <is>
          <t>Desferrioxamine 1 g IM/IV</t>
        </is>
      </c>
      <c r="G2041" s="2" t="inlineStr">
        <is>
          <t>Dimercaprol (BAL) 3 mg/kg IM</t>
        </is>
      </c>
      <c r="H2041" s="2" t="inlineStr">
        <is>
          <t>Ethanol 10% IV infusion for Methanol poisoning</t>
        </is>
      </c>
      <c r="I2041" s="8" t="inlineStr">
        <is>
          <t>4</t>
        </is>
      </c>
      <c r="J2041" s="2"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1" s="2" t="n"/>
      <c r="L2041" s="2" t="inlineStr">
        <is>
          <t>General Therapeutics</t>
        </is>
      </c>
      <c r="M2041" s="2" t="inlineStr">
        <is>
          <t>Clinic</t>
        </is>
      </c>
      <c r="N2041" s="2" t="inlineStr">
        <is>
          <t>ข้อ 5 (PLE_CC1_Key_Rx20_UBU.md)</t>
        </is>
      </c>
      <c r="O2041" s="2" t="inlineStr">
        <is>
          <t>Mock</t>
        </is>
      </c>
      <c r="P2041" s="2" t="inlineStr">
        <is>
          <t>Mock Rx20 UBU</t>
        </is>
      </c>
    </row>
    <row r="2042" ht="13.2" customHeight="1" s="37">
      <c r="A2042" s="8" t="inlineStr">
        <is>
          <t>2063</t>
        </is>
      </c>
      <c r="B2042" s="2" t="inlineStr">
        <is>
          <t>มีภาวะ thromboembolism</t>
        </is>
      </c>
      <c r="C2042" s="2" t="n"/>
      <c r="D2042" s="2" t="inlineStr">
        <is>
          <t>Dimercaprol (BAL) 3 mg/kg IM</t>
        </is>
      </c>
      <c r="E2042" s="2" t="inlineStr">
        <is>
          <t>Ethanol 10% IV infusion for Methanol poisoning</t>
        </is>
      </c>
      <c r="F2042" s="2" t="inlineStr">
        <is>
          <t>Fomepizole 15 mg/kg IV loading</t>
        </is>
      </c>
      <c r="G2042" s="2" t="inlineStr">
        <is>
          <t>N-acetylcysteine (NAC) IV infusion protocol</t>
        </is>
      </c>
      <c r="H2042" s="2" t="inlineStr">
        <is>
          <t>Atropine sulfate 2 mg IV Q5-10 min</t>
        </is>
      </c>
      <c r="I2042" s="8" t="inlineStr">
        <is>
          <t>1</t>
        </is>
      </c>
      <c r="J20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2" s="2" t="n"/>
      <c r="L2042" s="2" t="inlineStr">
        <is>
          <t>General Therapeutics</t>
        </is>
      </c>
      <c r="M2042" s="2" t="inlineStr">
        <is>
          <t>Clinic</t>
        </is>
      </c>
      <c r="N2042" s="2" t="inlineStr">
        <is>
          <t>ข้อ 4 (PLE_CC1_Key_Rx20_UBU.md)</t>
        </is>
      </c>
      <c r="O2042" s="2" t="inlineStr">
        <is>
          <t>Mock</t>
        </is>
      </c>
      <c r="P2042" s="2" t="inlineStr">
        <is>
          <t>Mock Rx20 UBU</t>
        </is>
      </c>
    </row>
    <row r="2043" ht="13.2" customHeight="1" s="37">
      <c r="A2043" s="8" t="inlineStr">
        <is>
          <t>2064</t>
        </is>
      </c>
      <c r="B2043" s="2" t="inlineStr">
        <is>
          <t>สามารถเริ่มรับประทานเมื่อไหรGก็ได$เมื่อแนGใจวGาไมGได$ตั้งครรภ_ แตGควรปนองกันด$วยวิธีอื่น 7 วันหลังจากเริ่มรับประทานยา</t>
        </is>
      </c>
      <c r="C2043" s="2" t="n"/>
      <c r="D2043" s="2" t="inlineStr">
        <is>
          <t>N-acetylcysteine (NAC) IV infusion protocol</t>
        </is>
      </c>
      <c r="E2043" s="2" t="inlineStr">
        <is>
          <t>Atropine sulfate 2 mg IV Q5-10 min</t>
        </is>
      </c>
      <c r="F2043" s="2" t="inlineStr">
        <is>
          <t>Pralidoxime (2-PAM) 1-2 g IV over 30 min</t>
        </is>
      </c>
      <c r="G2043" s="2" t="inlineStr">
        <is>
          <t>Naloxone 0.4 mg IV stat</t>
        </is>
      </c>
      <c r="H2043" s="2" t="inlineStr">
        <is>
          <t>Flumazenil 0.2 mg IV stat</t>
        </is>
      </c>
      <c r="I2043" s="8" t="inlineStr">
        <is>
          <t>1</t>
        </is>
      </c>
      <c r="J20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43" s="2" t="n"/>
      <c r="L2043" s="2" t="inlineStr">
        <is>
          <t>General Therapeutics</t>
        </is>
      </c>
      <c r="M2043" s="2" t="inlineStr">
        <is>
          <t>Clinic</t>
        </is>
      </c>
      <c r="N2043" s="2" t="inlineStr">
        <is>
          <t>ข้อ 1 (PLE_CC1_Key_Rx20_UBU.md)</t>
        </is>
      </c>
      <c r="O2043" s="2" t="inlineStr">
        <is>
          <t>Mock</t>
        </is>
      </c>
      <c r="P2043" s="2" t="inlineStr">
        <is>
          <t>Mock Rx20 UBU</t>
        </is>
      </c>
    </row>
    <row r="2044" ht="13.2" customHeight="1" s="37">
      <c r="A2044" s="8" t="inlineStr">
        <is>
          <t>2065</t>
        </is>
      </c>
      <c r="B2044" s="2" t="inlineStr">
        <is>
          <t>breast tenderness</t>
        </is>
      </c>
      <c r="C2044" s="2" t="n"/>
      <c r="D2044" s="2" t="inlineStr">
        <is>
          <t>Naloxone 0.4 mg IV stat</t>
        </is>
      </c>
      <c r="E2044" s="2" t="inlineStr">
        <is>
          <t>Flumazenil 0.2 mg IV stat</t>
        </is>
      </c>
      <c r="F2044" s="2" t="inlineStr">
        <is>
          <t>Vitamin K1 (Phytomenadione) 10 mg IV slow</t>
        </is>
      </c>
      <c r="G2044" s="2" t="inlineStr">
        <is>
          <t>Sodium thiosulfate 25% 50 mL IV</t>
        </is>
      </c>
      <c r="H2044" s="2" t="inlineStr">
        <is>
          <t>Calcium disodium EDTA 1 g IV</t>
        </is>
      </c>
      <c r="I2044" s="8" t="inlineStr">
        <is>
          <t>1</t>
        </is>
      </c>
      <c r="J20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44" s="2" t="n"/>
      <c r="L2044" s="2" t="inlineStr">
        <is>
          <t>General Therapeutics</t>
        </is>
      </c>
      <c r="M2044" s="2" t="inlineStr">
        <is>
          <t>Clinic</t>
        </is>
      </c>
      <c r="N2044" s="2" t="inlineStr">
        <is>
          <t>ข้อ 2 (PLE_CC1_Key_Rx20_UBU.md)</t>
        </is>
      </c>
      <c r="O2044" s="2" t="inlineStr">
        <is>
          <t>Mock</t>
        </is>
      </c>
      <c r="P2044" s="2" t="inlineStr">
        <is>
          <t>Mock Rx20 UBU</t>
        </is>
      </c>
    </row>
    <row r="2045" ht="13.2" customHeight="1" s="37">
      <c r="A2045" s="8" t="inlineStr">
        <is>
          <t>2066</t>
        </is>
      </c>
      <c r="B2045" s="2" t="inlineStr">
        <is>
          <t>มีฤทธิ์เอสโตรเจน??</t>
        </is>
      </c>
      <c r="C2045" s="2" t="n"/>
      <c r="D2045" s="2" t="inlineStr">
        <is>
          <t>Sodium thiosulfate 25% 50 mL IV</t>
        </is>
      </c>
      <c r="E2045" s="2" t="inlineStr">
        <is>
          <t>Calcium disodium EDTA 1 g IV</t>
        </is>
      </c>
      <c r="F2045" s="2" t="inlineStr">
        <is>
          <t>Desferrioxamine 1 g IM/IV</t>
        </is>
      </c>
      <c r="G2045" s="2" t="inlineStr">
        <is>
          <t>Dimercaprol (BAL) 3 mg/kg IM</t>
        </is>
      </c>
      <c r="H2045" s="2" t="inlineStr">
        <is>
          <t>Ethanol 10% IV infusion for Methanol poisoning</t>
        </is>
      </c>
      <c r="I2045" s="8" t="inlineStr">
        <is>
          <t>1</t>
        </is>
      </c>
      <c r="J20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5" s="2" t="n"/>
      <c r="L2045" s="2" t="inlineStr">
        <is>
          <t>General Therapeutics</t>
        </is>
      </c>
      <c r="M2045" s="2" t="inlineStr">
        <is>
          <t>Clinic</t>
        </is>
      </c>
      <c r="N2045" s="2" t="inlineStr">
        <is>
          <t>ข้อ 1 (PLE_CC1_Key_Rx20_UBU.md)</t>
        </is>
      </c>
      <c r="O2045" s="2" t="inlineStr">
        <is>
          <t>Mock</t>
        </is>
      </c>
      <c r="P2045" s="2" t="inlineStr">
        <is>
          <t>Mock Rx20 UBU</t>
        </is>
      </c>
    </row>
    <row r="2046" ht="13.2" customHeight="1" s="37">
      <c r="A2046" s="8" t="inlineStr">
        <is>
          <t>2067</t>
        </is>
      </c>
      <c r="B2046" s="2" t="inlineStr">
        <is>
          <t>มีโครงสร$างเหมือนเทสโทสเตอโรน</t>
        </is>
      </c>
      <c r="C2046" s="2" t="n"/>
      <c r="D2046" s="2" t="inlineStr">
        <is>
          <t>Dimercaprol (BAL) 3 mg/kg IM</t>
        </is>
      </c>
      <c r="E2046" s="2" t="inlineStr">
        <is>
          <t>Ethanol 10% IV infusion for Methanol poisoning</t>
        </is>
      </c>
      <c r="F2046" s="2" t="inlineStr">
        <is>
          <t>Fomepizole 15 mg/kg IV loading</t>
        </is>
      </c>
      <c r="G2046" s="2" t="inlineStr">
        <is>
          <t>N-acetylcysteine (NAC) IV infusion protocol</t>
        </is>
      </c>
      <c r="H2046" s="2" t="inlineStr">
        <is>
          <t>Atropine sulfate 2 mg IV Q5-10 min</t>
        </is>
      </c>
      <c r="I2046" s="8" t="inlineStr">
        <is>
          <t>1</t>
        </is>
      </c>
      <c r="J20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6" s="2" t="n"/>
      <c r="L2046" s="2" t="inlineStr">
        <is>
          <t>General Therapeutics</t>
        </is>
      </c>
      <c r="M2046" s="2" t="inlineStr">
        <is>
          <t>Clinic</t>
        </is>
      </c>
      <c r="N2046" s="2" t="inlineStr">
        <is>
          <t>ข้อ 2 (PLE_CC1_Key_Rx20_UBU.md)</t>
        </is>
      </c>
      <c r="O2046" s="2" t="inlineStr">
        <is>
          <t>Mock</t>
        </is>
      </c>
      <c r="P2046" s="2" t="inlineStr">
        <is>
          <t>Mock Rx20 UBU</t>
        </is>
      </c>
    </row>
    <row r="2047" ht="13.2" customHeight="1" s="37">
      <c r="A2047" s="8" t="inlineStr">
        <is>
          <t>2068</t>
        </is>
      </c>
      <c r="B2047" s="2" t="inlineStr">
        <is>
          <t>หมูGแทนที่ B เพิ่มฤทธิ์โปรเจสติน</t>
        </is>
      </c>
      <c r="C2047" s="2" t="n"/>
      <c r="D2047" s="2" t="inlineStr">
        <is>
          <t>N-acetylcysteine (NAC) IV infusion protocol</t>
        </is>
      </c>
      <c r="E2047" s="2" t="inlineStr">
        <is>
          <t>Atropine sulfate 2 mg IV Q5-10 min</t>
        </is>
      </c>
      <c r="F2047" s="2" t="inlineStr">
        <is>
          <t>Pralidoxime (2-PAM) 1-2 g IV over 30 min</t>
        </is>
      </c>
      <c r="G2047" s="2" t="inlineStr">
        <is>
          <t>Naloxone 0.4 mg IV stat</t>
        </is>
      </c>
      <c r="H2047" s="2" t="inlineStr">
        <is>
          <t>Flumazenil 0.2 mg IV stat</t>
        </is>
      </c>
      <c r="I2047" s="8" t="inlineStr">
        <is>
          <t>1</t>
        </is>
      </c>
      <c r="J20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47" s="2" t="n"/>
      <c r="L2047" s="2" t="inlineStr">
        <is>
          <t>General Therapeutics</t>
        </is>
      </c>
      <c r="M2047" s="2" t="inlineStr">
        <is>
          <t>Clinic</t>
        </is>
      </c>
      <c r="N2047" s="2" t="inlineStr">
        <is>
          <t>ข้อ 3 (PLE_CC1_Key_Rx20_UBU.md)</t>
        </is>
      </c>
      <c r="O2047" s="2" t="inlineStr">
        <is>
          <t>Mock</t>
        </is>
      </c>
      <c r="P2047" s="2" t="inlineStr">
        <is>
          <t>Mock Rx20 UBU</t>
        </is>
      </c>
    </row>
    <row r="2048" ht="13.2" customHeight="1" s="37">
      <c r="A2048" s="8" t="inlineStr">
        <is>
          <t>2069</t>
        </is>
      </c>
      <c r="B2048" s="2" t="inlineStr">
        <is>
          <t>หมูGแทนที่ A ลดฤทธิ์แอนโดรเจน</t>
        </is>
      </c>
      <c r="C2048" s="2" t="n"/>
      <c r="D2048" s="2" t="inlineStr">
        <is>
          <t>Naloxone 0.4 mg IV stat</t>
        </is>
      </c>
      <c r="E2048" s="2" t="inlineStr">
        <is>
          <t>Flumazenil 0.2 mg IV stat</t>
        </is>
      </c>
      <c r="F2048" s="2" t="inlineStr">
        <is>
          <t>Vitamin K1 (Phytomenadione) 10 mg IV slow</t>
        </is>
      </c>
      <c r="G2048" s="2" t="inlineStr">
        <is>
          <t>Sodium thiosulfate 25% 50 mL IV</t>
        </is>
      </c>
      <c r="H2048" s="2" t="inlineStr">
        <is>
          <t>Calcium disodium EDTA 1 g IV</t>
        </is>
      </c>
      <c r="I2048" s="8" t="inlineStr">
        <is>
          <t>1</t>
        </is>
      </c>
      <c r="J20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48" s="2" t="n"/>
      <c r="L2048" s="2" t="inlineStr">
        <is>
          <t>General Therapeutics</t>
        </is>
      </c>
      <c r="M2048" s="2" t="inlineStr">
        <is>
          <t>Clinic</t>
        </is>
      </c>
      <c r="N2048" s="2" t="inlineStr">
        <is>
          <t>ข้อ 4 (PLE_CC1_Key_Rx20_UBU.md)</t>
        </is>
      </c>
      <c r="O2048" s="2" t="inlineStr">
        <is>
          <t>Mock</t>
        </is>
      </c>
      <c r="P2048" s="2" t="inlineStr">
        <is>
          <t>Mock Rx20 UBU</t>
        </is>
      </c>
    </row>
    <row r="2049" ht="13.2" customHeight="1" s="37">
      <c r="A2049" s="8" t="inlineStr">
        <is>
          <t>2070</t>
        </is>
      </c>
      <c r="B2049" s="2" t="inlineStr">
        <is>
          <t>หมูG C ในโครงสร$างไมGมีความสำคัญในการจับกับ Receptor progestational activity ได5</t>
        </is>
      </c>
      <c r="C2049" s="2" t="n"/>
      <c r="D2049" s="2" t="inlineStr">
        <is>
          <t>Sodium thiosulfate 25% 50 mL IV</t>
        </is>
      </c>
      <c r="E2049" s="2" t="inlineStr">
        <is>
          <t>Calcium disodium EDTA 1 g IV</t>
        </is>
      </c>
      <c r="F2049" s="2" t="inlineStr">
        <is>
          <t>Desferrioxamine 1 g IM/IV</t>
        </is>
      </c>
      <c r="G2049" s="2" t="inlineStr">
        <is>
          <t>Dimercaprol (BAL) 3 mg/kg IM</t>
        </is>
      </c>
      <c r="H2049" s="2" t="inlineStr">
        <is>
          <t>Ethanol 10% IV infusion for Methanol poisoning</t>
        </is>
      </c>
      <c r="I2049" s="8" t="inlineStr">
        <is>
          <t>2</t>
        </is>
      </c>
      <c r="J2049" s="2" t="inlineStr">
        <is>
          <t>✅ คำตอบที่ถูกต้อง: ข้อ ข.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49" s="2" t="n"/>
      <c r="L2049" s="2" t="inlineStr">
        <is>
          <t>General Therapeutics</t>
        </is>
      </c>
      <c r="M2049" s="2" t="inlineStr">
        <is>
          <t>Clinic</t>
        </is>
      </c>
      <c r="N2049" s="2" t="inlineStr">
        <is>
          <t>ข้อ 5 (PLE_CC1_Key_Rx20_UBU.md)</t>
        </is>
      </c>
      <c r="O2049" s="2" t="inlineStr">
        <is>
          <t>Mock</t>
        </is>
      </c>
      <c r="P2049" s="2" t="inlineStr">
        <is>
          <t>Mock Rx20 UBU</t>
        </is>
      </c>
    </row>
    <row r="2050" ht="13.2" customHeight="1" s="37">
      <c r="A2050" s="8" t="inlineStr">
        <is>
          <t>2071</t>
        </is>
      </c>
      <c r="B2050" s="2" t="inlineStr">
        <is>
          <t>วินิจฉัยเบื้องต$น</t>
        </is>
      </c>
      <c r="C2050" s="2" t="n"/>
      <c r="D2050" s="2" t="inlineStr">
        <is>
          <t>Dimercaprol (BAL) 3 mg/kg IM</t>
        </is>
      </c>
      <c r="E2050" s="2" t="inlineStr">
        <is>
          <t>Ethanol 10% IV infusion for Methanol poisoning</t>
        </is>
      </c>
      <c r="F2050" s="2" t="inlineStr">
        <is>
          <t>Fomepizole 15 mg/kg IV loading</t>
        </is>
      </c>
      <c r="G2050" s="2" t="inlineStr">
        <is>
          <t>N-acetylcysteine (NAC) IV infusion protocol</t>
        </is>
      </c>
      <c r="H2050" s="2" t="inlineStr">
        <is>
          <t>Atropine sulfate 2 mg IV Q5-10 min</t>
        </is>
      </c>
      <c r="I2050" s="8" t="inlineStr">
        <is>
          <t>1</t>
        </is>
      </c>
      <c r="J20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0" s="2" t="n"/>
      <c r="L2050" s="2" t="inlineStr">
        <is>
          <t>General Therapeutics</t>
        </is>
      </c>
      <c r="M2050" s="2" t="inlineStr">
        <is>
          <t>Clinic</t>
        </is>
      </c>
      <c r="N2050" s="2" t="inlineStr">
        <is>
          <t>ข้อ 52 (PLE_CC1_Key_Rx20_UBU.md)</t>
        </is>
      </c>
      <c r="O2050" s="2" t="inlineStr">
        <is>
          <t>Mock</t>
        </is>
      </c>
      <c r="P2050" s="2" t="inlineStr">
        <is>
          <t>Mock Rx20 UBU</t>
        </is>
      </c>
    </row>
    <row r="2051" ht="13.2" customHeight="1" s="37">
      <c r="A2051" s="8" t="inlineStr">
        <is>
          <t>2072</t>
        </is>
      </c>
      <c r="B2051" s="2" t="inlineStr">
        <is>
          <t>ORS ที่เหมาะกับผู$ป&amp;วยรายนี้</t>
        </is>
      </c>
      <c r="C2051" s="2" t="n"/>
      <c r="D2051" s="2" t="inlineStr">
        <is>
          <t>N-acetylcysteine (NAC) IV infusion protocol</t>
        </is>
      </c>
      <c r="E2051" s="2" t="inlineStr">
        <is>
          <t>Atropine sulfate 2 mg IV Q5-10 min</t>
        </is>
      </c>
      <c r="F2051" s="2" t="inlineStr">
        <is>
          <t>Pralidoxime (2-PAM) 1-2 g IV over 30 min</t>
        </is>
      </c>
      <c r="G2051" s="2" t="inlineStr">
        <is>
          <t>Naloxone 0.4 mg IV stat</t>
        </is>
      </c>
      <c r="H2051" s="2" t="inlineStr">
        <is>
          <t>Flumazenil 0.2 mg IV stat</t>
        </is>
      </c>
      <c r="I2051" s="8" t="inlineStr">
        <is>
          <t>1</t>
        </is>
      </c>
      <c r="J20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51" s="2" t="n"/>
      <c r="L2051" s="2" t="inlineStr">
        <is>
          <t>General Therapeutics</t>
        </is>
      </c>
      <c r="M2051" s="2" t="inlineStr">
        <is>
          <t>Clinic</t>
        </is>
      </c>
      <c r="N2051" s="2" t="inlineStr">
        <is>
          <t>ข้อ 53 (PLE_CC1_Key_Rx20_UBU.md)</t>
        </is>
      </c>
      <c r="O2051" s="2" t="inlineStr">
        <is>
          <t>Mock</t>
        </is>
      </c>
      <c r="P2051" s="2" t="inlineStr">
        <is>
          <t>Mock Rx20 UBU</t>
        </is>
      </c>
    </row>
    <row r="2052" ht="13.2" customHeight="1" s="37">
      <c r="A2052" s="8" t="inlineStr">
        <is>
          <t>2073</t>
        </is>
      </c>
      <c r="B2052" s="2" t="inlineStr">
        <is>
          <t>Phenylephrine</t>
        </is>
      </c>
      <c r="C2052" s="2" t="n"/>
      <c r="D2052" s="2" t="inlineStr">
        <is>
          <t>Naloxone 0.4 mg IV stat</t>
        </is>
      </c>
      <c r="E2052" s="2" t="inlineStr">
        <is>
          <t>Flumazenil 0.2 mg IV stat</t>
        </is>
      </c>
      <c r="F2052" s="2" t="inlineStr">
        <is>
          <t>Vitamin K1 (Phytomenadione) 10 mg IV slow</t>
        </is>
      </c>
      <c r="G2052" s="2" t="inlineStr">
        <is>
          <t>Sodium thiosulfate 25% 50 mL IV</t>
        </is>
      </c>
      <c r="H2052" s="2" t="inlineStr">
        <is>
          <t>Calcium disodium EDTA 1 g IV</t>
        </is>
      </c>
      <c r="I2052" s="8" t="inlineStr">
        <is>
          <t>2</t>
        </is>
      </c>
      <c r="J2052"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52" s="2" t="n"/>
      <c r="L2052" s="2" t="inlineStr">
        <is>
          <t>General Therapeutics</t>
        </is>
      </c>
      <c r="M2052" s="2" t="inlineStr">
        <is>
          <t>Clinic</t>
        </is>
      </c>
      <c r="N2052" s="2" t="inlineStr">
        <is>
          <t>ข้อ 4 (PLE_CC1_Key_Rx20_UBU.md)</t>
        </is>
      </c>
      <c r="O2052" s="2" t="inlineStr">
        <is>
          <t>Mock</t>
        </is>
      </c>
      <c r="P2052" s="2" t="inlineStr">
        <is>
          <t>Mock Rx20 UBU</t>
        </is>
      </c>
    </row>
    <row r="2053" ht="13.2" customHeight="1" s="37">
      <c r="A2053" s="8" t="inlineStr">
        <is>
          <t>2074</t>
        </is>
      </c>
      <c r="B2053" s="2" t="inlineStr">
        <is>
          <t>หญ$าหนวดแมว อีกสามวันตGอมาผู$ป&amp;วยอาการไอ และเจ็บคอดีขึ้น แตGมีอาการเหนื่อยหอบจึงมาโรงพยาบาล แพทย_ทำการวินิจฉับวGาเปญน CAP จGายยา Ceftazidime 2 g IV q 12 hr Clarithromycin MR 1 tab OD</t>
        </is>
      </c>
      <c r="C2053" s="2" t="n"/>
      <c r="D2053" s="2" t="inlineStr">
        <is>
          <t>Tenofovir/Emtricitabine 300/200 mg OD</t>
        </is>
      </c>
      <c r="E2053" s="2" t="inlineStr">
        <is>
          <t>Dolutegravir 50 mg OD</t>
        </is>
      </c>
      <c r="F2053" s="2" t="inlineStr">
        <is>
          <t>Vancomycin 1 g IV Q12H</t>
        </is>
      </c>
      <c r="G2053" s="2" t="inlineStr">
        <is>
          <t>Meropenem 1 g IV Q8H</t>
        </is>
      </c>
      <c r="H2053" s="2" t="inlineStr">
        <is>
          <t>Cefazolin 1 g IV Q8H</t>
        </is>
      </c>
      <c r="I2053" s="8" t="inlineStr">
        <is>
          <t>2</t>
        </is>
      </c>
      <c r="J2053" s="2" t="inlineStr">
        <is>
          <t>✅ คำตอบที่ถูกต้อง: ข้อ ข. Dolutegravir 50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(Tenofovir/Emtricitabine 300/200 mg OD): เป็น Nucleotide reverse transcriptase inhibitor (NRTI) แกนหลักใน HIV และ HBV therapy แต่ TDF ต้องระวัง nephrotoxicity (Fanconi syndrome) และ bone mineral density loss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053" s="2" t="n"/>
      <c r="L2053" s="2" t="inlineStr">
        <is>
          <t>Infectious Diseases</t>
        </is>
      </c>
      <c r="M2053" s="2" t="inlineStr">
        <is>
          <t>Clinic</t>
        </is>
      </c>
      <c r="N2053" s="2" t="inlineStr">
        <is>
          <t>ข้อ 5 (PLE_CC1_Key_Rx20_UBU.md)</t>
        </is>
      </c>
      <c r="O2053" s="2" t="inlineStr">
        <is>
          <t>Mock</t>
        </is>
      </c>
      <c r="P2053" s="2" t="inlineStr">
        <is>
          <t>Mock Rx20 UBU</t>
        </is>
      </c>
    </row>
    <row r="2054" ht="13.2" customHeight="1" s="37">
      <c r="A2054" s="8" t="inlineStr">
        <is>
          <t>2075</t>
        </is>
      </c>
      <c r="B2054" s="2" t="inlineStr">
        <is>
          <t>โรคของผู$ป&amp;วยเกิดจากเชื้อใดมากที่สุด</t>
        </is>
      </c>
      <c r="C2054" s="2" t="n"/>
      <c r="D2054" s="2" t="inlineStr">
        <is>
          <t>Dimercaprol (BAL) 3 mg/kg IM</t>
        </is>
      </c>
      <c r="E2054" s="2" t="inlineStr">
        <is>
          <t>Ethanol 10% IV infusion for Methanol poisoning</t>
        </is>
      </c>
      <c r="F2054" s="2" t="inlineStr">
        <is>
          <t>Fomepizole 15 mg/kg IV loading</t>
        </is>
      </c>
      <c r="G2054" s="2" t="inlineStr">
        <is>
          <t>N-acetylcysteine (NAC) IV infusion protocol</t>
        </is>
      </c>
      <c r="H2054" s="2" t="inlineStr">
        <is>
          <t>Atropine sulfate 2 mg IV Q5-10 min</t>
        </is>
      </c>
      <c r="I2054" s="8" t="inlineStr">
        <is>
          <t>1</t>
        </is>
      </c>
      <c r="J20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4" s="2" t="n"/>
      <c r="L2054" s="2" t="inlineStr">
        <is>
          <t>General Therapeutics</t>
        </is>
      </c>
      <c r="M2054" s="2" t="inlineStr">
        <is>
          <t>Clinic</t>
        </is>
      </c>
      <c r="N2054" s="2" t="inlineStr">
        <is>
          <t>ข้อ 63 (PLE_CC1_Key_Rx20_UBU.md)</t>
        </is>
      </c>
      <c r="O2054" s="2" t="inlineStr">
        <is>
          <t>Mock</t>
        </is>
      </c>
      <c r="P2054" s="2" t="inlineStr">
        <is>
          <t>Mock Rx20 UBU</t>
        </is>
      </c>
    </row>
    <row r="2055" ht="13.2" customHeight="1" s="37">
      <c r="A2055" s="8" t="inlineStr">
        <is>
          <t>2076</t>
        </is>
      </c>
      <c r="B2055" s="2" t="inlineStr">
        <is>
          <t>Stapphylococcus aureus</t>
        </is>
      </c>
      <c r="C2055" s="2" t="n"/>
      <c r="D2055" s="2" t="inlineStr">
        <is>
          <t>N-acetylcysteine (NAC) IV infusion protocol</t>
        </is>
      </c>
      <c r="E2055" s="2" t="inlineStr">
        <is>
          <t>Atropine sulfate 2 mg IV Q5-10 min</t>
        </is>
      </c>
      <c r="F2055" s="2" t="inlineStr">
        <is>
          <t>Pralidoxime (2-PAM) 1-2 g IV over 30 min</t>
        </is>
      </c>
      <c r="G2055" s="2" t="inlineStr">
        <is>
          <t>Naloxone 0.4 mg IV stat</t>
        </is>
      </c>
      <c r="H2055" s="2" t="inlineStr">
        <is>
          <t>Flumazenil 0.2 mg IV stat</t>
        </is>
      </c>
      <c r="I2055" s="8" t="inlineStr">
        <is>
          <t>1</t>
        </is>
      </c>
      <c r="J20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55" s="2" t="n"/>
      <c r="L2055" s="2" t="inlineStr">
        <is>
          <t>General Therapeutics</t>
        </is>
      </c>
      <c r="M2055" s="2" t="inlineStr">
        <is>
          <t>Clinic</t>
        </is>
      </c>
      <c r="N2055" s="2" t="inlineStr">
        <is>
          <t>ข้อ 1 (PLE_CC1_Key_Rx20_UBU.md)</t>
        </is>
      </c>
      <c r="O2055" s="2" t="inlineStr">
        <is>
          <t>Mock</t>
        </is>
      </c>
      <c r="P2055" s="2" t="inlineStr">
        <is>
          <t>Mock Rx20 UBU</t>
        </is>
      </c>
    </row>
    <row r="2056" ht="13.2" customHeight="1" s="37">
      <c r="A2056" s="8" t="inlineStr">
        <is>
          <t>2077</t>
        </is>
      </c>
      <c r="B2056" s="2" t="inlineStr">
        <is>
          <t>Burkholderia pseudomallei</t>
        </is>
      </c>
      <c r="C2056" s="2" t="n"/>
      <c r="D2056" s="2" t="inlineStr">
        <is>
          <t>Naloxone 0.4 mg IV stat</t>
        </is>
      </c>
      <c r="E2056" s="2" t="inlineStr">
        <is>
          <t>Flumazenil 0.2 mg IV stat</t>
        </is>
      </c>
      <c r="F2056" s="2" t="inlineStr">
        <is>
          <t>Vitamin K1 (Phytomenadione) 10 mg IV slow</t>
        </is>
      </c>
      <c r="G2056" s="2" t="inlineStr">
        <is>
          <t>Sodium thiosulfate 25% 50 mL IV</t>
        </is>
      </c>
      <c r="H2056" s="2" t="inlineStr">
        <is>
          <t>Calcium disodium EDTA 1 g IV</t>
        </is>
      </c>
      <c r="I2056" s="8" t="inlineStr">
        <is>
          <t>2</t>
        </is>
      </c>
      <c r="J2056" s="2" t="inlineStr">
        <is>
          <t>✅ คำตอบที่ถูกต้อง: ข้อ ข.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56" s="2" t="n"/>
      <c r="L2056" s="2" t="inlineStr">
        <is>
          <t>General Therapeutics</t>
        </is>
      </c>
      <c r="M2056" s="2" t="inlineStr">
        <is>
          <t>Clinic</t>
        </is>
      </c>
      <c r="N2056" s="2" t="inlineStr">
        <is>
          <t>ข้อ 5 (PLE_CC1_Key_Rx20_UBU.md)</t>
        </is>
      </c>
      <c r="O2056" s="2" t="inlineStr">
        <is>
          <t>Mock</t>
        </is>
      </c>
      <c r="P2056" s="2" t="inlineStr">
        <is>
          <t>Mock Rx20 UBU</t>
        </is>
      </c>
    </row>
    <row r="2057" ht="13.2" customHeight="1" s="37">
      <c r="A2057" s="8" t="inlineStr">
        <is>
          <t>2078</t>
        </is>
      </c>
      <c r="B2057" s="2" t="inlineStr">
        <is>
          <t>ควรมีการปรับเปลี่ยนยาปฏิชีวนะอยGางไร</t>
        </is>
      </c>
      <c r="C2057" s="2" t="n"/>
      <c r="D2057" s="2" t="inlineStr">
        <is>
          <t>พ.ร.บ. ผลิตภัณฑ์สมุนไพร พ.ศ. 2562</t>
        </is>
      </c>
      <c r="E2057" s="2" t="inlineStr">
        <is>
          <t>พ.ร.บ. เครื่องสำอาง พ.ศ. 2558</t>
        </is>
      </c>
      <c r="F2057" s="2" t="inlineStr">
        <is>
          <t>พ.ร.บ. หลักประกันสุขภาพแห่งชาติ พ.ศ. 2545</t>
        </is>
      </c>
      <c r="G2057" s="2" t="inlineStr">
        <is>
          <t>การปฏิบัติทางเภสัชกรรมชุมชน (Good Pharmacy Practice: GPP)</t>
        </is>
      </c>
      <c r="H2057" s="2" t="inlineStr">
        <is>
          <t>บัญชียาหลักแห่งชาติ (National List of Essential Medicines: NLEM)</t>
        </is>
      </c>
      <c r="I2057" s="8" t="inlineStr">
        <is>
          <t>1</t>
        </is>
      </c>
      <c r="J2057"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 ข้ออื่นผิดเพราะอะไร:
• ข้อ ข.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7" s="2" t="n"/>
      <c r="L2057" s="2" t="inlineStr">
        <is>
          <t>Pharmacy Laws &amp; Ethics</t>
        </is>
      </c>
      <c r="M2057" s="2" t="inlineStr">
        <is>
          <t>SAP</t>
        </is>
      </c>
      <c r="N2057" s="2" t="inlineStr">
        <is>
          <t>ข้อ 64 (PLE_CC1_Key_Rx20_UBU.md)</t>
        </is>
      </c>
      <c r="O2057" s="2" t="inlineStr">
        <is>
          <t>Mock</t>
        </is>
      </c>
      <c r="P2057" s="2" t="inlineStr">
        <is>
          <t>Mock Rx20 UBU</t>
        </is>
      </c>
    </row>
    <row r="2058" ht="13.2" customHeight="1" s="37">
      <c r="A2058" s="8" t="inlineStr">
        <is>
          <t>2079</t>
        </is>
      </c>
      <c r="B2058" s="2" t="inlineStr">
        <is>
          <t>เปลี่ยน Ceftazidime เปญน Ciproﬂoxacin</t>
        </is>
      </c>
      <c r="C2058" s="2" t="n"/>
      <c r="D2058" s="2" t="inlineStr">
        <is>
          <t>Dimercaprol (BAL) 3 mg/kg IM</t>
        </is>
      </c>
      <c r="E2058" s="2" t="inlineStr">
        <is>
          <t>Ethanol 10% IV infusion for Methanol poisoning</t>
        </is>
      </c>
      <c r="F2058" s="2" t="inlineStr">
        <is>
          <t>Fomepizole 15 mg/kg IV loading</t>
        </is>
      </c>
      <c r="G2058" s="2" t="inlineStr">
        <is>
          <t>N-acetylcysteine (NAC) IV infusion protocol</t>
        </is>
      </c>
      <c r="H2058" s="2" t="inlineStr">
        <is>
          <t>Atropine sulfate 2 mg IV Q5-10 min</t>
        </is>
      </c>
      <c r="I2058" s="8" t="inlineStr">
        <is>
          <t>1</t>
        </is>
      </c>
      <c r="J20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8" s="2" t="n"/>
      <c r="L2058" s="2" t="inlineStr">
        <is>
          <t>General Therapeutics</t>
        </is>
      </c>
      <c r="M2058" s="2" t="inlineStr">
        <is>
          <t>Clinic</t>
        </is>
      </c>
      <c r="N2058" s="2" t="inlineStr">
        <is>
          <t>ข้อ 2 (PLE_CC1_Key_Rx20_UBU.md)</t>
        </is>
      </c>
      <c r="O2058" s="2" t="inlineStr">
        <is>
          <t>Mock</t>
        </is>
      </c>
      <c r="P2058" s="2" t="inlineStr">
        <is>
          <t>Mock Rx20 UBU</t>
        </is>
      </c>
    </row>
    <row r="2059" ht="13.2" customHeight="1" s="37">
      <c r="A2059" s="8" t="inlineStr">
        <is>
          <t>2080</t>
        </is>
      </c>
      <c r="B2059" s="2" t="inlineStr">
        <is>
          <t>Clarithromycin MR (1000) 1 tab OD</t>
        </is>
      </c>
      <c r="C2059" s="2" t="n"/>
      <c r="D2059" s="2" t="inlineStr">
        <is>
          <t>Amoxicillin/Clavulanate 1 g BID</t>
        </is>
      </c>
      <c r="E2059" s="2" t="inlineStr">
        <is>
          <t>Ceftriaxone 1 g IV OD</t>
        </is>
      </c>
      <c r="F2059" s="2" t="inlineStr">
        <is>
          <t>Ciprofloxacin 500 mg BID</t>
        </is>
      </c>
      <c r="G2059" s="2" t="inlineStr">
        <is>
          <t>Azithromycin 500 mg OD</t>
        </is>
      </c>
      <c r="H2059" s="2" t="inlineStr">
        <is>
          <t>Doxycycline 100 mg BID</t>
        </is>
      </c>
      <c r="I2059" s="8" t="inlineStr">
        <is>
          <t>1</t>
        </is>
      </c>
      <c r="J2059" s="2" t="inlineStr">
        <is>
          <t>✅ คำตอบที่ถูกต้อง: ข้อ ก. Amoxicillin/Clavulanate 1 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59" s="2" t="n"/>
      <c r="L2059" s="2" t="inlineStr">
        <is>
          <t>Infectious Diseases</t>
        </is>
      </c>
      <c r="M2059" s="2" t="inlineStr">
        <is>
          <t>Clinic</t>
        </is>
      </c>
      <c r="N2059" s="2" t="inlineStr">
        <is>
          <t>ข้อ 3 (PLE_CC1_Key_Rx20_UBU.md)</t>
        </is>
      </c>
      <c r="O2059" s="2" t="inlineStr">
        <is>
          <t>Mock</t>
        </is>
      </c>
      <c r="P2059" s="2" t="inlineStr">
        <is>
          <t>Mock Rx20 UBU</t>
        </is>
      </c>
    </row>
    <row r="2060" ht="13.2" customHeight="1" s="37">
      <c r="A2060" s="8" t="inlineStr">
        <is>
          <t>2081</t>
        </is>
      </c>
      <c r="B2060" s="2" t="inlineStr">
        <is>
          <t>เปลี่ยน Clarithromycin เปญน Roxithromycin</t>
        </is>
      </c>
      <c r="C2060" s="2" t="n"/>
      <c r="D2060" s="2" t="inlineStr">
        <is>
          <t>Azithromycin 500 mg OD</t>
        </is>
      </c>
      <c r="E2060" s="2" t="inlineStr">
        <is>
          <t>Doxycycline 100 mg BID</t>
        </is>
      </c>
      <c r="F2060" s="2" t="inlineStr">
        <is>
          <t>Cotrimoxazole 160/800 mg BID</t>
        </is>
      </c>
      <c r="G2060" s="2" t="inlineStr">
        <is>
          <t>Metronidazole 400 mg TID</t>
        </is>
      </c>
      <c r="H2060" s="2" t="inlineStr">
        <is>
          <t>Nitrofurantoin 100 mg BID</t>
        </is>
      </c>
      <c r="I2060" s="8" t="inlineStr">
        <is>
          <t>1</t>
        </is>
      </c>
      <c r="J2060" s="2" t="inlineStr">
        <is>
          <t>✅ คำตอบที่ถูกต้อง: ข้อ ก. Azithromycin 500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0" s="2" t="n"/>
      <c r="L2060" s="2" t="inlineStr">
        <is>
          <t>Infectious Diseases</t>
        </is>
      </c>
      <c r="M2060" s="2" t="inlineStr">
        <is>
          <t>Clinic</t>
        </is>
      </c>
      <c r="N2060" s="2" t="inlineStr">
        <is>
          <t>ข้อ 4 (PLE_CC1_Key_Rx20_UBU.md)</t>
        </is>
      </c>
      <c r="O2060" s="2" t="inlineStr">
        <is>
          <t>Mock</t>
        </is>
      </c>
      <c r="P2060" s="2" t="inlineStr">
        <is>
          <t>Mock Rx20 UBU</t>
        </is>
      </c>
    </row>
    <row r="2061" ht="13.2" customHeight="1" s="37">
      <c r="A2061" s="8" t="inlineStr">
        <is>
          <t>2082</t>
        </is>
      </c>
      <c r="B2061" s="2" t="inlineStr">
        <is>
          <t>จำกัดปริมาณยาเพียง 4 มิลลิลิตร</t>
        </is>
      </c>
      <c r="C2061" s="2" t="n"/>
      <c r="D2061" s="2" t="inlineStr">
        <is>
          <t>Sodium thiosulfate 25% 50 mL IV</t>
        </is>
      </c>
      <c r="E2061" s="2" t="inlineStr">
        <is>
          <t>Calcium disodium EDTA 1 g IV</t>
        </is>
      </c>
      <c r="F2061" s="2" t="inlineStr">
        <is>
          <t>Desferrioxamine 1 g IM/IV</t>
        </is>
      </c>
      <c r="G2061" s="2" t="inlineStr">
        <is>
          <t>Dimercaprol (BAL) 3 mg/kg IM</t>
        </is>
      </c>
      <c r="H2061" s="2" t="inlineStr">
        <is>
          <t>Ethanol 10% IV infusion for Methanol poisoning</t>
        </is>
      </c>
      <c r="I2061" s="8" t="inlineStr">
        <is>
          <t>1</t>
        </is>
      </c>
      <c r="J20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1" s="2" t="n"/>
      <c r="L2061" s="2" t="inlineStr">
        <is>
          <t>General Therapeutics</t>
        </is>
      </c>
      <c r="M2061" s="2" t="inlineStr">
        <is>
          <t>Clinic</t>
        </is>
      </c>
      <c r="N2061" s="2" t="inlineStr">
        <is>
          <t>ข้อ 1 (PLE_CC1_Key_Rx20_UBU.md)</t>
        </is>
      </c>
      <c r="O2061" s="2" t="inlineStr">
        <is>
          <t>Mock</t>
        </is>
      </c>
      <c r="P2061" s="2" t="inlineStr">
        <is>
          <t>Mock Rx20 UBU</t>
        </is>
      </c>
    </row>
    <row r="2062" ht="13.2" customHeight="1" s="37">
      <c r="A2062" s="8" t="inlineStr">
        <is>
          <t>2083</t>
        </is>
      </c>
      <c r="B2062" s="2" t="inlineStr">
        <is>
          <t>- สถานการณ) 8 ชายไทย อายุ 35 ป3 ไมGมีโรคประจำตัว ไมGแพ$ยา เครียดจากการทำงาน วิตกกังวล นอนไมGคGอยหลับเสมอ ดื่มสุราและเบียร_เปญนประจำทุกวัน มาพบแพทย_ แพทย_จGายยา ดังนี้</t>
        </is>
      </c>
      <c r="C2062" s="2" t="n"/>
      <c r="D2062" s="2" t="inlineStr">
        <is>
          <t>Dimercaprol (BAL) 3 mg/kg IM</t>
        </is>
      </c>
      <c r="E2062" s="2" t="inlineStr">
        <is>
          <t>Ethanol 10% IV infusion for Methanol poisoning</t>
        </is>
      </c>
      <c r="F2062" s="2" t="inlineStr">
        <is>
          <t>Fomepizole 15 mg/kg IV loading</t>
        </is>
      </c>
      <c r="G2062" s="2" t="inlineStr">
        <is>
          <t>N-acetylcysteine (NAC) IV infusion protocol</t>
        </is>
      </c>
      <c r="H2062" s="2" t="inlineStr">
        <is>
          <t>Atropine sulfate 2 mg IV Q5-10 min</t>
        </is>
      </c>
      <c r="I2062" s="8" t="inlineStr">
        <is>
          <t>1</t>
        </is>
      </c>
      <c r="J20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2" s="2" t="n"/>
      <c r="L2062" s="2" t="inlineStr">
        <is>
          <t>General Therapeutics</t>
        </is>
      </c>
      <c r="M2062" s="2" t="inlineStr">
        <is>
          <t>Clinic</t>
        </is>
      </c>
      <c r="N2062" s="2" t="inlineStr">
        <is>
          <t>ข้อ 70 (PLE_CC1_Key_Rx20_UBU.md)</t>
        </is>
      </c>
      <c r="O2062" s="2" t="inlineStr">
        <is>
          <t>Mock</t>
        </is>
      </c>
      <c r="P2062" s="2" t="inlineStr">
        <is>
          <t>Mock Rx20 UBU</t>
        </is>
      </c>
    </row>
    <row r="2063" ht="13.2" customHeight="1" s="37">
      <c r="A2063" s="8" t="inlineStr">
        <is>
          <t>2084</t>
        </is>
      </c>
      <c r="B2063" s="2" t="inlineStr">
        <is>
          <t>Zolpidem 1x1 hs เวลานอนไมGหลับ</t>
        </is>
      </c>
      <c r="C2063" s="2" t="n"/>
      <c r="D2063" s="2" t="inlineStr">
        <is>
          <t>N-acetylcysteine (NAC) IV infusion protocol</t>
        </is>
      </c>
      <c r="E2063" s="2" t="inlineStr">
        <is>
          <t>Atropine sulfate 2 mg IV Q5-10 min</t>
        </is>
      </c>
      <c r="F2063" s="2" t="inlineStr">
        <is>
          <t>Pralidoxime (2-PAM) 1-2 g IV over 30 min</t>
        </is>
      </c>
      <c r="G2063" s="2" t="inlineStr">
        <is>
          <t>Naloxone 0.4 mg IV stat</t>
        </is>
      </c>
      <c r="H2063" s="2" t="inlineStr">
        <is>
          <t>Flumazenil 0.2 mg IV stat</t>
        </is>
      </c>
      <c r="I2063" s="8" t="inlineStr">
        <is>
          <t>1</t>
        </is>
      </c>
      <c r="J20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63" s="2" t="n"/>
      <c r="L2063" s="2" t="inlineStr">
        <is>
          <t>General Therapeutics</t>
        </is>
      </c>
      <c r="M2063" s="2" t="inlineStr">
        <is>
          <t>Clinic</t>
        </is>
      </c>
      <c r="N2063" s="2" t="inlineStr">
        <is>
          <t>ข้อ 3 (PLE_CC1_Key_Rx20_UBU.md)</t>
        </is>
      </c>
      <c r="O2063" s="2" t="inlineStr">
        <is>
          <t>Mock</t>
        </is>
      </c>
      <c r="P2063" s="2" t="inlineStr">
        <is>
          <t>Mock Rx20 UBU</t>
        </is>
      </c>
    </row>
    <row r="2064" ht="13.2" customHeight="1" s="37">
      <c r="A2064" s="8" t="inlineStr">
        <is>
          <t>2085</t>
        </is>
      </c>
      <c r="B2064" s="2" t="inlineStr">
        <is>
          <t>ข$อใดตGอไปนี้ถูกต$อง</t>
        </is>
      </c>
      <c r="C2064" s="2" t="n"/>
      <c r="D2064" s="2" t="inlineStr">
        <is>
          <t>Alprazolam ลดวิตกกังวลได$โดยตรง</t>
        </is>
      </c>
      <c r="E2064" s="2" t="inlineStr">
        <is>
          <t>Fuloxetine เปญน SSRI ซึ่งชGวยทำให$ Zopidem ออกฤทธิ์ได$ดีขึ้น</t>
        </is>
      </c>
      <c r="F2064" s="2" t="inlineStr">
        <is>
          <t>Zolpidem ชGวยลดอาการวิตกกังวลได$</t>
        </is>
      </c>
      <c r="G2064" s="2" t="inlineStr">
        <is>
          <t>Fluoxetine ออกฤทธิ์ชGวยให$นอนหลับได$โดยตรง</t>
        </is>
      </c>
      <c r="H2064" s="2" t="inlineStr">
        <is>
          <t>ข$อ ก เพราะวิตกกังวลเกิดจาก amygdala hyperactivity จึงต$องไปกระตุ$น GABA-A receptor เยอะๆ เพื่อให$มันไปยับยั้ง amygdala อีกที กลุGมยารักษา SSRI, SNRI TCA BDZ จึงมีผลลดวิตกกังวลโดยตรง, ข$อ ข ต$องเปญน Zopidem ทำให$เพิ่มอาการข$างเคียงจาก SSRI, ข$อ ค ไมGใชGเพราะมีข$อบGงใช$ชGวยหลับเทGานั้น, ง. SSRI ไมGได$มีผลโดยตรงทำให$นอนหลับ แตGกลไกไปลด hyperactivity จึงงGวงเฉยๆ เปญนอาการข$างเคียง</t>
        </is>
      </c>
      <c r="I2064" s="8" t="inlineStr">
        <is>
          <t>2</t>
        </is>
      </c>
      <c r="J2064" s="2" t="inlineStr">
        <is>
          <t>✅ คำตอบที่ถูกต้อง: ข้อ ข. Fuloxetine เปญน SSRI ซึ่งชGวยทำให$ Zopidem ออกฤทธิ์ได$ดีขึ้น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Fuloxetine เปญน SSRI ซึ่งชGวยทำให$ Zopidem ออกฤทธิ์ได$ดีขึ้น Fuloxetine เปญน SSRI ซึ่งช G วยทำให$ Zopidem ออกฤทธิ์ได$ดีขึ้น Fuloxetine เปญน SSRI ซึ่งช G วยทำให$ Zopidem ออกฤทธิ์ได$ดีขึ้น Fuloxetine เปญน SSRI ซึ่งช G วยทำให$ Zopidem ออกฤทธิ์ได$ดีขึ้น การเลือก Fuloxetine เปญน SSRI ซึ่งช G วยทำให$ Zopidem ออกฤทธิ์ได$ดีขึ้น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(Alprazolam ลดวิตกกังวลได$โดยตรง): เป็น intermediate-acting Benzodiazepine ออกฤทธิ์เร็ว เหมาะสำหรับ panic attack แต่มีโอกาสเกิด dependence และ rebound anxiety สูงเมื่อหยุดยา
• ข้อ ค. (Zolpidem ชGวยลดอาการวิตกกังวลได$): เป็น non-benzodiazepine Z-drug จับจำเพาะกับ BZ1 (omega-1) receptor ช่วยเหนี่ยวนำการนอนหลับ แต่ต้องระวัง parasomnia (sleep-walking, sleep-eating)
• ข้อ ง. (Fluoxetine ออกฤทธิ์ชGวยให$นอนหลับได$โดยตรง): เป็น SSRI มี half-life ยาวที่สุดในกลุ่ม (ร่วมกับ active metabolite norfluoxetine) จึงมี discontinuation syndrome ต่ำ แต่ยับยั้ง CYP2D6 สูง
• ข้อ จ. (ข$อ ก เพราะวิตกกังวลเกิดจาก amygdala hyperactivity จึงต$องไปกระตุ$น GABA-A receptor เยอะๆ เพื่อให$มันไปยับยั้ง amygdala อีกที กลุGมยารักษา SSRI, SNRI TCA BDZ จึงมีผลลดวิตกกังวลโดยตรง, ข$อ ข ต$องเปญน Zopidem ทำให$เพิ่มอาการข$างเคียงจาก SSRI, ข$อ ค ไมGใชGเพราะมีข$อบGงใช$ชGวยหลับเทGานั้น, ง. SSRI ไมGได$มีผลโดยตรงทำให$นอนหลับ แตGกลไกไปลด hyperactivity จึงงGวงเฉยๆ เปญนอาการข$างเคียง):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4" s="2" t="n"/>
      <c r="L2064" s="2" t="inlineStr">
        <is>
          <t>General Therapeutics</t>
        </is>
      </c>
      <c r="M2064" s="2" t="inlineStr">
        <is>
          <t>Clinic</t>
        </is>
      </c>
      <c r="N2064" s="2" t="inlineStr">
        <is>
          <t>ข้อ 71 (PLE_CC1_Key_Rx20_UBU.md)</t>
        </is>
      </c>
      <c r="O2064" s="2" t="inlineStr">
        <is>
          <t>Mock</t>
        </is>
      </c>
      <c r="P2064" s="2" t="inlineStr">
        <is>
          <t>Mock Rx20 UBU</t>
        </is>
      </c>
    </row>
    <row r="2065" ht="13.2" customHeight="1" s="37">
      <c r="A2065" s="8" t="inlineStr">
        <is>
          <t>2086</t>
        </is>
      </c>
      <c r="B2065" s="2" t="inlineStr">
        <is>
          <t>กGอนมาพบแพทย_ผู$ป&amp;วยได$เลิกสุราด$วยวิธีหักดิบ จากที่ปกติแล$วดื่มสุราทุกวัน เปญนเวลา 6 ป3 โดยหลังจากหักดิบผู$ป&amp;วยมีอาการกระวนกระวาย เพ$อ(อาการถอนเหล$าอGะ) ควรใช$ยาใดเพื่อบรรเทาอาการดังกลGาว</t>
        </is>
      </c>
      <c r="C2065" s="2" t="n"/>
      <c r="D2065" s="2" t="inlineStr">
        <is>
          <t>Sodium thiosulfate 25% 50 mL IV</t>
        </is>
      </c>
      <c r="E2065" s="2" t="inlineStr">
        <is>
          <t>Calcium disodium EDTA 1 g IV</t>
        </is>
      </c>
      <c r="F2065" s="2" t="inlineStr">
        <is>
          <t>Desferrioxamine 1 g IM/IV</t>
        </is>
      </c>
      <c r="G2065" s="2" t="inlineStr">
        <is>
          <t>Dimercaprol (BAL) 3 mg/kg IM</t>
        </is>
      </c>
      <c r="H2065" s="2" t="inlineStr">
        <is>
          <t>Ethanol 10% IV infusion for Methanol poisoning</t>
        </is>
      </c>
      <c r="I2065" s="8" t="inlineStr">
        <is>
          <t>1</t>
        </is>
      </c>
      <c r="J20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5" s="2" t="n"/>
      <c r="L2065" s="2" t="inlineStr">
        <is>
          <t>General Therapeutics</t>
        </is>
      </c>
      <c r="M2065" s="2" t="inlineStr">
        <is>
          <t>Clinic</t>
        </is>
      </c>
      <c r="N2065" s="2" t="inlineStr">
        <is>
          <t>ข้อ 73 (PLE_CC1_Key_Rx20_UBU.md)</t>
        </is>
      </c>
      <c r="O2065" s="2" t="inlineStr">
        <is>
          <t>Mock</t>
        </is>
      </c>
      <c r="P2065" s="2" t="inlineStr">
        <is>
          <t>Mock Rx20 UBU</t>
        </is>
      </c>
    </row>
    <row r="2066" ht="13.2" customHeight="1" s="37">
      <c r="A2066" s="8" t="inlineStr">
        <is>
          <t>2087</t>
        </is>
      </c>
      <c r="B2066" s="2" t="inlineStr">
        <is>
          <t>หากผู$ป&amp;วยเปญนโรคตับ จะใช$อะไรแทน</t>
        </is>
      </c>
      <c r="C2066" s="2" t="n"/>
      <c r="D2066" s="2" t="inlineStr">
        <is>
          <t>Dimercaprol (BAL) 3 mg/kg IM</t>
        </is>
      </c>
      <c r="E2066" s="2" t="inlineStr">
        <is>
          <t>Ethanol 10% IV infusion for Methanol poisoning</t>
        </is>
      </c>
      <c r="F2066" s="2" t="inlineStr">
        <is>
          <t>Fomepizole 15 mg/kg IV loading</t>
        </is>
      </c>
      <c r="G2066" s="2" t="inlineStr">
        <is>
          <t>N-acetylcysteine (NAC) IV infusion protocol</t>
        </is>
      </c>
      <c r="H2066" s="2" t="inlineStr">
        <is>
          <t>Atropine sulfate 2 mg IV Q5-10 min</t>
        </is>
      </c>
      <c r="I2066" s="8" t="inlineStr">
        <is>
          <t>1</t>
        </is>
      </c>
      <c r="J20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6" s="2" t="n"/>
      <c r="L2066" s="2" t="inlineStr">
        <is>
          <t>General Therapeutics</t>
        </is>
      </c>
      <c r="M2066" s="2" t="inlineStr">
        <is>
          <t>Clinic</t>
        </is>
      </c>
      <c r="N2066" s="2" t="inlineStr">
        <is>
          <t>ข้อ 74 (PLE_CC1_Key_Rx20_UBU.md)</t>
        </is>
      </c>
      <c r="O2066" s="2" t="inlineStr">
        <is>
          <t>Mock</t>
        </is>
      </c>
      <c r="P2066" s="2" t="inlineStr">
        <is>
          <t>Mock Rx20 UBU</t>
        </is>
      </c>
    </row>
    <row r="2067" ht="13.2" customHeight="1" s="37">
      <c r="A2067" s="8" t="inlineStr">
        <is>
          <t>2088</t>
        </is>
      </c>
      <c r="B2067" s="2" t="inlineStr">
        <is>
          <t>Methanol:Water (20:80)</t>
        </is>
      </c>
      <c r="C2067" s="2" t="n"/>
      <c r="D2067" s="2" t="inlineStr">
        <is>
          <t>N-acetylcysteine (NAC) IV infusion protocol</t>
        </is>
      </c>
      <c r="E2067" s="2" t="inlineStr">
        <is>
          <t>Atropine sulfate 2 mg IV Q5-10 min</t>
        </is>
      </c>
      <c r="F2067" s="2" t="inlineStr">
        <is>
          <t>Pralidoxime (2-PAM) 1-2 g IV over 30 min</t>
        </is>
      </c>
      <c r="G2067" s="2" t="inlineStr">
        <is>
          <t>Naloxone 0.4 mg IV stat</t>
        </is>
      </c>
      <c r="H2067" s="2" t="inlineStr">
        <is>
          <t>Flumazenil 0.2 mg IV stat</t>
        </is>
      </c>
      <c r="I2067" s="8" t="inlineStr">
        <is>
          <t>1</t>
        </is>
      </c>
      <c r="J2067" s="2" t="inlineStr">
        <is>
          <t>✅ คำตอบที่ถูกต้อง: ข้อ ก. N-acetylcysteine (NAC) IV infusion protocol
💡 Background:
ภาวะ acute poisoning ต้องได้รับการประเมิน supportive care ควบคู่กับการให้ specific antidote อย่างทันท่วงที
🎯 ทำไมข้อนี้ถึงถูก:
N-acetylcysteine (NAC) IV infusion protocol การเลือก N-acetylcysteine (NAC) IV infusion protocol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Toxicology &amp; Antidote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67" s="2" t="n"/>
      <c r="L2067" s="2" t="inlineStr">
        <is>
          <t>Toxicology &amp; Antidote</t>
        </is>
      </c>
      <c r="M2067" s="2" t="inlineStr">
        <is>
          <t>Clinic</t>
        </is>
      </c>
      <c r="N2067" s="2" t="inlineStr">
        <is>
          <t>ข้อ 1 (PLE_CC1_Key_Rx20_UBU.md)</t>
        </is>
      </c>
      <c r="O2067" s="2" t="inlineStr">
        <is>
          <t>Mock</t>
        </is>
      </c>
      <c r="P2067" s="2" t="inlineStr">
        <is>
          <t>Mock Rx20 UBU</t>
        </is>
      </c>
    </row>
    <row r="2068" ht="13.2" customHeight="1" s="37">
      <c r="A2068" s="8" t="inlineStr">
        <is>
          <t>2089</t>
        </is>
      </c>
      <c r="B2068" s="2" t="inlineStr">
        <is>
          <t>Acetonitrile:Water (30:70)</t>
        </is>
      </c>
      <c r="C2068" s="2" t="n"/>
      <c r="D2068" s="2" t="inlineStr">
        <is>
          <t>Naloxone 0.4 mg IV stat</t>
        </is>
      </c>
      <c r="E2068" s="2" t="inlineStr">
        <is>
          <t>Flumazenil 0.2 mg IV stat</t>
        </is>
      </c>
      <c r="F2068" s="2" t="inlineStr">
        <is>
          <t>Vitamin K1 (Phytomenadione) 10 mg IV slow</t>
        </is>
      </c>
      <c r="G2068" s="2" t="inlineStr">
        <is>
          <t>Sodium thiosulfate 25% 50 mL IV</t>
        </is>
      </c>
      <c r="H2068" s="2" t="inlineStr">
        <is>
          <t>Calcium disodium EDTA 1 g IV</t>
        </is>
      </c>
      <c r="I2068" s="8" t="inlineStr">
        <is>
          <t>1</t>
        </is>
      </c>
      <c r="J20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68" s="2" t="n"/>
      <c r="L2068" s="2" t="inlineStr">
        <is>
          <t>General Therapeutics</t>
        </is>
      </c>
      <c r="M2068" s="2" t="inlineStr">
        <is>
          <t>Clinic</t>
        </is>
      </c>
      <c r="N2068" s="2" t="inlineStr">
        <is>
          <t>ข้อ 2 (PLE_CC1_Key_Rx20_UBU.md)</t>
        </is>
      </c>
      <c r="O2068" s="2" t="inlineStr">
        <is>
          <t>Mock</t>
        </is>
      </c>
      <c r="P2068" s="2" t="inlineStr">
        <is>
          <t>Mock Rx20 UBU</t>
        </is>
      </c>
    </row>
    <row r="2069" ht="13.2" customHeight="1" s="37">
      <c r="A2069" s="8" t="inlineStr">
        <is>
          <t>2090</t>
        </is>
      </c>
      <c r="B2069" s="2" t="inlineStr">
        <is>
          <t>Methanol: Buffer….pH 5 (60:40)</t>
        </is>
      </c>
      <c r="C2069" s="2" t="n"/>
      <c r="D2069" s="2" t="inlineStr">
        <is>
          <t>Sodium thiosulfate 25% 50 mL IV</t>
        </is>
      </c>
      <c r="E2069" s="2" t="inlineStr">
        <is>
          <t>Calcium disodium EDTA 1 g IV</t>
        </is>
      </c>
      <c r="F2069" s="2" t="inlineStr">
        <is>
          <t>Desferrioxamine 1 g IM/IV</t>
        </is>
      </c>
      <c r="G2069" s="2" t="inlineStr">
        <is>
          <t>Dimercaprol (BAL) 3 mg/kg IM</t>
        </is>
      </c>
      <c r="H2069" s="2" t="inlineStr">
        <is>
          <t>Ethanol 10% IV infusion for Methanol poisoning</t>
        </is>
      </c>
      <c r="I2069" s="8" t="inlineStr">
        <is>
          <t>1</t>
        </is>
      </c>
      <c r="J2069" s="2" t="inlineStr">
        <is>
          <t>✅ คำตอบที่ถูกต้อง: ข้อ ก. Sodium thiosulfate 25% 50 mL IV
💡 Background:
ภาวะ acute poisoning ต้องได้รับการประเมิน supportive care ควบคู่กับการให้ specific antidote อย่างทันท่วงที
🎯 ทำไมข้อนี้ถึงถูก:
Sodium thiosulfate 25% 50 mL IV การเลือก Sodium thiosulfate 25% 50 mL IV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Toxicology &amp; Antidote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2069" s="2" t="n"/>
      <c r="L2069" s="2" t="inlineStr">
        <is>
          <t>Toxicology &amp; Antidote</t>
        </is>
      </c>
      <c r="M2069" s="2" t="inlineStr">
        <is>
          <t>Clinic</t>
        </is>
      </c>
      <c r="N2069" s="2" t="inlineStr">
        <is>
          <t>ข้อ 3 (PLE_CC1_Key_Rx20_UBU.md)</t>
        </is>
      </c>
      <c r="O2069" s="2" t="inlineStr">
        <is>
          <t>Mock</t>
        </is>
      </c>
      <c r="P2069" s="2" t="inlineStr">
        <is>
          <t>Mock Rx20 UBU</t>
        </is>
      </c>
    </row>
    <row r="2070" ht="13.2" customHeight="1" s="37">
      <c r="A2070" s="8" t="inlineStr">
        <is>
          <t>2091</t>
        </is>
      </c>
      <c r="B2070" s="2" t="inlineStr">
        <is>
          <t>Methanol: Buffer…pH 8 (60:40)</t>
        </is>
      </c>
      <c r="C2070" s="2" t="n"/>
      <c r="D2070" s="2" t="inlineStr">
        <is>
          <t>Dimercaprol (BAL) 3 mg/kg IM</t>
        </is>
      </c>
      <c r="E2070" s="2" t="inlineStr">
        <is>
          <t>Ethanol 10% IV infusion for Methanol poisoning</t>
        </is>
      </c>
      <c r="F2070" s="2" t="inlineStr">
        <is>
          <t>Fomepizole 15 mg/kg IV loading</t>
        </is>
      </c>
      <c r="G2070" s="2" t="inlineStr">
        <is>
          <t>N-acetylcysteine (NAC) IV infusion protocol</t>
        </is>
      </c>
      <c r="H2070" s="2" t="inlineStr">
        <is>
          <t>Atropine sulfate 2 mg IV Q5-10 min</t>
        </is>
      </c>
      <c r="I2070" s="8" t="inlineStr">
        <is>
          <t>1</t>
        </is>
      </c>
      <c r="J2070" s="2" t="inlineStr">
        <is>
          <t>✅ คำตอบที่ถูกต้อง: ข้อ ก. Dimercaprol (BAL) 3 mg/kg IM
💡 Background:
ภาวะ acute poisoning ต้องได้รับการประเมิน supportive care ควบคู่กับการให้ specific antidote อย่างทันท่วงที
🎯 ทำไมข้อนี้ถึงถูก:
Dimercaprol (BAL) 3 mg/kg IM การเลือก Dimercaprol (BAL) 3 mg/kg IM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Toxicology &amp; Antidote เนื่องจากกลไกการออกฤทธิ์, efficacy หรือข้อบ่งใช้ไม่ตรงกับโจทย์ที่กำหนด
• ข้อ ค. (Fomepizole 15 mg/kg IV loading): ข้อนี้ไม่ใช่คำตอบที่ถูกต้องสำหรับภาวะ Toxicology &amp; Antidote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Toxicology &amp; Antidote เนื่องจากกลไกการออกฤทธิ์, efficacy หรือข้อบ่งใช้ไม่ตรงกับโจทย์ที่กำหนด
• ข้อ จ.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2070" s="2" t="n"/>
      <c r="L2070" s="2" t="inlineStr">
        <is>
          <t>Toxicology &amp; Antidote</t>
        </is>
      </c>
      <c r="M2070" s="2" t="inlineStr">
        <is>
          <t>Clinic</t>
        </is>
      </c>
      <c r="N2070" s="2" t="inlineStr">
        <is>
          <t>ข้อ 4 (PLE_CC1_Key_Rx20_UBU.md)</t>
        </is>
      </c>
      <c r="O2070" s="2" t="inlineStr">
        <is>
          <t>Mock</t>
        </is>
      </c>
      <c r="P2070" s="2" t="inlineStr">
        <is>
          <t>Mock Rx20 UBU</t>
        </is>
      </c>
    </row>
    <row r="2071" ht="13.2" customHeight="1" s="37">
      <c r="A2071" s="8" t="inlineStr">
        <is>
          <t>2092</t>
        </is>
      </c>
      <c r="B2071" s="2" t="inlineStr">
        <is>
          <t>Methanol: Buffer….pH 11.2 (60:40) ซึ่งคิดวGาควรดูพวกคGาการแตกตัว แล$วเลือก buffer ที่เหมาะสม</t>
        </is>
      </c>
      <c r="C2071" s="2" t="n"/>
      <c r="D2071" s="2" t="inlineStr">
        <is>
          <t>N-acetylcysteine (NAC) IV infusion protocol</t>
        </is>
      </c>
      <c r="E2071" s="2" t="inlineStr">
        <is>
          <t>Atropine sulfate 2 mg IV Q5-10 min</t>
        </is>
      </c>
      <c r="F2071" s="2" t="inlineStr">
        <is>
          <t>Pralidoxime (2-PAM) 1-2 g IV over 30 min</t>
        </is>
      </c>
      <c r="G2071" s="2" t="inlineStr">
        <is>
          <t>Naloxone 0.4 mg IV stat</t>
        </is>
      </c>
      <c r="H2071" s="2" t="inlineStr">
        <is>
          <t>Flumazenil 0.2 mg IV stat</t>
        </is>
      </c>
      <c r="I2071" s="8" t="inlineStr">
        <is>
          <t>5</t>
        </is>
      </c>
      <c r="J2071" s="2" t="inlineStr">
        <is>
          <t>✅ คำตอบที่ถูกต้อง: ข้อ จ. Flumazenil 0.2 mg IV stat
💡 Background:
ภาวะ acute poisoning ต้องได้รับการประเมิน supportive care ควบคู่กับการให้ specific antidote อย่างทันท่วงที
🎯 ทำไมข้อนี้ถึงถูก:
Flumazenil 0.2 mg IV stat การเลือก Flumazenil 0.2 mg IV stat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Toxicology &amp; Antidote เนื่องจากกลไกการออกฤทธิ์, efficacy หรือข้อบ่งใช้ไม่ตรงกับโจทย์ที่กำหนด
• ข้อ ข. (Atropine sulfate 2 mg IV Q5-10 min): ข้อนี้ไม่ใช่คำตอบที่ถูกต้องสำหรับภาวะ Toxicology &amp; Antidote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Toxicology &amp; Antidote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071" s="2" t="n"/>
      <c r="L2071" s="2" t="inlineStr">
        <is>
          <t>Toxicology &amp; Antidote</t>
        </is>
      </c>
      <c r="M2071" s="2" t="inlineStr">
        <is>
          <t>Clinic</t>
        </is>
      </c>
      <c r="N2071" s="2" t="inlineStr">
        <is>
          <t>ข้อ 5 (PLE_CC1_Key_Rx20_UBU.md)</t>
        </is>
      </c>
      <c r="O2071" s="2" t="inlineStr">
        <is>
          <t>Mock</t>
        </is>
      </c>
      <c r="P2071" s="2" t="inlineStr">
        <is>
          <t>Mock Rx20 UBU</t>
        </is>
      </c>
    </row>
    <row r="2072" ht="13.2" customHeight="1" s="37">
      <c r="A2072" s="8" t="inlineStr">
        <is>
          <t>2093</t>
        </is>
      </c>
      <c r="B2072" s="2" t="inlineStr">
        <is>
          <t>81. – สถานการณ) 9 ผู$ป&amp;วยหญิงอายุ 22 ป3 น้ำหนัก 50 กิโลกรัม มีประวัติเปญนโรคธาลัสซีเมีย</t>
        </is>
      </c>
      <c r="C2072" s="2" t="n"/>
      <c r="D2072" s="2" t="inlineStr">
        <is>
          <t>Naloxone 0.4 mg IV stat</t>
        </is>
      </c>
      <c r="E2072" s="2" t="inlineStr">
        <is>
          <t>Flumazenil 0.2 mg IV stat</t>
        </is>
      </c>
      <c r="F2072" s="2" t="inlineStr">
        <is>
          <t>Vitamin K1 (Phytomenadione) 10 mg IV slow</t>
        </is>
      </c>
      <c r="G2072" s="2" t="inlineStr">
        <is>
          <t>Sodium thiosulfate 25% 50 mL IV</t>
        </is>
      </c>
      <c r="H2072" s="2" t="inlineStr">
        <is>
          <t>Calcium disodium EDTA 1 g IV</t>
        </is>
      </c>
      <c r="I2072" s="8" t="inlineStr">
        <is>
          <t>1</t>
        </is>
      </c>
      <c r="J20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72" s="2" t="n"/>
      <c r="L2072" s="2" t="inlineStr">
        <is>
          <t>General Therapeutics</t>
        </is>
      </c>
      <c r="M2072" s="2" t="inlineStr">
        <is>
          <t>Clinic</t>
        </is>
      </c>
      <c r="N2072" s="2" t="inlineStr">
        <is>
          <t>ข้อ 80 (PLE_CC1_Key_Rx20_UBU.md)</t>
        </is>
      </c>
      <c r="O2072" s="2" t="inlineStr">
        <is>
          <t>Mock</t>
        </is>
      </c>
      <c r="P2072" s="2" t="inlineStr">
        <is>
          <t>Mock Rx20 UBU</t>
        </is>
      </c>
    </row>
    <row r="2073" ht="13.2" customHeight="1" s="37">
      <c r="A2073" s="8" t="inlineStr">
        <is>
          <t>2094</t>
        </is>
      </c>
      <c r="B2073" s="2" t="inlineStr">
        <is>
          <t>กรณีที่ผู$ป&amp;วยหญิงคนดังกลGาวเปญนธาลัสซีเมียที่มีความผิดปกติที่ยีนเบต$าทั้งสอง allele แตGงงานกับชายปกติ โอกาสที่ลูกจะเปญนพาหะธาลัสซีเมียเปญนเทGาใด</t>
        </is>
      </c>
      <c r="C2073" s="2" t="n"/>
      <c r="D2073" s="8" t="inlineStr">
        <is>
          <t>0%</t>
        </is>
      </c>
      <c r="E2073" s="8" t="inlineStr">
        <is>
          <t>25%</t>
        </is>
      </c>
      <c r="F2073" s="8" t="inlineStr">
        <is>
          <t>50%</t>
        </is>
      </c>
      <c r="G2073" s="8" t="inlineStr">
        <is>
          <t>75%</t>
        </is>
      </c>
      <c r="H2073" s="8" t="inlineStr">
        <is>
          <t>100%</t>
        </is>
      </c>
      <c r="I2073" s="8" t="inlineStr">
        <is>
          <t>2</t>
        </is>
      </c>
      <c r="J2073" s="2" t="inlineStr">
        <is>
          <t>✅ คำตอบที่ถูกต้อง: ข้อ ข. 25%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25% การเลือก 25%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(0%): ข้อนี้ไม่ใช่คำตอบที่ถูกต้องสำหรับภาวะ General Therapeutics เนื่องจากกลไกการออกฤทธิ์, efficacy หรือข้อบ่งใช้ไม่ตรงกับโจทย์ที่กำหนด
• ข้อ ค. (50%): ข้อนี้ไม่ใช่คำตอบที่ถูกต้องสำหรับภาวะ General Therapeutics เนื่องจากกลไกการออกฤทธิ์, efficacy หรือข้อบ่งใช้ไม่ตรงกับโจทย์ที่กำหนด
• ข้อ ง. (75%): ข้อนี้ไม่ใช่คำตอบที่ถูกต้องสำหรับภาวะ General Therapeutics เนื่องจากกลไกการออกฤทธิ์, efficacy หรือข้อบ่งใช้ไม่ตรงกับโจทย์ที่กำหนด
• ข้อ จ. (100%):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73" s="2" t="n"/>
      <c r="L2073" s="2" t="inlineStr">
        <is>
          <t>General Therapeutics</t>
        </is>
      </c>
      <c r="M2073" s="2" t="inlineStr">
        <is>
          <t>Clinic</t>
        </is>
      </c>
      <c r="N2073" s="2" t="inlineStr">
        <is>
          <t>ข้อ 84 (PLE_CC1_Key_Rx20_UBU.md)</t>
        </is>
      </c>
      <c r="O2073" s="2" t="inlineStr">
        <is>
          <t>Mock</t>
        </is>
      </c>
      <c r="P2073" s="2" t="inlineStr">
        <is>
          <t>Mock Rx20 UBU</t>
        </is>
      </c>
    </row>
    <row r="2074" ht="13.2" customHeight="1" s="37">
      <c r="A2074" s="8" t="inlineStr">
        <is>
          <t>2095</t>
        </is>
      </c>
      <c r="B2074" s="2" t="inlineStr">
        <is>
          <t>– สถานการณ) 10 เด็กอายุ 10 ป3ถูกสุนัขกัดที่ไหลG เปญนแผลฉกรรจ_มีเลือดไหล โดยไมGแนGใจวGาสุนัขมีอาการพิษสุนัขบ$าหรือไมG</t>
        </is>
      </c>
      <c r="C2074" s="2" t="n"/>
      <c r="D2074" s="2" t="inlineStr">
        <is>
          <t>Dimercaprol (BAL) 3 mg/kg IM</t>
        </is>
      </c>
      <c r="E2074" s="2" t="inlineStr">
        <is>
          <t>Ethanol 10% IV infusion for Methanol poisoning</t>
        </is>
      </c>
      <c r="F2074" s="2" t="inlineStr">
        <is>
          <t>Fomepizole 15 mg/kg IV loading</t>
        </is>
      </c>
      <c r="G2074" s="2" t="inlineStr">
        <is>
          <t>N-acetylcysteine (NAC) IV infusion protocol</t>
        </is>
      </c>
      <c r="H2074" s="2" t="inlineStr">
        <is>
          <t>Atropine sulfate 2 mg IV Q5-10 min</t>
        </is>
      </c>
      <c r="I2074" s="8" t="inlineStr">
        <is>
          <t>1</t>
        </is>
      </c>
      <c r="J20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74" s="2" t="n"/>
      <c r="L2074" s="2" t="inlineStr">
        <is>
          <t>General Therapeutics</t>
        </is>
      </c>
      <c r="M2074" s="2" t="inlineStr">
        <is>
          <t>Clinic</t>
        </is>
      </c>
      <c r="N2074" s="2" t="inlineStr">
        <is>
          <t>ข้อ 91 (PLE_CC1_Key_Rx20_UBU.md)</t>
        </is>
      </c>
      <c r="O2074" s="2" t="inlineStr">
        <is>
          <t>Mock</t>
        </is>
      </c>
      <c r="P2074" s="2" t="inlineStr">
        <is>
          <t>Mock Rx20 UBU</t>
        </is>
      </c>
    </row>
    <row r="2075" ht="13.2" customHeight="1" s="37">
      <c r="A2075" s="8" t="inlineStr">
        <is>
          <t>2096</t>
        </is>
      </c>
      <c r="B2075" s="2" t="inlineStr">
        <is>
          <t>[(7/90)/(2/113)]</t>
        </is>
      </c>
      <c r="C2075" s="2" t="n"/>
      <c r="D2075" s="2" t="inlineStr">
        <is>
          <t>N-acetylcysteine (NAC) IV infusion protocol</t>
        </is>
      </c>
      <c r="E2075" s="2" t="inlineStr">
        <is>
          <t>Atropine sulfate 2 mg IV Q5-10 min</t>
        </is>
      </c>
      <c r="F2075" s="2" t="inlineStr">
        <is>
          <t>Pralidoxime (2-PAM) 1-2 g IV over 30 min</t>
        </is>
      </c>
      <c r="G2075" s="2" t="inlineStr">
        <is>
          <t>Naloxone 0.4 mg IV stat</t>
        </is>
      </c>
      <c r="H2075" s="2" t="inlineStr">
        <is>
          <t>Flumazenil 0.2 mg IV stat</t>
        </is>
      </c>
      <c r="I2075" s="8" t="inlineStr">
        <is>
          <t>1</t>
        </is>
      </c>
      <c r="J20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75" s="2" t="n"/>
      <c r="L2075" s="2" t="inlineStr">
        <is>
          <t>General Therapeutics</t>
        </is>
      </c>
      <c r="M2075" s="2" t="inlineStr">
        <is>
          <t>Clinic</t>
        </is>
      </c>
      <c r="N2075" s="2" t="inlineStr">
        <is>
          <t>ข้อ 1 (PLE_CC1_Key_Rx20_UBU.md)</t>
        </is>
      </c>
      <c r="O2075" s="2" t="inlineStr">
        <is>
          <t>Mock</t>
        </is>
      </c>
      <c r="P2075" s="2" t="inlineStr">
        <is>
          <t>Mock Rx20 UBU</t>
        </is>
      </c>
    </row>
    <row r="2076" ht="13.2" customHeight="1" s="37">
      <c r="A2076" s="8" t="inlineStr">
        <is>
          <t>2097</t>
        </is>
      </c>
      <c r="B2076" s="2" t="inlineStr">
        <is>
          <t>[(7/83)/(2/111)]</t>
        </is>
      </c>
      <c r="C2076" s="2" t="n"/>
      <c r="D2076" s="2" t="inlineStr">
        <is>
          <t>Naloxone 0.4 mg IV stat</t>
        </is>
      </c>
      <c r="E2076" s="2" t="inlineStr">
        <is>
          <t>Flumazenil 0.2 mg IV stat</t>
        </is>
      </c>
      <c r="F2076" s="2" t="inlineStr">
        <is>
          <t>Vitamin K1 (Phytomenadione) 10 mg IV slow</t>
        </is>
      </c>
      <c r="G2076" s="2" t="inlineStr">
        <is>
          <t>Sodium thiosulfate 25% 50 mL IV</t>
        </is>
      </c>
      <c r="H2076" s="2" t="inlineStr">
        <is>
          <t>Calcium disodium EDTA 1 g IV</t>
        </is>
      </c>
      <c r="I2076" s="8" t="inlineStr">
        <is>
          <t>1</t>
        </is>
      </c>
      <c r="J20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76" s="2" t="n"/>
      <c r="L2076" s="2" t="inlineStr">
        <is>
          <t>General Therapeutics</t>
        </is>
      </c>
      <c r="M2076" s="2" t="inlineStr">
        <is>
          <t>Clinic</t>
        </is>
      </c>
      <c r="N2076" s="2" t="inlineStr">
        <is>
          <t>ข้อ 2 (PLE_CC1_Key_Rx20_UBU.md)</t>
        </is>
      </c>
      <c r="O2076" s="2" t="inlineStr">
        <is>
          <t>Mock</t>
        </is>
      </c>
      <c r="P2076" s="2" t="inlineStr">
        <is>
          <t>Mock Rx20 UBU</t>
        </is>
      </c>
    </row>
    <row r="2077" ht="13.2" customHeight="1" s="37">
      <c r="A2077" s="8" t="inlineStr">
        <is>
          <t>2098</t>
        </is>
      </c>
      <c r="B2077" s="2" t="inlineStr">
        <is>
          <t>[(7/90)/(2/90)]</t>
        </is>
      </c>
      <c r="C2077" s="2" t="n"/>
      <c r="D2077" s="2" t="inlineStr">
        <is>
          <t>Sodium thiosulfate 25% 50 mL IV</t>
        </is>
      </c>
      <c r="E2077" s="2" t="inlineStr">
        <is>
          <t>Calcium disodium EDTA 1 g IV</t>
        </is>
      </c>
      <c r="F2077" s="2" t="inlineStr">
        <is>
          <t>Desferrioxamine 1 g IM/IV</t>
        </is>
      </c>
      <c r="G2077" s="2" t="inlineStr">
        <is>
          <t>Dimercaprol (BAL) 3 mg/kg IM</t>
        </is>
      </c>
      <c r="H2077" s="2" t="inlineStr">
        <is>
          <t>Ethanol 10% IV infusion for Methanol poisoning</t>
        </is>
      </c>
      <c r="I2077" s="8" t="inlineStr">
        <is>
          <t>1</t>
        </is>
      </c>
      <c r="J20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77" s="2" t="n"/>
      <c r="L2077" s="2" t="inlineStr">
        <is>
          <t>General Therapeutics</t>
        </is>
      </c>
      <c r="M2077" s="2" t="inlineStr">
        <is>
          <t>Clinic</t>
        </is>
      </c>
      <c r="N2077" s="2" t="inlineStr">
        <is>
          <t>ข้อ 3 (PLE_CC1_Key_Rx20_UBU.md)</t>
        </is>
      </c>
      <c r="O2077" s="2" t="inlineStr">
        <is>
          <t>Mock</t>
        </is>
      </c>
      <c r="P2077" s="2" t="inlineStr">
        <is>
          <t>Mock Rx20 UBU</t>
        </is>
      </c>
    </row>
    <row r="2078" ht="13.2" customHeight="1" s="37">
      <c r="A2078" s="8" t="inlineStr">
        <is>
          <t>2099</t>
        </is>
      </c>
      <c r="B2078" s="2" t="inlineStr">
        <is>
          <t>[(7/113)/(2/113)]</t>
        </is>
      </c>
      <c r="C2078" s="2" t="n"/>
      <c r="D2078" s="2" t="inlineStr">
        <is>
          <t>Dimercaprol (BAL) 3 mg/kg IM</t>
        </is>
      </c>
      <c r="E2078" s="2" t="inlineStr">
        <is>
          <t>Ethanol 10% IV infusion for Methanol poisoning</t>
        </is>
      </c>
      <c r="F2078" s="2" t="inlineStr">
        <is>
          <t>Fomepizole 15 mg/kg IV loading</t>
        </is>
      </c>
      <c r="G2078" s="2" t="inlineStr">
        <is>
          <t>N-acetylcysteine (NAC) IV infusion protocol</t>
        </is>
      </c>
      <c r="H2078" s="2" t="inlineStr">
        <is>
          <t>Atropine sulfate 2 mg IV Q5-10 min</t>
        </is>
      </c>
      <c r="I2078" s="8" t="inlineStr">
        <is>
          <t>1</t>
        </is>
      </c>
      <c r="J20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78" s="2" t="n"/>
      <c r="L2078" s="2" t="inlineStr">
        <is>
          <t>General Therapeutics</t>
        </is>
      </c>
      <c r="M2078" s="2" t="inlineStr">
        <is>
          <t>Clinic</t>
        </is>
      </c>
      <c r="N2078" s="2" t="inlineStr">
        <is>
          <t>ข้อ 4 (PLE_CC1_Key_Rx20_UBU.md)</t>
        </is>
      </c>
      <c r="O2078" s="2" t="inlineStr">
        <is>
          <t>Mock</t>
        </is>
      </c>
      <c r="P2078" s="2" t="inlineStr">
        <is>
          <t>Mock Rx20 UBU</t>
        </is>
      </c>
    </row>
    <row r="2079" ht="13.2" customHeight="1" s="37">
      <c r="A2079" s="8" t="inlineStr">
        <is>
          <t>2100</t>
        </is>
      </c>
      <c r="B2079" s="2" t="inlineStr">
        <is>
          <t>[(9/90)/(9/113)]</t>
        </is>
      </c>
      <c r="C2079" s="2" t="n"/>
      <c r="D2079" s="2" t="inlineStr">
        <is>
          <t>N-acetylcysteine (NAC) IV infusion protocol</t>
        </is>
      </c>
      <c r="E2079" s="2" t="inlineStr">
        <is>
          <t>Atropine sulfate 2 mg IV Q5-10 min</t>
        </is>
      </c>
      <c r="F2079" s="2" t="inlineStr">
        <is>
          <t>Pralidoxime (2-PAM) 1-2 g IV over 30 min</t>
        </is>
      </c>
      <c r="G2079" s="2" t="inlineStr">
        <is>
          <t>Naloxone 0.4 mg IV stat</t>
        </is>
      </c>
      <c r="H2079" s="2" t="inlineStr">
        <is>
          <t>Flumazenil 0.2 mg IV stat</t>
        </is>
      </c>
      <c r="I2079" s="8" t="inlineStr">
        <is>
          <t>2</t>
        </is>
      </c>
      <c r="J2079"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2079" s="2" t="n"/>
      <c r="L2079" s="2" t="inlineStr">
        <is>
          <t>General Therapeutics</t>
        </is>
      </c>
      <c r="M2079" s="2" t="inlineStr">
        <is>
          <t>Clinic</t>
        </is>
      </c>
      <c r="N2079" s="2" t="inlineStr">
        <is>
          <t>ข้อ 5 (PLE_CC1_Key_Rx20_UBU.md)</t>
        </is>
      </c>
      <c r="O2079" s="2" t="inlineStr">
        <is>
          <t>Mock</t>
        </is>
      </c>
      <c r="P2079" s="2" t="inlineStr">
        <is>
          <t>Mock Rx20 UBU</t>
        </is>
      </c>
    </row>
    <row r="2080" ht="13.2" customHeight="1" s="37">
      <c r="A2080" s="8" t="inlineStr">
        <is>
          <t>2101</t>
        </is>
      </c>
      <c r="B2080" s="2" t="inlineStr">
        <is>
          <t>ยา Alendronate จะถูกขับออกจากรGางกายอยGางไร</t>
        </is>
      </c>
      <c r="C2080" s="2" t="n"/>
      <c r="D2080" s="2" t="inlineStr">
        <is>
          <t>Febuxostat 40 mg OD</t>
        </is>
      </c>
      <c r="E2080" s="2" t="inlineStr">
        <is>
          <t>Celecoxib 200 mg OD</t>
        </is>
      </c>
      <c r="F2080" s="2" t="inlineStr">
        <is>
          <t>Methotrexate 10 mg weekly</t>
        </is>
      </c>
      <c r="G2080" s="2" t="inlineStr">
        <is>
          <t>Alendronate 70 mg weekly</t>
        </is>
      </c>
      <c r="H2080" s="2" t="inlineStr">
        <is>
          <t>Glucosamine sulfate 1500 mg OD</t>
        </is>
      </c>
      <c r="I2080" s="8" t="inlineStr">
        <is>
          <t>2</t>
        </is>
      </c>
      <c r="J2080" s="2" t="inlineStr">
        <is>
          <t>✅ คำตอบที่ถูกต้อง: ข้อ ข. Celecoxib 200 mg OD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Celecoxib 200 mg OD การเลือก Celecoxib 200 mg OD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ก. (Febuxostat 40 mg OD): เป็น non-purine selective xanthine oxidase inhibitor ใช้เป็น alternative ULT ในผู้ที่ไม่ทนต่อ allopurinol หรือมี HLA-B*58:01 positive แต่ต้องระวังในผู้ป่วย ischemic heart disease
• ข้อ ค. (Methotrexate 10 mg weekly): เป็น anchor csDMARD สำหรับ Rheumatoid arthritis ยับยั้ง dihydrofolate reductase ต้องให้ Folic acid เสริม และห้ามใช้ในหญิงตั้งครรภ์ (contraindication / teratogenic)
• ข้อ ง. (Alendronate 70 mg weekly): เป็น oral bisphosphonate สำหรับ osteoporosis ยับยั้ง osteoclast ต้องกินก่อนอาหารเช้า 30 นาที พร้อมน้ำเปล่าเต็มแก้วและห้ามนอนราบ ป้องกัน pill-induced esophagitis
• ข้อ จ. (Glucosamine sulfate 1500 mg OD): เป็นเพียง dietary supplement / symptom-modifying therapy สำหรับ OA ไม่ได้จัดเป็น disease-modifying agent และ CPG สากล (ACR) ไม่แนะนำให้ใช้เป็น first-line
📖 Guideline อ้างอิง:
[NEED_REVIEW]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2080" s="2" t="n"/>
      <c r="L2080" s="2" t="inlineStr">
        <is>
          <t>Musculoskeletal &amp; Joint</t>
        </is>
      </c>
      <c r="M2080" s="2" t="inlineStr">
        <is>
          <t>Clinic</t>
        </is>
      </c>
      <c r="N2080" s="2" t="inlineStr">
        <is>
          <t>ข้อ 101 (PLE_CC1_Key_Rx20_UBU.md)</t>
        </is>
      </c>
      <c r="O2080" s="2" t="inlineStr">
        <is>
          <t>Mock</t>
        </is>
      </c>
      <c r="P2080" s="2" t="inlineStr">
        <is>
          <t>Mock Rx20 UBU</t>
        </is>
      </c>
    </row>
    <row r="2081" ht="13.2" customHeight="1" s="37">
      <c r="A2081" s="8" t="inlineStr">
        <is>
          <t>2102</t>
        </is>
      </c>
      <c r="B2081" s="2" t="inlineStr">
        <is>
          <t>ในการผลิตจริงขั้นตอนการควบคุมคุณภาพที่ไมGมีกำหนดอยูGในเภสัชตำรับ แตGโรงงานก็ทำเพื่อให$มีคุณภาพสม่ำเสมอ</t>
        </is>
      </c>
      <c r="C2081" s="2" t="n"/>
      <c r="D2081" s="2" t="inlineStr">
        <is>
          <t>Sodium thiosulfate 25% 50 mL IV</t>
        </is>
      </c>
      <c r="E2081" s="2" t="inlineStr">
        <is>
          <t>Calcium disodium EDTA 1 g IV</t>
        </is>
      </c>
      <c r="F2081" s="2" t="inlineStr">
        <is>
          <t>Desferrioxamine 1 g IM/IV</t>
        </is>
      </c>
      <c r="G2081" s="2" t="inlineStr">
        <is>
          <t>Dimercaprol (BAL) 3 mg/kg IM</t>
        </is>
      </c>
      <c r="H2081" s="2" t="inlineStr">
        <is>
          <t>Ethanol 10% IV infusion for Methanol poisoning</t>
        </is>
      </c>
      <c r="I2081" s="8" t="inlineStr">
        <is>
          <t>1</t>
        </is>
      </c>
      <c r="J20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1" s="2" t="n"/>
      <c r="L2081" s="2" t="inlineStr">
        <is>
          <t>General Therapeutics</t>
        </is>
      </c>
      <c r="M2081" s="2" t="inlineStr">
        <is>
          <t>Clinic</t>
        </is>
      </c>
      <c r="N2081" s="2" t="inlineStr">
        <is>
          <t>ข้อ 104 (PLE_CC1_Key_Rx20_UBU.md)</t>
        </is>
      </c>
      <c r="O2081" s="2" t="inlineStr">
        <is>
          <t>Mock</t>
        </is>
      </c>
      <c r="P2081" s="2" t="inlineStr">
        <is>
          <t>Mock Rx20 UBU</t>
        </is>
      </c>
    </row>
    <row r="2082" ht="13.2" customHeight="1" s="37">
      <c r="A2082" s="8" t="inlineStr">
        <is>
          <t>2103</t>
        </is>
      </c>
      <c r="B2082" s="2" t="inlineStr">
        <is>
          <t>กลุGมที่ใช$ B-Blocker มีความเสี่ยงในการเกิดภาวะแทรกซ$อนตGอหัวและหลอดเลือดลดลง 12% เมื่อเทียบกับกลุGมที่ใช$ยาหลอก</t>
        </is>
      </c>
      <c r="C2082" s="2" t="n"/>
      <c r="D2082" s="2" t="inlineStr">
        <is>
          <t>Dimercaprol (BAL) 3 mg/kg IM</t>
        </is>
      </c>
      <c r="E2082" s="2" t="inlineStr">
        <is>
          <t>Ethanol 10% IV infusion for Methanol poisoning</t>
        </is>
      </c>
      <c r="F2082" s="2" t="inlineStr">
        <is>
          <t>Fomepizole 15 mg/kg IV loading</t>
        </is>
      </c>
      <c r="G2082" s="2" t="inlineStr">
        <is>
          <t>N-acetylcysteine (NAC) IV infusion protocol</t>
        </is>
      </c>
      <c r="H2082" s="2" t="inlineStr">
        <is>
          <t>Atropine sulfate 2 mg IV Q5-10 min</t>
        </is>
      </c>
      <c r="I2082" s="8" t="inlineStr">
        <is>
          <t>1</t>
        </is>
      </c>
      <c r="J20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2" s="2" t="n"/>
      <c r="L2082" s="2" t="inlineStr">
        <is>
          <t>General Therapeutics</t>
        </is>
      </c>
      <c r="M2082" s="2" t="inlineStr">
        <is>
          <t>Clinic</t>
        </is>
      </c>
      <c r="N2082" s="2" t="inlineStr">
        <is>
          <t>ข้อ 1 (PLE_CC1_Key_Rx20_UBU.md)</t>
        </is>
      </c>
      <c r="O2082" s="2" t="inlineStr">
        <is>
          <t>Mock</t>
        </is>
      </c>
      <c r="P2082" s="2" t="inlineStr">
        <is>
          <t>Mock Rx20 UBU</t>
        </is>
      </c>
    </row>
    <row r="2083" ht="13.2" customHeight="1" s="37">
      <c r="A2083" s="8" t="inlineStr">
        <is>
          <t>2104</t>
        </is>
      </c>
      <c r="B2083" s="2" t="inlineStr">
        <is>
          <t>ขนมป[งปØ¬งทาแยม</t>
        </is>
      </c>
      <c r="C2083" s="2" t="n"/>
      <c r="D2083" s="2" t="inlineStr">
        <is>
          <t>N-acetylcysteine (NAC) IV infusion protocol</t>
        </is>
      </c>
      <c r="E2083" s="2" t="inlineStr">
        <is>
          <t>Atropine sulfate 2 mg IV Q5-10 min</t>
        </is>
      </c>
      <c r="F2083" s="2" t="inlineStr">
        <is>
          <t>Pralidoxime (2-PAM) 1-2 g IV over 30 min</t>
        </is>
      </c>
      <c r="G2083" s="2" t="inlineStr">
        <is>
          <t>Naloxone 0.4 mg IV stat</t>
        </is>
      </c>
      <c r="H2083" s="2" t="inlineStr">
        <is>
          <t>Flumazenil 0.2 mg IV stat</t>
        </is>
      </c>
      <c r="I2083" s="8" t="inlineStr">
        <is>
          <t>1</t>
        </is>
      </c>
      <c r="J20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83" s="2" t="n"/>
      <c r="L2083" s="2" t="inlineStr">
        <is>
          <t>General Therapeutics</t>
        </is>
      </c>
      <c r="M2083" s="2" t="inlineStr">
        <is>
          <t>Clinic</t>
        </is>
      </c>
      <c r="N2083" s="2" t="inlineStr">
        <is>
          <t>ข้อ 4 (PLE_CC1_Key_Rx20_UBU.md)</t>
        </is>
      </c>
      <c r="O2083" s="2" t="inlineStr">
        <is>
          <t>Mock</t>
        </is>
      </c>
      <c r="P2083" s="2" t="inlineStr">
        <is>
          <t>Mock Rx20 UBU</t>
        </is>
      </c>
    </row>
    <row r="2084" ht="13.2" customHeight="1" s="37">
      <c r="A2084" s="8" t="inlineStr">
        <is>
          <t>2105</t>
        </is>
      </c>
      <c r="B2084" s="2" t="inlineStr">
        <is>
          <t>Ascorbic acid</t>
        </is>
      </c>
      <c r="C2084" s="2" t="n"/>
      <c r="D2084" s="2" t="inlineStr">
        <is>
          <t>Naloxone 0.4 mg IV stat</t>
        </is>
      </c>
      <c r="E2084" s="2" t="inlineStr">
        <is>
          <t>Flumazenil 0.2 mg IV stat</t>
        </is>
      </c>
      <c r="F2084" s="2" t="inlineStr">
        <is>
          <t>Vitamin K1 (Phytomenadione) 10 mg IV slow</t>
        </is>
      </c>
      <c r="G2084" s="2" t="inlineStr">
        <is>
          <t>Sodium thiosulfate 25% 50 mL IV</t>
        </is>
      </c>
      <c r="H2084" s="2" t="inlineStr">
        <is>
          <t>Calcium disodium EDTA 1 g IV</t>
        </is>
      </c>
      <c r="I2084" s="8" t="inlineStr">
        <is>
          <t>4</t>
        </is>
      </c>
      <c r="J2084" s="2" t="inlineStr">
        <is>
          <t>✅ คำตอบที่ถูกต้อง: ข้อ ง.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4" s="2" t="n"/>
      <c r="L2084" s="2" t="inlineStr">
        <is>
          <t>General Therapeutics</t>
        </is>
      </c>
      <c r="M2084" s="2" t="inlineStr">
        <is>
          <t>Clinic</t>
        </is>
      </c>
      <c r="N2084" s="2" t="inlineStr">
        <is>
          <t>ข้อ 5 (PLE_CC1_Key_Rx20_UBU.md)</t>
        </is>
      </c>
      <c r="O2084" s="2" t="inlineStr">
        <is>
          <t>Mock</t>
        </is>
      </c>
      <c r="P2084" s="2" t="inlineStr">
        <is>
          <t>Mock Rx20 UBU</t>
        </is>
      </c>
    </row>
    <row r="2085" ht="13.2" customHeight="1" s="37">
      <c r="A2085" s="8" t="inlineStr">
        <is>
          <t>2106</t>
        </is>
      </c>
      <c r="B2085" s="2" t="inlineStr">
        <is>
          <t>อาการพาร_กินสันสามารถเกิดได$จากยาใด</t>
        </is>
      </c>
      <c r="C2085" s="2" t="n"/>
      <c r="D2085" s="2" t="inlineStr">
        <is>
          <t>Sodium thiosulfate 25% 50 mL IV</t>
        </is>
      </c>
      <c r="E2085" s="2" t="inlineStr">
        <is>
          <t>Calcium disodium EDTA 1 g IV</t>
        </is>
      </c>
      <c r="F2085" s="2" t="inlineStr">
        <is>
          <t>Desferrioxamine 1 g IM/IV</t>
        </is>
      </c>
      <c r="G2085" s="2" t="inlineStr">
        <is>
          <t>Dimercaprol (BAL) 3 mg/kg IM</t>
        </is>
      </c>
      <c r="H2085" s="2" t="inlineStr">
        <is>
          <t>Ethanol 10% IV infusion for Methanol poisoning</t>
        </is>
      </c>
      <c r="I2085" s="8" t="inlineStr">
        <is>
          <t>1</t>
        </is>
      </c>
      <c r="J20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5" s="2" t="n"/>
      <c r="L2085" s="2" t="inlineStr">
        <is>
          <t>General Therapeutics</t>
        </is>
      </c>
      <c r="M2085" s="2" t="inlineStr">
        <is>
          <t>Clinic</t>
        </is>
      </c>
      <c r="N2085" s="2" t="inlineStr">
        <is>
          <t>ข้อ 5 (PLE_CC1_Key_Rx20_UBU.md)</t>
        </is>
      </c>
      <c r="O2085" s="2" t="inlineStr">
        <is>
          <t>Mock</t>
        </is>
      </c>
      <c r="P2085" s="2" t="inlineStr">
        <is>
          <t>Mock Rx20 UBU</t>
        </is>
      </c>
    </row>
    <row r="2086" ht="13.2" customHeight="1" s="37">
      <c r="A2086" s="8" t="inlineStr">
        <is>
          <t>2107</t>
        </is>
      </c>
      <c r="B2086" s="2" t="inlineStr">
        <is>
          <t>Pseudoephidrine</t>
        </is>
      </c>
      <c r="C2086" s="2" t="n"/>
      <c r="D2086" s="2" t="inlineStr">
        <is>
          <t>Dimercaprol (BAL) 3 mg/kg IM</t>
        </is>
      </c>
      <c r="E2086" s="2" t="inlineStr">
        <is>
          <t>Ethanol 10% IV infusion for Methanol poisoning</t>
        </is>
      </c>
      <c r="F2086" s="2" t="inlineStr">
        <is>
          <t>Fomepizole 15 mg/kg IV loading</t>
        </is>
      </c>
      <c r="G2086" s="2" t="inlineStr">
        <is>
          <t>N-acetylcysteine (NAC) IV infusion protocol</t>
        </is>
      </c>
      <c r="H2086" s="2" t="inlineStr">
        <is>
          <t>Atropine sulfate 2 mg IV Q5-10 min</t>
        </is>
      </c>
      <c r="I2086" s="8" t="inlineStr">
        <is>
          <t>1</t>
        </is>
      </c>
      <c r="J20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6" s="2" t="n"/>
      <c r="L2086" s="2" t="inlineStr">
        <is>
          <t>General Therapeutics</t>
        </is>
      </c>
      <c r="M2086" s="2" t="inlineStr">
        <is>
          <t>Clinic</t>
        </is>
      </c>
      <c r="N2086" s="2" t="inlineStr">
        <is>
          <t>ข้อ 4 (PLE_CC1_Key_Rx20_UBU.md)</t>
        </is>
      </c>
      <c r="O2086" s="2" t="inlineStr">
        <is>
          <t>Mock</t>
        </is>
      </c>
      <c r="P2086" s="2" t="inlineStr">
        <is>
          <t>Mock Rx20 UBU</t>
        </is>
      </c>
    </row>
    <row r="2087" ht="13.2" customHeight="1" s="37">
      <c r="A2087" s="8" t="inlineStr">
        <is>
          <t>2108</t>
        </is>
      </c>
      <c r="B2087" s="2" t="inlineStr">
        <is>
          <t>Trihexyphenidyl</t>
        </is>
      </c>
      <c r="C2087" s="2" t="n"/>
      <c r="D2087" s="2" t="inlineStr">
        <is>
          <t>N-acetylcysteine (NAC) IV infusion protocol</t>
        </is>
      </c>
      <c r="E2087" s="2" t="inlineStr">
        <is>
          <t>Atropine sulfate 2 mg IV Q5-10 min</t>
        </is>
      </c>
      <c r="F2087" s="2" t="inlineStr">
        <is>
          <t>Pralidoxime (2-PAM) 1-2 g IV over 30 min</t>
        </is>
      </c>
      <c r="G2087" s="2" t="inlineStr">
        <is>
          <t>Naloxone 0.4 mg IV stat</t>
        </is>
      </c>
      <c r="H2087" s="2" t="inlineStr">
        <is>
          <t>Flumazenil 0.2 mg IV stat</t>
        </is>
      </c>
      <c r="I2087" s="8" t="inlineStr">
        <is>
          <t>1</t>
        </is>
      </c>
      <c r="J20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087" s="2" t="n"/>
      <c r="L2087" s="2" t="inlineStr">
        <is>
          <t>General Therapeutics</t>
        </is>
      </c>
      <c r="M2087" s="2" t="inlineStr">
        <is>
          <t>Clinic</t>
        </is>
      </c>
      <c r="N2087" s="2" t="inlineStr">
        <is>
          <t>ข้อ 5 (PLE_CC1_Key_Rx20_UBU.md)</t>
        </is>
      </c>
      <c r="O2087" s="2" t="inlineStr">
        <is>
          <t>Mock</t>
        </is>
      </c>
      <c r="P2087" s="2" t="inlineStr">
        <is>
          <t>Mock Rx20 UBU</t>
        </is>
      </c>
    </row>
    <row r="2088" ht="13.2" customHeight="1" s="37">
      <c r="A2088" s="8" t="inlineStr">
        <is>
          <t>2109</t>
        </is>
      </c>
      <c r="B2088" s="2" t="inlineStr">
        <is>
          <t>เปลี่ยนรูปแบบยาเปญน Disperible</t>
        </is>
      </c>
      <c r="C2088" s="2" t="n"/>
      <c r="D2088" s="2" t="inlineStr">
        <is>
          <t>Naloxone 0.4 mg IV stat</t>
        </is>
      </c>
      <c r="E2088" s="2" t="inlineStr">
        <is>
          <t>Flumazenil 0.2 mg IV stat</t>
        </is>
      </c>
      <c r="F2088" s="2" t="inlineStr">
        <is>
          <t>Vitamin K1 (Phytomenadione) 10 mg IV slow</t>
        </is>
      </c>
      <c r="G2088" s="2" t="inlineStr">
        <is>
          <t>Sodium thiosulfate 25% 50 mL IV</t>
        </is>
      </c>
      <c r="H2088" s="2" t="inlineStr">
        <is>
          <t>Calcium disodium EDTA 1 g IV</t>
        </is>
      </c>
      <c r="I2088" s="8" t="inlineStr">
        <is>
          <t>1</t>
        </is>
      </c>
      <c r="J20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88" s="2" t="n"/>
      <c r="L2088" s="2" t="inlineStr">
        <is>
          <t>General Therapeutics</t>
        </is>
      </c>
      <c r="M2088" s="2" t="inlineStr">
        <is>
          <t>Clinic</t>
        </is>
      </c>
      <c r="N2088" s="2" t="inlineStr">
        <is>
          <t>ข้อ 1 (PLE_CC1_Key_Rx20_UBU.md)</t>
        </is>
      </c>
      <c r="O2088" s="2" t="inlineStr">
        <is>
          <t>Mock</t>
        </is>
      </c>
      <c r="P2088" s="2" t="inlineStr">
        <is>
          <t>Mock Rx20 UBU</t>
        </is>
      </c>
    </row>
    <row r="2089" ht="13.2" customHeight="1" s="37">
      <c r="A2089" s="8" t="inlineStr">
        <is>
          <t>2110</t>
        </is>
      </c>
      <c r="B2089" s="2" t="inlineStr">
        <is>
          <t>เพิ่มการรักษาด$วยยา entacapone </t>
        </is>
      </c>
      <c r="C2089" s="2" t="n"/>
      <c r="D2089" s="2" t="inlineStr">
        <is>
          <t>Sodium thiosulfate 25% 50 mL IV</t>
        </is>
      </c>
      <c r="E2089" s="2" t="inlineStr">
        <is>
          <t>Calcium disodium EDTA 1 g IV</t>
        </is>
      </c>
      <c r="F2089" s="2" t="inlineStr">
        <is>
          <t>Desferrioxamine 1 g IM/IV</t>
        </is>
      </c>
      <c r="G2089" s="2" t="inlineStr">
        <is>
          <t>Dimercaprol (BAL) 3 mg/kg IM</t>
        </is>
      </c>
      <c r="H2089" s="2" t="inlineStr">
        <is>
          <t>Ethanol 10% IV infusion for Methanol poisoning</t>
        </is>
      </c>
      <c r="I2089" s="8" t="inlineStr">
        <is>
          <t>1</t>
        </is>
      </c>
      <c r="J20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9" s="2" t="n"/>
      <c r="L2089" s="2" t="inlineStr">
        <is>
          <t>General Therapeutics</t>
        </is>
      </c>
      <c r="M2089" s="2" t="inlineStr">
        <is>
          <t>Clinic</t>
        </is>
      </c>
      <c r="N2089" s="2" t="inlineStr">
        <is>
          <t>ข้อ 2 (PLE_CC1_Key_Rx20_UBU.md)</t>
        </is>
      </c>
      <c r="O2089" s="2" t="inlineStr">
        <is>
          <t>Mock</t>
        </is>
      </c>
      <c r="P2089" s="2" t="inlineStr">
        <is>
          <t>Mock Rx20 UBU</t>
        </is>
      </c>
    </row>
    <row r="2090" ht="13.2" customHeight="1" s="37">
      <c r="A2090" s="8" t="inlineStr">
        <is>
          <t>2111</t>
        </is>
      </c>
      <c r="B2090" s="2" t="inlineStr">
        <is>
          <t>เพิ่มการรักษาด$วย ropinirole</t>
        </is>
      </c>
      <c r="C2090" s="2" t="n"/>
      <c r="D2090" s="2" t="inlineStr">
        <is>
          <t>Dimercaprol (BAL) 3 mg/kg IM</t>
        </is>
      </c>
      <c r="E2090" s="2" t="inlineStr">
        <is>
          <t>Ethanol 10% IV infusion for Methanol poisoning</t>
        </is>
      </c>
      <c r="F2090" s="2" t="inlineStr">
        <is>
          <t>Fomepizole 15 mg/kg IV loading</t>
        </is>
      </c>
      <c r="G2090" s="2" t="inlineStr">
        <is>
          <t>N-acetylcysteine (NAC) IV infusion protocol</t>
        </is>
      </c>
      <c r="H2090" s="2" t="inlineStr">
        <is>
          <t>Atropine sulfate 2 mg IV Q5-10 min</t>
        </is>
      </c>
      <c r="I2090" s="8" t="inlineStr">
        <is>
          <t>1</t>
        </is>
      </c>
      <c r="J209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0" s="2" t="n"/>
      <c r="L2090" s="2" t="inlineStr">
        <is>
          <t>General Therapeutics</t>
        </is>
      </c>
      <c r="M2090" s="2" t="inlineStr">
        <is>
          <t>Clinic</t>
        </is>
      </c>
      <c r="N2090" s="2" t="inlineStr">
        <is>
          <t>ข้อ 4 (PLE_CC1_Key_Rx20_UBU.md)</t>
        </is>
      </c>
      <c r="O2090" s="2" t="inlineStr">
        <is>
          <t>Mock</t>
        </is>
      </c>
      <c r="P2090" s="2" t="inlineStr">
        <is>
          <t>Mock Rx20 UBU</t>
        </is>
      </c>
    </row>
    <row r="2091" ht="13.2" customHeight="1" s="37">
      <c r="A2091" s="8" t="inlineStr">
        <is>
          <t>2112</t>
        </is>
      </c>
      <c r="B2091" s="2" t="inlineStr">
        <is>
          <t>จากสูตรยา %w/w Di……. Xxxxx Maize starch 100.0 จำชื่อไมGได$ แตGรู$วGาเปญน Avicel</t>
        </is>
      </c>
      <c r="C2091" s="2" t="n"/>
      <c r="D2091" s="2" t="inlineStr">
        <is>
          <t>Direct Compression tableting method</t>
        </is>
      </c>
      <c r="E2091" s="2" t="inlineStr">
        <is>
          <t>Wet Granulation tableting method</t>
        </is>
      </c>
      <c r="F2091" s="2" t="inlineStr">
        <is>
          <t>Dry Granulation (Roller Compaction)</t>
        </is>
      </c>
      <c r="G2091" s="2" t="inlineStr">
        <is>
          <t>Fluidized Bed Granulation</t>
        </is>
      </c>
      <c r="H2091" s="2" t="inlineStr">
        <is>
          <t>Film Coating with Hydroxypropyl methylcellulose (HPMC)</t>
        </is>
      </c>
      <c r="I2091" s="8" t="inlineStr">
        <is>
          <t>1</t>
        </is>
      </c>
      <c r="J2091" s="2"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ค.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ข้อ ง. (Fluidized Bed Granulation): ข้อนี้ไม่ใช่คำตอบที่ถูกต้องสำหรับภาวะ Solid Dosage Forms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91" s="2" t="n"/>
      <c r="L2091" s="2" t="inlineStr">
        <is>
          <t>Solid Dosage Forms</t>
        </is>
      </c>
      <c r="M2091" s="2" t="inlineStr">
        <is>
          <t>Product</t>
        </is>
      </c>
      <c r="N2091" s="2" t="inlineStr">
        <is>
          <t>ข้อ 7 (PLE_CC1_Key_Rx20_UBU.md)</t>
        </is>
      </c>
      <c r="O2091" s="2" t="inlineStr">
        <is>
          <t>Mock</t>
        </is>
      </c>
      <c r="P2091" s="2" t="inlineStr">
        <is>
          <t>Mock Rx20 UBU</t>
        </is>
      </c>
    </row>
    <row r="2092" ht="13.2" customHeight="1" s="37">
      <c r="A2092" s="8" t="inlineStr">
        <is>
          <t>2113</t>
        </is>
      </c>
      <c r="B2092" s="2" t="inlineStr">
        <is>
          <t>Maize starch เปญนสารเพิ่มปริมาณ</t>
        </is>
      </c>
      <c r="C2092" s="2" t="n"/>
      <c r="D2092" s="2" t="inlineStr">
        <is>
          <t>Naloxone 0.4 mg IV stat</t>
        </is>
      </c>
      <c r="E2092" s="2" t="inlineStr">
        <is>
          <t>Flumazenil 0.2 mg IV stat</t>
        </is>
      </c>
      <c r="F2092" s="2" t="inlineStr">
        <is>
          <t>Vitamin K1 (Phytomenadione) 10 mg IV slow</t>
        </is>
      </c>
      <c r="G2092" s="2" t="inlineStr">
        <is>
          <t>Sodium thiosulfate 25% 50 mL IV</t>
        </is>
      </c>
      <c r="H2092" s="2" t="inlineStr">
        <is>
          <t>Calcium disodium EDTA 1 g IV</t>
        </is>
      </c>
      <c r="I2092" s="8" t="inlineStr">
        <is>
          <t>1</t>
        </is>
      </c>
      <c r="J20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092" s="2" t="n"/>
      <c r="L2092" s="2" t="inlineStr">
        <is>
          <t>General Therapeutics</t>
        </is>
      </c>
      <c r="M2092" s="2" t="inlineStr">
        <is>
          <t>Clinic</t>
        </is>
      </c>
      <c r="N2092" s="2" t="inlineStr">
        <is>
          <t>ข้อ 1 (PLE_CC1_Key_Rx20_UBU.md)</t>
        </is>
      </c>
      <c r="O2092" s="2" t="inlineStr">
        <is>
          <t>Mock</t>
        </is>
      </c>
      <c r="P2092" s="2" t="inlineStr">
        <is>
          <t>Mock Rx20 UBU</t>
        </is>
      </c>
    </row>
    <row r="2093" ht="13.2" customHeight="1" s="37">
      <c r="A2093" s="8" t="inlineStr">
        <is>
          <t>2114</t>
        </is>
      </c>
      <c r="B2093" s="2" t="inlineStr">
        <is>
          <t>Maize starch เปญนสารชGวยไหล</t>
        </is>
      </c>
      <c r="C2093" s="2" t="n"/>
      <c r="D2093" s="2" t="inlineStr">
        <is>
          <t>Sodium thiosulfate 25% 50 mL IV</t>
        </is>
      </c>
      <c r="E2093" s="2" t="inlineStr">
        <is>
          <t>Calcium disodium EDTA 1 g IV</t>
        </is>
      </c>
      <c r="F2093" s="2" t="inlineStr">
        <is>
          <t>Desferrioxamine 1 g IM/IV</t>
        </is>
      </c>
      <c r="G2093" s="2" t="inlineStr">
        <is>
          <t>Dimercaprol (BAL) 3 mg/kg IM</t>
        </is>
      </c>
      <c r="H2093" s="2" t="inlineStr">
        <is>
          <t>Ethanol 10% IV infusion for Methanol poisoning</t>
        </is>
      </c>
      <c r="I2093" s="8" t="inlineStr">
        <is>
          <t>1</t>
        </is>
      </c>
      <c r="J20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3" s="2" t="n"/>
      <c r="L2093" s="2" t="inlineStr">
        <is>
          <t>General Therapeutics</t>
        </is>
      </c>
      <c r="M2093" s="2" t="inlineStr">
        <is>
          <t>Clinic</t>
        </is>
      </c>
      <c r="N2093" s="2" t="inlineStr">
        <is>
          <t>ข้อ 2 (PLE_CC1_Key_Rx20_UBU.md)</t>
        </is>
      </c>
      <c r="O2093" s="2" t="inlineStr">
        <is>
          <t>Mock</t>
        </is>
      </c>
      <c r="P2093" s="2" t="inlineStr">
        <is>
          <t>Mock Rx20 UBU</t>
        </is>
      </c>
    </row>
    <row r="2094" ht="13.2" customHeight="1" s="37">
      <c r="A2094" s="8" t="inlineStr">
        <is>
          <t>2115</t>
        </is>
      </c>
      <c r="B2094" s="2" t="inlineStr">
        <is>
          <t>Avicel เปญนสารชGวยไหล</t>
        </is>
      </c>
      <c r="C2094" s="2" t="n"/>
      <c r="D2094" s="2" t="inlineStr">
        <is>
          <t>Magnesium stearate (Lubricant 1%)</t>
        </is>
      </c>
      <c r="E2094" s="2" t="inlineStr">
        <is>
          <t>Sodium starch glycolate (Superdisintegrant)</t>
        </is>
      </c>
      <c r="F2094" s="2" t="inlineStr">
        <is>
          <t>Direct Compression tableting method</t>
        </is>
      </c>
      <c r="G2094" s="2" t="inlineStr">
        <is>
          <t>Wet Granulation tableting method</t>
        </is>
      </c>
      <c r="H2094" s="2" t="inlineStr">
        <is>
          <t>Dry Granulation (Roller Compaction)</t>
        </is>
      </c>
      <c r="I2094" s="8" t="inlineStr">
        <is>
          <t>1</t>
        </is>
      </c>
      <c r="J2094" s="2"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Solid Dosage Forms)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ง.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จ.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94" s="2" t="n"/>
      <c r="L2094" s="2" t="inlineStr">
        <is>
          <t>Solid Dosage Forms</t>
        </is>
      </c>
      <c r="M2094" s="2" t="inlineStr">
        <is>
          <t>Product</t>
        </is>
      </c>
      <c r="N2094" s="2" t="inlineStr">
        <is>
          <t>ข้อ 3 (PLE_CC1_Key_Rx20_UBU.md)</t>
        </is>
      </c>
      <c r="O2094" s="2" t="inlineStr">
        <is>
          <t>Mock</t>
        </is>
      </c>
      <c r="P2094" s="2" t="inlineStr">
        <is>
          <t>Mock Rx20 UBU</t>
        </is>
      </c>
    </row>
    <row r="2095" ht="13.2" customHeight="1" s="37">
      <c r="A2095" s="8" t="inlineStr">
        <is>
          <t>2116</t>
        </is>
      </c>
      <c r="B2095" s="2" t="inlineStr">
        <is>
          <t>ยา Oxandrolone ถือเป็นยาประเภทใด</t>
        </is>
      </c>
      <c r="C2095" s="2" t="n"/>
      <c r="D2095" s="2" t="inlineStr">
        <is>
          <t>ยาที่ไม่ได้ขึ้นทะเบียน</t>
        </is>
      </c>
      <c r="E2095" s="2" t="inlineStr">
        <is>
          <t>ยาปลอม</t>
        </is>
      </c>
      <c r="F2095" s="2" t="inlineStr">
        <is>
          <t>ยาผิดมาตรฐาน</t>
        </is>
      </c>
      <c r="G2095" s="2" t="inlineStr">
        <is>
          <t>ยาเสื่อมคุณภาพ</t>
        </is>
      </c>
      <c r="H2095" s="2" t="inlineStr">
        <is>
          <t>ยายกเลิกทะเบียน</t>
        </is>
      </c>
      <c r="I2095" s="8" t="inlineStr">
        <is>
          <t>1</t>
        </is>
      </c>
      <c r="J2095" s="2" t="inlineStr">
        <is>
          <t>✅ คำตอบที่ถูกต้อง: ข้อ ก. ยาที่ไม่ได้ขึ้นทะเบียน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ยาที่ไม่ได้ขึ้นทะเบียน การเลือก ยาที่ไม่ได้ขึ้นทะเบียน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(ยาปลอม): ข้อนี้ไม่ใช่คำตอบที่ถูกต้องสำหรับภาวะ General Therapeutics เนื่องจากกลไกการออกฤทธิ์, efficacy หรือข้อบ่งใช้ไม่ตรงกับโจทย์ที่กำหนด
• ข้อ ค. (ยาผิดมาตรฐาน):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ง. (ยาเสื่อมคุณภาพ): ข้อนี้ไม่ใช่คำตอบที่ถูกต้องสำหรับภาวะ General Therapeutics เนื่องจากกลไกการออกฤทธิ์, efficacy หรือข้อบ่งใช้ไม่ตรงกับโจทย์ที่กำหนด
• ข้อ จ. (ยายกเลิกทะเบียน):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5" s="2" t="n"/>
      <c r="L2095" s="2" t="inlineStr">
        <is>
          <t>General Therapeutics</t>
        </is>
      </c>
      <c r="M2095" s="2" t="inlineStr">
        <is>
          <t>Clinic</t>
        </is>
      </c>
      <c r="N2095" s="2" t="inlineStr">
        <is>
          <t>ข้อ 1 (PLE_CC1_Key_Rx20_UBU.md)</t>
        </is>
      </c>
      <c r="O2095" s="2" t="inlineStr">
        <is>
          <t>Mock</t>
        </is>
      </c>
      <c r="P2095" s="2" t="inlineStr">
        <is>
          <t>Mock Rx20 UBU</t>
        </is>
      </c>
    </row>
    <row r="2096" ht="13.2" customHeight="1" s="37">
      <c r="A2096" s="8" t="inlineStr">
        <is>
          <t>2117</t>
        </is>
      </c>
      <c r="B2096" s="2" t="inlineStr">
        <is>
          <t>กรณีพบยา Oxandrolone ในร้านขายยา ใครถือเป็นผู้กระทำความผิด</t>
        </is>
      </c>
      <c r="C2096" s="2" t="n"/>
      <c r="D2096" s="2" t="inlineStr">
        <is>
          <t>นาย ก.</t>
        </is>
      </c>
      <c r="E2096" s="2" t="inlineStr">
        <is>
          <t>นาย ข.</t>
        </is>
      </c>
      <c r="F2096" s="2" t="inlineStr">
        <is>
          <t>นาย ค.</t>
        </is>
      </c>
      <c r="G2096" s="2" t="inlineStr">
        <is>
          <t>นาย ก. และนาย ค.</t>
        </is>
      </c>
      <c r="H2096" s="2" t="inlineStr">
        <is>
          <t>ไม่มีใครมีความผิด เนื่องจากยังไม่มีการขายยาดังกล่าวเกิดขึ้น มาตรา 72 ห้ามมิให้ผู้ใด ผลิต/ขาย/นำเข้า (1) ยาปลอม (2) ยาผิดมาตรฐาน (3) ยาเสื่อมคุณภาพ (4) ยาที่มิได้ขึ้นทะเบียนตำรับยา (5) ยาที่ทะเบียนตำรับยาถูกยกเลิก (6) ยาที่รัฐมนตรีสั่งเพิกถอนทะเบียนตารับยา</t>
        </is>
      </c>
      <c r="I2096" s="8" t="inlineStr">
        <is>
          <t>4</t>
        </is>
      </c>
      <c r="J2096" s="2" t="inlineStr">
        <is>
          <t>✅ คำตอบที่ถูกต้อง: ข้อ ง. นาย ก. และนาย ค.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นาย ก. และนาย ค. การเลือก นาย ก. และนาย ค.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(นาย ก.): ข้อนี้ไม่ใช่คำตอบที่ถูกต้องสำหรับภาวะ General Therapeutics เนื่องจากกลไกการออกฤทธิ์, efficacy หรือข้อบ่งใช้ไม่ตรงกับโจทย์ที่กำหนด
• ข้อ ข. (นาย ข.): ข้อนี้ไม่ใช่คำตอบที่ถูกต้องสำหรับภาวะ General Therapeutics เนื่องจากกลไกการออกฤทธิ์, efficacy หรือข้อบ่งใช้ไม่ตรงกับโจทย์ที่กำหนด
• ข้อ ค. (นาย ค.): ข้อนี้ไม่ใช่คำตอบที่ถูกต้องสำหรับภาวะ General Therapeutics เนื่องจากกลไกการออกฤทธิ์, efficacy หรือข้อบ่งใช้ไม่ตรงกับโจทย์ที่กำหนด
• ข้อ จ. (ไม่มีใครมีความผิด เนื่องจากยังไม่มีการขายยาดังกล่าวเกิดขึ้น มาตรา 72 ห้ามมิให้ผู้ใด ผลิต/ขาย/นำเข้า (1) ยาปลอม (2) ยาผิดมาตรฐาน (3) ยาเสื่อมคุณภาพ (4) ยาที่มิได้ขึ้นทะเบียนตำรับยา (5) ยาที่ทะเบียนตำรับยาถูกยกเลิก (6) ยาที่รัฐมนตรีสั่งเพิกถอนทะเบียนตารับยา):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6" s="2" t="n"/>
      <c r="L2096" s="2" t="inlineStr">
        <is>
          <t>General Therapeutics</t>
        </is>
      </c>
      <c r="M2096" s="2" t="inlineStr">
        <is>
          <t>Clinic</t>
        </is>
      </c>
      <c r="N2096" s="2" t="inlineStr">
        <is>
          <t>ข้อ 2 (PLE_CC1_Key_Rx20_UBU.md)</t>
        </is>
      </c>
      <c r="O2096" s="2" t="inlineStr">
        <is>
          <t>Mock</t>
        </is>
      </c>
      <c r="P2096" s="2" t="inlineStr">
        <is>
          <t>Mock Rx20 UBU</t>
        </is>
      </c>
    </row>
    <row r="2097" ht="13.2" customHeight="1" s="37">
      <c r="A2097" s="8" t="inlineStr">
        <is>
          <t>2118</t>
        </is>
      </c>
      <c r="B2097" s="2" t="inlineStr">
        <is>
          <t>กรณีพบยาบรรจุใส่ซองใส ในซองประกอบด้วยยาแคปซูลสีต่างๆกัน 6 เม็ด ใครถือเป็นผู้กระทำความผิด และกระทำความผิดตามข้อใด</t>
        </is>
      </c>
      <c r="C2097" s="2" t="n"/>
      <c r="D2097" s="2" t="inlineStr">
        <is>
          <t>ไม่มีใครมีความผิด เนื่องจากยังไม่มีการขายยาดังกล่าวเกิดขึ้น</t>
        </is>
      </c>
      <c r="E2097" s="2" t="inlineStr">
        <is>
          <t>นาย ก. ผิดผลิตยาชุด</t>
        </is>
      </c>
      <c r="F2097" s="2" t="inlineStr">
        <is>
          <t>นาย ก. ผิดขายยาชุด</t>
        </is>
      </c>
      <c r="G2097" s="2" t="inlineStr">
        <is>
          <t>นาย ข. ผิดผลิตยาชุด</t>
        </is>
      </c>
      <c r="H2097" s="2" t="inlineStr">
        <is>
          <t>นาย ข. ผิดขายยาชุด จากโจทย์ไม่ได้ระบุว่าแบ่งบรรจุเอง ดังนั้นจึงมุ่งประเด็นที่มีไว้เพื่อขาย ซึ่งผิดทั้งนาย ก. และนาย ข</t>
        </is>
      </c>
      <c r="I2097" s="8" t="inlineStr">
        <is>
          <t>1</t>
        </is>
      </c>
      <c r="J2097" s="2" t="inlineStr">
        <is>
          <t>✅ คำตอบที่ถูกต้อง: ข้อ ก. ไม่มีใครมีความผิด เนื่องจากยังไม่มีการขายยาดังกล่าวเกิดขึ้น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ไม่มีใครมีความผิด เนื่องจากยังไม่มีการขายยาดังกล่าวเกิดขึ้น 💡 คำอธิบายและเหตุผลทางเภสัชกรรม:
💡 คำอธิบายและเหตุผลทางเภสัชกรรม:
การเลือก ไม่มีใครมีความผิด เนื่องจากยังไม่มีการขายยาดังกล่าวเกิดขึ้น เป็นคำตอบที่ถูกต้องและสอดคล้องกับ evidence-based guidelines ของภาวะ Solid Dosage Forms โดยมี clinical efficacy สูงสุดในการรักษาและมี safety profile ที่เหมาะสม
USP/NF, British Pharmacopoeia (BP) และ Remington: The Science and Practice of Pharmacy (หัวข้อ Solid Dosage Forms)
🔍 ข้ออื่นผิดเพราะอะไร:
• ข้อ ข. (นาย ก. ผิดผลิตยาชุด): ข้อนี้ไม่ใช่คำตอบที่ถูกต้องสำหรับภาวะ Solid Dosage Forms เนื่องจากกลไกการออกฤทธิ์, efficacy หรือข้อบ่งใช้ไม่ตรงกับโจทย์ที่กำหนด
• ข้อ ค. (นาย ก. ผิดขายยาชุด): ข้อนี้ไม่ใช่คำตอบที่ถูกต้องสำหรับภาวะ Solid Dosage Forms เนื่องจากกลไกการออกฤทธิ์, efficacy หรือข้อบ่งใช้ไม่ตรงกับโจทย์ที่กำหนด
• ข้อ ง. (นาย ข. ผิดผลิตยาชุด): ข้อนี้ไม่ใช่คำตอบที่ถูกต้องสำหรับภาวะ Solid Dosage Forms เนื่องจากกลไกการออกฤทธิ์, efficacy หรือข้อบ่งใช้ไม่ตรงกับโจทย์ที่กำหนด
• ข้อ จ. (นาย ข. ผิดขายยาชุด จากโจทย์ไม่ได้ระบุว่าแบ่งบรรจุเอง ดังนั้นจึงมุ่งประเด็นที่มีไว้เพื่อขาย ซึ่งผิดทั้งนาย ก. และนาย ข):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97" s="2" t="n"/>
      <c r="L2097" s="2" t="inlineStr">
        <is>
          <t>Solid Dosage Forms</t>
        </is>
      </c>
      <c r="M2097" s="2" t="inlineStr">
        <is>
          <t>Product</t>
        </is>
      </c>
      <c r="N2097" s="2" t="inlineStr">
        <is>
          <t>ข้อ 3 (PLE_CC1_Key_Rx20_UBU.md)</t>
        </is>
      </c>
      <c r="O2097" s="2" t="inlineStr">
        <is>
          <t>Mock</t>
        </is>
      </c>
      <c r="P2097" s="2" t="inlineStr">
        <is>
          <t>Mock Rx20 UBU</t>
        </is>
      </c>
    </row>
    <row r="2098" ht="13.2" customHeight="1" s="37">
      <c r="A2098" s="8" t="inlineStr">
        <is>
          <t>2119</t>
        </is>
      </c>
      <c r="B2098" s="2" t="inlineStr">
        <is>
          <t>ยา X ซึ่งปรากฏสถานที่ผลิตไม่ตรงตามความเป็นจริง ถือเป็นยาประเภทใด</t>
        </is>
      </c>
      <c r="C2098" s="2" t="n"/>
      <c r="D2098" s="2" t="inlineStr">
        <is>
          <t>ยาปลอม</t>
        </is>
      </c>
      <c r="E2098" s="2" t="inlineStr">
        <is>
          <t>ยาผิดมาตรฐาน</t>
        </is>
      </c>
      <c r="F2098" s="2" t="inlineStr">
        <is>
          <t>ยาเสื่อมคุณภาพ</t>
        </is>
      </c>
      <c r="G2098" s="2" t="inlineStr">
        <is>
          <t>ยายกเลิกทะเบียน</t>
        </is>
      </c>
      <c r="H2098" s="2" t="inlineStr">
        <is>
          <t>ยาที่ไม่ได้ขึ้นทะเบียนตำรับยา มาตรา 73 ยาปลอม คือ (1) มีวัตถุทั้งหมดหรือบางส่วนเทียม (2) แสดงชื่อยา ว/ด/ป หมดอายุ ที่ไม่เป็นจริง (3) แสดงชื่อยี่ห้อสถานที่ผลิตที่ไม่เป็นจริง (4) แสดงว่าเป็นยาที่ขึ้นทะเบียน แต่จริง ๆ ไม่ใช่ (5) ผลิตออกมาแล้วสารออกฤทธิ์ ขาด/เกิน กว่า 20% จากเกณฑ์ต่าสุด/สูงสุด</t>
        </is>
      </c>
      <c r="I2098" s="8" t="inlineStr">
        <is>
          <t>1</t>
        </is>
      </c>
      <c r="J2098" s="2" t="inlineStr">
        <is>
          <t>✅ คำตอบที่ถูกต้อง: ข้อ ก. ยาปลอม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ยาปลอม การเลือก ยาปลอม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(ยาผิดมาตรฐาน):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ค. (ยาเสื่อมคุณภาพ): ข้อนี้ไม่ใช่คำตอบที่ถูกต้องสำหรับภาวะ General Therapeutics เนื่องจากกลไกการออกฤทธิ์, efficacy หรือข้อบ่งใช้ไม่ตรงกับโจทย์ที่กำหนด
• ข้อ ง. (ยายกเลิกทะเบียน): ข้อนี้ไม่ใช่คำตอบที่ถูกต้องสำหรับภาวะ General Therapeutics เนื่องจากกลไกการออกฤทธิ์, efficacy หรือข้อบ่งใช้ไม่ตรงกับโจทย์ที่กำหนด
• ข้อ จ. (ยาที่ไม่ได้ขึ้นทะเบียนตำรับยา มาตรา 73 ยาปลอม คือ (1) มีวัตถุทั้งหมดหรือบางส่วนเทียม (2) แสดงชื่อยา ว/ด/ป หมดอายุ ที่ไม่เป็นจริง (3) แสดงชื่อยี่ห้อสถานที่ผลิตที่ไม่เป็นจริง (4) แสดงว่าเป็นยาที่ขึ้นทะเบียน แต่จริง ๆ ไม่ใช่ (5) ผลิตออกมาแล้วสารออกฤทธิ์ ขาด/เกิน กว่า 20% จากเกณฑ์ต่าสุด/สูงสุด):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98" s="2" t="n"/>
      <c r="L2098" s="2" t="inlineStr">
        <is>
          <t>General Therapeutics</t>
        </is>
      </c>
      <c r="M2098" s="2" t="inlineStr">
        <is>
          <t>Clinic</t>
        </is>
      </c>
      <c r="N2098" s="2" t="inlineStr">
        <is>
          <t>ข้อ 4 (PLE_CC1_Key_Rx20_UBU.md)</t>
        </is>
      </c>
      <c r="O2098" s="2" t="inlineStr">
        <is>
          <t>Mock</t>
        </is>
      </c>
      <c r="P2098" s="2" t="inlineStr">
        <is>
          <t>Mock Rx20 UBU</t>
        </is>
      </c>
    </row>
    <row r="2099" ht="13.2" customHeight="1" s="37">
      <c r="A2099" s="8" t="inlineStr">
        <is>
          <t>2120</t>
        </is>
      </c>
      <c r="B2099" s="2" t="inlineStr">
        <is>
          <t>ยา Rosiglitazone ถือเป็นยาประเภทใด</t>
        </is>
      </c>
      <c r="C2099" s="2" t="n"/>
      <c r="D2099" s="2" t="inlineStr">
        <is>
          <t>ยาที่ไม่ขึ้นทะเบียนตำรับยา</t>
        </is>
      </c>
      <c r="E2099" s="2" t="inlineStr">
        <is>
          <t>ยาปลอม</t>
        </is>
      </c>
      <c r="F2099" s="2" t="inlineStr">
        <is>
          <t>ยาผิดมาตรฐาน</t>
        </is>
      </c>
      <c r="G2099" s="2" t="inlineStr">
        <is>
          <t>ยาที่ถูกยกเลิกทะเบียน</t>
        </is>
      </c>
      <c r="H2099" s="2" t="inlineStr">
        <is>
          <t>ยาที่ถูกเพิกถอนทะเบียน</t>
        </is>
      </c>
      <c r="I2099" s="8" t="inlineStr">
        <is>
          <t>5</t>
        </is>
      </c>
      <c r="J2099" s="2" t="inlineStr">
        <is>
          <t>✅ คำตอบที่ถูกต้อง: ข้อ จ. ยาที่ถูกเพิกถอนทะเบียน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ยาที่ถูกเพิกถอนทะเบียน การเลือก ยาที่ถูกเพิกถอนทะเบียน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(ยาที่ไม่ขึ้นทะเบียนตำรับยา): ข้อนี้ไม่ใช่คำตอบที่ถูกต้องสำหรับภาวะ General Therapeutics เนื่องจากกลไกการออกฤทธิ์, efficacy หรือข้อบ่งใช้ไม่ตรงกับโจทย์ที่กำหนด
• ข้อ ข. (ยาปลอม): ข้อนี้ไม่ใช่คำตอบที่ถูกต้องสำหรับภาวะ General Therapeutics เนื่องจากกลไกการออกฤทธิ์, efficacy หรือข้อบ่งใช้ไม่ตรงกับโจทย์ที่กำหนด
• ข้อ ค. (ยาผิดมาตรฐาน):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ง. (ยาที่ถูกยกเลิกทะเบียน):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99" s="2" t="n"/>
      <c r="L2099" s="2" t="inlineStr">
        <is>
          <t>General Therapeutics</t>
        </is>
      </c>
      <c r="M2099" s="2" t="inlineStr">
        <is>
          <t>Clinic</t>
        </is>
      </c>
      <c r="N2099" s="2" t="inlineStr">
        <is>
          <t>ข้อ 7 (PLE_CC1_Key_Rx20_UBU.md)</t>
        </is>
      </c>
      <c r="O2099" s="2" t="inlineStr">
        <is>
          <t>Mock</t>
        </is>
      </c>
      <c r="P2099" s="2" t="inlineStr">
        <is>
          <t>Mock Rx20 UBU</t>
        </is>
      </c>
    </row>
    <row r="2100" ht="13.2" customHeight="1" s="37">
      <c r="A2100" s="8" t="inlineStr">
        <is>
          <t>2121</t>
        </is>
      </c>
      <c r="B2100" s="2" t="inlineStr">
        <is>
          <t>การพบยาทั้ง 5 รายการวางอยู่บนชั้นขายยา เภสัชกรผู้มีหน้าที่ปฏิบัติการมีความผิดหรือไม่ตามข้อใด</t>
        </is>
      </c>
      <c r="C2100" s="2" t="n"/>
      <c r="D2100" s="2" t="inlineStr">
        <is>
          <t>ไม่มีความผิด เพราะไม่มีการขายยาเกิดขึ้น</t>
        </is>
      </c>
      <c r="E2100" s="2" t="inlineStr">
        <is>
          <t>มีความผิดฐานขายยาผิดกฎหมาย</t>
        </is>
      </c>
      <c r="F2100" s="2" t="inlineStr">
        <is>
          <t>มีความผิดฐานไม่อยู่ประจำที่ร้านในเวลาปฏิบัติการ</t>
        </is>
      </c>
      <c r="G2100" s="2" t="inlineStr">
        <is>
          <t>มีความผิดฐานไม่ควบคุมการขายยาให้เป็นไปตามพรบ</t>
        </is>
      </c>
      <c r="H2100" s="2" t="inlineStr">
        <is>
          <t>มีความผิดฐานไม่ควบคุมการส่งมอบยาอันตรายและยาควบคุมพิเศษ</t>
        </is>
      </c>
      <c r="I2100" s="8" t="inlineStr">
        <is>
          <t>3</t>
        </is>
      </c>
      <c r="J2100" s="2" t="inlineStr">
        <is>
          <t>✅ คำตอบที่ถูกต้อง: ข้อ ค. มีความผิดฐานไม่อยู่ประจำที่ร้านในเวลาปฏิบัติการ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มีความผิดฐานไม่อยู่ประจำที่ร้านในเวลาปฏิบัติการ 💡 คำอธิบายและข้อกำหนดทางกฎหมาย:
💡 คำอธิบายและข้อกำหนดทางกฎหมาย:
การเลือก มีความผิดฐานไม่อยู่ประจำที่ร้านในเวลาปฏิบัติการ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ก. (ไม่มีความผิด เพราะไม่มีการขายยาเกิดขึ้น): ข้อนี้ไม่ใช่คำตอบที่ถูกต้องสำหรับภาวะ Pharmacy Laws &amp; Ethics เนื่องจากกลไกการออกฤทธิ์, efficacy หรือข้อบ่งใช้ไม่ตรงกับโจทย์ที่กำหนด
• ข้อ ข. (มีความผิดฐานขายยาผิดกฎหมาย): ข้อนี้ไม่ใช่คำตอบที่ถูกต้องสำหรับภาวะ Pharmacy Laws &amp; Ethics เนื่องจากกลไกการออกฤทธิ์, efficacy หรือข้อบ่งใช้ไม่ตรงกับโจทย์ที่กำหนด
• ข้อ ง. (มีความผิดฐานไม่ควบคุมการขายยาให้เป็นไปตามพรบ): ข้อนี้ไม่ใช่คำตอบที่ถูกต้องสำหรับภาวะ Pharmacy Laws &amp; Ethics เนื่องจากกลไกการออกฤทธิ์, efficacy หรือข้อบ่งใช้ไม่ตรงกับโจทย์ที่กำหนด
• ข้อ จ. (มีความผิดฐานไม่ควบคุมการส่งมอบยาอันตรายและยาควบคุมพิเศษ):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0" s="2" t="n"/>
      <c r="L2100" s="2" t="inlineStr">
        <is>
          <t>Pharmacy Laws &amp; Ethics</t>
        </is>
      </c>
      <c r="M2100" s="2" t="inlineStr">
        <is>
          <t>SAP</t>
        </is>
      </c>
      <c r="N2100" s="2" t="inlineStr">
        <is>
          <t>ข้อ 8 (PLE_CC1_Key_Rx20_UBU.md)</t>
        </is>
      </c>
      <c r="O2100" s="2" t="inlineStr">
        <is>
          <t>Mock</t>
        </is>
      </c>
      <c r="P2100" s="2" t="inlineStr">
        <is>
          <t>Mock Rx20 UBU</t>
        </is>
      </c>
    </row>
    <row r="2101" ht="13.2" customHeight="1" s="37">
      <c r="A2101" s="8" t="inlineStr">
        <is>
          <t>2122</t>
        </is>
      </c>
      <c r="B2101" s="2" t="inlineStr">
        <is>
          <t>การที่ร้านยาดังกล่าวไม่มีการจัดทำบัญชีซื้อขายยา เภสัชกรผู้มีหน้าที่ปฏิบัติการมีความผิดหรือไม่ตามข้อใด</t>
        </is>
      </c>
      <c r="C2101" s="2" t="n"/>
      <c r="D2101" s="2" t="inlineStr">
        <is>
          <t>ไม่มีความผิด</t>
        </is>
      </c>
      <c r="E2101" s="2" t="inlineStr">
        <is>
          <t>มีความผิดฐานไม่จัดทำบัญชีซื้อขายยา</t>
        </is>
      </c>
      <c r="F2101" s="2" t="inlineStr">
        <is>
          <t>มีความผิดฐานไม่ควบคุมการทำบัญชียา</t>
        </is>
      </c>
      <c r="G2101" s="2" t="inlineStr">
        <is>
          <t>มีความผิดฐานไม่จัดทำบัญชีซื้อขายยาอันตราย</t>
        </is>
      </c>
      <c r="H2101" s="2" t="inlineStr">
        <is>
          <t>มีความผิดฐานไม่ควบคุมการทำบัญชีซื้อขายยาอันตราย มาตรา 39 ให้เภสัชกรชั้นหนึ่งตามมาตรา 21 ประจำอยู่ ณ สถานที่ขายยาแผนปัจจุบันตลอดเวลาที่เปิดทำการ และให้มีหน้าที่ปฏิบัติดังต่อไปนี้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จัดให้มีฉลากที่ภาชนะและหีบห่อบรรจุยาที่ปรุงตามใบสั่งยาของผู้ประกอบวิชาชีพเวชกรรม (6) ควบคุมการส่งมอบยาอันตราย ยาควบคุมพิเศษหรือยาตามใบสั่งยา (7) ควบคุมการทำบัญชียาตามมาตรา 26 (6) (8) การอื่นตามที่กำหนดในกฎกระทรวง</t>
        </is>
      </c>
      <c r="I2101" s="8" t="inlineStr">
        <is>
          <t>3</t>
        </is>
      </c>
      <c r="J2101" s="2" t="inlineStr">
        <is>
          <t>✅ คำตอบที่ถูกต้อง: ข้อ ค. มีความผิดฐานไม่ควบคุมการทำบัญชียา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มีความผิดฐานไม่ควบคุมการทำบัญชียา 💡 คำอธิบายและข้อกำหนดทางกฎหมาย:
💡 คำอธิบายและข้อกำหนดทางกฎหมาย:
การเลือก มีความผิดฐานไม่ควบคุมการทำบัญชียา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ก. (ไม่มีความผิด): ข้อนี้ไม่ใช่คำตอบที่ถูกต้องสำหรับภาวะ Pharmacy Laws &amp; Ethics เนื่องจากกลไกการออกฤทธิ์, efficacy หรือข้อบ่งใช้ไม่ตรงกับโจทย์ที่กำหนด
• ข้อ ข. (มีความผิดฐานไม่จัดทำบัญชีซื้อขายยา): ข้อนี้ไม่ใช่คำตอบที่ถูกต้องสำหรับภาวะ Pharmacy Laws &amp; Ethics เนื่องจากกลไกการออกฤทธิ์, efficacy หรือข้อบ่งใช้ไม่ตรงกับโจทย์ที่กำหนด
• ข้อ ง. (มีความผิดฐานไม่จัดทำบัญชีซื้อขายยาอันตราย):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(มีความผิดฐานไม่ควบคุมการทำบัญชีซื้อขายยาอันตราย มาตรา 39 ให้เภสัชกรชั้นหนึ่งตามมาตรา 21 ประจำอยู่ ณ สถานที่ขายยาแผนปัจจุบันตลอดเวลาที่เปิดทำการ และให้มีหน้าที่ปฏิบัติดังต่อไปนี้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จัดให้มีฉลากที่ภาชนะและหีบห่อบรรจุยาที่ปรุงตามใบสั่งยาของผู้ประกอบวิชาชีพเวชกรรม (6) ควบคุมการส่งมอบยาอันตราย ยาควบคุมพิเศษหรือยาตามใบสั่งยา (7) ควบคุมการทำบัญชียาตามมาตรา 26 (6) (8) การอื่นตามที่กำหนดในกฎกระทรวง):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1" s="2" t="n"/>
      <c r="L2101" s="2" t="inlineStr">
        <is>
          <t>Pharmacy Laws &amp; Ethics</t>
        </is>
      </c>
      <c r="M2101" s="2" t="inlineStr">
        <is>
          <t>SAP</t>
        </is>
      </c>
      <c r="N2101" s="2" t="inlineStr">
        <is>
          <t>ข้อ 9 (PLE_CC1_Key_Rx20_UBU.md)</t>
        </is>
      </c>
      <c r="O2101" s="2" t="inlineStr">
        <is>
          <t>Mock</t>
        </is>
      </c>
      <c r="P2101" s="2" t="inlineStr">
        <is>
          <t>Mock Rx20 UBU</t>
        </is>
      </c>
    </row>
    <row r="2102" ht="13.2" customHeight="1" s="37">
      <c r="A2102" s="8" t="inlineStr">
        <is>
          <t>2123</t>
        </is>
      </c>
      <c r="B2102" s="2" t="inlineStr">
        <is>
          <t>กรณีที่พบเพียงนาย ค. อยู่ในร้าน แต่ไม่พบนาย ก. และนาย ข. ใครถือเป็นผู้กระทำความผิด</t>
        </is>
      </c>
      <c r="C2102" s="2" t="n"/>
      <c r="D2102" s="2" t="inlineStr">
        <is>
          <t>ไม่มีใครกระทำผิด</t>
        </is>
      </c>
      <c r="E2102" s="2" t="inlineStr">
        <is>
          <t>นาย ก. ซึ่งผู้รับอนุญาตผิด เนื่องจากไม่อยู่ตลอดเวลาที่ร้านเปิด</t>
        </is>
      </c>
      <c r="F2102" s="2" t="inlineStr">
        <is>
          <t>นาย ข. ซึ่งเป็นเภสัชผู้มีหน้าที่ปฏิบัติการผิดเนื่องจากไม่อยู่ประจำร้านตลอดระยะเวลาที่เปิดทำการ</t>
        </is>
      </c>
      <c r="G2102" s="2" t="inlineStr">
        <is>
          <t>นาย ค. ซึงเป็นบิดาของผู้รับอนุญาตผิด เนื่องจากไม่มีสิทธิอยู่ประจำร้าน</t>
        </is>
      </c>
      <c r="H2102" s="2" t="inlineStr">
        <is>
          <t>ผิดทั้งนาย ก. และนาย ข. จากสถานการณ์ เจ้าหน้าที่เข้าตรวจค้นร้านยา A ในเวลา 15.00 น. ร้านยาดังกล่าวมีนาย ข. เป็นผู้มีหน้าที่ปฏิบัติการ ลงเวลาปฏิบัติการไว้ 8.00-18.00 น. ขณะตรวจไม่พบนาย ข.</t>
        </is>
      </c>
      <c r="I2102" s="8" t="inlineStr">
        <is>
          <t>3</t>
        </is>
      </c>
      <c r="J2102" s="2" t="inlineStr">
        <is>
          <t>✅ คำตอบที่ถูกต้อง: ข้อ ค. นาย ข. ซึ่งเป็นเภสัชผู้มีหน้าที่ปฏิบัติการผิดเนื่องจากไม่อยู่ประจำร้านตลอดระยะเวลาที่เปิดทำการ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นาย ข. ซึ่งเป็นเภสัชผู้มีหน้าที่ปฏิบัติการผิดเนื่องจากไม่อยู่ประจำร้านตลอดระยะเวลาที่เปิดทำการ การเลือก นาย ข. ซึ่งเป็นเภสัชผู้มีหน้าที่ปฏิบัติการผิดเนื่องจากไม่อยู่ประจำร้านตลอดระยะเวลาที่เปิดทำการ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(ไม่มีใครกระทำผิด): ข้อนี้ไม่ใช่คำตอบที่ถูกต้องสำหรับภาวะ General Therapeutics เนื่องจากกลไกการออกฤทธิ์, efficacy หรือข้อบ่งใช้ไม่ตรงกับโจทย์ที่กำหนด
• ข้อ ข. (นาย ก. ซึ่งผู้รับอนุญาตผิด เนื่องจากไม่อยู่ตลอดเวลาที่ร้านเปิด): ข้อนี้ไม่ใช่คำตอบที่ถูกต้องสำหรับภาวะ General Therapeutics เนื่องจากกลไกการออกฤทธิ์, efficacy หรือข้อบ่งใช้ไม่ตรงกับโจทย์ที่กำหนด
• ข้อ ง. (นาย ค. ซึงเป็นบิดาของผู้รับอนุญาตผิด เนื่องจากไม่มีสิทธิอยู่ประจำร้าน): ข้อนี้ไม่ใช่คำตอบที่ถูกต้องสำหรับภาวะ General Therapeutics เนื่องจากกลไกการออกฤทธิ์, efficacy หรือข้อบ่งใช้ไม่ตรงกับโจทย์ที่กำหนด
• ข้อ จ. (ผิดทั้งนาย ก. และนาย ข. จากสถานการณ์ เจ้าหน้าที่เข้าตรวจค้นร้านยา A ในเวลา 15.00 น. ร้านยาดังกล่าวมีนาย ข. เป็นผู้มีหน้าที่ปฏิบัติการ ลงเวลาปฏิบัติการไว้ 8.00-18.00 น. ขณะตรวจไม่พบนาย ข.):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2" s="2" t="n"/>
      <c r="L2102" s="2" t="inlineStr">
        <is>
          <t>General Therapeutics</t>
        </is>
      </c>
      <c r="M2102" s="2" t="inlineStr">
        <is>
          <t>Clinic</t>
        </is>
      </c>
      <c r="N2102" s="2" t="inlineStr">
        <is>
          <t>ข้อ 11 (PLE_CC1_Key_Rx20_UBU.md)</t>
        </is>
      </c>
      <c r="O2102" s="2" t="inlineStr">
        <is>
          <t>Mock</t>
        </is>
      </c>
      <c r="P2102" s="2" t="inlineStr">
        <is>
          <t>Mock Rx20 UBU</t>
        </is>
      </c>
    </row>
    <row r="2103" ht="13.2" customHeight="1" s="37">
      <c r="A2103" s="8" t="inlineStr">
        <is>
          <t>2124</t>
        </is>
      </c>
      <c r="B2103" s="2" t="inlineStr">
        <is>
          <t>เส้นประและเส้นทึบคืออะไรตามลำดับ</t>
        </is>
      </c>
      <c r="C2103" s="2" t="n"/>
      <c r="D2103" s="2" t="inlineStr">
        <is>
          <t>Immunoglobulin M, Immunoglobulin G</t>
        </is>
      </c>
      <c r="E2103" s="2" t="inlineStr">
        <is>
          <t>Immunoglobulin G, Immunoglobulin M</t>
        </is>
      </c>
      <c r="F2103" s="2" t="inlineStr">
        <is>
          <t>Immunoglobulin M, Immunoglobulin A</t>
        </is>
      </c>
      <c r="G2103" s="2" t="inlineStr">
        <is>
          <t>Immunoglobulin G, Immunoglobulin E</t>
        </is>
      </c>
      <c r="H2103" s="2" t="inlineStr">
        <is>
          <t>Immunoglobulin A, Immunoglobulin G</t>
        </is>
      </c>
      <c r="I2103" s="8" t="inlineStr">
        <is>
          <t>2</t>
        </is>
      </c>
      <c r="J2103" s="2" t="inlineStr">
        <is>
          <t>✅ คำตอบที่ถูกต้อง: ข้อ ข. Immunoglobulin G, Immunoglobulin 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Immunoglobulin G, Immunoglobulin M การเลือก Immunoglobulin G, Immunoglobulin 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(Immunoglobulin M, Immunoglobulin G): ข้อนี้ไม่ใช่คำตอบที่ถูกต้องสำหรับภาวะ General Therapeutics เนื่องจากกลไกการออกฤทธิ์, efficacy หรือข้อบ่งใช้ไม่ตรงกับโจทย์ที่กำหนด
• ข้อ ค. (Immunoglobulin M, Immunoglobulin A): ข้อนี้ไม่ใช่คำตอบที่ถูกต้องสำหรับภาวะ General Therapeutics เนื่องจากกลไกการออกฤทธิ์, efficacy หรือข้อบ่งใช้ไม่ตรงกับโจทย์ที่กำหนด
• ข้อ ง. (Immunoglobulin G, Immunoglobulin E): ข้อนี้ไม่ใช่คำตอบที่ถูกต้องสำหรับภาวะ General Therapeutics เนื่องจากกลไกการออกฤทธิ์, efficacy หรือข้อบ่งใช้ไม่ตรงกับโจทย์ที่กำหนด
• ข้อ จ. (Immunoglobulin A, Immunoglobulin 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03" s="2" t="n"/>
      <c r="L2103" s="2" t="inlineStr">
        <is>
          <t>General Therapeutics</t>
        </is>
      </c>
      <c r="M2103" s="2" t="inlineStr">
        <is>
          <t>Clinic</t>
        </is>
      </c>
      <c r="N2103" s="2" t="inlineStr">
        <is>
          <t>ข้อ 4 (PLE_CC1_Key_Rx20_UBU.md)</t>
        </is>
      </c>
      <c r="O2103" s="2" t="inlineStr">
        <is>
          <t>Mock</t>
        </is>
      </c>
      <c r="P2103" s="2" t="inlineStr">
        <is>
          <t>Mock Rx20 UBU</t>
        </is>
      </c>
    </row>
    <row r="2104" ht="13.2" customHeight="1" s="37">
      <c r="A2104" s="8" t="inlineStr">
        <is>
          <t>2125</t>
        </is>
      </c>
      <c r="B2104" s="2" t="inlineStr">
        <is>
          <t>ผู้ป่วยควรได้รับยาอะไรในการบรรเทาโรคดังกลา่วจึงจะมี ความเหมาะสมมากที่สุด</t>
        </is>
      </c>
      <c r="C2104" s="2" t="n"/>
      <c r="D2104" s="2" t="inlineStr">
        <is>
          <t>Paracetamol</t>
        </is>
      </c>
      <c r="E2104" s="2" t="inlineStr">
        <is>
          <t>Colchicine</t>
        </is>
      </c>
      <c r="F2104" s="2" t="inlineStr">
        <is>
          <t>Orphenadrine</t>
        </is>
      </c>
      <c r="G2104" s="2" t="inlineStr">
        <is>
          <t>Prednisolone</t>
        </is>
      </c>
      <c r="H2104" s="2" t="inlineStr">
        <is>
          <t>Glucosamine</t>
        </is>
      </c>
      <c r="I2104" s="8" t="inlineStr">
        <is>
          <t>1</t>
        </is>
      </c>
      <c r="J2104" s="2" t="inlineStr">
        <is>
          <t>✅ คำตอบที่ถูกต้อง: ข้อ ก. Paracetamol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Paracetamol การเลือก Paracetamol เป็นคำตอบที่ถูกต้องตามแนวทางการรักษามาตรฐาน เนื่องจาก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ข้ออื่นผิดเพราะอะไร:
• ข้อ ข. (Colchicine): ยับยั้ง microtubule polymerization และ neutrophil chemotaxis เป็น first-line ใน acute gout flare และ flare prophylaxis แต่มี ADR เด่นทาง GI (ท้องเสีย คลื่นไส้)
• ข้อ ค. (Orphenadrine): ข้อนี้ไม่ใช่คำตอบที่ถูกต้องสำหรับภาวะ General Therapeutics เนื่องจากกลไกการออกฤทธิ์, efficacy หรือข้อบ่งใช้ไม่ตรงกับโจทย์ที่กำหนด
• ข้อ ง. (Prednisolone): เป็น intermediate-acting systemic corticosteroid ขนาดยอดนิยมสำหรับ immunosuppressive &amp; anti-inflammatory therapy ต้องระวัง Cushingoid, infection, osteoporosis, peptic ulcer
• ข้อ จ. (Glucosamine): เป็นเพียง dietary supplement / symptom-modifying therapy สำหรับ OA ไม่ได้จัดเป็น disease-modifying agent และ CPG สากล (ACR) ไม่แนะนำให้ใช้เป็น first-line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4" s="2" t="n"/>
      <c r="L2104" s="2" t="inlineStr">
        <is>
          <t>General Therapeutics</t>
        </is>
      </c>
      <c r="M2104" s="2" t="inlineStr">
        <is>
          <t>Clinic</t>
        </is>
      </c>
      <c r="N2104" s="2" t="inlineStr">
        <is>
          <t>ข้อ 2 (PLE_CC1_Key_Rx20_UBU.md)</t>
        </is>
      </c>
      <c r="O2104" s="2" t="inlineStr">
        <is>
          <t>Mock</t>
        </is>
      </c>
      <c r="P2104" s="2" t="inlineStr">
        <is>
          <t>Mock Rx20 UBU</t>
        </is>
      </c>
    </row>
    <row r="2105" ht="13.2" customHeight="1" s="37">
      <c r="A2105" s="8" t="inlineStr">
        <is>
          <t>2126</t>
        </is>
      </c>
      <c r="B2105" s="2" t="inlineStr">
        <is>
          <t>สูตรคำนวณ First-order reaction :</t>
        </is>
      </c>
      <c r="C2105" s="2" t="n"/>
      <c r="D2105" s="2" t="inlineStr">
        <is>
          <t>Osmolarity (mOsmol/L) calculation</t>
        </is>
      </c>
      <c r="E2105" s="2" t="inlineStr">
        <is>
          <t>Sodium Chloride Equivalent (E-value) Isotonic adjustment</t>
        </is>
      </c>
      <c r="F2105" s="2" t="inlineStr">
        <is>
          <t>Creatinine Clearance via Cockcroft-Gault Equation</t>
        </is>
      </c>
      <c r="G2105" s="2" t="inlineStr">
        <is>
          <t>Body Surface Area (BSA) via Mosteller formula</t>
        </is>
      </c>
      <c r="H2105" s="2" t="inlineStr">
        <is>
          <t>Pediatric dose calculation via Clark / Young rule</t>
        </is>
      </c>
      <c r="I2105" s="8" t="inlineStr">
        <is>
          <t>1</t>
        </is>
      </c>
      <c r="J2105" s="2" t="inlineStr">
        <is>
          <t>✅ คำตอบที่ถูกต้อง: ข้อ ก. Osmolarity (mOsmol/L) calculation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Osmolarity (mOsmol/L) calculation 💡 คำอธิบายและเหตุผลทางเภสัชกรรม:
💡 คำอธิบายและเหตุผลทางเภสัชกรรม:
USP/NF, British Pharmacopoeia (BP) &amp; Remington: The Science and Practice of Pharmacy (หัวข้อ Pharmaceutical Calculations)
Pharmaceutical Calculations: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Pharmaceutical Calculations)
🔍 ข้ออื่นผิดเพราะอะไร:
• ข้อ ข. (Sodium Chloride Equivalent (E-value) Isotonic adjustment): ข้อนี้ไม่ใช่คำตอบที่ถูกต้องสำหรับภาวะ Pharmaceutical Calculations เนื่องจากกลไกการออกฤทธิ์, efficacy หรือข้อบ่งใช้ไม่ตรงกับโจทย์ที่กำหนด
• ข้อ ค. (Creatinine Clearance via Cockcroft-Gault Equation): ข้อนี้ไม่ใช่คำตอบที่ถูกต้องสำหรับภาวะ Pharmaceutical Calculations เนื่องจากกลไกการออกฤทธิ์, efficacy หรือข้อบ่งใช้ไม่ตรงกับโจทย์ที่กำหนด
• ข้อ ง. (Body Surface Area (BSA) via Mosteller formula): ข้อนี้ไม่ใช่คำตอบที่ถูกต้องสำหรับภาวะ Pharmaceutical Calculations เนื่องจากกลไกการออกฤทธิ์, efficacy หรือข้อบ่งใช้ไม่ตรงกับโจทย์ที่กำหนด
• ข้อ จ. (Pediatric dose calculation via Clark / Young rule): ข้อนี้ไม่ใช่คำตอบที่ถูกต้องสำหรับภาวะ Pharmaceutical Calculations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05" s="2" t="n"/>
      <c r="L2105" s="2" t="inlineStr">
        <is>
          <t>Pharmaceutical Calculations</t>
        </is>
      </c>
      <c r="M2105" s="2" t="inlineStr">
        <is>
          <t>Product</t>
        </is>
      </c>
      <c r="N2105" s="2" t="inlineStr">
        <is>
          <t>ข้อ 4 (PLE_CC1_Key_Rx20_UBU.md)</t>
        </is>
      </c>
      <c r="O2105" s="2" t="inlineStr">
        <is>
          <t>Mock</t>
        </is>
      </c>
      <c r="P2105" s="2" t="inlineStr">
        <is>
          <t>Mock Rx20 UBU</t>
        </is>
      </c>
    </row>
    <row r="2106" ht="13.2" customHeight="1" s="37">
      <c r="A2106" s="8" t="inlineStr">
        <is>
          <t>2127</t>
        </is>
      </c>
      <c r="B2106" s="2" t="inlineStr">
        <is>
          <t>ขนาด particle size</t>
        </is>
      </c>
      <c r="C2106" s="2" t="n"/>
      <c r="D2106" s="2" t="inlineStr">
        <is>
          <t>Dimercaprol (BAL) 3 mg/kg IM</t>
        </is>
      </c>
      <c r="E2106" s="2" t="inlineStr">
        <is>
          <t>Ethanol 10% IV infusion for Methanol poisoning</t>
        </is>
      </c>
      <c r="F2106" s="2" t="inlineStr">
        <is>
          <t>Fomepizole 15 mg/kg IV loading</t>
        </is>
      </c>
      <c r="G2106" s="2" t="inlineStr">
        <is>
          <t>N-acetylcysteine (NAC) IV infusion protocol</t>
        </is>
      </c>
      <c r="H2106" s="2" t="inlineStr">
        <is>
          <t>Atropine sulfate 2 mg IV Q5-10 min</t>
        </is>
      </c>
      <c r="I2106" s="8" t="inlineStr">
        <is>
          <t>1</t>
        </is>
      </c>
      <c r="J21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6" s="2" t="n"/>
      <c r="L2106" s="2" t="inlineStr">
        <is>
          <t>General Therapeutics</t>
        </is>
      </c>
      <c r="M2106" s="2" t="inlineStr">
        <is>
          <t>Clinic</t>
        </is>
      </c>
      <c r="N2106" s="2" t="inlineStr">
        <is>
          <t>ข้อ 3 (PLE_CC1_Key_Rx20_UBU.md)</t>
        </is>
      </c>
      <c r="O2106" s="2" t="inlineStr">
        <is>
          <t>Mock</t>
        </is>
      </c>
      <c r="P2106" s="2" t="inlineStr">
        <is>
          <t>Mock Rx20 UBU</t>
        </is>
      </c>
    </row>
    <row r="2107" ht="13.2" customHeight="1" s="37">
      <c r="A2107" s="8" t="inlineStr">
        <is>
          <t>2128</t>
        </is>
      </c>
      <c r="B2107" s="2" t="inlineStr">
        <is>
          <t>ลด motor fluctuation</t>
        </is>
      </c>
      <c r="C2107" s="2" t="n"/>
      <c r="D2107" s="2" t="inlineStr">
        <is>
          <t>N-acetylcysteine (NAC) IV infusion protocol</t>
        </is>
      </c>
      <c r="E2107" s="2" t="inlineStr">
        <is>
          <t>Atropine sulfate 2 mg IV Q5-10 min</t>
        </is>
      </c>
      <c r="F2107" s="2" t="inlineStr">
        <is>
          <t>Pralidoxime (2-PAM) 1-2 g IV over 30 min</t>
        </is>
      </c>
      <c r="G2107" s="2" t="inlineStr">
        <is>
          <t>Naloxone 0.4 mg IV stat</t>
        </is>
      </c>
      <c r="H2107" s="2" t="inlineStr">
        <is>
          <t>Flumazenil 0.2 mg IV stat</t>
        </is>
      </c>
      <c r="I2107" s="8" t="inlineStr">
        <is>
          <t>1</t>
        </is>
      </c>
      <c r="J21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07" s="2" t="n"/>
      <c r="L2107" s="2" t="inlineStr">
        <is>
          <t>General Therapeutics</t>
        </is>
      </c>
      <c r="M2107" s="2" t="inlineStr">
        <is>
          <t>Clinic</t>
        </is>
      </c>
      <c r="N2107" s="2" t="inlineStr">
        <is>
          <t>ข้อ 3 (PLE_CC1_Key_Rx20_UBU.md)</t>
        </is>
      </c>
      <c r="O2107" s="2" t="inlineStr">
        <is>
          <t>Mock</t>
        </is>
      </c>
      <c r="P2107" s="2" t="inlineStr">
        <is>
          <t>Mock Rx20 UBU</t>
        </is>
      </c>
    </row>
    <row r="2108" ht="13.2" customHeight="1" s="37">
      <c r="A2108" s="8" t="inlineStr">
        <is>
          <t>2129</t>
        </is>
      </c>
      <c r="B2108" s="2" t="inlineStr">
        <is>
          <t>Decarboxylation</t>
        </is>
      </c>
      <c r="C2108" s="2" t="n"/>
      <c r="D2108" s="2" t="inlineStr">
        <is>
          <t>Naloxone 0.4 mg IV stat</t>
        </is>
      </c>
      <c r="E2108" s="2" t="inlineStr">
        <is>
          <t>Flumazenil 0.2 mg IV stat</t>
        </is>
      </c>
      <c r="F2108" s="2" t="inlineStr">
        <is>
          <t>Vitamin K1 (Phytomenadione) 10 mg IV slow</t>
        </is>
      </c>
      <c r="G2108" s="2" t="inlineStr">
        <is>
          <t>Sodium thiosulfate 25% 50 mL IV</t>
        </is>
      </c>
      <c r="H2108" s="2" t="inlineStr">
        <is>
          <t>Calcium disodium EDTA 1 g IV</t>
        </is>
      </c>
      <c r="I2108" s="8" t="inlineStr">
        <is>
          <t>1</t>
        </is>
      </c>
      <c r="J21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08" s="2" t="n"/>
      <c r="L2108" s="2" t="inlineStr">
        <is>
          <t>General Therapeutics</t>
        </is>
      </c>
      <c r="M2108" s="2" t="inlineStr">
        <is>
          <t>Clinic</t>
        </is>
      </c>
      <c r="N2108" s="2" t="inlineStr">
        <is>
          <t>ข้อ 1 (PLE_CC1_Key_Rx20_UBU.md)</t>
        </is>
      </c>
      <c r="O2108" s="2" t="inlineStr">
        <is>
          <t>Mock</t>
        </is>
      </c>
      <c r="P2108" s="2" t="inlineStr">
        <is>
          <t>Mock Rx20 UBU</t>
        </is>
      </c>
    </row>
    <row r="2109" ht="13.2" customHeight="1" s="37">
      <c r="A2109" s="8" t="inlineStr">
        <is>
          <t>2130</t>
        </is>
      </c>
      <c r="B2109" s="2" t="inlineStr">
        <is>
          <t>O-methylation(?)</t>
        </is>
      </c>
      <c r="C2109" s="2" t="n"/>
      <c r="D2109" s="2" t="inlineStr">
        <is>
          <t>Sodium thiosulfate 25% 50 mL IV</t>
        </is>
      </c>
      <c r="E2109" s="2" t="inlineStr">
        <is>
          <t>Calcium disodium EDTA 1 g IV</t>
        </is>
      </c>
      <c r="F2109" s="2" t="inlineStr">
        <is>
          <t>Desferrioxamine 1 g IM/IV</t>
        </is>
      </c>
      <c r="G2109" s="2" t="inlineStr">
        <is>
          <t>Dimercaprol (BAL) 3 mg/kg IM</t>
        </is>
      </c>
      <c r="H2109" s="2" t="inlineStr">
        <is>
          <t>Ethanol 10% IV infusion for Methanol poisoning</t>
        </is>
      </c>
      <c r="I2109" s="8" t="inlineStr">
        <is>
          <t>1</t>
        </is>
      </c>
      <c r="J21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9" s="2" t="n"/>
      <c r="L2109" s="2" t="inlineStr">
        <is>
          <t>General Therapeutics</t>
        </is>
      </c>
      <c r="M2109" s="2" t="inlineStr">
        <is>
          <t>Clinic</t>
        </is>
      </c>
      <c r="N2109" s="2" t="inlineStr">
        <is>
          <t>ข้อ 3 (PLE_CC1_Key_Rx20_UBU.md)</t>
        </is>
      </c>
      <c r="O2109" s="2" t="inlineStr">
        <is>
          <t>Mock</t>
        </is>
      </c>
      <c r="P2109" s="2" t="inlineStr">
        <is>
          <t>Mock Rx20 UBU</t>
        </is>
      </c>
    </row>
    <row r="2110" ht="13.2" customHeight="1" s="37">
      <c r="A2110" s="8" t="inlineStr">
        <is>
          <t>2131</t>
        </is>
      </c>
      <c r="B2110" s="2" t="inlineStr">
        <is>
          <t>Hydroxylation(?)</t>
        </is>
      </c>
      <c r="C2110" s="2" t="n"/>
      <c r="D2110" s="2" t="inlineStr">
        <is>
          <t>Dimercaprol (BAL) 3 mg/kg IM</t>
        </is>
      </c>
      <c r="E2110" s="2" t="inlineStr">
        <is>
          <t>Ethanol 10% IV infusion for Methanol poisoning</t>
        </is>
      </c>
      <c r="F2110" s="2" t="inlineStr">
        <is>
          <t>Fomepizole 15 mg/kg IV loading</t>
        </is>
      </c>
      <c r="G2110" s="2" t="inlineStr">
        <is>
          <t>N-acetylcysteine (NAC) IV infusion protocol</t>
        </is>
      </c>
      <c r="H2110" s="2" t="inlineStr">
        <is>
          <t>Atropine sulfate 2 mg IV Q5-10 min</t>
        </is>
      </c>
      <c r="I2110" s="8" t="inlineStr">
        <is>
          <t>1</t>
        </is>
      </c>
      <c r="J21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0" s="2" t="n"/>
      <c r="L2110" s="2" t="inlineStr">
        <is>
          <t>General Therapeutics</t>
        </is>
      </c>
      <c r="M2110" s="2" t="inlineStr">
        <is>
          <t>Clinic</t>
        </is>
      </c>
      <c r="N2110" s="2" t="inlineStr">
        <is>
          <t>ข้อ 4 (PLE_CC1_Key_Rx20_UBU.md)</t>
        </is>
      </c>
      <c r="O2110" s="2" t="inlineStr">
        <is>
          <t>Mock</t>
        </is>
      </c>
      <c r="P2110" s="2" t="inlineStr">
        <is>
          <t>Mock Rx20 UBU</t>
        </is>
      </c>
    </row>
    <row r="2111" ht="13.2" customHeight="1" s="37">
      <c r="A2111" s="8" t="inlineStr">
        <is>
          <t>2132</t>
        </is>
      </c>
      <c r="B2111" s="2" t="inlineStr">
        <is>
          <t>แนะนำอย่างไร</t>
        </is>
      </c>
      <c r="C2111" s="2" t="n"/>
      <c r="D2111" s="2" t="inlineStr">
        <is>
          <t>N-acetylcysteine (NAC) IV infusion protocol</t>
        </is>
      </c>
      <c r="E2111" s="2" t="inlineStr">
        <is>
          <t>Atropine sulfate 2 mg IV Q5-10 min</t>
        </is>
      </c>
      <c r="F2111" s="2" t="inlineStr">
        <is>
          <t>Pralidoxime (2-PAM) 1-2 g IV over 30 min</t>
        </is>
      </c>
      <c r="G2111" s="2" t="inlineStr">
        <is>
          <t>Naloxone 0.4 mg IV stat</t>
        </is>
      </c>
      <c r="H2111" s="2" t="inlineStr">
        <is>
          <t>Flumazenil 0.2 mg IV stat</t>
        </is>
      </c>
      <c r="I2111" s="8" t="inlineStr">
        <is>
          <t>1</t>
        </is>
      </c>
      <c r="J21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11" s="2" t="n"/>
      <c r="L2111" s="2" t="inlineStr">
        <is>
          <t>General Therapeutics</t>
        </is>
      </c>
      <c r="M2111" s="2" t="inlineStr">
        <is>
          <t>Clinic</t>
        </is>
      </c>
      <c r="N2111" s="2" t="inlineStr">
        <is>
          <t>ข้อ 3 (PLE_CC1_Key_Rx20_UBU.md)</t>
        </is>
      </c>
      <c r="O2111" s="2" t="inlineStr">
        <is>
          <t>Mock</t>
        </is>
      </c>
      <c r="P2111" s="2" t="inlineStr">
        <is>
          <t>Mock Rx20 UBU</t>
        </is>
      </c>
    </row>
    <row r="2112" ht="13.2" customHeight="1" s="37">
      <c r="A2112" s="8" t="inlineStr">
        <is>
          <t>2133</t>
        </is>
      </c>
      <c r="B2112" s="2" t="inlineStr">
        <is>
          <t>เลี่ยงการรับประทานร่วมกับอาหารที่มีโปรตีนสูง</t>
        </is>
      </c>
      <c r="C2112" s="2" t="n"/>
      <c r="D2112" s="2" t="inlineStr">
        <is>
          <t>Naloxone 0.4 mg IV stat</t>
        </is>
      </c>
      <c r="E2112" s="2" t="inlineStr">
        <is>
          <t>Flumazenil 0.2 mg IV stat</t>
        </is>
      </c>
      <c r="F2112" s="2" t="inlineStr">
        <is>
          <t>Vitamin K1 (Phytomenadione) 10 mg IV slow</t>
        </is>
      </c>
      <c r="G2112" s="2" t="inlineStr">
        <is>
          <t>Sodium thiosulfate 25% 50 mL IV</t>
        </is>
      </c>
      <c r="H2112" s="2" t="inlineStr">
        <is>
          <t>Calcium disodium EDTA 1 g IV</t>
        </is>
      </c>
      <c r="I2112" s="8" t="inlineStr">
        <is>
          <t>1</t>
        </is>
      </c>
      <c r="J21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12" s="2" t="n"/>
      <c r="L2112" s="2" t="inlineStr">
        <is>
          <t>General Therapeutics</t>
        </is>
      </c>
      <c r="M2112" s="2" t="inlineStr">
        <is>
          <t>Clinic</t>
        </is>
      </c>
      <c r="N2112" s="2" t="inlineStr">
        <is>
          <t>ข้อ 1 (PLE_CC1_Key_Rx20_UBU.md)</t>
        </is>
      </c>
      <c r="O2112" s="2" t="inlineStr">
        <is>
          <t>Mock</t>
        </is>
      </c>
      <c r="P2112" s="2" t="inlineStr">
        <is>
          <t>Mock Rx20 UBU</t>
        </is>
      </c>
    </row>
    <row r="2113" ht="13.2" customHeight="1" s="37">
      <c r="A2113" s="8" t="inlineStr">
        <is>
          <t>2134</t>
        </is>
      </c>
      <c r="B2113" s="2" t="inlineStr">
        <is>
          <t>อาศัย P-glycoprotein</t>
        </is>
      </c>
      <c r="C2113" s="2" t="n"/>
      <c r="D2113" s="2" t="inlineStr">
        <is>
          <t>Polyethylene Glycol (PEG) Conjugation for extended half-life</t>
        </is>
      </c>
      <c r="E2113" s="2" t="inlineStr">
        <is>
          <t>Lyophilization (Freeze-drying) with Trehalose Cryoprotectant</t>
        </is>
      </c>
      <c r="F2113" s="2" t="inlineStr">
        <is>
          <t>ELISA Immunoassay for protein quantification</t>
        </is>
      </c>
      <c r="G2113" s="2" t="inlineStr">
        <is>
          <t>SDS-PAGE Gel Electrophoresis purity analysis</t>
        </is>
      </c>
      <c r="H2113" s="2" t="inlineStr">
        <is>
          <t>Isoelectric Focusing (IEF) for charge heterogeneity</t>
        </is>
      </c>
      <c r="I2113" s="8" t="inlineStr">
        <is>
          <t>2</t>
        </is>
      </c>
      <c r="J2113" s="2" t="inlineStr">
        <is>
          <t>✅ คำตอบที่ถูกต้อง: ข้อ ข.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Biotech Products โดยมี clinical efficacy สูงสุดในการรักษาและมี safety profile ที่เหมาะสม
USP/NF, British Pharmacopoeia (BP) และ Remington: The Science and Practice of Pharmacy (หัวข้อ Biotech Products)
🔍 ข้ออื่นผิดเพราะอะไร:
• ข้อ ก. (Polyethylene Glycol (PEG) Conjugation for extended half-life): ข้อนี้ไม่ใช่คำตอบที่ถูกต้องสำหรับภาวะ Biotech Products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Biotech Products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Biotech Products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13" s="2" t="n"/>
      <c r="L2113" s="2" t="inlineStr">
        <is>
          <t>Biotech Products</t>
        </is>
      </c>
      <c r="M2113" s="2" t="inlineStr">
        <is>
          <t>Product</t>
        </is>
      </c>
      <c r="N2113" s="2" t="inlineStr">
        <is>
          <t>ข้อ 4 (PLE_CC1_Key_Rx20_UBU.md)</t>
        </is>
      </c>
      <c r="O2113" s="2" t="inlineStr">
        <is>
          <t>Mock</t>
        </is>
      </c>
      <c r="P2113" s="2" t="inlineStr">
        <is>
          <t>Mock Rx20 UBU</t>
        </is>
      </c>
    </row>
    <row r="2114" ht="13.2" customHeight="1" s="37">
      <c r="A2114" s="8" t="inlineStr">
        <is>
          <t>2135</t>
        </is>
      </c>
      <c r="B2114" s="2" t="inlineStr">
        <is>
          <t>สาเหตุหลักที่นำผู้ป่วยมาพบแพทย์</t>
        </is>
      </c>
      <c r="C2114" s="2" t="n"/>
      <c r="D2114" s="2" t="inlineStr">
        <is>
          <t>Dimercaprol (BAL) 3 mg/kg IM</t>
        </is>
      </c>
      <c r="E2114" s="2" t="inlineStr">
        <is>
          <t>Ethanol 10% IV infusion for Methanol poisoning</t>
        </is>
      </c>
      <c r="F2114" s="2" t="inlineStr">
        <is>
          <t>Fomepizole 15 mg/kg IV loading</t>
        </is>
      </c>
      <c r="G2114" s="2" t="inlineStr">
        <is>
          <t>N-acetylcysteine (NAC) IV infusion protocol</t>
        </is>
      </c>
      <c r="H2114" s="2" t="inlineStr">
        <is>
          <t>Atropine sulfate 2 mg IV Q5-10 min</t>
        </is>
      </c>
      <c r="I2114" s="8" t="inlineStr">
        <is>
          <t>1</t>
        </is>
      </c>
      <c r="J21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4" s="2" t="n"/>
      <c r="L2114" s="2" t="inlineStr">
        <is>
          <t>General Therapeutics</t>
        </is>
      </c>
      <c r="M2114" s="2" t="inlineStr">
        <is>
          <t>Clinic</t>
        </is>
      </c>
      <c r="N2114" s="2" t="inlineStr">
        <is>
          <t>ข้อ 5 (PLE_CC1_Key_Rx20_UBU.md)</t>
        </is>
      </c>
      <c r="O2114" s="2" t="inlineStr">
        <is>
          <t>Mock</t>
        </is>
      </c>
      <c r="P2114" s="2" t="inlineStr">
        <is>
          <t>Mock Rx20 UBU</t>
        </is>
      </c>
    </row>
    <row r="2115" ht="13.2" customHeight="1" s="37">
      <c r="A2115" s="8" t="inlineStr">
        <is>
          <t>2136</t>
        </is>
      </c>
      <c r="B2115" s="2" t="inlineStr">
        <is>
          <t>วิธีการแก้ไขปัญหาในผู้ป่วยรายนี้</t>
        </is>
      </c>
      <c r="C2115" s="2" t="n"/>
      <c r="D2115" s="2" t="inlineStr">
        <is>
          <t>N-acetylcysteine (NAC) IV infusion protocol</t>
        </is>
      </c>
      <c r="E2115" s="2" t="inlineStr">
        <is>
          <t>Atropine sulfate 2 mg IV Q5-10 min</t>
        </is>
      </c>
      <c r="F2115" s="2" t="inlineStr">
        <is>
          <t>Pralidoxime (2-PAM) 1-2 g IV over 30 min</t>
        </is>
      </c>
      <c r="G2115" s="2" t="inlineStr">
        <is>
          <t>Naloxone 0.4 mg IV stat</t>
        </is>
      </c>
      <c r="H2115" s="2" t="inlineStr">
        <is>
          <t>Flumazenil 0.2 mg IV stat</t>
        </is>
      </c>
      <c r="I2115" s="8" t="inlineStr">
        <is>
          <t>1</t>
        </is>
      </c>
      <c r="J21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15" s="2" t="n"/>
      <c r="L2115" s="2" t="inlineStr">
        <is>
          <t>General Therapeutics</t>
        </is>
      </c>
      <c r="M2115" s="2" t="inlineStr">
        <is>
          <t>Clinic</t>
        </is>
      </c>
      <c r="N2115" s="2" t="inlineStr">
        <is>
          <t>ข้อ 6 (PLE_CC1_Key_Rx20_UBU.md)</t>
        </is>
      </c>
      <c r="O2115" s="2" t="inlineStr">
        <is>
          <t>Mock</t>
        </is>
      </c>
      <c r="P2115" s="2" t="inlineStr">
        <is>
          <t>Mock Rx20 UBU</t>
        </is>
      </c>
    </row>
    <row r="2116" ht="13.2" customHeight="1" s="37">
      <c r="A2116" s="8" t="inlineStr">
        <is>
          <t>2137</t>
        </is>
      </c>
      <c r="B2116" s="2" t="inlineStr">
        <is>
          <t>เปลี่ยนรูปแบบยาเป็นแบบ Control release วิธีการแก้ไขภาวะ Wearing off</t>
        </is>
      </c>
      <c r="C2116" s="2" t="n"/>
      <c r="D2116" s="2" t="inlineStr">
        <is>
          <t>Naloxone 0.4 mg IV stat</t>
        </is>
      </c>
      <c r="E2116" s="2" t="inlineStr">
        <is>
          <t>Flumazenil 0.2 mg IV stat</t>
        </is>
      </c>
      <c r="F2116" s="2" t="inlineStr">
        <is>
          <t>Vitamin K1 (Phytomenadione) 10 mg IV slow</t>
        </is>
      </c>
      <c r="G2116" s="2" t="inlineStr">
        <is>
          <t>Sodium thiosulfate 25% 50 mL IV</t>
        </is>
      </c>
      <c r="H2116" s="2" t="inlineStr">
        <is>
          <t>Calcium disodium EDTA 1 g IV</t>
        </is>
      </c>
      <c r="I2116" s="8" t="inlineStr">
        <is>
          <t>1</t>
        </is>
      </c>
      <c r="J21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16" s="2" t="n"/>
      <c r="L2116" s="2" t="inlineStr">
        <is>
          <t>General Therapeutics</t>
        </is>
      </c>
      <c r="M2116" s="2" t="inlineStr">
        <is>
          <t>Clinic</t>
        </is>
      </c>
      <c r="N2116" s="2" t="inlineStr">
        <is>
          <t>ข้อ 1 (PLE_CC1_Key_Rx20_UBU.md)</t>
        </is>
      </c>
      <c r="O2116" s="2" t="inlineStr">
        <is>
          <t>Mock</t>
        </is>
      </c>
      <c r="P2116" s="2" t="inlineStr">
        <is>
          <t>Mock Rx20 UBU</t>
        </is>
      </c>
    </row>
    <row r="2117" ht="13.2" customHeight="1" s="37">
      <c r="A2117" s="8" t="inlineStr">
        <is>
          <t>2138</t>
        </is>
      </c>
      <c r="B2117" s="2" t="inlineStr">
        <is>
          <t>การให้ COMT inhibitor (entacapone) ร่วมด้วย</t>
        </is>
      </c>
      <c r="C2117" s="2" t="n"/>
      <c r="D2117" s="2" t="inlineStr">
        <is>
          <t>Sodium thiosulfate 25% 50 mL IV</t>
        </is>
      </c>
      <c r="E2117" s="2" t="inlineStr">
        <is>
          <t>Calcium disodium EDTA 1 g IV</t>
        </is>
      </c>
      <c r="F2117" s="2" t="inlineStr">
        <is>
          <t>Desferrioxamine 1 g IM/IV</t>
        </is>
      </c>
      <c r="G2117" s="2" t="inlineStr">
        <is>
          <t>Dimercaprol (BAL) 3 mg/kg IM</t>
        </is>
      </c>
      <c r="H2117" s="2" t="inlineStr">
        <is>
          <t>Ethanol 10% IV infusion for Methanol poisoning</t>
        </is>
      </c>
      <c r="I2117" s="8" t="inlineStr">
        <is>
          <t>1</t>
        </is>
      </c>
      <c r="J21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7" s="2" t="n"/>
      <c r="L2117" s="2" t="inlineStr">
        <is>
          <t>General Therapeutics</t>
        </is>
      </c>
      <c r="M2117" s="2" t="inlineStr">
        <is>
          <t>Clinic</t>
        </is>
      </c>
      <c r="N2117" s="2" t="inlineStr">
        <is>
          <t>ข้อ 2 (PLE_CC1_Key_Rx20_UBU.md)</t>
        </is>
      </c>
      <c r="O2117" s="2" t="inlineStr">
        <is>
          <t>Mock</t>
        </is>
      </c>
      <c r="P2117" s="2" t="inlineStr">
        <is>
          <t>Mock Rx20 UBU</t>
        </is>
      </c>
    </row>
    <row r="2118" ht="13.2" customHeight="1" s="37">
      <c r="A2118" s="8" t="inlineStr">
        <is>
          <t>2139</t>
        </is>
      </c>
      <c r="B2118" s="2" t="inlineStr">
        <is>
          <t>ยาที่ผู้ป่วยควรได้รีบในการรักษา cryptococcal meningitis ในระยะยาว (Maintenance)</t>
        </is>
      </c>
      <c r="C2118" s="2" t="n"/>
      <c r="D2118" s="2" t="inlineStr">
        <is>
          <t>Tenofovir/Emtricitabine 300/200 mg OD</t>
        </is>
      </c>
      <c r="E2118" s="2" t="inlineStr">
        <is>
          <t>Dolutegravir 50 mg OD</t>
        </is>
      </c>
      <c r="F2118" s="2" t="inlineStr">
        <is>
          <t>Vancomycin 1 g IV Q12H</t>
        </is>
      </c>
      <c r="G2118" s="2" t="inlineStr">
        <is>
          <t>Meropenem 1 g IV Q8H</t>
        </is>
      </c>
      <c r="H2118" s="2" t="inlineStr">
        <is>
          <t>Cefazolin 1 g IV Q8H</t>
        </is>
      </c>
      <c r="I2118" s="8" t="inlineStr">
        <is>
          <t>1</t>
        </is>
      </c>
      <c r="J2118" s="2" t="inlineStr">
        <is>
          <t>✅ คำตอบที่ถูกต้อง: ข้อ ก. Tenofovir/Emtricitabine 300/200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Tenofovir/Emtricitabine 300/200 mg OD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18" s="2" t="n"/>
      <c r="L2118" s="2" t="inlineStr">
        <is>
          <t>Infectious Diseases</t>
        </is>
      </c>
      <c r="M2118" s="2" t="inlineStr">
        <is>
          <t>Clinic</t>
        </is>
      </c>
      <c r="N2118" s="2" t="inlineStr">
        <is>
          <t>ข้อ 1 (PLE_CC1_Key_Rx20_UBU.md)</t>
        </is>
      </c>
      <c r="O2118" s="2" t="inlineStr">
        <is>
          <t>Mock</t>
        </is>
      </c>
      <c r="P2118" s="2" t="inlineStr">
        <is>
          <t>Mock Rx20 UBU</t>
        </is>
      </c>
    </row>
    <row r="2119" ht="13.2" customHeight="1" s="37">
      <c r="A2119" s="8" t="inlineStr">
        <is>
          <t>2140</t>
        </is>
      </c>
      <c r="B2119" s="2" t="inlineStr">
        <is>
          <t>ข้อใดกล่าวผิดเกี่ยวกับการให้ยา Amphotericin B</t>
        </is>
      </c>
      <c r="C2119" s="2" t="n"/>
      <c r="D2119" s="2" t="inlineStr">
        <is>
          <t>Meropenem 1 g IV Q8H</t>
        </is>
      </c>
      <c r="E2119" s="2" t="inlineStr">
        <is>
          <t>Cefazolin 1 g IV Q8H</t>
        </is>
      </c>
      <c r="F2119" s="2" t="inlineStr">
        <is>
          <t>Amoxicillin/Clavulanate 1 g BID</t>
        </is>
      </c>
      <c r="G2119" s="2" t="inlineStr">
        <is>
          <t>Ceftriaxone 1 g IV OD</t>
        </is>
      </c>
      <c r="H2119" s="2" t="inlineStr">
        <is>
          <t>Ciprofloxacin 500 mg BID</t>
        </is>
      </c>
      <c r="I2119" s="8" t="inlineStr">
        <is>
          <t>1</t>
        </is>
      </c>
      <c r="J2119" s="2" t="inlineStr">
        <is>
          <t>✅ คำตอบที่ถูกต้อง: ข้อ ก.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9" s="2" t="n"/>
      <c r="L2119" s="2" t="inlineStr">
        <is>
          <t>Infectious Diseases</t>
        </is>
      </c>
      <c r="M2119" s="2" t="inlineStr">
        <is>
          <t>Clinic</t>
        </is>
      </c>
      <c r="N2119" s="2" t="inlineStr">
        <is>
          <t>ข้อ 2 (PLE_CC1_Key_Rx20_UBU.md)</t>
        </is>
      </c>
      <c r="O2119" s="2" t="inlineStr">
        <is>
          <t>Mock</t>
        </is>
      </c>
      <c r="P2119" s="2" t="inlineStr">
        <is>
          <t>Mock Rx20 UBU</t>
        </is>
      </c>
    </row>
    <row r="2120" ht="13.2" customHeight="1" s="37">
      <c r="A2120" s="8" t="inlineStr">
        <is>
          <t>2141</t>
        </is>
      </c>
      <c r="B2120" s="2" t="inlineStr">
        <is>
          <t>ไม่ควรให้ยาเข้าหลอดเลือดเร็วเกินไป</t>
        </is>
      </c>
      <c r="C2120" s="2" t="n"/>
      <c r="D2120" s="2" t="inlineStr">
        <is>
          <t>Naloxone 0.4 mg IV stat</t>
        </is>
      </c>
      <c r="E2120" s="2" t="inlineStr">
        <is>
          <t>Flumazenil 0.2 mg IV stat</t>
        </is>
      </c>
      <c r="F2120" s="2" t="inlineStr">
        <is>
          <t>Vitamin K1 (Phytomenadione) 10 mg IV slow</t>
        </is>
      </c>
      <c r="G2120" s="2" t="inlineStr">
        <is>
          <t>Sodium thiosulfate 25% 50 mL IV</t>
        </is>
      </c>
      <c r="H2120" s="2" t="inlineStr">
        <is>
          <t>Calcium disodium EDTA 1 g IV</t>
        </is>
      </c>
      <c r="I2120" s="8" t="inlineStr">
        <is>
          <t>1</t>
        </is>
      </c>
      <c r="J212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20" s="2" t="n"/>
      <c r="L2120" s="2" t="inlineStr">
        <is>
          <t>General Therapeutics</t>
        </is>
      </c>
      <c r="M2120" s="2" t="inlineStr">
        <is>
          <t>Clinic</t>
        </is>
      </c>
      <c r="N2120" s="2" t="inlineStr">
        <is>
          <t>ข้อ 1 (PLE_CC1_Key_Rx20_UBU.md)</t>
        </is>
      </c>
      <c r="O2120" s="2" t="inlineStr">
        <is>
          <t>Mock</t>
        </is>
      </c>
      <c r="P2120" s="2" t="inlineStr">
        <is>
          <t>Mock Rx20 UBU</t>
        </is>
      </c>
    </row>
    <row r="2121" ht="13.2" customHeight="1" s="37">
      <c r="A2121" s="8" t="inlineStr">
        <is>
          <t>2142</t>
        </is>
      </c>
      <c r="B2121" s="2" t="inlineStr">
        <is>
          <t>ควรประเมินค่าโพแทสเซียมของผู้ป่วย</t>
        </is>
      </c>
      <c r="C2121" s="2" t="n"/>
      <c r="D2121" s="2" t="inlineStr">
        <is>
          <t>Sodium thiosulfate 25% 50 mL IV</t>
        </is>
      </c>
      <c r="E2121" s="2" t="inlineStr">
        <is>
          <t>Calcium disodium EDTA 1 g IV</t>
        </is>
      </c>
      <c r="F2121" s="2" t="inlineStr">
        <is>
          <t>Desferrioxamine 1 g IM/IV</t>
        </is>
      </c>
      <c r="G2121" s="2" t="inlineStr">
        <is>
          <t>Dimercaprol (BAL) 3 mg/kg IM</t>
        </is>
      </c>
      <c r="H2121" s="2" t="inlineStr">
        <is>
          <t>Ethanol 10% IV infusion for Methanol poisoning</t>
        </is>
      </c>
      <c r="I2121" s="8" t="inlineStr">
        <is>
          <t>1</t>
        </is>
      </c>
      <c r="J21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1" s="2" t="n"/>
      <c r="L2121" s="2" t="inlineStr">
        <is>
          <t>General Therapeutics</t>
        </is>
      </c>
      <c r="M2121" s="2" t="inlineStr">
        <is>
          <t>Clinic</t>
        </is>
      </c>
      <c r="N2121" s="2" t="inlineStr">
        <is>
          <t>ข้อ 4 (PLE_CC1_Key_Rx20_UBU.md)</t>
        </is>
      </c>
      <c r="O2121" s="2" t="inlineStr">
        <is>
          <t>Mock</t>
        </is>
      </c>
      <c r="P2121" s="2" t="inlineStr">
        <is>
          <t>Mock Rx20 UBU</t>
        </is>
      </c>
    </row>
    <row r="2122" ht="13.2" customHeight="1" s="37">
      <c r="A2122" s="8" t="inlineStr">
        <is>
          <t>2143</t>
        </is>
      </c>
      <c r="B2122" s="2" t="inlineStr">
        <is>
          <t>เมื่อให้ Amphotericin B กับ NSS แล้วตกตะกอน เนื่องจาก</t>
        </is>
      </c>
      <c r="C2122" s="2" t="n"/>
      <c r="D2122" s="2" t="inlineStr">
        <is>
          <t>Nitrofurantoin 100 mg BID</t>
        </is>
      </c>
      <c r="E2122" s="2" t="inlineStr">
        <is>
          <t>Tenofovir/Emtricitabine 300/200 mg OD</t>
        </is>
      </c>
      <c r="F2122" s="2" t="inlineStr">
        <is>
          <t>Dolutegravir 50 mg OD</t>
        </is>
      </c>
      <c r="G2122" s="2" t="inlineStr">
        <is>
          <t>Vancomycin 1 g IV Q12H</t>
        </is>
      </c>
      <c r="H2122" s="2" t="inlineStr">
        <is>
          <t>Meropenem 1 g IV Q8H</t>
        </is>
      </c>
      <c r="I2122" s="8" t="inlineStr">
        <is>
          <t>1</t>
        </is>
      </c>
      <c r="J2122" s="2" t="inlineStr">
        <is>
          <t>✅ คำตอบที่ถูกต้อง: ข้อ ก. Nitrofurantoin 100 mg BID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Nitrofurantoin 100 mg BID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2" s="2" t="n"/>
      <c r="L2122" s="2" t="inlineStr">
        <is>
          <t>Infectious Diseases</t>
        </is>
      </c>
      <c r="M2122" s="2" t="inlineStr">
        <is>
          <t>Clinic</t>
        </is>
      </c>
      <c r="N2122" s="2" t="inlineStr">
        <is>
          <t>ข้อ 3 (PLE_CC1_Key_Rx20_UBU.md)</t>
        </is>
      </c>
      <c r="O2122" s="2" t="inlineStr">
        <is>
          <t>Mock</t>
        </is>
      </c>
      <c r="P2122" s="2" t="inlineStr">
        <is>
          <t>Mock Rx20 UBU</t>
        </is>
      </c>
    </row>
    <row r="2123" ht="13.2" customHeight="1" s="37">
      <c r="A2123" s="8" t="inlineStr">
        <is>
          <t>2144</t>
        </is>
      </c>
      <c r="B2123" s="2" t="inlineStr">
        <is>
          <t>Complexation และการที่ deoxycholate ไปทำปฏิกิริยากับ NSS ทำให้เกิดการตกตะกอน</t>
        </is>
      </c>
      <c r="C2123" s="2" t="n"/>
      <c r="D2123" s="2" t="inlineStr">
        <is>
          <t>N-acetylcysteine (NAC) IV infusion protocol</t>
        </is>
      </c>
      <c r="E2123" s="2" t="inlineStr">
        <is>
          <t>Atropine sulfate 2 mg IV Q5-10 min</t>
        </is>
      </c>
      <c r="F2123" s="2" t="inlineStr">
        <is>
          <t>Pralidoxime (2-PAM) 1-2 g IV over 30 min</t>
        </is>
      </c>
      <c r="G2123" s="2" t="inlineStr">
        <is>
          <t>Naloxone 0.4 mg IV stat</t>
        </is>
      </c>
      <c r="H2123" s="2" t="inlineStr">
        <is>
          <t>Flumazenil 0.2 mg IV stat</t>
        </is>
      </c>
      <c r="I2123" s="8" t="inlineStr">
        <is>
          <t>1</t>
        </is>
      </c>
      <c r="J21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23" s="2" t="n"/>
      <c r="L2123" s="2" t="inlineStr">
        <is>
          <t>General Therapeutics</t>
        </is>
      </c>
      <c r="M2123" s="2" t="inlineStr">
        <is>
          <t>Clinic</t>
        </is>
      </c>
      <c r="N2123" s="2" t="inlineStr">
        <is>
          <t>ข้อ 4 (PLE_CC1_Key_Rx20_UBU.md)</t>
        </is>
      </c>
      <c r="O2123" s="2" t="inlineStr">
        <is>
          <t>Mock</t>
        </is>
      </c>
      <c r="P2123" s="2" t="inlineStr">
        <is>
          <t>Mock Rx20 UBU</t>
        </is>
      </c>
    </row>
    <row r="2124" ht="13.2" customHeight="1" s="37">
      <c r="A2124" s="8" t="inlineStr">
        <is>
          <t>2145</t>
        </is>
      </c>
      <c r="B2124" s="2" t="inlineStr">
        <is>
          <t>มีโครงสร้างเป็น macrolide ring</t>
        </is>
      </c>
      <c r="C2124" s="2" t="n"/>
      <c r="D2124" s="2" t="inlineStr">
        <is>
          <t>Naloxone 0.4 mg IV stat</t>
        </is>
      </c>
      <c r="E2124" s="2" t="inlineStr">
        <is>
          <t>Flumazenil 0.2 mg IV stat</t>
        </is>
      </c>
      <c r="F2124" s="2" t="inlineStr">
        <is>
          <t>Vitamin K1 (Phytomenadione) 10 mg IV slow</t>
        </is>
      </c>
      <c r="G2124" s="2" t="inlineStr">
        <is>
          <t>Sodium thiosulfate 25% 50 mL IV</t>
        </is>
      </c>
      <c r="H2124" s="2" t="inlineStr">
        <is>
          <t>Calcium disodium EDTA 1 g IV</t>
        </is>
      </c>
      <c r="I2124" s="8" t="inlineStr">
        <is>
          <t>1</t>
        </is>
      </c>
      <c r="J21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24" s="2" t="n"/>
      <c r="L2124" s="2" t="inlineStr">
        <is>
          <t>General Therapeutics</t>
        </is>
      </c>
      <c r="M2124" s="2" t="inlineStr">
        <is>
          <t>Clinic</t>
        </is>
      </c>
      <c r="N2124" s="2" t="inlineStr">
        <is>
          <t>ข้อ 1 (PLE_CC1_Key_Rx20_UBU.md)</t>
        </is>
      </c>
      <c r="O2124" s="2" t="inlineStr">
        <is>
          <t>Mock</t>
        </is>
      </c>
      <c r="P2124" s="2" t="inlineStr">
        <is>
          <t>Mock Rx20 UBU</t>
        </is>
      </c>
    </row>
    <row r="2125" ht="13.2" customHeight="1" s="37">
      <c r="A2125" s="8" t="inlineStr">
        <is>
          <t>2146</t>
        </is>
      </c>
      <c r="B2125" s="2" t="inlineStr">
        <is>
          <t>conjugated double bond มีลักษณะเป็น cis-form</t>
        </is>
      </c>
      <c r="C2125" s="2" t="n"/>
      <c r="D2125" s="2" t="inlineStr">
        <is>
          <t>Sodium thiosulfate 25% 50 mL IV</t>
        </is>
      </c>
      <c r="E2125" s="2" t="inlineStr">
        <is>
          <t>Calcium disodium EDTA 1 g IV</t>
        </is>
      </c>
      <c r="F2125" s="2" t="inlineStr">
        <is>
          <t>Desferrioxamine 1 g IM/IV</t>
        </is>
      </c>
      <c r="G2125" s="2" t="inlineStr">
        <is>
          <t>Dimercaprol (BAL) 3 mg/kg IM</t>
        </is>
      </c>
      <c r="H2125" s="2" t="inlineStr">
        <is>
          <t>Ethanol 10% IV infusion for Methanol poisoning</t>
        </is>
      </c>
      <c r="I2125" s="8" t="inlineStr">
        <is>
          <t>1</t>
        </is>
      </c>
      <c r="J21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5" s="2" t="n"/>
      <c r="L2125" s="2" t="inlineStr">
        <is>
          <t>General Therapeutics</t>
        </is>
      </c>
      <c r="M2125" s="2" t="inlineStr">
        <is>
          <t>Clinic</t>
        </is>
      </c>
      <c r="N2125" s="2" t="inlineStr">
        <is>
          <t>ข้อ 2 (PLE_CC1_Key_Rx20_UBU.md)</t>
        </is>
      </c>
      <c r="O2125" s="2" t="inlineStr">
        <is>
          <t>Mock</t>
        </is>
      </c>
      <c r="P2125" s="2" t="inlineStr">
        <is>
          <t>Mock Rx20 UBU</t>
        </is>
      </c>
    </row>
    <row r="2126" ht="13.2" customHeight="1" s="37">
      <c r="A2126" s="8" t="inlineStr">
        <is>
          <t>2147</t>
        </is>
      </c>
      <c r="B2126" s="2" t="inlineStr">
        <is>
          <t>มีหมู่ polyene ทำให้โครงสร้าง rigid</t>
        </is>
      </c>
      <c r="C2126" s="2" t="n"/>
      <c r="D2126" s="2" t="inlineStr">
        <is>
          <t>Dimercaprol (BAL) 3 mg/kg IM</t>
        </is>
      </c>
      <c r="E2126" s="2" t="inlineStr">
        <is>
          <t>Ethanol 10% IV infusion for Methanol poisoning</t>
        </is>
      </c>
      <c r="F2126" s="2" t="inlineStr">
        <is>
          <t>Fomepizole 15 mg/kg IV loading</t>
        </is>
      </c>
      <c r="G2126" s="2" t="inlineStr">
        <is>
          <t>N-acetylcysteine (NAC) IV infusion protocol</t>
        </is>
      </c>
      <c r="H2126" s="2" t="inlineStr">
        <is>
          <t>Atropine sulfate 2 mg IV Q5-10 min</t>
        </is>
      </c>
      <c r="I2126" s="8" t="inlineStr">
        <is>
          <t>1</t>
        </is>
      </c>
      <c r="J21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26" s="2" t="n"/>
      <c r="L2126" s="2" t="inlineStr">
        <is>
          <t>General Therapeutics</t>
        </is>
      </c>
      <c r="M2126" s="2" t="inlineStr">
        <is>
          <t>Clinic</t>
        </is>
      </c>
      <c r="N2126" s="2" t="inlineStr">
        <is>
          <t>ข้อ 3 (PLE_CC1_Key_Rx20_UBU.md)</t>
        </is>
      </c>
      <c r="O2126" s="2" t="inlineStr">
        <is>
          <t>Mock</t>
        </is>
      </c>
      <c r="P2126" s="2" t="inlineStr">
        <is>
          <t>Mock Rx20 UBU</t>
        </is>
      </c>
    </row>
    <row r="2127" ht="13.2" customHeight="1" s="37">
      <c r="A2127" s="8" t="inlineStr">
        <is>
          <t>2148</t>
        </is>
      </c>
      <c r="B2127" s="2" t="inlineStr">
        <is>
          <t>เป็น amphoteric</t>
        </is>
      </c>
      <c r="C2127" s="2" t="n"/>
      <c r="D2127" s="2" t="inlineStr">
        <is>
          <t>N-acetylcysteine (NAC) IV infusion protocol</t>
        </is>
      </c>
      <c r="E2127" s="2" t="inlineStr">
        <is>
          <t>Atropine sulfate 2 mg IV Q5-10 min</t>
        </is>
      </c>
      <c r="F2127" s="2" t="inlineStr">
        <is>
          <t>Pralidoxime (2-PAM) 1-2 g IV over 30 min</t>
        </is>
      </c>
      <c r="G2127" s="2" t="inlineStr">
        <is>
          <t>Naloxone 0.4 mg IV stat</t>
        </is>
      </c>
      <c r="H2127" s="2" t="inlineStr">
        <is>
          <t>Flumazenil 0.2 mg IV stat</t>
        </is>
      </c>
      <c r="I2127" s="8" t="inlineStr">
        <is>
          <t>3</t>
        </is>
      </c>
      <c r="J2127"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2127" s="2" t="n"/>
      <c r="L2127" s="2" t="inlineStr">
        <is>
          <t>General Therapeutics</t>
        </is>
      </c>
      <c r="M2127" s="2" t="inlineStr">
        <is>
          <t>Clinic</t>
        </is>
      </c>
      <c r="N2127" s="2" t="inlineStr">
        <is>
          <t>ข้อ 5 (PLE_CC1_Key_Rx20_UBU.md)</t>
        </is>
      </c>
      <c r="O2127" s="2" t="inlineStr">
        <is>
          <t>Mock</t>
        </is>
      </c>
      <c r="P2127" s="2" t="inlineStr">
        <is>
          <t>Mock Rx20 UBU</t>
        </is>
      </c>
    </row>
    <row r="2128" ht="13.2" customHeight="1" s="37">
      <c r="A2128" s="8" t="inlineStr">
        <is>
          <t>2149</t>
        </is>
      </c>
      <c r="B2128" s="2" t="inlineStr">
        <is>
          <t>ทำ amphotericin B ในรูป liposome เพื่ออะไร</t>
        </is>
      </c>
      <c r="C2128" s="2" t="n"/>
      <c r="D2128" s="2" t="inlineStr">
        <is>
          <t>Cefazolin 1 g IV Q8H</t>
        </is>
      </c>
      <c r="E2128" s="2" t="inlineStr">
        <is>
          <t>Amoxicillin/Clavulanate 1 g BID</t>
        </is>
      </c>
      <c r="F2128" s="2" t="inlineStr">
        <is>
          <t>Ceftriaxone 1 g IV OD</t>
        </is>
      </c>
      <c r="G2128" s="2" t="inlineStr">
        <is>
          <t>Ciprofloxacin 500 mg BID</t>
        </is>
      </c>
      <c r="H2128" s="2" t="inlineStr">
        <is>
          <t>Azithromycin 500 mg OD</t>
        </is>
      </c>
      <c r="I2128" s="8" t="inlineStr">
        <is>
          <t>1</t>
        </is>
      </c>
      <c r="J2128" s="2" t="inlineStr">
        <is>
          <t>✅ คำตอบที่ถูกต้อง: ข้อ ก. Cefazolin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8" s="2" t="n"/>
      <c r="L2128" s="2" t="inlineStr">
        <is>
          <t>Infectious Diseases</t>
        </is>
      </c>
      <c r="M2128" s="2" t="inlineStr">
        <is>
          <t>Clinic</t>
        </is>
      </c>
      <c r="N2128" s="2" t="inlineStr">
        <is>
          <t>ข้อ 5 (PLE_CC1_Key_Rx20_UBU.md)</t>
        </is>
      </c>
      <c r="O2128" s="2" t="inlineStr">
        <is>
          <t>Mock</t>
        </is>
      </c>
      <c r="P2128" s="2" t="inlineStr">
        <is>
          <t>Mock Rx20 UBU</t>
        </is>
      </c>
    </row>
    <row r="2129" ht="13.2" customHeight="1" s="37">
      <c r="A2129" s="8" t="inlineStr">
        <is>
          <t>2150</t>
        </is>
      </c>
      <c r="B2129" s="2" t="inlineStr">
        <is>
          <t>ช่วยดูดความชื้น</t>
        </is>
      </c>
      <c r="C2129" s="2" t="n"/>
      <c r="D2129" s="2" t="inlineStr">
        <is>
          <t>Sodium thiosulfate 25% 50 mL IV</t>
        </is>
      </c>
      <c r="E2129" s="2" t="inlineStr">
        <is>
          <t>Calcium disodium EDTA 1 g IV</t>
        </is>
      </c>
      <c r="F2129" s="2" t="inlineStr">
        <is>
          <t>Desferrioxamine 1 g IM/IV</t>
        </is>
      </c>
      <c r="G2129" s="2" t="inlineStr">
        <is>
          <t>Dimercaprol (BAL) 3 mg/kg IM</t>
        </is>
      </c>
      <c r="H2129" s="2" t="inlineStr">
        <is>
          <t>Ethanol 10% IV infusion for Methanol poisoning</t>
        </is>
      </c>
      <c r="I2129" s="8" t="inlineStr">
        <is>
          <t>1</t>
        </is>
      </c>
      <c r="J21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9" s="2" t="n"/>
      <c r="L2129" s="2" t="inlineStr">
        <is>
          <t>General Therapeutics</t>
        </is>
      </c>
      <c r="M2129" s="2" t="inlineStr">
        <is>
          <t>Clinic</t>
        </is>
      </c>
      <c r="N2129" s="2" t="inlineStr">
        <is>
          <t>ข้อ 1 (PLE_CC1_Key_Rx20_UBU.md)</t>
        </is>
      </c>
      <c r="O2129" s="2" t="inlineStr">
        <is>
          <t>Mock</t>
        </is>
      </c>
      <c r="P2129" s="2" t="inlineStr">
        <is>
          <t>Mock Rx20 UBU</t>
        </is>
      </c>
    </row>
    <row r="2130" ht="13.2" customHeight="1" s="37">
      <c r="A2130" s="8" t="inlineStr">
        <is>
          <t>2151</t>
        </is>
      </c>
      <c r="B2130" s="2" t="inlineStr">
        <is>
          <t>ลดการเกาะกันของผงยา</t>
        </is>
      </c>
      <c r="C2130" s="2" t="n"/>
      <c r="D2130" s="2" t="inlineStr">
        <is>
          <t>Dimercaprol (BAL) 3 mg/kg IM</t>
        </is>
      </c>
      <c r="E2130" s="2" t="inlineStr">
        <is>
          <t>Ethanol 10% IV infusion for Methanol poisoning</t>
        </is>
      </c>
      <c r="F2130" s="2" t="inlineStr">
        <is>
          <t>Fomepizole 15 mg/kg IV loading</t>
        </is>
      </c>
      <c r="G2130" s="2" t="inlineStr">
        <is>
          <t>N-acetylcysteine (NAC) IV infusion protocol</t>
        </is>
      </c>
      <c r="H2130" s="2" t="inlineStr">
        <is>
          <t>Atropine sulfate 2 mg IV Q5-10 min</t>
        </is>
      </c>
      <c r="I2130" s="8" t="inlineStr">
        <is>
          <t>1</t>
        </is>
      </c>
      <c r="J21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0" s="2" t="n"/>
      <c r="L2130" s="2" t="inlineStr">
        <is>
          <t>General Therapeutics</t>
        </is>
      </c>
      <c r="M2130" s="2" t="inlineStr">
        <is>
          <t>Clinic</t>
        </is>
      </c>
      <c r="N2130" s="2" t="inlineStr">
        <is>
          <t>ข้อ 2 (PLE_CC1_Key_Rx20_UBU.md)</t>
        </is>
      </c>
      <c r="O2130" s="2" t="inlineStr">
        <is>
          <t>Mock</t>
        </is>
      </c>
      <c r="P2130" s="2" t="inlineStr">
        <is>
          <t>Mock Rx20 UBU</t>
        </is>
      </c>
    </row>
    <row r="2131" ht="13.2" customHeight="1" s="37">
      <c r="A2131" s="8" t="inlineStr">
        <is>
          <t>2152</t>
        </is>
      </c>
      <c r="B2131" s="2" t="inlineStr">
        <is>
          <t>เพิ่มคุณสมบัติการไหล</t>
        </is>
      </c>
      <c r="C2131" s="2" t="n"/>
      <c r="D2131" s="2" t="inlineStr">
        <is>
          <t>N-acetylcysteine (NAC) IV infusion protocol</t>
        </is>
      </c>
      <c r="E2131" s="2" t="inlineStr">
        <is>
          <t>Atropine sulfate 2 mg IV Q5-10 min</t>
        </is>
      </c>
      <c r="F2131" s="2" t="inlineStr">
        <is>
          <t>Pralidoxime (2-PAM) 1-2 g IV over 30 min</t>
        </is>
      </c>
      <c r="G2131" s="2" t="inlineStr">
        <is>
          <t>Naloxone 0.4 mg IV stat</t>
        </is>
      </c>
      <c r="H2131" s="2" t="inlineStr">
        <is>
          <t>Flumazenil 0.2 mg IV stat</t>
        </is>
      </c>
      <c r="I2131" s="8" t="inlineStr">
        <is>
          <t>1</t>
        </is>
      </c>
      <c r="J213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31" s="2" t="n"/>
      <c r="L2131" s="2" t="inlineStr">
        <is>
          <t>General Therapeutics</t>
        </is>
      </c>
      <c r="M2131" s="2" t="inlineStr">
        <is>
          <t>Clinic</t>
        </is>
      </c>
      <c r="N2131" s="2" t="inlineStr">
        <is>
          <t>ข้อ 3 (PLE_CC1_Key_Rx20_UBU.md)</t>
        </is>
      </c>
      <c r="O2131" s="2" t="inlineStr">
        <is>
          <t>Mock</t>
        </is>
      </c>
      <c r="P2131" s="2" t="inlineStr">
        <is>
          <t>Mock Rx20 UBU</t>
        </is>
      </c>
    </row>
    <row r="2132" ht="13.2" customHeight="1" s="37">
      <c r="A2132" s="8" t="inlineStr">
        <is>
          <t>2153</t>
        </is>
      </c>
      <c r="B2132" s="2" t="inlineStr">
        <is>
          <t>ลด toxicity ของยา</t>
        </is>
      </c>
      <c r="C2132" s="2" t="n"/>
      <c r="D2132" s="2" t="inlineStr">
        <is>
          <t>Naloxone 0.4 mg IV stat</t>
        </is>
      </c>
      <c r="E2132" s="2" t="inlineStr">
        <is>
          <t>Flumazenil 0.2 mg IV stat</t>
        </is>
      </c>
      <c r="F2132" s="2" t="inlineStr">
        <is>
          <t>Vitamin K1 (Phytomenadione) 10 mg IV slow</t>
        </is>
      </c>
      <c r="G2132" s="2" t="inlineStr">
        <is>
          <t>Sodium thiosulfate 25% 50 mL IV</t>
        </is>
      </c>
      <c r="H2132" s="2" t="inlineStr">
        <is>
          <t>Calcium disodium EDTA 1 g IV</t>
        </is>
      </c>
      <c r="I2132" s="8" t="inlineStr">
        <is>
          <t>3</t>
        </is>
      </c>
      <c r="J2132" s="2" t="inlineStr">
        <is>
          <t>✅ คำตอบที่ถูกต้อง: ข้อ ค. Vitamin K1 (Phytomenadione) 10 mg IV slow
💡 Background:
ภาวะ acute poisoning ต้องได้รับการประเมิน supportive care ควบคู่กับการให้ specific antidote อย่างทันท่วงที
🎯 ทำไมข้อนี้ถึงถูก:
Vitamin K1 (Phytomenadione) 10 mg IV slow การเลือก Vitamin K1 (Phytomenadione) 10 mg IV slow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Toxicology &amp; Antidote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ABCDE Resuscitation First: การช่วยชีวิตขั้นพื้นฐาน (Airway, Breathing, Circulation, Disability, Exposure) สำคัญกว่าการให้ antidote เสมอ
• Gastric Decontamination Timing: Activated charcoal มีประโยชน์สูงสุดเมื่อให้ภายใน 1-2 ชั่วโมงหลังรับประทานสารพิษ และห้ามใช้ในสารกัดกร่อน สารระเหย หรือผู้ป่วยหมดสติ
• Target Specific Antidote: เลือกใช้ยาแก้พิษจำเพาะตาม toxidrome เช่น Naloxone (Opioids), Flumazenil (BZD), NAC (Paracetamol), Atropine (Organophosphate)</t>
        </is>
      </c>
      <c r="K2132" s="2" t="n"/>
      <c r="L2132" s="2" t="inlineStr">
        <is>
          <t>Toxicology &amp; Antidote</t>
        </is>
      </c>
      <c r="M2132" s="2" t="inlineStr">
        <is>
          <t>Clinic</t>
        </is>
      </c>
      <c r="N2132" s="2" t="inlineStr">
        <is>
          <t>ข้อ 5 (PLE_CC1_Key_Rx20_UBU.md)</t>
        </is>
      </c>
      <c r="O2132" s="2" t="inlineStr">
        <is>
          <t>Mock</t>
        </is>
      </c>
      <c r="P2132" s="2" t="inlineStr">
        <is>
          <t>Mock Rx20 UBU</t>
        </is>
      </c>
    </row>
    <row r="2133" ht="13.2" customHeight="1" s="37">
      <c r="A2133" s="8" t="inlineStr">
        <is>
          <t>2154</t>
        </is>
      </c>
      <c r="B2133" s="2" t="inlineStr">
        <is>
          <t>ใช้รักษา Retrovirus</t>
        </is>
      </c>
      <c r="C2133" s="2" t="n"/>
      <c r="D2133" s="2" t="inlineStr">
        <is>
          <t>Sodium thiosulfate 25% 50 mL IV</t>
        </is>
      </c>
      <c r="E2133" s="2" t="inlineStr">
        <is>
          <t>Calcium disodium EDTA 1 g IV</t>
        </is>
      </c>
      <c r="F2133" s="2" t="inlineStr">
        <is>
          <t>Desferrioxamine 1 g IM/IV</t>
        </is>
      </c>
      <c r="G2133" s="2" t="inlineStr">
        <is>
          <t>Dimercaprol (BAL) 3 mg/kg IM</t>
        </is>
      </c>
      <c r="H2133" s="2" t="inlineStr">
        <is>
          <t>Ethanol 10% IV infusion for Methanol poisoning</t>
        </is>
      </c>
      <c r="I2133" s="8" t="inlineStr">
        <is>
          <t>1</t>
        </is>
      </c>
      <c r="J21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3" s="2" t="n"/>
      <c r="L2133" s="2" t="inlineStr">
        <is>
          <t>General Therapeutics</t>
        </is>
      </c>
      <c r="M2133" s="2" t="inlineStr">
        <is>
          <t>Clinic</t>
        </is>
      </c>
      <c r="N2133" s="2" t="inlineStr">
        <is>
          <t>ข้อ 2 (PLE_CC1_Key_Rx20_UBU.md)</t>
        </is>
      </c>
      <c r="O2133" s="2" t="inlineStr">
        <is>
          <t>Mock</t>
        </is>
      </c>
      <c r="P2133" s="2" t="inlineStr">
        <is>
          <t>Mock Rx20 UBU</t>
        </is>
      </c>
    </row>
    <row r="2134" ht="13.2" customHeight="1" s="37">
      <c r="A2134" s="8" t="inlineStr">
        <is>
          <t>2155</t>
        </is>
      </c>
      <c r="B2134" s="2" t="inlineStr">
        <is>
          <t>ถู ก เ ติ ม triphosphate โ ด ย tyrosine kinase เพื่อให้ออกฤทธิ์ได้</t>
        </is>
      </c>
      <c r="C2134" s="2" t="n"/>
      <c r="D2134" s="2" t="inlineStr">
        <is>
          <t>Dimercaprol (BAL) 3 mg/kg IM</t>
        </is>
      </c>
      <c r="E2134" s="2" t="inlineStr">
        <is>
          <t>Ethanol 10% IV infusion for Methanol poisoning</t>
        </is>
      </c>
      <c r="F2134" s="2" t="inlineStr">
        <is>
          <t>Fomepizole 15 mg/kg IV loading</t>
        </is>
      </c>
      <c r="G2134" s="2" t="inlineStr">
        <is>
          <t>N-acetylcysteine (NAC) IV infusion protocol</t>
        </is>
      </c>
      <c r="H2134" s="2" t="inlineStr">
        <is>
          <t>Atropine sulfate 2 mg IV Q5-10 min</t>
        </is>
      </c>
      <c r="I2134" s="8" t="inlineStr">
        <is>
          <t>1</t>
        </is>
      </c>
      <c r="J21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4" s="2" t="n"/>
      <c r="L2134" s="2" t="inlineStr">
        <is>
          <t>General Therapeutics</t>
        </is>
      </c>
      <c r="M2134" s="2" t="inlineStr">
        <is>
          <t>Clinic</t>
        </is>
      </c>
      <c r="N2134" s="2" t="inlineStr">
        <is>
          <t>ข้อ 3 (PLE_CC1_Key_Rx20_UBU.md)</t>
        </is>
      </c>
      <c r="O2134" s="2" t="inlineStr">
        <is>
          <t>Mock</t>
        </is>
      </c>
      <c r="P2134" s="2" t="inlineStr">
        <is>
          <t>Mock Rx20 UBU</t>
        </is>
      </c>
    </row>
    <row r="2135" ht="13.2" customHeight="1" s="37">
      <c r="A2135" s="8" t="inlineStr">
        <is>
          <t>2156</t>
        </is>
      </c>
      <c r="B2135" s="2" t="inlineStr">
        <is>
          <t>เป็น active form โดยการเติม glucuronide</t>
        </is>
      </c>
      <c r="C2135" s="2" t="n"/>
      <c r="D2135" s="2" t="inlineStr">
        <is>
          <t>N-acetylcysteine (NAC) IV infusion protocol</t>
        </is>
      </c>
      <c r="E2135" s="2" t="inlineStr">
        <is>
          <t>Atropine sulfate 2 mg IV Q5-10 min</t>
        </is>
      </c>
      <c r="F2135" s="2" t="inlineStr">
        <is>
          <t>Pralidoxime (2-PAM) 1-2 g IV over 30 min</t>
        </is>
      </c>
      <c r="G2135" s="2" t="inlineStr">
        <is>
          <t>Naloxone 0.4 mg IV stat</t>
        </is>
      </c>
      <c r="H2135" s="2" t="inlineStr">
        <is>
          <t>Flumazenil 0.2 mg IV stat</t>
        </is>
      </c>
      <c r="I2135" s="8" t="inlineStr">
        <is>
          <t>1</t>
        </is>
      </c>
      <c r="J21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35" s="2" t="n"/>
      <c r="L2135" s="2" t="inlineStr">
        <is>
          <t>General Therapeutics</t>
        </is>
      </c>
      <c r="M2135" s="2" t="inlineStr">
        <is>
          <t>Clinic</t>
        </is>
      </c>
      <c r="N2135" s="2" t="inlineStr">
        <is>
          <t>ข้อ 4 (PLE_CC1_Key_Rx20_UBU.md)</t>
        </is>
      </c>
      <c r="O2135" s="2" t="inlineStr">
        <is>
          <t>Mock</t>
        </is>
      </c>
      <c r="P2135" s="2" t="inlineStr">
        <is>
          <t>Mock Rx20 UBU</t>
        </is>
      </c>
    </row>
    <row r="2136" ht="13.2" customHeight="1" s="37">
      <c r="A2136" s="8" t="inlineStr">
        <is>
          <t>2157</t>
        </is>
      </c>
      <c r="B2136" s="2" t="inlineStr">
        <is>
          <t>หมู๋ azido ทำให้ยาไม่ทนต่อแสงและความร้อน เพื่อให้ เป็น Active form</t>
        </is>
      </c>
      <c r="C2136" s="2" t="n"/>
      <c r="D2136" s="2" t="inlineStr">
        <is>
          <t>Naloxone 0.4 mg IV stat</t>
        </is>
      </c>
      <c r="E2136" s="2" t="inlineStr">
        <is>
          <t>Flumazenil 0.2 mg IV stat</t>
        </is>
      </c>
      <c r="F2136" s="2" t="inlineStr">
        <is>
          <t>Vitamin K1 (Phytomenadione) 10 mg IV slow</t>
        </is>
      </c>
      <c r="G2136" s="2" t="inlineStr">
        <is>
          <t>Sodium thiosulfate 25% 50 mL IV</t>
        </is>
      </c>
      <c r="H2136" s="2" t="inlineStr">
        <is>
          <t>Calcium disodium EDTA 1 g IV</t>
        </is>
      </c>
      <c r="I2136" s="8" t="inlineStr">
        <is>
          <t>1</t>
        </is>
      </c>
      <c r="J21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36" s="2" t="n"/>
      <c r="L2136" s="2" t="inlineStr">
        <is>
          <t>General Therapeutics</t>
        </is>
      </c>
      <c r="M2136" s="2" t="inlineStr">
        <is>
          <t>Clinic</t>
        </is>
      </c>
      <c r="N2136" s="2" t="inlineStr">
        <is>
          <t>ข้อ 5 (PLE_CC1_Key_Rx20_UBU.md)</t>
        </is>
      </c>
      <c r="O2136" s="2" t="inlineStr">
        <is>
          <t>Mock</t>
        </is>
      </c>
      <c r="P2136" s="2" t="inlineStr">
        <is>
          <t>Mock Rx20 UBU</t>
        </is>
      </c>
    </row>
    <row r="2137" ht="13.2" customHeight="1" s="37">
      <c r="A2137" s="8" t="inlineStr">
        <is>
          <t>2158</t>
        </is>
      </c>
      <c r="B2137" s="2" t="inlineStr">
        <is>
          <t>Sodium bicarbonate</t>
        </is>
      </c>
      <c r="C2137" s="2" t="n"/>
      <c r="D2137" s="2" t="inlineStr">
        <is>
          <t>Sodium thiosulfate 25% 50 mL IV</t>
        </is>
      </c>
      <c r="E2137" s="2" t="inlineStr">
        <is>
          <t>Calcium disodium EDTA 1 g IV</t>
        </is>
      </c>
      <c r="F2137" s="2" t="inlineStr">
        <is>
          <t>Desferrioxamine 1 g IM/IV</t>
        </is>
      </c>
      <c r="G2137" s="2" t="inlineStr">
        <is>
          <t>Dimercaprol (BAL) 3 mg/kg IM</t>
        </is>
      </c>
      <c r="H2137" s="2" t="inlineStr">
        <is>
          <t>Ethanol 10% IV infusion for Methanol poisoning</t>
        </is>
      </c>
      <c r="I2137" s="8" t="inlineStr">
        <is>
          <t>1</t>
        </is>
      </c>
      <c r="J21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7" s="2" t="n"/>
      <c r="L2137" s="2" t="inlineStr">
        <is>
          <t>General Therapeutics</t>
        </is>
      </c>
      <c r="M2137" s="2" t="inlineStr">
        <is>
          <t>Clinic</t>
        </is>
      </c>
      <c r="N2137" s="2" t="inlineStr">
        <is>
          <t>ข้อ 3 (PLE_CC1_Key_Rx20_UBU.md)</t>
        </is>
      </c>
      <c r="O2137" s="2" t="inlineStr">
        <is>
          <t>Mock</t>
        </is>
      </c>
      <c r="P2137" s="2" t="inlineStr">
        <is>
          <t>Mock Rx20 UBU</t>
        </is>
      </c>
    </row>
    <row r="2138" ht="13.2" customHeight="1" s="37">
      <c r="A2138" s="8" t="inlineStr">
        <is>
          <t>2159</t>
        </is>
      </c>
      <c r="B2138" s="2" t="inlineStr">
        <is>
          <t>Calcium polystyrene sulfonate</t>
        </is>
      </c>
      <c r="C2138" s="2" t="n"/>
      <c r="D2138" s="2" t="inlineStr">
        <is>
          <t>Dimercaprol (BAL) 3 mg/kg IM</t>
        </is>
      </c>
      <c r="E2138" s="2" t="inlineStr">
        <is>
          <t>Ethanol 10% IV infusion for Methanol poisoning</t>
        </is>
      </c>
      <c r="F2138" s="2" t="inlineStr">
        <is>
          <t>Fomepizole 15 mg/kg IV loading</t>
        </is>
      </c>
      <c r="G2138" s="2" t="inlineStr">
        <is>
          <t>N-acetylcysteine (NAC) IV infusion protocol</t>
        </is>
      </c>
      <c r="H2138" s="2" t="inlineStr">
        <is>
          <t>Atropine sulfate 2 mg IV Q5-10 min</t>
        </is>
      </c>
      <c r="I2138" s="8" t="inlineStr">
        <is>
          <t>1</t>
        </is>
      </c>
      <c r="J21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8" s="2" t="n"/>
      <c r="L2138" s="2" t="inlineStr">
        <is>
          <t>General Therapeutics</t>
        </is>
      </c>
      <c r="M2138" s="2" t="inlineStr">
        <is>
          <t>Clinic</t>
        </is>
      </c>
      <c r="N2138" s="2" t="inlineStr">
        <is>
          <t>ข้อ 4 (PLE_CC1_Key_Rx20_UBU.md)</t>
        </is>
      </c>
      <c r="O2138" s="2" t="inlineStr">
        <is>
          <t>Mock</t>
        </is>
      </c>
      <c r="P2138" s="2" t="inlineStr">
        <is>
          <t>Mock Rx20 UBU</t>
        </is>
      </c>
    </row>
    <row r="2139" ht="13.2" customHeight="1" s="37">
      <c r="A2139" s="8" t="inlineStr">
        <is>
          <t>2160</t>
        </is>
      </c>
      <c r="B2139" s="2" t="inlineStr">
        <is>
          <t>Sodium polystyrene sulfonate</t>
        </is>
      </c>
      <c r="C2139" s="2" t="n"/>
      <c r="D2139" s="2" t="inlineStr">
        <is>
          <t>N-acetylcysteine (NAC) IV infusion protocol</t>
        </is>
      </c>
      <c r="E2139" s="2" t="inlineStr">
        <is>
          <t>Atropine sulfate 2 mg IV Q5-10 min</t>
        </is>
      </c>
      <c r="F2139" s="2" t="inlineStr">
        <is>
          <t>Pralidoxime (2-PAM) 1-2 g IV over 30 min</t>
        </is>
      </c>
      <c r="G2139" s="2" t="inlineStr">
        <is>
          <t>Naloxone 0.4 mg IV stat</t>
        </is>
      </c>
      <c r="H2139" s="2" t="inlineStr">
        <is>
          <t>Flumazenil 0.2 mg IV stat</t>
        </is>
      </c>
      <c r="I2139" s="8" t="inlineStr">
        <is>
          <t>3</t>
        </is>
      </c>
      <c r="J2139"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2139" s="2" t="n"/>
      <c r="L2139" s="2" t="inlineStr">
        <is>
          <t>General Therapeutics</t>
        </is>
      </c>
      <c r="M2139" s="2" t="inlineStr">
        <is>
          <t>Clinic</t>
        </is>
      </c>
      <c r="N2139" s="2" t="inlineStr">
        <is>
          <t>ข้อ 5 (PLE_CC1_Key_Rx20_UBU.md)</t>
        </is>
      </c>
      <c r="O2139" s="2" t="inlineStr">
        <is>
          <t>Mock</t>
        </is>
      </c>
      <c r="P2139" s="2" t="inlineStr">
        <is>
          <t>Mock Rx20 UBU</t>
        </is>
      </c>
    </row>
    <row r="2140" ht="13.2" customHeight="1" s="37">
      <c r="A2140" s="8" t="inlineStr">
        <is>
          <t>2161</t>
        </is>
      </c>
      <c r="B2140" s="2" t="inlineStr">
        <is>
          <t>ลดอัตราเร็วในการตอก</t>
        </is>
      </c>
      <c r="C2140" s="2" t="n"/>
      <c r="D2140" s="2" t="inlineStr">
        <is>
          <t>Naloxone 0.4 mg IV stat</t>
        </is>
      </c>
      <c r="E2140" s="2" t="inlineStr">
        <is>
          <t>Flumazenil 0.2 mg IV stat</t>
        </is>
      </c>
      <c r="F2140" s="2" t="inlineStr">
        <is>
          <t>Vitamin K1 (Phytomenadione) 10 mg IV slow</t>
        </is>
      </c>
      <c r="G2140" s="2" t="inlineStr">
        <is>
          <t>Sodium thiosulfate 25% 50 mL IV</t>
        </is>
      </c>
      <c r="H2140" s="2" t="inlineStr">
        <is>
          <t>Calcium disodium EDTA 1 g IV</t>
        </is>
      </c>
      <c r="I2140" s="8" t="inlineStr">
        <is>
          <t>1</t>
        </is>
      </c>
      <c r="J21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40" s="2" t="n"/>
      <c r="L2140" s="2" t="inlineStr">
        <is>
          <t>General Therapeutics</t>
        </is>
      </c>
      <c r="M2140" s="2" t="inlineStr">
        <is>
          <t>Clinic</t>
        </is>
      </c>
      <c r="N2140" s="2" t="inlineStr">
        <is>
          <t>ข้อ 2 (PLE_CC1_Key_Rx20_UBU.md)</t>
        </is>
      </c>
      <c r="O2140" s="2" t="inlineStr">
        <is>
          <t>Mock</t>
        </is>
      </c>
      <c r="P2140" s="2" t="inlineStr">
        <is>
          <t>Mock Rx20 UBU</t>
        </is>
      </c>
    </row>
    <row r="2141" ht="13.2" customHeight="1" s="37">
      <c r="A2141" s="8" t="inlineStr">
        <is>
          <t>2162</t>
        </is>
      </c>
      <c r="B2141" s="2" t="inlineStr">
        <is>
          <t>สุ่ม 20 เม็ด หาน้ำหนักทีละเม็ด แล้วหาน้ำหนัก. เฉลี่ย</t>
        </is>
      </c>
      <c r="C2141" s="2" t="n"/>
      <c r="D2141" s="2" t="inlineStr">
        <is>
          <t>Sodium thiosulfate 25% 50 mL IV</t>
        </is>
      </c>
      <c r="E2141" s="2" t="inlineStr">
        <is>
          <t>Calcium disodium EDTA 1 g IV</t>
        </is>
      </c>
      <c r="F2141" s="2" t="inlineStr">
        <is>
          <t>Desferrioxamine 1 g IM/IV</t>
        </is>
      </c>
      <c r="G2141" s="2" t="inlineStr">
        <is>
          <t>Dimercaprol (BAL) 3 mg/kg IM</t>
        </is>
      </c>
      <c r="H2141" s="2" t="inlineStr">
        <is>
          <t>Ethanol 10% IV infusion for Methanol poisoning</t>
        </is>
      </c>
      <c r="I2141" s="8" t="inlineStr">
        <is>
          <t>1</t>
        </is>
      </c>
      <c r="J21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1" s="2" t="n"/>
      <c r="L2141" s="2" t="inlineStr">
        <is>
          <t>General Therapeutics</t>
        </is>
      </c>
      <c r="M2141" s="2" t="inlineStr">
        <is>
          <t>Clinic</t>
        </is>
      </c>
      <c r="N2141" s="2" t="inlineStr">
        <is>
          <t>ข้อ 1 (PLE_CC1_Key_Rx20_UBU.md)</t>
        </is>
      </c>
      <c r="O2141" s="2" t="inlineStr">
        <is>
          <t>Mock</t>
        </is>
      </c>
      <c r="P2141" s="2" t="inlineStr">
        <is>
          <t>Mock Rx20 UBU</t>
        </is>
      </c>
    </row>
    <row r="2142" ht="13.2" customHeight="1" s="37">
      <c r="A2142" s="8" t="inlineStr">
        <is>
          <t>2163</t>
        </is>
      </c>
      <c r="B2142" s="2" t="inlineStr">
        <is>
          <t>สุ่ม 20 เม็ด บดรวมกันแล้วหาปริมาณตัวยาสำคัญ</t>
        </is>
      </c>
      <c r="C2142" s="2" t="n"/>
      <c r="D2142" s="2" t="inlineStr">
        <is>
          <t>Dimercaprol (BAL) 3 mg/kg IM</t>
        </is>
      </c>
      <c r="E2142" s="2" t="inlineStr">
        <is>
          <t>Ethanol 10% IV infusion for Methanol poisoning</t>
        </is>
      </c>
      <c r="F2142" s="2" t="inlineStr">
        <is>
          <t>Fomepizole 15 mg/kg IV loading</t>
        </is>
      </c>
      <c r="G2142" s="2" t="inlineStr">
        <is>
          <t>N-acetylcysteine (NAC) IV infusion protocol</t>
        </is>
      </c>
      <c r="H2142" s="2" t="inlineStr">
        <is>
          <t>Atropine sulfate 2 mg IV Q5-10 min</t>
        </is>
      </c>
      <c r="I2142" s="8" t="inlineStr">
        <is>
          <t>1</t>
        </is>
      </c>
      <c r="J21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2" s="2" t="n"/>
      <c r="L2142" s="2" t="inlineStr">
        <is>
          <t>General Therapeutics</t>
        </is>
      </c>
      <c r="M2142" s="2" t="inlineStr">
        <is>
          <t>Clinic</t>
        </is>
      </c>
      <c r="N2142" s="2" t="inlineStr">
        <is>
          <t>ข้อ 2 (PLE_CC1_Key_Rx20_UBU.md)</t>
        </is>
      </c>
      <c r="O2142" s="2" t="inlineStr">
        <is>
          <t>Mock</t>
        </is>
      </c>
      <c r="P2142" s="2" t="inlineStr">
        <is>
          <t>Mock Rx20 UBU</t>
        </is>
      </c>
    </row>
    <row r="2143" ht="13.2" customHeight="1" s="37">
      <c r="A2143" s="8" t="inlineStr">
        <is>
          <t>2164</t>
        </is>
      </c>
      <c r="B2143" s="2" t="inlineStr">
        <is>
          <t>สุ่ม 30 เม็ด หาน้ำหนักและหาปริมาณตัวยาสำคัญ</t>
        </is>
      </c>
      <c r="C2143" s="2" t="n"/>
      <c r="D2143" s="2" t="inlineStr">
        <is>
          <t>N-acetylcysteine (NAC) IV infusion protocol</t>
        </is>
      </c>
      <c r="E2143" s="2" t="inlineStr">
        <is>
          <t>Atropine sulfate 2 mg IV Q5-10 min</t>
        </is>
      </c>
      <c r="F2143" s="2" t="inlineStr">
        <is>
          <t>Pralidoxime (2-PAM) 1-2 g IV over 30 min</t>
        </is>
      </c>
      <c r="G2143" s="2" t="inlineStr">
        <is>
          <t>Naloxone 0.4 mg IV stat</t>
        </is>
      </c>
      <c r="H2143" s="2" t="inlineStr">
        <is>
          <t>Flumazenil 0.2 mg IV stat</t>
        </is>
      </c>
      <c r="I2143" s="8" t="inlineStr">
        <is>
          <t>1</t>
        </is>
      </c>
      <c r="J21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43" s="2" t="n"/>
      <c r="L2143" s="2" t="inlineStr">
        <is>
          <t>General Therapeutics</t>
        </is>
      </c>
      <c r="M2143" s="2" t="inlineStr">
        <is>
          <t>Clinic</t>
        </is>
      </c>
      <c r="N2143" s="2" t="inlineStr">
        <is>
          <t>ข้อ 3 (PLE_CC1_Key_Rx20_UBU.md)</t>
        </is>
      </c>
      <c r="O2143" s="2" t="inlineStr">
        <is>
          <t>Mock</t>
        </is>
      </c>
      <c r="P2143" s="2" t="inlineStr">
        <is>
          <t>Mock Rx20 UBU</t>
        </is>
      </c>
    </row>
    <row r="2144" ht="13.2" customHeight="1" s="37">
      <c r="A2144" s="8" t="inlineStr">
        <is>
          <t>2165</t>
        </is>
      </c>
      <c r="B2144" s="2" t="inlineStr">
        <is>
          <t>สุ่ม 30 เม็ด หาน้ำหนัก</t>
        </is>
      </c>
      <c r="C2144" s="2" t="n"/>
      <c r="D2144" s="2" t="inlineStr">
        <is>
          <t>Naloxone 0.4 mg IV stat</t>
        </is>
      </c>
      <c r="E2144" s="2" t="inlineStr">
        <is>
          <t>Flumazenil 0.2 mg IV stat</t>
        </is>
      </c>
      <c r="F2144" s="2" t="inlineStr">
        <is>
          <t>Vitamin K1 (Phytomenadione) 10 mg IV slow</t>
        </is>
      </c>
      <c r="G2144" s="2" t="inlineStr">
        <is>
          <t>Sodium thiosulfate 25% 50 mL IV</t>
        </is>
      </c>
      <c r="H2144" s="2" t="inlineStr">
        <is>
          <t>Calcium disodium EDTA 1 g IV</t>
        </is>
      </c>
      <c r="I2144" s="8" t="inlineStr">
        <is>
          <t>1</t>
        </is>
      </c>
      <c r="J21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44" s="2" t="n"/>
      <c r="L2144" s="2" t="inlineStr">
        <is>
          <t>General Therapeutics</t>
        </is>
      </c>
      <c r="M2144" s="2" t="inlineStr">
        <is>
          <t>Clinic</t>
        </is>
      </c>
      <c r="N2144" s="2" t="inlineStr">
        <is>
          <t>ข้อ 4 (PLE_CC1_Key_Rx20_UBU.md)</t>
        </is>
      </c>
      <c r="O2144" s="2" t="inlineStr">
        <is>
          <t>Mock</t>
        </is>
      </c>
      <c r="P2144" s="2" t="inlineStr">
        <is>
          <t>Mock Rx20 UBU</t>
        </is>
      </c>
    </row>
    <row r="2145" ht="13.2" customHeight="1" s="37">
      <c r="A2145" s="8" t="inlineStr">
        <is>
          <t>2166</t>
        </is>
      </c>
      <c r="B2145" s="2" t="inlineStr">
        <is>
          <t>ยาที่ควรแนะนำเป็นตัวแรกคืออะไร</t>
        </is>
      </c>
      <c r="C2145" s="2" t="n"/>
      <c r="D2145" s="2" t="inlineStr">
        <is>
          <t>Glymeperide</t>
        </is>
      </c>
      <c r="E2145" s="2" t="inlineStr">
        <is>
          <t>Metformin</t>
        </is>
      </c>
      <c r="F2145" s="2" t="inlineStr">
        <is>
          <t>Acarbose</t>
        </is>
      </c>
      <c r="G2145" s="2" t="inlineStr">
        <is>
          <t>Insulin R</t>
        </is>
      </c>
      <c r="H2145" s="2" t="inlineStr">
        <is>
          <t>… ตอบ ข. Metformin ผู้ป่วยปฏิเสธยาที่แพทย์จ่าย หลังจากผู้ป่วยไปปรับพฤติกรรมมา 2 เดือน ปรากฏว่า HbA1C 9.กว่าๆ FBS 170 mg/dl Scr</t>
        </is>
      </c>
      <c r="I2145" s="8" t="inlineStr">
        <is>
          <t>1</t>
        </is>
      </c>
      <c r="J2145" s="2" t="inlineStr">
        <is>
          <t>✅ คำตอบที่ถูกต้อง: ข้อ ก. Glymeperide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Glymeperide การเลือก Glymeperide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 ง. (Insulin R): ข้อนี้ไม่ใช่คำตอบที่ถูกต้องสำหรับภาวะ General Therapeutics เนื่องจากกลไกการออกฤทธิ์, efficacy หรือข้อบ่งใช้ไม่ตรงกับโจทย์ที่กำหนด
• ข้อ จ. (… ตอบ ข. Metformin ผู้ป่วยปฏิเสธยาที่แพทย์จ่าย หลังจากผู้ป่วยไปปรับพฤติกรรมมา 2 เดือน ปรากฏว่า HbA1C 9.กว่าๆ FBS 170 mg/dl Scr): เป็น Biguanide ที่เป็น first-line drug of choice ใน T2DM ลด hepatic gluconeogenesis ไม่ทำให้น้ำหนักเพิ่มและไม่ทำให้เกิด hypoglycemia แต่ contraindication เมื่อ eGFR &lt; 30 mL/min (เสี่ยง lactic acidosis)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5" s="2" t="n"/>
      <c r="L2145" s="2" t="inlineStr">
        <is>
          <t>General Therapeutics</t>
        </is>
      </c>
      <c r="M2145" s="2" t="inlineStr">
        <is>
          <t>Clinic</t>
        </is>
      </c>
      <c r="N2145" s="2" t="inlineStr">
        <is>
          <t>ข้อ 1 (PLE_CC1_Key_Rx20_UBU.md)</t>
        </is>
      </c>
      <c r="O2145" s="2" t="inlineStr">
        <is>
          <t>Mock</t>
        </is>
      </c>
      <c r="P2145" s="2" t="inlineStr">
        <is>
          <t>Mock Rx20 UBU</t>
        </is>
      </c>
    </row>
    <row r="2146" ht="13.2" customHeight="1" s="37">
      <c r="A2146" s="8" t="inlineStr">
        <is>
          <t>2167</t>
        </is>
      </c>
      <c r="B2146" s="2" t="inlineStr">
        <is>
          <t>กลไกการออกฤทธิ์ของ Pioglitazone</t>
        </is>
      </c>
      <c r="C2146" s="2" t="n"/>
      <c r="D2146" s="2" t="inlineStr">
        <is>
          <t>Increse insulin secretion</t>
        </is>
      </c>
      <c r="E2146" s="2" t="inlineStr">
        <is>
          <t>Increase insulin sensitivity</t>
        </is>
      </c>
      <c r="F2146" s="2" t="inlineStr">
        <is>
          <t>Increase incretin</t>
        </is>
      </c>
      <c r="G2146" s="2" t="inlineStr">
        <is>
          <t>Increase HDL</t>
        </is>
      </c>
      <c r="H2146" s="2" t="inlineStr">
        <is>
          <t>… ตอบ ข. Increase insulin sensitivity</t>
        </is>
      </c>
      <c r="I2146" s="8" t="inlineStr">
        <is>
          <t>1</t>
        </is>
      </c>
      <c r="J2146" s="2" t="inlineStr">
        <is>
          <t>✅ คำตอบที่ถูกต้อง: ข้อ ก. Increse insulin secretion
💡 Background:
การบริบาลผู้ป่วยเบาหวานชนิดที่ 2 (T2DM) เน้นควบคุม HbA1c ควบคู่กับการเลือกยาที่มี cardiorenal protection ในผู้ป่วยที่มีโรคร่วม
🎯 ทำไมข้อนี้ถึงถูก:
Increse insulin secretion การเลือก Increse insulin secretion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ข. (Increase insulin sensitivity): ข้อนี้ไม่ใช่คำตอบที่ถูกต้องสำหรับภาวะ Diabetes &amp; Endocrine เนื่องจากกลไกการออกฤทธิ์, efficacy หรือข้อบ่งใช้ไม่ตรงกับโจทย์ที่กำหนด
• ข้อ ค. (Increase incretin): ข้อนี้ไม่ใช่คำตอบที่ถูกต้องสำหรับภาวะ Diabetes &amp; Endocrine เนื่องจากกลไกการออกฤทธิ์, efficacy หรือข้อบ่งใช้ไม่ตรงกับโจทย์ที่กำหนด
• ข้อ ง. (Increase HDL): ข้อนี้ไม่ใช่คำตอบที่ถูกต้องสำหรับภาวะ Diabetes &amp; Endocrine เนื่องจากกลไกการออกฤทธิ์, efficacy หรือข้อบ่งใช้ไม่ตรงกับโจทย์ที่กำหนด
• ข้อ จ. (… ตอบ ข. Increase insulin sensitivity):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2146" s="2" t="n"/>
      <c r="L2146" s="2" t="inlineStr">
        <is>
          <t>Diabetes &amp; Endocrine</t>
        </is>
      </c>
      <c r="M2146" s="2" t="inlineStr">
        <is>
          <t>Clinic</t>
        </is>
      </c>
      <c r="N2146" s="2" t="inlineStr">
        <is>
          <t>ข้อ 4 (PLE_CC1_Key_Rx20_UBU.md)</t>
        </is>
      </c>
      <c r="O2146" s="2" t="inlineStr">
        <is>
          <t>Mock</t>
        </is>
      </c>
      <c r="P2146" s="2" t="inlineStr">
        <is>
          <t>Mock Rx20 UBU</t>
        </is>
      </c>
    </row>
    <row r="2147" ht="13.2" customHeight="1" s="37">
      <c r="A2147" s="8" t="inlineStr">
        <is>
          <t>2168</t>
        </is>
      </c>
      <c r="B2147" s="2" t="inlineStr">
        <is>
          <t>piloglitazone ห้ามใช้ในใคร</t>
        </is>
      </c>
      <c r="C2147" s="2" t="n"/>
      <c r="D2147" s="2" t="inlineStr">
        <is>
          <t>LVEF &lt; 35</t>
        </is>
      </c>
      <c r="E2147" s="2" t="inlineStr">
        <is>
          <t>LDL &lt; 160</t>
        </is>
      </c>
      <c r="F2147" s="2" t="inlineStr">
        <is>
          <t>AGT</t>
        </is>
      </c>
      <c r="G2147" s="2" t="inlineStr">
        <is>
          <t>Naloxone 0.4 mg IV stat</t>
        </is>
      </c>
      <c r="H2147" s="2" t="inlineStr">
        <is>
          <t>… ตอบ ก. LVEF &lt; 35</t>
        </is>
      </c>
      <c r="I2147" s="8" t="inlineStr">
        <is>
          <t>1</t>
        </is>
      </c>
      <c r="J2147" s="2" t="inlineStr">
        <is>
          <t>✅ คำตอบที่ถูกต้อง: ข้อ ก. LVEF &lt; 35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LVEF &lt; 35 การเลือก LVEF &lt; 35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(LDL &lt; 160): ข้อนี้ไม่ใช่คำตอบที่ถูกต้องสำหรับภาวะ General Therapeutics เนื่องจากกลไกการออกฤทธิ์, efficacy หรือข้อบ่งใช้ไม่ตรงกับโจทย์ที่กำหนด
• ข้อ ค. (AGT):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 ตอบ ก. LVEF &lt; 35):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7" s="2" t="n"/>
      <c r="L2147" s="2" t="inlineStr">
        <is>
          <t>General Therapeutics</t>
        </is>
      </c>
      <c r="M2147" s="2" t="inlineStr">
        <is>
          <t>Clinic</t>
        </is>
      </c>
      <c r="N2147" s="2" t="inlineStr">
        <is>
          <t>ข้อ 5 (PLE_CC1_Key_Rx20_UBU.md)</t>
        </is>
      </c>
      <c r="O2147" s="2" t="inlineStr">
        <is>
          <t>Mock</t>
        </is>
      </c>
      <c r="P2147" s="2" t="inlineStr">
        <is>
          <t>Mock Rx20 UBU</t>
        </is>
      </c>
    </row>
    <row r="2148" ht="13.2" customHeight="1" s="37">
      <c r="A2148" s="8" t="inlineStr">
        <is>
          <t>2169</t>
        </is>
      </c>
      <c r="B2148" s="2" t="inlineStr">
        <is>
          <t>โครงสร้างของ sulfonyul urea ตัวไหนออกฤทธิ์นานที่สุด ตอบ ไม่มีตัวเลือกมาให้</t>
        </is>
      </c>
      <c r="C2148" s="2" t="n"/>
      <c r="D2148" s="2" t="inlineStr">
        <is>
          <t>Naloxone 0.4 mg IV stat</t>
        </is>
      </c>
      <c r="E2148" s="2" t="inlineStr">
        <is>
          <t>Flumazenil 0.2 mg IV stat</t>
        </is>
      </c>
      <c r="F2148" s="2" t="inlineStr">
        <is>
          <t>Vitamin K1 (Phytomenadione) 10 mg IV slow</t>
        </is>
      </c>
      <c r="G2148" s="2" t="inlineStr">
        <is>
          <t>Sodium thiosulfate 25% 50 mL IV</t>
        </is>
      </c>
      <c r="H2148" s="2" t="inlineStr">
        <is>
          <t>Calcium disodium EDTA 1 g IV</t>
        </is>
      </c>
      <c r="I2148" s="8" t="inlineStr">
        <is>
          <t>1</t>
        </is>
      </c>
      <c r="J21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48" s="2" t="n"/>
      <c r="L2148" s="2" t="inlineStr">
        <is>
          <t>General Therapeutics</t>
        </is>
      </c>
      <c r="M2148" s="2" t="inlineStr">
        <is>
          <t>Clinic</t>
        </is>
      </c>
      <c r="N2148" s="2" t="inlineStr">
        <is>
          <t>ข้อ 6 (PLE_CC1_Key_Rx20_UBU.md)</t>
        </is>
      </c>
      <c r="O2148" s="2" t="inlineStr">
        <is>
          <t>Mock</t>
        </is>
      </c>
      <c r="P2148" s="2" t="inlineStr">
        <is>
          <t>Mock Rx20 UBU</t>
        </is>
      </c>
    </row>
    <row r="2149" ht="13.2" customHeight="1" s="37">
      <c r="A2149" s="8" t="inlineStr">
        <is>
          <t>2170</t>
        </is>
      </c>
      <c r="B2149" s="2" t="inlineStr">
        <is>
          <t>ถ้าผู้ป่วยเป็น DKA ควรได้รับการรักษาอย่างไร</t>
        </is>
      </c>
      <c r="C2149" s="2" t="n"/>
      <c r="D2149" s="2" t="inlineStr">
        <is>
          <t>ให้ long acting insulin</t>
        </is>
      </c>
      <c r="E2149" s="2" t="inlineStr">
        <is>
          <t>เพิ่มขนาดยาลดน้ำตาลในเลือด</t>
        </is>
      </c>
      <c r="F2149" s="2" t="inlineStr">
        <is>
          <t>เพิ่มชนิดยาเม็ดลดน้ำตาลในเลือด</t>
        </is>
      </c>
      <c r="G2149" s="2" t="inlineStr">
        <is>
          <t>ให้ normal saline แล้วให้ regular insulin</t>
        </is>
      </c>
      <c r="H2149" s="2" t="inlineStr">
        <is>
          <t>ให้ sodium bicarbonate ตอบ ง. ให้ normal saline แล้วให้ regular insulin Case 9: เกลื้อน ผู้ป่วยกรรมกรชาย มาด้วยอาการผื่นเป็นวงขาว สีจางบนผิวหนัง เห็นชัดเจนเนื่องจากเป็นคนผิวคล้ำ บริเวณใบหน้าและแผ่นหลัง เป็นมาประมาณ 1 สัปดาห์ มีอาชีพเป็นคนงานก่อสร้าง</t>
        </is>
      </c>
      <c r="I2149" s="8" t="inlineStr">
        <is>
          <t>1</t>
        </is>
      </c>
      <c r="J2149" s="2" t="inlineStr">
        <is>
          <t>✅ คำตอบที่ถูกต้อง: ข้อ ก. ให้ long acting insulin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ให้ long acting insulin การเลือก ให้ long acting insulin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(เพิ่มขนาดยาลดน้ำตาลในเลือด): ข้อนี้ไม่ใช่คำตอบที่ถูกต้องสำหรับภาวะ General Therapeutics เนื่องจากกลไกการออกฤทธิ์, efficacy หรือข้อบ่งใช้ไม่ตรงกับโจทย์ที่กำหนด
• ข้อ ค. (เพิ่มชนิดยาเม็ดลดน้ำตาลในเลือด): ข้อนี้ไม่ใช่คำตอบที่ถูกต้องสำหรับภาวะ General Therapeutics เนื่องจากกลไกการออกฤทธิ์, efficacy หรือข้อบ่งใช้ไม่ตรงกับโจทย์ที่กำหนด
• ข้อ ง. (ให้ normal saline แล้วให้ regular insulin): ข้อนี้ไม่ใช่คำตอบที่ถูกต้องสำหรับภาวะ General Therapeutics เนื่องจากกลไกการออกฤทธิ์, efficacy หรือข้อบ่งใช้ไม่ตรงกับโจทย์ที่กำหนด
• ข้อ จ. (ให้ sodium bicarbonate ตอบ ง. ให้ normal saline แล้วให้ regular insulin Case 9: เกลื้อน ผู้ป่วยกรรมกรชาย มาด้วยอาการผื่นเป็นวงขาว สีจางบนผิวหนัง เห็นชัดเจนเนื่องจากเป็นคนผิวคล้ำ บริเวณใบหน้าและแผ่นหลัง เป็นมาประมาณ 1 สัปดาห์ มีอาชีพเป็นคนงานก่อสร้าง):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49" s="2" t="n"/>
      <c r="L2149" s="2" t="inlineStr">
        <is>
          <t>General Therapeutics</t>
        </is>
      </c>
      <c r="M2149" s="2" t="inlineStr">
        <is>
          <t>Clinic</t>
        </is>
      </c>
      <c r="N2149" s="2" t="inlineStr">
        <is>
          <t>ข้อ 7 (PLE_CC1_Key_Rx20_UBU.md)</t>
        </is>
      </c>
      <c r="O2149" s="2" t="inlineStr">
        <is>
          <t>Mock</t>
        </is>
      </c>
      <c r="P2149" s="2" t="inlineStr">
        <is>
          <t>Mock Rx20 UBU</t>
        </is>
      </c>
    </row>
    <row r="2150" ht="13.2" customHeight="1" s="37">
      <c r="A2150" s="8" t="inlineStr">
        <is>
          <t>2171</t>
        </is>
      </c>
      <c r="B2150" s="2" t="inlineStr">
        <is>
          <t>เชื้ออะไร</t>
        </is>
      </c>
      <c r="C2150" s="2" t="n"/>
      <c r="D2150" s="2" t="inlineStr">
        <is>
          <t>Malassezia furfur</t>
        </is>
      </c>
      <c r="E2150" s="2" t="inlineStr">
        <is>
          <t>Trichophyton</t>
        </is>
      </c>
      <c r="F2150" s="2" t="inlineStr">
        <is>
          <t>Microsporum</t>
        </is>
      </c>
      <c r="G2150" s="2" t="inlineStr">
        <is>
          <t>Candida albican</t>
        </is>
      </c>
      <c r="H2150" s="2" t="inlineStr">
        <is>
          <t>Epidermophyton ตอบ ก. Malassezia furfur เนื่องจากมีอาการและอาการแสดงที่เข้าได้กับโรคเกลื้อน ลักษณะของเกลื้อน : พบผื่นเป็นวงเล็กๆ ขนาดตั้งแต่ 1 มม. รอบ ๆรูขุมขนจนถึงรวมกันเป็นปื้นใหญ่ อาจเป็นวงสีขาว สีชมพูสีเทาจนถึงสีน้ำตาล พบได้บ่อยในบริเวณผิวหนังที่มี ต่อมไขมันมาก เช่น หน้า ต้นคอ หน้าอก หลัง</t>
        </is>
      </c>
      <c r="I2150" s="8" t="inlineStr">
        <is>
          <t>1</t>
        </is>
      </c>
      <c r="J2150" s="2" t="inlineStr">
        <is>
          <t>✅ คำตอบที่ถูกต้อง: ข้อ ก. Malassezia furfur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Malassezia furfur มีขุยละเอียดโดยเฉพาะอย่างยิ่งเมื่อใช้เล็บขูดเบาๆ จะมีขุยเล็กๆ สีขาวฟู ขึ้นมา ผื่นนี้จะพบสีได้ต่างๆ กัน เช่น
🔍 ข้ออื่นผิดเพราะอะไร:
• ข้อ ข. (Trichophyton): ข้อนี้ไม่ใช่คำตอบที่ถูกต้องสำหรับภาวะ General Therapeutics เนื่องจากกลไกการออกฤทธิ์, efficacy หรือข้อบ่งใช้ไม่ตรงกับโจทย์ที่กำหนด
• ข้อ ค. (Microsporum): ข้อนี้ไม่ใช่คำตอบที่ถูกต้องสำหรับภาวะ General Therapeutics เนื่องจากกลไกการออกฤทธิ์, efficacy หรือข้อบ่งใช้ไม่ตรงกับโจทย์ที่กำหนด
• ข้อ ง. (Candida albican): ข้อนี้ไม่ใช่คำตอบที่ถูกต้องสำหรับภาวะ General Therapeutics เนื่องจากกลไกการออกฤทธิ์, efficacy หรือข้อบ่งใช้ไม่ตรงกับโจทย์ที่กำหนด
• ข้อ จ. (Epidermophyton ตอบ ก. Malassezia furfur เนื่องจากมีอาการและอาการแสดงที่เข้าได้กับโรคเกลื้อน ลักษณะของเกลื้อน : พบผื่นเป็นวงเล็กๆ ขนาดตั้งแต่ 1 มม. รอบ ๆรูขุมขนจนถึงรวมกันเป็นปื้นใหญ่ อาจเป็นวงสีขาว สีชมพูสีเทาจนถึงสีน้ำตาล พบได้บ่อยในบริเวณผิวหนังที่มี ต่อมไขมันมาก เช่น หน้า ต้นคอ หน้าอก หลัง):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0" s="2" t="n"/>
      <c r="L2150" s="2" t="inlineStr">
        <is>
          <t>General Therapeutics</t>
        </is>
      </c>
      <c r="M2150" s="2" t="inlineStr">
        <is>
          <t>Clinic</t>
        </is>
      </c>
      <c r="N2150" s="2" t="inlineStr">
        <is>
          <t>ข้อ 1 (PLE_CC1_Key_Rx20_UBU.md)</t>
        </is>
      </c>
      <c r="O2150" s="2" t="inlineStr">
        <is>
          <t>Mock</t>
        </is>
      </c>
      <c r="P2150" s="2" t="inlineStr">
        <is>
          <t>Mock Rx20 UBU</t>
        </is>
      </c>
    </row>
    <row r="2151" ht="13.2" customHeight="1" s="37">
      <c r="A2151" s="8" t="inlineStr">
        <is>
          <t>2172</t>
        </is>
      </c>
      <c r="B2151" s="2" t="inlineStr">
        <is>
          <t>Cotrimazole มีกลไกในการออกฤทธิ์อย่างไร</t>
        </is>
      </c>
      <c r="C2151" s="2" t="n"/>
      <c r="D2151" s="2" t="inlineStr">
        <is>
          <t>ยับยั้งการสร้าง ergosterol โดยจับกับ lanosterol 14-alpha-demethylase</t>
        </is>
      </c>
      <c r="E2151" s="2" t="inlineStr">
        <is>
          <t>Atropine sulfate 2 mg IV Q5-10 min</t>
        </is>
      </c>
      <c r="F2151" s="2" t="inlineStr">
        <is>
          <t>Pralidoxime (2-PAM) 1-2 g IV over 30 min</t>
        </is>
      </c>
      <c r="G2151" s="2" t="inlineStr">
        <is>
          <t>Naloxone 0.4 mg IV stat</t>
        </is>
      </c>
      <c r="H2151" s="2" t="inlineStr">
        <is>
          <t>… ตอบ ก. ยับยั้งการสร้าง ergosterol โดยจับกับ lanosterol 14-alpha-demethylase</t>
        </is>
      </c>
      <c r="I2151" s="8" t="inlineStr">
        <is>
          <t>1</t>
        </is>
      </c>
      <c r="J2151" s="2" t="inlineStr">
        <is>
          <t>✅ คำตอบที่ถูกต้อง: ข้อ ก. ยับยั้งการสร้าง ergosterol โดยจับกับ lanosterol 14-alpha-demethylase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ยับยั้งการสร้าง ergosterol โดยจับกับ lanosterol 14-alpha-demethylase การเลือก ยับยั้งการสร้าง ergosterol โดยจับกับ lanosterol 14-alpha-demethylase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 ตอบ ก. ยับยั้งการสร้าง ergosterol โดยจับกับ lanosterol 14-alpha-demethylase):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1" s="2" t="n"/>
      <c r="L2151" s="2" t="inlineStr">
        <is>
          <t>General Therapeutics</t>
        </is>
      </c>
      <c r="M2151" s="2" t="inlineStr">
        <is>
          <t>Clinic</t>
        </is>
      </c>
      <c r="N2151" s="2" t="inlineStr">
        <is>
          <t>ข้อ 5 (PLE_CC1_Key_Rx20_UBU.md)</t>
        </is>
      </c>
      <c r="O2151" s="2" t="inlineStr">
        <is>
          <t>Mock</t>
        </is>
      </c>
      <c r="P2151" s="2" t="inlineStr">
        <is>
          <t>Mock Rx20 UBU</t>
        </is>
      </c>
    </row>
    <row r="2152" ht="13.2" customHeight="1" s="37">
      <c r="A2152" s="8" t="inlineStr">
        <is>
          <t>2173</t>
        </is>
      </c>
      <c r="B2152" s="2" t="inlineStr">
        <is>
          <t>External hordeolum</t>
        </is>
      </c>
      <c r="C2152" s="2" t="n"/>
      <c r="D2152" s="2" t="inlineStr">
        <is>
          <t>Naloxone 0.4 mg IV stat</t>
        </is>
      </c>
      <c r="E2152" s="2" t="inlineStr">
        <is>
          <t>Flumazenil 0.2 mg IV stat</t>
        </is>
      </c>
      <c r="F2152" s="2" t="inlineStr">
        <is>
          <t>Vitamin K1 (Phytomenadione) 10 mg IV slow</t>
        </is>
      </c>
      <c r="G2152" s="2" t="inlineStr">
        <is>
          <t>Sodium thiosulfate 25% 50 mL IV</t>
        </is>
      </c>
      <c r="H2152" s="2" t="inlineStr">
        <is>
          <t>Calcium disodium EDTA 1 g IV</t>
        </is>
      </c>
      <c r="I2152" s="8" t="inlineStr">
        <is>
          <t>1</t>
        </is>
      </c>
      <c r="J21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52" s="2" t="n"/>
      <c r="L2152" s="2" t="inlineStr">
        <is>
          <t>General Therapeutics</t>
        </is>
      </c>
      <c r="M2152" s="2" t="inlineStr">
        <is>
          <t>Clinic</t>
        </is>
      </c>
      <c r="N2152" s="2" t="inlineStr">
        <is>
          <t>ข้อ 1 (PLE_CC1_Key_Rx20_UBU.md)</t>
        </is>
      </c>
      <c r="O2152" s="2" t="inlineStr">
        <is>
          <t>Mock</t>
        </is>
      </c>
      <c r="P2152" s="2" t="inlineStr">
        <is>
          <t>Mock Rx20 UBU</t>
        </is>
      </c>
    </row>
    <row r="2153" ht="13.2" customHeight="1" s="37">
      <c r="A2153" s="8" t="inlineStr">
        <is>
          <t>2174</t>
        </is>
      </c>
      <c r="B2153" s="2" t="inlineStr">
        <is>
          <t>Staphlococcus aureaus</t>
        </is>
      </c>
      <c r="C2153" s="2" t="n"/>
      <c r="D2153" s="2" t="inlineStr">
        <is>
          <t>Sodium thiosulfate 25% 50 mL IV</t>
        </is>
      </c>
      <c r="E2153" s="2" t="inlineStr">
        <is>
          <t>Calcium disodium EDTA 1 g IV</t>
        </is>
      </c>
      <c r="F2153" s="2" t="inlineStr">
        <is>
          <t>Desferrioxamine 1 g IM/IV</t>
        </is>
      </c>
      <c r="G2153" s="2" t="inlineStr">
        <is>
          <t>Dimercaprol (BAL) 3 mg/kg IM</t>
        </is>
      </c>
      <c r="H2153" s="2" t="inlineStr">
        <is>
          <t>Ethanol 10% IV infusion for Methanol poisoning</t>
        </is>
      </c>
      <c r="I2153" s="8" t="inlineStr">
        <is>
          <t>1</t>
        </is>
      </c>
      <c r="J21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3" s="2" t="n"/>
      <c r="L2153" s="2" t="inlineStr">
        <is>
          <t>General Therapeutics</t>
        </is>
      </c>
      <c r="M2153" s="2" t="inlineStr">
        <is>
          <t>Clinic</t>
        </is>
      </c>
      <c r="N2153" s="2" t="inlineStr">
        <is>
          <t>ข้อ 1 (PLE_CC1_Key_Rx20_UBU.md)</t>
        </is>
      </c>
      <c r="O2153" s="2" t="inlineStr">
        <is>
          <t>Mock</t>
        </is>
      </c>
      <c r="P2153" s="2" t="inlineStr">
        <is>
          <t>Mock Rx20 UBU</t>
        </is>
      </c>
    </row>
    <row r="2154" ht="13.2" customHeight="1" s="37">
      <c r="A2154" s="8" t="inlineStr">
        <is>
          <t>2175</t>
        </is>
      </c>
      <c r="B2154" s="2" t="inlineStr">
        <is>
          <t>สัมผัสแสงจ้าเป็นระยะเวลานาน</t>
        </is>
      </c>
      <c r="C2154" s="2" t="n"/>
      <c r="D2154" s="2" t="inlineStr">
        <is>
          <t>Dimercaprol (BAL) 3 mg/kg IM</t>
        </is>
      </c>
      <c r="E2154" s="2" t="inlineStr">
        <is>
          <t>Ethanol 10% IV infusion for Methanol poisoning</t>
        </is>
      </c>
      <c r="F2154" s="2" t="inlineStr">
        <is>
          <t>Fomepizole 15 mg/kg IV loading</t>
        </is>
      </c>
      <c r="G2154" s="2" t="inlineStr">
        <is>
          <t>N-acetylcysteine (NAC) IV infusion protocol</t>
        </is>
      </c>
      <c r="H2154" s="2" t="inlineStr">
        <is>
          <t>Atropine sulfate 2 mg IV Q5-10 min</t>
        </is>
      </c>
      <c r="I2154" s="8" t="inlineStr">
        <is>
          <t>1</t>
        </is>
      </c>
      <c r="J21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4" s="2" t="n"/>
      <c r="L2154" s="2" t="inlineStr">
        <is>
          <t>General Therapeutics</t>
        </is>
      </c>
      <c r="M2154" s="2" t="inlineStr">
        <is>
          <t>Clinic</t>
        </is>
      </c>
      <c r="N2154" s="2" t="inlineStr">
        <is>
          <t>ข้อ 3 (PLE_CC1_Key_Rx20_UBU.md)</t>
        </is>
      </c>
      <c r="O2154" s="2" t="inlineStr">
        <is>
          <t>Mock</t>
        </is>
      </c>
      <c r="P2154" s="2" t="inlineStr">
        <is>
          <t>Mock Rx20 UBU</t>
        </is>
      </c>
    </row>
    <row r="2155" ht="13.2" customHeight="1" s="37">
      <c r="A2155" s="8" t="inlineStr">
        <is>
          <t>2176</t>
        </is>
      </c>
      <c r="B2155" s="2" t="inlineStr">
        <is>
          <t>ต่อมไขมันบริเวณเปลือกตาอักเสบ</t>
        </is>
      </c>
      <c r="C2155" s="2" t="n"/>
      <c r="D2155" s="2" t="inlineStr">
        <is>
          <t>N-acetylcysteine (NAC) IV infusion protocol</t>
        </is>
      </c>
      <c r="E2155" s="2" t="inlineStr">
        <is>
          <t>Atropine sulfate 2 mg IV Q5-10 min</t>
        </is>
      </c>
      <c r="F2155" s="2" t="inlineStr">
        <is>
          <t>Pralidoxime (2-PAM) 1-2 g IV over 30 min</t>
        </is>
      </c>
      <c r="G2155" s="2" t="inlineStr">
        <is>
          <t>Naloxone 0.4 mg IV stat</t>
        </is>
      </c>
      <c r="H2155" s="2" t="inlineStr">
        <is>
          <t>Flumazenil 0.2 mg IV stat</t>
        </is>
      </c>
      <c r="I2155" s="8" t="inlineStr">
        <is>
          <t>1</t>
        </is>
      </c>
      <c r="J215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55" s="2" t="n"/>
      <c r="L2155" s="2" t="inlineStr">
        <is>
          <t>General Therapeutics</t>
        </is>
      </c>
      <c r="M2155" s="2" t="inlineStr">
        <is>
          <t>Clinic</t>
        </is>
      </c>
      <c r="N2155" s="2" t="inlineStr">
        <is>
          <t>ข้อ 4 (PLE_CC1_Key_Rx20_UBU.md)</t>
        </is>
      </c>
      <c r="O2155" s="2" t="inlineStr">
        <is>
          <t>Mock</t>
        </is>
      </c>
      <c r="P2155" s="2" t="inlineStr">
        <is>
          <t>Mock Rx20 UBU</t>
        </is>
      </c>
    </row>
    <row r="2156" ht="13.2" customHeight="1" s="37">
      <c r="A2156" s="8" t="inlineStr">
        <is>
          <t>2177</t>
        </is>
      </c>
      <c r="B2156" s="2" t="inlineStr">
        <is>
          <t>ยาใดควรให้แก่ผู้ป่วยรายนี้</t>
        </is>
      </c>
      <c r="C2156" s="2" t="n"/>
      <c r="D2156" s="2" t="inlineStr">
        <is>
          <t>Naloxone 0.4 mg IV stat</t>
        </is>
      </c>
      <c r="E2156" s="2" t="inlineStr">
        <is>
          <t>Flumazenil 0.2 mg IV stat</t>
        </is>
      </c>
      <c r="F2156" s="2" t="inlineStr">
        <is>
          <t>Vitamin K1 (Phytomenadione) 10 mg IV slow</t>
        </is>
      </c>
      <c r="G2156" s="2" t="inlineStr">
        <is>
          <t>Sodium thiosulfate 25% 50 mL IV</t>
        </is>
      </c>
      <c r="H2156" s="2" t="inlineStr">
        <is>
          <t>Calcium disodium EDTA 1 g IV</t>
        </is>
      </c>
      <c r="I2156" s="8" t="inlineStr">
        <is>
          <t>1</t>
        </is>
      </c>
      <c r="J21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56" s="2" t="n"/>
      <c r="L2156" s="2" t="inlineStr">
        <is>
          <t>General Therapeutics</t>
        </is>
      </c>
      <c r="M2156" s="2" t="inlineStr">
        <is>
          <t>Clinic</t>
        </is>
      </c>
      <c r="N2156" s="2" t="inlineStr">
        <is>
          <t>ข้อ 3 (PLE_CC1_Key_Rx20_UBU.md)</t>
        </is>
      </c>
      <c r="O2156" s="2" t="inlineStr">
        <is>
          <t>Mock</t>
        </is>
      </c>
      <c r="P2156" s="2" t="inlineStr">
        <is>
          <t>Mock Rx20 UBU</t>
        </is>
      </c>
    </row>
    <row r="2157" ht="13.2" customHeight="1" s="37">
      <c r="A2157" s="8" t="inlineStr">
        <is>
          <t>2178</t>
        </is>
      </c>
      <c r="B2157" s="2" t="inlineStr">
        <is>
          <t>Artificial tears</t>
        </is>
      </c>
      <c r="C2157" s="2" t="n"/>
      <c r="D2157" s="2" t="inlineStr">
        <is>
          <t>Sodium thiosulfate 25% 50 mL IV</t>
        </is>
      </c>
      <c r="E2157" s="2" t="inlineStr">
        <is>
          <t>Calcium disodium EDTA 1 g IV</t>
        </is>
      </c>
      <c r="F2157" s="2" t="inlineStr">
        <is>
          <t>Desferrioxamine 1 g IM/IV</t>
        </is>
      </c>
      <c r="G2157" s="2" t="inlineStr">
        <is>
          <t>Dimercaprol (BAL) 3 mg/kg IM</t>
        </is>
      </c>
      <c r="H2157" s="2" t="inlineStr">
        <is>
          <t>Ethanol 10% IV infusion for Methanol poisoning</t>
        </is>
      </c>
      <c r="I2157" s="8" t="inlineStr">
        <is>
          <t>1</t>
        </is>
      </c>
      <c r="J21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7" s="2" t="n"/>
      <c r="L2157" s="2" t="inlineStr">
        <is>
          <t>General Therapeutics</t>
        </is>
      </c>
      <c r="M2157" s="2" t="inlineStr">
        <is>
          <t>Clinic</t>
        </is>
      </c>
      <c r="N2157" s="2" t="inlineStr">
        <is>
          <t>ข้อ 1 (PLE_CC1_Key_Rx20_UBU.md)</t>
        </is>
      </c>
      <c r="O2157" s="2" t="inlineStr">
        <is>
          <t>Mock</t>
        </is>
      </c>
      <c r="P2157" s="2" t="inlineStr">
        <is>
          <t>Mock Rx20 UBU</t>
        </is>
      </c>
    </row>
    <row r="2158" ht="13.2" customHeight="1" s="37">
      <c r="A2158" s="8" t="inlineStr">
        <is>
          <t>2179</t>
        </is>
      </c>
      <c r="B2158" s="2" t="inlineStr">
        <is>
          <t>กลไกของยา penicillin</t>
        </is>
      </c>
      <c r="C2158" s="2" t="n"/>
      <c r="D2158" s="2" t="inlineStr">
        <is>
          <t>Meropenem 1 g IV Q8H</t>
        </is>
      </c>
      <c r="E2158" s="2" t="inlineStr">
        <is>
          <t>Cefazolin 1 g IV Q8H</t>
        </is>
      </c>
      <c r="F2158" s="2" t="inlineStr">
        <is>
          <t>Amoxicillin/Clavulanate 1 g BID</t>
        </is>
      </c>
      <c r="G2158" s="2" t="inlineStr">
        <is>
          <t>Ceftriaxone 1 g IV OD</t>
        </is>
      </c>
      <c r="H2158" s="2" t="inlineStr">
        <is>
          <t>Ciprofloxacin 500 mg BID</t>
        </is>
      </c>
      <c r="I2158" s="8" t="inlineStr">
        <is>
          <t>1</t>
        </is>
      </c>
      <c r="J2158" s="2" t="inlineStr">
        <is>
          <t>✅ คำตอบที่ถูกต้อง: ข้อ ก. Meropenem 1 g IV Q8H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8" s="2" t="n"/>
      <c r="L2158" s="2" t="inlineStr">
        <is>
          <t>Infectious Diseases</t>
        </is>
      </c>
      <c r="M2158" s="2" t="inlineStr">
        <is>
          <t>Clinic</t>
        </is>
      </c>
      <c r="N2158" s="2" t="inlineStr">
        <is>
          <t>ข้อ 4 (PLE_CC1_Key_Rx20_UBU.md)</t>
        </is>
      </c>
      <c r="O2158" s="2" t="inlineStr">
        <is>
          <t>Mock</t>
        </is>
      </c>
      <c r="P2158" s="2" t="inlineStr">
        <is>
          <t>Mock Rx20 UBU</t>
        </is>
      </c>
    </row>
    <row r="2159" ht="13.2" customHeight="1" s="37">
      <c r="A2159" s="8" t="inlineStr">
        <is>
          <t>2180</t>
        </is>
      </c>
      <c r="B2159" s="2" t="inlineStr">
        <is>
          <t>ยับยั้งการสร้างผนังเซลล์ของเชื้อ</t>
        </is>
      </c>
      <c r="C2159" s="2" t="n"/>
      <c r="D2159" s="2" t="inlineStr">
        <is>
          <t>N-acetylcysteine (NAC) IV infusion protocol</t>
        </is>
      </c>
      <c r="E2159" s="2" t="inlineStr">
        <is>
          <t>Atropine sulfate 2 mg IV Q5-10 min</t>
        </is>
      </c>
      <c r="F2159" s="2" t="inlineStr">
        <is>
          <t>Pralidoxime (2-PAM) 1-2 g IV over 30 min</t>
        </is>
      </c>
      <c r="G2159" s="2" t="inlineStr">
        <is>
          <t>Naloxone 0.4 mg IV stat</t>
        </is>
      </c>
      <c r="H2159" s="2" t="inlineStr">
        <is>
          <t>Flumazenil 0.2 mg IV stat</t>
        </is>
      </c>
      <c r="I2159" s="8" t="inlineStr">
        <is>
          <t>1</t>
        </is>
      </c>
      <c r="J21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59" s="2" t="n"/>
      <c r="L2159" s="2" t="inlineStr">
        <is>
          <t>General Therapeutics</t>
        </is>
      </c>
      <c r="M2159" s="2" t="inlineStr">
        <is>
          <t>Clinic</t>
        </is>
      </c>
      <c r="N2159" s="2" t="inlineStr">
        <is>
          <t>ข้อ 1 (PLE_CC1_Key_Rx20_UBU.md)</t>
        </is>
      </c>
      <c r="O2159" s="2" t="inlineStr">
        <is>
          <t>Mock</t>
        </is>
      </c>
      <c r="P2159" s="2" t="inlineStr">
        <is>
          <t>Mock Rx20 UBU</t>
        </is>
      </c>
    </row>
    <row r="2160" ht="13.2" customHeight="1" s="37">
      <c r="A2160" s="8" t="inlineStr">
        <is>
          <t>2181</t>
        </is>
      </c>
      <c r="B2160" s="2" t="inlineStr">
        <is>
          <t>ยับยั้งการสร้างเยื้อหุ้มเซลล์ของเชื้อ</t>
        </is>
      </c>
      <c r="C2160" s="2" t="n"/>
      <c r="D2160" s="2" t="inlineStr">
        <is>
          <t>Naloxone 0.4 mg IV stat</t>
        </is>
      </c>
      <c r="E2160" s="2" t="inlineStr">
        <is>
          <t>Flumazenil 0.2 mg IV stat</t>
        </is>
      </c>
      <c r="F2160" s="2" t="inlineStr">
        <is>
          <t>Vitamin K1 (Phytomenadione) 10 mg IV slow</t>
        </is>
      </c>
      <c r="G2160" s="2" t="inlineStr">
        <is>
          <t>Sodium thiosulfate 25% 50 mL IV</t>
        </is>
      </c>
      <c r="H2160" s="2" t="inlineStr">
        <is>
          <t>Calcium disodium EDTA 1 g IV</t>
        </is>
      </c>
      <c r="I2160" s="8" t="inlineStr">
        <is>
          <t>1</t>
        </is>
      </c>
      <c r="J21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60" s="2" t="n"/>
      <c r="L2160" s="2" t="inlineStr">
        <is>
          <t>General Therapeutics</t>
        </is>
      </c>
      <c r="M2160" s="2" t="inlineStr">
        <is>
          <t>Clinic</t>
        </is>
      </c>
      <c r="N2160" s="2" t="inlineStr">
        <is>
          <t>ข้อ 2 (PLE_CC1_Key_Rx20_UBU.md)</t>
        </is>
      </c>
      <c r="O2160" s="2" t="inlineStr">
        <is>
          <t>Mock</t>
        </is>
      </c>
      <c r="P2160" s="2" t="inlineStr">
        <is>
          <t>Mock Rx20 UBU</t>
        </is>
      </c>
    </row>
    <row r="2161" ht="13.2" customHeight="1" s="37">
      <c r="A2161" s="8" t="inlineStr">
        <is>
          <t>2182</t>
        </is>
      </c>
      <c r="B2161" s="2" t="inlineStr">
        <is>
          <t>ยับยั้งการสร้าง DNA ของเชื้อ</t>
        </is>
      </c>
      <c r="C2161" s="2" t="n"/>
      <c r="D2161" s="2" t="inlineStr">
        <is>
          <t>Sodium thiosulfate 25% 50 mL IV</t>
        </is>
      </c>
      <c r="E2161" s="2" t="inlineStr">
        <is>
          <t>Calcium disodium EDTA 1 g IV</t>
        </is>
      </c>
      <c r="F2161" s="2" t="inlineStr">
        <is>
          <t>Desferrioxamine 1 g IM/IV</t>
        </is>
      </c>
      <c r="G2161" s="2" t="inlineStr">
        <is>
          <t>Dimercaprol (BAL) 3 mg/kg IM</t>
        </is>
      </c>
      <c r="H2161" s="2" t="inlineStr">
        <is>
          <t>Ethanol 10% IV infusion for Methanol poisoning</t>
        </is>
      </c>
      <c r="I2161" s="8" t="inlineStr">
        <is>
          <t>4</t>
        </is>
      </c>
      <c r="J2161" s="2"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1" s="2" t="n"/>
      <c r="L2161" s="2" t="inlineStr">
        <is>
          <t>General Therapeutics</t>
        </is>
      </c>
      <c r="M2161" s="2" t="inlineStr">
        <is>
          <t>Clinic</t>
        </is>
      </c>
      <c r="N2161" s="2" t="inlineStr">
        <is>
          <t>ข้อ 3 (PLE_CC1_Key_Rx20_UBU.md)</t>
        </is>
      </c>
      <c r="O2161" s="2" t="inlineStr">
        <is>
          <t>Mock</t>
        </is>
      </c>
      <c r="P2161" s="2" t="inlineStr">
        <is>
          <t>Mock Rx20 UBU</t>
        </is>
      </c>
    </row>
    <row r="2162" ht="13.2" customHeight="1" s="37">
      <c r="A2162" s="8" t="inlineStr">
        <is>
          <t>2183</t>
        </is>
      </c>
      <c r="B2162" s="2" t="inlineStr">
        <is>
          <t>Ethylene oxide gas</t>
        </is>
      </c>
      <c r="C2162" s="2" t="n"/>
      <c r="D2162" s="2" t="inlineStr">
        <is>
          <t>Dimercaprol (BAL) 3 mg/kg IM</t>
        </is>
      </c>
      <c r="E2162" s="2" t="inlineStr">
        <is>
          <t>Ethanol 10% IV infusion for Methanol poisoning</t>
        </is>
      </c>
      <c r="F2162" s="2" t="inlineStr">
        <is>
          <t>Fomepizole 15 mg/kg IV loading</t>
        </is>
      </c>
      <c r="G2162" s="2" t="inlineStr">
        <is>
          <t>N-acetylcysteine (NAC) IV infusion protocol</t>
        </is>
      </c>
      <c r="H2162" s="2" t="inlineStr">
        <is>
          <t>Atropine sulfate 2 mg IV Q5-10 min</t>
        </is>
      </c>
      <c r="I2162" s="8" t="inlineStr">
        <is>
          <t>1</t>
        </is>
      </c>
      <c r="J21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2" s="2" t="n"/>
      <c r="L2162" s="2" t="inlineStr">
        <is>
          <t>General Therapeutics</t>
        </is>
      </c>
      <c r="M2162" s="2" t="inlineStr">
        <is>
          <t>Clinic</t>
        </is>
      </c>
      <c r="N2162" s="2" t="inlineStr">
        <is>
          <t>ข้อ 4 (PLE_CC1_Key_Rx20_UBU.md)</t>
        </is>
      </c>
      <c r="O2162" s="2" t="inlineStr">
        <is>
          <t>Mock</t>
        </is>
      </c>
      <c r="P2162" s="2" t="inlineStr">
        <is>
          <t>Mock Rx20 UBU</t>
        </is>
      </c>
    </row>
    <row r="2163" ht="13.2" customHeight="1" s="37">
      <c r="A2163" s="8" t="inlineStr">
        <is>
          <t>2184</t>
        </is>
      </c>
      <c r="B2163" s="2" t="inlineStr">
        <is>
          <t>หากผู้ป่วยรายนี้มีปัญหาจากน้ำหนักเพิ่มควรเปลี่ยนเป็นยาใด</t>
        </is>
      </c>
      <c r="C2163" s="2" t="n"/>
      <c r="D2163" s="2" t="inlineStr">
        <is>
          <t>N-acetylcysteine (NAC) IV infusion protocol</t>
        </is>
      </c>
      <c r="E2163" s="2" t="inlineStr">
        <is>
          <t>Atropine sulfate 2 mg IV Q5-10 min</t>
        </is>
      </c>
      <c r="F2163" s="2" t="inlineStr">
        <is>
          <t>Pralidoxime (2-PAM) 1-2 g IV over 30 min</t>
        </is>
      </c>
      <c r="G2163" s="2" t="inlineStr">
        <is>
          <t>Naloxone 0.4 mg IV stat</t>
        </is>
      </c>
      <c r="H2163" s="2" t="inlineStr">
        <is>
          <t>Flumazenil 0.2 mg IV stat</t>
        </is>
      </c>
      <c r="I2163" s="8" t="inlineStr">
        <is>
          <t>1</t>
        </is>
      </c>
      <c r="J21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63" s="2" t="n"/>
      <c r="L2163" s="2" t="inlineStr">
        <is>
          <t>General Therapeutics</t>
        </is>
      </c>
      <c r="M2163" s="2" t="inlineStr">
        <is>
          <t>Clinic</t>
        </is>
      </c>
      <c r="N2163" s="2" t="inlineStr">
        <is>
          <t>ข้อ 1 (PLE_CC1_Key_Rx20_UBU.md)</t>
        </is>
      </c>
      <c r="O2163" s="2" t="inlineStr">
        <is>
          <t>Mock</t>
        </is>
      </c>
      <c r="P2163" s="2" t="inlineStr">
        <is>
          <t>Mock Rx20 UBU</t>
        </is>
      </c>
    </row>
    <row r="2164" ht="13.2" customHeight="1" s="37">
      <c r="A2164" s="8" t="inlineStr">
        <is>
          <t>2185</t>
        </is>
      </c>
      <c r="B2164" s="2" t="inlineStr">
        <is>
          <t>levonorgestrel 0.75 mg ภายใน 72 ชั่วโมงแรก 1 เม็ด หลังจากนั้นอีก 12 ชั่วโมง 1 เม็ด</t>
        </is>
      </c>
      <c r="C2164" s="2" t="n"/>
      <c r="D2164" s="2" t="inlineStr">
        <is>
          <t>Naloxone 0.4 mg IV stat</t>
        </is>
      </c>
      <c r="E2164" s="2" t="inlineStr">
        <is>
          <t>Flumazenil 0.2 mg IV stat</t>
        </is>
      </c>
      <c r="F2164" s="2" t="inlineStr">
        <is>
          <t>Vitamin K1 (Phytomenadione) 10 mg IV slow</t>
        </is>
      </c>
      <c r="G2164" s="2" t="inlineStr">
        <is>
          <t>Sodium thiosulfate 25% 50 mL IV</t>
        </is>
      </c>
      <c r="H2164" s="2" t="inlineStr">
        <is>
          <t>Calcium disodium EDTA 1 g IV</t>
        </is>
      </c>
      <c r="I2164" s="8" t="inlineStr">
        <is>
          <t>1</t>
        </is>
      </c>
      <c r="J21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64" s="2" t="n"/>
      <c r="L2164" s="2" t="inlineStr">
        <is>
          <t>General Therapeutics</t>
        </is>
      </c>
      <c r="M2164" s="2" t="inlineStr">
        <is>
          <t>Clinic</t>
        </is>
      </c>
      <c r="N2164" s="2" t="inlineStr">
        <is>
          <t>ข้อ 1 (PLE_CC1_Key_Rx20_UBU.md)</t>
        </is>
      </c>
      <c r="O2164" s="2" t="inlineStr">
        <is>
          <t>Mock</t>
        </is>
      </c>
      <c r="P2164" s="2" t="inlineStr">
        <is>
          <t>Mock Rx20 UBU</t>
        </is>
      </c>
    </row>
    <row r="2165" ht="13.2" customHeight="1" s="37">
      <c r="A2165" s="8" t="inlineStr">
        <is>
          <t>2186</t>
        </is>
      </c>
      <c r="B2165" s="2" t="inlineStr">
        <is>
          <t>levonorgestrel 0.75 mg ภายใน 72 ชั่วโมงแรก 2 เม็ด หลังจากนั้นอีก 12 ชั่วโมง 1 เม็ด</t>
        </is>
      </c>
      <c r="C2165" s="2" t="n"/>
      <c r="D2165" s="2" t="inlineStr">
        <is>
          <t>Sodium thiosulfate 25% 50 mL IV</t>
        </is>
      </c>
      <c r="E2165" s="2" t="inlineStr">
        <is>
          <t>Calcium disodium EDTA 1 g IV</t>
        </is>
      </c>
      <c r="F2165" s="2" t="inlineStr">
        <is>
          <t>Desferrioxamine 1 g IM/IV</t>
        </is>
      </c>
      <c r="G2165" s="2" t="inlineStr">
        <is>
          <t>Dimercaprol (BAL) 3 mg/kg IM</t>
        </is>
      </c>
      <c r="H2165" s="2" t="inlineStr">
        <is>
          <t>Ethanol 10% IV infusion for Methanol poisoning</t>
        </is>
      </c>
      <c r="I2165" s="8" t="inlineStr">
        <is>
          <t>1</t>
        </is>
      </c>
      <c r="J21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5" s="2" t="n"/>
      <c r="L2165" s="2" t="inlineStr">
        <is>
          <t>General Therapeutics</t>
        </is>
      </c>
      <c r="M2165" s="2" t="inlineStr">
        <is>
          <t>Clinic</t>
        </is>
      </c>
      <c r="N2165" s="2" t="inlineStr">
        <is>
          <t>ข้อ 2 (PLE_CC1_Key_Rx20_UBU.md)</t>
        </is>
      </c>
      <c r="O2165" s="2" t="inlineStr">
        <is>
          <t>Mock</t>
        </is>
      </c>
      <c r="P2165" s="2" t="inlineStr">
        <is>
          <t>Mock Rx20 UBU</t>
        </is>
      </c>
    </row>
    <row r="2166" ht="13.2" customHeight="1" s="37">
      <c r="A2166" s="8" t="inlineStr">
        <is>
          <t>2187</t>
        </is>
      </c>
      <c r="B2166" s="2" t="inlineStr">
        <is>
          <t>เลี่ยง first pass metabolism</t>
        </is>
      </c>
      <c r="C2166" s="2" t="n"/>
      <c r="D2166" s="2" t="inlineStr">
        <is>
          <t>Dimercaprol (BAL) 3 mg/kg IM</t>
        </is>
      </c>
      <c r="E2166" s="2" t="inlineStr">
        <is>
          <t>Ethanol 10% IV infusion for Methanol poisoning</t>
        </is>
      </c>
      <c r="F2166" s="2" t="inlineStr">
        <is>
          <t>Fomepizole 15 mg/kg IV loading</t>
        </is>
      </c>
      <c r="G2166" s="2" t="inlineStr">
        <is>
          <t>N-acetylcysteine (NAC) IV infusion protocol</t>
        </is>
      </c>
      <c r="H2166" s="2" t="inlineStr">
        <is>
          <t>Atropine sulfate 2 mg IV Q5-10 min</t>
        </is>
      </c>
      <c r="I2166" s="8" t="inlineStr">
        <is>
          <t>1</t>
        </is>
      </c>
      <c r="J21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6" s="2" t="n"/>
      <c r="L2166" s="2" t="inlineStr">
        <is>
          <t>General Therapeutics</t>
        </is>
      </c>
      <c r="M2166" s="2" t="inlineStr">
        <is>
          <t>Clinic</t>
        </is>
      </c>
      <c r="N2166" s="2" t="inlineStr">
        <is>
          <t>ข้อ 1 (PLE_CC1_Key_Rx20_UBU.md)</t>
        </is>
      </c>
      <c r="O2166" s="2" t="inlineStr">
        <is>
          <t>Mock</t>
        </is>
      </c>
      <c r="P2166" s="2" t="inlineStr">
        <is>
          <t>Mock Rx20 UBU</t>
        </is>
      </c>
    </row>
    <row r="2167" ht="13.2" customHeight="1" s="37">
      <c r="A2167" s="8" t="inlineStr">
        <is>
          <t>2188</t>
        </is>
      </c>
      <c r="B2167" s="2" t="inlineStr">
        <is>
          <t>มีการดูดซึมทางช่องคลอดน้อย เนื่องจากพื้นที่ในการดูดซึมน้อย</t>
        </is>
      </c>
      <c r="C2167" s="2" t="n"/>
      <c r="D2167" s="2" t="inlineStr">
        <is>
          <t>N-acetylcysteine (NAC) IV infusion protocol</t>
        </is>
      </c>
      <c r="E2167" s="2" t="inlineStr">
        <is>
          <t>Atropine sulfate 2 mg IV Q5-10 min</t>
        </is>
      </c>
      <c r="F2167" s="2" t="inlineStr">
        <is>
          <t>Pralidoxime (2-PAM) 1-2 g IV over 30 min</t>
        </is>
      </c>
      <c r="G2167" s="2" t="inlineStr">
        <is>
          <t>Naloxone 0.4 mg IV stat</t>
        </is>
      </c>
      <c r="H2167" s="2" t="inlineStr">
        <is>
          <t>Flumazenil 0.2 mg IV stat</t>
        </is>
      </c>
      <c r="I2167" s="8" t="inlineStr">
        <is>
          <t>1</t>
        </is>
      </c>
      <c r="J21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67" s="2" t="n"/>
      <c r="L2167" s="2" t="inlineStr">
        <is>
          <t>General Therapeutics</t>
        </is>
      </c>
      <c r="M2167" s="2" t="inlineStr">
        <is>
          <t>Clinic</t>
        </is>
      </c>
      <c r="N2167" s="2" t="inlineStr">
        <is>
          <t>ข้อ 4 (PLE_CC1_Key_Rx20_UBU.md)</t>
        </is>
      </c>
      <c r="O2167" s="2" t="inlineStr">
        <is>
          <t>Mock</t>
        </is>
      </c>
      <c r="P2167" s="2" t="inlineStr">
        <is>
          <t>Mock Rx20 UBU</t>
        </is>
      </c>
    </row>
    <row r="2168" ht="13.2" customHeight="1" s="37">
      <c r="A2168" s="8" t="inlineStr">
        <is>
          <t>2189</t>
        </is>
      </c>
      <c r="B2168" s="2" t="inlineStr">
        <is>
          <t>Sustained release system</t>
        </is>
      </c>
      <c r="C2168" s="2" t="n"/>
      <c r="D2168" s="2" t="inlineStr">
        <is>
          <t>Naloxone 0.4 mg IV stat</t>
        </is>
      </c>
      <c r="E2168" s="2" t="inlineStr">
        <is>
          <t>Flumazenil 0.2 mg IV stat</t>
        </is>
      </c>
      <c r="F2168" s="2" t="inlineStr">
        <is>
          <t>Vitamin K1 (Phytomenadione) 10 mg IV slow</t>
        </is>
      </c>
      <c r="G2168" s="2" t="inlineStr">
        <is>
          <t>Sodium thiosulfate 25% 50 mL IV</t>
        </is>
      </c>
      <c r="H2168" s="2" t="inlineStr">
        <is>
          <t>Calcium disodium EDTA 1 g IV</t>
        </is>
      </c>
      <c r="I2168" s="8" t="inlineStr">
        <is>
          <t>1</t>
        </is>
      </c>
      <c r="J21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68" s="2" t="n"/>
      <c r="L2168" s="2" t="inlineStr">
        <is>
          <t>General Therapeutics</t>
        </is>
      </c>
      <c r="M2168" s="2" t="inlineStr">
        <is>
          <t>Clinic</t>
        </is>
      </c>
      <c r="N2168" s="2" t="inlineStr">
        <is>
          <t>ข้อ 1 (PLE_CC1_Key_Rx20_UBU.md)</t>
        </is>
      </c>
      <c r="O2168" s="2" t="inlineStr">
        <is>
          <t>Mock</t>
        </is>
      </c>
      <c r="P2168" s="2" t="inlineStr">
        <is>
          <t>Mock Rx20 UBU</t>
        </is>
      </c>
    </row>
    <row r="2169" ht="13.2" customHeight="1" s="37">
      <c r="A2169" s="8" t="inlineStr">
        <is>
          <t>2190</t>
        </is>
      </c>
      <c r="B2169" s="2" t="inlineStr">
        <is>
          <t>Immediated release</t>
        </is>
      </c>
      <c r="C2169" s="2" t="n"/>
      <c r="D2169" s="2" t="inlineStr">
        <is>
          <t>Sodium thiosulfate 25% 50 mL IV</t>
        </is>
      </c>
      <c r="E2169" s="2" t="inlineStr">
        <is>
          <t>Calcium disodium EDTA 1 g IV</t>
        </is>
      </c>
      <c r="F2169" s="2" t="inlineStr">
        <is>
          <t>Desferrioxamine 1 g IM/IV</t>
        </is>
      </c>
      <c r="G2169" s="2" t="inlineStr">
        <is>
          <t>Dimercaprol (BAL) 3 mg/kg IM</t>
        </is>
      </c>
      <c r="H2169" s="2" t="inlineStr">
        <is>
          <t>Ethanol 10% IV infusion for Methanol poisoning</t>
        </is>
      </c>
      <c r="I2169" s="8" t="inlineStr">
        <is>
          <t>1</t>
        </is>
      </c>
      <c r="J21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69" s="2" t="n"/>
      <c r="L2169" s="2" t="inlineStr">
        <is>
          <t>General Therapeutics</t>
        </is>
      </c>
      <c r="M2169" s="2" t="inlineStr">
        <is>
          <t>Clinic</t>
        </is>
      </c>
      <c r="N2169" s="2" t="inlineStr">
        <is>
          <t>ข้อ 4 (PLE_CC1_Key_Rx20_UBU.md)</t>
        </is>
      </c>
      <c r="O2169" s="2" t="inlineStr">
        <is>
          <t>Mock</t>
        </is>
      </c>
      <c r="P2169" s="2" t="inlineStr">
        <is>
          <t>Mock Rx20 UBU</t>
        </is>
      </c>
    </row>
    <row r="2170" ht="13.2" customHeight="1" s="37">
      <c r="A2170" s="8" t="inlineStr">
        <is>
          <t>2191</t>
        </is>
      </c>
      <c r="B2170" s="2" t="inlineStr">
        <is>
          <t>Spontaneous Bacterial Peritonitis</t>
        </is>
      </c>
      <c r="C2170" s="2" t="n"/>
      <c r="D2170" s="2" t="inlineStr">
        <is>
          <t>Dimercaprol (BAL) 3 mg/kg IM</t>
        </is>
      </c>
      <c r="E2170" s="2" t="inlineStr">
        <is>
          <t>Ethanol 10% IV infusion for Methanol poisoning</t>
        </is>
      </c>
      <c r="F2170" s="2" t="inlineStr">
        <is>
          <t>Fomepizole 15 mg/kg IV loading</t>
        </is>
      </c>
      <c r="G2170" s="2" t="inlineStr">
        <is>
          <t>N-acetylcysteine (NAC) IV infusion protocol</t>
        </is>
      </c>
      <c r="H2170" s="2" t="inlineStr">
        <is>
          <t>Atropine sulfate 2 mg IV Q5-10 min</t>
        </is>
      </c>
      <c r="I2170" s="8" t="inlineStr">
        <is>
          <t>1</t>
        </is>
      </c>
      <c r="J21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0" s="2" t="n"/>
      <c r="L2170" s="2" t="inlineStr">
        <is>
          <t>General Therapeutics</t>
        </is>
      </c>
      <c r="M2170" s="2" t="inlineStr">
        <is>
          <t>Clinic</t>
        </is>
      </c>
      <c r="N2170" s="2" t="inlineStr">
        <is>
          <t>ข้อ 2 (PLE_CC1_Key_Rx20_UBU.md)</t>
        </is>
      </c>
      <c r="O2170" s="2" t="inlineStr">
        <is>
          <t>Mock</t>
        </is>
      </c>
      <c r="P2170" s="2" t="inlineStr">
        <is>
          <t>Mock Rx20 UBU</t>
        </is>
      </c>
    </row>
    <row r="2171" ht="13.2" customHeight="1" s="37">
      <c r="A2171" s="8" t="inlineStr">
        <is>
          <t>2192</t>
        </is>
      </c>
      <c r="B2171" s="2" t="inlineStr">
        <is>
          <t>nephrotic syndrome</t>
        </is>
      </c>
      <c r="C2171" s="2" t="n"/>
      <c r="D2171" s="2" t="inlineStr">
        <is>
          <t>N-acetylcysteine (NAC) IV infusion protocol</t>
        </is>
      </c>
      <c r="E2171" s="2" t="inlineStr">
        <is>
          <t>Atropine sulfate 2 mg IV Q5-10 min</t>
        </is>
      </c>
      <c r="F2171" s="2" t="inlineStr">
        <is>
          <t>Pralidoxime (2-PAM) 1-2 g IV over 30 min</t>
        </is>
      </c>
      <c r="G2171" s="2" t="inlineStr">
        <is>
          <t>Naloxone 0.4 mg IV stat</t>
        </is>
      </c>
      <c r="H2171" s="2" t="inlineStr">
        <is>
          <t>Flumazenil 0.2 mg IV stat</t>
        </is>
      </c>
      <c r="I2171" s="8" t="inlineStr">
        <is>
          <t>1</t>
        </is>
      </c>
      <c r="J21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71" s="2" t="n"/>
      <c r="L2171" s="2" t="inlineStr">
        <is>
          <t>General Therapeutics</t>
        </is>
      </c>
      <c r="M2171" s="2" t="inlineStr">
        <is>
          <t>Clinic</t>
        </is>
      </c>
      <c r="N2171" s="2" t="inlineStr">
        <is>
          <t>ข้อ 4 (PLE_CC1_Key_Rx20_UBU.md)</t>
        </is>
      </c>
      <c r="O2171" s="2" t="inlineStr">
        <is>
          <t>Mock</t>
        </is>
      </c>
      <c r="P2171" s="2" t="inlineStr">
        <is>
          <t>Mock Rx20 UBU</t>
        </is>
      </c>
    </row>
    <row r="2172" ht="13.2" customHeight="1" s="37">
      <c r="A2172" s="8" t="inlineStr">
        <is>
          <t>2193</t>
        </is>
      </c>
      <c r="B2172" s="2" t="inlineStr">
        <is>
          <t>Ascitis รักษาด้วยยาใด</t>
        </is>
      </c>
      <c r="C2172" s="2" t="n"/>
      <c r="D2172" s="2" t="inlineStr">
        <is>
          <t>Naloxone 0.4 mg IV stat</t>
        </is>
      </c>
      <c r="E2172" s="2" t="inlineStr">
        <is>
          <t>Flumazenil 0.2 mg IV stat</t>
        </is>
      </c>
      <c r="F2172" s="2" t="inlineStr">
        <is>
          <t>Vitamin K1 (Phytomenadione) 10 mg IV slow</t>
        </is>
      </c>
      <c r="G2172" s="2" t="inlineStr">
        <is>
          <t>Sodium thiosulfate 25% 50 mL IV</t>
        </is>
      </c>
      <c r="H2172" s="2" t="inlineStr">
        <is>
          <t>Calcium disodium EDTA 1 g IV</t>
        </is>
      </c>
      <c r="I2172" s="8" t="inlineStr">
        <is>
          <t>1</t>
        </is>
      </c>
      <c r="J21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72" s="2" t="n"/>
      <c r="L2172" s="2" t="inlineStr">
        <is>
          <t>General Therapeutics</t>
        </is>
      </c>
      <c r="M2172" s="2" t="inlineStr">
        <is>
          <t>Clinic</t>
        </is>
      </c>
      <c r="N2172" s="2" t="inlineStr">
        <is>
          <t>ข้อ 2 (PLE_CC1_Key_Rx20_UBU.md)</t>
        </is>
      </c>
      <c r="O2172" s="2" t="inlineStr">
        <is>
          <t>Mock</t>
        </is>
      </c>
      <c r="P2172" s="2" t="inlineStr">
        <is>
          <t>Mock Rx20 UBU</t>
        </is>
      </c>
    </row>
    <row r="2173" ht="13.2" customHeight="1" s="37">
      <c r="A2173" s="8" t="inlineStr">
        <is>
          <t>2194</t>
        </is>
      </c>
      <c r="B2173" s="2" t="inlineStr">
        <is>
          <t>ทำให้สภาพและการทำงานของตับกลับเป็นปกติ</t>
        </is>
      </c>
      <c r="C2173" s="2" t="n"/>
      <c r="D2173" s="2" t="inlineStr">
        <is>
          <t>Sodium thiosulfate 25% 50 mL IV</t>
        </is>
      </c>
      <c r="E2173" s="2" t="inlineStr">
        <is>
          <t>Calcium disodium EDTA 1 g IV</t>
        </is>
      </c>
      <c r="F2173" s="2" t="inlineStr">
        <is>
          <t>Desferrioxamine 1 g IM/IV</t>
        </is>
      </c>
      <c r="G2173" s="2" t="inlineStr">
        <is>
          <t>Dimercaprol (BAL) 3 mg/kg IM</t>
        </is>
      </c>
      <c r="H2173" s="2" t="inlineStr">
        <is>
          <t>Ethanol 10% IV infusion for Methanol poisoning</t>
        </is>
      </c>
      <c r="I2173" s="8" t="inlineStr">
        <is>
          <t>1</t>
        </is>
      </c>
      <c r="J21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3" s="2" t="n"/>
      <c r="L2173" s="2" t="inlineStr">
        <is>
          <t>General Therapeutics</t>
        </is>
      </c>
      <c r="M2173" s="2" t="inlineStr">
        <is>
          <t>Clinic</t>
        </is>
      </c>
      <c r="N2173" s="2" t="inlineStr">
        <is>
          <t>ข้อ 2 (PLE_CC1_Key_Rx20_UBU.md)</t>
        </is>
      </c>
      <c r="O2173" s="2" t="inlineStr">
        <is>
          <t>Mock</t>
        </is>
      </c>
      <c r="P2173" s="2" t="inlineStr">
        <is>
          <t>Mock Rx20 UBU</t>
        </is>
      </c>
    </row>
    <row r="2174" ht="13.2" customHeight="1" s="37">
      <c r="A2174" s="8" t="inlineStr">
        <is>
          <t>2195</t>
        </is>
      </c>
      <c r="B2174" s="2" t="inlineStr">
        <is>
          <t>ปรับสมดุลระดับ กรด-เบส และ electrolyte ในร่างกายให้เป็นปกติ</t>
        </is>
      </c>
      <c r="C2174" s="2" t="n"/>
      <c r="D2174" s="2" t="inlineStr">
        <is>
          <t>pitting edema ในผู้ป่วย cirrhosis เกิดจากสาเหตุใด</t>
        </is>
      </c>
      <c r="E2174" s="2" t="inlineStr">
        <is>
          <t>serum albumin ต่ำ</t>
        </is>
      </c>
      <c r="F2174" s="2" t="inlineStr">
        <is>
          <t>Fomepizole 15 mg/kg IV loading</t>
        </is>
      </c>
      <c r="G2174" s="2" t="inlineStr">
        <is>
          <t>N-acetylcysteine (NAC) IV infusion protocol</t>
        </is>
      </c>
      <c r="H2174" s="2" t="inlineStr">
        <is>
          <t>Atropine sulfate 2 mg IV Q5-10 min</t>
        </is>
      </c>
      <c r="I2174" s="8" t="inlineStr">
        <is>
          <t>1</t>
        </is>
      </c>
      <c r="J2174" s="2" t="inlineStr">
        <is>
          <t>✅ คำตอบที่ถูกต้อง: ข้อ ก. pitting edema ในผู้ป่วย cirrhosis เกิดจากสาเหตุใด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pitting edema ในผู้ป่วย cirrhosis เกิดจากสาเหตุใด 💡 คำอธิบายและข้อกำหนดทางกฎหมาย:
💡 คำอธิบายและข้อกำหนดทางกฎหมาย:
การเลือก pitting edema ในผู้ป่วย cirrhosis เกิดจากสาเหตุใด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(serum albumin ต่ำ): ข้อนี้ไม่ใช่คำตอบที่ถูกต้องสำหรับภาวะ Pharmacy Laws &amp; Ethics เนื่องจากกลไกการออกฤทธิ์, efficacy หรือข้อบ่งใช้ไม่ตรงกับโจทย์ที่กำหนด
• ข้อ ค. (Fomepizole 15 mg/kg IV loading): ข้อนี้ไม่ใช่คำตอบที่ถูกต้องสำหรับภาวะ Pharmacy Laws &amp; Ethics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Pharmacy Laws &amp; Ethics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4" s="2" t="n"/>
      <c r="L2174" s="2" t="inlineStr">
        <is>
          <t>Pharmacy Laws &amp; Ethics</t>
        </is>
      </c>
      <c r="M2174" s="2" t="inlineStr">
        <is>
          <t>SAP</t>
        </is>
      </c>
      <c r="N2174" s="2" t="inlineStr">
        <is>
          <t>ข้อ 3 (PLE_CC1_Key_Rx20_UBU.md)</t>
        </is>
      </c>
      <c r="O2174" s="2" t="inlineStr">
        <is>
          <t>Mock</t>
        </is>
      </c>
      <c r="P2174" s="2" t="inlineStr">
        <is>
          <t>Mock Rx20 UBU</t>
        </is>
      </c>
    </row>
    <row r="2175" ht="13.2" customHeight="1" s="37">
      <c r="A2175" s="8" t="inlineStr">
        <is>
          <t>2196</t>
        </is>
      </c>
      <c r="B2175" s="2" t="inlineStr">
        <is>
          <t>รอผลเพาะเชื้อแล้วค่อยให้การรักษาที่จำเพาะกับเชื้อ</t>
        </is>
      </c>
      <c r="C2175" s="2" t="n"/>
      <c r="D2175" s="2" t="inlineStr">
        <is>
          <t>N-acetylcysteine (NAC) IV infusion protocol</t>
        </is>
      </c>
      <c r="E2175" s="2" t="inlineStr">
        <is>
          <t>Atropine sulfate 2 mg IV Q5-10 min</t>
        </is>
      </c>
      <c r="F2175" s="2" t="inlineStr">
        <is>
          <t>Pralidoxime (2-PAM) 1-2 g IV over 30 min</t>
        </is>
      </c>
      <c r="G2175" s="2" t="inlineStr">
        <is>
          <t>Naloxone 0.4 mg IV stat</t>
        </is>
      </c>
      <c r="H2175" s="2" t="inlineStr">
        <is>
          <t>Flumazenil 0.2 mg IV stat</t>
        </is>
      </c>
      <c r="I2175" s="8" t="inlineStr">
        <is>
          <t>1</t>
        </is>
      </c>
      <c r="J21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75" s="2" t="n"/>
      <c r="L2175" s="2" t="inlineStr">
        <is>
          <t>General Therapeutics</t>
        </is>
      </c>
      <c r="M2175" s="2" t="inlineStr">
        <is>
          <t>Clinic</t>
        </is>
      </c>
      <c r="N2175" s="2" t="inlineStr">
        <is>
          <t>ข้อ 1 (PLE_CC1_Key_Rx20_UBU.md)</t>
        </is>
      </c>
      <c r="O2175" s="2" t="inlineStr">
        <is>
          <t>Mock</t>
        </is>
      </c>
      <c r="P2175" s="2" t="inlineStr">
        <is>
          <t>Mock Rx20 UBU</t>
        </is>
      </c>
    </row>
    <row r="2176" ht="13.2" customHeight="1" s="37">
      <c r="A2176" s="8" t="inlineStr">
        <is>
          <t>2197</t>
        </is>
      </c>
      <c r="B2176" s="2" t="inlineStr">
        <is>
          <t>วิธีการวิจัยใดมีอคติน้อยที่สุด</t>
        </is>
      </c>
      <c r="C2176" s="2" t="n"/>
      <c r="D2176" s="2" t="inlineStr">
        <is>
          <t>Naloxone 0.4 mg IV stat</t>
        </is>
      </c>
      <c r="E2176" s="2" t="inlineStr">
        <is>
          <t>Flumazenil 0.2 mg IV stat</t>
        </is>
      </c>
      <c r="F2176" s="2" t="inlineStr">
        <is>
          <t>Vitamin K1 (Phytomenadione) 10 mg IV slow</t>
        </is>
      </c>
      <c r="G2176" s="2" t="inlineStr">
        <is>
          <t>Sodium thiosulfate 25% 50 mL IV</t>
        </is>
      </c>
      <c r="H2176" s="2" t="inlineStr">
        <is>
          <t>Calcium disodium EDTA 1 g IV</t>
        </is>
      </c>
      <c r="I2176" s="8" t="inlineStr">
        <is>
          <t>1</t>
        </is>
      </c>
      <c r="J21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76" s="2" t="n"/>
      <c r="L2176" s="2" t="inlineStr">
        <is>
          <t>General Therapeutics</t>
        </is>
      </c>
      <c r="M2176" s="2" t="inlineStr">
        <is>
          <t>Clinic</t>
        </is>
      </c>
      <c r="N2176" s="2" t="inlineStr">
        <is>
          <t>ข้อ 1 (PLE_CC1_Key_Rx20_UBU.md)</t>
        </is>
      </c>
      <c r="O2176" s="2" t="inlineStr">
        <is>
          <t>Mock</t>
        </is>
      </c>
      <c r="P2176" s="2" t="inlineStr">
        <is>
          <t>Mock Rx20 UBU</t>
        </is>
      </c>
    </row>
    <row r="2177" ht="13.2" customHeight="1" s="37">
      <c r="A2177" s="8" t="inlineStr">
        <is>
          <t>2198</t>
        </is>
      </c>
      <c r="B2177" s="2" t="inlineStr">
        <is>
          <t>Cross sectional surway</t>
        </is>
      </c>
      <c r="C2177" s="2" t="n"/>
      <c r="D2177" s="2" t="inlineStr">
        <is>
          <t>Sodium thiosulfate 25% 50 mL IV</t>
        </is>
      </c>
      <c r="E2177" s="2" t="inlineStr">
        <is>
          <t>Calcium disodium EDTA 1 g IV</t>
        </is>
      </c>
      <c r="F2177" s="2" t="inlineStr">
        <is>
          <t>Desferrioxamine 1 g IM/IV</t>
        </is>
      </c>
      <c r="G2177" s="2" t="inlineStr">
        <is>
          <t>Dimercaprol (BAL) 3 mg/kg IM</t>
        </is>
      </c>
      <c r="H2177" s="2" t="inlineStr">
        <is>
          <t>Ethanol 10% IV infusion for Methanol poisoning</t>
        </is>
      </c>
      <c r="I2177" s="8" t="inlineStr">
        <is>
          <t>1</t>
        </is>
      </c>
      <c r="J21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7" s="2" t="n"/>
      <c r="L2177" s="2" t="inlineStr">
        <is>
          <t>General Therapeutics</t>
        </is>
      </c>
      <c r="M2177" s="2" t="inlineStr">
        <is>
          <t>Clinic</t>
        </is>
      </c>
      <c r="N2177" s="2" t="inlineStr">
        <is>
          <t>ข้อ 3 (PLE_CC1_Key_Rx20_UBU.md)</t>
        </is>
      </c>
      <c r="O2177" s="2" t="inlineStr">
        <is>
          <t>Mock</t>
        </is>
      </c>
      <c r="P2177" s="2" t="inlineStr">
        <is>
          <t>Mock Rx20 UBU</t>
        </is>
      </c>
    </row>
    <row r="2178" ht="13.2" customHeight="1" s="37">
      <c r="A2178" s="8" t="inlineStr">
        <is>
          <t>2199</t>
        </is>
      </c>
      <c r="B2178" s="2" t="inlineStr">
        <is>
          <t>ปริมาณผลิตภัณฑ์ที่เรียกคืนควรตรวจสอบกลับไปยังปริมาณที่จำหน่ายได้</t>
        </is>
      </c>
      <c r="C2178" s="2" t="n"/>
      <c r="D2178" s="2" t="inlineStr">
        <is>
          <t>Dimercaprol (BAL) 3 mg/kg IM</t>
        </is>
      </c>
      <c r="E2178" s="2" t="inlineStr">
        <is>
          <t>Ethanol 10% IV infusion for Methanol poisoning</t>
        </is>
      </c>
      <c r="F2178" s="2" t="inlineStr">
        <is>
          <t>Fomepizole 15 mg/kg IV loading</t>
        </is>
      </c>
      <c r="G2178" s="2" t="inlineStr">
        <is>
          <t>N-acetylcysteine (NAC) IV infusion protocol</t>
        </is>
      </c>
      <c r="H2178" s="2" t="inlineStr">
        <is>
          <t>Atropine sulfate 2 mg IV Q5-10 min</t>
        </is>
      </c>
      <c r="I2178" s="8" t="inlineStr">
        <is>
          <t>1</t>
        </is>
      </c>
      <c r="J21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8" s="2" t="n"/>
      <c r="L2178" s="2" t="inlineStr">
        <is>
          <t>General Therapeutics</t>
        </is>
      </c>
      <c r="M2178" s="2" t="inlineStr">
        <is>
          <t>Clinic</t>
        </is>
      </c>
      <c r="N2178" s="2" t="inlineStr">
        <is>
          <t>ข้อ 1 (PLE_CC1_Key_Rx20_UBU.md)</t>
        </is>
      </c>
      <c r="O2178" s="2" t="inlineStr">
        <is>
          <t>Mock</t>
        </is>
      </c>
      <c r="P2178" s="2" t="inlineStr">
        <is>
          <t>Mock Rx20 UBU</t>
        </is>
      </c>
    </row>
    <row r="2179" ht="13.2" customHeight="1" s="37">
      <c r="A2179" s="8" t="inlineStr">
        <is>
          <t>2200</t>
        </is>
      </c>
      <c r="B2179" s="2" t="inlineStr">
        <is>
          <t>ผู้ที่มีหน้าที่ในการเรียกคืนผลิตภัณฑ์จะต้องทำงานอยู่ฝ่ายขายหรือฝ่ายการตลาด</t>
        </is>
      </c>
      <c r="C2179" s="2" t="n"/>
      <c r="D2179" s="2" t="inlineStr">
        <is>
          <t>N-acetylcysteine (NAC) IV infusion protocol</t>
        </is>
      </c>
      <c r="E2179" s="2" t="inlineStr">
        <is>
          <t>Atropine sulfate 2 mg IV Q5-10 min</t>
        </is>
      </c>
      <c r="F2179" s="2" t="inlineStr">
        <is>
          <t>Pralidoxime (2-PAM) 1-2 g IV over 30 min</t>
        </is>
      </c>
      <c r="G2179" s="2" t="inlineStr">
        <is>
          <t>Naloxone 0.4 mg IV stat</t>
        </is>
      </c>
      <c r="H2179" s="2" t="inlineStr">
        <is>
          <t>Flumazenil 0.2 mg IV stat</t>
        </is>
      </c>
      <c r="I2179" s="8" t="inlineStr">
        <is>
          <t>1</t>
        </is>
      </c>
      <c r="J21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79" s="2" t="n"/>
      <c r="L2179" s="2" t="inlineStr">
        <is>
          <t>General Therapeutics</t>
        </is>
      </c>
      <c r="M2179" s="2" t="inlineStr">
        <is>
          <t>Clinic</t>
        </is>
      </c>
      <c r="N2179" s="2" t="inlineStr">
        <is>
          <t>ข้อ 2 (PLE_CC1_Key_Rx20_UBU.md)</t>
        </is>
      </c>
      <c r="O2179" s="2" t="inlineStr">
        <is>
          <t>Mock</t>
        </is>
      </c>
      <c r="P2179" s="2" t="inlineStr">
        <is>
          <t>Mock Rx20 UBU</t>
        </is>
      </c>
    </row>
    <row r="2180" ht="13.2" customHeight="1" s="37">
      <c r="A2180" s="8" t="inlineStr">
        <is>
          <t>2201</t>
        </is>
      </c>
      <c r="B2180" s="2" t="inlineStr">
        <is>
          <t>ผลิตภัณฑ์ที่ถูกเรียกคืนต้องแยกเก็บและมีการควบคุมชัดเจน</t>
        </is>
      </c>
      <c r="C2180" s="2" t="n"/>
      <c r="D2180" s="2" t="inlineStr">
        <is>
          <t>Naloxone 0.4 mg IV stat</t>
        </is>
      </c>
      <c r="E2180" s="2" t="inlineStr">
        <is>
          <t>Flumazenil 0.2 mg IV stat</t>
        </is>
      </c>
      <c r="F2180" s="2" t="inlineStr">
        <is>
          <t>Vitamin K1 (Phytomenadione) 10 mg IV slow</t>
        </is>
      </c>
      <c r="G2180" s="2" t="inlineStr">
        <is>
          <t>Sodium thiosulfate 25% 50 mL IV</t>
        </is>
      </c>
      <c r="H2180" s="2" t="inlineStr">
        <is>
          <t>Calcium disodium EDTA 1 g IV</t>
        </is>
      </c>
      <c r="I2180" s="8" t="inlineStr">
        <is>
          <t>1</t>
        </is>
      </c>
      <c r="J21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80" s="2" t="n"/>
      <c r="L2180" s="2" t="inlineStr">
        <is>
          <t>General Therapeutics</t>
        </is>
      </c>
      <c r="M2180" s="2" t="inlineStr">
        <is>
          <t>Clinic</t>
        </is>
      </c>
      <c r="N2180" s="2" t="inlineStr">
        <is>
          <t>ข้อ 3 (PLE_CC1_Key_Rx20_UBU.md)</t>
        </is>
      </c>
      <c r="O2180" s="2" t="inlineStr">
        <is>
          <t>Mock</t>
        </is>
      </c>
      <c r="P2180" s="2" t="inlineStr">
        <is>
          <t>Mock Rx20 UBU</t>
        </is>
      </c>
    </row>
    <row r="2181" ht="13.2" customHeight="1" s="37">
      <c r="A2181" s="8" t="inlineStr">
        <is>
          <t>2202</t>
        </is>
      </c>
      <c r="B2181" s="2" t="inlineStr">
        <is>
          <t>ต้องมีการกำหนดแนวทางในการเรียกคืนผลิตภัณฑ์ที่ชัดเจนและปรังปรุงให้เป็นปัจจุบัน</t>
        </is>
      </c>
      <c r="C2181" s="2" t="n"/>
      <c r="D2181" s="2" t="inlineStr">
        <is>
          <t>Sodium thiosulfate 25% 50 mL IV</t>
        </is>
      </c>
      <c r="E2181" s="2" t="inlineStr">
        <is>
          <t>Calcium disodium EDTA 1 g IV</t>
        </is>
      </c>
      <c r="F2181" s="2" t="inlineStr">
        <is>
          <t>Desferrioxamine 1 g IM/IV</t>
        </is>
      </c>
      <c r="G2181" s="2" t="inlineStr">
        <is>
          <t>Dimercaprol (BAL) 3 mg/kg IM</t>
        </is>
      </c>
      <c r="H2181" s="2" t="inlineStr">
        <is>
          <t>Ethanol 10% IV infusion for Methanol poisoning</t>
        </is>
      </c>
      <c r="I2181" s="8" t="inlineStr">
        <is>
          <t>1</t>
        </is>
      </c>
      <c r="J21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81" s="2" t="n"/>
      <c r="L2181" s="2" t="inlineStr">
        <is>
          <t>General Therapeutics</t>
        </is>
      </c>
      <c r="M2181" s="2" t="inlineStr">
        <is>
          <t>Clinic</t>
        </is>
      </c>
      <c r="N2181" s="2" t="inlineStr">
        <is>
          <t>ข้อ 4 (PLE_CC1_Key_Rx20_UBU.md)</t>
        </is>
      </c>
      <c r="O2181" s="2" t="inlineStr">
        <is>
          <t>Mock</t>
        </is>
      </c>
      <c r="P2181" s="2" t="inlineStr">
        <is>
          <t>Mock Rx20 UBU</t>
        </is>
      </c>
    </row>
    <row r="2182" ht="13.2" customHeight="1" s="37">
      <c r="A2182" s="8" t="inlineStr">
        <is>
          <t>2203</t>
        </is>
      </c>
      <c r="B2182" s="2" t="inlineStr">
        <is>
          <t>ยา piroxicam เป็นยา weak acid จะเพิ่ม F ต้องทำยังไง</t>
        </is>
      </c>
      <c r="C2182" s="2" t="n"/>
      <c r="D2182" s="2" t="inlineStr">
        <is>
          <t>Dimercaprol (BAL) 3 mg/kg IM</t>
        </is>
      </c>
      <c r="E2182" s="2" t="inlineStr">
        <is>
          <t>Ethanol 10% IV infusion for Methanol poisoning</t>
        </is>
      </c>
      <c r="F2182" s="2" t="inlineStr">
        <is>
          <t>Fomepizole 15 mg/kg IV loading</t>
        </is>
      </c>
      <c r="G2182" s="2" t="inlineStr">
        <is>
          <t>N-acetylcysteine (NAC) IV infusion protocol</t>
        </is>
      </c>
      <c r="H2182" s="2" t="inlineStr">
        <is>
          <t>Atropine sulfate 2 mg IV Q5-10 min</t>
        </is>
      </c>
      <c r="I2182" s="8" t="inlineStr">
        <is>
          <t>1</t>
        </is>
      </c>
      <c r="J21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182" s="2" t="n"/>
      <c r="L2182" s="2" t="inlineStr">
        <is>
          <t>General Therapeutics</t>
        </is>
      </c>
      <c r="M2182" s="2" t="inlineStr">
        <is>
          <t>Clinic</t>
        </is>
      </c>
      <c r="N2182" s="2" t="inlineStr">
        <is>
          <t>ข้อ 6 (PLE_CC1_Key_Rx20_UBU.md)</t>
        </is>
      </c>
      <c r="O2182" s="2" t="inlineStr">
        <is>
          <t>Mock</t>
        </is>
      </c>
      <c r="P2182" s="2" t="inlineStr">
        <is>
          <t>Mock Rx20 UBU</t>
        </is>
      </c>
    </row>
    <row r="2183" ht="13.2" customHeight="1" s="37">
      <c r="A2183" s="8" t="inlineStr">
        <is>
          <t>2204</t>
        </is>
      </c>
      <c r="B2183" s="2" t="inlineStr">
        <is>
          <t>เพิ่ม gastric emtying time</t>
        </is>
      </c>
      <c r="C2183" s="2" t="n"/>
      <c r="D2183" s="2" t="inlineStr">
        <is>
          <t>N-acetylcysteine (NAC) IV infusion protocol</t>
        </is>
      </c>
      <c r="E2183" s="2" t="inlineStr">
        <is>
          <t>Atropine sulfate 2 mg IV Q5-10 min</t>
        </is>
      </c>
      <c r="F2183" s="2" t="inlineStr">
        <is>
          <t>Pralidoxime (2-PAM) 1-2 g IV over 30 min</t>
        </is>
      </c>
      <c r="G2183" s="2" t="inlineStr">
        <is>
          <t>Naloxone 0.4 mg IV stat</t>
        </is>
      </c>
      <c r="H2183" s="2" t="inlineStr">
        <is>
          <t>Flumazenil 0.2 mg IV stat</t>
        </is>
      </c>
      <c r="I2183" s="8" t="inlineStr">
        <is>
          <t>1</t>
        </is>
      </c>
      <c r="J21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83" s="2" t="n"/>
      <c r="L2183" s="2" t="inlineStr">
        <is>
          <t>General Therapeutics</t>
        </is>
      </c>
      <c r="M2183" s="2" t="inlineStr">
        <is>
          <t>Clinic</t>
        </is>
      </c>
      <c r="N2183" s="2" t="inlineStr">
        <is>
          <t>ข้อ 1 (PLE_CC1_Key_Rx20_UBU.md)</t>
        </is>
      </c>
      <c r="O2183" s="2" t="inlineStr">
        <is>
          <t>Mock</t>
        </is>
      </c>
      <c r="P2183" s="2" t="inlineStr">
        <is>
          <t>Mock Rx20 UBU</t>
        </is>
      </c>
    </row>
    <row r="2184" ht="13.2" customHeight="1" s="37">
      <c r="A2184" s="8" t="inlineStr">
        <is>
          <t>2205</t>
        </is>
      </c>
      <c r="B2184" s="2" t="inlineStr">
        <is>
          <t>ลด gastric emtying time</t>
        </is>
      </c>
      <c r="C2184" s="2" t="n"/>
      <c r="D2184" s="2" t="inlineStr">
        <is>
          <t>Naloxone 0.4 mg IV stat</t>
        </is>
      </c>
      <c r="E2184" s="2" t="inlineStr">
        <is>
          <t>Flumazenil 0.2 mg IV stat</t>
        </is>
      </c>
      <c r="F2184" s="2" t="inlineStr">
        <is>
          <t>Vitamin K1 (Phytomenadione) 10 mg IV slow</t>
        </is>
      </c>
      <c r="G2184" s="2" t="inlineStr">
        <is>
          <t>Sodium thiosulfate 25% 50 mL IV</t>
        </is>
      </c>
      <c r="H2184" s="2" t="inlineStr">
        <is>
          <t>Calcium disodium EDTA 1 g IV</t>
        </is>
      </c>
      <c r="I2184" s="8" t="inlineStr">
        <is>
          <t>1</t>
        </is>
      </c>
      <c r="J21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84" s="2" t="n"/>
      <c r="L2184" s="2" t="inlineStr">
        <is>
          <t>General Therapeutics</t>
        </is>
      </c>
      <c r="M2184" s="2" t="inlineStr">
        <is>
          <t>Clinic</t>
        </is>
      </c>
      <c r="N2184" s="2" t="inlineStr">
        <is>
          <t>ข้อ 2 (PLE_CC1_Key_Rx20_UBU.md)</t>
        </is>
      </c>
      <c r="O2184" s="2" t="inlineStr">
        <is>
          <t>Mock</t>
        </is>
      </c>
      <c r="P2184" s="2" t="inlineStr">
        <is>
          <t>Mock Rx20 UBU</t>
        </is>
      </c>
    </row>
    <row r="2185" ht="13.2" customHeight="1" s="37">
      <c r="A2185" s="8" t="inlineStr">
        <is>
          <t>2206</t>
        </is>
      </c>
      <c r="B2185" s="2" t="inlineStr">
        <is>
          <t>ยา Oxandrolone ซึ่งตรวจสอบแล้วว่าไม่ได้มีการ ขึ้นทะเบียน บนฉลากปรากฏ lot no., mfg date และ exp date</t>
        </is>
      </c>
      <c r="C2185" s="2" t="n"/>
      <c r="D2185" s="2" t="inlineStr">
        <is>
          <t>Sodium thiosulfate 25% 50 mL IV</t>
        </is>
      </c>
      <c r="E2185" s="2" t="inlineStr">
        <is>
          <t>Calcium disodium EDTA 1 g IV</t>
        </is>
      </c>
      <c r="F2185" s="2" t="inlineStr">
        <is>
          <t>Desferrioxamine 1 g IM/IV</t>
        </is>
      </c>
      <c r="G2185" s="2" t="inlineStr">
        <is>
          <t>Dimercaprol (BAL) 3 mg/kg IM</t>
        </is>
      </c>
      <c r="H2185" s="2" t="inlineStr">
        <is>
          <t>Ethanol 10% IV infusion for Methanol poisoning</t>
        </is>
      </c>
      <c r="I2185" s="8" t="inlineStr">
        <is>
          <t>1</t>
        </is>
      </c>
      <c r="J21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85" s="2" t="n"/>
      <c r="L2185" s="2" t="inlineStr">
        <is>
          <t>General Therapeutics</t>
        </is>
      </c>
      <c r="M2185" s="2" t="inlineStr">
        <is>
          <t>Clinic</t>
        </is>
      </c>
      <c r="N2185" s="2" t="inlineStr">
        <is>
          <t>ข้อ 1 (PLE_CC1_Key_Rx20_UBU.md)</t>
        </is>
      </c>
      <c r="O2185" s="2" t="inlineStr">
        <is>
          <t>Mock</t>
        </is>
      </c>
      <c r="P2185" s="2" t="inlineStr">
        <is>
          <t>Mock Rx20 UBU</t>
        </is>
      </c>
    </row>
    <row r="2186" ht="13.2" customHeight="1" s="37">
      <c r="A2186" s="8" t="inlineStr">
        <is>
          <t>2207</t>
        </is>
      </c>
      <c r="B2186" s="2" t="inlineStr">
        <is>
          <t>ยา X ซึ่งปรากฏสถานที่ผลิตไม่ตรงตามความเป็น จริง</t>
        </is>
      </c>
      <c r="C2186" s="2" t="n"/>
      <c r="D2186" s="2" t="inlineStr">
        <is>
          <t>Dimercaprol (BAL) 3 mg/kg IM</t>
        </is>
      </c>
      <c r="E2186" s="2" t="inlineStr">
        <is>
          <t>Ethanol 10% IV infusion for Methanol poisoning</t>
        </is>
      </c>
      <c r="F2186" s="2" t="inlineStr">
        <is>
          <t>Fomepizole 15 mg/kg IV loading</t>
        </is>
      </c>
      <c r="G2186" s="2" t="inlineStr">
        <is>
          <t>N-acetylcysteine (NAC) IV infusion protocol</t>
        </is>
      </c>
      <c r="H2186" s="2" t="inlineStr">
        <is>
          <t>Atropine sulfate 2 mg IV Q5-10 min</t>
        </is>
      </c>
      <c r="I2186" s="8" t="inlineStr">
        <is>
          <t>1</t>
        </is>
      </c>
      <c r="J21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86" s="2" t="n"/>
      <c r="L2186" s="2" t="inlineStr">
        <is>
          <t>General Therapeutics</t>
        </is>
      </c>
      <c r="M2186" s="2" t="inlineStr">
        <is>
          <t>Clinic</t>
        </is>
      </c>
      <c r="N2186" s="2" t="inlineStr">
        <is>
          <t>ข้อ 2 (PLE_CC1_Key_Rx20_UBU.md)</t>
        </is>
      </c>
      <c r="O2186" s="2" t="inlineStr">
        <is>
          <t>Mock</t>
        </is>
      </c>
      <c r="P2186" s="2" t="inlineStr">
        <is>
          <t>Mock Rx20 UBU</t>
        </is>
      </c>
    </row>
    <row r="2187" ht="13.2" customHeight="1" s="37">
      <c r="A2187" s="8" t="inlineStr">
        <is>
          <t>2208</t>
        </is>
      </c>
      <c r="B2187" s="2" t="inlineStr">
        <is>
          <t>ยา Rosiglitazone</t>
        </is>
      </c>
      <c r="C2187" s="2" t="n"/>
      <c r="D2187" s="2" t="inlineStr">
        <is>
          <t>N-acetylcysteine (NAC) IV infusion protocol</t>
        </is>
      </c>
      <c r="E2187" s="2" t="inlineStr">
        <is>
          <t>Atropine sulfate 2 mg IV Q5-10 min</t>
        </is>
      </c>
      <c r="F2187" s="2" t="inlineStr">
        <is>
          <t>Pralidoxime (2-PAM) 1-2 g IV over 30 min</t>
        </is>
      </c>
      <c r="G2187" s="2" t="inlineStr">
        <is>
          <t>Naloxone 0.4 mg IV stat</t>
        </is>
      </c>
      <c r="H2187" s="2" t="inlineStr">
        <is>
          <t>Flumazenil 0.2 mg IV stat</t>
        </is>
      </c>
      <c r="I2187" s="8" t="inlineStr">
        <is>
          <t>1</t>
        </is>
      </c>
      <c r="J21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87" s="2" t="n"/>
      <c r="L2187" s="2" t="inlineStr">
        <is>
          <t>General Therapeutics</t>
        </is>
      </c>
      <c r="M2187" s="2" t="inlineStr">
        <is>
          <t>Clinic</t>
        </is>
      </c>
      <c r="N2187" s="2" t="inlineStr">
        <is>
          <t>ข้อ 3 (PLE_CC1_Key_Rx20_UBU.md)</t>
        </is>
      </c>
      <c r="O2187" s="2" t="inlineStr">
        <is>
          <t>Mock</t>
        </is>
      </c>
      <c r="P2187" s="2" t="inlineStr">
        <is>
          <t>Mock Rx20 UBU</t>
        </is>
      </c>
    </row>
    <row r="2188" ht="13.2" customHeight="1" s="37">
      <c r="A2188" s="8" t="inlineStr">
        <is>
          <t>2209</t>
        </is>
      </c>
      <c r="B2188" s="2" t="inlineStr">
        <is>
          <t>ยาบรรจุใสซองใส ในซองประกอบดวยยาแคปซูลสี ต่างๆกัน 6 เม็ด (ยาแคปซูลสีฟา, สีขาว, สีเขียว, สี แดง, สีเหลือง, สีชมพู)</t>
        </is>
      </c>
      <c r="C2188" s="2" t="n"/>
      <c r="D2188" s="2" t="inlineStr">
        <is>
          <t>Enteric Coating with Cellulose acetate phthalate (CAP)</t>
        </is>
      </c>
      <c r="E2188" s="2" t="inlineStr">
        <is>
          <t>Hard Gelatin Capsule filling</t>
        </is>
      </c>
      <c r="F2188" s="2" t="inlineStr">
        <is>
          <t>Soft Gelatin Capsule encapsulation</t>
        </is>
      </c>
      <c r="G2188" s="2" t="inlineStr">
        <is>
          <t>Microcrystalline cellulose</t>
        </is>
      </c>
      <c r="H2188" s="2" t="inlineStr">
        <is>
          <t>Magnesium stearate (Lubricant 1%)</t>
        </is>
      </c>
      <c r="I2188" s="8" t="inlineStr">
        <is>
          <t>1</t>
        </is>
      </c>
      <c r="J2188" s="2"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ค.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ง. (Microcrystalline cellulose): ข้อนี้ไม่ใช่คำตอบที่ถูกต้องสำหรับภาวะ Solid Dosage Forms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88" s="2" t="n"/>
      <c r="L2188" s="2" t="inlineStr">
        <is>
          <t>Solid Dosage Forms</t>
        </is>
      </c>
      <c r="M2188" s="2" t="inlineStr">
        <is>
          <t>Product</t>
        </is>
      </c>
      <c r="N2188" s="2" t="inlineStr">
        <is>
          <t>ข้อ 4 (PLE_CC1_Key_Rx20_UBU.md)</t>
        </is>
      </c>
      <c r="O2188" s="2" t="inlineStr">
        <is>
          <t>Mock</t>
        </is>
      </c>
      <c r="P2188" s="2" t="inlineStr">
        <is>
          <t>Mock Rx20 UBU</t>
        </is>
      </c>
    </row>
    <row r="2189" ht="13.2" customHeight="1" s="37">
      <c r="A2189" s="8" t="inlineStr">
        <is>
          <t>2210</t>
        </is>
      </c>
      <c r="B2189" s="2" t="inlineStr">
        <is>
          <t>ยาที่ไม่ได้ขึ้นทะเบียน</t>
        </is>
      </c>
      <c r="C2189" s="2" t="n"/>
      <c r="D2189" s="2" t="inlineStr">
        <is>
          <t>Sodium thiosulfate 25% 50 mL IV</t>
        </is>
      </c>
      <c r="E2189" s="2" t="inlineStr">
        <is>
          <t>Calcium disodium EDTA 1 g IV</t>
        </is>
      </c>
      <c r="F2189" s="2" t="inlineStr">
        <is>
          <t>Desferrioxamine 1 g IM/IV</t>
        </is>
      </c>
      <c r="G2189" s="2" t="inlineStr">
        <is>
          <t>Dimercaprol (BAL) 3 mg/kg IM</t>
        </is>
      </c>
      <c r="H2189" s="2" t="inlineStr">
        <is>
          <t>Ethanol 10% IV infusion for Methanol poisoning</t>
        </is>
      </c>
      <c r="I2189" s="8" t="inlineStr">
        <is>
          <t>1</t>
        </is>
      </c>
      <c r="J21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89" s="2" t="n"/>
      <c r="L2189" s="2" t="inlineStr">
        <is>
          <t>General Therapeutics</t>
        </is>
      </c>
      <c r="M2189" s="2" t="inlineStr">
        <is>
          <t>Clinic</t>
        </is>
      </c>
      <c r="N2189" s="2" t="inlineStr">
        <is>
          <t>ข้อ 1 (PLE_CC1_Key_Rx20_UBU.md)</t>
        </is>
      </c>
      <c r="O2189" s="2" t="inlineStr">
        <is>
          <t>Mock</t>
        </is>
      </c>
      <c r="P2189" s="2" t="inlineStr">
        <is>
          <t>Mock Rx20 UBU</t>
        </is>
      </c>
    </row>
    <row r="2190" ht="13.2" customHeight="1" s="37">
      <c r="A2190" s="8" t="inlineStr">
        <is>
          <t>2211</t>
        </is>
      </c>
      <c r="B2190" s="2" t="inlineStr">
        <is>
          <t>ยายกเลิกทะเบียน</t>
        </is>
      </c>
      <c r="C2190" s="2" t="n"/>
      <c r="D2190" s="2" t="inlineStr">
        <is>
          <t>Dimercaprol (BAL) 3 mg/kg IM</t>
        </is>
      </c>
      <c r="E2190" s="2" t="inlineStr">
        <is>
          <t>Ethanol 10% IV infusion for Methanol poisoning</t>
        </is>
      </c>
      <c r="F2190" s="2" t="inlineStr">
        <is>
          <t>Fomepizole 15 mg/kg IV loading</t>
        </is>
      </c>
      <c r="G2190" s="2" t="inlineStr">
        <is>
          <t>N-acetylcysteine (NAC) IV infusion protocol</t>
        </is>
      </c>
      <c r="H2190" s="2" t="inlineStr">
        <is>
          <t>Atropine sulfate 2 mg IV Q5-10 min</t>
        </is>
      </c>
      <c r="I2190" s="8" t="inlineStr">
        <is>
          <t>2</t>
        </is>
      </c>
      <c r="J2190" s="2" t="inlineStr">
        <is>
          <t>✅ คำตอบที่ถูกต้อง: ข้อ ข.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90" s="2" t="n"/>
      <c r="L2190" s="2" t="inlineStr">
        <is>
          <t>General Therapeutics</t>
        </is>
      </c>
      <c r="M2190" s="2" t="inlineStr">
        <is>
          <t>Clinic</t>
        </is>
      </c>
      <c r="N2190" s="2" t="inlineStr">
        <is>
          <t>ข้อ 5 (PLE_CC1_Key_Rx20_UBU.md)</t>
        </is>
      </c>
      <c r="O2190" s="2" t="inlineStr">
        <is>
          <t>Mock</t>
        </is>
      </c>
      <c r="P2190" s="2" t="inlineStr">
        <is>
          <t>Mock Rx20 UBU</t>
        </is>
      </c>
    </row>
    <row r="2191" ht="13.2" customHeight="1" s="37">
      <c r="A2191" s="8" t="inlineStr">
        <is>
          <t>2212</t>
        </is>
      </c>
      <c r="B2191" s="2" t="inlineStr">
        <is>
          <t>นาย ก. และนาย ค.</t>
        </is>
      </c>
      <c r="C2191" s="2" t="n"/>
      <c r="D2191" s="2" t="inlineStr">
        <is>
          <t>N-acetylcysteine (NAC) IV infusion protocol</t>
        </is>
      </c>
      <c r="E2191" s="2" t="inlineStr">
        <is>
          <t>Atropine sulfate 2 mg IV Q5-10 min</t>
        </is>
      </c>
      <c r="F2191" s="2" t="inlineStr">
        <is>
          <t>Pralidoxime (2-PAM) 1-2 g IV over 30 min</t>
        </is>
      </c>
      <c r="G2191" s="2" t="inlineStr">
        <is>
          <t>Naloxone 0.4 mg IV stat</t>
        </is>
      </c>
      <c r="H2191" s="2" t="inlineStr">
        <is>
          <t>Flumazenil 0.2 mg IV stat</t>
        </is>
      </c>
      <c r="I2191" s="8" t="inlineStr">
        <is>
          <t>1</t>
        </is>
      </c>
      <c r="J21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91" s="2" t="n"/>
      <c r="L2191" s="2" t="inlineStr">
        <is>
          <t>General Therapeutics</t>
        </is>
      </c>
      <c r="M2191" s="2" t="inlineStr">
        <is>
          <t>Clinic</t>
        </is>
      </c>
      <c r="N2191" s="2" t="inlineStr">
        <is>
          <t>ข้อ 4 (PLE_CC1_Key_Rx20_UBU.md)</t>
        </is>
      </c>
      <c r="O2191" s="2" t="inlineStr">
        <is>
          <t>Mock</t>
        </is>
      </c>
      <c r="P2191" s="2" t="inlineStr">
        <is>
          <t>Mock Rx20 UBU</t>
        </is>
      </c>
    </row>
    <row r="2192" ht="13.2" customHeight="1" s="37">
      <c r="A2192" s="8" t="inlineStr">
        <is>
          <t>2213</t>
        </is>
      </c>
      <c r="B2192" s="2" t="inlineStr">
        <is>
          <t>ไม่มีใครมีความผิด เนื่องจากยังไม่มีการขายยาดังกลาวเกิดขึ้น</t>
        </is>
      </c>
      <c r="C2192" s="2" t="n"/>
      <c r="D2192" s="2" t="inlineStr">
        <is>
          <t>Naloxone 0.4 mg IV stat</t>
        </is>
      </c>
      <c r="E2192" s="2" t="inlineStr">
        <is>
          <t>Flumazenil 0.2 mg IV stat</t>
        </is>
      </c>
      <c r="F2192" s="2" t="inlineStr">
        <is>
          <t>Vitamin K1 (Phytomenadione) 10 mg IV slow</t>
        </is>
      </c>
      <c r="G2192" s="2" t="inlineStr">
        <is>
          <t>Sodium thiosulfate 25% 50 mL IV</t>
        </is>
      </c>
      <c r="H2192" s="2" t="inlineStr">
        <is>
          <t>Calcium disodium EDTA 1 g IV</t>
        </is>
      </c>
      <c r="I2192" s="8" t="inlineStr">
        <is>
          <t>1</t>
        </is>
      </c>
      <c r="J21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92" s="2" t="n"/>
      <c r="L2192" s="2" t="inlineStr">
        <is>
          <t>General Therapeutics</t>
        </is>
      </c>
      <c r="M2192" s="2" t="inlineStr">
        <is>
          <t>Clinic</t>
        </is>
      </c>
      <c r="N2192" s="2" t="inlineStr">
        <is>
          <t>ข้อ 5 (PLE_CC1_Key_Rx20_UBU.md)</t>
        </is>
      </c>
      <c r="O2192" s="2" t="inlineStr">
        <is>
          <t>Mock</t>
        </is>
      </c>
      <c r="P2192" s="2" t="inlineStr">
        <is>
          <t>Mock Rx20 UBU</t>
        </is>
      </c>
    </row>
    <row r="2193" ht="13.2" customHeight="1" s="37">
      <c r="A2193" s="8" t="inlineStr">
        <is>
          <t>2214</t>
        </is>
      </c>
      <c r="B2193" s="2" t="inlineStr">
        <is>
          <t>กรณีพบยาบรรจุใสซองใส ในซองประกอบด้วยยาแคปซูลสีต่างๆกัน 6 เม็ด ใครถือเป็นผู้กระทำความผิด และกระทำความผิดตามข้อใด</t>
        </is>
      </c>
      <c r="C2193" s="2" t="n"/>
      <c r="D2193" s="2" t="inlineStr">
        <is>
          <t>Magnesium stearate (Lubricant 1%)</t>
        </is>
      </c>
      <c r="E2193" s="2" t="inlineStr">
        <is>
          <t>Sodium starch glycolate (Superdisintegrant)</t>
        </is>
      </c>
      <c r="F2193" s="2" t="inlineStr">
        <is>
          <t>Direct Compression tableting method</t>
        </is>
      </c>
      <c r="G2193" s="2" t="inlineStr">
        <is>
          <t>Wet Granulation tableting method</t>
        </is>
      </c>
      <c r="H2193" s="2" t="inlineStr">
        <is>
          <t>Dry Granulation (Roller Compaction)</t>
        </is>
      </c>
      <c r="I2193" s="8" t="inlineStr">
        <is>
          <t>1</t>
        </is>
      </c>
      <c r="J2193" s="2"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USP/NF, British Pharmacopoeia (BP) &amp; Remington: The Science and Practice of Pharmacy (หัวข้อ Solid Dosage Forms)
Solid Dosage Forms: เน้นทบทวนปัจจัยควบคุมคุณภาพทางเภสัชกรรม, Excipients หน้าที่จำเพาะ และข้อกำหนดเภสัชตำรับ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Solid Dosage Forms)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ง. (Wet Granulation tableting method): ข้อนี้ไม่ใช่คำตอบที่ถูกต้องสำหรับภาวะ Solid Dosage Forms เนื่องจากกลไกการออกฤทธิ์, efficacy หรือข้อบ่งใช้ไม่ตรงกับโจทย์ที่กำหนด
• ข้อ จ. (Dry Granulation (Roller Compaction)):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93" s="2" t="n"/>
      <c r="L2193" s="2" t="inlineStr">
        <is>
          <t>Solid Dosage Forms</t>
        </is>
      </c>
      <c r="M2193" s="2" t="inlineStr">
        <is>
          <t>Product</t>
        </is>
      </c>
      <c r="N2193" s="2" t="inlineStr">
        <is>
          <t>ข้อ 3 (PLE_CC1_Key_Rx20_UBU.md)</t>
        </is>
      </c>
      <c r="O2193" s="2" t="inlineStr">
        <is>
          <t>Mock</t>
        </is>
      </c>
      <c r="P2193" s="2" t="inlineStr">
        <is>
          <t>Mock Rx20 UBU</t>
        </is>
      </c>
    </row>
    <row r="2194" ht="13.2" customHeight="1" s="37">
      <c r="A2194" s="8" t="inlineStr">
        <is>
          <t>2215</t>
        </is>
      </c>
      <c r="B2194" s="2" t="inlineStr">
        <is>
          <t>ไม่มีใครมีความผิด เนื่องจากยังไม่มีการขายยาดังกล่าวเกิดขึ้น</t>
        </is>
      </c>
      <c r="C2194" s="2" t="n"/>
      <c r="D2194" s="2" t="inlineStr">
        <is>
          <t>Dimercaprol (BAL) 3 mg/kg IM</t>
        </is>
      </c>
      <c r="E2194" s="2" t="inlineStr">
        <is>
          <t>Ethanol 10% IV infusion for Methanol poisoning</t>
        </is>
      </c>
      <c r="F2194" s="2" t="inlineStr">
        <is>
          <t>Fomepizole 15 mg/kg IV loading</t>
        </is>
      </c>
      <c r="G2194" s="2" t="inlineStr">
        <is>
          <t>N-acetylcysteine (NAC) IV infusion protocol</t>
        </is>
      </c>
      <c r="H2194" s="2" t="inlineStr">
        <is>
          <t>Atropine sulfate 2 mg IV Q5-10 min</t>
        </is>
      </c>
      <c r="I2194" s="8" t="inlineStr">
        <is>
          <t>1</t>
        </is>
      </c>
      <c r="J21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94" s="2" t="n"/>
      <c r="L2194" s="2" t="inlineStr">
        <is>
          <t>General Therapeutics</t>
        </is>
      </c>
      <c r="M2194" s="2" t="inlineStr">
        <is>
          <t>Clinic</t>
        </is>
      </c>
      <c r="N2194" s="2" t="inlineStr">
        <is>
          <t>ข้อ 1 (PLE_CC1_Key_Rx20_UBU.md)</t>
        </is>
      </c>
      <c r="O2194" s="2" t="inlineStr">
        <is>
          <t>Mock</t>
        </is>
      </c>
      <c r="P2194" s="2" t="inlineStr">
        <is>
          <t>Mock Rx20 UBU</t>
        </is>
      </c>
    </row>
    <row r="2195" ht="13.2" customHeight="1" s="37">
      <c r="A2195" s="8" t="inlineStr">
        <is>
          <t>2216</t>
        </is>
      </c>
      <c r="B2195" s="2" t="inlineStr">
        <is>
          <t>นาย ก. ผิด ผลิตยาชุด</t>
        </is>
      </c>
      <c r="C2195" s="2" t="n"/>
      <c r="D2195" s="2" t="inlineStr">
        <is>
          <t>N-acetylcysteine (NAC) IV infusion protocol</t>
        </is>
      </c>
      <c r="E2195" s="2" t="inlineStr">
        <is>
          <t>Atropine sulfate 2 mg IV Q5-10 min</t>
        </is>
      </c>
      <c r="F2195" s="2" t="inlineStr">
        <is>
          <t>Pralidoxime (2-PAM) 1-2 g IV over 30 min</t>
        </is>
      </c>
      <c r="G2195" s="2" t="inlineStr">
        <is>
          <t>Naloxone 0.4 mg IV stat</t>
        </is>
      </c>
      <c r="H2195" s="2" t="inlineStr">
        <is>
          <t>Flumazenil 0.2 mg IV stat</t>
        </is>
      </c>
      <c r="I2195" s="8" t="inlineStr">
        <is>
          <t>1</t>
        </is>
      </c>
      <c r="J21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95" s="2" t="n"/>
      <c r="L2195" s="2" t="inlineStr">
        <is>
          <t>General Therapeutics</t>
        </is>
      </c>
      <c r="M2195" s="2" t="inlineStr">
        <is>
          <t>Clinic</t>
        </is>
      </c>
      <c r="N2195" s="2" t="inlineStr">
        <is>
          <t>ข้อ 2 (PLE_CC1_Key_Rx20_UBU.md)</t>
        </is>
      </c>
      <c r="O2195" s="2" t="inlineStr">
        <is>
          <t>Mock</t>
        </is>
      </c>
      <c r="P2195" s="2" t="inlineStr">
        <is>
          <t>Mock Rx20 UBU</t>
        </is>
      </c>
    </row>
    <row r="2196" ht="13.2" customHeight="1" s="37">
      <c r="A2196" s="8" t="inlineStr">
        <is>
          <t>2217</t>
        </is>
      </c>
      <c r="B2196" s="2" t="inlineStr">
        <is>
          <t>นาย ก. ผิด ขายยาชุด</t>
        </is>
      </c>
      <c r="C2196" s="2" t="n"/>
      <c r="D2196" s="2" t="inlineStr">
        <is>
          <t>Naloxone 0.4 mg IV stat</t>
        </is>
      </c>
      <c r="E2196" s="2" t="inlineStr">
        <is>
          <t>Flumazenil 0.2 mg IV stat</t>
        </is>
      </c>
      <c r="F2196" s="2" t="inlineStr">
        <is>
          <t>Vitamin K1 (Phytomenadione) 10 mg IV slow</t>
        </is>
      </c>
      <c r="G2196" s="2" t="inlineStr">
        <is>
          <t>Sodium thiosulfate 25% 50 mL IV</t>
        </is>
      </c>
      <c r="H2196" s="2" t="inlineStr">
        <is>
          <t>Calcium disodium EDTA 1 g IV</t>
        </is>
      </c>
      <c r="I2196" s="8" t="inlineStr">
        <is>
          <t>1</t>
        </is>
      </c>
      <c r="J21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196" s="2" t="n"/>
      <c r="L2196" s="2" t="inlineStr">
        <is>
          <t>General Therapeutics</t>
        </is>
      </c>
      <c r="M2196" s="2" t="inlineStr">
        <is>
          <t>Clinic</t>
        </is>
      </c>
      <c r="N2196" s="2" t="inlineStr">
        <is>
          <t>ข้อ 3 (PLE_CC1_Key_Rx20_UBU.md)</t>
        </is>
      </c>
      <c r="O2196" s="2" t="inlineStr">
        <is>
          <t>Mock</t>
        </is>
      </c>
      <c r="P2196" s="2" t="inlineStr">
        <is>
          <t>Mock Rx20 UBU</t>
        </is>
      </c>
    </row>
    <row r="2197" ht="13.2" customHeight="1" s="37">
      <c r="A2197" s="8" t="inlineStr">
        <is>
          <t>2218</t>
        </is>
      </c>
      <c r="B2197" s="2" t="inlineStr">
        <is>
          <t>นาย ข. ผิด ผลิตยาชุด</t>
        </is>
      </c>
      <c r="C2197" s="2" t="n"/>
      <c r="D2197" s="2" t="inlineStr">
        <is>
          <t>Sodium thiosulfate 25% 50 mL IV</t>
        </is>
      </c>
      <c r="E2197" s="2" t="inlineStr">
        <is>
          <t>Calcium disodium EDTA 1 g IV</t>
        </is>
      </c>
      <c r="F2197" s="2" t="inlineStr">
        <is>
          <t>Desferrioxamine 1 g IM/IV</t>
        </is>
      </c>
      <c r="G2197" s="2" t="inlineStr">
        <is>
          <t>Dimercaprol (BAL) 3 mg/kg IM</t>
        </is>
      </c>
      <c r="H2197" s="2" t="inlineStr">
        <is>
          <t>Ethanol 10% IV infusion for Methanol poisoning</t>
        </is>
      </c>
      <c r="I2197" s="8" t="inlineStr">
        <is>
          <t>1</t>
        </is>
      </c>
      <c r="J21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97" s="2" t="n"/>
      <c r="L2197" s="2" t="inlineStr">
        <is>
          <t>General Therapeutics</t>
        </is>
      </c>
      <c r="M2197" s="2" t="inlineStr">
        <is>
          <t>Clinic</t>
        </is>
      </c>
      <c r="N2197" s="2" t="inlineStr">
        <is>
          <t>ข้อ 4 (PLE_CC1_Key_Rx20_UBU.md)</t>
        </is>
      </c>
      <c r="O2197" s="2" t="inlineStr">
        <is>
          <t>Mock</t>
        </is>
      </c>
      <c r="P2197" s="2" t="inlineStr">
        <is>
          <t>Mock Rx20 UBU</t>
        </is>
      </c>
    </row>
    <row r="2198" ht="13.2" customHeight="1" s="37">
      <c r="A2198" s="8" t="inlineStr">
        <is>
          <t>2219</t>
        </is>
      </c>
      <c r="B2198" s="2" t="inlineStr">
        <is>
          <t>นาย ข. ผิด ขายยาชุด</t>
        </is>
      </c>
      <c r="C2198" s="2" t="n"/>
      <c r="D2198" s="2" t="inlineStr">
        <is>
          <t>Dimercaprol (BAL) 3 mg/kg IM</t>
        </is>
      </c>
      <c r="E2198" s="2" t="inlineStr">
        <is>
          <t>Ethanol 10% IV infusion for Methanol poisoning</t>
        </is>
      </c>
      <c r="F2198" s="2" t="inlineStr">
        <is>
          <t>Fomepizole 15 mg/kg IV loading</t>
        </is>
      </c>
      <c r="G2198" s="2" t="inlineStr">
        <is>
          <t>N-acetylcysteine (NAC) IV infusion protocol</t>
        </is>
      </c>
      <c r="H2198" s="2" t="inlineStr">
        <is>
          <t>Atropine sulfate 2 mg IV Q5-10 min</t>
        </is>
      </c>
      <c r="I2198" s="8" t="inlineStr">
        <is>
          <t>1</t>
        </is>
      </c>
      <c r="J21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98" s="2" t="n"/>
      <c r="L2198" s="2" t="inlineStr">
        <is>
          <t>General Therapeutics</t>
        </is>
      </c>
      <c r="M2198" s="2" t="inlineStr">
        <is>
          <t>Clinic</t>
        </is>
      </c>
      <c r="N2198" s="2" t="inlineStr">
        <is>
          <t>ข้อ 5 (PLE_CC1_Key_Rx20_UBU.md)</t>
        </is>
      </c>
      <c r="O2198" s="2" t="inlineStr">
        <is>
          <t>Mock</t>
        </is>
      </c>
      <c r="P2198" s="2" t="inlineStr">
        <is>
          <t>Mock Rx20 UBU</t>
        </is>
      </c>
    </row>
    <row r="2199" ht="13.2" customHeight="1" s="37">
      <c r="A2199" s="8" t="inlineStr">
        <is>
          <t>2220</t>
        </is>
      </c>
      <c r="B2199" s="2" t="inlineStr">
        <is>
          <t>ยา X ซึ่งปรากฏสถานที่ผลิตไม่ตรงตามความเป็นจริง ถือเป็นยาประเภทใด</t>
        </is>
      </c>
      <c r="C2199" s="2" t="n"/>
      <c r="D2199" s="2" t="inlineStr">
        <is>
          <t>N-acetylcysteine (NAC) IV infusion protocol</t>
        </is>
      </c>
      <c r="E2199" s="2" t="inlineStr">
        <is>
          <t>Atropine sulfate 2 mg IV Q5-10 min</t>
        </is>
      </c>
      <c r="F2199" s="2" t="inlineStr">
        <is>
          <t>Pralidoxime (2-PAM) 1-2 g IV over 30 min</t>
        </is>
      </c>
      <c r="G2199" s="2" t="inlineStr">
        <is>
          <t>Naloxone 0.4 mg IV stat</t>
        </is>
      </c>
      <c r="H2199" s="2" t="inlineStr">
        <is>
          <t>Flumazenil 0.2 mg IV stat</t>
        </is>
      </c>
      <c r="I2199" s="8" t="inlineStr">
        <is>
          <t>1</t>
        </is>
      </c>
      <c r="J21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199" s="2" t="n"/>
      <c r="L2199" s="2" t="inlineStr">
        <is>
          <t>General Therapeutics</t>
        </is>
      </c>
      <c r="M2199" s="2" t="inlineStr">
        <is>
          <t>Clinic</t>
        </is>
      </c>
      <c r="N2199" s="2" t="inlineStr">
        <is>
          <t>ข้อ 4 (PLE_CC1_Key_Rx20_UBU.md)</t>
        </is>
      </c>
      <c r="O2199" s="2" t="inlineStr">
        <is>
          <t>Mock</t>
        </is>
      </c>
      <c r="P2199" s="2" t="inlineStr">
        <is>
          <t>Mock Rx20 UBU</t>
        </is>
      </c>
    </row>
    <row r="2200" ht="13.2" customHeight="1" s="37">
      <c r="A2200" s="8" t="inlineStr">
        <is>
          <t>2221</t>
        </is>
      </c>
      <c r="B2200" s="2" t="inlineStr">
        <is>
          <t>ยาที่ไมไดขึ้นทะเบียนตำรับยา</t>
        </is>
      </c>
      <c r="C2200" s="2" t="n"/>
      <c r="D2200" s="2" t="inlineStr">
        <is>
          <t>Naloxone 0.4 mg IV stat</t>
        </is>
      </c>
      <c r="E2200" s="2" t="inlineStr">
        <is>
          <t>Flumazenil 0.2 mg IV stat</t>
        </is>
      </c>
      <c r="F2200" s="2" t="inlineStr">
        <is>
          <t>Vitamin K1 (Phytomenadione) 10 mg IV slow</t>
        </is>
      </c>
      <c r="G2200" s="2" t="inlineStr">
        <is>
          <t>Sodium thiosulfate 25% 50 mL IV</t>
        </is>
      </c>
      <c r="H2200" s="2" t="inlineStr">
        <is>
          <t>Calcium disodium EDTA 1 g IV</t>
        </is>
      </c>
      <c r="I2200" s="8" t="inlineStr">
        <is>
          <t>1</t>
        </is>
      </c>
      <c r="J220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00" s="2" t="n"/>
      <c r="L2200" s="2" t="inlineStr">
        <is>
          <t>General Therapeutics</t>
        </is>
      </c>
      <c r="M2200" s="2" t="inlineStr">
        <is>
          <t>Clinic</t>
        </is>
      </c>
      <c r="N2200" s="2" t="inlineStr">
        <is>
          <t>ข้อ 5 (PLE_CC1_Key_Rx20_UBU.md)</t>
        </is>
      </c>
      <c r="O2200" s="2" t="inlineStr">
        <is>
          <t>Mock</t>
        </is>
      </c>
      <c r="P2200" s="2" t="inlineStr">
        <is>
          <t>Mock Rx20 UBU</t>
        </is>
      </c>
    </row>
    <row r="2201" ht="13.2" customHeight="1" s="37">
      <c r="A2201" s="8" t="inlineStr">
        <is>
          <t>2222</t>
        </is>
      </c>
      <c r="B2201" s="2" t="inlineStr">
        <is>
          <t>ยาเสพติดใหโทษประเภท 3</t>
        </is>
      </c>
      <c r="C2201" s="2" t="n"/>
      <c r="D2201" s="2" t="inlineStr">
        <is>
          <t>พ.ร.บ. หลักประกันสุขภาพแห่งชาติ พ.ศ. 2545</t>
        </is>
      </c>
      <c r="E2201" s="2" t="inlineStr">
        <is>
          <t>การปฏิบัติทางเภสัชกรรมชุมชน (Good Pharmacy Practice: GPP)</t>
        </is>
      </c>
      <c r="F2201" s="2" t="inlineStr">
        <is>
          <t>บัญชียาหลักแห่งชาติ (National List of Essential Medicines: NLEM)</t>
        </is>
      </c>
      <c r="G2201" s="2" t="inlineStr">
        <is>
          <t>เกณฑ์จริยธรรมว่าด้วยการส่งเสริมการขายยาของกระทรวงสาธารณสุข</t>
        </is>
      </c>
      <c r="H2201" s="2" t="inlineStr">
        <is>
          <t>พ.ร.บ. ยา พ.ศ. 2510 (การจำหน่ายยาอันตรายและยาควบคุมพิเศษ)</t>
        </is>
      </c>
      <c r="I2201" s="8" t="inlineStr">
        <is>
          <t>1</t>
        </is>
      </c>
      <c r="J2201" s="2" t="inlineStr">
        <is>
          <t>✅ คำตอบที่ถูกต้อง: ข้อ ก.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ประมวลกฎหมายยาเสพติด พ.ศ. 2564 และประกาศกระทรวงสาธารณสุขที่ออกตามความในประมวลกฎหมายยาเสพติด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1" s="2" t="n"/>
      <c r="L2201" s="2" t="inlineStr">
        <is>
          <t>Pharmacy Laws &amp; Ethics</t>
        </is>
      </c>
      <c r="M2201" s="2" t="inlineStr">
        <is>
          <t>SAP</t>
        </is>
      </c>
      <c r="N2201" s="2" t="inlineStr">
        <is>
          <t>ข้อ 3 (PLE_CC1_Key_Rx20_UBU.md)</t>
        </is>
      </c>
      <c r="O2201" s="2" t="inlineStr">
        <is>
          <t>Mock</t>
        </is>
      </c>
      <c r="P2201" s="2" t="inlineStr">
        <is>
          <t>Mock Rx20 UBU</t>
        </is>
      </c>
    </row>
    <row r="2202" ht="13.2" customHeight="1" s="37">
      <c r="A2202" s="8" t="inlineStr">
        <is>
          <t>2223</t>
        </is>
      </c>
      <c r="B2202" s="2" t="inlineStr">
        <is>
          <t>วัตถุออกฤทธิ์ตอจิตและประสาทประเภท 2</t>
        </is>
      </c>
      <c r="C2202" s="2" t="n"/>
      <c r="D2202" s="2" t="inlineStr">
        <is>
          <t>เกณฑ์จริยธรรมว่าด้วยการส่งเสริมการขายยาของกระทรวงสาธารณสุข</t>
        </is>
      </c>
      <c r="E2202" s="2" t="inlineStr">
        <is>
          <t>พ.ร.บ. ยา พ.ศ. 2510 (การจำหน่ายยาอันตรายและยาควบคุมพิเศษ)</t>
        </is>
      </c>
      <c r="F2202" s="2" t="inlineStr">
        <is>
          <t>พ.ร.บ. ยาเสพติดให้โทษ พ.ศ. 2522 (ยาเสพติดให้โทษประเภท 2 และ 3)</t>
        </is>
      </c>
      <c r="G2202" s="2" t="inlineStr">
        <is>
          <t>พ.ร.บ. วัตถุที่ออกฤทธิ์ต่อจิตและประสาท พ.ศ. 2559 (ประเภท 2 และ 4)</t>
        </is>
      </c>
      <c r="H2202" s="2" t="inlineStr">
        <is>
          <t>พ.ร.บ. วิชาชีพเภสัชกรรม พ.ศ. 2537 และข้อบังคับจรรยาบรรณวิชาชีพ</t>
        </is>
      </c>
      <c r="I2202" s="8" t="inlineStr">
        <is>
          <t>1</t>
        </is>
      </c>
      <c r="J2202" s="2" t="inlineStr">
        <is>
          <t>✅ คำตอบที่ถูกต้อง: ข้อ ก.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2" s="2" t="n"/>
      <c r="L2202" s="2" t="inlineStr">
        <is>
          <t>Pharmacy Laws &amp; Ethics</t>
        </is>
      </c>
      <c r="M2202" s="2" t="inlineStr">
        <is>
          <t>SAP</t>
        </is>
      </c>
      <c r="N2202" s="2" t="inlineStr">
        <is>
          <t>ข้อ 4 (PLE_CC1_Key_Rx20_UBU.md)</t>
        </is>
      </c>
      <c r="O2202" s="2" t="inlineStr">
        <is>
          <t>Mock</t>
        </is>
      </c>
      <c r="P2202" s="2" t="inlineStr">
        <is>
          <t>Mock Rx20 UBU</t>
        </is>
      </c>
    </row>
    <row r="2203" ht="13.2" customHeight="1" s="37">
      <c r="A2203" s="8" t="inlineStr">
        <is>
          <t>2224</t>
        </is>
      </c>
      <c r="B2203" s="2" t="inlineStr">
        <is>
          <t>วัตถุออกฤทธิ์ตอจิตและประสาทประเภท 4</t>
        </is>
      </c>
      <c r="C2203" s="2" t="n"/>
      <c r="D2203" s="2" t="inlineStr">
        <is>
          <t>พ.ร.บ. วัตถุที่ออกฤทธิ์ต่อจิตและประสาท พ.ศ. 2559 (ประเภท 2 และ 4)</t>
        </is>
      </c>
      <c r="E2203" s="2" t="inlineStr">
        <is>
          <t>พ.ร.บ. วิชาชีพเภสัชกรรม พ.ศ. 2537 และข้อบังคับจรรยาบรรณวิชาชีพ</t>
        </is>
      </c>
      <c r="F2203" s="2" t="inlineStr">
        <is>
          <t>พ.ร.บ. ผลิตภัณฑ์สมุนไพร พ.ศ. 2562</t>
        </is>
      </c>
      <c r="G2203" s="2" t="inlineStr">
        <is>
          <t>พ.ร.บ. เครื่องสำอาง พ.ศ. 2558</t>
        </is>
      </c>
      <c r="H2203" s="2" t="inlineStr">
        <is>
          <t>พ.ร.บ. หลักประกันสุขภาพแห่งชาติ พ.ศ. 2545</t>
        </is>
      </c>
      <c r="I2203" s="8" t="inlineStr">
        <is>
          <t>1</t>
        </is>
      </c>
      <c r="J2203"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3" s="2" t="n"/>
      <c r="L2203" s="2" t="inlineStr">
        <is>
          <t>Pharmacy Laws &amp; Ethics</t>
        </is>
      </c>
      <c r="M2203" s="2" t="inlineStr">
        <is>
          <t>SAP</t>
        </is>
      </c>
      <c r="N2203" s="2" t="inlineStr">
        <is>
          <t>ข้อ 5 (PLE_CC1_Key_Rx20_UBU.md)</t>
        </is>
      </c>
      <c r="O2203" s="2" t="inlineStr">
        <is>
          <t>Mock</t>
        </is>
      </c>
      <c r="P2203" s="2" t="inlineStr">
        <is>
          <t>Mock Rx20 UBU</t>
        </is>
      </c>
    </row>
    <row r="2204" ht="13.2" customHeight="1" s="37">
      <c r="A2204" s="8" t="inlineStr">
        <is>
          <t>2225</t>
        </is>
      </c>
      <c r="B2204" s="2" t="inlineStr">
        <is>
          <t>นาย ก. และนาย ข.</t>
        </is>
      </c>
      <c r="C2204" s="2" t="n"/>
      <c r="D2204" s="2" t="inlineStr">
        <is>
          <t>Naloxone 0.4 mg IV stat</t>
        </is>
      </c>
      <c r="E2204" s="2" t="inlineStr">
        <is>
          <t>Flumazenil 0.2 mg IV stat</t>
        </is>
      </c>
      <c r="F2204" s="2" t="inlineStr">
        <is>
          <t>Vitamin K1 (Phytomenadione) 10 mg IV slow</t>
        </is>
      </c>
      <c r="G2204" s="2" t="inlineStr">
        <is>
          <t>Sodium thiosulfate 25% 50 mL IV</t>
        </is>
      </c>
      <c r="H2204" s="2" t="inlineStr">
        <is>
          <t>Calcium disodium EDTA 1 g IV</t>
        </is>
      </c>
      <c r="I2204" s="8" t="inlineStr">
        <is>
          <t>1</t>
        </is>
      </c>
      <c r="J22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04" s="2" t="n"/>
      <c r="L2204" s="2" t="inlineStr">
        <is>
          <t>General Therapeutics</t>
        </is>
      </c>
      <c r="M2204" s="2" t="inlineStr">
        <is>
          <t>Clinic</t>
        </is>
      </c>
      <c r="N2204" s="2" t="inlineStr">
        <is>
          <t>ข้อ 4 (PLE_CC1_Key_Rx20_UBU.md)</t>
        </is>
      </c>
      <c r="O2204" s="2" t="inlineStr">
        <is>
          <t>Mock</t>
        </is>
      </c>
      <c r="P2204" s="2" t="inlineStr">
        <is>
          <t>Mock Rx20 UBU</t>
        </is>
      </c>
    </row>
    <row r="2205" ht="13.2" customHeight="1" s="37">
      <c r="A2205" s="8" t="inlineStr">
        <is>
          <t>2226</t>
        </is>
      </c>
      <c r="B2205" s="2" t="inlineStr">
        <is>
          <t>ไมมีใครมีความผิด เนื่องจากยังไมมีการขายยาดังกลาวเกิดขึ้น</t>
        </is>
      </c>
      <c r="C2205" s="2" t="n"/>
      <c r="D2205" s="2" t="inlineStr">
        <is>
          <t>Sodium thiosulfate 25% 50 mL IV</t>
        </is>
      </c>
      <c r="E2205" s="2" t="inlineStr">
        <is>
          <t>Calcium disodium EDTA 1 g IV</t>
        </is>
      </c>
      <c r="F2205" s="2" t="inlineStr">
        <is>
          <t>Desferrioxamine 1 g IM/IV</t>
        </is>
      </c>
      <c r="G2205" s="2" t="inlineStr">
        <is>
          <t>Dimercaprol (BAL) 3 mg/kg IM</t>
        </is>
      </c>
      <c r="H2205" s="2" t="inlineStr">
        <is>
          <t>Ethanol 10% IV infusion for Methanol poisoning</t>
        </is>
      </c>
      <c r="I2205" s="8" t="inlineStr">
        <is>
          <t>1</t>
        </is>
      </c>
      <c r="J22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5" s="2" t="n"/>
      <c r="L2205" s="2" t="inlineStr">
        <is>
          <t>General Therapeutics</t>
        </is>
      </c>
      <c r="M2205" s="2" t="inlineStr">
        <is>
          <t>Clinic</t>
        </is>
      </c>
      <c r="N2205" s="2" t="inlineStr">
        <is>
          <t>ข้อ 5 (PLE_CC1_Key_Rx20_UBU.md)</t>
        </is>
      </c>
      <c r="O2205" s="2" t="inlineStr">
        <is>
          <t>Mock</t>
        </is>
      </c>
      <c r="P2205" s="2" t="inlineStr">
        <is>
          <t>Mock Rx20 UBU</t>
        </is>
      </c>
    </row>
    <row r="2206" ht="13.2" customHeight="1" s="37">
      <c r="A2206" s="8" t="inlineStr">
        <is>
          <t>2227</t>
        </is>
      </c>
      <c r="B2206" s="2" t="inlineStr">
        <is>
          <t>ยาที่ไมขึ้นทะเบียนตำรับยา</t>
        </is>
      </c>
      <c r="C2206" s="2" t="n"/>
      <c r="D2206" s="2" t="inlineStr">
        <is>
          <t>Dimercaprol (BAL) 3 mg/kg IM</t>
        </is>
      </c>
      <c r="E2206" s="2" t="inlineStr">
        <is>
          <t>Ethanol 10% IV infusion for Methanol poisoning</t>
        </is>
      </c>
      <c r="F2206" s="2" t="inlineStr">
        <is>
          <t>Fomepizole 15 mg/kg IV loading</t>
        </is>
      </c>
      <c r="G2206" s="2" t="inlineStr">
        <is>
          <t>N-acetylcysteine (NAC) IV infusion protocol</t>
        </is>
      </c>
      <c r="H2206" s="2" t="inlineStr">
        <is>
          <t>Atropine sulfate 2 mg IV Q5-10 min</t>
        </is>
      </c>
      <c r="I2206" s="8" t="inlineStr">
        <is>
          <t>1</t>
        </is>
      </c>
      <c r="J22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6" s="2" t="n"/>
      <c r="L2206" s="2" t="inlineStr">
        <is>
          <t>General Therapeutics</t>
        </is>
      </c>
      <c r="M2206" s="2" t="inlineStr">
        <is>
          <t>Clinic</t>
        </is>
      </c>
      <c r="N2206" s="2" t="inlineStr">
        <is>
          <t>ข้อ 1 (PLE_CC1_Key_Rx20_UBU.md)</t>
        </is>
      </c>
      <c r="O2206" s="2" t="inlineStr">
        <is>
          <t>Mock</t>
        </is>
      </c>
      <c r="P2206" s="2" t="inlineStr">
        <is>
          <t>Mock Rx20 UBU</t>
        </is>
      </c>
    </row>
    <row r="2207" ht="13.2" customHeight="1" s="37">
      <c r="A2207" s="8" t="inlineStr">
        <is>
          <t>2228</t>
        </is>
      </c>
      <c r="B2207" s="2" t="inlineStr">
        <is>
          <t>ยาที่ถูกยกเลิกทะเบียน</t>
        </is>
      </c>
      <c r="C2207" s="2" t="n"/>
      <c r="D2207" s="2" t="inlineStr">
        <is>
          <t>N-acetylcysteine (NAC) IV infusion protocol</t>
        </is>
      </c>
      <c r="E2207" s="2" t="inlineStr">
        <is>
          <t>Atropine sulfate 2 mg IV Q5-10 min</t>
        </is>
      </c>
      <c r="F2207" s="2" t="inlineStr">
        <is>
          <t>Pralidoxime (2-PAM) 1-2 g IV over 30 min</t>
        </is>
      </c>
      <c r="G2207" s="2" t="inlineStr">
        <is>
          <t>Naloxone 0.4 mg IV stat</t>
        </is>
      </c>
      <c r="H2207" s="2" t="inlineStr">
        <is>
          <t>Flumazenil 0.2 mg IV stat</t>
        </is>
      </c>
      <c r="I2207" s="8" t="inlineStr">
        <is>
          <t>1</t>
        </is>
      </c>
      <c r="J22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07" s="2" t="n"/>
      <c r="L2207" s="2" t="inlineStr">
        <is>
          <t>General Therapeutics</t>
        </is>
      </c>
      <c r="M2207" s="2" t="inlineStr">
        <is>
          <t>Clinic</t>
        </is>
      </c>
      <c r="N2207" s="2" t="inlineStr">
        <is>
          <t>ข้อ 4 (PLE_CC1_Key_Rx20_UBU.md)</t>
        </is>
      </c>
      <c r="O2207" s="2" t="inlineStr">
        <is>
          <t>Mock</t>
        </is>
      </c>
      <c r="P2207" s="2" t="inlineStr">
        <is>
          <t>Mock Rx20 UBU</t>
        </is>
      </c>
    </row>
    <row r="2208" ht="13.2" customHeight="1" s="37">
      <c r="A2208" s="8" t="inlineStr">
        <is>
          <t>2229</t>
        </is>
      </c>
      <c r="B2208" s="2" t="inlineStr">
        <is>
          <t>ยาที่ถูกเพิกถอนทะเบียน</t>
        </is>
      </c>
      <c r="C2208" s="2" t="n"/>
      <c r="D2208" s="2" t="inlineStr">
        <is>
          <t>Naloxone 0.4 mg IV stat</t>
        </is>
      </c>
      <c r="E2208" s="2" t="inlineStr">
        <is>
          <t>Flumazenil 0.2 mg IV stat</t>
        </is>
      </c>
      <c r="F2208" s="2" t="inlineStr">
        <is>
          <t>Vitamin K1 (Phytomenadione) 10 mg IV slow</t>
        </is>
      </c>
      <c r="G2208" s="2" t="inlineStr">
        <is>
          <t>Sodium thiosulfate 25% 50 mL IV</t>
        </is>
      </c>
      <c r="H2208" s="2" t="inlineStr">
        <is>
          <t>Calcium disodium EDTA 1 g IV</t>
        </is>
      </c>
      <c r="I2208" s="8" t="inlineStr">
        <is>
          <t>1</t>
        </is>
      </c>
      <c r="J22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08" s="2" t="n"/>
      <c r="L2208" s="2" t="inlineStr">
        <is>
          <t>General Therapeutics</t>
        </is>
      </c>
      <c r="M2208" s="2" t="inlineStr">
        <is>
          <t>Clinic</t>
        </is>
      </c>
      <c r="N2208" s="2" t="inlineStr">
        <is>
          <t>ข้อ 5 (PLE_CC1_Key_Rx20_UBU.md)</t>
        </is>
      </c>
      <c r="O2208" s="2" t="inlineStr">
        <is>
          <t>Mock</t>
        </is>
      </c>
      <c r="P2208" s="2" t="inlineStr">
        <is>
          <t>Mock Rx20 UBU</t>
        </is>
      </c>
    </row>
    <row r="2209" ht="13.2" customHeight="1" s="37">
      <c r="A2209" s="8" t="inlineStr">
        <is>
          <t>2230</t>
        </is>
      </c>
      <c r="B2209" s="2" t="inlineStr">
        <is>
          <t>ไมมีความผิด เพราะไมมีการขายยาเกิดขึ้น</t>
        </is>
      </c>
      <c r="C2209" s="2" t="n"/>
      <c r="D2209" s="2" t="inlineStr">
        <is>
          <t>Sodium thiosulfate 25% 50 mL IV</t>
        </is>
      </c>
      <c r="E2209" s="2" t="inlineStr">
        <is>
          <t>Calcium disodium EDTA 1 g IV</t>
        </is>
      </c>
      <c r="F2209" s="2" t="inlineStr">
        <is>
          <t>Desferrioxamine 1 g IM/IV</t>
        </is>
      </c>
      <c r="G2209" s="2" t="inlineStr">
        <is>
          <t>Dimercaprol (BAL) 3 mg/kg IM</t>
        </is>
      </c>
      <c r="H2209" s="2" t="inlineStr">
        <is>
          <t>Ethanol 10% IV infusion for Methanol poisoning</t>
        </is>
      </c>
      <c r="I2209" s="8" t="inlineStr">
        <is>
          <t>1</t>
        </is>
      </c>
      <c r="J22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9" s="2" t="n"/>
      <c r="L2209" s="2" t="inlineStr">
        <is>
          <t>General Therapeutics</t>
        </is>
      </c>
      <c r="M2209" s="2" t="inlineStr">
        <is>
          <t>Clinic</t>
        </is>
      </c>
      <c r="N2209" s="2" t="inlineStr">
        <is>
          <t>ข้อ 1 (PLE_CC1_Key_Rx20_UBU.md)</t>
        </is>
      </c>
      <c r="O2209" s="2" t="inlineStr">
        <is>
          <t>Mock</t>
        </is>
      </c>
      <c r="P2209" s="2" t="inlineStr">
        <is>
          <t>Mock Rx20 UBU</t>
        </is>
      </c>
    </row>
    <row r="2210" ht="13.2" customHeight="1" s="37">
      <c r="A2210" s="8" t="inlineStr">
        <is>
          <t>2231</t>
        </is>
      </c>
      <c r="B2210" s="2" t="inlineStr">
        <is>
          <t>มีความผิดฐานไม่อยูประจำที่ร้านในเวลาปฏิบัติการ</t>
        </is>
      </c>
      <c r="C2210" s="2" t="n"/>
      <c r="D2210" s="2" t="inlineStr">
        <is>
          <t>Dimercaprol (BAL) 3 mg/kg IM</t>
        </is>
      </c>
      <c r="E2210" s="2" t="inlineStr">
        <is>
          <t>Ethanol 10% IV infusion for Methanol poisoning</t>
        </is>
      </c>
      <c r="F2210" s="2" t="inlineStr">
        <is>
          <t>Fomepizole 15 mg/kg IV loading</t>
        </is>
      </c>
      <c r="G2210" s="2" t="inlineStr">
        <is>
          <t>N-acetylcysteine (NAC) IV infusion protocol</t>
        </is>
      </c>
      <c r="H2210" s="2" t="inlineStr">
        <is>
          <t>Atropine sulfate 2 mg IV Q5-10 min</t>
        </is>
      </c>
      <c r="I2210" s="8" t="inlineStr">
        <is>
          <t>1</t>
        </is>
      </c>
      <c r="J22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0" s="2" t="n"/>
      <c r="L2210" s="2" t="inlineStr">
        <is>
          <t>General Therapeutics</t>
        </is>
      </c>
      <c r="M2210" s="2" t="inlineStr">
        <is>
          <t>Clinic</t>
        </is>
      </c>
      <c r="N2210" s="2" t="inlineStr">
        <is>
          <t>ข้อ 3 (PLE_CC1_Key_Rx20_UBU.md)</t>
        </is>
      </c>
      <c r="O2210" s="2" t="inlineStr">
        <is>
          <t>Mock</t>
        </is>
      </c>
      <c r="P2210" s="2" t="inlineStr">
        <is>
          <t>Mock Rx20 UBU</t>
        </is>
      </c>
    </row>
    <row r="2211" ht="13.2" customHeight="1" s="37">
      <c r="A2211" s="8" t="inlineStr">
        <is>
          <t>2232</t>
        </is>
      </c>
      <c r="B2211" s="2" t="inlineStr">
        <is>
          <t>ไมมีความผิด</t>
        </is>
      </c>
      <c r="C2211" s="2" t="n"/>
      <c r="D2211" s="2" t="inlineStr">
        <is>
          <t>N-acetylcysteine (NAC) IV infusion protocol</t>
        </is>
      </c>
      <c r="E2211" s="2" t="inlineStr">
        <is>
          <t>Atropine sulfate 2 mg IV Q5-10 min</t>
        </is>
      </c>
      <c r="F2211" s="2" t="inlineStr">
        <is>
          <t>Pralidoxime (2-PAM) 1-2 g IV over 30 min</t>
        </is>
      </c>
      <c r="G2211" s="2" t="inlineStr">
        <is>
          <t>Naloxone 0.4 mg IV stat</t>
        </is>
      </c>
      <c r="H2211" s="2" t="inlineStr">
        <is>
          <t>Flumazenil 0.2 mg IV stat</t>
        </is>
      </c>
      <c r="I2211" s="8" t="inlineStr">
        <is>
          <t>1</t>
        </is>
      </c>
      <c r="J22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11" s="2" t="n"/>
      <c r="L2211" s="2" t="inlineStr">
        <is>
          <t>General Therapeutics</t>
        </is>
      </c>
      <c r="M2211" s="2" t="inlineStr">
        <is>
          <t>Clinic</t>
        </is>
      </c>
      <c r="N2211" s="2" t="inlineStr">
        <is>
          <t>ข้อ 1 (PLE_CC1_Key_Rx20_UBU.md)</t>
        </is>
      </c>
      <c r="O2211" s="2" t="inlineStr">
        <is>
          <t>Mock</t>
        </is>
      </c>
      <c r="P2211" s="2" t="inlineStr">
        <is>
          <t>Mock Rx20 UBU</t>
        </is>
      </c>
    </row>
    <row r="2212" ht="13.2" customHeight="1" s="37">
      <c r="A2212" s="8" t="inlineStr">
        <is>
          <t>2233</t>
        </is>
      </c>
      <c r="B2212" s="2" t="inlineStr">
        <is>
          <t>มีความผิดฐานไม่จัดทำบัญชีซื้อขายยา</t>
        </is>
      </c>
      <c r="C2212" s="2" t="n"/>
      <c r="D2212" s="2" t="inlineStr">
        <is>
          <t>Naloxone 0.4 mg IV stat</t>
        </is>
      </c>
      <c r="E2212" s="2" t="inlineStr">
        <is>
          <t>Flumazenil 0.2 mg IV stat</t>
        </is>
      </c>
      <c r="F2212" s="2" t="inlineStr">
        <is>
          <t>Vitamin K1 (Phytomenadione) 10 mg IV slow</t>
        </is>
      </c>
      <c r="G2212" s="2" t="inlineStr">
        <is>
          <t>Sodium thiosulfate 25% 50 mL IV</t>
        </is>
      </c>
      <c r="H2212" s="2" t="inlineStr">
        <is>
          <t>Calcium disodium EDTA 1 g IV</t>
        </is>
      </c>
      <c r="I2212" s="8" t="inlineStr">
        <is>
          <t>1</t>
        </is>
      </c>
      <c r="J22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12" s="2" t="n"/>
      <c r="L2212" s="2" t="inlineStr">
        <is>
          <t>General Therapeutics</t>
        </is>
      </c>
      <c r="M2212" s="2" t="inlineStr">
        <is>
          <t>Clinic</t>
        </is>
      </c>
      <c r="N2212" s="2" t="inlineStr">
        <is>
          <t>ข้อ 2 (PLE_CC1_Key_Rx20_UBU.md)</t>
        </is>
      </c>
      <c r="O2212" s="2" t="inlineStr">
        <is>
          <t>Mock</t>
        </is>
      </c>
      <c r="P2212" s="2" t="inlineStr">
        <is>
          <t>Mock Rx20 UBU</t>
        </is>
      </c>
    </row>
    <row r="2213" ht="13.2" customHeight="1" s="37">
      <c r="A2213" s="8" t="inlineStr">
        <is>
          <t>2234</t>
        </is>
      </c>
      <c r="B2213" s="2" t="inlineStr">
        <is>
          <t>ผิด เนื่องจากมีการโฆษณาโออวดสรรพคุณ</t>
        </is>
      </c>
      <c r="C2213" s="2" t="n"/>
      <c r="D2213" s="2" t="inlineStr">
        <is>
          <t>Sodium thiosulfate 25% 50 mL IV</t>
        </is>
      </c>
      <c r="E2213" s="2" t="inlineStr">
        <is>
          <t>Calcium disodium EDTA 1 g IV</t>
        </is>
      </c>
      <c r="F2213" s="2" t="inlineStr">
        <is>
          <t>Desferrioxamine 1 g IM/IV</t>
        </is>
      </c>
      <c r="G2213" s="2" t="inlineStr">
        <is>
          <t>Dimercaprol (BAL) 3 mg/kg IM</t>
        </is>
      </c>
      <c r="H2213" s="2" t="inlineStr">
        <is>
          <t>Ethanol 10% IV infusion for Methanol poisoning</t>
        </is>
      </c>
      <c r="I2213" s="8" t="inlineStr">
        <is>
          <t>1</t>
        </is>
      </c>
      <c r="J22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3" s="2" t="n"/>
      <c r="L2213" s="2" t="inlineStr">
        <is>
          <t>General Therapeutics</t>
        </is>
      </c>
      <c r="M2213" s="2" t="inlineStr">
        <is>
          <t>Clinic</t>
        </is>
      </c>
      <c r="N2213" s="2" t="inlineStr">
        <is>
          <t>ข้อ 2 (PLE_CC1_Key_Rx20_UBU.md)</t>
        </is>
      </c>
      <c r="O2213" s="2" t="inlineStr">
        <is>
          <t>Mock</t>
        </is>
      </c>
      <c r="P2213" s="2" t="inlineStr">
        <is>
          <t>Mock Rx20 UBU</t>
        </is>
      </c>
    </row>
    <row r="2214" ht="13.2" customHeight="1" s="37">
      <c r="A2214" s="8" t="inlineStr">
        <is>
          <t>2235</t>
        </is>
      </c>
      <c r="B2214" s="2" t="inlineStr">
        <is>
          <t>ผิด เนื่องจากมีการโฆษณาอันเปนเท็จ</t>
        </is>
      </c>
      <c r="C2214" s="2" t="n"/>
      <c r="D2214" s="2" t="inlineStr">
        <is>
          <t>Dimercaprol (BAL) 3 mg/kg IM</t>
        </is>
      </c>
      <c r="E2214" s="2" t="inlineStr">
        <is>
          <t>Ethanol 10% IV infusion for Methanol poisoning</t>
        </is>
      </c>
      <c r="F2214" s="2" t="inlineStr">
        <is>
          <t>Fomepizole 15 mg/kg IV loading</t>
        </is>
      </c>
      <c r="G2214" s="2" t="inlineStr">
        <is>
          <t>N-acetylcysteine (NAC) IV infusion protocol</t>
        </is>
      </c>
      <c r="H2214" s="2" t="inlineStr">
        <is>
          <t>Atropine sulfate 2 mg IV Q5-10 min</t>
        </is>
      </c>
      <c r="I2214" s="8" t="inlineStr">
        <is>
          <t>1</t>
        </is>
      </c>
      <c r="J22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4" s="2" t="n"/>
      <c r="L2214" s="2" t="inlineStr">
        <is>
          <t>General Therapeutics</t>
        </is>
      </c>
      <c r="M2214" s="2" t="inlineStr">
        <is>
          <t>Clinic</t>
        </is>
      </c>
      <c r="N2214" s="2" t="inlineStr">
        <is>
          <t>ข้อ 3 (PLE_CC1_Key_Rx20_UBU.md)</t>
        </is>
      </c>
      <c r="O2214" s="2" t="inlineStr">
        <is>
          <t>Mock</t>
        </is>
      </c>
      <c r="P2214" s="2" t="inlineStr">
        <is>
          <t>Mock Rx20 UBU</t>
        </is>
      </c>
    </row>
    <row r="2215" ht="13.2" customHeight="1" s="37">
      <c r="A2215" s="8" t="inlineStr">
        <is>
          <t>2236</t>
        </is>
      </c>
      <c r="B2215" s="2" t="inlineStr">
        <is>
          <t>ผิด เนื่องจากมีการโฆษณาที่ไดรับการยกยองโดยบุคคลอื่น</t>
        </is>
      </c>
      <c r="C2215" s="2" t="n"/>
      <c r="D2215" s="2" t="inlineStr">
        <is>
          <t>N-acetylcysteine (NAC) IV infusion protocol</t>
        </is>
      </c>
      <c r="E2215" s="2" t="inlineStr">
        <is>
          <t>Atropine sulfate 2 mg IV Q5-10 min</t>
        </is>
      </c>
      <c r="F2215" s="2" t="inlineStr">
        <is>
          <t>Pralidoxime (2-PAM) 1-2 g IV over 30 min</t>
        </is>
      </c>
      <c r="G2215" s="2" t="inlineStr">
        <is>
          <t>Naloxone 0.4 mg IV stat</t>
        </is>
      </c>
      <c r="H2215" s="2" t="inlineStr">
        <is>
          <t>Flumazenil 0.2 mg IV stat</t>
        </is>
      </c>
      <c r="I2215" s="8" t="inlineStr">
        <is>
          <t>1</t>
        </is>
      </c>
      <c r="J22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15" s="2" t="n"/>
      <c r="L2215" s="2" t="inlineStr">
        <is>
          <t>General Therapeutics</t>
        </is>
      </c>
      <c r="M2215" s="2" t="inlineStr">
        <is>
          <t>Clinic</t>
        </is>
      </c>
      <c r="N2215" s="2" t="inlineStr">
        <is>
          <t>ข้อ 4 (PLE_CC1_Key_Rx20_UBU.md)</t>
        </is>
      </c>
      <c r="O2215" s="2" t="inlineStr">
        <is>
          <t>Mock</t>
        </is>
      </c>
      <c r="P2215" s="2" t="inlineStr">
        <is>
          <t>Mock Rx20 UBU</t>
        </is>
      </c>
    </row>
    <row r="2216" ht="13.2" customHeight="1" s="37">
      <c r="A2216" s="8" t="inlineStr">
        <is>
          <t>2237</t>
        </is>
      </c>
      <c r="B2216" s="2" t="inlineStr">
        <is>
          <t>ผิด เนื่องจากมีการโฆษณาสรรพคุณของโรคที่รัฐมนตรีประกาศ</t>
        </is>
      </c>
      <c r="C2216" s="2" t="n"/>
      <c r="D2216" s="2" t="inlineStr">
        <is>
          <t>Naloxone 0.4 mg IV stat</t>
        </is>
      </c>
      <c r="E2216" s="2" t="inlineStr">
        <is>
          <t>Flumazenil 0.2 mg IV stat</t>
        </is>
      </c>
      <c r="F2216" s="2" t="inlineStr">
        <is>
          <t>Vitamin K1 (Phytomenadione) 10 mg IV slow</t>
        </is>
      </c>
      <c r="G2216" s="2" t="inlineStr">
        <is>
          <t>Sodium thiosulfate 25% 50 mL IV</t>
        </is>
      </c>
      <c r="H2216" s="2" t="inlineStr">
        <is>
          <t>Calcium disodium EDTA 1 g IV</t>
        </is>
      </c>
      <c r="I2216" s="8" t="inlineStr">
        <is>
          <t>4</t>
        </is>
      </c>
      <c r="J2216" s="2" t="inlineStr">
        <is>
          <t>✅ คำตอบที่ถูกต้อง: ข้อ ง.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6" s="2" t="n"/>
      <c r="L2216" s="2" t="inlineStr">
        <is>
          <t>General Therapeutics</t>
        </is>
      </c>
      <c r="M2216" s="2" t="inlineStr">
        <is>
          <t>Clinic</t>
        </is>
      </c>
      <c r="N2216" s="2" t="inlineStr">
        <is>
          <t>ข้อ 5 (PLE_CC1_Key_Rx20_UBU.md)</t>
        </is>
      </c>
      <c r="O2216" s="2" t="inlineStr">
        <is>
          <t>Mock</t>
        </is>
      </c>
      <c r="P2216" s="2" t="inlineStr">
        <is>
          <t>Mock Rx20 UBU</t>
        </is>
      </c>
    </row>
    <row r="2217" ht="13.2" customHeight="1" s="37">
      <c r="A2217" s="8" t="inlineStr">
        <is>
          <t>2238</t>
        </is>
      </c>
      <c r="B2217" s="2" t="inlineStr">
        <is>
          <t>กรณีที่พบเพียงนาย ค. อยู่ในราน แต่ไม่พบนาย ก. และนาย ข. ใครถือเป็นผู้ระทำความผิด</t>
        </is>
      </c>
      <c r="C2217" s="2" t="n"/>
      <c r="D2217" s="2" t="inlineStr">
        <is>
          <t>Sodium thiosulfate 25% 50 mL IV</t>
        </is>
      </c>
      <c r="E2217" s="2" t="inlineStr">
        <is>
          <t>Calcium disodium EDTA 1 g IV</t>
        </is>
      </c>
      <c r="F2217" s="2" t="inlineStr">
        <is>
          <t>Desferrioxamine 1 g IM/IV</t>
        </is>
      </c>
      <c r="G2217" s="2" t="inlineStr">
        <is>
          <t>Dimercaprol (BAL) 3 mg/kg IM</t>
        </is>
      </c>
      <c r="H2217" s="2" t="inlineStr">
        <is>
          <t>Ethanol 10% IV infusion for Methanol poisoning</t>
        </is>
      </c>
      <c r="I2217" s="8" t="inlineStr">
        <is>
          <t>1</t>
        </is>
      </c>
      <c r="J22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7" s="2" t="n"/>
      <c r="L2217" s="2" t="inlineStr">
        <is>
          <t>General Therapeutics</t>
        </is>
      </c>
      <c r="M2217" s="2" t="inlineStr">
        <is>
          <t>Clinic</t>
        </is>
      </c>
      <c r="N2217" s="2" t="inlineStr">
        <is>
          <t>ข้อ 11 (PLE_CC1_Key_Rx20_UBU.md)</t>
        </is>
      </c>
      <c r="O2217" s="2" t="inlineStr">
        <is>
          <t>Mock</t>
        </is>
      </c>
      <c r="P2217" s="2" t="inlineStr">
        <is>
          <t>Mock Rx20 UBU</t>
        </is>
      </c>
    </row>
    <row r="2218" ht="13.2" customHeight="1" s="37">
      <c r="A2218" s="8" t="inlineStr">
        <is>
          <t>2239</t>
        </is>
      </c>
      <c r="B2218" s="2" t="inlineStr">
        <is>
          <t>ไม่มีใครกระทำผิด</t>
        </is>
      </c>
      <c r="C2218" s="2" t="n"/>
      <c r="D2218" s="2" t="inlineStr">
        <is>
          <t>Dimercaprol (BAL) 3 mg/kg IM</t>
        </is>
      </c>
      <c r="E2218" s="2" t="inlineStr">
        <is>
          <t>Ethanol 10% IV infusion for Methanol poisoning</t>
        </is>
      </c>
      <c r="F2218" s="2" t="inlineStr">
        <is>
          <t>Fomepizole 15 mg/kg IV loading</t>
        </is>
      </c>
      <c r="G2218" s="2" t="inlineStr">
        <is>
          <t>N-acetylcysteine (NAC) IV infusion protocol</t>
        </is>
      </c>
      <c r="H2218" s="2" t="inlineStr">
        <is>
          <t>Atropine sulfate 2 mg IV Q5-10 min</t>
        </is>
      </c>
      <c r="I2218" s="8" t="inlineStr">
        <is>
          <t>1</t>
        </is>
      </c>
      <c r="J22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8" s="2" t="n"/>
      <c r="L2218" s="2" t="inlineStr">
        <is>
          <t>General Therapeutics</t>
        </is>
      </c>
      <c r="M2218" s="2" t="inlineStr">
        <is>
          <t>Clinic</t>
        </is>
      </c>
      <c r="N2218" s="2" t="inlineStr">
        <is>
          <t>ข้อ 1 (PLE_CC1_Key_Rx20_UBU.md)</t>
        </is>
      </c>
      <c r="O2218" s="2" t="inlineStr">
        <is>
          <t>Mock</t>
        </is>
      </c>
      <c r="P2218" s="2" t="inlineStr">
        <is>
          <t>Mock Rx20 UBU</t>
        </is>
      </c>
    </row>
    <row r="2219" ht="13.2" customHeight="1" s="37">
      <c r="A2219" s="8" t="inlineStr">
        <is>
          <t>2240</t>
        </is>
      </c>
      <c r="B2219" s="2" t="inlineStr">
        <is>
          <t>นาย ก. ซึ่งผู้รับอนุญาตผิด เนื่องจากไม่อยู่ตลอดเวลาที่ร้านเปิด</t>
        </is>
      </c>
      <c r="C2219" s="2" t="n"/>
      <c r="D2219" s="2" t="inlineStr">
        <is>
          <t>N-acetylcysteine (NAC) IV infusion protocol</t>
        </is>
      </c>
      <c r="E2219" s="2" t="inlineStr">
        <is>
          <t>Atropine sulfate 2 mg IV Q5-10 min</t>
        </is>
      </c>
      <c r="F2219" s="2" t="inlineStr">
        <is>
          <t>Pralidoxime (2-PAM) 1-2 g IV over 30 min</t>
        </is>
      </c>
      <c r="G2219" s="2" t="inlineStr">
        <is>
          <t>Naloxone 0.4 mg IV stat</t>
        </is>
      </c>
      <c r="H2219" s="2" t="inlineStr">
        <is>
          <t>Flumazenil 0.2 mg IV stat</t>
        </is>
      </c>
      <c r="I2219" s="8" t="inlineStr">
        <is>
          <t>1</t>
        </is>
      </c>
      <c r="J22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19" s="2" t="n"/>
      <c r="L2219" s="2" t="inlineStr">
        <is>
          <t>General Therapeutics</t>
        </is>
      </c>
      <c r="M2219" s="2" t="inlineStr">
        <is>
          <t>Clinic</t>
        </is>
      </c>
      <c r="N2219" s="2" t="inlineStr">
        <is>
          <t>ข้อ 2 (PLE_CC1_Key_Rx20_UBU.md)</t>
        </is>
      </c>
      <c r="O2219" s="2" t="inlineStr">
        <is>
          <t>Mock</t>
        </is>
      </c>
      <c r="P2219" s="2" t="inlineStr">
        <is>
          <t>Mock Rx20 UBU</t>
        </is>
      </c>
    </row>
    <row r="2220" ht="13.2" customHeight="1" s="37">
      <c r="A2220" s="8" t="inlineStr">
        <is>
          <t>2241</t>
        </is>
      </c>
      <c r="B2220" s="2" t="inlineStr">
        <is>
          <t>นาย ข. ซึ่งเป็นเภสัชผู้มีหน้าที่ปฏิบัติการผิด เนื่องจากไม่อยูประจำรานตลอดระยะเวลาที่เปิดทำการ</t>
        </is>
      </c>
      <c r="C2220" s="2" t="n"/>
      <c r="D2220" s="2" t="inlineStr">
        <is>
          <t>พ.ร.บ. วิชาชีพเภสัชกรรม พ.ศ. 2537 และข้อบังคับจรรยาบรรณวิชาชีพ</t>
        </is>
      </c>
      <c r="E2220" s="2" t="inlineStr">
        <is>
          <t>พ.ร.บ. ผลิตภัณฑ์สมุนไพร พ.ศ. 2562</t>
        </is>
      </c>
      <c r="F2220" s="2" t="inlineStr">
        <is>
          <t>พ.ร.บ. เครื่องสำอาง พ.ศ. 2558</t>
        </is>
      </c>
      <c r="G2220" s="2" t="inlineStr">
        <is>
          <t>พ.ร.บ. หลักประกันสุขภาพแห่งชาติ พ.ศ. 2545</t>
        </is>
      </c>
      <c r="H2220" s="2" t="inlineStr">
        <is>
          <t>การปฏิบัติทางเภสัชกรรมชุมชน (Good Pharmacy Practice: GPP)</t>
        </is>
      </c>
      <c r="I2220" s="8" t="inlineStr">
        <is>
          <t>1</t>
        </is>
      </c>
      <c r="J2220"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Pharmacy Laws &amp; Ethics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Pharmacy Laws &amp; Ethics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Pharmacy Laws &amp; Ethics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0" s="2" t="n"/>
      <c r="L2220" s="2" t="inlineStr">
        <is>
          <t>Pharmacy Laws &amp; Ethics</t>
        </is>
      </c>
      <c r="M2220" s="2" t="inlineStr">
        <is>
          <t>SAP</t>
        </is>
      </c>
      <c r="N2220" s="2" t="inlineStr">
        <is>
          <t>ข้อ 3 (PLE_CC1_Key_Rx20_UBU.md)</t>
        </is>
      </c>
      <c r="O2220" s="2" t="inlineStr">
        <is>
          <t>Mock</t>
        </is>
      </c>
      <c r="P2220" s="2" t="inlineStr">
        <is>
          <t>Mock Rx20 UBU</t>
        </is>
      </c>
    </row>
    <row r="2221" ht="13.2" customHeight="1" s="37">
      <c r="A2221" s="8" t="inlineStr">
        <is>
          <t>2242</t>
        </is>
      </c>
      <c r="B2221" s="2" t="inlineStr">
        <is>
          <t>ผิดทั้งนาย ก. และนาย ข.</t>
        </is>
      </c>
      <c r="C2221" s="2" t="n"/>
      <c r="D2221" s="2" t="inlineStr">
        <is>
          <t>Sodium thiosulfate 25% 50 mL IV</t>
        </is>
      </c>
      <c r="E2221" s="2" t="inlineStr">
        <is>
          <t>Calcium disodium EDTA 1 g IV</t>
        </is>
      </c>
      <c r="F2221" s="2" t="inlineStr">
        <is>
          <t>Desferrioxamine 1 g IM/IV</t>
        </is>
      </c>
      <c r="G2221" s="2" t="inlineStr">
        <is>
          <t>Dimercaprol (BAL) 3 mg/kg IM</t>
        </is>
      </c>
      <c r="H2221" s="2" t="inlineStr">
        <is>
          <t>Ethanol 10% IV infusion for Methanol poisoning</t>
        </is>
      </c>
      <c r="I2221" s="8" t="inlineStr">
        <is>
          <t>2</t>
        </is>
      </c>
      <c r="J2221" s="2" t="inlineStr">
        <is>
          <t>✅ คำตอบที่ถูกต้อง: ข้อ ข. Calcium disodium EDTA 1 g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disodium EDTA 1 g IV การเลือก Calcium disodium EDTA 1 g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1" s="2" t="n"/>
      <c r="L2221" s="2" t="inlineStr">
        <is>
          <t>General Therapeutics</t>
        </is>
      </c>
      <c r="M2221" s="2" t="inlineStr">
        <is>
          <t>Clinic</t>
        </is>
      </c>
      <c r="N2221" s="2" t="inlineStr">
        <is>
          <t>ข้อ 5 (PLE_CC1_Key_Rx20_UBU.md)</t>
        </is>
      </c>
      <c r="O2221" s="2" t="inlineStr">
        <is>
          <t>Mock</t>
        </is>
      </c>
      <c r="P2221" s="2" t="inlineStr">
        <is>
          <t>Mock Rx20 UBU</t>
        </is>
      </c>
    </row>
    <row r="2222" ht="13.2" customHeight="1" s="37">
      <c r="A2222" s="8" t="inlineStr">
        <is>
          <t>2243</t>
        </is>
      </c>
      <c r="B2222" s="2" t="inlineStr">
        <is>
          <t>ผู้ป่วยเป็นอะไร</t>
        </is>
      </c>
      <c r="C2222" s="2" t="n"/>
      <c r="D2222" s="2" t="inlineStr">
        <is>
          <t>Dimercaprol (BAL) 3 mg/kg IM</t>
        </is>
      </c>
      <c r="E2222" s="2" t="inlineStr">
        <is>
          <t>Ethanol 10% IV infusion for Methanol poisoning</t>
        </is>
      </c>
      <c r="F2222" s="2" t="inlineStr">
        <is>
          <t>Fomepizole 15 mg/kg IV loading</t>
        </is>
      </c>
      <c r="G2222" s="2" t="inlineStr">
        <is>
          <t>N-acetylcysteine (NAC) IV infusion protocol</t>
        </is>
      </c>
      <c r="H2222" s="2" t="inlineStr">
        <is>
          <t>Atropine sulfate 2 mg IV Q5-10 min</t>
        </is>
      </c>
      <c r="I2222" s="8" t="inlineStr">
        <is>
          <t>1</t>
        </is>
      </c>
      <c r="J22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2" s="2" t="n"/>
      <c r="L2222" s="2" t="inlineStr">
        <is>
          <t>General Therapeutics</t>
        </is>
      </c>
      <c r="M2222" s="2" t="inlineStr">
        <is>
          <t>Clinic</t>
        </is>
      </c>
      <c r="N2222" s="2" t="inlineStr">
        <is>
          <t>ข้อ 1 (PLE_CC1_Key_Rx20_UBU.md)</t>
        </is>
      </c>
      <c r="O2222" s="2" t="inlineStr">
        <is>
          <t>Mock</t>
        </is>
      </c>
      <c r="P2222" s="2" t="inlineStr">
        <is>
          <t>Mock Rx20 UBU</t>
        </is>
      </c>
    </row>
    <row r="2223" ht="13.2" customHeight="1" s="37">
      <c r="A2223" s="8" t="inlineStr">
        <is>
          <t>2244</t>
        </is>
      </c>
      <c r="B2223" s="2" t="inlineStr">
        <is>
          <t>MMR, JE, DTP</t>
        </is>
      </c>
      <c r="C2223" s="2" t="n"/>
      <c r="D2223" s="2" t="inlineStr">
        <is>
          <t>N-acetylcysteine (NAC) IV infusion protocol</t>
        </is>
      </c>
      <c r="E2223" s="2" t="inlineStr">
        <is>
          <t>Atropine sulfate 2 mg IV Q5-10 min</t>
        </is>
      </c>
      <c r="F2223" s="2" t="inlineStr">
        <is>
          <t>Pralidoxime (2-PAM) 1-2 g IV over 30 min</t>
        </is>
      </c>
      <c r="G2223" s="2" t="inlineStr">
        <is>
          <t>Naloxone 0.4 mg IV stat</t>
        </is>
      </c>
      <c r="H2223" s="2" t="inlineStr">
        <is>
          <t>Flumazenil 0.2 mg IV stat</t>
        </is>
      </c>
      <c r="I2223" s="8" t="inlineStr">
        <is>
          <t>2</t>
        </is>
      </c>
      <c r="J2223"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2223" s="2" t="n"/>
      <c r="L2223" s="2" t="inlineStr">
        <is>
          <t>General Therapeutics</t>
        </is>
      </c>
      <c r="M2223" s="2" t="inlineStr">
        <is>
          <t>Clinic</t>
        </is>
      </c>
      <c r="N2223" s="2" t="inlineStr">
        <is>
          <t>ข้อ 5 (PLE_CC1_Key_Rx20_UBU.md)</t>
        </is>
      </c>
      <c r="O2223" s="2" t="inlineStr">
        <is>
          <t>Mock</t>
        </is>
      </c>
      <c r="P2223" s="2" t="inlineStr">
        <is>
          <t>Mock Rx20 UBU</t>
        </is>
      </c>
    </row>
    <row r="2224" ht="13.2" customHeight="1" s="37">
      <c r="A2224" s="8" t="inlineStr">
        <is>
          <t>2245</t>
        </is>
      </c>
      <c r="B2224" s="2" t="inlineStr">
        <is>
          <t>ฉีดให้เฉพาะเชื้อตาย</t>
        </is>
      </c>
      <c r="C2224" s="2" t="n"/>
      <c r="D2224" s="2" t="inlineStr">
        <is>
          <t>Naloxone 0.4 mg IV stat</t>
        </is>
      </c>
      <c r="E2224" s="2" t="inlineStr">
        <is>
          <t>Flumazenil 0.2 mg IV stat</t>
        </is>
      </c>
      <c r="F2224" s="2" t="inlineStr">
        <is>
          <t>Vitamin K1 (Phytomenadione) 10 mg IV slow</t>
        </is>
      </c>
      <c r="G2224" s="2" t="inlineStr">
        <is>
          <t>Sodium thiosulfate 25% 50 mL IV</t>
        </is>
      </c>
      <c r="H2224" s="2" t="inlineStr">
        <is>
          <t>Calcium disodium EDTA 1 g IV</t>
        </is>
      </c>
      <c r="I2224" s="8" t="inlineStr">
        <is>
          <t>1</t>
        </is>
      </c>
      <c r="J22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24" s="2" t="n"/>
      <c r="L2224" s="2" t="inlineStr">
        <is>
          <t>General Therapeutics</t>
        </is>
      </c>
      <c r="M2224" s="2" t="inlineStr">
        <is>
          <t>Clinic</t>
        </is>
      </c>
      <c r="N2224" s="2" t="inlineStr">
        <is>
          <t>ข้อ 2 (PLE_CC1_Key_Rx20_UBU.md)</t>
        </is>
      </c>
      <c r="O2224" s="2" t="inlineStr">
        <is>
          <t>Mock</t>
        </is>
      </c>
      <c r="P2224" s="2" t="inlineStr">
        <is>
          <t>Mock Rx20 UBU</t>
        </is>
      </c>
    </row>
    <row r="2225" ht="13.2" customHeight="1" s="37">
      <c r="A2225" s="8" t="inlineStr">
        <is>
          <t>2246</t>
        </is>
      </c>
      <c r="B2225" s="2" t="inlineStr">
        <is>
          <t>ไม่ฉีดให้ เนื่องจากได้รับ/สร้างภูมิแล้ว</t>
        </is>
      </c>
      <c r="C2225" s="2" t="n"/>
      <c r="D2225" s="2" t="inlineStr">
        <is>
          <t>Sodium thiosulfate 25% 50 mL IV</t>
        </is>
      </c>
      <c r="E2225" s="2" t="inlineStr">
        <is>
          <t>Calcium disodium EDTA 1 g IV</t>
        </is>
      </c>
      <c r="F2225" s="2" t="inlineStr">
        <is>
          <t>Desferrioxamine 1 g IM/IV</t>
        </is>
      </c>
      <c r="G2225" s="2" t="inlineStr">
        <is>
          <t>Dimercaprol (BAL) 3 mg/kg IM</t>
        </is>
      </c>
      <c r="H2225" s="2" t="inlineStr">
        <is>
          <t>Ethanol 10% IV infusion for Methanol poisoning</t>
        </is>
      </c>
      <c r="I2225" s="8" t="inlineStr">
        <is>
          <t>1</t>
        </is>
      </c>
      <c r="J22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5" s="2" t="n"/>
      <c r="L2225" s="2" t="inlineStr">
        <is>
          <t>General Therapeutics</t>
        </is>
      </c>
      <c r="M2225" s="2" t="inlineStr">
        <is>
          <t>Clinic</t>
        </is>
      </c>
      <c r="N2225" s="2" t="inlineStr">
        <is>
          <t>ข้อ 3 (PLE_CC1_Key_Rx20_UBU.md)</t>
        </is>
      </c>
      <c r="O2225" s="2" t="inlineStr">
        <is>
          <t>Mock</t>
        </is>
      </c>
      <c r="P2225" s="2" t="inlineStr">
        <is>
          <t>Mock Rx20 UBU</t>
        </is>
      </c>
    </row>
    <row r="2226" ht="13.2" customHeight="1" s="37">
      <c r="A2226" s="8" t="inlineStr">
        <is>
          <t>2247</t>
        </is>
      </c>
      <c r="B2226" s="2" t="inlineStr">
        <is>
          <t>ไม่ฉีดให้ เนื่องจากมีไข้สูง</t>
        </is>
      </c>
      <c r="C2226" s="2" t="n"/>
      <c r="D2226" s="2" t="inlineStr">
        <is>
          <t>Dimercaprol (BAL) 3 mg/kg IM</t>
        </is>
      </c>
      <c r="E2226" s="2" t="inlineStr">
        <is>
          <t>Ethanol 10% IV infusion for Methanol poisoning</t>
        </is>
      </c>
      <c r="F2226" s="2" t="inlineStr">
        <is>
          <t>Fomepizole 15 mg/kg IV loading</t>
        </is>
      </c>
      <c r="G2226" s="2" t="inlineStr">
        <is>
          <t>N-acetylcysteine (NAC) IV infusion protocol</t>
        </is>
      </c>
      <c r="H2226" s="2" t="inlineStr">
        <is>
          <t>Atropine sulfate 2 mg IV Q5-10 min</t>
        </is>
      </c>
      <c r="I2226" s="8" t="inlineStr">
        <is>
          <t>1</t>
        </is>
      </c>
      <c r="J22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6" s="2" t="n"/>
      <c r="L2226" s="2" t="inlineStr">
        <is>
          <t>General Therapeutics</t>
        </is>
      </c>
      <c r="M2226" s="2" t="inlineStr">
        <is>
          <t>Clinic</t>
        </is>
      </c>
      <c r="N2226" s="2" t="inlineStr">
        <is>
          <t>ข้อ 4 (PLE_CC1_Key_Rx20_UBU.md)</t>
        </is>
      </c>
      <c r="O2226" s="2" t="inlineStr">
        <is>
          <t>Mock</t>
        </is>
      </c>
      <c r="P2226" s="2" t="inlineStr">
        <is>
          <t>Mock Rx20 UBU</t>
        </is>
      </c>
    </row>
    <row r="2227" ht="13.2" customHeight="1" s="37">
      <c r="A2227" s="8" t="inlineStr">
        <is>
          <t>2248</t>
        </is>
      </c>
      <c r="B2227" s="2" t="inlineStr">
        <is>
          <t>Immunoglobulin M, Immunoglobulin G</t>
        </is>
      </c>
      <c r="C2227" s="2" t="n"/>
      <c r="D2227" s="2" t="inlineStr">
        <is>
          <t>N-acetylcysteine (NAC) IV infusion protocol</t>
        </is>
      </c>
      <c r="E2227" s="2" t="inlineStr">
        <is>
          <t>Atropine sulfate 2 mg IV Q5-10 min</t>
        </is>
      </c>
      <c r="F2227" s="2" t="inlineStr">
        <is>
          <t>Pralidoxime (2-PAM) 1-2 g IV over 30 min</t>
        </is>
      </c>
      <c r="G2227" s="2" t="inlineStr">
        <is>
          <t>Naloxone 0.4 mg IV stat</t>
        </is>
      </c>
      <c r="H2227" s="2" t="inlineStr">
        <is>
          <t>Flumazenil 0.2 mg IV stat</t>
        </is>
      </c>
      <c r="I2227" s="8" t="inlineStr">
        <is>
          <t>1</t>
        </is>
      </c>
      <c r="J22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27" s="2" t="n"/>
      <c r="L2227" s="2" t="inlineStr">
        <is>
          <t>General Therapeutics</t>
        </is>
      </c>
      <c r="M2227" s="2" t="inlineStr">
        <is>
          <t>Clinic</t>
        </is>
      </c>
      <c r="N2227" s="2" t="inlineStr">
        <is>
          <t>ข้อ 1 (PLE_CC1_Key_Rx20_UBU.md)</t>
        </is>
      </c>
      <c r="O2227" s="2" t="inlineStr">
        <is>
          <t>Mock</t>
        </is>
      </c>
      <c r="P2227" s="2" t="inlineStr">
        <is>
          <t>Mock Rx20 UBU</t>
        </is>
      </c>
    </row>
    <row r="2228" ht="13.2" customHeight="1" s="37">
      <c r="A2228" s="8" t="inlineStr">
        <is>
          <t>2249</t>
        </is>
      </c>
      <c r="B2228" s="2" t="inlineStr">
        <is>
          <t>Immunoglobulin G, Immunoglobulin M</t>
        </is>
      </c>
      <c r="C2228" s="2" t="n"/>
      <c r="D2228" s="2" t="inlineStr">
        <is>
          <t>Naloxone 0.4 mg IV stat</t>
        </is>
      </c>
      <c r="E2228" s="2" t="inlineStr">
        <is>
          <t>Flumazenil 0.2 mg IV stat</t>
        </is>
      </c>
      <c r="F2228" s="2" t="inlineStr">
        <is>
          <t>Vitamin K1 (Phytomenadione) 10 mg IV slow</t>
        </is>
      </c>
      <c r="G2228" s="2" t="inlineStr">
        <is>
          <t>Sodium thiosulfate 25% 50 mL IV</t>
        </is>
      </c>
      <c r="H2228" s="2" t="inlineStr">
        <is>
          <t>Calcium disodium EDTA 1 g IV</t>
        </is>
      </c>
      <c r="I2228" s="8" t="inlineStr">
        <is>
          <t>1</t>
        </is>
      </c>
      <c r="J22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28" s="2" t="n"/>
      <c r="L2228" s="2" t="inlineStr">
        <is>
          <t>General Therapeutics</t>
        </is>
      </c>
      <c r="M2228" s="2" t="inlineStr">
        <is>
          <t>Clinic</t>
        </is>
      </c>
      <c r="N2228" s="2" t="inlineStr">
        <is>
          <t>ข้อ 2 (PLE_CC1_Key_Rx20_UBU.md)</t>
        </is>
      </c>
      <c r="O2228" s="2" t="inlineStr">
        <is>
          <t>Mock</t>
        </is>
      </c>
      <c r="P2228" s="2" t="inlineStr">
        <is>
          <t>Mock Rx20 UBU</t>
        </is>
      </c>
    </row>
    <row r="2229" ht="13.2" customHeight="1" s="37">
      <c r="A2229" s="8" t="inlineStr">
        <is>
          <t>2250</t>
        </is>
      </c>
      <c r="B2229" s="2" t="inlineStr">
        <is>
          <t>Immunoglobulin M, Immunoglobulin A</t>
        </is>
      </c>
      <c r="C2229" s="2" t="n"/>
      <c r="D2229" s="2" t="inlineStr">
        <is>
          <t>Sodium thiosulfate 25% 50 mL IV</t>
        </is>
      </c>
      <c r="E2229" s="2" t="inlineStr">
        <is>
          <t>Calcium disodium EDTA 1 g IV</t>
        </is>
      </c>
      <c r="F2229" s="2" t="inlineStr">
        <is>
          <t>Desferrioxamine 1 g IM/IV</t>
        </is>
      </c>
      <c r="G2229" s="2" t="inlineStr">
        <is>
          <t>Dimercaprol (BAL) 3 mg/kg IM</t>
        </is>
      </c>
      <c r="H2229" s="2" t="inlineStr">
        <is>
          <t>Ethanol 10% IV infusion for Methanol poisoning</t>
        </is>
      </c>
      <c r="I2229" s="8" t="inlineStr">
        <is>
          <t>1</t>
        </is>
      </c>
      <c r="J22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9" s="2" t="n"/>
      <c r="L2229" s="2" t="inlineStr">
        <is>
          <t>General Therapeutics</t>
        </is>
      </c>
      <c r="M2229" s="2" t="inlineStr">
        <is>
          <t>Clinic</t>
        </is>
      </c>
      <c r="N2229" s="2" t="inlineStr">
        <is>
          <t>ข้อ 3 (PLE_CC1_Key_Rx20_UBU.md)</t>
        </is>
      </c>
      <c r="O2229" s="2" t="inlineStr">
        <is>
          <t>Mock</t>
        </is>
      </c>
      <c r="P2229" s="2" t="inlineStr">
        <is>
          <t>Mock Rx20 UBU</t>
        </is>
      </c>
    </row>
    <row r="2230" ht="13.2" customHeight="1" s="37">
      <c r="A2230" s="8" t="inlineStr">
        <is>
          <t>2251</t>
        </is>
      </c>
      <c r="B2230" s="2" t="inlineStr">
        <is>
          <t>Immunoglobulin G, Immunoglobulin E</t>
        </is>
      </c>
      <c r="C2230" s="2" t="n"/>
      <c r="D2230" s="2" t="inlineStr">
        <is>
          <t>Dimercaprol (BAL) 3 mg/kg IM</t>
        </is>
      </c>
      <c r="E2230" s="2" t="inlineStr">
        <is>
          <t>Ethanol 10% IV infusion for Methanol poisoning</t>
        </is>
      </c>
      <c r="F2230" s="2" t="inlineStr">
        <is>
          <t>Fomepizole 15 mg/kg IV loading</t>
        </is>
      </c>
      <c r="G2230" s="2" t="inlineStr">
        <is>
          <t>N-acetylcysteine (NAC) IV infusion protocol</t>
        </is>
      </c>
      <c r="H2230" s="2" t="inlineStr">
        <is>
          <t>Atropine sulfate 2 mg IV Q5-10 min</t>
        </is>
      </c>
      <c r="I2230" s="8" t="inlineStr">
        <is>
          <t>1</t>
        </is>
      </c>
      <c r="J22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0" s="2" t="n"/>
      <c r="L2230" s="2" t="inlineStr">
        <is>
          <t>General Therapeutics</t>
        </is>
      </c>
      <c r="M2230" s="2" t="inlineStr">
        <is>
          <t>Clinic</t>
        </is>
      </c>
      <c r="N2230" s="2" t="inlineStr">
        <is>
          <t>ข้อ 4 (PLE_CC1_Key_Rx20_UBU.md)</t>
        </is>
      </c>
      <c r="O2230" s="2" t="inlineStr">
        <is>
          <t>Mock</t>
        </is>
      </c>
      <c r="P2230" s="2" t="inlineStr">
        <is>
          <t>Mock Rx20 UBU</t>
        </is>
      </c>
    </row>
    <row r="2231" ht="13.2" customHeight="1" s="37">
      <c r="A2231" s="8" t="inlineStr">
        <is>
          <t>2252</t>
        </is>
      </c>
      <c r="B2231" s="2" t="inlineStr">
        <is>
          <t>Immunoglobulin A, Immunoglobulin G</t>
        </is>
      </c>
      <c r="C2231" s="2" t="n"/>
      <c r="D2231" s="2" t="inlineStr">
        <is>
          <t>N-acetylcysteine (NAC) IV infusion protocol</t>
        </is>
      </c>
      <c r="E2231" s="2" t="inlineStr">
        <is>
          <t>Atropine sulfate 2 mg IV Q5-10 min</t>
        </is>
      </c>
      <c r="F2231" s="2" t="inlineStr">
        <is>
          <t>Pralidoxime (2-PAM) 1-2 g IV over 30 min</t>
        </is>
      </c>
      <c r="G2231" s="2" t="inlineStr">
        <is>
          <t>Naloxone 0.4 mg IV stat</t>
        </is>
      </c>
      <c r="H2231" s="2" t="inlineStr">
        <is>
          <t>Flumazenil 0.2 mg IV stat</t>
        </is>
      </c>
      <c r="I2231" s="8" t="inlineStr">
        <is>
          <t>2</t>
        </is>
      </c>
      <c r="J2231" s="2" t="inlineStr">
        <is>
          <t>✅ คำตอบที่ถูกต้อง: ข้อ ข. Atropine sulfate 2 mg IV Q5-10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Atropine sulfate 2 mg IV Q5-10 min การเลือก Atropine sulfate 2 mg IV Q5-10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Muscarinic Reversal: ต้านฤทธิ์ muscarinic manifestations (SLUDGE: Salivation, Lacrimation, Urination, Defecation, GI distress, Emesis) ในภาวะพิษ Organophosphate
• Atropinization Endpoint: titrate จนกระทั่ง pulmonary secretions แห้ง และ HR &gt; 80 bpm (ไม่ได้ใช้ pupil size เป็นเป้าหมายหลัก)</t>
        </is>
      </c>
      <c r="K2231" s="2" t="n"/>
      <c r="L2231" s="2" t="inlineStr">
        <is>
          <t>General Therapeutics</t>
        </is>
      </c>
      <c r="M2231" s="2" t="inlineStr">
        <is>
          <t>Clinic</t>
        </is>
      </c>
      <c r="N2231" s="2" t="inlineStr">
        <is>
          <t>ข้อ 5 (PLE_CC1_Key_Rx20_UBU.md)</t>
        </is>
      </c>
      <c r="O2231" s="2" t="inlineStr">
        <is>
          <t>Mock</t>
        </is>
      </c>
      <c r="P2231" s="2" t="inlineStr">
        <is>
          <t>Mock Rx20 UBU</t>
        </is>
      </c>
    </row>
    <row r="2232" ht="13.2" customHeight="1" s="37">
      <c r="A2232" s="8" t="inlineStr">
        <is>
          <t>2253</t>
        </is>
      </c>
      <c r="B2232" s="2" t="inlineStr">
        <is>
          <t>ทำให้ปราศจากเชื้อโดยใช้เทคนิคปลอดเชื้อ (Aseptic technique)</t>
        </is>
      </c>
      <c r="C2232" s="2" t="n"/>
      <c r="D2232" s="2" t="inlineStr">
        <is>
          <t>Isotonic Sodium Chloride 0.9% Osmotic Adjustment</t>
        </is>
      </c>
      <c r="E2232" s="2" t="inlineStr">
        <is>
          <t>Moist Heat Steam Sterilization (Autoclave 121 C, 15 psi, 15 min)</t>
        </is>
      </c>
      <c r="F2232" s="2" t="inlineStr">
        <is>
          <t>Dry Heat Sterilization (Hot Air Oven 160-170 C, 2 hours)</t>
        </is>
      </c>
      <c r="G2232" s="2" t="inlineStr">
        <is>
          <t>Membrane Filtration Sterilization (0.22 micron pore size)</t>
        </is>
      </c>
      <c r="H2232" s="2" t="inlineStr">
        <is>
          <t>Ethylene Oxide Gas Sterilization (ETO)</t>
        </is>
      </c>
      <c r="I2232" s="8" t="inlineStr">
        <is>
          <t>1</t>
        </is>
      </c>
      <c r="J2232"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Products โดยมี clinical efficacy สูงสุดในการรักษาและมี safety profile ที่เหมาะสม
USP/NF, British Pharmacopoeia (BP) และ Remington: The Science and Practice of Pharmacy (หัวข้อ Sterile Products)
🔍 ข้ออื่นผิดเพราะอะไร:
• ข้อ ข. (Moist Heat Steam Sterilization (Autoclave 121 C, 15 psi, 15 min)): ข้อนี้ไม่ใช่คำตอบที่ถูกต้องสำหรับภาวะ Sterile Products เนื่องจากกลไกการออกฤทธิ์, efficacy หรือข้อบ่งใช้ไม่ตรงกับโจทย์ที่กำหนด
• ข้อ ค. (Dry Heat Sterilization (Hot Air Oven 160-170 C, 2 hours)): ข้อนี้ไม่ใช่คำตอบที่ถูกต้องสำหรับภาวะ Sterile Products เนื่องจากกลไกการออกฤทธิ์, efficacy หรือข้อบ่งใช้ไม่ตรงกับโจทย์ที่กำหนด
• ข้อ ง. (Membrane Filtration Sterilization (0.22 micron pore size)): ข้อนี้ไม่ใช่คำตอบที่ถูกต้องสำหรับภาวะ Sterile Products เนื่องจากกลไกการออกฤทธิ์, efficacy หรือข้อบ่งใช้ไม่ตรงกับโจทย์ที่กำหนด
• ข้อ จ. (Ethylene Oxide Gas Sterilization (ETO)): ข้อนี้ไม่ใช่คำตอบที่ถูกต้องสำหรับภาวะ Sterile Products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32" s="2" t="n"/>
      <c r="L2232" s="2" t="inlineStr">
        <is>
          <t>Sterile Products</t>
        </is>
      </c>
      <c r="M2232" s="2" t="inlineStr">
        <is>
          <t>Product</t>
        </is>
      </c>
      <c r="N2232" s="2" t="inlineStr">
        <is>
          <t>ข้อ 1 (PLE_CC1_Key_Rx20_UBU.md)</t>
        </is>
      </c>
      <c r="O2232" s="2" t="inlineStr">
        <is>
          <t>Mock</t>
        </is>
      </c>
      <c r="P2232" s="2" t="inlineStr">
        <is>
          <t>Mock Rx20 UBU</t>
        </is>
      </c>
    </row>
    <row r="2233" ht="13.2" customHeight="1" s="37">
      <c r="A2233" s="8" t="inlineStr">
        <is>
          <t>2254</t>
        </is>
      </c>
      <c r="B2233" s="2" t="inlineStr">
        <is>
          <t>ทำให้ปราศจากเชื้อโดยใช้ความร้อน</t>
        </is>
      </c>
      <c r="C2233" s="2" t="n"/>
      <c r="D2233" s="2" t="inlineStr">
        <is>
          <t>Membrane Filtration Sterilization (0.22 micron pore size)</t>
        </is>
      </c>
      <c r="E2233" s="2" t="inlineStr">
        <is>
          <t>Ethylene Oxide Gas Sterilization (ETO)</t>
        </is>
      </c>
      <c r="F2233" s="2" t="inlineStr">
        <is>
          <t>LAL Test (Limulus Amebocyte Lysate Bacterial Endotoxin)</t>
        </is>
      </c>
      <c r="G2233" s="2" t="inlineStr">
        <is>
          <t>Rabbit Pyrogen Test in vivo</t>
        </is>
      </c>
      <c r="H2233" s="2" t="inlineStr">
        <is>
          <t>ISO Class 5 (Grade A) Laminar Airflow Workstation</t>
        </is>
      </c>
      <c r="I2233" s="8" t="inlineStr">
        <is>
          <t>1</t>
        </is>
      </c>
      <c r="J2233"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USP/NF, British Pharmacopoeia (BP) &amp; Remington: The Science and Practice of Pharmacy (หัวข้อ Sterile Products)
Sterile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Sterile Products)
🔍 ข้ออื่นผิดเพราะอะไร:
• ข้อ ข. (Ethylene Oxide Gas Sterilization (ETO)): ข้อนี้ไม่ใช่คำตอบที่ถูกต้องสำหรับภาวะ Sterile Products เนื่องจากกลไกการออกฤทธิ์, efficacy หรือข้อบ่งใช้ไม่ตรงกับโจทย์ที่กำหนด
• ข้อ ค. (LAL Test (Limulus Amebocyte Lysate Bacterial Endotoxin)): ข้อนี้ไม่ใช่คำตอบที่ถูกต้องสำหรับภาวะ Sterile Products เนื่องจากกลไกการออกฤทธิ์, efficacy หรือข้อบ่งใช้ไม่ตรงกับโจทย์ที่กำหนด
• ข้อ ง. (Rabbit Pyrogen Test in vivo): ข้อนี้ไม่ใช่คำตอบที่ถูกต้องสำหรับภาวะ Sterile Products เนื่องจากกลไกการออกฤทธิ์, efficacy หรือข้อบ่งใช้ไม่ตรงกับโจทย์ที่กำหนด
• ข้อ จ. (ISO Class 5 (Grade A) Laminar Airflow Workstation): ข้อนี้ไม่ใช่คำตอบที่ถูกต้องสำหรับภาวะ Sterile Products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33" s="2" t="n"/>
      <c r="L2233" s="2" t="inlineStr">
        <is>
          <t>Sterile Products</t>
        </is>
      </c>
      <c r="M2233" s="2" t="inlineStr">
        <is>
          <t>Product</t>
        </is>
      </c>
      <c r="N2233" s="2" t="inlineStr">
        <is>
          <t>ข้อ 4 (PLE_CC1_Key_Rx20_UBU.md)</t>
        </is>
      </c>
      <c r="O2233" s="2" t="inlineStr">
        <is>
          <t>Mock</t>
        </is>
      </c>
      <c r="P2233" s="2" t="inlineStr">
        <is>
          <t>Mock Rx20 UBU</t>
        </is>
      </c>
    </row>
    <row r="2234" ht="13.2" customHeight="1" s="37">
      <c r="A2234" s="8" t="inlineStr">
        <is>
          <t>2255</t>
        </is>
      </c>
      <c r="B2234" s="2" t="inlineStr">
        <is>
          <t>Distilled water</t>
        </is>
      </c>
      <c r="C2234" s="2" t="n"/>
      <c r="D2234" s="2" t="inlineStr">
        <is>
          <t>Dimercaprol (BAL) 3 mg/kg IM</t>
        </is>
      </c>
      <c r="E2234" s="2" t="inlineStr">
        <is>
          <t>Ethanol 10% IV infusion for Methanol poisoning</t>
        </is>
      </c>
      <c r="F2234" s="2" t="inlineStr">
        <is>
          <t>Fomepizole 15 mg/kg IV loading</t>
        </is>
      </c>
      <c r="G2234" s="2" t="inlineStr">
        <is>
          <t>N-acetylcysteine (NAC) IV infusion protocol</t>
        </is>
      </c>
      <c r="H2234" s="2" t="inlineStr">
        <is>
          <t>Atropine sulfate 2 mg IV Q5-10 min</t>
        </is>
      </c>
      <c r="I2234" s="8" t="inlineStr">
        <is>
          <t>1</t>
        </is>
      </c>
      <c r="J223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4" s="2" t="n"/>
      <c r="L2234" s="2" t="inlineStr">
        <is>
          <t>General Therapeutics</t>
        </is>
      </c>
      <c r="M2234" s="2" t="inlineStr">
        <is>
          <t>Clinic</t>
        </is>
      </c>
      <c r="N2234" s="2" t="inlineStr">
        <is>
          <t>ข้อ 2 (PLE_CC1_Key_Rx20_UBU.md)</t>
        </is>
      </c>
      <c r="O2234" s="2" t="inlineStr">
        <is>
          <t>Mock</t>
        </is>
      </c>
      <c r="P2234" s="2" t="inlineStr">
        <is>
          <t>Mock Rx20 UBU</t>
        </is>
      </c>
    </row>
    <row r="2235" ht="13.2" customHeight="1" s="37">
      <c r="A2235" s="8" t="inlineStr">
        <is>
          <t>2256</t>
        </is>
      </c>
      <c r="B2235" s="2" t="inlineStr">
        <is>
          <t>Water for injection</t>
        </is>
      </c>
      <c r="C2235" s="2" t="n"/>
      <c r="D2235" s="2" t="inlineStr">
        <is>
          <t>N-acetylcysteine (NAC) IV infusion protocol</t>
        </is>
      </c>
      <c r="E2235" s="2" t="inlineStr">
        <is>
          <t>Atropine sulfate 2 mg IV Q5-10 min</t>
        </is>
      </c>
      <c r="F2235" s="2" t="inlineStr">
        <is>
          <t>Pralidoxime (2-PAM) 1-2 g IV over 30 min</t>
        </is>
      </c>
      <c r="G2235" s="2" t="inlineStr">
        <is>
          <t>Naloxone 0.4 mg IV stat</t>
        </is>
      </c>
      <c r="H2235" s="2" t="inlineStr">
        <is>
          <t>Flumazenil 0.2 mg IV stat</t>
        </is>
      </c>
      <c r="I2235" s="8" t="inlineStr">
        <is>
          <t>1</t>
        </is>
      </c>
      <c r="J22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35" s="2" t="n"/>
      <c r="L2235" s="2" t="inlineStr">
        <is>
          <t>General Therapeutics</t>
        </is>
      </c>
      <c r="M2235" s="2" t="inlineStr">
        <is>
          <t>Clinic</t>
        </is>
      </c>
      <c r="N2235" s="2" t="inlineStr">
        <is>
          <t>ข้อ 3 (PLE_CC1_Key_Rx20_UBU.md)</t>
        </is>
      </c>
      <c r="O2235" s="2" t="inlineStr">
        <is>
          <t>Mock</t>
        </is>
      </c>
      <c r="P2235" s="2" t="inlineStr">
        <is>
          <t>Mock Rx20 UBU</t>
        </is>
      </c>
    </row>
    <row r="2236" ht="13.2" customHeight="1" s="37">
      <c r="A2236" s="8" t="inlineStr">
        <is>
          <t>2257</t>
        </is>
      </c>
      <c r="B2236" s="2" t="inlineStr">
        <is>
          <t>การทำแห้งแบบแช่เยือกแข็ง (Lyophilization)</t>
        </is>
      </c>
      <c r="C2236" s="2" t="n"/>
      <c r="D2236" s="2" t="inlineStr">
        <is>
          <t>Naloxone 0.4 mg IV stat</t>
        </is>
      </c>
      <c r="E2236" s="2" t="inlineStr">
        <is>
          <t>Flumazenil 0.2 mg IV stat</t>
        </is>
      </c>
      <c r="F2236" s="2" t="inlineStr">
        <is>
          <t>Vitamin K1 (Phytomenadione) 10 mg IV slow</t>
        </is>
      </c>
      <c r="G2236" s="2" t="inlineStr">
        <is>
          <t>Sodium thiosulfate 25% 50 mL IV</t>
        </is>
      </c>
      <c r="H2236" s="2" t="inlineStr">
        <is>
          <t>Calcium disodium EDTA 1 g IV</t>
        </is>
      </c>
      <c r="I2236" s="8" t="inlineStr">
        <is>
          <t>1</t>
        </is>
      </c>
      <c r="J22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36" s="2" t="n"/>
      <c r="L2236" s="2" t="inlineStr">
        <is>
          <t>General Therapeutics</t>
        </is>
      </c>
      <c r="M2236" s="2" t="inlineStr">
        <is>
          <t>Clinic</t>
        </is>
      </c>
      <c r="N2236" s="2" t="inlineStr">
        <is>
          <t>ข้อ 1 (PLE_CC1_Key_Rx20_UBU.md)</t>
        </is>
      </c>
      <c r="O2236" s="2" t="inlineStr">
        <is>
          <t>Mock</t>
        </is>
      </c>
      <c r="P2236" s="2" t="inlineStr">
        <is>
          <t>Mock Rx20 UBU</t>
        </is>
      </c>
    </row>
    <row r="2237" ht="13.2" customHeight="1" s="37">
      <c r="A2237" s="8" t="inlineStr">
        <is>
          <t>2258</t>
        </is>
      </c>
      <c r="B2237" s="2" t="inlineStr">
        <is>
          <t>Cold congealing</t>
        </is>
      </c>
      <c r="C2237" s="2" t="n"/>
      <c r="D2237" s="2" t="inlineStr">
        <is>
          <t>Sodium thiosulfate 25% 50 mL IV</t>
        </is>
      </c>
      <c r="E2237" s="2" t="inlineStr">
        <is>
          <t>Calcium disodium EDTA 1 g IV</t>
        </is>
      </c>
      <c r="F2237" s="2" t="inlineStr">
        <is>
          <t>Desferrioxamine 1 g IM/IV</t>
        </is>
      </c>
      <c r="G2237" s="2" t="inlineStr">
        <is>
          <t>Dimercaprol (BAL) 3 mg/kg IM</t>
        </is>
      </c>
      <c r="H2237" s="2" t="inlineStr">
        <is>
          <t>Ethanol 10% IV infusion for Methanol poisoning</t>
        </is>
      </c>
      <c r="I2237" s="8" t="inlineStr">
        <is>
          <t>1</t>
        </is>
      </c>
      <c r="J22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7" s="2" t="n"/>
      <c r="L2237" s="2" t="inlineStr">
        <is>
          <t>General Therapeutics</t>
        </is>
      </c>
      <c r="M2237" s="2" t="inlineStr">
        <is>
          <t>Clinic</t>
        </is>
      </c>
      <c r="N2237" s="2" t="inlineStr">
        <is>
          <t>ข้อ 5 (PLE_CC1_Key_Rx20_UBU.md)</t>
        </is>
      </c>
      <c r="O2237" s="2" t="inlineStr">
        <is>
          <t>Mock</t>
        </is>
      </c>
      <c r="P2237" s="2" t="inlineStr">
        <is>
          <t>Mock Rx20 UBU</t>
        </is>
      </c>
    </row>
    <row r="2238" ht="13.2" customHeight="1" s="37">
      <c r="A2238" s="8" t="inlineStr">
        <is>
          <t>2259</t>
        </is>
      </c>
      <c r="B2238" s="2" t="inlineStr">
        <is>
          <t>ป้องกันโรคได้ทันที</t>
        </is>
      </c>
      <c r="C2238" s="2" t="n"/>
      <c r="D2238" s="2" t="inlineStr">
        <is>
          <t>Dimercaprol (BAL) 3 mg/kg IM</t>
        </is>
      </c>
      <c r="E2238" s="2" t="inlineStr">
        <is>
          <t>Ethanol 10% IV infusion for Methanol poisoning</t>
        </is>
      </c>
      <c r="F2238" s="2" t="inlineStr">
        <is>
          <t>Fomepizole 15 mg/kg IV loading</t>
        </is>
      </c>
      <c r="G2238" s="2" t="inlineStr">
        <is>
          <t>N-acetylcysteine (NAC) IV infusion protocol</t>
        </is>
      </c>
      <c r="H2238" s="2" t="inlineStr">
        <is>
          <t>Atropine sulfate 2 mg IV Q5-10 min</t>
        </is>
      </c>
      <c r="I2238" s="8" t="inlineStr">
        <is>
          <t>1</t>
        </is>
      </c>
      <c r="J22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8" s="2" t="n"/>
      <c r="L2238" s="2" t="inlineStr">
        <is>
          <t>General Therapeutics</t>
        </is>
      </c>
      <c r="M2238" s="2" t="inlineStr">
        <is>
          <t>Clinic</t>
        </is>
      </c>
      <c r="N2238" s="2" t="inlineStr">
        <is>
          <t>ข้อ 1 (PLE_CC1_Key_Rx20_UBU.md)</t>
        </is>
      </c>
      <c r="O2238" s="2" t="inlineStr">
        <is>
          <t>Mock</t>
        </is>
      </c>
      <c r="P2238" s="2" t="inlineStr">
        <is>
          <t>Mock Rx20 UBU</t>
        </is>
      </c>
    </row>
    <row r="2239" ht="13.2" customHeight="1" s="37">
      <c r="A2239" s="8" t="inlineStr">
        <is>
          <t>2260</t>
        </is>
      </c>
      <c r="B2239" s="2" t="inlineStr">
        <is>
          <t>ไม่จำเพาะเจาะจง</t>
        </is>
      </c>
      <c r="C2239" s="2" t="n"/>
      <c r="D2239" s="2" t="inlineStr">
        <is>
          <t>N-acetylcysteine (NAC) IV infusion protocol</t>
        </is>
      </c>
      <c r="E2239" s="2" t="inlineStr">
        <is>
          <t>Atropine sulfate 2 mg IV Q5-10 min</t>
        </is>
      </c>
      <c r="F2239" s="2" t="inlineStr">
        <is>
          <t>Pralidoxime (2-PAM) 1-2 g IV over 30 min</t>
        </is>
      </c>
      <c r="G2239" s="2" t="inlineStr">
        <is>
          <t>Naloxone 0.4 mg IV stat</t>
        </is>
      </c>
      <c r="H2239" s="2" t="inlineStr">
        <is>
          <t>Flumazenil 0.2 mg IV stat</t>
        </is>
      </c>
      <c r="I2239" s="8" t="inlineStr">
        <is>
          <t>1</t>
        </is>
      </c>
      <c r="J22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39" s="2" t="n"/>
      <c r="L2239" s="2" t="inlineStr">
        <is>
          <t>General Therapeutics</t>
        </is>
      </c>
      <c r="M2239" s="2" t="inlineStr">
        <is>
          <t>Clinic</t>
        </is>
      </c>
      <c r="N2239" s="2" t="inlineStr">
        <is>
          <t>ข้อ 2 (PLE_CC1_Key_Rx20_UBU.md)</t>
        </is>
      </c>
      <c r="O2239" s="2" t="inlineStr">
        <is>
          <t>Mock</t>
        </is>
      </c>
      <c r="P2239" s="2" t="inlineStr">
        <is>
          <t>Mock Rx20 UBU</t>
        </is>
      </c>
    </row>
    <row r="2240" ht="13.2" customHeight="1" s="37">
      <c r="A2240" s="8" t="inlineStr">
        <is>
          <t>2261</t>
        </is>
      </c>
      <c r="B2240" s="2" t="inlineStr">
        <is>
          <t>เกี่ยวของกับ memory B-cell</t>
        </is>
      </c>
      <c r="C2240" s="2" t="n"/>
      <c r="D2240" s="2" t="inlineStr">
        <is>
          <t>Naloxone 0.4 mg IV stat</t>
        </is>
      </c>
      <c r="E2240" s="2" t="inlineStr">
        <is>
          <t>Flumazenil 0.2 mg IV stat</t>
        </is>
      </c>
      <c r="F2240" s="2" t="inlineStr">
        <is>
          <t>Vitamin K1 (Phytomenadione) 10 mg IV slow</t>
        </is>
      </c>
      <c r="G2240" s="2" t="inlineStr">
        <is>
          <t>Sodium thiosulfate 25% 50 mL IV</t>
        </is>
      </c>
      <c r="H2240" s="2" t="inlineStr">
        <is>
          <t>Calcium disodium EDTA 1 g IV</t>
        </is>
      </c>
      <c r="I2240" s="8" t="inlineStr">
        <is>
          <t>1</t>
        </is>
      </c>
      <c r="J22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40" s="2" t="n"/>
      <c r="L2240" s="2" t="inlineStr">
        <is>
          <t>General Therapeutics</t>
        </is>
      </c>
      <c r="M2240" s="2" t="inlineStr">
        <is>
          <t>Clinic</t>
        </is>
      </c>
      <c r="N2240" s="2" t="inlineStr">
        <is>
          <t>ข้อ 4 (PLE_CC1_Key_Rx20_UBU.md)</t>
        </is>
      </c>
      <c r="O2240" s="2" t="inlineStr">
        <is>
          <t>Mock</t>
        </is>
      </c>
      <c r="P2240" s="2" t="inlineStr">
        <is>
          <t>Mock Rx20 UBU</t>
        </is>
      </c>
    </row>
    <row r="2241" ht="13.2" customHeight="1" s="37">
      <c r="A2241" s="8" t="inlineStr">
        <is>
          <t>2262</t>
        </is>
      </c>
      <c r="B2241" s="2" t="inlineStr">
        <is>
          <t>ผู้รับอนุญาตผิด ฐานขายยาอันตรายในขณะที่ เภสัชไม่อยู่ปฏิบัติการ</t>
        </is>
      </c>
      <c r="C2241" s="2" t="n"/>
      <c r="D2241" s="2" t="inlineStr">
        <is>
          <t>พ.ร.บ. หลักประกันสุขภาพแห่งชาติ พ.ศ. 2545</t>
        </is>
      </c>
      <c r="E2241" s="2" t="inlineStr">
        <is>
          <t>การปฏิบัติทางเภสัชกรรมชุมชน (Good Pharmacy Practice: GPP)</t>
        </is>
      </c>
      <c r="F2241" s="2" t="inlineStr">
        <is>
          <t>บัญชียาหลักแห่งชาติ (National List of Essential Medicines: NLEM)</t>
        </is>
      </c>
      <c r="G2241" s="2" t="inlineStr">
        <is>
          <t>เกณฑ์จริยธรรมว่าด้วยการส่งเสริมการขายยาของกระทรวงสาธารณสุข</t>
        </is>
      </c>
      <c r="H2241" s="2" t="inlineStr">
        <is>
          <t>พ.ร.บ. ยา พ.ศ. 2510 (การจำหน่ายยาอันตรายและยาควบคุมพิเศษ)</t>
        </is>
      </c>
      <c r="I2241" s="8" t="inlineStr">
        <is>
          <t>1</t>
        </is>
      </c>
      <c r="J224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1" s="2" t="n"/>
      <c r="L2241" s="2" t="inlineStr">
        <is>
          <t>Pharmacy Laws &amp; Ethics</t>
        </is>
      </c>
      <c r="M2241" s="2" t="inlineStr">
        <is>
          <t>SAP</t>
        </is>
      </c>
      <c r="N2241" s="2" t="inlineStr">
        <is>
          <t>ข้อ 3 (PLE_CC1_Key_Rx20_UBU.md)</t>
        </is>
      </c>
      <c r="O2241" s="2" t="inlineStr">
        <is>
          <t>Mock</t>
        </is>
      </c>
      <c r="P2241" s="2" t="inlineStr">
        <is>
          <t>Mock Rx20 UBU</t>
        </is>
      </c>
    </row>
    <row r="2242" ht="13.2" customHeight="1" s="37">
      <c r="A2242" s="8" t="inlineStr">
        <is>
          <t>2263</t>
        </is>
      </c>
      <c r="B2242" s="2" t="inlineStr">
        <is>
          <t>ข ง ฮ Case 1: ผู้ปวยหญิง อายุ 24 ปีมีอาการตกขาว สีเขียวเหลือง มีฟอง คันมาก ผู้ป่วยสวนลางช่องคลอดเป็นประจำ นอนดึก เมื่อ 2 เดือนก่อนมีประวัติใช้ยา Amoxycillin ปฏิเสธแพ้ยา เมื่อ 1 สัปดาห์กอน มีเพศสัมพันธุ์กับแฟนโดยไม่ได้ใส่ ถุงยางอนามัย</t>
        </is>
      </c>
      <c r="C2242" s="2" t="n"/>
      <c r="D2242" s="2" t="inlineStr">
        <is>
          <t>Montelukast 10 mg HS</t>
        </is>
      </c>
      <c r="E2242" s="2" t="inlineStr">
        <is>
          <t>Hydroxyzine 25 mg HS</t>
        </is>
      </c>
      <c r="F2242" s="2" t="inlineStr">
        <is>
          <t>Diphenhydramine 25 mg IV</t>
        </is>
      </c>
      <c r="G2242" s="2" t="inlineStr">
        <is>
          <t>Cetirizine 10 mg OD</t>
        </is>
      </c>
      <c r="H2242" s="2" t="inlineStr">
        <is>
          <t>Loratadine 10 mg OD</t>
        </is>
      </c>
      <c r="I2242" s="8" t="inlineStr">
        <is>
          <t>1</t>
        </is>
      </c>
      <c r="J2242" s="2" t="inlineStr">
        <is>
          <t>✅ คำตอบที่ถูกต้อง: ข้อ ก. Montelukast 10 mg HS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ข้อนี้ไม่ใช่คำตอบที่ถูกต้องสำหรับภาวะ Allergy &amp; Immunology เนื่องจากกลไกการออกฤทธิ์, efficacy หรือข้อบ่งใช้ไม่ตรงกับโจทย์ที่กำหนด
• ข้อ ค. (Diphenhydramine 25 mg IV): ข้อนี้ไม่ใช่คำตอบที่ถูกต้องสำหรับภาวะ Allergy &amp; Immunology เนื่องจากกลไกการออกฤทธิ์, efficacy หรือข้อบ่งใช้ไม่ตรงกับโจทย์ที่กำหนด
• ข้อ ง. (Cetirizine 10 mg OD): เป็น 2nd generation H1-antihistamine บรรเทาอาการ allergic rhinitis และ urticaria มี sedating effect ต่ำกว่า 1st gen แต่ยังอาจทำให้ง่วงซึมได้มากกว่า fexofenadine
• ข้อ จ. (Loratadine 10 mg OD):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2" s="2" t="n"/>
      <c r="L2242" s="2" t="inlineStr">
        <is>
          <t>Allergy &amp; Immunology</t>
        </is>
      </c>
      <c r="M2242" s="2" t="inlineStr">
        <is>
          <t>Clinic</t>
        </is>
      </c>
      <c r="N2242" s="2" t="inlineStr">
        <is>
          <t>ข้อ 5 (PLE_CC1_Key_Rx20_UBU.md)</t>
        </is>
      </c>
      <c r="O2242" s="2" t="inlineStr">
        <is>
          <t>Mock</t>
        </is>
      </c>
      <c r="P2242" s="2" t="inlineStr">
        <is>
          <t>Mock Rx20 UBU</t>
        </is>
      </c>
    </row>
    <row r="2243" ht="13.2" customHeight="1" s="37">
      <c r="A2243" s="8" t="inlineStr">
        <is>
          <t>2264</t>
        </is>
      </c>
      <c r="B2243" s="2" t="inlineStr">
        <is>
          <t>Candida albicans</t>
        </is>
      </c>
      <c r="C2243" s="2" t="n"/>
      <c r="D2243" s="2" t="inlineStr">
        <is>
          <t>N-acetylcysteine (NAC) IV infusion protocol</t>
        </is>
      </c>
      <c r="E2243" s="2" t="inlineStr">
        <is>
          <t>Atropine sulfate 2 mg IV Q5-10 min</t>
        </is>
      </c>
      <c r="F2243" s="2" t="inlineStr">
        <is>
          <t>Pralidoxime (2-PAM) 1-2 g IV over 30 min</t>
        </is>
      </c>
      <c r="G2243" s="2" t="inlineStr">
        <is>
          <t>Naloxone 0.4 mg IV stat</t>
        </is>
      </c>
      <c r="H2243" s="2" t="inlineStr">
        <is>
          <t>Flumazenil 0.2 mg IV stat</t>
        </is>
      </c>
      <c r="I2243" s="8" t="inlineStr">
        <is>
          <t>1</t>
        </is>
      </c>
      <c r="J22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43" s="2" t="n"/>
      <c r="L2243" s="2" t="inlineStr">
        <is>
          <t>General Therapeutics</t>
        </is>
      </c>
      <c r="M2243" s="2" t="inlineStr">
        <is>
          <t>Clinic</t>
        </is>
      </c>
      <c r="N2243" s="2" t="inlineStr">
        <is>
          <t>ข้อ 1 (PLE_CC1_Key_Rx20_UBU.md)</t>
        </is>
      </c>
      <c r="O2243" s="2" t="inlineStr">
        <is>
          <t>Mock</t>
        </is>
      </c>
      <c r="P2243" s="2" t="inlineStr">
        <is>
          <t>Mock Rx20 UBU</t>
        </is>
      </c>
    </row>
    <row r="2244" ht="13.2" customHeight="1" s="37">
      <c r="A2244" s="8" t="inlineStr">
        <is>
          <t>2265</t>
        </is>
      </c>
      <c r="B2244" s="2" t="inlineStr">
        <is>
          <t>Trichomonas vaginalis</t>
        </is>
      </c>
      <c r="C2244" s="2" t="n"/>
      <c r="D2244" s="2" t="inlineStr">
        <is>
          <t>Naloxone 0.4 mg IV stat</t>
        </is>
      </c>
      <c r="E2244" s="2" t="inlineStr">
        <is>
          <t>Flumazenil 0.2 mg IV stat</t>
        </is>
      </c>
      <c r="F2244" s="2" t="inlineStr">
        <is>
          <t>Vitamin K1 (Phytomenadione) 10 mg IV slow</t>
        </is>
      </c>
      <c r="G2244" s="2" t="inlineStr">
        <is>
          <t>Sodium thiosulfate 25% 50 mL IV</t>
        </is>
      </c>
      <c r="H2244" s="2" t="inlineStr">
        <is>
          <t>Calcium disodium EDTA 1 g IV</t>
        </is>
      </c>
      <c r="I2244" s="8" t="inlineStr">
        <is>
          <t>1</t>
        </is>
      </c>
      <c r="J22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44" s="2" t="n"/>
      <c r="L2244" s="2" t="inlineStr">
        <is>
          <t>General Therapeutics</t>
        </is>
      </c>
      <c r="M2244" s="2" t="inlineStr">
        <is>
          <t>Clinic</t>
        </is>
      </c>
      <c r="N2244" s="2" t="inlineStr">
        <is>
          <t>ข้อ 2 (PLE_CC1_Key_Rx20_UBU.md)</t>
        </is>
      </c>
      <c r="O2244" s="2" t="inlineStr">
        <is>
          <t>Mock</t>
        </is>
      </c>
      <c r="P2244" s="2" t="inlineStr">
        <is>
          <t>Mock Rx20 UBU</t>
        </is>
      </c>
    </row>
    <row r="2245" ht="13.2" customHeight="1" s="37">
      <c r="A2245" s="8" t="inlineStr">
        <is>
          <t>2266</t>
        </is>
      </c>
      <c r="B2245" s="2" t="inlineStr">
        <is>
          <t>Neiseria gonorrhea</t>
        </is>
      </c>
      <c r="C2245" s="2" t="n"/>
      <c r="D2245" s="2" t="inlineStr">
        <is>
          <t>Sodium thiosulfate 25% 50 mL IV</t>
        </is>
      </c>
      <c r="E2245" s="2" t="inlineStr">
        <is>
          <t>Calcium disodium EDTA 1 g IV</t>
        </is>
      </c>
      <c r="F2245" s="2" t="inlineStr">
        <is>
          <t>Desferrioxamine 1 g IM/IV</t>
        </is>
      </c>
      <c r="G2245" s="2" t="inlineStr">
        <is>
          <t>Dimercaprol (BAL) 3 mg/kg IM</t>
        </is>
      </c>
      <c r="H2245" s="2" t="inlineStr">
        <is>
          <t>Ethanol 10% IV infusion for Methanol poisoning</t>
        </is>
      </c>
      <c r="I2245" s="8" t="inlineStr">
        <is>
          <t>3</t>
        </is>
      </c>
      <c r="J2245" s="2" t="inlineStr">
        <is>
          <t>✅ คำตอบที่ถูกต้อง: ข้อ ค. Desferrioxamine 1 g IM/IV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Desferrioxamine 1 g IM/IV การเลือก Desferrioxamine 1 g IM/IV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5" s="2" t="n"/>
      <c r="L2245" s="2" t="inlineStr">
        <is>
          <t>General Therapeutics</t>
        </is>
      </c>
      <c r="M2245" s="2" t="inlineStr">
        <is>
          <t>Clinic</t>
        </is>
      </c>
      <c r="N2245" s="2" t="inlineStr">
        <is>
          <t>ข้อ 5 (PLE_CC1_Key_Rx20_UBU.md)</t>
        </is>
      </c>
      <c r="O2245" s="2" t="inlineStr">
        <is>
          <t>Mock</t>
        </is>
      </c>
      <c r="P2245" s="2" t="inlineStr">
        <is>
          <t>Mock Rx20 UBU</t>
        </is>
      </c>
    </row>
    <row r="2246" ht="13.2" customHeight="1" s="37">
      <c r="A2246" s="8" t="inlineStr">
        <is>
          <t>2267</t>
        </is>
      </c>
      <c r="B2246" s="2" t="inlineStr">
        <is>
          <t>การใชยาปฎิชีวนะ</t>
        </is>
      </c>
      <c r="C2246" s="2" t="n"/>
      <c r="D2246" s="2" t="inlineStr">
        <is>
          <t>Dimercaprol (BAL) 3 mg/kg IM</t>
        </is>
      </c>
      <c r="E2246" s="2" t="inlineStr">
        <is>
          <t>Ethanol 10% IV infusion for Methanol poisoning</t>
        </is>
      </c>
      <c r="F2246" s="2" t="inlineStr">
        <is>
          <t>Fomepizole 15 mg/kg IV loading</t>
        </is>
      </c>
      <c r="G2246" s="2" t="inlineStr">
        <is>
          <t>N-acetylcysteine (NAC) IV infusion protocol</t>
        </is>
      </c>
      <c r="H2246" s="2" t="inlineStr">
        <is>
          <t>Atropine sulfate 2 mg IV Q5-10 min</t>
        </is>
      </c>
      <c r="I2246" s="8" t="inlineStr">
        <is>
          <t>1</t>
        </is>
      </c>
      <c r="J22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6" s="2" t="n"/>
      <c r="L2246" s="2" t="inlineStr">
        <is>
          <t>General Therapeutics</t>
        </is>
      </c>
      <c r="M2246" s="2" t="inlineStr">
        <is>
          <t>Clinic</t>
        </is>
      </c>
      <c r="N2246" s="2" t="inlineStr">
        <is>
          <t>ข้อ 1 (PLE_CC1_Key_Rx20_UBU.md)</t>
        </is>
      </c>
      <c r="O2246" s="2" t="inlineStr">
        <is>
          <t>Mock</t>
        </is>
      </c>
      <c r="P2246" s="2" t="inlineStr">
        <is>
          <t>Mock Rx20 UBU</t>
        </is>
      </c>
    </row>
    <row r="2247" ht="13.2" customHeight="1" s="37">
      <c r="A2247" s="8" t="inlineStr">
        <is>
          <t>2268</t>
        </is>
      </c>
      <c r="B2247" s="2" t="inlineStr">
        <is>
          <t>สวนลางช่องคลอดเป็นประจำ</t>
        </is>
      </c>
      <c r="C2247" s="2" t="n"/>
      <c r="D2247" s="2" t="inlineStr">
        <is>
          <t>N-acetylcysteine (NAC) IV infusion protocol</t>
        </is>
      </c>
      <c r="E2247" s="2" t="inlineStr">
        <is>
          <t>Atropine sulfate 2 mg IV Q5-10 min</t>
        </is>
      </c>
      <c r="F2247" s="2" t="inlineStr">
        <is>
          <t>Pralidoxime (2-PAM) 1-2 g IV over 30 min</t>
        </is>
      </c>
      <c r="G2247" s="2" t="inlineStr">
        <is>
          <t>Naloxone 0.4 mg IV stat</t>
        </is>
      </c>
      <c r="H2247" s="2" t="inlineStr">
        <is>
          <t>Flumazenil 0.2 mg IV stat</t>
        </is>
      </c>
      <c r="I2247" s="8" t="inlineStr">
        <is>
          <t>1</t>
        </is>
      </c>
      <c r="J224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47" s="2" t="n"/>
      <c r="L2247" s="2" t="inlineStr">
        <is>
          <t>General Therapeutics</t>
        </is>
      </c>
      <c r="M2247" s="2" t="inlineStr">
        <is>
          <t>Clinic</t>
        </is>
      </c>
      <c r="N2247" s="2" t="inlineStr">
        <is>
          <t>ข้อ 3 (PLE_CC1_Key_Rx20_UBU.md)</t>
        </is>
      </c>
      <c r="O2247" s="2" t="inlineStr">
        <is>
          <t>Mock</t>
        </is>
      </c>
      <c r="P2247" s="2" t="inlineStr">
        <is>
          <t>Mock Rx20 UBU</t>
        </is>
      </c>
    </row>
    <row r="2248" ht="13.2" customHeight="1" s="37">
      <c r="A2248" s="8" t="inlineStr">
        <is>
          <t>2269</t>
        </is>
      </c>
      <c r="B2248" s="2" t="inlineStr">
        <is>
          <t>ประวัติการมีเพศสัมพันธุ์</t>
        </is>
      </c>
      <c r="C2248" s="2" t="n"/>
      <c r="D2248" s="2" t="inlineStr">
        <is>
          <t>Naloxone 0.4 mg IV stat</t>
        </is>
      </c>
      <c r="E2248" s="2" t="inlineStr">
        <is>
          <t>Flumazenil 0.2 mg IV stat</t>
        </is>
      </c>
      <c r="F2248" s="2" t="inlineStr">
        <is>
          <t>Vitamin K1 (Phytomenadione) 10 mg IV slow</t>
        </is>
      </c>
      <c r="G2248" s="2" t="inlineStr">
        <is>
          <t>Sodium thiosulfate 25% 50 mL IV</t>
        </is>
      </c>
      <c r="H2248" s="2" t="inlineStr">
        <is>
          <t>Calcium disodium EDTA 1 g IV</t>
        </is>
      </c>
      <c r="I2248" s="8" t="inlineStr">
        <is>
          <t>1</t>
        </is>
      </c>
      <c r="J22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48" s="2" t="n"/>
      <c r="L2248" s="2" t="inlineStr">
        <is>
          <t>General Therapeutics</t>
        </is>
      </c>
      <c r="M2248" s="2" t="inlineStr">
        <is>
          <t>Clinic</t>
        </is>
      </c>
      <c r="N2248" s="2" t="inlineStr">
        <is>
          <t>ข้อ 4 (PLE_CC1_Key_Rx20_UBU.md)</t>
        </is>
      </c>
      <c r="O2248" s="2" t="inlineStr">
        <is>
          <t>Mock</t>
        </is>
      </c>
      <c r="P2248" s="2" t="inlineStr">
        <is>
          <t>Mock Rx20 UBU</t>
        </is>
      </c>
    </row>
    <row r="2249" ht="13.2" customHeight="1" s="37">
      <c r="A2249" s="8" t="inlineStr">
        <is>
          <t>2270</t>
        </is>
      </c>
      <c r="B2249" s="2" t="inlineStr">
        <is>
          <t>ยาในข้อใดใช้ในการรักษาผู้ป่วยรายนี้</t>
        </is>
      </c>
      <c r="C2249" s="2" t="n"/>
      <c r="D2249" s="2" t="inlineStr">
        <is>
          <t>Sodium thiosulfate 25% 50 mL IV</t>
        </is>
      </c>
      <c r="E2249" s="2" t="inlineStr">
        <is>
          <t>Calcium disodium EDTA 1 g IV</t>
        </is>
      </c>
      <c r="F2249" s="2" t="inlineStr">
        <is>
          <t>Desferrioxamine 1 g IM/IV</t>
        </is>
      </c>
      <c r="G2249" s="2" t="inlineStr">
        <is>
          <t>Dimercaprol (BAL) 3 mg/kg IM</t>
        </is>
      </c>
      <c r="H2249" s="2" t="inlineStr">
        <is>
          <t>Ethanol 10% IV infusion for Methanol poisoning</t>
        </is>
      </c>
      <c r="I2249" s="8" t="inlineStr">
        <is>
          <t>1</t>
        </is>
      </c>
      <c r="J22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9" s="2" t="n"/>
      <c r="L2249" s="2" t="inlineStr">
        <is>
          <t>General Therapeutics</t>
        </is>
      </c>
      <c r="M2249" s="2" t="inlineStr">
        <is>
          <t>Clinic</t>
        </is>
      </c>
      <c r="N2249" s="2" t="inlineStr">
        <is>
          <t>ข้อ 3 (PLE_CC1_Key_Rx20_UBU.md)</t>
        </is>
      </c>
      <c r="O2249" s="2" t="inlineStr">
        <is>
          <t>Mock</t>
        </is>
      </c>
      <c r="P2249" s="2" t="inlineStr">
        <is>
          <t>Mock Rx20 UBU</t>
        </is>
      </c>
    </row>
    <row r="2250" ht="13.2" customHeight="1" s="37">
      <c r="A2250" s="8" t="inlineStr">
        <is>
          <t>2271</t>
        </is>
      </c>
      <c r="B2250" s="2" t="inlineStr">
        <is>
          <t>ข้อใดไม่ใช้ข้อแนะนำเกี่ยวกับยา fluconazole</t>
        </is>
      </c>
      <c r="C2250" s="2" t="n"/>
      <c r="D2250" s="2" t="inlineStr">
        <is>
          <t>Ceftriaxone 1 g IV OD</t>
        </is>
      </c>
      <c r="E2250" s="2" t="inlineStr">
        <is>
          <t>Ciprofloxacin 500 mg BID</t>
        </is>
      </c>
      <c r="F2250" s="2" t="inlineStr">
        <is>
          <t>Azithromycin 500 mg OD</t>
        </is>
      </c>
      <c r="G2250" s="2" t="inlineStr">
        <is>
          <t>Doxycycline 100 mg BID</t>
        </is>
      </c>
      <c r="H2250" s="2" t="inlineStr">
        <is>
          <t>Cotrimoxazole 160/800 mg BID</t>
        </is>
      </c>
      <c r="I2250" s="8" t="inlineStr">
        <is>
          <t>1</t>
        </is>
      </c>
      <c r="J2250" s="2"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0" s="2" t="n"/>
      <c r="L2250" s="2" t="inlineStr">
        <is>
          <t>Infectious Diseases</t>
        </is>
      </c>
      <c r="M2250" s="2" t="inlineStr">
        <is>
          <t>Clinic</t>
        </is>
      </c>
      <c r="N2250" s="2" t="inlineStr">
        <is>
          <t>ข้อ 4 (PLE_CC1_Key_Rx20_UBU.md)</t>
        </is>
      </c>
      <c r="O2250" s="2" t="inlineStr">
        <is>
          <t>Mock</t>
        </is>
      </c>
      <c r="P2250" s="2" t="inlineStr">
        <is>
          <t>Mock Rx20 UBU</t>
        </is>
      </c>
    </row>
    <row r="2251" ht="13.2" customHeight="1" s="37">
      <c r="A2251" s="8" t="inlineStr">
        <is>
          <t>2272</t>
        </is>
      </c>
      <c r="B2251" s="2" t="inlineStr">
        <is>
          <t>ไม่ควรรับประทานรวมกับยาอื่นเนื่องจากอาจ เกิดอัตรกิริยาระหว่างยาได</t>
        </is>
      </c>
      <c r="C2251" s="2" t="n"/>
      <c r="D2251" s="2" t="inlineStr">
        <is>
          <t>N-acetylcysteine (NAC) IV infusion protocol</t>
        </is>
      </c>
      <c r="E2251" s="2" t="inlineStr">
        <is>
          <t>Atropine sulfate 2 mg IV Q5-10 min</t>
        </is>
      </c>
      <c r="F2251" s="2" t="inlineStr">
        <is>
          <t>Pralidoxime (2-PAM) 1-2 g IV over 30 min</t>
        </is>
      </c>
      <c r="G2251" s="2" t="inlineStr">
        <is>
          <t>Naloxone 0.4 mg IV stat</t>
        </is>
      </c>
      <c r="H2251" s="2" t="inlineStr">
        <is>
          <t>Flumazenil 0.2 mg IV stat</t>
        </is>
      </c>
      <c r="I2251" s="8" t="inlineStr">
        <is>
          <t>1</t>
        </is>
      </c>
      <c r="J225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51" s="2" t="n"/>
      <c r="L2251" s="2" t="inlineStr">
        <is>
          <t>General Therapeutics</t>
        </is>
      </c>
      <c r="M2251" s="2" t="inlineStr">
        <is>
          <t>Clinic</t>
        </is>
      </c>
      <c r="N2251" s="2" t="inlineStr">
        <is>
          <t>ข้อ 1 (PLE_CC1_Key_Rx20_UBU.md)</t>
        </is>
      </c>
      <c r="O2251" s="2" t="inlineStr">
        <is>
          <t>Mock</t>
        </is>
      </c>
      <c r="P2251" s="2" t="inlineStr">
        <is>
          <t>Mock Rx20 UBU</t>
        </is>
      </c>
    </row>
    <row r="2252" ht="13.2" customHeight="1" s="37">
      <c r="A2252" s="8" t="inlineStr">
        <is>
          <t>2273</t>
        </is>
      </c>
      <c r="B2252" s="2" t="inlineStr">
        <is>
          <t>ยาอาจทำให้เกิดพิษต่อตับ ดังนั้นควรหลีกเลี่ยง การดื่ม แอลกอฮอล</t>
        </is>
      </c>
      <c r="C2252" s="2" t="n"/>
      <c r="D2252" s="2" t="inlineStr">
        <is>
          <t>Naloxone 0.4 mg IV stat</t>
        </is>
      </c>
      <c r="E2252" s="2" t="inlineStr">
        <is>
          <t>Flumazenil 0.2 mg IV stat</t>
        </is>
      </c>
      <c r="F2252" s="2" t="inlineStr">
        <is>
          <t>Vitamin K1 (Phytomenadione) 10 mg IV slow</t>
        </is>
      </c>
      <c r="G2252" s="2" t="inlineStr">
        <is>
          <t>Sodium thiosulfate 25% 50 mL IV</t>
        </is>
      </c>
      <c r="H2252" s="2" t="inlineStr">
        <is>
          <t>Calcium disodium EDTA 1 g IV</t>
        </is>
      </c>
      <c r="I2252" s="8" t="inlineStr">
        <is>
          <t>1</t>
        </is>
      </c>
      <c r="J225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52" s="2" t="n"/>
      <c r="L2252" s="2" t="inlineStr">
        <is>
          <t>General Therapeutics</t>
        </is>
      </c>
      <c r="M2252" s="2" t="inlineStr">
        <is>
          <t>Clinic</t>
        </is>
      </c>
      <c r="N2252" s="2" t="inlineStr">
        <is>
          <t>ข้อ 2 (PLE_CC1_Key_Rx20_UBU.md)</t>
        </is>
      </c>
      <c r="O2252" s="2" t="inlineStr">
        <is>
          <t>Mock</t>
        </is>
      </c>
      <c r="P2252" s="2" t="inlineStr">
        <is>
          <t>Mock Rx20 UBU</t>
        </is>
      </c>
    </row>
    <row r="2253" ht="13.2" customHeight="1" s="37">
      <c r="A2253" s="8" t="inlineStr">
        <is>
          <t>2274</t>
        </is>
      </c>
      <c r="B2253" s="2" t="inlineStr">
        <is>
          <t>รับประทานยาต่อเนื่องกัน 7 วัน</t>
        </is>
      </c>
      <c r="C2253" s="2" t="n"/>
      <c r="D2253" s="2" t="inlineStr">
        <is>
          <t>Sodium thiosulfate 25% 50 mL IV</t>
        </is>
      </c>
      <c r="E2253" s="2" t="inlineStr">
        <is>
          <t>Calcium disodium EDTA 1 g IV</t>
        </is>
      </c>
      <c r="F2253" s="2" t="inlineStr">
        <is>
          <t>Desferrioxamine 1 g IM/IV</t>
        </is>
      </c>
      <c r="G2253" s="2" t="inlineStr">
        <is>
          <t>Dimercaprol (BAL) 3 mg/kg IM</t>
        </is>
      </c>
      <c r="H2253" s="2" t="inlineStr">
        <is>
          <t>Ethanol 10% IV infusion for Methanol poisoning</t>
        </is>
      </c>
      <c r="I2253" s="8" t="inlineStr">
        <is>
          <t>1</t>
        </is>
      </c>
      <c r="J22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3" s="2" t="n"/>
      <c r="L2253" s="2" t="inlineStr">
        <is>
          <t>General Therapeutics</t>
        </is>
      </c>
      <c r="M2253" s="2" t="inlineStr">
        <is>
          <t>Clinic</t>
        </is>
      </c>
      <c r="N2253" s="2" t="inlineStr">
        <is>
          <t>ข้อ 4 (PLE_CC1_Key_Rx20_UBU.md)</t>
        </is>
      </c>
      <c r="O2253" s="2" t="inlineStr">
        <is>
          <t>Mock</t>
        </is>
      </c>
      <c r="P2253" s="2" t="inlineStr">
        <is>
          <t>Mock Rx20 UBU</t>
        </is>
      </c>
    </row>
    <row r="2254" ht="13.2" customHeight="1" s="37">
      <c r="A2254" s="8" t="inlineStr">
        <is>
          <t>2275</t>
        </is>
      </c>
      <c r="B2254" s="2" t="inlineStr">
        <is>
          <t>ควรรับประทานหลังอาหารเพื่อช่วยในการดูด ซึมยา</t>
        </is>
      </c>
      <c r="C2254" s="2" t="n"/>
      <c r="D2254" s="2" t="inlineStr">
        <is>
          <t>Dimercaprol (BAL) 3 mg/kg IM</t>
        </is>
      </c>
      <c r="E2254" s="2" t="inlineStr">
        <is>
          <t>Ethanol 10% IV infusion for Methanol poisoning</t>
        </is>
      </c>
      <c r="F2254" s="2" t="inlineStr">
        <is>
          <t>Fomepizole 15 mg/kg IV loading</t>
        </is>
      </c>
      <c r="G2254" s="2" t="inlineStr">
        <is>
          <t>N-acetylcysteine (NAC) IV infusion protocol</t>
        </is>
      </c>
      <c r="H2254" s="2" t="inlineStr">
        <is>
          <t>Atropine sulfate 2 mg IV Q5-10 min</t>
        </is>
      </c>
      <c r="I2254" s="8" t="inlineStr">
        <is>
          <t>4</t>
        </is>
      </c>
      <c r="J2254"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54" s="2" t="n"/>
      <c r="L2254" s="2" t="inlineStr">
        <is>
          <t>General Therapeutics</t>
        </is>
      </c>
      <c r="M2254" s="2" t="inlineStr">
        <is>
          <t>Clinic</t>
        </is>
      </c>
      <c r="N2254" s="2" t="inlineStr">
        <is>
          <t>ข้อ 5 (PLE_CC1_Key_Rx20_UBU.md)</t>
        </is>
      </c>
      <c r="O2254" s="2" t="inlineStr">
        <is>
          <t>Mock</t>
        </is>
      </c>
      <c r="P2254" s="2" t="inlineStr">
        <is>
          <t>Mock Rx20 UBU</t>
        </is>
      </c>
    </row>
    <row r="2255" ht="13.2" customHeight="1" s="37">
      <c r="A2255" s="8" t="inlineStr">
        <is>
          <t>2276</t>
        </is>
      </c>
      <c r="B2255" s="2" t="inlineStr">
        <is>
          <t>Fluconazole เป็น strong CYP inhibitor ของ CYP ใด</t>
        </is>
      </c>
      <c r="C2255" s="2" t="n"/>
      <c r="D2255" s="2" t="inlineStr">
        <is>
          <t>Azithromycin 500 mg OD</t>
        </is>
      </c>
      <c r="E2255" s="2" t="inlineStr">
        <is>
          <t>Doxycycline 100 mg BID</t>
        </is>
      </c>
      <c r="F2255" s="2" t="inlineStr">
        <is>
          <t>Cotrimoxazole 160/800 mg BID</t>
        </is>
      </c>
      <c r="G2255" s="2" t="inlineStr">
        <is>
          <t>Metronidazole 400 mg TID</t>
        </is>
      </c>
      <c r="H2255" s="2" t="inlineStr">
        <is>
          <t>Nitrofurantoin 100 mg BID</t>
        </is>
      </c>
      <c r="I2255" s="8" t="inlineStr">
        <is>
          <t>1</t>
        </is>
      </c>
      <c r="J2255" s="2" t="inlineStr">
        <is>
          <t>✅ คำตอบที่ถูกต้อง: ข้อ ก. Azithromycin 500 mg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5" s="2" t="n"/>
      <c r="L2255" s="2" t="inlineStr">
        <is>
          <t>Infectious Diseases</t>
        </is>
      </c>
      <c r="M2255" s="2" t="inlineStr">
        <is>
          <t>Clinic</t>
        </is>
      </c>
      <c r="N2255" s="2" t="inlineStr">
        <is>
          <t>ข้อ 5 (PLE_CC1_Key_Rx20_UBU.md)</t>
        </is>
      </c>
      <c r="O2255" s="2" t="inlineStr">
        <is>
          <t>Mock</t>
        </is>
      </c>
      <c r="P2255" s="2" t="inlineStr">
        <is>
          <t>Mock Rx20 UBU</t>
        </is>
      </c>
    </row>
    <row r="2256" ht="13.2" customHeight="1" s="37">
      <c r="A2256" s="8" t="inlineStr">
        <is>
          <t>2277</t>
        </is>
      </c>
      <c r="B2256" s="2" t="inlineStr">
        <is>
          <t>ยับยั้งการสร้างส่วนประกอบของเยื่อหุมเซลล์</t>
        </is>
      </c>
      <c r="C2256" s="2" t="n"/>
      <c r="D2256" s="2" t="inlineStr">
        <is>
          <t>Naloxone 0.4 mg IV stat</t>
        </is>
      </c>
      <c r="E2256" s="2" t="inlineStr">
        <is>
          <t>Flumazenil 0.2 mg IV stat</t>
        </is>
      </c>
      <c r="F2256" s="2" t="inlineStr">
        <is>
          <t>Vitamin K1 (Phytomenadione) 10 mg IV slow</t>
        </is>
      </c>
      <c r="G2256" s="2" t="inlineStr">
        <is>
          <t>Sodium thiosulfate 25% 50 mL IV</t>
        </is>
      </c>
      <c r="H2256" s="2" t="inlineStr">
        <is>
          <t>Calcium disodium EDTA 1 g IV</t>
        </is>
      </c>
      <c r="I2256" s="8" t="inlineStr">
        <is>
          <t>1</t>
        </is>
      </c>
      <c r="J22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56" s="2" t="n"/>
      <c r="L2256" s="2" t="inlineStr">
        <is>
          <t>General Therapeutics</t>
        </is>
      </c>
      <c r="M2256" s="2" t="inlineStr">
        <is>
          <t>Clinic</t>
        </is>
      </c>
      <c r="N2256" s="2" t="inlineStr">
        <is>
          <t>ข้อ 1 (PLE_CC1_Key_Rx20_UBU.md)</t>
        </is>
      </c>
      <c r="O2256" s="2" t="inlineStr">
        <is>
          <t>Mock</t>
        </is>
      </c>
      <c r="P2256" s="2" t="inlineStr">
        <is>
          <t>Mock Rx20 UBU</t>
        </is>
      </c>
    </row>
    <row r="2257" ht="13.2" customHeight="1" s="37">
      <c r="A2257" s="8" t="inlineStr">
        <is>
          <t>2278</t>
        </is>
      </c>
      <c r="B2257" s="2" t="inlineStr">
        <is>
          <t>ยับยั้งการสร้างสวนประกอบของผนังเซลล</t>
        </is>
      </c>
      <c r="C2257" s="2" t="n"/>
      <c r="D2257" s="2" t="inlineStr">
        <is>
          <t>Sodium thiosulfate 25% 50 mL IV</t>
        </is>
      </c>
      <c r="E2257" s="2" t="inlineStr">
        <is>
          <t>Calcium disodium EDTA 1 g IV</t>
        </is>
      </c>
      <c r="F2257" s="2" t="inlineStr">
        <is>
          <t>Desferrioxamine 1 g IM/IV</t>
        </is>
      </c>
      <c r="G2257" s="2" t="inlineStr">
        <is>
          <t>Dimercaprol (BAL) 3 mg/kg IM</t>
        </is>
      </c>
      <c r="H2257" s="2" t="inlineStr">
        <is>
          <t>Ethanol 10% IV infusion for Methanol poisoning</t>
        </is>
      </c>
      <c r="I2257" s="8" t="inlineStr">
        <is>
          <t>1</t>
        </is>
      </c>
      <c r="J22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7" s="2" t="n"/>
      <c r="L2257" s="2" t="inlineStr">
        <is>
          <t>General Therapeutics</t>
        </is>
      </c>
      <c r="M2257" s="2" t="inlineStr">
        <is>
          <t>Clinic</t>
        </is>
      </c>
      <c r="N2257" s="2" t="inlineStr">
        <is>
          <t>ข้อ 2 (PLE_CC1_Key_Rx20_UBU.md)</t>
        </is>
      </c>
      <c r="O2257" s="2" t="inlineStr">
        <is>
          <t>Mock</t>
        </is>
      </c>
      <c r="P2257" s="2" t="inlineStr">
        <is>
          <t>Mock Rx20 UBU</t>
        </is>
      </c>
    </row>
    <row r="2258" ht="13.2" customHeight="1" s="37">
      <c r="A2258" s="8" t="inlineStr">
        <is>
          <t>2279</t>
        </is>
      </c>
      <c r="B2258" s="2" t="inlineStr">
        <is>
          <t>ยับยั้งการสังเคราะห DNA</t>
        </is>
      </c>
      <c r="C2258" s="2" t="n"/>
      <c r="D2258" s="2" t="inlineStr">
        <is>
          <t>Dimercaprol (BAL) 3 mg/kg IM</t>
        </is>
      </c>
      <c r="E2258" s="2" t="inlineStr">
        <is>
          <t>Ethanol 10% IV infusion for Methanol poisoning</t>
        </is>
      </c>
      <c r="F2258" s="2" t="inlineStr">
        <is>
          <t>Fomepizole 15 mg/kg IV loading</t>
        </is>
      </c>
      <c r="G2258" s="2" t="inlineStr">
        <is>
          <t>N-acetylcysteine (NAC) IV infusion protocol</t>
        </is>
      </c>
      <c r="H2258" s="2" t="inlineStr">
        <is>
          <t>Atropine sulfate 2 mg IV Q5-10 min</t>
        </is>
      </c>
      <c r="I2258" s="8" t="inlineStr">
        <is>
          <t>1</t>
        </is>
      </c>
      <c r="J22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58" s="2" t="n"/>
      <c r="L2258" s="2" t="inlineStr">
        <is>
          <t>General Therapeutics</t>
        </is>
      </c>
      <c r="M2258" s="2" t="inlineStr">
        <is>
          <t>Clinic</t>
        </is>
      </c>
      <c r="N2258" s="2" t="inlineStr">
        <is>
          <t>ข้อ 4 (PLE_CC1_Key_Rx20_UBU.md)</t>
        </is>
      </c>
      <c r="O2258" s="2" t="inlineStr">
        <is>
          <t>Mock</t>
        </is>
      </c>
      <c r="P2258" s="2" t="inlineStr">
        <is>
          <t>Mock Rx20 UBU</t>
        </is>
      </c>
    </row>
    <row r="2259" ht="13.2" customHeight="1" s="37">
      <c r="A2259" s="8" t="inlineStr">
        <is>
          <t>2280</t>
        </is>
      </c>
      <c r="B2259" s="2" t="inlineStr">
        <is>
          <t>เตรียมยาเหน็บช่องคลอดของยา Clotrimazole ขนาด 0.1 กรัม/แท่ง จำนวน 1 แท่ง ยาเหน็บ PEG เปล่าแท่งละ 2.5 กรัม จะต้องใช้ PEG Base หนักเท่าใด ยามีคา DV = 1 (ความหนาแนน PEG = 1.2 เท่าของ Theobroma oil)</t>
        </is>
      </c>
      <c r="C2259" s="2" t="n"/>
      <c r="D2259" s="2" t="inlineStr">
        <is>
          <t>Cetirizine 10 mg OD</t>
        </is>
      </c>
      <c r="E2259" s="2" t="inlineStr">
        <is>
          <t>Isotretinoin 10 mg OD</t>
        </is>
      </c>
      <c r="F2259" s="2" t="inlineStr">
        <is>
          <t>Terbinafine 1% cream</t>
        </is>
      </c>
      <c r="G2259" s="2" t="inlineStr">
        <is>
          <t>Adapalene 0.1% gel</t>
        </is>
      </c>
      <c r="H2259" s="2" t="inlineStr">
        <is>
          <t>Mupirocin 2% ointment</t>
        </is>
      </c>
      <c r="I2259" s="8" t="inlineStr">
        <is>
          <t>1</t>
        </is>
      </c>
      <c r="J2259" s="2" t="inlineStr">
        <is>
          <t>✅ คำตอบที่ถูกต้อง: ข้อ ก. Cetirizine 10 mg OD
💡 Background:
การบริบาลผู้ป่วยในกลุ่มโรค Dermatologic Disorders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ข้อนี้ไม่ใช่คำตอบที่ถูกต้องสำหรับภาวะ Dermatologic Disorders เนื่องจากกลไกการออกฤทธิ์, efficacy หรือข้อบ่งใช้ไม่ตรงกับโจทย์ที่กำหนด
• ข้อ ค. (Terbinafine 1% cream): ข้อนี้ไม่ใช่คำตอบที่ถูกต้องสำหรับภาวะ Dermatologic Disorders เนื่องจากกลไกการออกฤทธิ์, efficacy หรือข้อบ่งใช้ไม่ตรงกับโจทย์ที่กำหนด
• ข้อ ง. (Adapalene 0.1% gel): ข้อนี้ไม่ใช่คำตอบที่ถูกต้องสำหรับภาวะ Dermatologic Disorders เนื่องจากกลไกการออกฤทธิ์, efficacy หรือข้อบ่งใช้ไม่ตรงกับโจทย์ที่กำหนด
• ข้อ จ. (Mupirocin 2% ointment): ข้อนี้ไม่ใช่คำตอบที่ถูกต้องสำหรับภาวะ Dermatologic Disorders เนื่องจากกลไกการออกฤทธิ์, efficacy หรือข้อบ่งใช้ไม่ตรงกับโจทย์ที่กำหนด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59" s="2" t="n"/>
      <c r="L2259" s="2" t="inlineStr">
        <is>
          <t>Dermatologic Disorders</t>
        </is>
      </c>
      <c r="M2259" s="2" t="inlineStr">
        <is>
          <t>Clinic</t>
        </is>
      </c>
      <c r="N2259" s="2" t="inlineStr">
        <is>
          <t>ข้อ 7 (PLE_CC1_Key_Rx20_UBU.md)</t>
        </is>
      </c>
      <c r="O2259" s="2" t="inlineStr">
        <is>
          <t>Mock</t>
        </is>
      </c>
      <c r="P2259" s="2" t="inlineStr">
        <is>
          <t>Mock Rx20 UBU</t>
        </is>
      </c>
    </row>
    <row r="2260" ht="13.2" customHeight="1" s="37">
      <c r="A2260" s="8" t="inlineStr">
        <is>
          <t>2281</t>
        </is>
      </c>
      <c r="B2260" s="2" t="inlineStr">
        <is>
          <t>MockenhauptM,ViboudC,DunantA,etal.Stevens- Johnsonsyndromeandtoxicepidermalnecrolysis:assessmentofmedication risks with emphasis on recent marketed drugs. The EuroSCAR-study. J InvestDermatol 2008;128:35-44.</t>
        </is>
      </c>
      <c r="C2260" s="2" t="n"/>
      <c r="D2260" s="2" t="inlineStr">
        <is>
          <t>Naloxone 0.4 mg IV stat</t>
        </is>
      </c>
      <c r="E2260" s="2" t="inlineStr">
        <is>
          <t>Flumazenil 0.2 mg IV stat</t>
        </is>
      </c>
      <c r="F2260" s="2" t="inlineStr">
        <is>
          <t>Vitamin K1 (Phytomenadione) 10 mg IV slow</t>
        </is>
      </c>
      <c r="G2260" s="2" t="inlineStr">
        <is>
          <t>Sodium thiosulfate 25% 50 mL IV</t>
        </is>
      </c>
      <c r="H2260" s="2" t="inlineStr">
        <is>
          <t>Calcium disodium EDTA 1 g IV</t>
        </is>
      </c>
      <c r="I2260" s="8" t="inlineStr">
        <is>
          <t>1</t>
        </is>
      </c>
      <c r="J2260" s="2" t="inlineStr">
        <is>
          <t>✅ คำตอบที่ถูกต้อง: ข้อ ก. Naloxone 0.4 mg IV stat
💡 Background:
ภาวะ acute poisoning ต้องได้รับการประเมิน supportive care ควบคู่กับการให้ specific antidote อย่างทันท่วงที
🎯 ทำไมข้อนี้ถึงถูก:
Naloxone 0.4 mg IV stat การเลือก Naloxone 0.4 mg IV stat เป็นคำตอบที่ถูกต้องและสอดคล้องกับ evidence-based guidelines ของภาวะ Toxicology &amp; Antidote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Toxicology &amp; Antidote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Toxicology &amp; Antidote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60" s="2" t="n"/>
      <c r="L2260" s="2" t="inlineStr">
        <is>
          <t>Toxicology &amp; Antidote</t>
        </is>
      </c>
      <c r="M2260" s="2" t="inlineStr">
        <is>
          <t>Clinic</t>
        </is>
      </c>
      <c r="N2260" s="2" t="inlineStr">
        <is>
          <t>ข้อ 2 (PLE_CC1_Key_Rx20_UBU.md)</t>
        </is>
      </c>
      <c r="O2260" s="2" t="inlineStr">
        <is>
          <t>Mock</t>
        </is>
      </c>
      <c r="P2260" s="2" t="inlineStr">
        <is>
          <t>Mock Rx20 UBU</t>
        </is>
      </c>
    </row>
    <row r="2261" ht="13.2" customHeight="1" s="37">
      <c r="A2261" s="8" t="inlineStr">
        <is>
          <t>2282</t>
        </is>
      </c>
      <c r="B2261" s="2" t="inlineStr">
        <is>
          <t>ได้รับยาท่ีมีอุบัติการณ์ของการเกิด TEN มาก</t>
        </is>
      </c>
      <c r="C2261" s="2" t="n"/>
      <c r="D2261" s="2" t="inlineStr">
        <is>
          <t>Epinephrine 0.3 mg IM stat</t>
        </is>
      </c>
      <c r="E2261" s="2" t="inlineStr">
        <is>
          <t>Dexamethasone 4 mg IV</t>
        </is>
      </c>
      <c r="F2261" s="2" t="inlineStr">
        <is>
          <t>Prednisolone 20 mg OD</t>
        </is>
      </c>
      <c r="G2261" s="2" t="inlineStr">
        <is>
          <t>Montelukast 10 mg HS</t>
        </is>
      </c>
      <c r="H2261" s="2" t="inlineStr">
        <is>
          <t>Hydroxyzine 25 mg HS</t>
        </is>
      </c>
      <c r="I2261" s="8" t="inlineStr">
        <is>
          <t>1</t>
        </is>
      </c>
      <c r="J2261" s="2" t="inlineStr">
        <is>
          <t>✅ คำตอบที่ถูกต้อง: ข้อ ก. Epinephrine 0.3 mg IM stat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Epinephrine 0.3 mg IM stat
🔍 ข้ออื่นผิดเพราะอะไร:
• ข้อ ข. (Dexamethasone 4 mg IV): เป็น long-acting potent glucocorticoid ไม่มี mineralocorticoid effect จึงไม่ทำให้น้ำคั่ง เหมาะสำหรับ brain edema, antiemetic, และ COVID-19 with hypoxemia
• ข้อ ค. (Prednisolone 20 mg OD): เป็น intermediate-acting systemic corticosteroid ขนาดยอดนิยมสำหรับ immunosuppressive &amp; anti-inflammatory therapy ต้องระวัง Cushingoid, infection, osteoporosis, peptic ulcer
• ข้อ ง. (Montelukast 10 mg HS):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 จ. (Hydroxyzine 25 mg HS):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1" s="2" t="n"/>
      <c r="L2261" s="2" t="inlineStr">
        <is>
          <t>Allergy &amp; Immunology</t>
        </is>
      </c>
      <c r="M2261" s="2" t="inlineStr">
        <is>
          <t>Clinic</t>
        </is>
      </c>
      <c r="N2261" s="2" t="inlineStr">
        <is>
          <t>ข้อ 3 (PLE_CC1_Key_Rx20_UBU.md)</t>
        </is>
      </c>
      <c r="O2261" s="2" t="inlineStr">
        <is>
          <t>Mock</t>
        </is>
      </c>
      <c r="P2261" s="2" t="inlineStr">
        <is>
          <t>Mock Rx20 UBU</t>
        </is>
      </c>
    </row>
    <row r="2262" ht="13.2" customHeight="1" s="37">
      <c r="A2262" s="8" t="inlineStr">
        <is>
          <t>2283</t>
        </is>
      </c>
      <c r="B2262" s="2" t="inlineStr">
        <is>
          <t>2 สัปดาห์ก่อนมาโรงพยาบาลมีไข้ เจ็บคอ ปวดเมื่อยตามตัว</t>
        </is>
      </c>
      <c r="C2262" s="2" t="n"/>
      <c r="D2262" s="2" t="inlineStr">
        <is>
          <t>Dimercaprol (BAL) 3 mg/kg IM</t>
        </is>
      </c>
      <c r="E2262" s="2" t="inlineStr">
        <is>
          <t>Ethanol 10% IV infusion for Methanol poisoning</t>
        </is>
      </c>
      <c r="F2262" s="2" t="inlineStr">
        <is>
          <t>Fomepizole 15 mg/kg IV loading</t>
        </is>
      </c>
      <c r="G2262" s="2" t="inlineStr">
        <is>
          <t>N-acetylcysteine (NAC) IV infusion protocol</t>
        </is>
      </c>
      <c r="H2262" s="2" t="inlineStr">
        <is>
          <t>Atropine sulfate 2 mg IV Q5-10 min</t>
        </is>
      </c>
      <c r="I2262" s="8" t="inlineStr">
        <is>
          <t>1</t>
        </is>
      </c>
      <c r="J22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62" s="2" t="n"/>
      <c r="L2262" s="2" t="inlineStr">
        <is>
          <t>General Therapeutics</t>
        </is>
      </c>
      <c r="M2262" s="2" t="inlineStr">
        <is>
          <t>Clinic</t>
        </is>
      </c>
      <c r="N2262" s="2" t="inlineStr">
        <is>
          <t>ข้อ 4 (PLE_CC1_Key_Rx20_UBU.md)</t>
        </is>
      </c>
      <c r="O2262" s="2" t="inlineStr">
        <is>
          <t>Mock</t>
        </is>
      </c>
      <c r="P2262" s="2" t="inlineStr">
        <is>
          <t>Mock Rx20 UBU</t>
        </is>
      </c>
    </row>
    <row r="2263" ht="13.2" customHeight="1" s="37">
      <c r="A2263" s="8" t="inlineStr">
        <is>
          <t>2284</t>
        </is>
      </c>
      <c r="B2263" s="2" t="inlineStr">
        <is>
          <t>ผู้ป่วยได้ cloxacillin แล้วมีอาการแสบบริเวณเส้นท่ีให้ยา ข้อใดถูกต้อง</t>
        </is>
      </c>
      <c r="C2263" s="2" t="n"/>
      <c r="D2263" s="2" t="inlineStr">
        <is>
          <t>Ceftriaxone 1 g IV OD</t>
        </is>
      </c>
      <c r="E2263" s="2" t="inlineStr">
        <is>
          <t>Ciprofloxacin 500 mg BID</t>
        </is>
      </c>
      <c r="F2263" s="2" t="inlineStr">
        <is>
          <t>Azithromycin 500 mg OD</t>
        </is>
      </c>
      <c r="G2263" s="2" t="inlineStr">
        <is>
          <t>Doxycycline 100 mg BID</t>
        </is>
      </c>
      <c r="H2263" s="2" t="inlineStr">
        <is>
          <t>Cotrimoxazole 160/800 mg BID</t>
        </is>
      </c>
      <c r="I2263" s="8" t="inlineStr">
        <is>
          <t>1</t>
        </is>
      </c>
      <c r="J2263" s="2" t="inlineStr">
        <is>
          <t>✅ คำตอบที่ถูกต้อง: ข้อ ก. Ceftriaxone 1 g IV OD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Infectious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3" s="2" t="n"/>
      <c r="L2263" s="2" t="inlineStr">
        <is>
          <t>Infectious Diseases</t>
        </is>
      </c>
      <c r="M2263" s="2" t="inlineStr">
        <is>
          <t>Clinic</t>
        </is>
      </c>
      <c r="N2263" s="2" t="inlineStr">
        <is>
          <t>ข้อ 3 (PLE_CC1_Key_Rx20_UBU.md)</t>
        </is>
      </c>
      <c r="O2263" s="2" t="inlineStr">
        <is>
          <t>Mock</t>
        </is>
      </c>
      <c r="P2263" s="2" t="inlineStr">
        <is>
          <t>Mock Rx20 UBU</t>
        </is>
      </c>
    </row>
    <row r="2264" ht="13.2" customHeight="1" s="37">
      <c r="A2264" s="8" t="inlineStr">
        <is>
          <t>2285</t>
        </is>
      </c>
      <c r="B2264" s="2" t="inlineStr">
        <is>
          <t>ไม่เป็นอาการไม่พึงประสงค์ เพราะเกิดจากการ ให้ยาผิด</t>
        </is>
      </c>
      <c r="C2264" s="2" t="n"/>
      <c r="D2264" s="2" t="inlineStr">
        <is>
          <t>Naloxone 0.4 mg IV stat</t>
        </is>
      </c>
      <c r="E2264" s="2" t="inlineStr">
        <is>
          <t>Flumazenil 0.2 mg IV stat</t>
        </is>
      </c>
      <c r="F2264" s="2" t="inlineStr">
        <is>
          <t>Vitamin K1 (Phytomenadione) 10 mg IV slow</t>
        </is>
      </c>
      <c r="G2264" s="2" t="inlineStr">
        <is>
          <t>Sodium thiosulfate 25% 50 mL IV</t>
        </is>
      </c>
      <c r="H2264" s="2" t="inlineStr">
        <is>
          <t>Calcium disodium EDTA 1 g IV</t>
        </is>
      </c>
      <c r="I2264" s="8" t="inlineStr">
        <is>
          <t>1</t>
        </is>
      </c>
      <c r="J22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64" s="2" t="n"/>
      <c r="L2264" s="2" t="inlineStr">
        <is>
          <t>General Therapeutics</t>
        </is>
      </c>
      <c r="M2264" s="2" t="inlineStr">
        <is>
          <t>Clinic</t>
        </is>
      </c>
      <c r="N2264" s="2" t="inlineStr">
        <is>
          <t>ข้อ 1 (PLE_CC1_Key_Rx20_UBU.md)</t>
        </is>
      </c>
      <c r="O2264" s="2" t="inlineStr">
        <is>
          <t>Mock</t>
        </is>
      </c>
      <c r="P2264" s="2" t="inlineStr">
        <is>
          <t>Mock Rx20 UBU</t>
        </is>
      </c>
    </row>
    <row r="2265" ht="13.2" customHeight="1" s="37">
      <c r="A2265" s="8" t="inlineStr">
        <is>
          <t>2286</t>
        </is>
      </c>
      <c r="B2265" s="2" t="inlineStr">
        <is>
          <t>ไม่เป็นอาการไม่พึงประสงค์ ....</t>
        </is>
      </c>
      <c r="C2265" s="2" t="n"/>
      <c r="D2265" s="2" t="inlineStr">
        <is>
          <t>Sodium thiosulfate 25% 50 mL IV</t>
        </is>
      </c>
      <c r="E2265" s="2" t="inlineStr">
        <is>
          <t>Calcium disodium EDTA 1 g IV</t>
        </is>
      </c>
      <c r="F2265" s="2" t="inlineStr">
        <is>
          <t>Desferrioxamine 1 g IM/IV</t>
        </is>
      </c>
      <c r="G2265" s="2" t="inlineStr">
        <is>
          <t>Dimercaprol (BAL) 3 mg/kg IM</t>
        </is>
      </c>
      <c r="H2265" s="2" t="inlineStr">
        <is>
          <t>Ethanol 10% IV infusion for Methanol poisoning</t>
        </is>
      </c>
      <c r="I2265" s="8" t="inlineStr">
        <is>
          <t>1</t>
        </is>
      </c>
      <c r="J22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5" s="2" t="n"/>
      <c r="L2265" s="2" t="inlineStr">
        <is>
          <t>General Therapeutics</t>
        </is>
      </c>
      <c r="M2265" s="2" t="inlineStr">
        <is>
          <t>Clinic</t>
        </is>
      </c>
      <c r="N2265" s="2" t="inlineStr">
        <is>
          <t>ข้อ 2 (PLE_CC1_Key_Rx20_UBU.md)</t>
        </is>
      </c>
      <c r="O2265" s="2" t="inlineStr">
        <is>
          <t>Mock</t>
        </is>
      </c>
      <c r="P2265" s="2" t="inlineStr">
        <is>
          <t>Mock Rx20 UBU</t>
        </is>
      </c>
    </row>
    <row r="2266" ht="13.2" customHeight="1" s="37">
      <c r="A2266" s="8" t="inlineStr">
        <is>
          <t>2287</t>
        </is>
      </c>
      <c r="B2266" s="2" t="inlineStr">
        <is>
          <t>เป็นอาการไม่พึงประสงค์ท่ีไม่สามารถป้องกันได้เพราะยา cloxacillin มีความเป็นกรด</t>
        </is>
      </c>
      <c r="C2266" s="2" t="n"/>
      <c r="D2266" s="2" t="inlineStr">
        <is>
          <t>Vancomycin 1 g IV Q12H</t>
        </is>
      </c>
      <c r="E2266" s="2" t="inlineStr">
        <is>
          <t>Meropenem 1 g IV Q8H</t>
        </is>
      </c>
      <c r="F2266" s="2" t="inlineStr">
        <is>
          <t>Cefazolin 1 g IV Q8H</t>
        </is>
      </c>
      <c r="G2266" s="2" t="inlineStr">
        <is>
          <t>Amoxicillin/Clavulanate 1 g BID</t>
        </is>
      </c>
      <c r="H2266" s="2" t="inlineStr">
        <is>
          <t>Ceftriaxone 1 g IV OD</t>
        </is>
      </c>
      <c r="I2266" s="8" t="inlineStr">
        <is>
          <t>1</t>
        </is>
      </c>
      <c r="J2266" s="2" t="inlineStr">
        <is>
          <t>✅ คำตอบที่ถูกต้อง: ข้อ ก. Vancomycin 1 g IV Q12H
💡 Background:
การรักษาโรคติดเชื้อแบคทีเรีย (Infectious Diseases) ต้องเลือก antibiotic ที่ครอบคลุม likely pathogens และมี PK/PD profile เหมาะสมกับตำแหน่งการติดเชื้อ
🎯 ทำไมข้อนี้ถึงถูก:
Vancomycin 1 g IV Q12H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266" s="2" t="n"/>
      <c r="L2266" s="2" t="inlineStr">
        <is>
          <t>Infectious Diseases</t>
        </is>
      </c>
      <c r="M2266" s="2" t="inlineStr">
        <is>
          <t>Clinic</t>
        </is>
      </c>
      <c r="N2266" s="2" t="inlineStr">
        <is>
          <t>ข้อ 3 (PLE_CC1_Key_Rx20_UBU.md)</t>
        </is>
      </c>
      <c r="O2266" s="2" t="inlineStr">
        <is>
          <t>Mock</t>
        </is>
      </c>
      <c r="P2266" s="2" t="inlineStr">
        <is>
          <t>Mock Rx20 UBU</t>
        </is>
      </c>
    </row>
    <row r="2267" ht="13.2" customHeight="1" s="37">
      <c r="A2267" s="8" t="inlineStr">
        <is>
          <t>2288</t>
        </is>
      </c>
      <c r="B2267" s="2" t="inlineStr">
        <is>
          <t>เป็นอาการไม่พึงประสงค์ที่ไม่สามารถป้องกันได้เพราะเกิดได้อยู่แล้วจากการให้ยาน้ี</t>
        </is>
      </c>
      <c r="C2267" s="2" t="n"/>
      <c r="D2267" s="2" t="inlineStr">
        <is>
          <t>N-acetylcysteine (NAC) IV infusion protocol</t>
        </is>
      </c>
      <c r="E2267" s="2" t="inlineStr">
        <is>
          <t>Atropine sulfate 2 mg IV Q5-10 min</t>
        </is>
      </c>
      <c r="F2267" s="2" t="inlineStr">
        <is>
          <t>Pralidoxime (2-PAM) 1-2 g IV over 30 min</t>
        </is>
      </c>
      <c r="G2267" s="2" t="inlineStr">
        <is>
          <t>Naloxone 0.4 mg IV stat</t>
        </is>
      </c>
      <c r="H2267" s="2" t="inlineStr">
        <is>
          <t>Flumazenil 0.2 mg IV stat</t>
        </is>
      </c>
      <c r="I2267" s="8" t="inlineStr">
        <is>
          <t>1</t>
        </is>
      </c>
      <c r="J22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67" s="2" t="n"/>
      <c r="L2267" s="2" t="inlineStr">
        <is>
          <t>General Therapeutics</t>
        </is>
      </c>
      <c r="M2267" s="2" t="inlineStr">
        <is>
          <t>Clinic</t>
        </is>
      </c>
      <c r="N2267" s="2" t="inlineStr">
        <is>
          <t>ข้อ 4 (PLE_CC1_Key_Rx20_UBU.md)</t>
        </is>
      </c>
      <c r="O2267" s="2" t="inlineStr">
        <is>
          <t>Mock</t>
        </is>
      </c>
      <c r="P2267" s="2" t="inlineStr">
        <is>
          <t>Mock Rx20 UBU</t>
        </is>
      </c>
    </row>
    <row r="2268" ht="13.2" customHeight="1" s="37">
      <c r="A2268" s="8" t="inlineStr">
        <is>
          <t>2289</t>
        </is>
      </c>
      <c r="B2268" s="2" t="inlineStr">
        <is>
          <t>เป็นอาการไม่พึงประสงค์ท่ีสามารถป้องกันได้โดยให้ยาแบบ IV infusion 30-60 นาที</t>
        </is>
      </c>
      <c r="C2268" s="2" t="n"/>
      <c r="D2268" s="2" t="inlineStr">
        <is>
          <t>Naloxone 0.4 mg IV stat</t>
        </is>
      </c>
      <c r="E2268" s="2" t="inlineStr">
        <is>
          <t>Flumazenil 0.2 mg IV stat</t>
        </is>
      </c>
      <c r="F2268" s="2" t="inlineStr">
        <is>
          <t>Vitamin K1 (Phytomenadione) 10 mg IV slow</t>
        </is>
      </c>
      <c r="G2268" s="2" t="inlineStr">
        <is>
          <t>Sodium thiosulfate 25% 50 mL IV</t>
        </is>
      </c>
      <c r="H2268" s="2" t="inlineStr">
        <is>
          <t>Calcium disodium EDTA 1 g IV</t>
        </is>
      </c>
      <c r="I2268" s="8" t="inlineStr">
        <is>
          <t>1</t>
        </is>
      </c>
      <c r="J22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68" s="2" t="n"/>
      <c r="L2268" s="2" t="inlineStr">
        <is>
          <t>General Therapeutics</t>
        </is>
      </c>
      <c r="M2268" s="2" t="inlineStr">
        <is>
          <t>Clinic</t>
        </is>
      </c>
      <c r="N2268" s="2" t="inlineStr">
        <is>
          <t>ข้อ 5 (PLE_CC1_Key_Rx20_UBU.md)</t>
        </is>
      </c>
      <c r="O2268" s="2" t="inlineStr">
        <is>
          <t>Mock</t>
        </is>
      </c>
      <c r="P2268" s="2" t="inlineStr">
        <is>
          <t>Mock Rx20 UBU</t>
        </is>
      </c>
    </row>
    <row r="2269" ht="13.2" customHeight="1" s="37">
      <c r="A2269" s="8" t="inlineStr">
        <is>
          <t>2290</t>
        </is>
      </c>
      <c r="B2269" s="2" t="inlineStr">
        <is>
          <t>การเกิดอาการไม่พึงประสงค์ของผู้ป่วยตาม NCC MERP จัดอยู่ในระดับใด</t>
        </is>
      </c>
      <c r="C2269" s="2" t="n"/>
      <c r="D2269" s="2" t="inlineStr">
        <is>
          <t>Sodium thiosulfate 25% 50 mL IV</t>
        </is>
      </c>
      <c r="E2269" s="2" t="inlineStr">
        <is>
          <t>Calcium disodium EDTA 1 g IV</t>
        </is>
      </c>
      <c r="F2269" s="2" t="inlineStr">
        <is>
          <t>Desferrioxamine 1 g IM/IV</t>
        </is>
      </c>
      <c r="G2269" s="2" t="inlineStr">
        <is>
          <t>Dimercaprol (BAL) 3 mg/kg IM</t>
        </is>
      </c>
      <c r="H2269" s="2" t="inlineStr">
        <is>
          <t>Ethanol 10% IV infusion for Methanol poisoning</t>
        </is>
      </c>
      <c r="I2269" s="8" t="inlineStr">
        <is>
          <t>1</t>
        </is>
      </c>
      <c r="J22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69" s="2" t="n"/>
      <c r="L2269" s="2" t="inlineStr">
        <is>
          <t>General Therapeutics</t>
        </is>
      </c>
      <c r="M2269" s="2" t="inlineStr">
        <is>
          <t>Clinic</t>
        </is>
      </c>
      <c r="N2269" s="2" t="inlineStr">
        <is>
          <t>ข้อ 4 (PLE_CC1_Key_Rx20_UBU.md)</t>
        </is>
      </c>
      <c r="O2269" s="2" t="inlineStr">
        <is>
          <t>Mock</t>
        </is>
      </c>
      <c r="P2269" s="2" t="inlineStr">
        <is>
          <t>Mock Rx20 UBU</t>
        </is>
      </c>
    </row>
    <row r="2270" ht="13.2" customHeight="1" s="37">
      <c r="A2270" s="8" t="inlineStr">
        <is>
          <t>2291</t>
        </is>
      </c>
      <c r="B2270" s="2" t="inlineStr">
        <is>
          <t>I แบ่งประเภทตามระดับความรุนแรงของความคลาดเคลื่อนทาง ยาที่ส่งผลต่อผู้ป่วยตามเกณฑ์ของ The National Coordinating Council for Medication Error Reporting and Prevention (NCC MERP) โดยกำหนดการแบ่งเป็น 9 ระดับต้ังแต่ A-I ดังน้ี Harm ความหมาย A ไม่มีความคลาดเคลื่อนเกิดขึ้น แต่มีเหตุการณ์ที่อาจทำให้เกิดความคลาดเคลื่อนได้ B มีความคลาดเคลื่อนเกิดขึ้น แต่ไม่เป็นอันตรายต่อผู้ป่วย เนื่องจากความคลาดเคลื่อนไปไม่ถึงผู้ป่วย C มีความคลาดเคลื่อนเกิดข้ึน แต่ไม่เป็นอันตรายต่อผู้ป่วย ถึงแม้ว่าความคลาดเคลื่อนนั้นจะไปถึงผู้ป่วย D มีความคลาดเคลื่อนเกิดข้ึน แม้ไม่เป็นอันตรายต่อผู้ป่วย แต่ยังจำเป็นต้องมีการติดตามผู้ป่วยเพิ่มเติม E มีความคลาดเคลื่อนเกิดขึ้น และเป็นอันตรายต่อผู้ป่วยเพียงชั่วคราวรวมถึงจำเป็นต้องได้รับการ รักษา หรือแก้ไขเพิ่มเติม F มีความคลาดเคลื่อนเกิดขึ้น และเป็นอันตรายต่อผู้ป่วยเพียงชั่วคราวรวมถึงจำเป็นต้องได้รับการ รักษาในโรงพยาบาล หรือยืดระยะเวลาในการรักษาตัวในโรงพยาบาลออกไป G มีความคลาดเคลื่อนเกิดขึ้น และเป็นอันตรายต่อผู้ป่วยถาวร มีความพิการถาวร H มีความคลาดเคลื่อนเกิดขึ้น และเป็นอันตรายต่อผู้ป่วยจนเกือบถึงแก่ชีวิต ex.ต้อง CPR I มีความคลาดเคลื่อนเกิดขึ้น และเป็นอันตรายต่อผู้ป่วยจนถึงแก่ชีวิต</t>
        </is>
      </c>
      <c r="C2270" s="2" t="n"/>
      <c r="D2270" s="2" t="inlineStr">
        <is>
          <t>Dimercaprol (BAL) 3 mg/kg IM</t>
        </is>
      </c>
      <c r="E2270" s="2" t="inlineStr">
        <is>
          <t>Ethanol 10% IV infusion for Methanol poisoning</t>
        </is>
      </c>
      <c r="F2270" s="2" t="inlineStr">
        <is>
          <t>Fomepizole 15 mg/kg IV loading</t>
        </is>
      </c>
      <c r="G2270" s="2" t="inlineStr">
        <is>
          <t>N-acetylcysteine (NAC) IV infusion protocol</t>
        </is>
      </c>
      <c r="H2270" s="2" t="inlineStr">
        <is>
          <t>Atropine sulfate 2 mg IV Q5-10 min</t>
        </is>
      </c>
      <c r="I2270" s="8" t="inlineStr">
        <is>
          <t>1</t>
        </is>
      </c>
      <c r="J22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70" s="2" t="n"/>
      <c r="L2270" s="2" t="inlineStr">
        <is>
          <t>General Therapeutics</t>
        </is>
      </c>
      <c r="M2270" s="2" t="inlineStr">
        <is>
          <t>Clinic</t>
        </is>
      </c>
      <c r="N2270" s="2" t="inlineStr">
        <is>
          <t>ข้อ 5 (PLE_CC1_Key_Rx20_UBU.md)</t>
        </is>
      </c>
      <c r="O2270" s="2" t="inlineStr">
        <is>
          <t>Mock</t>
        </is>
      </c>
      <c r="P2270" s="2" t="inlineStr">
        <is>
          <t>Mock Rx20 UBU</t>
        </is>
      </c>
    </row>
    <row r="2271" ht="13.2" customHeight="1" s="37">
      <c r="A2271" s="8" t="inlineStr">
        <is>
          <t>2292</t>
        </is>
      </c>
      <c r="B2271" s="2" t="inlineStr">
        <is>
          <t>อาการไม่พึงประสงค์ของผู้ป่วยจัดเป็นการแพ้ยาแบบใด</t>
        </is>
      </c>
      <c r="C2271" s="2" t="n"/>
      <c r="D2271" s="2" t="inlineStr">
        <is>
          <t>Cetirizine 10 mg OD</t>
        </is>
      </c>
      <c r="E2271" s="2" t="inlineStr">
        <is>
          <t>Loratadine 10 mg OD</t>
        </is>
      </c>
      <c r="F2271" s="2" t="inlineStr">
        <is>
          <t>Fexofenadine 180 mg OD</t>
        </is>
      </c>
      <c r="G2271" s="2" t="inlineStr">
        <is>
          <t>Chlorpheniramine 4 mg TID</t>
        </is>
      </c>
      <c r="H2271" s="2" t="inlineStr">
        <is>
          <t>Fluticasone furoate nasal spray</t>
        </is>
      </c>
      <c r="I2271" s="8" t="inlineStr">
        <is>
          <t>1</t>
        </is>
      </c>
      <c r="J2271"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Evidence-Based Selection: ยึดหลักแนวทางเวชปฏิบัติมาตรฐานของภาวะ Allergy &amp; Immunology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1" s="2" t="n"/>
      <c r="L2271" s="2" t="inlineStr">
        <is>
          <t>Allergy &amp; Immunology</t>
        </is>
      </c>
      <c r="M2271" s="2" t="inlineStr">
        <is>
          <t>Clinic</t>
        </is>
      </c>
      <c r="N2271" s="2" t="inlineStr">
        <is>
          <t>ข้อ 5 (PLE_CC1_Key_Rx20_UBU.md)</t>
        </is>
      </c>
      <c r="O2271" s="2" t="inlineStr">
        <is>
          <t>Mock</t>
        </is>
      </c>
      <c r="P2271" s="2" t="inlineStr">
        <is>
          <t>Mock Rx20 UBU</t>
        </is>
      </c>
    </row>
    <row r="2272" ht="13.2" customHeight="1" s="37">
      <c r="A2272" s="8" t="inlineStr">
        <is>
          <t>2293</t>
        </is>
      </c>
      <c r="B2272" s="2" t="inlineStr">
        <is>
          <t>ถ้าผู้ป่วยแพ้โปรตีนจากสัตว์ทุกประเภทห้ามใช้ผลิตภัณฑ์จากธรรมชาติในข้อใด</t>
        </is>
      </c>
      <c r="C2272" s="2" t="n"/>
      <c r="D2272" s="2" t="inlineStr">
        <is>
          <t>Naloxone 0.4 mg IV stat</t>
        </is>
      </c>
      <c r="E2272" s="2" t="inlineStr">
        <is>
          <t>Flumazenil 0.2 mg IV stat</t>
        </is>
      </c>
      <c r="F2272" s="2" t="inlineStr">
        <is>
          <t>Vitamin K1 (Phytomenadione) 10 mg IV slow</t>
        </is>
      </c>
      <c r="G2272" s="2" t="inlineStr">
        <is>
          <t>Sodium thiosulfate 25% 50 mL IV</t>
        </is>
      </c>
      <c r="H2272" s="2" t="inlineStr">
        <is>
          <t>Calcium disodium EDTA 1 g IV</t>
        </is>
      </c>
      <c r="I2272" s="8" t="inlineStr">
        <is>
          <t>1</t>
        </is>
      </c>
      <c r="J22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72" s="2" t="n"/>
      <c r="L2272" s="2" t="inlineStr">
        <is>
          <t>General Therapeutics</t>
        </is>
      </c>
      <c r="M2272" s="2" t="inlineStr">
        <is>
          <t>Clinic</t>
        </is>
      </c>
      <c r="N2272" s="2" t="inlineStr">
        <is>
          <t>ข้อ 6 (PLE_CC1_Key_Rx20_UBU.md)</t>
        </is>
      </c>
      <c r="O2272" s="2" t="inlineStr">
        <is>
          <t>Mock</t>
        </is>
      </c>
      <c r="P2272" s="2" t="inlineStr">
        <is>
          <t>Mock Rx20 UBU</t>
        </is>
      </c>
    </row>
    <row r="2273" ht="13.2" customHeight="1" s="37">
      <c r="A2273" s="8" t="inlineStr">
        <is>
          <t>2294</t>
        </is>
      </c>
      <c r="B2273" s="2" t="inlineStr">
        <is>
          <t>หากต้องการเตรียม hydrophilic colloid ท่ีมีประจุ บวกควรเลือกใช้ polymer ตัวใด</t>
        </is>
      </c>
      <c r="C2273" s="2" t="n"/>
      <c r="D2273" s="2" t="inlineStr">
        <is>
          <t>Sodium thiosulfate 25% 50 mL IV</t>
        </is>
      </c>
      <c r="E2273" s="2" t="inlineStr">
        <is>
          <t>Calcium disodium EDTA 1 g IV</t>
        </is>
      </c>
      <c r="F2273" s="2" t="inlineStr">
        <is>
          <t>Desferrioxamine 1 g IM/IV</t>
        </is>
      </c>
      <c r="G2273" s="2" t="inlineStr">
        <is>
          <t>Dimercaprol (BAL) 3 mg/kg IM</t>
        </is>
      </c>
      <c r="H2273" s="2" t="inlineStr">
        <is>
          <t>Ethanol 10% IV infusion for Methanol poisoning</t>
        </is>
      </c>
      <c r="I2273" s="8" t="inlineStr">
        <is>
          <t>1</t>
        </is>
      </c>
      <c r="J22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3" s="2" t="n"/>
      <c r="L2273" s="2" t="inlineStr">
        <is>
          <t>General Therapeutics</t>
        </is>
      </c>
      <c r="M2273" s="2" t="inlineStr">
        <is>
          <t>Clinic</t>
        </is>
      </c>
      <c r="N2273" s="2" t="inlineStr">
        <is>
          <t>ข้อ 7 (PLE_CC1_Key_Rx20_UBU.md)</t>
        </is>
      </c>
      <c r="O2273" s="2" t="inlineStr">
        <is>
          <t>Mock</t>
        </is>
      </c>
      <c r="P2273" s="2" t="inlineStr">
        <is>
          <t>Mock Rx20 UBU</t>
        </is>
      </c>
    </row>
    <row r="2274" ht="13.2" customHeight="1" s="37">
      <c r="A2274" s="8" t="inlineStr">
        <is>
          <t>2295</t>
        </is>
      </c>
      <c r="B2274" s="2" t="inlineStr">
        <is>
          <t>ค่าสูบบุหรี่ pack-year เท่ากับ 40 ถูกต้อง คำนวณ Packed per year = จำนวนซอง x จำนวนปีที่สูบ (1ซองมี 20 มวน) -- &gt; 1ซอง x (70-25- 5 ปี) = 40</t>
        </is>
      </c>
      <c r="C2274" s="2" t="n"/>
      <c r="D2274" s="2" t="inlineStr">
        <is>
          <t>Montelukast 10 mg HS</t>
        </is>
      </c>
      <c r="E2274" s="2" t="inlineStr">
        <is>
          <t>Theophylline 200 mg BID</t>
        </is>
      </c>
      <c r="F2274" s="2" t="inlineStr">
        <is>
          <t>Prednisolone 40 mg OD x 5 days</t>
        </is>
      </c>
      <c r="G2274" s="2" t="inlineStr">
        <is>
          <t>N-acetylcysteine 600 mg OD</t>
        </is>
      </c>
      <c r="H2274" s="2" t="inlineStr">
        <is>
          <t>Beclomethasone MDI 100 mcg BID</t>
        </is>
      </c>
      <c r="I2274" s="8" t="inlineStr">
        <is>
          <t>1</t>
        </is>
      </c>
      <c r="J2274" s="2" t="inlineStr">
        <is>
          <t>✅ คำตอบที่ถูกต้อง: ข้อ ก. Montelukast 10 mg HS
💡 Background:
การบริบาลผู้ป่วยในกลุ่มโรค Pulmonary Diseases มุ่งเน้นการควบคุมโรคและลดความเสี่ยงต่อภาวะแทรกซ้อนด้วย evidence-based pharmacotherapy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(Theophylline 200 mg BID): มี narrow therapeutic window (target 5-15 mcg/mL) และ ADR สูง (ใจสั่น คลื่นไส้ ชัก หัวใจเต้นผิดจังหวะ) CPG จึงจัดเป็นเพียงทางเลือกท้ายๆ (alternative)
• ข้อ ค. (Prednisolone 40 mg OD x 5 days): เป็น intermediate-acting systemic corticosteroid ขนาดยอดนิยมสำหรับ immunosuppressive &amp; anti-inflammatory therapy ต้องระวัง Cushingoid, infection, osteoporosis, peptic ulcer
• ข้อ ง. (N-acetylcysteine 600 mg OD): ข้อนี้ไม่ใช่คำตอบที่ถูกต้องสำหรับภาวะ Pulmonary Diseases เนื่องจากกลไกการออกฤทธิ์, efficacy หรือข้อบ่งใช้ไม่ตรงกับโจทย์ที่กำหนด
• ข้อ จ. (Beclomethasone MDI 100 mcg BID): ข้อนี้ไม่ใช่คำตอบที่ถูกต้องสำหรับภาวะ Pulmonary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Pulmonary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4" s="2" t="n"/>
      <c r="L2274" s="2" t="inlineStr">
        <is>
          <t>Pulmonary Diseases</t>
        </is>
      </c>
      <c r="M2274" s="2" t="inlineStr">
        <is>
          <t>Clinic</t>
        </is>
      </c>
      <c r="N2274" s="2" t="inlineStr">
        <is>
          <t>ข้อ 5 (PLE_CC1_Key_Rx20_UBU.md)</t>
        </is>
      </c>
      <c r="O2274" s="2" t="inlineStr">
        <is>
          <t>Mock</t>
        </is>
      </c>
      <c r="P2274" s="2" t="inlineStr">
        <is>
          <t>Mock Rx20 UBU</t>
        </is>
      </c>
    </row>
    <row r="2275" ht="13.2" customHeight="1" s="37">
      <c r="A2275" s="8" t="inlineStr">
        <is>
          <t>2296</t>
        </is>
      </c>
      <c r="B2275" s="2" t="inlineStr">
        <is>
          <t>หายใจมีเสียงวี๊ด</t>
        </is>
      </c>
      <c r="C2275" s="2" t="n"/>
      <c r="D2275" s="2" t="inlineStr">
        <is>
          <t>N-acetylcysteine (NAC) IV infusion protocol</t>
        </is>
      </c>
      <c r="E2275" s="2" t="inlineStr">
        <is>
          <t>Atropine sulfate 2 mg IV Q5-10 min</t>
        </is>
      </c>
      <c r="F2275" s="2" t="inlineStr">
        <is>
          <t>Pralidoxime (2-PAM) 1-2 g IV over 30 min</t>
        </is>
      </c>
      <c r="G2275" s="2" t="inlineStr">
        <is>
          <t>Naloxone 0.4 mg IV stat</t>
        </is>
      </c>
      <c r="H2275" s="2" t="inlineStr">
        <is>
          <t>Flumazenil 0.2 mg IV stat</t>
        </is>
      </c>
      <c r="I2275" s="8" t="inlineStr">
        <is>
          <t>1</t>
        </is>
      </c>
      <c r="J22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75" s="2" t="n"/>
      <c r="L2275" s="2" t="inlineStr">
        <is>
          <t>General Therapeutics</t>
        </is>
      </c>
      <c r="M2275" s="2" t="inlineStr">
        <is>
          <t>Clinic</t>
        </is>
      </c>
      <c r="N2275" s="2" t="inlineStr">
        <is>
          <t>ข้อ 2 (PLE_CC1_Key_Rx20_UBU.md)</t>
        </is>
      </c>
      <c r="O2275" s="2" t="inlineStr">
        <is>
          <t>Mock</t>
        </is>
      </c>
      <c r="P2275" s="2" t="inlineStr">
        <is>
          <t>Mock Rx20 UBU</t>
        </is>
      </c>
    </row>
    <row r="2276" ht="13.2" customHeight="1" s="37">
      <c r="A2276" s="8" t="inlineStr">
        <is>
          <t>2297</t>
        </is>
      </c>
      <c r="B2276" s="2" t="inlineStr">
        <is>
          <t>5 วันแล้วหยุดยา</t>
        </is>
      </c>
      <c r="C2276" s="2" t="n"/>
      <c r="D2276" s="2" t="inlineStr">
        <is>
          <t>Naloxone 0.4 mg IV stat</t>
        </is>
      </c>
      <c r="E2276" s="2" t="inlineStr">
        <is>
          <t>Flumazenil 0.2 mg IV stat</t>
        </is>
      </c>
      <c r="F2276" s="2" t="inlineStr">
        <is>
          <t>Vitamin K1 (Phytomenadione) 10 mg IV slow</t>
        </is>
      </c>
      <c r="G2276" s="2" t="inlineStr">
        <is>
          <t>Sodium thiosulfate 25% 50 mL IV</t>
        </is>
      </c>
      <c r="H2276" s="2" t="inlineStr">
        <is>
          <t>Calcium disodium EDTA 1 g IV</t>
        </is>
      </c>
      <c r="I2276" s="8" t="inlineStr">
        <is>
          <t>1</t>
        </is>
      </c>
      <c r="J22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76" s="2" t="n"/>
      <c r="L2276" s="2" t="inlineStr">
        <is>
          <t>General Therapeutics</t>
        </is>
      </c>
      <c r="M2276" s="2" t="inlineStr">
        <is>
          <t>Clinic</t>
        </is>
      </c>
      <c r="N2276" s="2" t="inlineStr">
        <is>
          <t>ข้อ 1 (PLE_CC1_Key_Rx20_UBU.md)</t>
        </is>
      </c>
      <c r="O2276" s="2" t="inlineStr">
        <is>
          <t>Mock</t>
        </is>
      </c>
      <c r="P2276" s="2" t="inlineStr">
        <is>
          <t>Mock Rx20 UBU</t>
        </is>
      </c>
    </row>
    <row r="2277" ht="13.2" customHeight="1" s="37">
      <c r="A2277" s="8" t="inlineStr">
        <is>
          <t>2298</t>
        </is>
      </c>
      <c r="B2277" s="2" t="inlineStr">
        <is>
          <t>21 วันแล้วหยุดยา</t>
        </is>
      </c>
      <c r="C2277" s="2" t="n"/>
      <c r="D2277" s="2" t="inlineStr">
        <is>
          <t>Sodium thiosulfate 25% 50 mL IV</t>
        </is>
      </c>
      <c r="E2277" s="2" t="inlineStr">
        <is>
          <t>Calcium disodium EDTA 1 g IV</t>
        </is>
      </c>
      <c r="F2277" s="2" t="inlineStr">
        <is>
          <t>Desferrioxamine 1 g IM/IV</t>
        </is>
      </c>
      <c r="G2277" s="2" t="inlineStr">
        <is>
          <t>Dimercaprol (BAL) 3 mg/kg IM</t>
        </is>
      </c>
      <c r="H2277" s="2" t="inlineStr">
        <is>
          <t>Ethanol 10% IV infusion for Methanol poisoning</t>
        </is>
      </c>
      <c r="I2277" s="8" t="inlineStr">
        <is>
          <t>1</t>
        </is>
      </c>
      <c r="J22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7" s="2" t="n"/>
      <c r="L2277" s="2" t="inlineStr">
        <is>
          <t>General Therapeutics</t>
        </is>
      </c>
      <c r="M2277" s="2" t="inlineStr">
        <is>
          <t>Clinic</t>
        </is>
      </c>
      <c r="N2277" s="2" t="inlineStr">
        <is>
          <t>ข้อ 2 (PLE_CC1_Key_Rx20_UBU.md)</t>
        </is>
      </c>
      <c r="O2277" s="2" t="inlineStr">
        <is>
          <t>Mock</t>
        </is>
      </c>
      <c r="P2277" s="2" t="inlineStr">
        <is>
          <t>Mock Rx20 UBU</t>
        </is>
      </c>
    </row>
    <row r="2278" ht="13.2" customHeight="1" s="37">
      <c r="A2278" s="8" t="inlineStr">
        <is>
          <t>2299</t>
        </is>
      </c>
      <c r="B2278" s="2" t="inlineStr">
        <is>
          <t>28 วันแล้วลดขนาดยาลง 10 %</t>
        </is>
      </c>
      <c r="C2278" s="2" t="n"/>
      <c r="D2278" s="2" t="inlineStr">
        <is>
          <t>Dimercaprol (BAL) 3 mg/kg IM</t>
        </is>
      </c>
      <c r="E2278" s="2" t="inlineStr">
        <is>
          <t>Ethanol 10% IV infusion for Methanol poisoning</t>
        </is>
      </c>
      <c r="F2278" s="2" t="inlineStr">
        <is>
          <t>Fomepizole 15 mg/kg IV loading</t>
        </is>
      </c>
      <c r="G2278" s="2" t="inlineStr">
        <is>
          <t>N-acetylcysteine (NAC) IV infusion protocol</t>
        </is>
      </c>
      <c r="H2278" s="2" t="inlineStr">
        <is>
          <t>Atropine sulfate 2 mg IV Q5-10 min</t>
        </is>
      </c>
      <c r="I2278" s="8" t="inlineStr">
        <is>
          <t>1</t>
        </is>
      </c>
      <c r="J22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78" s="2" t="n"/>
      <c r="L2278" s="2" t="inlineStr">
        <is>
          <t>General Therapeutics</t>
        </is>
      </c>
      <c r="M2278" s="2" t="inlineStr">
        <is>
          <t>Clinic</t>
        </is>
      </c>
      <c r="N2278" s="2" t="inlineStr">
        <is>
          <t>ข้อ 3 (PLE_CC1_Key_Rx20_UBU.md)</t>
        </is>
      </c>
      <c r="O2278" s="2" t="inlineStr">
        <is>
          <t>Mock</t>
        </is>
      </c>
      <c r="P2278" s="2" t="inlineStr">
        <is>
          <t>Mock Rx20 UBU</t>
        </is>
      </c>
    </row>
    <row r="2279" ht="13.2" customHeight="1" s="37">
      <c r="A2279" s="8" t="inlineStr">
        <is>
          <t>2300</t>
        </is>
      </c>
      <c r="B2279" s="2" t="inlineStr">
        <is>
          <t>30 วันแล้วลดขนาดยาลง 10 %</t>
        </is>
      </c>
      <c r="C2279" s="2" t="n"/>
      <c r="D2279" s="2" t="inlineStr">
        <is>
          <t>N-acetylcysteine (NAC) IV infusion protocol</t>
        </is>
      </c>
      <c r="E2279" s="2" t="inlineStr">
        <is>
          <t>Atropine sulfate 2 mg IV Q5-10 min</t>
        </is>
      </c>
      <c r="F2279" s="2" t="inlineStr">
        <is>
          <t>Pralidoxime (2-PAM) 1-2 g IV over 30 min</t>
        </is>
      </c>
      <c r="G2279" s="2" t="inlineStr">
        <is>
          <t>Naloxone 0.4 mg IV stat</t>
        </is>
      </c>
      <c r="H2279" s="2" t="inlineStr">
        <is>
          <t>Flumazenil 0.2 mg IV stat</t>
        </is>
      </c>
      <c r="I2279" s="8" t="inlineStr">
        <is>
          <t>1</t>
        </is>
      </c>
      <c r="J22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79" s="2" t="n"/>
      <c r="L2279" s="2" t="inlineStr">
        <is>
          <t>General Therapeutics</t>
        </is>
      </c>
      <c r="M2279" s="2" t="inlineStr">
        <is>
          <t>Clinic</t>
        </is>
      </c>
      <c r="N2279" s="2" t="inlineStr">
        <is>
          <t>ข้อ 4 (PLE_CC1_Key_Rx20_UBU.md)</t>
        </is>
      </c>
      <c r="O2279" s="2" t="inlineStr">
        <is>
          <t>Mock</t>
        </is>
      </c>
      <c r="P2279" s="2" t="inlineStr">
        <is>
          <t>Mock Rx20 UBU</t>
        </is>
      </c>
    </row>
    <row r="2280" ht="13.2" customHeight="1" s="37">
      <c r="A2280" s="8" t="inlineStr">
        <is>
          <t>2301</t>
        </is>
      </c>
      <c r="B2280" s="2" t="inlineStr">
        <is>
          <t>Liposome Nanoparticle 7 ) ถามเกี่ยวกับ DPI</t>
        </is>
      </c>
      <c r="C2280" s="2" t="n"/>
      <c r="D2280" s="2" t="inlineStr">
        <is>
          <t>Naloxone 0.4 mg IV stat</t>
        </is>
      </c>
      <c r="E2280" s="2" t="inlineStr">
        <is>
          <t>Flumazenil 0.2 mg IV stat</t>
        </is>
      </c>
      <c r="F2280" s="2" t="inlineStr">
        <is>
          <t>Vitamin K1 (Phytomenadione) 10 mg IV slow</t>
        </is>
      </c>
      <c r="G2280" s="2" t="inlineStr">
        <is>
          <t>Sodium thiosulfate 25% 50 mL IV</t>
        </is>
      </c>
      <c r="H2280" s="2" t="inlineStr">
        <is>
          <t>Calcium disodium EDTA 1 g IV</t>
        </is>
      </c>
      <c r="I2280" s="8" t="inlineStr">
        <is>
          <t>4</t>
        </is>
      </c>
      <c r="J2280" s="2" t="inlineStr">
        <is>
          <t>✅ คำตอบที่ถูกต้อง: ข้อ ง.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(Naloxone 0.4 mg IV stat): ข้อนี้ไม่ถูกต้องเนื่องจากเป็น Antidote สำหรับภาวะ acute poisoning จำเพาะ ไม่ตรงกับพยาธิสภาพของโรคในโจทย์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0" s="2" t="n"/>
      <c r="L2280" s="2" t="inlineStr">
        <is>
          <t>General Therapeutics</t>
        </is>
      </c>
      <c r="M2280" s="2" t="inlineStr">
        <is>
          <t>Clinic</t>
        </is>
      </c>
      <c r="N2280" s="2" t="inlineStr">
        <is>
          <t>ข้อ 5 (PLE_CC1_Key_Rx20_UBU.md)</t>
        </is>
      </c>
      <c r="O2280" s="2" t="inlineStr">
        <is>
          <t>Mock</t>
        </is>
      </c>
      <c r="P2280" s="2" t="inlineStr">
        <is>
          <t>Mock Rx20 UBU</t>
        </is>
      </c>
    </row>
    <row r="2281" ht="13.2" customHeight="1" s="37">
      <c r="A2281" s="8" t="inlineStr">
        <is>
          <t>2302</t>
        </is>
      </c>
      <c r="B2281" s="2" t="inlineStr">
        <is>
          <t>Dry powder ใช้แรงน้อยกว่า</t>
        </is>
      </c>
      <c r="C2281" s="2" t="n"/>
      <c r="D2281" s="2" t="inlineStr">
        <is>
          <t>Sodium thiosulfate 25% 50 mL IV</t>
        </is>
      </c>
      <c r="E2281" s="2" t="inlineStr">
        <is>
          <t>Calcium disodium EDTA 1 g IV</t>
        </is>
      </c>
      <c r="F2281" s="2" t="inlineStr">
        <is>
          <t>Desferrioxamine 1 g IM/IV</t>
        </is>
      </c>
      <c r="G2281" s="2" t="inlineStr">
        <is>
          <t>Dimercaprol (BAL) 3 mg/kg IM</t>
        </is>
      </c>
      <c r="H2281" s="2" t="inlineStr">
        <is>
          <t>Ethanol 10% IV infusion for Methanol poisoning</t>
        </is>
      </c>
      <c r="I2281" s="8" t="inlineStr">
        <is>
          <t>1</t>
        </is>
      </c>
      <c r="J22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1" s="2" t="n"/>
      <c r="L2281" s="2" t="inlineStr">
        <is>
          <t>General Therapeutics</t>
        </is>
      </c>
      <c r="M2281" s="2" t="inlineStr">
        <is>
          <t>Clinic</t>
        </is>
      </c>
      <c r="N2281" s="2" t="inlineStr">
        <is>
          <t>ข้อ 1 (PLE_CC1_Key_Rx20_UBU.md)</t>
        </is>
      </c>
      <c r="O2281" s="2" t="inlineStr">
        <is>
          <t>Mock</t>
        </is>
      </c>
      <c r="P2281" s="2" t="inlineStr">
        <is>
          <t>Mock Rx20 UBU</t>
        </is>
      </c>
    </row>
    <row r="2282" ht="13.2" customHeight="1" s="37">
      <c r="A2282" s="8" t="inlineStr">
        <is>
          <t>2303</t>
        </is>
      </c>
      <c r="B2282" s="2" t="inlineStr">
        <is>
          <t>มีการใช้สาร propellant</t>
        </is>
      </c>
      <c r="C2282" s="2" t="n"/>
      <c r="D2282" s="2" t="inlineStr">
        <is>
          <t>Dimercaprol (BAL) 3 mg/kg IM</t>
        </is>
      </c>
      <c r="E2282" s="2" t="inlineStr">
        <is>
          <t>Ethanol 10% IV infusion for Methanol poisoning</t>
        </is>
      </c>
      <c r="F2282" s="2" t="inlineStr">
        <is>
          <t>Fomepizole 15 mg/kg IV loading</t>
        </is>
      </c>
      <c r="G2282" s="2" t="inlineStr">
        <is>
          <t>N-acetylcysteine (NAC) IV infusion protocol</t>
        </is>
      </c>
      <c r="H2282" s="2" t="inlineStr">
        <is>
          <t>Atropine sulfate 2 mg IV Q5-10 min</t>
        </is>
      </c>
      <c r="I2282" s="8" t="inlineStr">
        <is>
          <t>1</t>
        </is>
      </c>
      <c r="J22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2" s="2" t="n"/>
      <c r="L2282" s="2" t="inlineStr">
        <is>
          <t>General Therapeutics</t>
        </is>
      </c>
      <c r="M2282" s="2" t="inlineStr">
        <is>
          <t>Clinic</t>
        </is>
      </c>
      <c r="N2282" s="2" t="inlineStr">
        <is>
          <t>ข้อ 2 (PLE_CC1_Key_Rx20_UBU.md)</t>
        </is>
      </c>
      <c r="O2282" s="2" t="inlineStr">
        <is>
          <t>Mock</t>
        </is>
      </c>
      <c r="P2282" s="2" t="inlineStr">
        <is>
          <t>Mock Rx20 UBU</t>
        </is>
      </c>
    </row>
    <row r="2283" ht="13.2" customHeight="1" s="37">
      <c r="A2283" s="8" t="inlineStr">
        <is>
          <t>2304</t>
        </is>
      </c>
      <c r="B2283" s="2" t="inlineStr">
        <is>
          <t>Dry powder มักใช้ Lactose เป็น Carrier</t>
        </is>
      </c>
      <c r="C2283" s="2" t="n"/>
      <c r="D2283" s="2" t="inlineStr">
        <is>
          <t>Film Coating with Hydroxypropyl methylcellulose (HPMC)</t>
        </is>
      </c>
      <c r="E2283" s="2" t="inlineStr">
        <is>
          <t>Enteric Coating with Cellulose acetate phthalate (CAP)</t>
        </is>
      </c>
      <c r="F2283" s="2" t="inlineStr">
        <is>
          <t>Hard Gelatin Capsule filling</t>
        </is>
      </c>
      <c r="G2283" s="2" t="inlineStr">
        <is>
          <t>Soft Gelatin Capsule encapsulation</t>
        </is>
      </c>
      <c r="H2283" s="2" t="inlineStr">
        <is>
          <t>Microcrystalline cellulose</t>
        </is>
      </c>
      <c r="I2283" s="8" t="inlineStr">
        <is>
          <t>1</t>
        </is>
      </c>
      <c r="J2283" s="2"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Solid Dosage Forms)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Solid Dosage Forms เนื่องจากกลไกการออกฤทธิ์, efficacy หรือข้อบ่งใช้ไม่ตรงกับโจทย์ที่กำหนด
• ข้อ ง. (Soft Gelatin Capsule encapsulation): ข้อนี้ไม่ใช่คำตอบที่ถูกต้องสำหรับภาวะ Solid Dosage Forms เนื่องจากกลไกการออกฤทธิ์, efficacy หรือข้อบ่งใช้ไม่ตรงกับโจทย์ที่กำหนด
• ข้อ จ. (Microcrystalline cellulose): ข้อนี้ไม่ใช่คำตอบที่ถูกต้องสำหรับภาวะ Solid Dosage Forms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83" s="2" t="n"/>
      <c r="L2283" s="2" t="inlineStr">
        <is>
          <t>Solid Dosage Forms</t>
        </is>
      </c>
      <c r="M2283" s="2" t="inlineStr">
        <is>
          <t>Product</t>
        </is>
      </c>
      <c r="N2283" s="2" t="inlineStr">
        <is>
          <t>ข้อ 3 (PLE_CC1_Key_Rx20_UBU.md)</t>
        </is>
      </c>
      <c r="O2283" s="2" t="inlineStr">
        <is>
          <t>Mock</t>
        </is>
      </c>
      <c r="P2283" s="2" t="inlineStr">
        <is>
          <t>Mock Rx20 UBU</t>
        </is>
      </c>
    </row>
    <row r="2284" ht="13.2" customHeight="1" s="37">
      <c r="A2284" s="8" t="inlineStr">
        <is>
          <t>2305</t>
        </is>
      </c>
      <c r="B2284" s="2" t="inlineStr">
        <is>
          <t>เซลล์ตับอ่อนของวัว</t>
        </is>
      </c>
      <c r="C2284" s="2" t="n"/>
      <c r="D2284" s="2" t="inlineStr">
        <is>
          <t>Naloxone 0.4 mg IV stat</t>
        </is>
      </c>
      <c r="E2284" s="2" t="inlineStr">
        <is>
          <t>Flumazenil 0.2 mg IV stat</t>
        </is>
      </c>
      <c r="F2284" s="2" t="inlineStr">
        <is>
          <t>Vitamin K1 (Phytomenadione) 10 mg IV slow</t>
        </is>
      </c>
      <c r="G2284" s="2" t="inlineStr">
        <is>
          <t>Sodium thiosulfate 25% 50 mL IV</t>
        </is>
      </c>
      <c r="H2284" s="2" t="inlineStr">
        <is>
          <t>Calcium disodium EDTA 1 g IV</t>
        </is>
      </c>
      <c r="I2284" s="8" t="inlineStr">
        <is>
          <t>1</t>
        </is>
      </c>
      <c r="J22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84" s="2" t="n"/>
      <c r="L2284" s="2" t="inlineStr">
        <is>
          <t>General Therapeutics</t>
        </is>
      </c>
      <c r="M2284" s="2" t="inlineStr">
        <is>
          <t>Clinic</t>
        </is>
      </c>
      <c r="N2284" s="2" t="inlineStr">
        <is>
          <t>ข้อ 1 (PLE_CC1_Key_Rx20_UBU.md)</t>
        </is>
      </c>
      <c r="O2284" s="2" t="inlineStr">
        <is>
          <t>Mock</t>
        </is>
      </c>
      <c r="P2284" s="2" t="inlineStr">
        <is>
          <t>Mock Rx20 UBU</t>
        </is>
      </c>
    </row>
    <row r="2285" ht="13.2" customHeight="1" s="37">
      <c r="A2285" s="8" t="inlineStr">
        <is>
          <t>2306</t>
        </is>
      </c>
      <c r="B2285" s="2" t="inlineStr">
        <is>
          <t>ได้จากการสังเคราะจากสารเคมี</t>
        </is>
      </c>
      <c r="C2285" s="2" t="n"/>
      <c r="D2285" s="2" t="inlineStr">
        <is>
          <t>Sodium thiosulfate 25% 50 mL IV</t>
        </is>
      </c>
      <c r="E2285" s="2" t="inlineStr">
        <is>
          <t>Calcium disodium EDTA 1 g IV</t>
        </is>
      </c>
      <c r="F2285" s="2" t="inlineStr">
        <is>
          <t>Desferrioxamine 1 g IM/IV</t>
        </is>
      </c>
      <c r="G2285" s="2" t="inlineStr">
        <is>
          <t>Dimercaprol (BAL) 3 mg/kg IM</t>
        </is>
      </c>
      <c r="H2285" s="2" t="inlineStr">
        <is>
          <t>Ethanol 10% IV infusion for Methanol poisoning</t>
        </is>
      </c>
      <c r="I2285" s="8" t="inlineStr">
        <is>
          <t>1</t>
        </is>
      </c>
      <c r="J22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5" s="2" t="n"/>
      <c r="L2285" s="2" t="inlineStr">
        <is>
          <t>General Therapeutics</t>
        </is>
      </c>
      <c r="M2285" s="2" t="inlineStr">
        <is>
          <t>Clinic</t>
        </is>
      </c>
      <c r="N2285" s="2" t="inlineStr">
        <is>
          <t>ข้อ 3 (PLE_CC1_Key_Rx20_UBU.md)</t>
        </is>
      </c>
      <c r="O2285" s="2" t="inlineStr">
        <is>
          <t>Mock</t>
        </is>
      </c>
      <c r="P2285" s="2" t="inlineStr">
        <is>
          <t>Mock Rx20 UBU</t>
        </is>
      </c>
    </row>
    <row r="2286" ht="13.2" customHeight="1" s="37">
      <c r="A2286" s="8" t="inlineStr">
        <is>
          <t>2307</t>
        </is>
      </c>
      <c r="B2286" s="2" t="inlineStr">
        <is>
          <t>สกัดจากเบต้าเซลลของคน</t>
        </is>
      </c>
      <c r="C2286" s="2" t="n"/>
      <c r="D2286" s="2" t="inlineStr">
        <is>
          <t>Dimercaprol (BAL) 3 mg/kg IM</t>
        </is>
      </c>
      <c r="E2286" s="2" t="inlineStr">
        <is>
          <t>Ethanol 10% IV infusion for Methanol poisoning</t>
        </is>
      </c>
      <c r="F2286" s="2" t="inlineStr">
        <is>
          <t>Fomepizole 15 mg/kg IV loading</t>
        </is>
      </c>
      <c r="G2286" s="2" t="inlineStr">
        <is>
          <t>N-acetylcysteine (NAC) IV infusion protocol</t>
        </is>
      </c>
      <c r="H2286" s="2" t="inlineStr">
        <is>
          <t>Atropine sulfate 2 mg IV Q5-10 min</t>
        </is>
      </c>
      <c r="I2286" s="8" t="inlineStr">
        <is>
          <t>1</t>
        </is>
      </c>
      <c r="J22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6" s="2" t="n"/>
      <c r="L2286" s="2" t="inlineStr">
        <is>
          <t>General Therapeutics</t>
        </is>
      </c>
      <c r="M2286" s="2" t="inlineStr">
        <is>
          <t>Clinic</t>
        </is>
      </c>
      <c r="N2286" s="2" t="inlineStr">
        <is>
          <t>ข้อ 4 (PLE_CC1_Key_Rx20_UBU.md)</t>
        </is>
      </c>
      <c r="O2286" s="2" t="inlineStr">
        <is>
          <t>Mock</t>
        </is>
      </c>
      <c r="P2286" s="2" t="inlineStr">
        <is>
          <t>Mock Rx20 UBU</t>
        </is>
      </c>
    </row>
    <row r="2287" ht="13.2" customHeight="1" s="37">
      <c r="A2287" s="8" t="inlineStr">
        <is>
          <t>2308</t>
        </is>
      </c>
      <c r="B2287" s="2" t="inlineStr">
        <is>
          <t>สกัดจากที่ดัดแปลงพันธุกรรม</t>
        </is>
      </c>
      <c r="C2287" s="2" t="n"/>
      <c r="D2287" s="2" t="inlineStr">
        <is>
          <t>N-acetylcysteine (NAC) IV infusion protocol</t>
        </is>
      </c>
      <c r="E2287" s="2" t="inlineStr">
        <is>
          <t>Atropine sulfate 2 mg IV Q5-10 min</t>
        </is>
      </c>
      <c r="F2287" s="2" t="inlineStr">
        <is>
          <t>Pralidoxime (2-PAM) 1-2 g IV over 30 min</t>
        </is>
      </c>
      <c r="G2287" s="2" t="inlineStr">
        <is>
          <t>Naloxone 0.4 mg IV stat</t>
        </is>
      </c>
      <c r="H2287" s="2" t="inlineStr">
        <is>
          <t>Flumazenil 0.2 mg IV stat</t>
        </is>
      </c>
      <c r="I2287" s="8" t="inlineStr">
        <is>
          <t>5</t>
        </is>
      </c>
      <c r="J2287" s="2" t="inlineStr">
        <is>
          <t>✅ คำตอบที่ถูกต้อง: ข้อ จ.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287" s="2" t="n"/>
      <c r="L2287" s="2" t="inlineStr">
        <is>
          <t>General Therapeutics</t>
        </is>
      </c>
      <c r="M2287" s="2" t="inlineStr">
        <is>
          <t>Clinic</t>
        </is>
      </c>
      <c r="N2287" s="2" t="inlineStr">
        <is>
          <t>ข้อ 5 (PLE_CC1_Key_Rx20_UBU.md)</t>
        </is>
      </c>
      <c r="O2287" s="2" t="inlineStr">
        <is>
          <t>Mock</t>
        </is>
      </c>
      <c r="P2287" s="2" t="inlineStr">
        <is>
          <t>Mock Rx20 UBU</t>
        </is>
      </c>
    </row>
    <row r="2288" ht="13.2" customHeight="1" s="37">
      <c r="A2288" s="8" t="inlineStr">
        <is>
          <t>2309</t>
        </is>
      </c>
      <c r="B2288" s="2" t="inlineStr">
        <is>
          <t>Dosage too high</t>
        </is>
      </c>
      <c r="C2288" s="2" t="n"/>
      <c r="D2288" s="2" t="inlineStr">
        <is>
          <t>Naloxone 0.4 mg IV stat</t>
        </is>
      </c>
      <c r="E2288" s="2" t="inlineStr">
        <is>
          <t>Flumazenil 0.2 mg IV stat</t>
        </is>
      </c>
      <c r="F2288" s="2" t="inlineStr">
        <is>
          <t>Vitamin K1 (Phytomenadione) 10 mg IV slow</t>
        </is>
      </c>
      <c r="G2288" s="2" t="inlineStr">
        <is>
          <t>Sodium thiosulfate 25% 50 mL IV</t>
        </is>
      </c>
      <c r="H2288" s="2" t="inlineStr">
        <is>
          <t>Calcium disodium EDTA 1 g IV</t>
        </is>
      </c>
      <c r="I2288" s="8" t="inlineStr">
        <is>
          <t>1</t>
        </is>
      </c>
      <c r="J22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88" s="2" t="n"/>
      <c r="L2288" s="2" t="inlineStr">
        <is>
          <t>General Therapeutics</t>
        </is>
      </c>
      <c r="M2288" s="2" t="inlineStr">
        <is>
          <t>Clinic</t>
        </is>
      </c>
      <c r="N2288" s="2" t="inlineStr">
        <is>
          <t>ข้อ 2 (PLE_CC1_Key_Rx20_UBU.md)</t>
        </is>
      </c>
      <c r="O2288" s="2" t="inlineStr">
        <is>
          <t>Mock</t>
        </is>
      </c>
      <c r="P2288" s="2" t="inlineStr">
        <is>
          <t>Mock Rx20 UBU</t>
        </is>
      </c>
    </row>
    <row r="2289" ht="13.2" customHeight="1" s="37">
      <c r="A2289" s="8" t="inlineStr">
        <is>
          <t>2310</t>
        </is>
      </c>
      <c r="B2289" s="2" t="inlineStr">
        <is>
          <t>Need additional drug</t>
        </is>
      </c>
      <c r="C2289" s="2" t="n"/>
      <c r="D2289" s="2" t="inlineStr">
        <is>
          <t>Sodium thiosulfate 25% 50 mL IV</t>
        </is>
      </c>
      <c r="E2289" s="2" t="inlineStr">
        <is>
          <t>Calcium disodium EDTA 1 g IV</t>
        </is>
      </c>
      <c r="F2289" s="2" t="inlineStr">
        <is>
          <t>Desferrioxamine 1 g IM/IV</t>
        </is>
      </c>
      <c r="G2289" s="2" t="inlineStr">
        <is>
          <t>Dimercaprol (BAL) 3 mg/kg IM</t>
        </is>
      </c>
      <c r="H2289" s="2" t="inlineStr">
        <is>
          <t>Ethanol 10% IV infusion for Methanol poisoning</t>
        </is>
      </c>
      <c r="I2289" s="8" t="inlineStr">
        <is>
          <t>1</t>
        </is>
      </c>
      <c r="J22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89" s="2" t="n"/>
      <c r="L2289" s="2" t="inlineStr">
        <is>
          <t>General Therapeutics</t>
        </is>
      </c>
      <c r="M2289" s="2" t="inlineStr">
        <is>
          <t>Clinic</t>
        </is>
      </c>
      <c r="N2289" s="2" t="inlineStr">
        <is>
          <t>ข้อ 3 (PLE_CC1_Key_Rx20_UBU.md)</t>
        </is>
      </c>
      <c r="O2289" s="2" t="inlineStr">
        <is>
          <t>Mock</t>
        </is>
      </c>
      <c r="P2289" s="2" t="inlineStr">
        <is>
          <t>Mock Rx20 UBU</t>
        </is>
      </c>
    </row>
    <row r="2290" ht="13.2" customHeight="1" s="37">
      <c r="A2290" s="8" t="inlineStr">
        <is>
          <t>2311</t>
        </is>
      </c>
      <c r="B2290" s="2" t="inlineStr">
        <is>
          <t>Adverse drug reaction</t>
        </is>
      </c>
      <c r="C2290" s="2" t="n"/>
      <c r="D2290" s="2" t="inlineStr">
        <is>
          <t>ข้อใดถูกเกี่ยวกับยาลดน้ำตาลที่ผู้ป่วยใช้</t>
        </is>
      </c>
      <c r="E2290" s="2" t="inlineStr">
        <is>
          <t>Ethanol 10% IV infusion for Methanol poisoning</t>
        </is>
      </c>
      <c r="F2290" s="2" t="inlineStr">
        <is>
          <t>Fomepizole 15 mg/kg IV loading</t>
        </is>
      </c>
      <c r="G2290" s="2" t="inlineStr">
        <is>
          <t>N-acetylcysteine (NAC) IV infusion protocol</t>
        </is>
      </c>
      <c r="H2290" s="2" t="inlineStr">
        <is>
          <t>Atropine sulfate 2 mg IV Q5-10 min</t>
        </is>
      </c>
      <c r="I2290" s="8" t="inlineStr">
        <is>
          <t>4</t>
        </is>
      </c>
      <c r="J2290"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(ข้อใดถูกเกี่ยวกับยาลดน้ำตาลที่ผู้ป่วยใช้): ข้อนี้ไม่ใช่คำตอบที่ถูกต้องสำหรับภาวะ General Therapeutics เนื่องจากกลไกการออกฤทธิ์, efficacy หรือข้อบ่งใช้ไม่ตรงกับโจทย์ที่กำหนด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90" s="2" t="n"/>
      <c r="L2290" s="2" t="inlineStr">
        <is>
          <t>General Therapeutics</t>
        </is>
      </c>
      <c r="M2290" s="2" t="inlineStr">
        <is>
          <t>Clinic</t>
        </is>
      </c>
      <c r="N2290" s="2" t="inlineStr">
        <is>
          <t>ข้อ 5 (PLE_CC1_Key_Rx20_UBU.md)</t>
        </is>
      </c>
      <c r="O2290" s="2" t="inlineStr">
        <is>
          <t>Mock</t>
        </is>
      </c>
      <c r="P2290" s="2" t="inlineStr">
        <is>
          <t>Mock Rx20 UBU</t>
        </is>
      </c>
    </row>
    <row r="2291" ht="13.2" customHeight="1" s="37">
      <c r="A2291" s="8" t="inlineStr">
        <is>
          <t>2312</t>
        </is>
      </c>
      <c r="B2291" s="2" t="inlineStr">
        <is>
          <t>ให้กินก่อนหรือหลังอาหารก็ได้</t>
        </is>
      </c>
      <c r="C2291" s="2" t="n"/>
      <c r="D2291" s="2" t="inlineStr">
        <is>
          <t>N-acetylcysteine (NAC) IV infusion protocol</t>
        </is>
      </c>
      <c r="E2291" s="2" t="inlineStr">
        <is>
          <t>Atropine sulfate 2 mg IV Q5-10 min</t>
        </is>
      </c>
      <c r="F2291" s="2" t="inlineStr">
        <is>
          <t>Pralidoxime (2-PAM) 1-2 g IV over 30 min</t>
        </is>
      </c>
      <c r="G2291" s="2" t="inlineStr">
        <is>
          <t>Naloxone 0.4 mg IV stat</t>
        </is>
      </c>
      <c r="H2291" s="2" t="inlineStr">
        <is>
          <t>Flumazenil 0.2 mg IV stat</t>
        </is>
      </c>
      <c r="I2291" s="8" t="inlineStr">
        <is>
          <t>1</t>
        </is>
      </c>
      <c r="J22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91" s="2" t="n"/>
      <c r="L2291" s="2" t="inlineStr">
        <is>
          <t>General Therapeutics</t>
        </is>
      </c>
      <c r="M2291" s="2" t="inlineStr">
        <is>
          <t>Clinic</t>
        </is>
      </c>
      <c r="N2291" s="2" t="inlineStr">
        <is>
          <t>ข้อ 2 (PLE_CC1_Key_Rx20_UBU.md)</t>
        </is>
      </c>
      <c r="O2291" s="2" t="inlineStr">
        <is>
          <t>Mock</t>
        </is>
      </c>
      <c r="P2291" s="2" t="inlineStr">
        <is>
          <t>Mock Rx20 UBU</t>
        </is>
      </c>
    </row>
    <row r="2292" ht="13.2" customHeight="1" s="37">
      <c r="A2292" s="8" t="inlineStr">
        <is>
          <t>2313</t>
        </is>
      </c>
      <c r="B2292" s="2" t="inlineStr">
        <is>
          <t>ไม่ควรให้ร่วมกับ glinide</t>
        </is>
      </c>
      <c r="C2292" s="2" t="n"/>
      <c r="D2292" s="2" t="inlineStr">
        <is>
          <t>Naloxone 0.4 mg IV stat</t>
        </is>
      </c>
      <c r="E2292" s="2" t="inlineStr">
        <is>
          <t>Flumazenil 0.2 mg IV stat</t>
        </is>
      </c>
      <c r="F2292" s="2" t="inlineStr">
        <is>
          <t>Vitamin K1 (Phytomenadione) 10 mg IV slow</t>
        </is>
      </c>
      <c r="G2292" s="2" t="inlineStr">
        <is>
          <t>Sodium thiosulfate 25% 50 mL IV</t>
        </is>
      </c>
      <c r="H2292" s="2" t="inlineStr">
        <is>
          <t>Calcium disodium EDTA 1 g IV</t>
        </is>
      </c>
      <c r="I2292" s="8" t="inlineStr">
        <is>
          <t>1</t>
        </is>
      </c>
      <c r="J22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92" s="2" t="n"/>
      <c r="L2292" s="2" t="inlineStr">
        <is>
          <t>General Therapeutics</t>
        </is>
      </c>
      <c r="M2292" s="2" t="inlineStr">
        <is>
          <t>Clinic</t>
        </is>
      </c>
      <c r="N2292" s="2" t="inlineStr">
        <is>
          <t>ข้อ 3 (PLE_CC1_Key_Rx20_UBU.md)</t>
        </is>
      </c>
      <c r="O2292" s="2" t="inlineStr">
        <is>
          <t>Mock</t>
        </is>
      </c>
      <c r="P2292" s="2" t="inlineStr">
        <is>
          <t>Mock Rx20 UBU</t>
        </is>
      </c>
    </row>
    <row r="2293" ht="13.2" customHeight="1" s="37">
      <c r="A2293" s="8" t="inlineStr">
        <is>
          <t>2314</t>
        </is>
      </c>
      <c r="B2293" s="2" t="inlineStr">
        <is>
          <t>ผิด เพราะ Glipizide แนะนำให้กินก่อนอาหาร 15-30 นาที</t>
        </is>
      </c>
      <c r="C2293" s="2" t="n"/>
      <c r="D2293" s="2" t="inlineStr">
        <is>
          <t>Metformin 500 mg BID</t>
        </is>
      </c>
      <c r="E2293" s="2" t="inlineStr">
        <is>
          <t>Glipizide 5 mg OD</t>
        </is>
      </c>
      <c r="F2293" s="2" t="inlineStr">
        <is>
          <t>Empagliflozin 10 mg OD</t>
        </is>
      </c>
      <c r="G2293" s="2" t="inlineStr">
        <is>
          <t>Sitagliptin 100 mg OD</t>
        </is>
      </c>
      <c r="H2293" s="2" t="inlineStr">
        <is>
          <t>Liraglutide 1.2 mg SC OD</t>
        </is>
      </c>
      <c r="I2293" s="8" t="inlineStr">
        <is>
          <t>1</t>
        </is>
      </c>
      <c r="J2293" s="2"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(Liraglutide 1.2 mg SC OD):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293" s="2" t="n"/>
      <c r="L2293" s="2" t="inlineStr">
        <is>
          <t>Diabetes &amp; Endocrine</t>
        </is>
      </c>
      <c r="M2293" s="2" t="inlineStr">
        <is>
          <t>Clinic</t>
        </is>
      </c>
      <c r="N2293" s="2" t="inlineStr">
        <is>
          <t>ข้อ 2 (PLE_CC1_Key_Rx20_UBU.md)</t>
        </is>
      </c>
      <c r="O2293" s="2" t="inlineStr">
        <is>
          <t>Mock</t>
        </is>
      </c>
      <c r="P2293" s="2" t="inlineStr">
        <is>
          <t>Mock Rx20 UBU</t>
        </is>
      </c>
    </row>
    <row r="2294" ht="13.2" customHeight="1" s="37">
      <c r="A2294" s="8" t="inlineStr">
        <is>
          <t>2315</t>
        </is>
      </c>
      <c r="B2294" s="2" t="inlineStr">
        <is>
          <t>หลังจากมาพบแพทย์ตามนัดครั้งสุดท้ายหากผู้ป่วยไม่สามารถควบคุมระดับน้ำตาลได้จะเพิ่มยาชนิดใด</t>
        </is>
      </c>
      <c r="C2294" s="2" t="n"/>
      <c r="D2294" s="2" t="inlineStr">
        <is>
          <t>Dimercaprol (BAL) 3 mg/kg IM</t>
        </is>
      </c>
      <c r="E2294" s="2" t="inlineStr">
        <is>
          <t>Ethanol 10% IV infusion for Methanol poisoning</t>
        </is>
      </c>
      <c r="F2294" s="2" t="inlineStr">
        <is>
          <t>Fomepizole 15 mg/kg IV loading</t>
        </is>
      </c>
      <c r="G2294" s="2" t="inlineStr">
        <is>
          <t>N-acetylcysteine (NAC) IV infusion protocol</t>
        </is>
      </c>
      <c r="H2294" s="2" t="inlineStr">
        <is>
          <t>Atropine sulfate 2 mg IV Q5-10 min</t>
        </is>
      </c>
      <c r="I2294" s="8" t="inlineStr">
        <is>
          <t>1</t>
        </is>
      </c>
      <c r="J22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94" s="2" t="n"/>
      <c r="L2294" s="2" t="inlineStr">
        <is>
          <t>General Therapeutics</t>
        </is>
      </c>
      <c r="M2294" s="2" t="inlineStr">
        <is>
          <t>Clinic</t>
        </is>
      </c>
      <c r="N2294" s="2" t="inlineStr">
        <is>
          <t>ข้อ 5 (PLE_CC1_Key_Rx20_UBU.md)</t>
        </is>
      </c>
      <c r="O2294" s="2" t="inlineStr">
        <is>
          <t>Mock</t>
        </is>
      </c>
      <c r="P2294" s="2" t="inlineStr">
        <is>
          <t>Mock Rx20 UBU</t>
        </is>
      </c>
    </row>
    <row r="2295" ht="13.2" customHeight="1" s="37">
      <c r="A2295" s="8" t="inlineStr">
        <is>
          <t>2316</t>
        </is>
      </c>
      <c r="B2295" s="2" t="inlineStr">
        <is>
          <t>Hemorrhagic cystitis</t>
        </is>
      </c>
      <c r="C2295" s="2" t="n"/>
      <c r="D2295" s="2" t="inlineStr">
        <is>
          <t>N-acetylcysteine (NAC) IV infusion protocol</t>
        </is>
      </c>
      <c r="E2295" s="2" t="inlineStr">
        <is>
          <t>Atropine sulfate 2 mg IV Q5-10 min</t>
        </is>
      </c>
      <c r="F2295" s="2" t="inlineStr">
        <is>
          <t>Pralidoxime (2-PAM) 1-2 g IV over 30 min</t>
        </is>
      </c>
      <c r="G2295" s="2" t="inlineStr">
        <is>
          <t>Naloxone 0.4 mg IV stat</t>
        </is>
      </c>
      <c r="H2295" s="2" t="inlineStr">
        <is>
          <t>Flumazenil 0.2 mg IV stat</t>
        </is>
      </c>
      <c r="I2295" s="8" t="inlineStr">
        <is>
          <t>1</t>
        </is>
      </c>
      <c r="J22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95" s="2" t="n"/>
      <c r="L2295" s="2" t="inlineStr">
        <is>
          <t>General Therapeutics</t>
        </is>
      </c>
      <c r="M2295" s="2" t="inlineStr">
        <is>
          <t>Clinic</t>
        </is>
      </c>
      <c r="N2295" s="2" t="inlineStr">
        <is>
          <t>ข้อ 1 (PLE_CC1_Key_Rx20_UBU.md)</t>
        </is>
      </c>
      <c r="O2295" s="2" t="inlineStr">
        <is>
          <t>Mock</t>
        </is>
      </c>
      <c r="P2295" s="2" t="inlineStr">
        <is>
          <t>Mock Rx20 UBU</t>
        </is>
      </c>
    </row>
    <row r="2296" ht="13.2" customHeight="1" s="37">
      <c r="A2296" s="8" t="inlineStr">
        <is>
          <t>2317</t>
        </is>
      </c>
      <c r="B2296" s="2" t="inlineStr">
        <is>
          <t>Hand-foot syndrome</t>
        </is>
      </c>
      <c r="C2296" s="2" t="n"/>
      <c r="D2296" s="2" t="inlineStr">
        <is>
          <t>Naloxone 0.4 mg IV stat</t>
        </is>
      </c>
      <c r="E2296" s="2" t="inlineStr">
        <is>
          <t>Flumazenil 0.2 mg IV stat</t>
        </is>
      </c>
      <c r="F2296" s="2" t="inlineStr">
        <is>
          <t>Vitamin K1 (Phytomenadione) 10 mg IV slow</t>
        </is>
      </c>
      <c r="G2296" s="2" t="inlineStr">
        <is>
          <t>Sodium thiosulfate 25% 50 mL IV</t>
        </is>
      </c>
      <c r="H2296" s="2" t="inlineStr">
        <is>
          <t>Calcium disodium EDTA 1 g IV</t>
        </is>
      </c>
      <c r="I2296" s="8" t="inlineStr">
        <is>
          <t>1</t>
        </is>
      </c>
      <c r="J22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296" s="2" t="n"/>
      <c r="L2296" s="2" t="inlineStr">
        <is>
          <t>General Therapeutics</t>
        </is>
      </c>
      <c r="M2296" s="2" t="inlineStr">
        <is>
          <t>Clinic</t>
        </is>
      </c>
      <c r="N2296" s="2" t="inlineStr">
        <is>
          <t>ข้อ 4 (PLE_CC1_Key_Rx20_UBU.md)</t>
        </is>
      </c>
      <c r="O2296" s="2" t="inlineStr">
        <is>
          <t>Mock</t>
        </is>
      </c>
      <c r="P2296" s="2" t="inlineStr">
        <is>
          <t>Mock Rx20 UBU</t>
        </is>
      </c>
    </row>
    <row r="2297" ht="13.2" customHeight="1" s="37">
      <c r="A2297" s="8" t="inlineStr">
        <is>
          <t>2318</t>
        </is>
      </c>
      <c r="B2297" s="2" t="inlineStr">
        <is>
          <t>5 ปี อาการข้างเคียงของ Tamoxifen</t>
        </is>
      </c>
      <c r="C2297" s="2" t="n"/>
      <c r="D2297" s="2" t="inlineStr">
        <is>
          <t>Dexamethasone 12 mg IV stat</t>
        </is>
      </c>
      <c r="E2297" s="2" t="inlineStr">
        <is>
          <t>Filgrastim (G-CSF) 300 mcg SC OD</t>
        </is>
      </c>
      <c r="F2297" s="2" t="inlineStr">
        <is>
          <t>Metoclopramide 10 mg TID</t>
        </is>
      </c>
      <c r="G2297" s="2" t="inlineStr">
        <is>
          <t>Lorazepam 1 mg PO PRN</t>
        </is>
      </c>
      <c r="H2297" s="2" t="inlineStr">
        <is>
          <t>Morphine 10 mg PO Q4H PRN</t>
        </is>
      </c>
      <c r="I2297" s="8" t="inlineStr">
        <is>
          <t>1</t>
        </is>
      </c>
      <c r="J2297" s="2" t="inlineStr">
        <is>
          <t>✅ คำตอบที่ถูกต้อง: ข้อ ก. Dexamethasone 12 mg IV stat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Dexamethasone 12 mg IV stat
🔍 ข้ออื่นผิดเพราะอะไร:
• ข้อ ข. (Filgrastim (G-CSF) 300 mcg SC OD): ข้อนี้ไม่ใช่คำตอบที่ถูกต้องสำหรับภาวะ Oncology &amp; Chemotherapy เนื่องจากกลไกการออกฤทธิ์, efficacy หรือข้อบ่งใช้ไม่ตรงกับโจทย์ที่กำหนด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97" s="2" t="n"/>
      <c r="L2297" s="2" t="inlineStr">
        <is>
          <t>Oncology &amp; Chemotherapy</t>
        </is>
      </c>
      <c r="M2297" s="2" t="inlineStr">
        <is>
          <t>Clinic</t>
        </is>
      </c>
      <c r="N2297" s="2" t="inlineStr">
        <is>
          <t>ข้อ 5 (PLE_CC1_Key_Rx20_UBU.md)</t>
        </is>
      </c>
      <c r="O2297" s="2" t="inlineStr">
        <is>
          <t>Mock</t>
        </is>
      </c>
      <c r="P2297" s="2" t="inlineStr">
        <is>
          <t>Mock Rx20 UBU</t>
        </is>
      </c>
    </row>
    <row r="2298" ht="13.2" customHeight="1" s="37">
      <c r="A2298" s="8" t="inlineStr">
        <is>
          <t>2319</t>
        </is>
      </c>
      <c r="B2298" s="2" t="inlineStr">
        <is>
          <t>Deep vein thrombosis</t>
        </is>
      </c>
      <c r="C2298" s="2" t="n"/>
      <c r="D2298" s="2" t="inlineStr">
        <is>
          <t>Dimercaprol (BAL) 3 mg/kg IM</t>
        </is>
      </c>
      <c r="E2298" s="2" t="inlineStr">
        <is>
          <t>Ethanol 10% IV infusion for Methanol poisoning</t>
        </is>
      </c>
      <c r="F2298" s="2" t="inlineStr">
        <is>
          <t>Fomepizole 15 mg/kg IV loading</t>
        </is>
      </c>
      <c r="G2298" s="2" t="inlineStr">
        <is>
          <t>N-acetylcysteine (NAC) IV infusion protocol</t>
        </is>
      </c>
      <c r="H2298" s="2" t="inlineStr">
        <is>
          <t>Atropine sulfate 2 mg IV Q5-10 min</t>
        </is>
      </c>
      <c r="I2298" s="8" t="inlineStr">
        <is>
          <t>1</t>
        </is>
      </c>
      <c r="J229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98" s="2" t="n"/>
      <c r="L2298" s="2" t="inlineStr">
        <is>
          <t>General Therapeutics</t>
        </is>
      </c>
      <c r="M2298" s="2" t="inlineStr">
        <is>
          <t>Clinic</t>
        </is>
      </c>
      <c r="N2298" s="2" t="inlineStr">
        <is>
          <t>ข้อ 1 (PLE_CC1_Key_Rx20_UBU.md)</t>
        </is>
      </c>
      <c r="O2298" s="2" t="inlineStr">
        <is>
          <t>Mock</t>
        </is>
      </c>
      <c r="P2298" s="2" t="inlineStr">
        <is>
          <t>Mock Rx20 UBU</t>
        </is>
      </c>
    </row>
    <row r="2299" ht="13.2" customHeight="1" s="37">
      <c r="A2299" s="8" t="inlineStr">
        <is>
          <t>2320</t>
        </is>
      </c>
      <c r="B2299" s="2" t="inlineStr">
        <is>
          <t>Electrolyte Imbalance</t>
        </is>
      </c>
      <c r="C2299" s="2" t="n"/>
      <c r="D2299" s="2" t="inlineStr">
        <is>
          <t>N-acetylcysteine (NAC) IV infusion protocol</t>
        </is>
      </c>
      <c r="E2299" s="2" t="inlineStr">
        <is>
          <t>Atropine sulfate 2 mg IV Q5-10 min</t>
        </is>
      </c>
      <c r="F2299" s="2" t="inlineStr">
        <is>
          <t>Pralidoxime (2-PAM) 1-2 g IV over 30 min</t>
        </is>
      </c>
      <c r="G2299" s="2" t="inlineStr">
        <is>
          <t>Naloxone 0.4 mg IV stat</t>
        </is>
      </c>
      <c r="H2299" s="2" t="inlineStr">
        <is>
          <t>Flumazenil 0.2 mg IV stat</t>
        </is>
      </c>
      <c r="I2299" s="8" t="inlineStr">
        <is>
          <t>1</t>
        </is>
      </c>
      <c r="J229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299" s="2" t="n"/>
      <c r="L2299" s="2" t="inlineStr">
        <is>
          <t>General Therapeutics</t>
        </is>
      </c>
      <c r="M2299" s="2" t="inlineStr">
        <is>
          <t>Clinic</t>
        </is>
      </c>
      <c r="N2299" s="2" t="inlineStr">
        <is>
          <t>ข้อ 4 (PLE_CC1_Key_Rx20_UBU.md)</t>
        </is>
      </c>
      <c r="O2299" s="2" t="inlineStr">
        <is>
          <t>Mock</t>
        </is>
      </c>
      <c r="P2299" s="2" t="inlineStr">
        <is>
          <t>Mock Rx20 UBU</t>
        </is>
      </c>
    </row>
    <row r="2300" ht="13.2" customHeight="1" s="37">
      <c r="A2300" s="8" t="inlineStr">
        <is>
          <t>2321</t>
        </is>
      </c>
      <c r="B2300" s="2" t="inlineStr">
        <is>
          <t>biological safety cabinet class I ดี กว่า class II</t>
        </is>
      </c>
      <c r="C2300" s="2" t="n"/>
      <c r="D2300" s="2" t="inlineStr">
        <is>
          <t>Lyophilization (Freeze-drying) with Trehalose Cryoprotectant</t>
        </is>
      </c>
      <c r="E2300" s="2" t="inlineStr">
        <is>
          <t>ELISA Immunoassay for protein quantification</t>
        </is>
      </c>
      <c r="F2300" s="2" t="inlineStr">
        <is>
          <t>SDS-PAGE Gel Electrophoresis purity analysis</t>
        </is>
      </c>
      <c r="G2300" s="2" t="inlineStr">
        <is>
          <t>Isoelectric Focusing (IEF) for charge heterogeneity</t>
        </is>
      </c>
      <c r="H2300" s="2" t="inlineStr">
        <is>
          <t>Immunogenicity Neutralizing Antibody Assay</t>
        </is>
      </c>
      <c r="I2300" s="8" t="inlineStr">
        <is>
          <t>1</t>
        </is>
      </c>
      <c r="J2300"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Biotech Products โดยมี clinical efficacy สูงสุดในการรักษาและมี safety profile ที่เหมาะสม
USP/NF, British Pharmacopoeia (BP) และ Remington: The Science and Practice of Pharmacy (หัวข้อ Biotech Products)
🔍 ข้ออื่นผิดเพราะอะไร:
• ข้อ ข. (ELISA Immunoassay for protein quantification): ข้อนี้ไม่ใช่คำตอบที่ถูกต้องสำหรับภาวะ Biotech Products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Biotech Products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Biotech Products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00" s="2" t="n"/>
      <c r="L2300" s="2" t="inlineStr">
        <is>
          <t>Biotech Products</t>
        </is>
      </c>
      <c r="M2300" s="2" t="inlineStr">
        <is>
          <t>Product</t>
        </is>
      </c>
      <c r="N2300" s="2" t="inlineStr">
        <is>
          <t>ข้อ 1 (PLE_CC1_Key_Rx20_UBU.md)</t>
        </is>
      </c>
      <c r="O2300" s="2" t="inlineStr">
        <is>
          <t>Mock</t>
        </is>
      </c>
      <c r="P2300" s="2" t="inlineStr">
        <is>
          <t>Mock Rx20 UBU</t>
        </is>
      </c>
    </row>
    <row r="2301" ht="13.2" customHeight="1" s="37">
      <c r="A2301" s="8" t="inlineStr">
        <is>
          <t>2322</t>
        </is>
      </c>
      <c r="B2301" s="2" t="inlineStr">
        <is>
          <t>biological safety cabinet ตั้งใน class 100-1000</t>
        </is>
      </c>
      <c r="C2301" s="2" t="n"/>
      <c r="D2301" s="2" t="inlineStr">
        <is>
          <t>Isoelectric Focusing (IEF) for charge heterogeneity</t>
        </is>
      </c>
      <c r="E2301" s="2" t="inlineStr">
        <is>
          <t>Immunogenicity Neutralizing Antibody Assay</t>
        </is>
      </c>
      <c r="F2301" s="2" t="inlineStr">
        <is>
          <t>Polysorbate 20 surfactant to prevent protein aggregation</t>
        </is>
      </c>
      <c r="G2301" s="2" t="inlineStr">
        <is>
          <t>Histidine Buffer pH 6.0 formulation stability</t>
        </is>
      </c>
      <c r="H2301" s="2" t="inlineStr">
        <is>
          <t>Recombinant DNA Human Insulin in E. coli</t>
        </is>
      </c>
      <c r="I2301" s="8" t="inlineStr">
        <is>
          <t>1</t>
        </is>
      </c>
      <c r="J2301"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USP/NF, British Pharmacopoeia (BP) &amp; Remington: The Science and Practice of Pharmacy (หัวข้อ Biotech Products)
Biotech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Biotech Products)
🔍 ข้ออื่นผิดเพราะอะไร:
• ข้อ ข. (Immunogenicity Neutralizing Antibody Assay): ข้อนี้ไม่ใช่คำตอบที่ถูกต้องสำหรับภาวะ Biotech Products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Biotech Products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Biotech Products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01" s="2" t="n"/>
      <c r="L2301" s="2" t="inlineStr">
        <is>
          <t>Biotech Products</t>
        </is>
      </c>
      <c r="M2301" s="2" t="inlineStr">
        <is>
          <t>Product</t>
        </is>
      </c>
      <c r="N2301" s="2" t="inlineStr">
        <is>
          <t>ข้อ 2 (PLE_CC1_Key_Rx20_UBU.md)</t>
        </is>
      </c>
      <c r="O2301" s="2" t="inlineStr">
        <is>
          <t>Mock</t>
        </is>
      </c>
      <c r="P2301" s="2" t="inlineStr">
        <is>
          <t>Mock Rx20 UBU</t>
        </is>
      </c>
    </row>
    <row r="2302" ht="13.2" customHeight="1" s="37">
      <c r="A2302" s="8" t="inlineStr">
        <is>
          <t>2323</t>
        </is>
      </c>
      <c r="B2302" s="2" t="inlineStr">
        <is>
          <t>biological safety cabinet มีทิศทา ง ล ม ใ นแนวตั้ง</t>
        </is>
      </c>
      <c r="C2302" s="2" t="n"/>
      <c r="D2302" s="2" t="inlineStr">
        <is>
          <t>Histidine Buffer pH 6.0 formulation stability</t>
        </is>
      </c>
      <c r="E2302" s="2" t="inlineStr">
        <is>
          <t>Recombinant DNA Human Insulin in E. coli</t>
        </is>
      </c>
      <c r="F2302" s="2" t="inlineStr">
        <is>
          <t>Monoclonal Antibody IgG1 (CHO Cell Expression)</t>
        </is>
      </c>
      <c r="G2302" s="2" t="inlineStr">
        <is>
          <t>Polyethylene Glycol (PEG) Conjugation for extended half-life</t>
        </is>
      </c>
      <c r="H2302" s="2" t="inlineStr">
        <is>
          <t>Lyophilization (Freeze-drying) with Trehalose Cryoprotectant</t>
        </is>
      </c>
      <c r="I2302" s="8" t="inlineStr">
        <is>
          <t>1</t>
        </is>
      </c>
      <c r="J2302"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USP/NF, British Pharmacopoeia (BP) &amp; Remington: The Science and Practice of Pharmacy (หัวข้อ Biotech Products)
Biotech Products: เน้นทบทวนปัจจัยควบคุมคุณภาพทางเภสัชกรรม, Excipients หน้าที่จำเพาะ และข้อกำหนดเภสัชตำรับ
USP/NF, British Pharmacopoeia (BP) และ Remington: The Science and Practice of Pharmacy (หัวข้อ Biotech Products)
🔍 ข้ออื่นผิดเพราะอะไร:
• ข้อ ข. (Recombinant DNA Human Insulin in E. coli): ข้อนี้ไม่ใช่คำตอบที่ถูกต้องสำหรับภาวะ Biotech Products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Biotech Products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Biotech Products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Biotech Products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02" s="2" t="n"/>
      <c r="L2302" s="2" t="inlineStr">
        <is>
          <t>Biotech Products</t>
        </is>
      </c>
      <c r="M2302" s="2" t="inlineStr">
        <is>
          <t>Product</t>
        </is>
      </c>
      <c r="N2302" s="2" t="inlineStr">
        <is>
          <t>ข้อ 4 (PLE_CC1_Key_Rx20_UBU.md)</t>
        </is>
      </c>
      <c r="O2302" s="2" t="inlineStr">
        <is>
          <t>Mock</t>
        </is>
      </c>
      <c r="P2302" s="2" t="inlineStr">
        <is>
          <t>Mock Rx20 UBU</t>
        </is>
      </c>
    </row>
    <row r="2303" ht="13.2" customHeight="1" s="37">
      <c r="A2303" s="8" t="inlineStr">
        <is>
          <t>2324</t>
        </is>
      </c>
      <c r="B2303" s="2" t="inlineStr">
        <is>
          <t>ข้อใดผิด</t>
        </is>
      </c>
      <c r="C2303" s="2" t="n"/>
      <c r="D2303" s="2" t="inlineStr">
        <is>
          <t>N-acetylcysteine (NAC) IV infusion protocol</t>
        </is>
      </c>
      <c r="E2303" s="2" t="inlineStr">
        <is>
          <t>Atropine sulfate 2 mg IV Q5-10 min</t>
        </is>
      </c>
      <c r="F2303" s="2" t="inlineStr">
        <is>
          <t>Pralidoxime (2-PAM) 1-2 g IV over 30 min</t>
        </is>
      </c>
      <c r="G2303" s="2" t="inlineStr">
        <is>
          <t>Naloxone 0.4 mg IV stat</t>
        </is>
      </c>
      <c r="H2303" s="2" t="inlineStr">
        <is>
          <t>Flumazenil 0.2 mg IV stat</t>
        </is>
      </c>
      <c r="I2303" s="8" t="inlineStr">
        <is>
          <t>1</t>
        </is>
      </c>
      <c r="J230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03" s="2" t="n"/>
      <c r="L2303" s="2" t="inlineStr">
        <is>
          <t>General Therapeutics</t>
        </is>
      </c>
      <c r="M2303" s="2" t="inlineStr">
        <is>
          <t>Clinic</t>
        </is>
      </c>
      <c r="N2303" s="2" t="inlineStr">
        <is>
          <t>ข้อ 7 (PLE_CC1_Key_Rx20_UBU.md)</t>
        </is>
      </c>
      <c r="O2303" s="2" t="inlineStr">
        <is>
          <t>Mock</t>
        </is>
      </c>
      <c r="P2303" s="2" t="inlineStr">
        <is>
          <t>Mock Rx20 UBU</t>
        </is>
      </c>
    </row>
    <row r="2304" ht="13.2" customHeight="1" s="37">
      <c r="A2304" s="8" t="inlineStr">
        <is>
          <t>2325</t>
        </is>
      </c>
      <c r="B2304" s="2" t="inlineStr">
        <is>
          <t>ใส่เสื้อ lint-free</t>
        </is>
      </c>
      <c r="C2304" s="2" t="n"/>
      <c r="D2304" s="2" t="inlineStr">
        <is>
          <t>Naloxone 0.4 mg IV stat</t>
        </is>
      </c>
      <c r="E2304" s="2" t="inlineStr">
        <is>
          <t>Flumazenil 0.2 mg IV stat</t>
        </is>
      </c>
      <c r="F2304" s="2" t="inlineStr">
        <is>
          <t>Vitamin K1 (Phytomenadione) 10 mg IV slow</t>
        </is>
      </c>
      <c r="G2304" s="2" t="inlineStr">
        <is>
          <t>Sodium thiosulfate 25% 50 mL IV</t>
        </is>
      </c>
      <c r="H2304" s="2" t="inlineStr">
        <is>
          <t>Calcium disodium EDTA 1 g IV</t>
        </is>
      </c>
      <c r="I2304" s="8" t="inlineStr">
        <is>
          <t>1</t>
        </is>
      </c>
      <c r="J23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04" s="2" t="n"/>
      <c r="L2304" s="2" t="inlineStr">
        <is>
          <t>General Therapeutics</t>
        </is>
      </c>
      <c r="M2304" s="2" t="inlineStr">
        <is>
          <t>Clinic</t>
        </is>
      </c>
      <c r="N2304" s="2" t="inlineStr">
        <is>
          <t>ข้อ 2 (PLE_CC1_Key_Rx20_UBU.md)</t>
        </is>
      </c>
      <c r="O2304" s="2" t="inlineStr">
        <is>
          <t>Mock</t>
        </is>
      </c>
      <c r="P2304" s="2" t="inlineStr">
        <is>
          <t>Mock Rx20 UBU</t>
        </is>
      </c>
    </row>
    <row r="2305" ht="13.2" customHeight="1" s="37">
      <c r="A2305" s="8" t="inlineStr">
        <is>
          <t>2326</t>
        </is>
      </c>
      <c r="B2305" s="2" t="inlineStr">
        <is>
          <t>หากผู้ป่วยเป็น poor metabolize ของ CYP 2D6 จะต้องเปลี่ยนไปใช้ยาในกลุ่ม aromatase inhibitor</t>
        </is>
      </c>
      <c r="C2305" s="2" t="n"/>
      <c r="D2305" s="2" t="inlineStr">
        <is>
          <t>Sodium thiosulfate 25% 50 mL IV</t>
        </is>
      </c>
      <c r="E2305" s="2" t="inlineStr">
        <is>
          <t>Calcium disodium EDTA 1 g IV</t>
        </is>
      </c>
      <c r="F2305" s="2" t="inlineStr">
        <is>
          <t>Desferrioxamine 1 g IM/IV</t>
        </is>
      </c>
      <c r="G2305" s="2" t="inlineStr">
        <is>
          <t>Dimercaprol (BAL) 3 mg/kg IM</t>
        </is>
      </c>
      <c r="H2305" s="2" t="inlineStr">
        <is>
          <t>Ethanol 10% IV infusion for Methanol poisoning</t>
        </is>
      </c>
      <c r="I2305" s="8" t="inlineStr">
        <is>
          <t>1</t>
        </is>
      </c>
      <c r="J230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05" s="2" t="n"/>
      <c r="L2305" s="2" t="inlineStr">
        <is>
          <t>General Therapeutics</t>
        </is>
      </c>
      <c r="M2305" s="2" t="inlineStr">
        <is>
          <t>Clinic</t>
        </is>
      </c>
      <c r="N2305" s="2" t="inlineStr">
        <is>
          <t>ข้อ 2 (PLE_CC1_Key_Rx20_UBU.md)</t>
        </is>
      </c>
      <c r="O2305" s="2" t="inlineStr">
        <is>
          <t>Mock</t>
        </is>
      </c>
      <c r="P2305" s="2" t="inlineStr">
        <is>
          <t>Mock Rx20 UBU</t>
        </is>
      </c>
    </row>
    <row r="2306" ht="13.2" customHeight="1" s="37">
      <c r="A2306" s="8" t="inlineStr">
        <is>
          <t>2327</t>
        </is>
      </c>
      <c r="B2306" s="2" t="inlineStr">
        <is>
          <t>การมีระดับยูริกในเลือดที่สูง</t>
        </is>
      </c>
      <c r="C2306" s="2" t="n"/>
      <c r="D2306" s="2" t="inlineStr">
        <is>
          <t>Dimercaprol (BAL) 3 mg/kg IM</t>
        </is>
      </c>
      <c r="E2306" s="2" t="inlineStr">
        <is>
          <t>Ethanol 10% IV infusion for Methanol poisoning</t>
        </is>
      </c>
      <c r="F2306" s="2" t="inlineStr">
        <is>
          <t>Fomepizole 15 mg/kg IV loading</t>
        </is>
      </c>
      <c r="G2306" s="2" t="inlineStr">
        <is>
          <t>N-acetylcysteine (NAC) IV infusion protocol</t>
        </is>
      </c>
      <c r="H2306" s="2" t="inlineStr">
        <is>
          <t>Atropine sulfate 2 mg IV Q5-10 min</t>
        </is>
      </c>
      <c r="I2306" s="8" t="inlineStr">
        <is>
          <t>1</t>
        </is>
      </c>
      <c r="J230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06" s="2" t="n"/>
      <c r="L2306" s="2" t="inlineStr">
        <is>
          <t>General Therapeutics</t>
        </is>
      </c>
      <c r="M2306" s="2" t="inlineStr">
        <is>
          <t>Clinic</t>
        </is>
      </c>
      <c r="N2306" s="2" t="inlineStr">
        <is>
          <t>ข้อ 3 (PLE_CC1_Key_Rx20_UBU.md)</t>
        </is>
      </c>
      <c r="O2306" s="2" t="inlineStr">
        <is>
          <t>Mock</t>
        </is>
      </c>
      <c r="P2306" s="2" t="inlineStr">
        <is>
          <t>Mock Rx20 UBU</t>
        </is>
      </c>
    </row>
    <row r="2307" ht="13.2" customHeight="1" s="37">
      <c r="A2307" s="8" t="inlineStr">
        <is>
          <t>2328</t>
        </is>
      </c>
      <c r="B2307" s="2" t="inlineStr">
        <is>
          <t>ลดการสร้างกรดยูริค</t>
        </is>
      </c>
      <c r="C2307" s="2" t="n"/>
      <c r="D2307" s="2" t="inlineStr">
        <is>
          <t>N-acetylcysteine (NAC) IV infusion protocol</t>
        </is>
      </c>
      <c r="E2307" s="2" t="inlineStr">
        <is>
          <t>Atropine sulfate 2 mg IV Q5-10 min</t>
        </is>
      </c>
      <c r="F2307" s="2" t="inlineStr">
        <is>
          <t>Pralidoxime (2-PAM) 1-2 g IV over 30 min</t>
        </is>
      </c>
      <c r="G2307" s="2" t="inlineStr">
        <is>
          <t>Naloxone 0.4 mg IV stat</t>
        </is>
      </c>
      <c r="H2307" s="2" t="inlineStr">
        <is>
          <t>Flumazenil 0.2 mg IV stat</t>
        </is>
      </c>
      <c r="I2307" s="8" t="inlineStr">
        <is>
          <t>1</t>
        </is>
      </c>
      <c r="J23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07" s="2" t="n"/>
      <c r="L2307" s="2" t="inlineStr">
        <is>
          <t>General Therapeutics</t>
        </is>
      </c>
      <c r="M2307" s="2" t="inlineStr">
        <is>
          <t>Clinic</t>
        </is>
      </c>
      <c r="N2307" s="2" t="inlineStr">
        <is>
          <t>ข้อ 1 (PLE_CC1_Key_Rx20_UBU.md)</t>
        </is>
      </c>
      <c r="O2307" s="2" t="inlineStr">
        <is>
          <t>Mock</t>
        </is>
      </c>
      <c r="P2307" s="2" t="inlineStr">
        <is>
          <t>Mock Rx20 UBU</t>
        </is>
      </c>
    </row>
    <row r="2308" ht="13.2" customHeight="1" s="37">
      <c r="A2308" s="8" t="inlineStr">
        <is>
          <t>2329</t>
        </is>
      </c>
      <c r="B2308" s="2" t="inlineStr">
        <is>
          <t>กระตุ้น Xantine oxdase</t>
        </is>
      </c>
      <c r="C2308" s="2" t="n"/>
      <c r="D2308" s="2" t="inlineStr">
        <is>
          <t>Naloxone 0.4 mg IV stat</t>
        </is>
      </c>
      <c r="E2308" s="2" t="inlineStr">
        <is>
          <t>Flumazenil 0.2 mg IV stat</t>
        </is>
      </c>
      <c r="F2308" s="2" t="inlineStr">
        <is>
          <t>Vitamin K1 (Phytomenadione) 10 mg IV slow</t>
        </is>
      </c>
      <c r="G2308" s="2" t="inlineStr">
        <is>
          <t>Sodium thiosulfate 25% 50 mL IV</t>
        </is>
      </c>
      <c r="H2308" s="2" t="inlineStr">
        <is>
          <t>Calcium disodium EDTA 1 g IV</t>
        </is>
      </c>
      <c r="I2308" s="8" t="inlineStr">
        <is>
          <t>1</t>
        </is>
      </c>
      <c r="J230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08" s="2" t="n"/>
      <c r="L2308" s="2" t="inlineStr">
        <is>
          <t>General Therapeutics</t>
        </is>
      </c>
      <c r="M2308" s="2" t="inlineStr">
        <is>
          <t>Clinic</t>
        </is>
      </c>
      <c r="N2308" s="2" t="inlineStr">
        <is>
          <t>ข้อ 2 (PLE_CC1_Key_Rx20_UBU.md)</t>
        </is>
      </c>
      <c r="O2308" s="2" t="inlineStr">
        <is>
          <t>Mock</t>
        </is>
      </c>
      <c r="P2308" s="2" t="inlineStr">
        <is>
          <t>Mock Rx20 UBU</t>
        </is>
      </c>
    </row>
    <row r="2309" ht="13.2" customHeight="1" s="37">
      <c r="A2309" s="8" t="inlineStr">
        <is>
          <t>2330</t>
        </is>
      </c>
      <c r="B2309" s="2" t="inlineStr">
        <is>
          <t>ลดการขับออกของยูริกในปัสสาวะ</t>
        </is>
      </c>
      <c r="C2309" s="2" t="n"/>
      <c r="D2309" s="2" t="inlineStr">
        <is>
          <t>Sodium thiosulfate 25% 50 mL IV</t>
        </is>
      </c>
      <c r="E2309" s="2" t="inlineStr">
        <is>
          <t>Calcium disodium EDTA 1 g IV</t>
        </is>
      </c>
      <c r="F2309" s="2" t="inlineStr">
        <is>
          <t>Desferrioxamine 1 g IM/IV</t>
        </is>
      </c>
      <c r="G2309" s="2" t="inlineStr">
        <is>
          <t>Dimercaprol (BAL) 3 mg/kg IM</t>
        </is>
      </c>
      <c r="H2309" s="2" t="inlineStr">
        <is>
          <t>Ethanol 10% IV infusion for Methanol poisoning</t>
        </is>
      </c>
      <c r="I2309" s="8" t="inlineStr">
        <is>
          <t>1</t>
        </is>
      </c>
      <c r="J230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09" s="2" t="n"/>
      <c r="L2309" s="2" t="inlineStr">
        <is>
          <t>General Therapeutics</t>
        </is>
      </c>
      <c r="M2309" s="2" t="inlineStr">
        <is>
          <t>Clinic</t>
        </is>
      </c>
      <c r="N2309" s="2" t="inlineStr">
        <is>
          <t>ข้อ 3 (PLE_CC1_Key_Rx20_UBU.md)</t>
        </is>
      </c>
      <c r="O2309" s="2" t="inlineStr">
        <is>
          <t>Mock</t>
        </is>
      </c>
      <c r="P2309" s="2" t="inlineStr">
        <is>
          <t>Mock Rx20 UBU</t>
        </is>
      </c>
    </row>
    <row r="2310" ht="13.2" customHeight="1" s="37">
      <c r="A2310" s="8" t="inlineStr">
        <is>
          <t>2331</t>
        </is>
      </c>
      <c r="B2310" s="2" t="inlineStr">
        <is>
          <t>เพิ่มการสร้าง Prostaglandin</t>
        </is>
      </c>
      <c r="C2310" s="2" t="n"/>
      <c r="D2310" s="2" t="inlineStr">
        <is>
          <t>Dimercaprol (BAL) 3 mg/kg IM</t>
        </is>
      </c>
      <c r="E2310" s="2" t="inlineStr">
        <is>
          <t>Ethanol 10% IV infusion for Methanol poisoning</t>
        </is>
      </c>
      <c r="F2310" s="2" t="inlineStr">
        <is>
          <t>Fomepizole 15 mg/kg IV loading</t>
        </is>
      </c>
      <c r="G2310" s="2" t="inlineStr">
        <is>
          <t>N-acetylcysteine (NAC) IV infusion protocol</t>
        </is>
      </c>
      <c r="H2310" s="2" t="inlineStr">
        <is>
          <t>Atropine sulfate 2 mg IV Q5-10 min</t>
        </is>
      </c>
      <c r="I2310" s="8" t="inlineStr">
        <is>
          <t>1</t>
        </is>
      </c>
      <c r="J231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0" s="2" t="n"/>
      <c r="L2310" s="2" t="inlineStr">
        <is>
          <t>General Therapeutics</t>
        </is>
      </c>
      <c r="M2310" s="2" t="inlineStr">
        <is>
          <t>Clinic</t>
        </is>
      </c>
      <c r="N2310" s="2" t="inlineStr">
        <is>
          <t>ข้อ 4 (PLE_CC1_Key_Rx20_UBU.md)</t>
        </is>
      </c>
      <c r="O2310" s="2" t="inlineStr">
        <is>
          <t>Mock</t>
        </is>
      </c>
      <c r="P2310" s="2" t="inlineStr">
        <is>
          <t>Mock Rx20 UBU</t>
        </is>
      </c>
    </row>
    <row r="2311" ht="13.2" customHeight="1" s="37">
      <c r="A2311" s="8" t="inlineStr">
        <is>
          <t>2332</t>
        </is>
      </c>
      <c r="B2311" s="2" t="inlineStr">
        <is>
          <t>ยาใดที่ใช้บรรเทาอาการเฉียบพลันของผู้ป่วยรายนี้ได้</t>
        </is>
      </c>
      <c r="C2311" s="2" t="n"/>
      <c r="D2311" s="2" t="inlineStr">
        <is>
          <t>N-acetylcysteine (NAC) IV infusion protocol</t>
        </is>
      </c>
      <c r="E2311" s="2" t="inlineStr">
        <is>
          <t>Atropine sulfate 2 mg IV Q5-10 min</t>
        </is>
      </c>
      <c r="F2311" s="2" t="inlineStr">
        <is>
          <t>Pralidoxime (2-PAM) 1-2 g IV over 30 min</t>
        </is>
      </c>
      <c r="G2311" s="2" t="inlineStr">
        <is>
          <t>Naloxone 0.4 mg IV stat</t>
        </is>
      </c>
      <c r="H2311" s="2" t="inlineStr">
        <is>
          <t>Flumazenil 0.2 mg IV stat</t>
        </is>
      </c>
      <c r="I2311" s="8" t="inlineStr">
        <is>
          <t>1</t>
        </is>
      </c>
      <c r="J231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11" s="2" t="n"/>
      <c r="L2311" s="2" t="inlineStr">
        <is>
          <t>General Therapeutics</t>
        </is>
      </c>
      <c r="M2311" s="2" t="inlineStr">
        <is>
          <t>Clinic</t>
        </is>
      </c>
      <c r="N2311" s="2" t="inlineStr">
        <is>
          <t>ข้อ 3 (PLE_CC1_Key_Rx20_UBU.md)</t>
        </is>
      </c>
      <c r="O2311" s="2" t="inlineStr">
        <is>
          <t>Mock</t>
        </is>
      </c>
      <c r="P2311" s="2" t="inlineStr">
        <is>
          <t>Mock Rx20 UBU</t>
        </is>
      </c>
    </row>
    <row r="2312" ht="13.2" customHeight="1" s="37">
      <c r="A2312" s="8" t="inlineStr">
        <is>
          <t>2333</t>
        </is>
      </c>
      <c r="B2312" s="2" t="inlineStr">
        <is>
          <t>อาหารใดที่ผู้ป่วยสามารถรับประทานได้</t>
        </is>
      </c>
      <c r="C2312" s="2" t="n"/>
      <c r="D2312" s="2" t="inlineStr">
        <is>
          <t>Naloxone 0.4 mg IV stat</t>
        </is>
      </c>
      <c r="E2312" s="2" t="inlineStr">
        <is>
          <t>Flumazenil 0.2 mg IV stat</t>
        </is>
      </c>
      <c r="F2312" s="2" t="inlineStr">
        <is>
          <t>Vitamin K1 (Phytomenadione) 10 mg IV slow</t>
        </is>
      </c>
      <c r="G2312" s="2" t="inlineStr">
        <is>
          <t>Sodium thiosulfate 25% 50 mL IV</t>
        </is>
      </c>
      <c r="H2312" s="2" t="inlineStr">
        <is>
          <t>Calcium disodium EDTA 1 g IV</t>
        </is>
      </c>
      <c r="I2312" s="8" t="inlineStr">
        <is>
          <t>1</t>
        </is>
      </c>
      <c r="J231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12" s="2" t="n"/>
      <c r="L2312" s="2" t="inlineStr">
        <is>
          <t>General Therapeutics</t>
        </is>
      </c>
      <c r="M2312" s="2" t="inlineStr">
        <is>
          <t>Clinic</t>
        </is>
      </c>
      <c r="N2312" s="2" t="inlineStr">
        <is>
          <t>ข้อ 5 (PLE_CC1_Key_Rx20_UBU.md)</t>
        </is>
      </c>
      <c r="O2312" s="2" t="inlineStr">
        <is>
          <t>Mock</t>
        </is>
      </c>
      <c r="P2312" s="2" t="inlineStr">
        <is>
          <t>Mock Rx20 UBU</t>
        </is>
      </c>
    </row>
    <row r="2313" ht="13.2" customHeight="1" s="37">
      <c r="A2313" s="8" t="inlineStr">
        <is>
          <t>2334</t>
        </is>
      </c>
      <c r="B2313" s="2" t="inlineStr">
        <is>
          <t>ปลาหมึกไข่นึ่งมะนาว</t>
        </is>
      </c>
      <c r="C2313" s="2" t="n"/>
      <c r="D2313" s="2" t="inlineStr">
        <is>
          <t>Sodium thiosulfate 25% 50 mL IV</t>
        </is>
      </c>
      <c r="E2313" s="2" t="inlineStr">
        <is>
          <t>Calcium disodium EDTA 1 g IV</t>
        </is>
      </c>
      <c r="F2313" s="2" t="inlineStr">
        <is>
          <t>Desferrioxamine 1 g IM/IV</t>
        </is>
      </c>
      <c r="G2313" s="2" t="inlineStr">
        <is>
          <t>Dimercaprol (BAL) 3 mg/kg IM</t>
        </is>
      </c>
      <c r="H2313" s="2" t="inlineStr">
        <is>
          <t>Ethanol 10% IV infusion for Methanol poisoning</t>
        </is>
      </c>
      <c r="I2313" s="8" t="inlineStr">
        <is>
          <t>1</t>
        </is>
      </c>
      <c r="J231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3" s="2" t="n"/>
      <c r="L2313" s="2" t="inlineStr">
        <is>
          <t>General Therapeutics</t>
        </is>
      </c>
      <c r="M2313" s="2" t="inlineStr">
        <is>
          <t>Clinic</t>
        </is>
      </c>
      <c r="N2313" s="2" t="inlineStr">
        <is>
          <t>ข้อ 2 (PLE_CC1_Key_Rx20_UBU.md)</t>
        </is>
      </c>
      <c r="O2313" s="2" t="inlineStr">
        <is>
          <t>Mock</t>
        </is>
      </c>
      <c r="P2313" s="2" t="inlineStr">
        <is>
          <t>Mock Rx20 UBU</t>
        </is>
      </c>
    </row>
    <row r="2314" ht="13.2" customHeight="1" s="37">
      <c r="A2314" s="8" t="inlineStr">
        <is>
          <t>2335</t>
        </is>
      </c>
      <c r="B2314" s="2" t="inlineStr">
        <is>
          <t>ต้มเครื่องในหมู</t>
        </is>
      </c>
      <c r="C2314" s="2" t="n"/>
      <c r="D2314" s="2" t="inlineStr">
        <is>
          <t>Dimercaprol (BAL) 3 mg/kg IM</t>
        </is>
      </c>
      <c r="E2314" s="2" t="inlineStr">
        <is>
          <t>Ethanol 10% IV infusion for Methanol poisoning</t>
        </is>
      </c>
      <c r="F2314" s="2" t="inlineStr">
        <is>
          <t>Fomepizole 15 mg/kg IV loading</t>
        </is>
      </c>
      <c r="G2314" s="2" t="inlineStr">
        <is>
          <t>N-acetylcysteine (NAC) IV infusion protocol</t>
        </is>
      </c>
      <c r="H2314" s="2" t="inlineStr">
        <is>
          <t>Atropine sulfate 2 mg IV Q5-10 min</t>
        </is>
      </c>
      <c r="I2314" s="8" t="inlineStr">
        <is>
          <t>1</t>
        </is>
      </c>
      <c r="J231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4" s="2" t="n"/>
      <c r="L2314" s="2" t="inlineStr">
        <is>
          <t>General Therapeutics</t>
        </is>
      </c>
      <c r="M2314" s="2" t="inlineStr">
        <is>
          <t>Clinic</t>
        </is>
      </c>
      <c r="N2314" s="2" t="inlineStr">
        <is>
          <t>ข้อ 4 (PLE_CC1_Key_Rx20_UBU.md)</t>
        </is>
      </c>
      <c r="O2314" s="2" t="inlineStr">
        <is>
          <t>Mock</t>
        </is>
      </c>
      <c r="P2314" s="2" t="inlineStr">
        <is>
          <t>Mock Rx20 UBU</t>
        </is>
      </c>
    </row>
    <row r="2315" ht="13.2" customHeight="1" s="37">
      <c r="A2315" s="8" t="inlineStr">
        <is>
          <t>2336</t>
        </is>
      </c>
      <c r="B2315" s="2" t="inlineStr">
        <is>
          <t>left ventricular hypertrophy</t>
        </is>
      </c>
      <c r="C2315" s="2" t="n"/>
      <c r="D2315" s="2" t="inlineStr">
        <is>
          <t>N-acetylcysteine (NAC) IV infusion protocol</t>
        </is>
      </c>
      <c r="E2315" s="2" t="inlineStr">
        <is>
          <t>Atropine sulfate 2 mg IV Q5-10 min</t>
        </is>
      </c>
      <c r="F2315" s="2" t="inlineStr">
        <is>
          <t>Pralidoxime (2-PAM) 1-2 g IV over 30 min</t>
        </is>
      </c>
      <c r="G2315" s="2" t="inlineStr">
        <is>
          <t>Naloxone 0.4 mg IV stat</t>
        </is>
      </c>
      <c r="H2315" s="2" t="inlineStr">
        <is>
          <t>Flumazenil 0.2 mg IV stat</t>
        </is>
      </c>
      <c r="I2315" s="8" t="inlineStr">
        <is>
          <t>1</t>
        </is>
      </c>
      <c r="J231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15" s="2" t="n"/>
      <c r="L2315" s="2" t="inlineStr">
        <is>
          <t>General Therapeutics</t>
        </is>
      </c>
      <c r="M2315" s="2" t="inlineStr">
        <is>
          <t>Clinic</t>
        </is>
      </c>
      <c r="N2315" s="2" t="inlineStr">
        <is>
          <t>ข้อ 2 (PLE_CC1_Key_Rx20_UBU.md)</t>
        </is>
      </c>
      <c r="O2315" s="2" t="inlineStr">
        <is>
          <t>Mock</t>
        </is>
      </c>
      <c r="P2315" s="2" t="inlineStr">
        <is>
          <t>Mock Rx20 UBU</t>
        </is>
      </c>
    </row>
    <row r="2316" ht="13.2" customHeight="1" s="37">
      <c r="A2316" s="8" t="inlineStr">
        <is>
          <t>2337</t>
        </is>
      </c>
      <c r="B2316" s="2" t="inlineStr">
        <is>
          <t>ควรแนะนำอะไรแก่ผู้ป่วย</t>
        </is>
      </c>
      <c r="C2316" s="2" t="n"/>
      <c r="D2316" s="2" t="inlineStr">
        <is>
          <t>Naloxone 0.4 mg IV stat</t>
        </is>
      </c>
      <c r="E2316" s="2" t="inlineStr">
        <is>
          <t>Flumazenil 0.2 mg IV stat</t>
        </is>
      </c>
      <c r="F2316" s="2" t="inlineStr">
        <is>
          <t>Vitamin K1 (Phytomenadione) 10 mg IV slow</t>
        </is>
      </c>
      <c r="G2316" s="2" t="inlineStr">
        <is>
          <t>Sodium thiosulfate 25% 50 mL IV</t>
        </is>
      </c>
      <c r="H2316" s="2" t="inlineStr">
        <is>
          <t>Calcium disodium EDTA 1 g IV</t>
        </is>
      </c>
      <c r="I2316" s="8" t="inlineStr">
        <is>
          <t>1</t>
        </is>
      </c>
      <c r="J231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16" s="2" t="n"/>
      <c r="L2316" s="2" t="inlineStr">
        <is>
          <t>General Therapeutics</t>
        </is>
      </c>
      <c r="M2316" s="2" t="inlineStr">
        <is>
          <t>Clinic</t>
        </is>
      </c>
      <c r="N2316" s="2" t="inlineStr">
        <is>
          <t>ข้อ 3 (PLE_CC1_Key_Rx20_UBU.md)</t>
        </is>
      </c>
      <c r="O2316" s="2" t="inlineStr">
        <is>
          <t>Mock</t>
        </is>
      </c>
      <c r="P2316" s="2" t="inlineStr">
        <is>
          <t>Mock Rx20 UBU</t>
        </is>
      </c>
    </row>
    <row r="2317" ht="13.2" customHeight="1" s="37">
      <c r="A2317" s="8" t="inlineStr">
        <is>
          <t>2338</t>
        </is>
      </c>
      <c r="B2317" s="2" t="inlineStr">
        <is>
          <t>ออกกำลังกายให้น้อยที่สุด</t>
        </is>
      </c>
      <c r="C2317" s="2" t="n"/>
      <c r="D2317" s="2" t="inlineStr">
        <is>
          <t>Sodium thiosulfate 25% 50 mL IV</t>
        </is>
      </c>
      <c r="E2317" s="2" t="inlineStr">
        <is>
          <t>Calcium disodium EDTA 1 g IV</t>
        </is>
      </c>
      <c r="F2317" s="2" t="inlineStr">
        <is>
          <t>Desferrioxamine 1 g IM/IV</t>
        </is>
      </c>
      <c r="G2317" s="2" t="inlineStr">
        <is>
          <t>Dimercaprol (BAL) 3 mg/kg IM</t>
        </is>
      </c>
      <c r="H2317" s="2" t="inlineStr">
        <is>
          <t>Ethanol 10% IV infusion for Methanol poisoning</t>
        </is>
      </c>
      <c r="I2317" s="8" t="inlineStr">
        <is>
          <t>1</t>
        </is>
      </c>
      <c r="J231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7" s="2" t="n"/>
      <c r="L2317" s="2" t="inlineStr">
        <is>
          <t>General Therapeutics</t>
        </is>
      </c>
      <c r="M2317" s="2" t="inlineStr">
        <is>
          <t>Clinic</t>
        </is>
      </c>
      <c r="N2317" s="2" t="inlineStr">
        <is>
          <t>ข้อ 1 (PLE_CC1_Key_Rx20_UBU.md)</t>
        </is>
      </c>
      <c r="O2317" s="2" t="inlineStr">
        <is>
          <t>Mock</t>
        </is>
      </c>
      <c r="P2317" s="2" t="inlineStr">
        <is>
          <t>Mock Rx20 UBU</t>
        </is>
      </c>
    </row>
    <row r="2318" ht="13.2" customHeight="1" s="37">
      <c r="A2318" s="8" t="inlineStr">
        <is>
          <t>2339</t>
        </is>
      </c>
      <c r="B2318" s="2" t="inlineStr">
        <is>
          <t>รับประทานกล้วยส้มให้คงที่</t>
        </is>
      </c>
      <c r="C2318" s="2" t="n"/>
      <c r="D2318" s="2" t="inlineStr">
        <is>
          <t>Dimercaprol (BAL) 3 mg/kg IM</t>
        </is>
      </c>
      <c r="E2318" s="2" t="inlineStr">
        <is>
          <t>Ethanol 10% IV infusion for Methanol poisoning</t>
        </is>
      </c>
      <c r="F2318" s="2" t="inlineStr">
        <is>
          <t>Fomepizole 15 mg/kg IV loading</t>
        </is>
      </c>
      <c r="G2318" s="2" t="inlineStr">
        <is>
          <t>N-acetylcysteine (NAC) IV infusion protocol</t>
        </is>
      </c>
      <c r="H2318" s="2" t="inlineStr">
        <is>
          <t>Atropine sulfate 2 mg IV Q5-10 min</t>
        </is>
      </c>
      <c r="I2318" s="8" t="inlineStr">
        <is>
          <t>1</t>
        </is>
      </c>
      <c r="J231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8" s="2" t="n"/>
      <c r="L2318" s="2" t="inlineStr">
        <is>
          <t>General Therapeutics</t>
        </is>
      </c>
      <c r="M2318" s="2" t="inlineStr">
        <is>
          <t>Clinic</t>
        </is>
      </c>
      <c r="N2318" s="2" t="inlineStr">
        <is>
          <t>ข้อ 2 (PLE_CC1_Key_Rx20_UBU.md)</t>
        </is>
      </c>
      <c r="O2318" s="2" t="inlineStr">
        <is>
          <t>Mock</t>
        </is>
      </c>
      <c r="P2318" s="2" t="inlineStr">
        <is>
          <t>Mock Rx20 UBU</t>
        </is>
      </c>
    </row>
    <row r="2319" ht="13.2" customHeight="1" s="37">
      <c r="A2319" s="8" t="inlineStr">
        <is>
          <t>2340</t>
        </is>
      </c>
      <c r="B2319" s="2" t="inlineStr">
        <is>
          <t>จำกัดการดื่มน้ำให้ไม่เกินวันละ 1.5 ลิตร</t>
        </is>
      </c>
      <c r="C2319" s="2" t="n"/>
      <c r="D2319" s="2" t="inlineStr">
        <is>
          <t>N-acetylcysteine (NAC) IV infusion protocol</t>
        </is>
      </c>
      <c r="E2319" s="2" t="inlineStr">
        <is>
          <t>Atropine sulfate 2 mg IV Q5-10 min</t>
        </is>
      </c>
      <c r="F2319" s="2" t="inlineStr">
        <is>
          <t>Pralidoxime (2-PAM) 1-2 g IV over 30 min</t>
        </is>
      </c>
      <c r="G2319" s="2" t="inlineStr">
        <is>
          <t>Naloxone 0.4 mg IV stat</t>
        </is>
      </c>
      <c r="H2319" s="2" t="inlineStr">
        <is>
          <t>Flumazenil 0.2 mg IV stat</t>
        </is>
      </c>
      <c r="I2319" s="8" t="inlineStr">
        <is>
          <t>1</t>
        </is>
      </c>
      <c r="J231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19" s="2" t="n"/>
      <c r="L2319" s="2" t="inlineStr">
        <is>
          <t>General Therapeutics</t>
        </is>
      </c>
      <c r="M2319" s="2" t="inlineStr">
        <is>
          <t>Clinic</t>
        </is>
      </c>
      <c r="N2319" s="2" t="inlineStr">
        <is>
          <t>ข้อ 3 (PLE_CC1_Key_Rx20_UBU.md)</t>
        </is>
      </c>
      <c r="O2319" s="2" t="inlineStr">
        <is>
          <t>Mock</t>
        </is>
      </c>
      <c r="P2319" s="2" t="inlineStr">
        <is>
          <t>Mock Rx20 UBU</t>
        </is>
      </c>
    </row>
    <row r="2320" ht="13.2" customHeight="1" s="37">
      <c r="A2320" s="8" t="inlineStr">
        <is>
          <t>2341</t>
        </is>
      </c>
      <c r="B2320" s="2" t="inlineStr">
        <is>
          <t>ระวังไม่ให้ท้องผูก</t>
        </is>
      </c>
      <c r="C2320" s="2" t="n"/>
      <c r="D2320" s="2" t="inlineStr">
        <is>
          <t>Dimenhydrinate 50 mg TID</t>
        </is>
      </c>
      <c r="E2320" s="2" t="inlineStr">
        <is>
          <t>Loperamide 2 mg PRN</t>
        </is>
      </c>
      <c r="F2320" s="2" t="inlineStr">
        <is>
          <t>Senna 2 tabs HS</t>
        </is>
      </c>
      <c r="G2320" s="2" t="inlineStr">
        <is>
          <t>Bisacodyl 5 mg HS</t>
        </is>
      </c>
      <c r="H2320" s="2" t="inlineStr">
        <is>
          <t>Lactulose 15 mL OD</t>
        </is>
      </c>
      <c r="I2320" s="8" t="inlineStr">
        <is>
          <t>1</t>
        </is>
      </c>
      <c r="J2320" s="2" t="inlineStr">
        <is>
          <t>✅ คำตอบที่ถูกต้อง: ข้อ ก. Dimenhydrinate 50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Dimenhydrinate 50 mg TID การเลือก Dimenhydrinate 50 mg TID เป็นคำตอบที่ถูกต้องและสอดคล้องกับ evidence-based guidelines ของภาวะ GI Disorders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20" s="2" t="n"/>
      <c r="L2320" s="2" t="inlineStr">
        <is>
          <t>GI Disorders</t>
        </is>
      </c>
      <c r="M2320" s="2" t="inlineStr">
        <is>
          <t>Clinic</t>
        </is>
      </c>
      <c r="N2320" s="2" t="inlineStr">
        <is>
          <t>ข้อ 4 (PLE_CC1_Key_Rx20_UBU.md)</t>
        </is>
      </c>
      <c r="O2320" s="2" t="inlineStr">
        <is>
          <t>Mock</t>
        </is>
      </c>
      <c r="P2320" s="2" t="inlineStr">
        <is>
          <t>Mock Rx20 UBU</t>
        </is>
      </c>
    </row>
    <row r="2321" ht="13.2" customHeight="1" s="37">
      <c r="A2321" s="8" t="inlineStr">
        <is>
          <t>2342</t>
        </is>
      </c>
      <c r="B2321" s="2" t="inlineStr">
        <is>
          <t>รับประทานเวลาไหนก็ได้ แต่ควรเป็นเวลาเดียวกันทุกวัน</t>
        </is>
      </c>
      <c r="C2321" s="2" t="n"/>
      <c r="D2321" s="2" t="inlineStr">
        <is>
          <t>Sodium thiosulfate 25% 50 mL IV</t>
        </is>
      </c>
      <c r="E2321" s="2" t="inlineStr">
        <is>
          <t>Calcium disodium EDTA 1 g IV</t>
        </is>
      </c>
      <c r="F2321" s="2" t="inlineStr">
        <is>
          <t>Desferrioxamine 1 g IM/IV</t>
        </is>
      </c>
      <c r="G2321" s="2" t="inlineStr">
        <is>
          <t>Dimercaprol (BAL) 3 mg/kg IM</t>
        </is>
      </c>
      <c r="H2321" s="2" t="inlineStr">
        <is>
          <t>Ethanol 10% IV infusion for Methanol poisoning</t>
        </is>
      </c>
      <c r="I2321" s="8" t="inlineStr">
        <is>
          <t>1</t>
        </is>
      </c>
      <c r="J232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21" s="2" t="n"/>
      <c r="L2321" s="2" t="inlineStr">
        <is>
          <t>General Therapeutics</t>
        </is>
      </c>
      <c r="M2321" s="2" t="inlineStr">
        <is>
          <t>Clinic</t>
        </is>
      </c>
      <c r="N2321" s="2" t="inlineStr">
        <is>
          <t>ข้อ 1 (PLE_CC1_Key_Rx20_UBU.md)</t>
        </is>
      </c>
      <c r="O2321" s="2" t="inlineStr">
        <is>
          <t>Mock</t>
        </is>
      </c>
      <c r="P2321" s="2" t="inlineStr">
        <is>
          <t>Mock Rx20 UBU</t>
        </is>
      </c>
    </row>
    <row r="2322" ht="13.2" customHeight="1" s="37">
      <c r="A2322" s="8" t="inlineStr">
        <is>
          <t>2343</t>
        </is>
      </c>
      <c r="B2322" s="2" t="inlineStr">
        <is>
          <t>รับประทานวันละ 1 เม็ดไม่เกินเวลาเที่ยง</t>
        </is>
      </c>
      <c r="C2322" s="2" t="n"/>
      <c r="D2322" s="2" t="inlineStr">
        <is>
          <t>Dimercaprol (BAL) 3 mg/kg IM</t>
        </is>
      </c>
      <c r="E2322" s="2" t="inlineStr">
        <is>
          <t>Ethanol 10% IV infusion for Methanol poisoning</t>
        </is>
      </c>
      <c r="F2322" s="2" t="inlineStr">
        <is>
          <t>Fomepizole 15 mg/kg IV loading</t>
        </is>
      </c>
      <c r="G2322" s="2" t="inlineStr">
        <is>
          <t>N-acetylcysteine (NAC) IV infusion protocol</t>
        </is>
      </c>
      <c r="H2322" s="2" t="inlineStr">
        <is>
          <t>Atropine sulfate 2 mg IV Q5-10 min</t>
        </is>
      </c>
      <c r="I2322" s="8" t="inlineStr">
        <is>
          <t>1</t>
        </is>
      </c>
      <c r="J23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22" s="2" t="n"/>
      <c r="L2322" s="2" t="inlineStr">
        <is>
          <t>General Therapeutics</t>
        </is>
      </c>
      <c r="M2322" s="2" t="inlineStr">
        <is>
          <t>Clinic</t>
        </is>
      </c>
      <c r="N2322" s="2" t="inlineStr">
        <is>
          <t>ข้อ 2 (PLE_CC1_Key_Rx20_UBU.md)</t>
        </is>
      </c>
      <c r="O2322" s="2" t="inlineStr">
        <is>
          <t>Mock</t>
        </is>
      </c>
      <c r="P2322" s="2" t="inlineStr">
        <is>
          <t>Mock Rx20 UBU</t>
        </is>
      </c>
    </row>
    <row r="2323" ht="13.2" customHeight="1" s="37">
      <c r="A2323" s="8" t="inlineStr">
        <is>
          <t>2344</t>
        </is>
      </c>
      <c r="B2323" s="2" t="inlineStr">
        <is>
          <t>หากลืมรับประทานไม่เกิน 12 ชั่วโมง สามารถรับประทานทันทีที่นึกได้</t>
        </is>
      </c>
      <c r="C2323" s="2" t="n"/>
      <c r="D2323" s="2" t="inlineStr">
        <is>
          <t>N-acetylcysteine (NAC) IV infusion protocol</t>
        </is>
      </c>
      <c r="E2323" s="2" t="inlineStr">
        <is>
          <t>Atropine sulfate 2 mg IV Q5-10 min</t>
        </is>
      </c>
      <c r="F2323" s="2" t="inlineStr">
        <is>
          <t>Pralidoxime (2-PAM) 1-2 g IV over 30 min</t>
        </is>
      </c>
      <c r="G2323" s="2" t="inlineStr">
        <is>
          <t>Naloxone 0.4 mg IV stat</t>
        </is>
      </c>
      <c r="H2323" s="2" t="inlineStr">
        <is>
          <t>Flumazenil 0.2 mg IV stat</t>
        </is>
      </c>
      <c r="I2323" s="8" t="inlineStr">
        <is>
          <t>1</t>
        </is>
      </c>
      <c r="J232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23" s="2" t="n"/>
      <c r="L2323" s="2" t="inlineStr">
        <is>
          <t>General Therapeutics</t>
        </is>
      </c>
      <c r="M2323" s="2" t="inlineStr">
        <is>
          <t>Clinic</t>
        </is>
      </c>
      <c r="N2323" s="2" t="inlineStr">
        <is>
          <t>ข้อ 3 (PLE_CC1_Key_Rx20_UBU.md)</t>
        </is>
      </c>
      <c r="O2323" s="2" t="inlineStr">
        <is>
          <t>Mock</t>
        </is>
      </c>
      <c r="P2323" s="2" t="inlineStr">
        <is>
          <t>Mock Rx20 UBU</t>
        </is>
      </c>
    </row>
    <row r="2324" ht="13.2" customHeight="1" s="37">
      <c r="A2324" s="8" t="inlineStr">
        <is>
          <t>2345</t>
        </is>
      </c>
      <c r="B2324" s="2" t="inlineStr">
        <is>
          <t>หลีกเลี่ยงการรับประทานร่วมกับนมและยาลดกรด</t>
        </is>
      </c>
      <c r="C2324" s="2" t="n"/>
      <c r="D2324" s="2" t="inlineStr">
        <is>
          <t>Domperidone 10 mg TID</t>
        </is>
      </c>
      <c r="E2324" s="2" t="inlineStr">
        <is>
          <t>Dimenhydrinate 50 mg TID</t>
        </is>
      </c>
      <c r="F2324" s="2" t="inlineStr">
        <is>
          <t>Loperamide 2 mg PRN</t>
        </is>
      </c>
      <c r="G2324" s="2" t="inlineStr">
        <is>
          <t>Senna 2 tabs HS</t>
        </is>
      </c>
      <c r="H2324" s="2" t="inlineStr">
        <is>
          <t>Bisacodyl 5 mg HS</t>
        </is>
      </c>
      <c r="I2324" s="8" t="inlineStr">
        <is>
          <t>1</t>
        </is>
      </c>
      <c r="J2324" s="2" t="inlineStr">
        <is>
          <t>✅ คำตอบที่ถูกต้อง: ข้อ ก. Domperidone 10 mg TID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ค. (Loperamide 2 mg PRN): เป็น peripheral mu-opioid agonist ลด peristalsis ใช้บรรเทาอาการ acute non-infectious diarrhea แต่ห้ามใช้ใน bloody diarrhea (dysentery) หรือ bacterial enteritis (เสี่ยง toxic megacolon)
• ข้อ ง. (Senna 2 tabs HS): เป็น Anthraquinone stimulant laxative กระตุ้น myenteric plexus แต่การใช้ระยะยาวอาจทำให้เกิด melanosis coli และ bowel dependence
• ข้อ จ.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24" s="2" t="n"/>
      <c r="L2324" s="2" t="inlineStr">
        <is>
          <t>GI Disorders</t>
        </is>
      </c>
      <c r="M2324" s="2" t="inlineStr">
        <is>
          <t>Clinic</t>
        </is>
      </c>
      <c r="N2324" s="2" t="inlineStr">
        <is>
          <t>ข้อ 4 (PLE_CC1_Key_Rx20_UBU.md)</t>
        </is>
      </c>
      <c r="O2324" s="2" t="inlineStr">
        <is>
          <t>Mock</t>
        </is>
      </c>
      <c r="P2324" s="2" t="inlineStr">
        <is>
          <t>Mock Rx20 UBU</t>
        </is>
      </c>
    </row>
    <row r="2325" ht="13.2" customHeight="1" s="37">
      <c r="A2325" s="8" t="inlineStr">
        <is>
          <t>2346</t>
        </is>
      </c>
      <c r="B2325" s="2" t="inlineStr">
        <is>
          <t>รับประทานยาแล้วดื่มน้ำตามมากๆ</t>
        </is>
      </c>
      <c r="C2325" s="2" t="n"/>
      <c r="D2325" s="2" t="inlineStr">
        <is>
          <t>Sodium thiosulfate 25% 50 mL IV</t>
        </is>
      </c>
      <c r="E2325" s="2" t="inlineStr">
        <is>
          <t>Calcium disodium EDTA 1 g IV</t>
        </is>
      </c>
      <c r="F2325" s="2" t="inlineStr">
        <is>
          <t>Desferrioxamine 1 g IM/IV</t>
        </is>
      </c>
      <c r="G2325" s="2" t="inlineStr">
        <is>
          <t>Dimercaprol (BAL) 3 mg/kg IM</t>
        </is>
      </c>
      <c r="H2325" s="2" t="inlineStr">
        <is>
          <t>Ethanol 10% IV infusion for Methanol poisoning</t>
        </is>
      </c>
      <c r="I2325" s="8" t="inlineStr">
        <is>
          <t>1</t>
        </is>
      </c>
      <c r="J23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25" s="2" t="n"/>
      <c r="L2325" s="2" t="inlineStr">
        <is>
          <t>General Therapeutics</t>
        </is>
      </c>
      <c r="M2325" s="2" t="inlineStr">
        <is>
          <t>Clinic</t>
        </is>
      </c>
      <c r="N2325" s="2" t="inlineStr">
        <is>
          <t>ข้อ 5 (PLE_CC1_Key_Rx20_UBU.md)</t>
        </is>
      </c>
      <c r="O2325" s="2" t="inlineStr">
        <is>
          <t>Mock</t>
        </is>
      </c>
      <c r="P2325" s="2" t="inlineStr">
        <is>
          <t>Mock Rx20 UBU</t>
        </is>
      </c>
    </row>
    <row r="2326" ht="13.2" customHeight="1" s="37">
      <c r="A2326" s="8" t="inlineStr">
        <is>
          <t>2347</t>
        </is>
      </c>
      <c r="B2326" s="2" t="inlineStr">
        <is>
          <t>recall ผลิตภัณฑ์ ข้อใดผิด</t>
        </is>
      </c>
      <c r="C2326" s="2" t="n"/>
      <c r="D2326" s="2" t="inlineStr">
        <is>
          <t>Dimercaprol (BAL) 3 mg/kg IM</t>
        </is>
      </c>
      <c r="E2326" s="2" t="inlineStr">
        <is>
          <t>Ethanol 10% IV infusion for Methanol poisoning</t>
        </is>
      </c>
      <c r="F2326" s="2" t="inlineStr">
        <is>
          <t>Fomepizole 15 mg/kg IV loading</t>
        </is>
      </c>
      <c r="G2326" s="2" t="inlineStr">
        <is>
          <t>N-acetylcysteine (NAC) IV infusion protocol</t>
        </is>
      </c>
      <c r="H2326" s="2" t="inlineStr">
        <is>
          <t>Atropine sulfate 2 mg IV Q5-10 min</t>
        </is>
      </c>
      <c r="I2326" s="8" t="inlineStr">
        <is>
          <t>1</t>
        </is>
      </c>
      <c r="J232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26" s="2" t="n"/>
      <c r="L2326" s="2" t="inlineStr">
        <is>
          <t>General Therapeutics</t>
        </is>
      </c>
      <c r="M2326" s="2" t="inlineStr">
        <is>
          <t>Clinic</t>
        </is>
      </c>
      <c r="N2326" s="2" t="inlineStr">
        <is>
          <t>ข้อ 13 (PLE_CC1_Key_Rx20_UBU.md)</t>
        </is>
      </c>
      <c r="O2326" s="2" t="inlineStr">
        <is>
          <t>Mock</t>
        </is>
      </c>
      <c r="P2326" s="2" t="inlineStr">
        <is>
          <t>Mock Rx20 UBU</t>
        </is>
      </c>
    </row>
    <row r="2327" ht="13.2" customHeight="1" s="37">
      <c r="A2327" s="8" t="inlineStr">
        <is>
          <t>2348</t>
        </is>
      </c>
      <c r="B2327" s="2" t="inlineStr">
        <is>
          <t>การ Recall ยาต้องทำได้ทันที</t>
        </is>
      </c>
      <c r="C2327" s="2" t="n"/>
      <c r="D2327" s="2" t="inlineStr">
        <is>
          <t>N-acetylcysteine (NAC) IV infusion protocol</t>
        </is>
      </c>
      <c r="E2327" s="2" t="inlineStr">
        <is>
          <t>Atropine sulfate 2 mg IV Q5-10 min</t>
        </is>
      </c>
      <c r="F2327" s="2" t="inlineStr">
        <is>
          <t>Pralidoxime (2-PAM) 1-2 g IV over 30 min</t>
        </is>
      </c>
      <c r="G2327" s="2" t="inlineStr">
        <is>
          <t>Naloxone 0.4 mg IV stat</t>
        </is>
      </c>
      <c r="H2327" s="2" t="inlineStr">
        <is>
          <t>Flumazenil 0.2 mg IV stat</t>
        </is>
      </c>
      <c r="I2327" s="8" t="inlineStr">
        <is>
          <t>1</t>
        </is>
      </c>
      <c r="J232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27" s="2" t="n"/>
      <c r="L2327" s="2" t="inlineStr">
        <is>
          <t>General Therapeutics</t>
        </is>
      </c>
      <c r="M2327" s="2" t="inlineStr">
        <is>
          <t>Clinic</t>
        </is>
      </c>
      <c r="N2327" s="2" t="inlineStr">
        <is>
          <t>ข้อ 1 (PLE_CC1_Key_Rx20_UBU.md)</t>
        </is>
      </c>
      <c r="O2327" s="2" t="inlineStr">
        <is>
          <t>Mock</t>
        </is>
      </c>
      <c r="P2327" s="2" t="inlineStr">
        <is>
          <t>Mock Rx20 UBU</t>
        </is>
      </c>
    </row>
    <row r="2328" ht="13.2" customHeight="1" s="37">
      <c r="A2328" s="8" t="inlineStr">
        <is>
          <t>2349</t>
        </is>
      </c>
      <c r="B2328" s="2" t="inlineStr">
        <is>
          <t>ผู้ควบคุมต้องเป็นฝ่ายขายกับการตลาดเท่านั้น</t>
        </is>
      </c>
      <c r="C2328" s="2" t="n"/>
      <c r="D2328" s="2" t="inlineStr">
        <is>
          <t>Naloxone 0.4 mg IV stat</t>
        </is>
      </c>
      <c r="E2328" s="2" t="inlineStr">
        <is>
          <t>Flumazenil 0.2 mg IV stat</t>
        </is>
      </c>
      <c r="F2328" s="2" t="inlineStr">
        <is>
          <t>Vitamin K1 (Phytomenadione) 10 mg IV slow</t>
        </is>
      </c>
      <c r="G2328" s="2" t="inlineStr">
        <is>
          <t>Sodium thiosulfate 25% 50 mL IV</t>
        </is>
      </c>
      <c r="H2328" s="2" t="inlineStr">
        <is>
          <t>Calcium disodium EDTA 1 g IV</t>
        </is>
      </c>
      <c r="I2328" s="8" t="inlineStr">
        <is>
          <t>1</t>
        </is>
      </c>
      <c r="J232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28" s="2" t="n"/>
      <c r="L2328" s="2" t="inlineStr">
        <is>
          <t>General Therapeutics</t>
        </is>
      </c>
      <c r="M2328" s="2" t="inlineStr">
        <is>
          <t>Clinic</t>
        </is>
      </c>
      <c r="N2328" s="2" t="inlineStr">
        <is>
          <t>ข้อ 2 (PLE_CC1_Key_Rx20_UBU.md)</t>
        </is>
      </c>
      <c r="O2328" s="2" t="inlineStr">
        <is>
          <t>Mock</t>
        </is>
      </c>
      <c r="P2328" s="2" t="inlineStr">
        <is>
          <t>Mock Rx20 UBU</t>
        </is>
      </c>
    </row>
    <row r="2329" ht="13.2" customHeight="1" s="37">
      <c r="A2329" s="8" t="inlineStr">
        <is>
          <t>2350</t>
        </is>
      </c>
      <c r="B2329" s="2" t="inlineStr">
        <is>
          <t>มีการนับจำนวนที่ขายกับที่เรียกคืนได้</t>
        </is>
      </c>
      <c r="C2329" s="2" t="n"/>
      <c r="D2329" s="2" t="inlineStr">
        <is>
          <t>Sodium thiosulfate 25% 50 mL IV</t>
        </is>
      </c>
      <c r="E2329" s="2" t="inlineStr">
        <is>
          <t>Calcium disodium EDTA 1 g IV</t>
        </is>
      </c>
      <c r="F2329" s="2" t="inlineStr">
        <is>
          <t>Desferrioxamine 1 g IM/IV</t>
        </is>
      </c>
      <c r="G2329" s="2" t="inlineStr">
        <is>
          <t>Dimercaprol (BAL) 3 mg/kg IM</t>
        </is>
      </c>
      <c r="H2329" s="2" t="inlineStr">
        <is>
          <t>Ethanol 10% IV infusion for Methanol poisoning</t>
        </is>
      </c>
      <c r="I2329" s="8" t="inlineStr">
        <is>
          <t>1</t>
        </is>
      </c>
      <c r="J232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29" s="2" t="n"/>
      <c r="L2329" s="2" t="inlineStr">
        <is>
          <t>General Therapeutics</t>
        </is>
      </c>
      <c r="M2329" s="2" t="inlineStr">
        <is>
          <t>Clinic</t>
        </is>
      </c>
      <c r="N2329" s="2" t="inlineStr">
        <is>
          <t>ข้อ 3 (PLE_CC1_Key_Rx20_UBU.md)</t>
        </is>
      </c>
      <c r="O2329" s="2" t="inlineStr">
        <is>
          <t>Mock</t>
        </is>
      </c>
      <c r="P2329" s="2" t="inlineStr">
        <is>
          <t>Mock Rx20 UBU</t>
        </is>
      </c>
    </row>
    <row r="2330" ht="13.2" customHeight="1" s="37">
      <c r="A2330" s="8" t="inlineStr">
        <is>
          <t>2351</t>
        </is>
      </c>
      <c r="B2330" s="2" t="inlineStr">
        <is>
          <t>มีการแยกผลิตภัณฑ์ไว้ในพื้นที่กักกันเฉพาะ</t>
        </is>
      </c>
      <c r="C2330" s="2" t="n"/>
      <c r="D2330" s="2" t="inlineStr">
        <is>
          <t>Dimercaprol (BAL) 3 mg/kg IM</t>
        </is>
      </c>
      <c r="E2330" s="2" t="inlineStr">
        <is>
          <t>Ethanol 10% IV infusion for Methanol poisoning</t>
        </is>
      </c>
      <c r="F2330" s="2" t="inlineStr">
        <is>
          <t>Fomepizole 15 mg/kg IV loading</t>
        </is>
      </c>
      <c r="G2330" s="2" t="inlineStr">
        <is>
          <t>N-acetylcysteine (NAC) IV infusion protocol</t>
        </is>
      </c>
      <c r="H2330" s="2" t="inlineStr">
        <is>
          <t>Atropine sulfate 2 mg IV Q5-10 min</t>
        </is>
      </c>
      <c r="I2330" s="8" t="inlineStr">
        <is>
          <t>1</t>
        </is>
      </c>
      <c r="J233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0" s="2" t="n"/>
      <c r="L2330" s="2" t="inlineStr">
        <is>
          <t>General Therapeutics</t>
        </is>
      </c>
      <c r="M2330" s="2" t="inlineStr">
        <is>
          <t>Clinic</t>
        </is>
      </c>
      <c r="N2330" s="2" t="inlineStr">
        <is>
          <t>ข้อ 4 (PLE_CC1_Key_Rx20_UBU.md)</t>
        </is>
      </c>
      <c r="O2330" s="2" t="inlineStr">
        <is>
          <t>Mock</t>
        </is>
      </c>
      <c r="P2330" s="2" t="inlineStr">
        <is>
          <t>Mock Rx20 UBU</t>
        </is>
      </c>
    </row>
    <row r="2331" ht="13.2" customHeight="1" s="37">
      <c r="A2331" s="8" t="inlineStr">
        <is>
          <t>2352</t>
        </is>
      </c>
      <c r="B2331" s="2" t="inlineStr">
        <is>
          <t>มีการเขียน SOP การเรียกเก็บยาคืนและปรับปรุงให้เป็นปัจจุบันอยู่เสมอ</t>
        </is>
      </c>
      <c r="C2331" s="2" t="n"/>
      <c r="D2331" s="2" t="inlineStr">
        <is>
          <t>พ.ร.บ. หลักประกันสุขภาพแห่งชาติ พ.ศ. 2545</t>
        </is>
      </c>
      <c r="E2331" s="2" t="inlineStr">
        <is>
          <t>การปฏิบัติทางเภสัชกรรมชุมชน (Good Pharmacy Practice: GPP)</t>
        </is>
      </c>
      <c r="F2331" s="2" t="inlineStr">
        <is>
          <t>บัญชียาหลักแห่งชาติ (National List of Essential Medicines: NLEM)</t>
        </is>
      </c>
      <c r="G2331" s="2" t="inlineStr">
        <is>
          <t>เกณฑ์จริยธรรมว่าด้วยการส่งเสริมการขายยาของกระทรวงสาธารณสุข</t>
        </is>
      </c>
      <c r="H2331" s="2" t="inlineStr">
        <is>
          <t>พ.ร.บ. ยา พ.ศ. 2510 (การจำหน่ายยาอันตรายและยาควบคุมพิเศษ)</t>
        </is>
      </c>
      <c r="I2331" s="8" t="inlineStr">
        <is>
          <t>1</t>
        </is>
      </c>
      <c r="J2331"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Pharmacy Laws &amp; Ethics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1" s="2" t="n"/>
      <c r="L2331" s="2" t="inlineStr">
        <is>
          <t>Pharmacy Laws &amp; Ethics</t>
        </is>
      </c>
      <c r="M2331" s="2" t="inlineStr">
        <is>
          <t>SAP</t>
        </is>
      </c>
      <c r="N2331" s="2" t="inlineStr">
        <is>
          <t>ข้อ 5 (PLE_CC1_Key_Rx20_UBU.md)</t>
        </is>
      </c>
      <c r="O2331" s="2" t="inlineStr">
        <is>
          <t>Mock</t>
        </is>
      </c>
      <c r="P2331" s="2" t="inlineStr">
        <is>
          <t>Mock Rx20 UBU</t>
        </is>
      </c>
    </row>
    <row r="2332" ht="13.2" customHeight="1" s="37">
      <c r="A2332" s="8" t="inlineStr">
        <is>
          <t>2353</t>
        </is>
      </c>
      <c r="B2332" s="2" t="inlineStr">
        <is>
          <t>การสร้างกรด และ mucoprotective ไม่สมดุลกัน</t>
        </is>
      </c>
      <c r="C2332" s="2" t="n"/>
      <c r="D2332" s="2" t="inlineStr">
        <is>
          <t>Naloxone 0.4 mg IV stat</t>
        </is>
      </c>
      <c r="E2332" s="2" t="inlineStr">
        <is>
          <t>Flumazenil 0.2 mg IV stat</t>
        </is>
      </c>
      <c r="F2332" s="2" t="inlineStr">
        <is>
          <t>Vitamin K1 (Phytomenadione) 10 mg IV slow</t>
        </is>
      </c>
      <c r="G2332" s="2" t="inlineStr">
        <is>
          <t>Sodium thiosulfate 25% 50 mL IV</t>
        </is>
      </c>
      <c r="H2332" s="2" t="inlineStr">
        <is>
          <t>Calcium disodium EDTA 1 g IV</t>
        </is>
      </c>
      <c r="I2332" s="8" t="inlineStr">
        <is>
          <t>1</t>
        </is>
      </c>
      <c r="J233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32" s="2" t="n"/>
      <c r="L2332" s="2" t="inlineStr">
        <is>
          <t>General Therapeutics</t>
        </is>
      </c>
      <c r="M2332" s="2" t="inlineStr">
        <is>
          <t>Clinic</t>
        </is>
      </c>
      <c r="N2332" s="2" t="inlineStr">
        <is>
          <t>ข้อ 1 (PLE_CC1_Key_Rx20_UBU.md)</t>
        </is>
      </c>
      <c r="O2332" s="2" t="inlineStr">
        <is>
          <t>Mock</t>
        </is>
      </c>
      <c r="P2332" s="2" t="inlineStr">
        <is>
          <t>Mock Rx20 UBU</t>
        </is>
      </c>
    </row>
    <row r="2333" ht="13.2" customHeight="1" s="37">
      <c r="A2333" s="8" t="inlineStr">
        <is>
          <t>2354</t>
        </is>
      </c>
      <c r="B2333" s="2" t="inlineStr">
        <is>
          <t>หูรูดของหลอดอาหารสวนล่างทำงานไม่ดี</t>
        </is>
      </c>
      <c r="C2333" s="2" t="n"/>
      <c r="D2333" s="2" t="inlineStr">
        <is>
          <t>Sodium thiosulfate 25% 50 mL IV</t>
        </is>
      </c>
      <c r="E2333" s="2" t="inlineStr">
        <is>
          <t>Calcium disodium EDTA 1 g IV</t>
        </is>
      </c>
      <c r="F2333" s="2" t="inlineStr">
        <is>
          <t>Desferrioxamine 1 g IM/IV</t>
        </is>
      </c>
      <c r="G2333" s="2" t="inlineStr">
        <is>
          <t>Dimercaprol (BAL) 3 mg/kg IM</t>
        </is>
      </c>
      <c r="H2333" s="2" t="inlineStr">
        <is>
          <t>Ethanol 10% IV infusion for Methanol poisoning</t>
        </is>
      </c>
      <c r="I2333" s="8" t="inlineStr">
        <is>
          <t>1</t>
        </is>
      </c>
      <c r="J233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3" s="2" t="n"/>
      <c r="L2333" s="2" t="inlineStr">
        <is>
          <t>General Therapeutics</t>
        </is>
      </c>
      <c r="M2333" s="2" t="inlineStr">
        <is>
          <t>Clinic</t>
        </is>
      </c>
      <c r="N2333" s="2" t="inlineStr">
        <is>
          <t>ข้อ 2 (PLE_CC1_Key_Rx20_UBU.md)</t>
        </is>
      </c>
      <c r="O2333" s="2" t="inlineStr">
        <is>
          <t>Mock</t>
        </is>
      </c>
      <c r="P2333" s="2" t="inlineStr">
        <is>
          <t>Mock Rx20 UBU</t>
        </is>
      </c>
    </row>
    <row r="2334" ht="13.2" customHeight="1" s="37">
      <c r="A2334" s="8" t="inlineStr">
        <is>
          <t>2355</t>
        </is>
      </c>
      <c r="B2334" s="2" t="inlineStr">
        <is>
          <t>มีการอักเสบของหลอดอาหารสวนล่างของทางเดินอาหาร</t>
        </is>
      </c>
      <c r="C2334" s="2" t="n"/>
      <c r="D2334" s="2" t="inlineStr">
        <is>
          <t>Dimercaprol (BAL) 3 mg/kg IM</t>
        </is>
      </c>
      <c r="E2334" s="2" t="inlineStr">
        <is>
          <t>Ethanol 10% IV infusion for Methanol poisoning</t>
        </is>
      </c>
      <c r="F2334" s="2" t="inlineStr">
        <is>
          <t>Fomepizole 15 mg/kg IV loading</t>
        </is>
      </c>
      <c r="G2334" s="2" t="inlineStr">
        <is>
          <t>N-acetylcysteine (NAC) IV infusion protocol</t>
        </is>
      </c>
      <c r="H2334" s="2" t="inlineStr">
        <is>
          <t>Atropine sulfate 2 mg IV Q5-10 min</t>
        </is>
      </c>
      <c r="I2334" s="8" t="inlineStr">
        <is>
          <t>2</t>
        </is>
      </c>
      <c r="J2334" s="2" t="inlineStr">
        <is>
          <t>✅ คำตอบที่ถูกต้อง: ข้อ ข. Ethanol 10% IV infusion for Methanol poisoning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Ethanol 10% IV infusion for Methanol poisoning การเลือก Ethanol 10% IV infusion for Methanol poisoning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4" s="2" t="n"/>
      <c r="L2334" s="2" t="inlineStr">
        <is>
          <t>General Therapeutics</t>
        </is>
      </c>
      <c r="M2334" s="2" t="inlineStr">
        <is>
          <t>Clinic</t>
        </is>
      </c>
      <c r="N2334" s="2" t="inlineStr">
        <is>
          <t>ข้อ 4 (PLE_CC1_Key_Rx20_UBU.md)</t>
        </is>
      </c>
      <c r="O2334" s="2" t="inlineStr">
        <is>
          <t>Mock</t>
        </is>
      </c>
      <c r="P2334" s="2" t="inlineStr">
        <is>
          <t>Mock Rx20 UBU</t>
        </is>
      </c>
    </row>
    <row r="2335" ht="13.2" customHeight="1" s="37">
      <c r="A2335" s="8" t="inlineStr">
        <is>
          <t>2356</t>
        </is>
      </c>
      <c r="B2335" s="2" t="inlineStr">
        <is>
          <t>รับประทานอาหารรสเผ็ดจัด</t>
        </is>
      </c>
      <c r="C2335" s="2" t="n"/>
      <c r="D2335" s="2" t="inlineStr">
        <is>
          <t>N-acetylcysteine (NAC) IV infusion protocol</t>
        </is>
      </c>
      <c r="E2335" s="2" t="inlineStr">
        <is>
          <t>Atropine sulfate 2 mg IV Q5-10 min</t>
        </is>
      </c>
      <c r="F2335" s="2" t="inlineStr">
        <is>
          <t>Pralidoxime (2-PAM) 1-2 g IV over 30 min</t>
        </is>
      </c>
      <c r="G2335" s="2" t="inlineStr">
        <is>
          <t>Naloxone 0.4 mg IV stat</t>
        </is>
      </c>
      <c r="H2335" s="2" t="inlineStr">
        <is>
          <t>Flumazenil 0.2 mg IV stat</t>
        </is>
      </c>
      <c r="I2335" s="8" t="inlineStr">
        <is>
          <t>1</t>
        </is>
      </c>
      <c r="J233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35" s="2" t="n"/>
      <c r="L2335" s="2" t="inlineStr">
        <is>
          <t>General Therapeutics</t>
        </is>
      </c>
      <c r="M2335" s="2" t="inlineStr">
        <is>
          <t>Clinic</t>
        </is>
      </c>
      <c r="N2335" s="2" t="inlineStr">
        <is>
          <t>ข้อ 2 (PLE_CC1_Key_Rx20_UBU.md)</t>
        </is>
      </c>
      <c r="O2335" s="2" t="inlineStr">
        <is>
          <t>Mock</t>
        </is>
      </c>
      <c r="P2335" s="2" t="inlineStr">
        <is>
          <t>Mock Rx20 UBU</t>
        </is>
      </c>
    </row>
    <row r="2336" ht="13.2" customHeight="1" s="37">
      <c r="A2336" s="8" t="inlineStr">
        <is>
          <t>2357</t>
        </is>
      </c>
      <c r="B2336" s="2" t="inlineStr">
        <is>
          <t>อาการใดที่ควรส่งตอไปพบแพทย์</t>
        </is>
      </c>
      <c r="C2336" s="2" t="n"/>
      <c r="D2336" s="2" t="inlineStr">
        <is>
          <t>Naloxone 0.4 mg IV stat</t>
        </is>
      </c>
      <c r="E2336" s="2" t="inlineStr">
        <is>
          <t>Flumazenil 0.2 mg IV stat</t>
        </is>
      </c>
      <c r="F2336" s="2" t="inlineStr">
        <is>
          <t>Vitamin K1 (Phytomenadione) 10 mg IV slow</t>
        </is>
      </c>
      <c r="G2336" s="2" t="inlineStr">
        <is>
          <t>Sodium thiosulfate 25% 50 mL IV</t>
        </is>
      </c>
      <c r="H2336" s="2" t="inlineStr">
        <is>
          <t>Calcium disodium EDTA 1 g IV</t>
        </is>
      </c>
      <c r="I2336" s="8" t="inlineStr">
        <is>
          <t>1</t>
        </is>
      </c>
      <c r="J233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36" s="2" t="n"/>
      <c r="L2336" s="2" t="inlineStr">
        <is>
          <t>General Therapeutics</t>
        </is>
      </c>
      <c r="M2336" s="2" t="inlineStr">
        <is>
          <t>Clinic</t>
        </is>
      </c>
      <c r="N2336" s="2" t="inlineStr">
        <is>
          <t>ข้อ 3 (PLE_CC1_Key_Rx20_UBU.md)</t>
        </is>
      </c>
      <c r="O2336" s="2" t="inlineStr">
        <is>
          <t>Mock</t>
        </is>
      </c>
      <c r="P2336" s="2" t="inlineStr">
        <is>
          <t>Mock Rx20 UBU</t>
        </is>
      </c>
    </row>
    <row r="2337" ht="13.2" customHeight="1" s="37">
      <c r="A2337" s="8" t="inlineStr">
        <is>
          <t>2358</t>
        </is>
      </c>
      <c r="B2337" s="2" t="inlineStr">
        <is>
          <t>ข้อใดถูก</t>
        </is>
      </c>
      <c r="C2337" s="2" t="n"/>
      <c r="D2337" s="2" t="inlineStr">
        <is>
          <t>Sodium thiosulfate 25% 50 mL IV</t>
        </is>
      </c>
      <c r="E2337" s="2" t="inlineStr">
        <is>
          <t>Calcium disodium EDTA 1 g IV</t>
        </is>
      </c>
      <c r="F2337" s="2" t="inlineStr">
        <is>
          <t>Desferrioxamine 1 g IM/IV</t>
        </is>
      </c>
      <c r="G2337" s="2" t="inlineStr">
        <is>
          <t>Dimercaprol (BAL) 3 mg/kg IM</t>
        </is>
      </c>
      <c r="H2337" s="2" t="inlineStr">
        <is>
          <t>Ethanol 10% IV infusion for Methanol poisoning</t>
        </is>
      </c>
      <c r="I2337" s="8" t="inlineStr">
        <is>
          <t>1</t>
        </is>
      </c>
      <c r="J233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7" s="2" t="n"/>
      <c r="L2337" s="2" t="inlineStr">
        <is>
          <t>General Therapeutics</t>
        </is>
      </c>
      <c r="M2337" s="2" t="inlineStr">
        <is>
          <t>Clinic</t>
        </is>
      </c>
      <c r="N2337" s="2" t="inlineStr">
        <is>
          <t>ข้อ 5 (PLE_CC1_Key_Rx20_UBU.md)</t>
        </is>
      </c>
      <c r="O2337" s="2" t="inlineStr">
        <is>
          <t>Mock</t>
        </is>
      </c>
      <c r="P2337" s="2" t="inlineStr">
        <is>
          <t>Mock Rx20 UBU</t>
        </is>
      </c>
    </row>
    <row r="2338" ht="13.2" customHeight="1" s="37">
      <c r="A2338" s="8" t="inlineStr">
        <is>
          <t>2359</t>
        </is>
      </c>
      <c r="B2338" s="2" t="inlineStr">
        <is>
          <t>Lifestyle modification มีประโยชนมากกว่าการใช้ยา ในการรักษาอาการกำเริบของผู้ป่วย</t>
        </is>
      </c>
      <c r="C2338" s="2" t="n"/>
      <c r="D2338" s="2" t="inlineStr">
        <is>
          <t>Dimercaprol (BAL) 3 mg/kg IM</t>
        </is>
      </c>
      <c r="E2338" s="2" t="inlineStr">
        <is>
          <t>Ethanol 10% IV infusion for Methanol poisoning</t>
        </is>
      </c>
      <c r="F2338" s="2" t="inlineStr">
        <is>
          <t>Fomepizole 15 mg/kg IV loading</t>
        </is>
      </c>
      <c r="G2338" s="2" t="inlineStr">
        <is>
          <t>N-acetylcysteine (NAC) IV infusion protocol</t>
        </is>
      </c>
      <c r="H2338" s="2" t="inlineStr">
        <is>
          <t>Atropine sulfate 2 mg IV Q5-10 min</t>
        </is>
      </c>
      <c r="I2338" s="8" t="inlineStr">
        <is>
          <t>1</t>
        </is>
      </c>
      <c r="J233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38" s="2" t="n"/>
      <c r="L2338" s="2" t="inlineStr">
        <is>
          <t>General Therapeutics</t>
        </is>
      </c>
      <c r="M2338" s="2" t="inlineStr">
        <is>
          <t>Clinic</t>
        </is>
      </c>
      <c r="N2338" s="2" t="inlineStr">
        <is>
          <t>ข้อ 2 (PLE_CC1_Key_Rx20_UBU.md)</t>
        </is>
      </c>
      <c r="O2338" s="2" t="inlineStr">
        <is>
          <t>Mock</t>
        </is>
      </c>
      <c r="P2338" s="2" t="inlineStr">
        <is>
          <t>Mock Rx20 UBU</t>
        </is>
      </c>
    </row>
    <row r="2339" ht="13.2" customHeight="1" s="37">
      <c r="A2339" s="8" t="inlineStr">
        <is>
          <t>2360</t>
        </is>
      </c>
      <c r="B2339" s="2" t="inlineStr">
        <is>
          <t>ผู้ปวยเป็นโรคอะไร</t>
        </is>
      </c>
      <c r="C2339" s="2" t="n"/>
      <c r="D2339" s="2" t="inlineStr">
        <is>
          <t>N-acetylcysteine (NAC) IV infusion protocol</t>
        </is>
      </c>
      <c r="E2339" s="2" t="inlineStr">
        <is>
          <t>Atropine sulfate 2 mg IV Q5-10 min</t>
        </is>
      </c>
      <c r="F2339" s="2" t="inlineStr">
        <is>
          <t>Pralidoxime (2-PAM) 1-2 g IV over 30 min</t>
        </is>
      </c>
      <c r="G2339" s="2" t="inlineStr">
        <is>
          <t>Naloxone 0.4 mg IV stat</t>
        </is>
      </c>
      <c r="H2339" s="2" t="inlineStr">
        <is>
          <t>Flumazenil 0.2 mg IV stat</t>
        </is>
      </c>
      <c r="I2339" s="8" t="inlineStr">
        <is>
          <t>1</t>
        </is>
      </c>
      <c r="J23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39" s="2" t="n"/>
      <c r="L2339" s="2" t="inlineStr">
        <is>
          <t>General Therapeutics</t>
        </is>
      </c>
      <c r="M2339" s="2" t="inlineStr">
        <is>
          <t>Clinic</t>
        </is>
      </c>
      <c r="N2339" s="2" t="inlineStr">
        <is>
          <t>ข้อ 1 (PLE_CC1_Key_Rx20_UBU.md)</t>
        </is>
      </c>
      <c r="O2339" s="2" t="inlineStr">
        <is>
          <t>Mock</t>
        </is>
      </c>
      <c r="P2339" s="2" t="inlineStr">
        <is>
          <t>Mock Rx20 UBU</t>
        </is>
      </c>
    </row>
    <row r="2340" ht="13.2" customHeight="1" s="37">
      <c r="A2340" s="8" t="inlineStr">
        <is>
          <t>2361</t>
        </is>
      </c>
      <c r="B2340" s="2" t="inlineStr">
        <is>
          <t>acute insommnia, sleep onset and maintainance and wake up early</t>
        </is>
      </c>
      <c r="C2340" s="2" t="n"/>
      <c r="D2340" s="2" t="inlineStr">
        <is>
          <t>Naloxone 0.4 mg IV stat</t>
        </is>
      </c>
      <c r="E2340" s="2" t="inlineStr">
        <is>
          <t>Flumazenil 0.2 mg IV stat</t>
        </is>
      </c>
      <c r="F2340" s="2" t="inlineStr">
        <is>
          <t>Vitamin K1 (Phytomenadione) 10 mg IV slow</t>
        </is>
      </c>
      <c r="G2340" s="2" t="inlineStr">
        <is>
          <t>Sodium thiosulfate 25% 50 mL IV</t>
        </is>
      </c>
      <c r="H2340" s="2" t="inlineStr">
        <is>
          <t>Calcium disodium EDTA 1 g IV</t>
        </is>
      </c>
      <c r="I2340" s="8" t="inlineStr">
        <is>
          <t>1</t>
        </is>
      </c>
      <c r="J234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40" s="2" t="n"/>
      <c r="L2340" s="2" t="inlineStr">
        <is>
          <t>General Therapeutics</t>
        </is>
      </c>
      <c r="M2340" s="2" t="inlineStr">
        <is>
          <t>Clinic</t>
        </is>
      </c>
      <c r="N2340" s="2" t="inlineStr">
        <is>
          <t>ข้อ 2 (PLE_CC1_Key_Rx20_UBU.md)</t>
        </is>
      </c>
      <c r="O2340" s="2" t="inlineStr">
        <is>
          <t>Mock</t>
        </is>
      </c>
      <c r="P2340" s="2" t="inlineStr">
        <is>
          <t>Mock Rx20 UBU</t>
        </is>
      </c>
    </row>
    <row r="2341" ht="13.2" customHeight="1" s="37">
      <c r="A2341" s="8" t="inlineStr">
        <is>
          <t>2362</t>
        </is>
      </c>
      <c r="B2341" s="2" t="inlineStr">
        <is>
          <t>hygiene sleep ที่ดีของผู้ป่วยรายนี้คือข้อใด</t>
        </is>
      </c>
      <c r="C2341" s="2" t="n"/>
      <c r="D2341" s="2" t="inlineStr">
        <is>
          <t>Sodium thiosulfate 25% 50 mL IV</t>
        </is>
      </c>
      <c r="E2341" s="2" t="inlineStr">
        <is>
          <t>Calcium disodium EDTA 1 g IV</t>
        </is>
      </c>
      <c r="F2341" s="2" t="inlineStr">
        <is>
          <t>Desferrioxamine 1 g IM/IV</t>
        </is>
      </c>
      <c r="G2341" s="2" t="inlineStr">
        <is>
          <t>Dimercaprol (BAL) 3 mg/kg IM</t>
        </is>
      </c>
      <c r="H2341" s="2" t="inlineStr">
        <is>
          <t>Ethanol 10% IV infusion for Methanol poisoning</t>
        </is>
      </c>
      <c r="I2341" s="8" t="inlineStr">
        <is>
          <t>1</t>
        </is>
      </c>
      <c r="J234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41" s="2" t="n"/>
      <c r="L2341" s="2" t="inlineStr">
        <is>
          <t>General Therapeutics</t>
        </is>
      </c>
      <c r="M2341" s="2" t="inlineStr">
        <is>
          <t>Clinic</t>
        </is>
      </c>
      <c r="N2341" s="2" t="inlineStr">
        <is>
          <t>ข้อ 2 (PLE_CC1_Key_Rx20_UBU.md)</t>
        </is>
      </c>
      <c r="O2341" s="2" t="inlineStr">
        <is>
          <t>Mock</t>
        </is>
      </c>
      <c r="P2341" s="2" t="inlineStr">
        <is>
          <t>Mock Rx20 UBU</t>
        </is>
      </c>
    </row>
    <row r="2342" ht="13.2" customHeight="1" s="37">
      <c r="A2342" s="8" t="inlineStr">
        <is>
          <t>2363</t>
        </is>
      </c>
      <c r="B2342" s="2" t="inlineStr">
        <is>
          <t>ออกกำลังกายก่อนนอน</t>
        </is>
      </c>
      <c r="C2342" s="2" t="n"/>
      <c r="D2342" s="2" t="inlineStr">
        <is>
          <t>Dimercaprol (BAL) 3 mg/kg IM</t>
        </is>
      </c>
      <c r="E2342" s="2" t="inlineStr">
        <is>
          <t>Ethanol 10% IV infusion for Methanol poisoning</t>
        </is>
      </c>
      <c r="F2342" s="2" t="inlineStr">
        <is>
          <t>Fomepizole 15 mg/kg IV loading</t>
        </is>
      </c>
      <c r="G2342" s="2" t="inlineStr">
        <is>
          <t>N-acetylcysteine (NAC) IV infusion protocol</t>
        </is>
      </c>
      <c r="H2342" s="2" t="inlineStr">
        <is>
          <t>Atropine sulfate 2 mg IV Q5-10 min</t>
        </is>
      </c>
      <c r="I2342" s="8" t="inlineStr">
        <is>
          <t>1</t>
        </is>
      </c>
      <c r="J234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42" s="2" t="n"/>
      <c r="L2342" s="2" t="inlineStr">
        <is>
          <t>General Therapeutics</t>
        </is>
      </c>
      <c r="M2342" s="2" t="inlineStr">
        <is>
          <t>Clinic</t>
        </is>
      </c>
      <c r="N2342" s="2" t="inlineStr">
        <is>
          <t>ข้อ 2 (PLE_CC1_Key_Rx20_UBU.md)</t>
        </is>
      </c>
      <c r="O2342" s="2" t="inlineStr">
        <is>
          <t>Mock</t>
        </is>
      </c>
      <c r="P2342" s="2" t="inlineStr">
        <is>
          <t>Mock Rx20 UBU</t>
        </is>
      </c>
    </row>
    <row r="2343" ht="13.2" customHeight="1" s="37">
      <c r="A2343" s="8" t="inlineStr">
        <is>
          <t>2364</t>
        </is>
      </c>
      <c r="B2343" s="2" t="inlineStr">
        <is>
          <t>ดื่มไวน์เพื่อชวยให้นอนหลับ</t>
        </is>
      </c>
      <c r="C2343" s="2" t="n"/>
      <c r="D2343" s="2" t="inlineStr">
        <is>
          <t>N-acetylcysteine (NAC) IV infusion protocol</t>
        </is>
      </c>
      <c r="E2343" s="2" t="inlineStr">
        <is>
          <t>Atropine sulfate 2 mg IV Q5-10 min</t>
        </is>
      </c>
      <c r="F2343" s="2" t="inlineStr">
        <is>
          <t>Pralidoxime (2-PAM) 1-2 g IV over 30 min</t>
        </is>
      </c>
      <c r="G2343" s="2" t="inlineStr">
        <is>
          <t>Naloxone 0.4 mg IV stat</t>
        </is>
      </c>
      <c r="H2343" s="2" t="inlineStr">
        <is>
          <t>Flumazenil 0.2 mg IV stat</t>
        </is>
      </c>
      <c r="I2343" s="8" t="inlineStr">
        <is>
          <t>1</t>
        </is>
      </c>
      <c r="J234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43" s="2" t="n"/>
      <c r="L2343" s="2" t="inlineStr">
        <is>
          <t>General Therapeutics</t>
        </is>
      </c>
      <c r="M2343" s="2" t="inlineStr">
        <is>
          <t>Clinic</t>
        </is>
      </c>
      <c r="N2343" s="2" t="inlineStr">
        <is>
          <t>ข้อ 3 (PLE_CC1_Key_Rx20_UBU.md)</t>
        </is>
      </c>
      <c r="O2343" s="2" t="inlineStr">
        <is>
          <t>Mock</t>
        </is>
      </c>
      <c r="P2343" s="2" t="inlineStr">
        <is>
          <t>Mock Rx20 UBU</t>
        </is>
      </c>
    </row>
    <row r="2344" ht="13.2" customHeight="1" s="37">
      <c r="A2344" s="8" t="inlineStr">
        <is>
          <t>2365</t>
        </is>
      </c>
      <c r="B2344" s="2" t="inlineStr">
        <is>
          <t>หลับ/งีบระหวางวันเพื่อรางกายให้สดชื่น</t>
        </is>
      </c>
      <c r="C2344" s="2" t="n"/>
      <c r="D2344" s="2" t="inlineStr">
        <is>
          <t>Naloxone 0.4 mg IV stat</t>
        </is>
      </c>
      <c r="E2344" s="2" t="inlineStr">
        <is>
          <t>Flumazenil 0.2 mg IV stat</t>
        </is>
      </c>
      <c r="F2344" s="2" t="inlineStr">
        <is>
          <t>Vitamin K1 (Phytomenadione) 10 mg IV slow</t>
        </is>
      </c>
      <c r="G2344" s="2" t="inlineStr">
        <is>
          <t>Sodium thiosulfate 25% 50 mL IV</t>
        </is>
      </c>
      <c r="H2344" s="2" t="inlineStr">
        <is>
          <t>Calcium disodium EDTA 1 g IV</t>
        </is>
      </c>
      <c r="I2344" s="8" t="inlineStr">
        <is>
          <t>1</t>
        </is>
      </c>
      <c r="J234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44" s="2" t="n"/>
      <c r="L2344" s="2" t="inlineStr">
        <is>
          <t>General Therapeutics</t>
        </is>
      </c>
      <c r="M2344" s="2" t="inlineStr">
        <is>
          <t>Clinic</t>
        </is>
      </c>
      <c r="N2344" s="2" t="inlineStr">
        <is>
          <t>ข้อ 4 (PLE_CC1_Key_Rx20_UBU.md)</t>
        </is>
      </c>
      <c r="O2344" s="2" t="inlineStr">
        <is>
          <t>Mock</t>
        </is>
      </c>
      <c r="P2344" s="2" t="inlineStr">
        <is>
          <t>Mock Rx20 UBU</t>
        </is>
      </c>
    </row>
    <row r="2345" ht="13.2" customHeight="1" s="37">
      <c r="A2345" s="8" t="inlineStr">
        <is>
          <t>2366</t>
        </is>
      </c>
      <c r="B2345" s="2" t="inlineStr">
        <is>
          <t>ความเครียดจากการทำงาน</t>
        </is>
      </c>
      <c r="C2345" s="2" t="n"/>
      <c r="D2345" s="2" t="inlineStr">
        <is>
          <t>Sodium thiosulfate 25% 50 mL IV</t>
        </is>
      </c>
      <c r="E2345" s="2" t="inlineStr">
        <is>
          <t>Calcium disodium EDTA 1 g IV</t>
        </is>
      </c>
      <c r="F2345" s="2" t="inlineStr">
        <is>
          <t>Desferrioxamine 1 g IM/IV</t>
        </is>
      </c>
      <c r="G2345" s="2" t="inlineStr">
        <is>
          <t>Dimercaprol (BAL) 3 mg/kg IM</t>
        </is>
      </c>
      <c r="H2345" s="2" t="inlineStr">
        <is>
          <t>Ethanol 10% IV infusion for Methanol poisoning</t>
        </is>
      </c>
      <c r="I2345" s="8" t="inlineStr">
        <is>
          <t>1</t>
        </is>
      </c>
      <c r="J234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45" s="2" t="n"/>
      <c r="L2345" s="2" t="inlineStr">
        <is>
          <t>General Therapeutics</t>
        </is>
      </c>
      <c r="M2345" s="2" t="inlineStr">
        <is>
          <t>Clinic</t>
        </is>
      </c>
      <c r="N2345" s="2" t="inlineStr">
        <is>
          <t>ข้อ 1 (PLE_CC1_Key_Rx20_UBU.md)</t>
        </is>
      </c>
      <c r="O2345" s="2" t="inlineStr">
        <is>
          <t>Mock</t>
        </is>
      </c>
      <c r="P2345" s="2" t="inlineStr">
        <is>
          <t>Mock Rx20 UBU</t>
        </is>
      </c>
    </row>
    <row r="2346" ht="13.2" customHeight="1" s="37">
      <c r="A2346" s="8" t="inlineStr">
        <is>
          <t>2367</t>
        </is>
      </c>
      <c r="B2346" s="2" t="inlineStr">
        <is>
          <t>การเสียชีวิตของบิดา</t>
        </is>
      </c>
      <c r="C2346" s="2" t="n"/>
      <c r="D2346" s="2" t="inlineStr">
        <is>
          <t>Dimercaprol (BAL) 3 mg/kg IM</t>
        </is>
      </c>
      <c r="E2346" s="2" t="inlineStr">
        <is>
          <t>Ethanol 10% IV infusion for Methanol poisoning</t>
        </is>
      </c>
      <c r="F2346" s="2" t="inlineStr">
        <is>
          <t>Fomepizole 15 mg/kg IV loading</t>
        </is>
      </c>
      <c r="G2346" s="2" t="inlineStr">
        <is>
          <t>N-acetylcysteine (NAC) IV infusion protocol</t>
        </is>
      </c>
      <c r="H2346" s="2" t="inlineStr">
        <is>
          <t>Atropine sulfate 2 mg IV Q5-10 min</t>
        </is>
      </c>
      <c r="I2346" s="8" t="inlineStr">
        <is>
          <t>1</t>
        </is>
      </c>
      <c r="J234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46" s="2" t="n"/>
      <c r="L2346" s="2" t="inlineStr">
        <is>
          <t>General Therapeutics</t>
        </is>
      </c>
      <c r="M2346" s="2" t="inlineStr">
        <is>
          <t>Clinic</t>
        </is>
      </c>
      <c r="N2346" s="2" t="inlineStr">
        <is>
          <t>ข้อ 2 (PLE_CC1_Key_Rx20_UBU.md)</t>
        </is>
      </c>
      <c r="O2346" s="2" t="inlineStr">
        <is>
          <t>Mock</t>
        </is>
      </c>
      <c r="P2346" s="2" t="inlineStr">
        <is>
          <t>Mock Rx20 UBU</t>
        </is>
      </c>
    </row>
    <row r="2347" ht="13.2" customHeight="1" s="37">
      <c r="A2347" s="8" t="inlineStr">
        <is>
          <t>2368</t>
        </is>
      </c>
      <c r="B2347" s="2" t="inlineStr">
        <is>
          <t>อาการเจ็บปวยของมารดา</t>
        </is>
      </c>
      <c r="C2347" s="2" t="n"/>
      <c r="D2347" s="2" t="inlineStr">
        <is>
          <t>N-acetylcysteine (NAC) IV infusion protocol</t>
        </is>
      </c>
      <c r="E2347" s="2" t="inlineStr">
        <is>
          <t>Atropine sulfate 2 mg IV Q5-10 min</t>
        </is>
      </c>
      <c r="F2347" s="2" t="inlineStr">
        <is>
          <t>Pralidoxime (2-PAM) 1-2 g IV over 30 min</t>
        </is>
      </c>
      <c r="G2347" s="2" t="inlineStr">
        <is>
          <t>Naloxone 0.4 mg IV stat</t>
        </is>
      </c>
      <c r="H2347" s="2" t="inlineStr">
        <is>
          <t>Flumazenil 0.2 mg IV stat</t>
        </is>
      </c>
      <c r="I2347" s="8" t="inlineStr">
        <is>
          <t>3</t>
        </is>
      </c>
      <c r="J2347" s="2" t="inlineStr">
        <is>
          <t>✅ คำตอบที่ถูกต้อง: ข้อ ค. Pralidoxime (2-PAM) 1-2 g IV over 30 min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Pralidoxime (2-PAM) 1-2 g IV over 30 min การเลือก Pralidoxime (2-PAM) 1-2 g IV over 30 min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Cholinesterase Reactivator: ทำหน้าที่ฟื้นฟูเอนไซม์ Acetylcholinesterase ที่ถูก phosphorylate ก่อนเกิดภาวะ aging ต้องให้ร่วมกับ Atropine ใน organophosphate poisoning</t>
        </is>
      </c>
      <c r="K2347" s="2" t="n"/>
      <c r="L2347" s="2" t="inlineStr">
        <is>
          <t>General Therapeutics</t>
        </is>
      </c>
      <c r="M2347" s="2" t="inlineStr">
        <is>
          <t>Clinic</t>
        </is>
      </c>
      <c r="N2347" s="2" t="inlineStr">
        <is>
          <t>ข้อ 3 (PLE_CC1_Key_Rx20_UBU.md)</t>
        </is>
      </c>
      <c r="O2347" s="2" t="inlineStr">
        <is>
          <t>Mock</t>
        </is>
      </c>
      <c r="P2347" s="2" t="inlineStr">
        <is>
          <t>Mock Rx20 UBU</t>
        </is>
      </c>
    </row>
    <row r="2348" ht="13.2" customHeight="1" s="37">
      <c r="A2348" s="8" t="inlineStr">
        <is>
          <t>2369</t>
        </is>
      </c>
      <c r="B2348" s="2" t="inlineStr">
        <is>
          <t>ผู้ป่วยควรได้รับยาใดในการรักษา</t>
        </is>
      </c>
      <c r="C2348" s="2" t="n"/>
      <c r="D2348" s="2" t="inlineStr">
        <is>
          <t>Naloxone 0.4 mg IV stat</t>
        </is>
      </c>
      <c r="E2348" s="2" t="inlineStr">
        <is>
          <t>Flumazenil 0.2 mg IV stat</t>
        </is>
      </c>
      <c r="F2348" s="2" t="inlineStr">
        <is>
          <t>Vitamin K1 (Phytomenadione) 10 mg IV slow</t>
        </is>
      </c>
      <c r="G2348" s="2" t="inlineStr">
        <is>
          <t>Sodium thiosulfate 25% 50 mL IV</t>
        </is>
      </c>
      <c r="H2348" s="2" t="inlineStr">
        <is>
          <t>Calcium disodium EDTA 1 g IV</t>
        </is>
      </c>
      <c r="I2348" s="8" t="inlineStr">
        <is>
          <t>1</t>
        </is>
      </c>
      <c r="J234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48" s="2" t="n"/>
      <c r="L2348" s="2" t="inlineStr">
        <is>
          <t>General Therapeutics</t>
        </is>
      </c>
      <c r="M2348" s="2" t="inlineStr">
        <is>
          <t>Clinic</t>
        </is>
      </c>
      <c r="N2348" s="2" t="inlineStr">
        <is>
          <t>ข้อ 4 (PLE_CC1_Key_Rx20_UBU.md)</t>
        </is>
      </c>
      <c r="O2348" s="2" t="inlineStr">
        <is>
          <t>Mock</t>
        </is>
      </c>
      <c r="P2348" s="2" t="inlineStr">
        <is>
          <t>Mock Rx20 UBU</t>
        </is>
      </c>
    </row>
    <row r="2349" ht="13.2" customHeight="1" s="37">
      <c r="A2349" s="8" t="inlineStr">
        <is>
          <t>2370</t>
        </is>
      </c>
      <c r="B2349" s="2" t="inlineStr">
        <is>
          <t>เราควรแนะนำการรักษาที่ไม่ใช้ยาอะไรให้ผู้ป่วย</t>
        </is>
      </c>
      <c r="C2349" s="2" t="n"/>
      <c r="D2349" s="2" t="inlineStr">
        <is>
          <t>Sodium thiosulfate 25% 50 mL IV</t>
        </is>
      </c>
      <c r="E2349" s="2" t="inlineStr">
        <is>
          <t>Calcium disodium EDTA 1 g IV</t>
        </is>
      </c>
      <c r="F2349" s="2" t="inlineStr">
        <is>
          <t>Desferrioxamine 1 g IM/IV</t>
        </is>
      </c>
      <c r="G2349" s="2" t="inlineStr">
        <is>
          <t>Dimercaprol (BAL) 3 mg/kg IM</t>
        </is>
      </c>
      <c r="H2349" s="2" t="inlineStr">
        <is>
          <t>Ethanol 10% IV infusion for Methanol poisoning</t>
        </is>
      </c>
      <c r="I2349" s="8" t="inlineStr">
        <is>
          <t>1</t>
        </is>
      </c>
      <c r="J234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49" s="2" t="n"/>
      <c r="L2349" s="2" t="inlineStr">
        <is>
          <t>General Therapeutics</t>
        </is>
      </c>
      <c r="M2349" s="2" t="inlineStr">
        <is>
          <t>Clinic</t>
        </is>
      </c>
      <c r="N2349" s="2" t="inlineStr">
        <is>
          <t>ข้อ 5 (PLE_CC1_Key_Rx20_UBU.md)</t>
        </is>
      </c>
      <c r="O2349" s="2" t="inlineStr">
        <is>
          <t>Mock</t>
        </is>
      </c>
      <c r="P2349" s="2" t="inlineStr">
        <is>
          <t>Mock Rx20 UBU</t>
        </is>
      </c>
    </row>
    <row r="2350" ht="13.2" customHeight="1" s="37">
      <c r="A2350" s="8" t="inlineStr">
        <is>
          <t>2371</t>
        </is>
      </c>
      <c r="B2350" s="2" t="inlineStr">
        <is>
          <t>Cognitive recognition</t>
        </is>
      </c>
      <c r="C2350" s="2" t="n"/>
      <c r="D2350" s="2" t="inlineStr">
        <is>
          <t>Dimercaprol (BAL) 3 mg/kg IM</t>
        </is>
      </c>
      <c r="E2350" s="2" t="inlineStr">
        <is>
          <t>Ethanol 10% IV infusion for Methanol poisoning</t>
        </is>
      </c>
      <c r="F2350" s="2" t="inlineStr">
        <is>
          <t>Fomepizole 15 mg/kg IV loading</t>
        </is>
      </c>
      <c r="G2350" s="2" t="inlineStr">
        <is>
          <t>N-acetylcysteine (NAC) IV infusion protocol</t>
        </is>
      </c>
      <c r="H2350" s="2" t="inlineStr">
        <is>
          <t>Atropine sulfate 2 mg IV Q5-10 min</t>
        </is>
      </c>
      <c r="I2350" s="8" t="inlineStr">
        <is>
          <t>1</t>
        </is>
      </c>
      <c r="J235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0" s="2" t="n"/>
      <c r="L2350" s="2" t="inlineStr">
        <is>
          <t>General Therapeutics</t>
        </is>
      </c>
      <c r="M2350" s="2" t="inlineStr">
        <is>
          <t>Clinic</t>
        </is>
      </c>
      <c r="N2350" s="2" t="inlineStr">
        <is>
          <t>ข้อ 3 (PLE_CC1_Key_Rx20_UBU.md)</t>
        </is>
      </c>
      <c r="O2350" s="2" t="inlineStr">
        <is>
          <t>Mock</t>
        </is>
      </c>
      <c r="P2350" s="2" t="inlineStr">
        <is>
          <t>Mock Rx20 UBU</t>
        </is>
      </c>
    </row>
    <row r="2351" ht="13.2" customHeight="1" s="37">
      <c r="A2351" s="8" t="inlineStr">
        <is>
          <t>2372</t>
        </is>
      </c>
      <c r="B2351" s="2" t="inlineStr">
        <is>
          <t>Sleep and wake restriction</t>
        </is>
      </c>
      <c r="C2351" s="2" t="n"/>
      <c r="D2351" s="2" t="inlineStr">
        <is>
          <t>N-acetylcysteine (NAC) IV infusion protocol</t>
        </is>
      </c>
      <c r="E2351" s="2" t="inlineStr">
        <is>
          <t>Atropine sulfate 2 mg IV Q5-10 min</t>
        </is>
      </c>
      <c r="F2351" s="2" t="inlineStr">
        <is>
          <t>Pralidoxime (2-PAM) 1-2 g IV over 30 min</t>
        </is>
      </c>
      <c r="G2351" s="2" t="inlineStr">
        <is>
          <t>Naloxone 0.4 mg IV stat</t>
        </is>
      </c>
      <c r="H2351" s="2" t="inlineStr">
        <is>
          <t>Flumazenil 0.2 mg IV stat</t>
        </is>
      </c>
      <c r="I2351" s="8" t="inlineStr">
        <is>
          <t>5</t>
        </is>
      </c>
      <c r="J2351" s="2" t="inlineStr">
        <is>
          <t>✅ คำตอบที่ถูกต้อง: ข้อ จ. Flumazenil 0.2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Flumazenil 0.2 mg IV stat การเลือก Flumazenil 0.2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Benzodiazepine Antagonist: ปิดกั้น BZD receptor กลับภาวะ sedative แต่ห้ามใช้ในผู้ที่ติด BZD เรื้อรัง หรือ mixed overdose ร่วมกับ TCA เพราะเสี่ยงต่อ fatal seizure</t>
        </is>
      </c>
      <c r="K2351" s="2" t="n"/>
      <c r="L2351" s="2" t="inlineStr">
        <is>
          <t>General Therapeutics</t>
        </is>
      </c>
      <c r="M2351" s="2" t="inlineStr">
        <is>
          <t>Clinic</t>
        </is>
      </c>
      <c r="N2351" s="2" t="inlineStr">
        <is>
          <t>ข้อ 4 (PLE_CC1_Key_Rx20_UBU.md)</t>
        </is>
      </c>
      <c r="O2351" s="2" t="inlineStr">
        <is>
          <t>Mock</t>
        </is>
      </c>
      <c r="P2351" s="2" t="inlineStr">
        <is>
          <t>Mock Rx20 UBU</t>
        </is>
      </c>
    </row>
    <row r="2352" ht="13.2" customHeight="1" s="37">
      <c r="A2352" s="8" t="inlineStr">
        <is>
          <t>2373</t>
        </is>
      </c>
      <c r="B2352" s="2" t="inlineStr">
        <is>
          <t>การปรับเปลียนโครงสร้างของ BDZs ข้อใดถูกต้อง</t>
        </is>
      </c>
      <c r="C2352" s="2" t="n"/>
      <c r="D2352" s="2" t="inlineStr">
        <is>
          <t>เกณฑ์จริยธรรมว่าด้วยการส่งเสริมการขายยาของกระทรวงสาธารณสุข</t>
        </is>
      </c>
      <c r="E2352" s="2" t="inlineStr">
        <is>
          <t>พ.ร.บ. ยา พ.ศ. 2510 (การจำหน่ายยาอันตรายและยาควบคุมพิเศษ)</t>
        </is>
      </c>
      <c r="F2352" s="2" t="inlineStr">
        <is>
          <t>พ.ร.บ. ยาเสพติดให้โทษ พ.ศ. 2522 (ยาเสพติดให้โทษประเภท 2 และ 3)</t>
        </is>
      </c>
      <c r="G2352" s="2" t="inlineStr">
        <is>
          <t>พ.ร.บ. วัตถุที่ออกฤทธิ์ต่อจิตและประสาท พ.ศ. 2559 (ประเภท 2 และ 4)</t>
        </is>
      </c>
      <c r="H2352" s="2" t="inlineStr">
        <is>
          <t>พ.ร.บ. วิชาชีพเภสัชกรรม พ.ศ. 2537 และข้อบังคับจรรยาบรรณวิชาชีพ</t>
        </is>
      </c>
      <c r="I2352" s="8" t="inlineStr">
        <is>
          <t>1</t>
        </is>
      </c>
      <c r="J2352"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Pharmacy Laws &amp; Ethics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2" s="2" t="n"/>
      <c r="L2352" s="2" t="inlineStr">
        <is>
          <t>Pharmacy Laws &amp; Ethics</t>
        </is>
      </c>
      <c r="M2352" s="2" t="inlineStr">
        <is>
          <t>SAP</t>
        </is>
      </c>
      <c r="N2352" s="2" t="inlineStr">
        <is>
          <t>ข้อ 6 (PLE_CC1_Key_Rx20_UBU.md)</t>
        </is>
      </c>
      <c r="O2352" s="2" t="inlineStr">
        <is>
          <t>Mock</t>
        </is>
      </c>
      <c r="P2352" s="2" t="inlineStr">
        <is>
          <t>Mock Rx20 UBU</t>
        </is>
      </c>
    </row>
    <row r="2353" ht="13.2" customHeight="1" s="37">
      <c r="A2353" s="8" t="inlineStr">
        <is>
          <t>2374</t>
        </is>
      </c>
      <c r="B2353" s="2" t="inlineStr">
        <is>
          <t>เมื่อมีการเติม halogen ที่ตำแหนง 7 จะเพิ่ม activity ให้กับยา</t>
        </is>
      </c>
      <c r="C2353" s="2" t="n"/>
      <c r="D2353" s="2" t="inlineStr">
        <is>
          <t>Sodium thiosulfate 25% 50 mL IV</t>
        </is>
      </c>
      <c r="E2353" s="2" t="inlineStr">
        <is>
          <t>Calcium disodium EDTA 1 g IV</t>
        </is>
      </c>
      <c r="F2353" s="2" t="inlineStr">
        <is>
          <t>Desferrioxamine 1 g IM/IV</t>
        </is>
      </c>
      <c r="G2353" s="2" t="inlineStr">
        <is>
          <t>Dimercaprol (BAL) 3 mg/kg IM</t>
        </is>
      </c>
      <c r="H2353" s="2" t="inlineStr">
        <is>
          <t>Ethanol 10% IV infusion for Methanol poisoning</t>
        </is>
      </c>
      <c r="I2353" s="8" t="inlineStr">
        <is>
          <t>1</t>
        </is>
      </c>
      <c r="J235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3" s="2" t="n"/>
      <c r="L2353" s="2" t="inlineStr">
        <is>
          <t>General Therapeutics</t>
        </is>
      </c>
      <c r="M2353" s="2" t="inlineStr">
        <is>
          <t>Clinic</t>
        </is>
      </c>
      <c r="N2353" s="2" t="inlineStr">
        <is>
          <t>ข้อ 1 (PLE_CC1_Key_Rx20_UBU.md)</t>
        </is>
      </c>
      <c r="O2353" s="2" t="inlineStr">
        <is>
          <t>Mock</t>
        </is>
      </c>
      <c r="P2353" s="2" t="inlineStr">
        <is>
          <t>Mock Rx20 UBU</t>
        </is>
      </c>
    </row>
    <row r="2354" ht="13.2" customHeight="1" s="37">
      <c r="A2354" s="8" t="inlineStr">
        <is>
          <t>2375</t>
        </is>
      </c>
      <c r="B2354" s="2" t="inlineStr">
        <is>
          <t>เติม halogen ที่ตำแหน่ง 9</t>
        </is>
      </c>
      <c r="C2354" s="2" t="n"/>
      <c r="D2354" s="2" t="inlineStr">
        <is>
          <t>Dimercaprol (BAL) 3 mg/kg IM</t>
        </is>
      </c>
      <c r="E2354" s="2" t="inlineStr">
        <is>
          <t>Ethanol 10% IV infusion for Methanol poisoning</t>
        </is>
      </c>
      <c r="F2354" s="2" t="inlineStr">
        <is>
          <t>Fomepizole 15 mg/kg IV loading</t>
        </is>
      </c>
      <c r="G2354" s="2" t="inlineStr">
        <is>
          <t>N-acetylcysteine (NAC) IV infusion protocol</t>
        </is>
      </c>
      <c r="H2354" s="2" t="inlineStr">
        <is>
          <t>Atropine sulfate 2 mg IV Q5-10 min</t>
        </is>
      </c>
      <c r="I2354" s="8" t="inlineStr">
        <is>
          <t>1</t>
        </is>
      </c>
      <c r="J235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4" s="2" t="n"/>
      <c r="L2354" s="2" t="inlineStr">
        <is>
          <t>General Therapeutics</t>
        </is>
      </c>
      <c r="M2354" s="2" t="inlineStr">
        <is>
          <t>Clinic</t>
        </is>
      </c>
      <c r="N2354" s="2" t="inlineStr">
        <is>
          <t>ข้อ 2 (PLE_CC1_Key_Rx20_UBU.md)</t>
        </is>
      </c>
      <c r="O2354" s="2" t="inlineStr">
        <is>
          <t>Mock</t>
        </is>
      </c>
      <c r="P2354" s="2" t="inlineStr">
        <is>
          <t>Mock Rx20 UBU</t>
        </is>
      </c>
    </row>
    <row r="2355" ht="13.2" customHeight="1" s="37">
      <c r="A2355" s="8" t="inlineStr">
        <is>
          <t>2376</t>
        </is>
      </c>
      <c r="B2355" s="2" t="inlineStr">
        <is>
          <t>hydrolysis ที่ N ตำแหน่ง 4</t>
        </is>
      </c>
      <c r="C2355" s="2" t="n"/>
      <c r="D2355" s="2" t="inlineStr">
        <is>
          <t>Accelerated Stability Testing (40 C / 75% RH)</t>
        </is>
      </c>
      <c r="E2355" s="2" t="inlineStr">
        <is>
          <t>Long-term Stability Testing (30 C / 65% RH)</t>
        </is>
      </c>
      <c r="F2355" s="2" t="inlineStr">
        <is>
          <t>Differential Scanning Calorimetry (DSC) Polymorphism</t>
        </is>
      </c>
      <c r="G2355" s="2" t="inlineStr">
        <is>
          <t>Moisture Sorption Isotherm analysis</t>
        </is>
      </c>
      <c r="H2355" s="2" t="inlineStr">
        <is>
          <t>Good Manufacturing Practice (GMP PIC/S)</t>
        </is>
      </c>
      <c r="I2355" s="8" t="inlineStr">
        <is>
          <t>1</t>
        </is>
      </c>
      <c r="J2355" s="2" t="inlineStr">
        <is>
          <t>✅ คำตอบที่ถูกต้อง: ข้อ ก. Accelerated Stability Testing (40 C / 75% RH)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Accelerated Stability Testing (40 C / 75% RH) 💡 คำอธิบายและเหตุผลทางเภสัชกรรม:
💡 คำอธิบายและเหตุผลทางเภสัชกรรม:
การเลือก Accelerated Stability Testing (40 C / 75% RH) เป็นคำตอบที่ถูกต้องและสอดคล้องกับ evidence-based guidelines ของภาวะ Preformulation &amp; Stability โดยมี clinical efficacy สูงสุดในการรักษาและมี safety profile ที่เหมาะสม
USP/NF, British Pharmacopoeia (BP) และ Remington: The Science and Practice of Pharmacy (หัวข้อ Preformulation &amp; Stability)
🔍 ข้ออื่นผิดเพราะอะไร:
• ข้อ ข. (Long-term Stability Testing (30 C / 65% RH)): ข้อนี้ไม่ใช่คำตอบที่ถูกต้องสำหรับภาวะ Preformulation &amp; Stability เนื่องจากกลไกการออกฤทธิ์, efficacy หรือข้อบ่งใช้ไม่ตรงกับโจทย์ที่กำหนด
• ข้อ ค. (Differential Scanning Calorimetry (DSC) Polymorphism): ข้อนี้ไม่ใช่คำตอบที่ถูกต้องสำหรับภาวะ Preformulation &amp; Stability เนื่องจากกลไกการออกฤทธิ์, efficacy หรือข้อบ่งใช้ไม่ตรงกับโจทย์ที่กำหนด
• ข้อ ง. (Moisture Sorption Isotherm analysis): ข้อนี้ไม่ใช่คำตอบที่ถูกต้องสำหรับภาวะ Preformulation &amp; Stability เนื่องจากกลไกการออกฤทธิ์, efficacy หรือข้อบ่งใช้ไม่ตรงกับโจทย์ที่กำหนด
• ข้อ จ. (Good Manufacturing Practice (GMP PIC/S)): ข้อนี้ไม่ใช่คำตอบที่ถูกต้องสำหรับภาวะ Preformulation &amp; Stability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55" s="2" t="n"/>
      <c r="L2355" s="2" t="inlineStr">
        <is>
          <t>Preformulation &amp; Stability</t>
        </is>
      </c>
      <c r="M2355" s="2" t="inlineStr">
        <is>
          <t>Product</t>
        </is>
      </c>
      <c r="N2355" s="2" t="inlineStr">
        <is>
          <t>ข้อ 3 (PLE_CC1_Key_Rx20_UBU.md)</t>
        </is>
      </c>
      <c r="O2355" s="2" t="inlineStr">
        <is>
          <t>Mock</t>
        </is>
      </c>
      <c r="P2355" s="2" t="inlineStr">
        <is>
          <t>Mock Rx20 UBU</t>
        </is>
      </c>
    </row>
    <row r="2356" ht="13.2" customHeight="1" s="37">
      <c r="A2356" s="8" t="inlineStr">
        <is>
          <t>2377</t>
        </is>
      </c>
      <c r="B2356" s="2" t="inlineStr">
        <is>
          <t>เปลี่ยน ketone ที่ ตำแหน่ง 2 เป็นหมู่ฟงกชั่นอื่น</t>
        </is>
      </c>
      <c r="C2356" s="2" t="n"/>
      <c r="D2356" s="2" t="inlineStr">
        <is>
          <t>Naloxone 0.4 mg IV stat</t>
        </is>
      </c>
      <c r="E2356" s="2" t="inlineStr">
        <is>
          <t>Flumazenil 0.2 mg IV stat</t>
        </is>
      </c>
      <c r="F2356" s="2" t="inlineStr">
        <is>
          <t>Vitamin K1 (Phytomenadione) 10 mg IV slow</t>
        </is>
      </c>
      <c r="G2356" s="2" t="inlineStr">
        <is>
          <t>Sodium thiosulfate 25% 50 mL IV</t>
        </is>
      </c>
      <c r="H2356" s="2" t="inlineStr">
        <is>
          <t>Calcium disodium EDTA 1 g IV</t>
        </is>
      </c>
      <c r="I2356" s="8" t="inlineStr">
        <is>
          <t>1</t>
        </is>
      </c>
      <c r="J235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56" s="2" t="n"/>
      <c r="L2356" s="2" t="inlineStr">
        <is>
          <t>General Therapeutics</t>
        </is>
      </c>
      <c r="M2356" s="2" t="inlineStr">
        <is>
          <t>Clinic</t>
        </is>
      </c>
      <c r="N2356" s="2" t="inlineStr">
        <is>
          <t>ข้อ 4 (PLE_CC1_Key_Rx20_UBU.md)</t>
        </is>
      </c>
      <c r="O2356" s="2" t="inlineStr">
        <is>
          <t>Mock</t>
        </is>
      </c>
      <c r="P2356" s="2" t="inlineStr">
        <is>
          <t>Mock Rx20 UBU</t>
        </is>
      </c>
    </row>
    <row r="2357" ht="13.2" customHeight="1" s="37">
      <c r="A2357" s="8" t="inlineStr">
        <is>
          <t>2378</t>
        </is>
      </c>
      <c r="B2357" s="2" t="inlineStr">
        <is>
          <t>ลักษณะบรรจุภัณฑที่มีลักษณะเป็นพลาสติกยื่น ออกมาเปนกระเปาะ แล้วมีอลูมิเนียมประกบติดทับ ด้านหลัง สามารถที่จะทำให้ฉีกขาดได้เมื่อตองการนำเม็ด ยาออกมารับประทาน</t>
        </is>
      </c>
      <c r="C2357" s="2" t="n"/>
      <c r="D2357" s="2" t="inlineStr">
        <is>
          <t>Sodium thiosulfate 25% 50 mL IV</t>
        </is>
      </c>
      <c r="E2357" s="2" t="inlineStr">
        <is>
          <t>Calcium disodium EDTA 1 g IV</t>
        </is>
      </c>
      <c r="F2357" s="2" t="inlineStr">
        <is>
          <t>Desferrioxamine 1 g IM/IV</t>
        </is>
      </c>
      <c r="G2357" s="2" t="inlineStr">
        <is>
          <t>Dimercaprol (BAL) 3 mg/kg IM</t>
        </is>
      </c>
      <c r="H2357" s="2" t="inlineStr">
        <is>
          <t>Ethanol 10% IV infusion for Methanol poisoning</t>
        </is>
      </c>
      <c r="I2357" s="8" t="inlineStr">
        <is>
          <t>1</t>
        </is>
      </c>
      <c r="J235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7" s="2" t="n"/>
      <c r="L2357" s="2" t="inlineStr">
        <is>
          <t>General Therapeutics</t>
        </is>
      </c>
      <c r="M2357" s="2" t="inlineStr">
        <is>
          <t>Clinic</t>
        </is>
      </c>
      <c r="N2357" s="2" t="inlineStr">
        <is>
          <t>ข้อ 16 (PLE_CC1_Key_Rx20_UBU.md)</t>
        </is>
      </c>
      <c r="O2357" s="2" t="inlineStr">
        <is>
          <t>Mock</t>
        </is>
      </c>
      <c r="P2357" s="2" t="inlineStr">
        <is>
          <t>Mock Rx20 UBU</t>
        </is>
      </c>
    </row>
    <row r="2358" ht="13.2" customHeight="1" s="37">
      <c r="A2358" s="8" t="inlineStr">
        <is>
          <t>2379</t>
        </is>
      </c>
      <c r="B2358" s="2" t="inlineStr">
        <is>
          <t>การฉีดเขากล้ามเนื้อตองฉีดวันที่ 0, 3, 7, 14, 28</t>
        </is>
      </c>
      <c r="C2358" s="2" t="n"/>
      <c r="D2358" s="2" t="inlineStr">
        <is>
          <t>Dimercaprol (BAL) 3 mg/kg IM</t>
        </is>
      </c>
      <c r="E2358" s="2" t="inlineStr">
        <is>
          <t>Ethanol 10% IV infusion for Methanol poisoning</t>
        </is>
      </c>
      <c r="F2358" s="2" t="inlineStr">
        <is>
          <t>Fomepizole 15 mg/kg IV loading</t>
        </is>
      </c>
      <c r="G2358" s="2" t="inlineStr">
        <is>
          <t>N-acetylcysteine (NAC) IV infusion protocol</t>
        </is>
      </c>
      <c r="H2358" s="2" t="inlineStr">
        <is>
          <t>Atropine sulfate 2 mg IV Q5-10 min</t>
        </is>
      </c>
      <c r="I2358" s="8" t="inlineStr">
        <is>
          <t>1</t>
        </is>
      </c>
      <c r="J235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8" s="2" t="n"/>
      <c r="L2358" s="2" t="inlineStr">
        <is>
          <t>General Therapeutics</t>
        </is>
      </c>
      <c r="M2358" s="2" t="inlineStr">
        <is>
          <t>Clinic</t>
        </is>
      </c>
      <c r="N2358" s="2" t="inlineStr">
        <is>
          <t>ข้อ 1 (PLE_CC1_Key_Rx20_UBU.md)</t>
        </is>
      </c>
      <c r="O2358" s="2" t="inlineStr">
        <is>
          <t>Mock</t>
        </is>
      </c>
      <c r="P2358" s="2" t="inlineStr">
        <is>
          <t>Mock Rx20 UBU</t>
        </is>
      </c>
    </row>
    <row r="2359" ht="13.2" customHeight="1" s="37">
      <c r="A2359" s="8" t="inlineStr">
        <is>
          <t>2380</t>
        </is>
      </c>
      <c r="B2359" s="2" t="inlineStr">
        <is>
          <t>ฉีดเพียงครั้งเดียว</t>
        </is>
      </c>
      <c r="C2359" s="2" t="n"/>
      <c r="D2359" s="2" t="inlineStr">
        <is>
          <t>N-acetylcysteine (NAC) IV infusion protocol</t>
        </is>
      </c>
      <c r="E2359" s="2" t="inlineStr">
        <is>
          <t>Atropine sulfate 2 mg IV Q5-10 min</t>
        </is>
      </c>
      <c r="F2359" s="2" t="inlineStr">
        <is>
          <t>Pralidoxime (2-PAM) 1-2 g IV over 30 min</t>
        </is>
      </c>
      <c r="G2359" s="2" t="inlineStr">
        <is>
          <t>Naloxone 0.4 mg IV stat</t>
        </is>
      </c>
      <c r="H2359" s="2" t="inlineStr">
        <is>
          <t>Flumazenil 0.2 mg IV stat</t>
        </is>
      </c>
      <c r="I2359" s="8" t="inlineStr">
        <is>
          <t>1</t>
        </is>
      </c>
      <c r="J235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59" s="2" t="n"/>
      <c r="L2359" s="2" t="inlineStr">
        <is>
          <t>General Therapeutics</t>
        </is>
      </c>
      <c r="M2359" s="2" t="inlineStr">
        <is>
          <t>Clinic</t>
        </is>
      </c>
      <c r="N2359" s="2" t="inlineStr">
        <is>
          <t>ข้อ 1 (PLE_CC1_Key_Rx20_UBU.md)</t>
        </is>
      </c>
      <c r="O2359" s="2" t="inlineStr">
        <is>
          <t>Mock</t>
        </is>
      </c>
      <c r="P2359" s="2" t="inlineStr">
        <is>
          <t>Mock Rx20 UBU</t>
        </is>
      </c>
    </row>
    <row r="2360" ht="13.2" customHeight="1" s="37">
      <c r="A2360" s="8" t="inlineStr">
        <is>
          <t>2381</t>
        </is>
      </c>
      <c r="B2360" s="2" t="inlineStr">
        <is>
          <t>ฉีดวันที่ 0 และเดือนที่ 1</t>
        </is>
      </c>
      <c r="C2360" s="2" t="n"/>
      <c r="D2360" s="2" t="inlineStr">
        <is>
          <t>Naloxone 0.4 mg IV stat</t>
        </is>
      </c>
      <c r="E2360" s="2" t="inlineStr">
        <is>
          <t>Flumazenil 0.2 mg IV stat</t>
        </is>
      </c>
      <c r="F2360" s="2" t="inlineStr">
        <is>
          <t>Vitamin K1 (Phytomenadione) 10 mg IV slow</t>
        </is>
      </c>
      <c r="G2360" s="2" t="inlineStr">
        <is>
          <t>Sodium thiosulfate 25% 50 mL IV</t>
        </is>
      </c>
      <c r="H2360" s="2" t="inlineStr">
        <is>
          <t>Calcium disodium EDTA 1 g IV</t>
        </is>
      </c>
      <c r="I2360" s="8" t="inlineStr">
        <is>
          <t>1</t>
        </is>
      </c>
      <c r="J236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60" s="2" t="n"/>
      <c r="L2360" s="2" t="inlineStr">
        <is>
          <t>General Therapeutics</t>
        </is>
      </c>
      <c r="M2360" s="2" t="inlineStr">
        <is>
          <t>Clinic</t>
        </is>
      </c>
      <c r="N2360" s="2" t="inlineStr">
        <is>
          <t>ข้อ 2 (PLE_CC1_Key_Rx20_UBU.md)</t>
        </is>
      </c>
      <c r="O2360" s="2" t="inlineStr">
        <is>
          <t>Mock</t>
        </is>
      </c>
      <c r="P2360" s="2" t="inlineStr">
        <is>
          <t>Mock Rx20 UBU</t>
        </is>
      </c>
    </row>
    <row r="2361" ht="13.2" customHeight="1" s="37">
      <c r="A2361" s="8" t="inlineStr">
        <is>
          <t>2382</t>
        </is>
      </c>
      <c r="B2361" s="2" t="inlineStr">
        <is>
          <t>ฉีดเดือนที่ 0, 1 และ 6</t>
        </is>
      </c>
      <c r="C2361" s="2" t="n"/>
      <c r="D2361" s="2" t="inlineStr">
        <is>
          <t>Sodium thiosulfate 25% 50 mL IV</t>
        </is>
      </c>
      <c r="E2361" s="2" t="inlineStr">
        <is>
          <t>Calcium disodium EDTA 1 g IV</t>
        </is>
      </c>
      <c r="F2361" s="2" t="inlineStr">
        <is>
          <t>Desferrioxamine 1 g IM/IV</t>
        </is>
      </c>
      <c r="G2361" s="2" t="inlineStr">
        <is>
          <t>Dimercaprol (BAL) 3 mg/kg IM</t>
        </is>
      </c>
      <c r="H2361" s="2" t="inlineStr">
        <is>
          <t>Ethanol 10% IV infusion for Methanol poisoning</t>
        </is>
      </c>
      <c r="I2361" s="8" t="inlineStr">
        <is>
          <t>1</t>
        </is>
      </c>
      <c r="J236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1" s="2" t="n"/>
      <c r="L2361" s="2" t="inlineStr">
        <is>
          <t>General Therapeutics</t>
        </is>
      </c>
      <c r="M2361" s="2" t="inlineStr">
        <is>
          <t>Clinic</t>
        </is>
      </c>
      <c r="N2361" s="2" t="inlineStr">
        <is>
          <t>ข้อ 3 (PLE_CC1_Key_Rx20_UBU.md)</t>
        </is>
      </c>
      <c r="O2361" s="2" t="inlineStr">
        <is>
          <t>Mock</t>
        </is>
      </c>
      <c r="P2361" s="2" t="inlineStr">
        <is>
          <t>Mock Rx20 UBU</t>
        </is>
      </c>
    </row>
    <row r="2362" ht="13.2" customHeight="1" s="37">
      <c r="A2362" s="8" t="inlineStr">
        <is>
          <t>2383</t>
        </is>
      </c>
      <c r="B2362" s="2" t="inlineStr">
        <is>
          <t>ฉีด 4 เข็ม เดือนที่ 0, 1, 6 และ 12</t>
        </is>
      </c>
      <c r="C2362" s="2" t="n"/>
      <c r="D2362" s="2" t="inlineStr">
        <is>
          <t>Dimercaprol (BAL) 3 mg/kg IM</t>
        </is>
      </c>
      <c r="E2362" s="2" t="inlineStr">
        <is>
          <t>Ethanol 10% IV infusion for Methanol poisoning</t>
        </is>
      </c>
      <c r="F2362" s="2" t="inlineStr">
        <is>
          <t>Fomepizole 15 mg/kg IV loading</t>
        </is>
      </c>
      <c r="G2362" s="2" t="inlineStr">
        <is>
          <t>N-acetylcysteine (NAC) IV infusion protocol</t>
        </is>
      </c>
      <c r="H2362" s="2" t="inlineStr">
        <is>
          <t>Atropine sulfate 2 mg IV Q5-10 min</t>
        </is>
      </c>
      <c r="I2362" s="8" t="inlineStr">
        <is>
          <t>1</t>
        </is>
      </c>
      <c r="J236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2" s="2" t="n"/>
      <c r="L2362" s="2" t="inlineStr">
        <is>
          <t>General Therapeutics</t>
        </is>
      </c>
      <c r="M2362" s="2" t="inlineStr">
        <is>
          <t>Clinic</t>
        </is>
      </c>
      <c r="N2362" s="2" t="inlineStr">
        <is>
          <t>ข้อ 4 (PLE_CC1_Key_Rx20_UBU.md)</t>
        </is>
      </c>
      <c r="O2362" s="2" t="inlineStr">
        <is>
          <t>Mock</t>
        </is>
      </c>
      <c r="P2362" s="2" t="inlineStr">
        <is>
          <t>Mock Rx20 UBU</t>
        </is>
      </c>
    </row>
    <row r="2363" ht="13.2" customHeight="1" s="37">
      <c r="A2363" s="8" t="inlineStr">
        <is>
          <t>2384</t>
        </is>
      </c>
      <c r="B2363" s="2" t="inlineStr">
        <is>
          <t>Equine Ig ราคาแพงกวา Human Ig</t>
        </is>
      </c>
      <c r="C2363" s="2" t="n"/>
      <c r="D2363" s="2" t="inlineStr">
        <is>
          <t>N-acetylcysteine (NAC) IV infusion protocol</t>
        </is>
      </c>
      <c r="E2363" s="2" t="inlineStr">
        <is>
          <t>Atropine sulfate 2 mg IV Q5-10 min</t>
        </is>
      </c>
      <c r="F2363" s="2" t="inlineStr">
        <is>
          <t>Pralidoxime (2-PAM) 1-2 g IV over 30 min</t>
        </is>
      </c>
      <c r="G2363" s="2" t="inlineStr">
        <is>
          <t>Naloxone 0.4 mg IV stat</t>
        </is>
      </c>
      <c r="H2363" s="2" t="inlineStr">
        <is>
          <t>Flumazenil 0.2 mg IV stat</t>
        </is>
      </c>
      <c r="I2363" s="8" t="inlineStr">
        <is>
          <t>1</t>
        </is>
      </c>
      <c r="J236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63" s="2" t="n"/>
      <c r="L2363" s="2" t="inlineStr">
        <is>
          <t>General Therapeutics</t>
        </is>
      </c>
      <c r="M2363" s="2" t="inlineStr">
        <is>
          <t>Clinic</t>
        </is>
      </c>
      <c r="N2363" s="2" t="inlineStr">
        <is>
          <t>ข้อ 2 (PLE_CC1_Key_Rx20_UBU.md)</t>
        </is>
      </c>
      <c r="O2363" s="2" t="inlineStr">
        <is>
          <t>Mock</t>
        </is>
      </c>
      <c r="P2363" s="2" t="inlineStr">
        <is>
          <t>Mock Rx20 UBU</t>
        </is>
      </c>
    </row>
    <row r="2364" ht="13.2" customHeight="1" s="37">
      <c r="A2364" s="8" t="inlineStr">
        <is>
          <t>2385</t>
        </is>
      </c>
      <c r="B2364" s="2" t="inlineStr">
        <is>
          <t>หากแพ้ Equine Ig จะไมสามารถให้ Human Igได เนื่องจากมีการแพ้ cross กัน</t>
        </is>
      </c>
      <c r="C2364" s="2" t="n"/>
      <c r="D2364" s="2" t="inlineStr">
        <is>
          <t>Naloxone 0.4 mg IV stat</t>
        </is>
      </c>
      <c r="E2364" s="2" t="inlineStr">
        <is>
          <t>Flumazenil 0.2 mg IV stat</t>
        </is>
      </c>
      <c r="F2364" s="2" t="inlineStr">
        <is>
          <t>Vitamin K1 (Phytomenadione) 10 mg IV slow</t>
        </is>
      </c>
      <c r="G2364" s="2" t="inlineStr">
        <is>
          <t>Sodium thiosulfate 25% 50 mL IV</t>
        </is>
      </c>
      <c r="H2364" s="2" t="inlineStr">
        <is>
          <t>Calcium disodium EDTA 1 g IV</t>
        </is>
      </c>
      <c r="I2364" s="8" t="inlineStr">
        <is>
          <t>1</t>
        </is>
      </c>
      <c r="J236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64" s="2" t="n"/>
      <c r="L2364" s="2" t="inlineStr">
        <is>
          <t>General Therapeutics</t>
        </is>
      </c>
      <c r="M2364" s="2" t="inlineStr">
        <is>
          <t>Clinic</t>
        </is>
      </c>
      <c r="N2364" s="2" t="inlineStr">
        <is>
          <t>ข้อ 3 (PLE_CC1_Key_Rx20_UBU.md)</t>
        </is>
      </c>
      <c r="O2364" s="2" t="inlineStr">
        <is>
          <t>Mock</t>
        </is>
      </c>
      <c r="P2364" s="2" t="inlineStr">
        <is>
          <t>Mock Rx20 UBU</t>
        </is>
      </c>
    </row>
    <row r="2365" ht="13.2" customHeight="1" s="37">
      <c r="A2365" s="8" t="inlineStr">
        <is>
          <t>2386</t>
        </is>
      </c>
      <c r="B2365" s="2" t="inlineStr">
        <is>
          <t>Equine Ig มีราคาแพงกวา Human Ig</t>
        </is>
      </c>
      <c r="C2365" s="2" t="n"/>
      <c r="D2365" s="2" t="inlineStr">
        <is>
          <t>Sodium thiosulfate 25% 50 mL IV</t>
        </is>
      </c>
      <c r="E2365" s="2" t="inlineStr">
        <is>
          <t>Calcium disodium EDTA 1 g IV</t>
        </is>
      </c>
      <c r="F2365" s="2" t="inlineStr">
        <is>
          <t>Desferrioxamine 1 g IM/IV</t>
        </is>
      </c>
      <c r="G2365" s="2" t="inlineStr">
        <is>
          <t>Dimercaprol (BAL) 3 mg/kg IM</t>
        </is>
      </c>
      <c r="H2365" s="2" t="inlineStr">
        <is>
          <t>Ethanol 10% IV infusion for Methanol poisoning</t>
        </is>
      </c>
      <c r="I2365" s="8" t="inlineStr">
        <is>
          <t>1</t>
        </is>
      </c>
      <c r="J236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5" s="2" t="n"/>
      <c r="L2365" s="2" t="inlineStr">
        <is>
          <t>General Therapeutics</t>
        </is>
      </c>
      <c r="M2365" s="2" t="inlineStr">
        <is>
          <t>Clinic</t>
        </is>
      </c>
      <c r="N2365" s="2" t="inlineStr">
        <is>
          <t>ข้อ 4 (PLE_CC1_Key_Rx20_UBU.md)</t>
        </is>
      </c>
      <c r="O2365" s="2" t="inlineStr">
        <is>
          <t>Mock</t>
        </is>
      </c>
      <c r="P2365" s="2" t="inlineStr">
        <is>
          <t>Mock Rx20 UBU</t>
        </is>
      </c>
    </row>
    <row r="2366" ht="13.2" customHeight="1" s="37">
      <c r="A2366" s="8" t="inlineStr">
        <is>
          <t>2387</t>
        </is>
      </c>
      <c r="B2366" s="2" t="inlineStr">
        <is>
          <t>ฉีดอิมมูโนโกลบูลิน</t>
        </is>
      </c>
      <c r="C2366" s="2" t="n"/>
      <c r="D2366" s="2" t="inlineStr">
        <is>
          <t>Dimercaprol (BAL) 3 mg/kg IM</t>
        </is>
      </c>
      <c r="E2366" s="2" t="inlineStr">
        <is>
          <t>Ethanol 10% IV infusion for Methanol poisoning</t>
        </is>
      </c>
      <c r="F2366" s="2" t="inlineStr">
        <is>
          <t>Fomepizole 15 mg/kg IV loading</t>
        </is>
      </c>
      <c r="G2366" s="2" t="inlineStr">
        <is>
          <t>N-acetylcysteine (NAC) IV infusion protocol</t>
        </is>
      </c>
      <c r="H2366" s="2" t="inlineStr">
        <is>
          <t>Atropine sulfate 2 mg IV Q5-10 min</t>
        </is>
      </c>
      <c r="I2366" s="8" t="inlineStr">
        <is>
          <t>1</t>
        </is>
      </c>
      <c r="J236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6" s="2" t="n"/>
      <c r="L2366" s="2" t="inlineStr">
        <is>
          <t>General Therapeutics</t>
        </is>
      </c>
      <c r="M2366" s="2" t="inlineStr">
        <is>
          <t>Clinic</t>
        </is>
      </c>
      <c r="N2366" s="2" t="inlineStr">
        <is>
          <t>ข้อ 3 (PLE_CC1_Key_Rx20_UBU.md)</t>
        </is>
      </c>
      <c r="O2366" s="2" t="inlineStr">
        <is>
          <t>Mock</t>
        </is>
      </c>
      <c r="P2366" s="2" t="inlineStr">
        <is>
          <t>Mock Rx20 UBU</t>
        </is>
      </c>
    </row>
    <row r="2367" ht="13.2" customHeight="1" s="37">
      <c r="A2367" s="8" t="inlineStr">
        <is>
          <t>2388</t>
        </is>
      </c>
      <c r="B2367" s="2" t="inlineStr">
        <is>
          <t>ERIG ควรมีการเก็บรักษาอยางไร</t>
        </is>
      </c>
      <c r="C2367" s="2" t="n"/>
      <c r="D2367" s="2" t="inlineStr">
        <is>
          <t>N-acetylcysteine (NAC) IV infusion protocol</t>
        </is>
      </c>
      <c r="E2367" s="2" t="inlineStr">
        <is>
          <t>Atropine sulfate 2 mg IV Q5-10 min</t>
        </is>
      </c>
      <c r="F2367" s="2" t="inlineStr">
        <is>
          <t>Pralidoxime (2-PAM) 1-2 g IV over 30 min</t>
        </is>
      </c>
      <c r="G2367" s="2" t="inlineStr">
        <is>
          <t>Naloxone 0.4 mg IV stat</t>
        </is>
      </c>
      <c r="H2367" s="2" t="inlineStr">
        <is>
          <t>Flumazenil 0.2 mg IV stat</t>
        </is>
      </c>
      <c r="I2367" s="8" t="inlineStr">
        <is>
          <t>1</t>
        </is>
      </c>
      <c r="J23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67" s="2" t="n"/>
      <c r="L2367" s="2" t="inlineStr">
        <is>
          <t>General Therapeutics</t>
        </is>
      </c>
      <c r="M2367" s="2" t="inlineStr">
        <is>
          <t>Clinic</t>
        </is>
      </c>
      <c r="N2367" s="2" t="inlineStr">
        <is>
          <t>ข้อ 6 (PLE_CC1_Key_Rx20_UBU.md)</t>
        </is>
      </c>
      <c r="O2367" s="2" t="inlineStr">
        <is>
          <t>Mock</t>
        </is>
      </c>
      <c r="P2367" s="2" t="inlineStr">
        <is>
          <t>Mock Rx20 UBU</t>
        </is>
      </c>
    </row>
    <row r="2368" ht="13.2" customHeight="1" s="37">
      <c r="A2368" s="8" t="inlineStr">
        <is>
          <t>2389</t>
        </is>
      </c>
      <c r="B2368" s="2" t="inlineStr">
        <is>
          <t>อุณหภูมิ 8-15 C</t>
        </is>
      </c>
      <c r="C2368" s="2" t="n"/>
      <c r="D2368" s="2" t="inlineStr">
        <is>
          <t>Naloxone 0.4 mg IV stat</t>
        </is>
      </c>
      <c r="E2368" s="2" t="inlineStr">
        <is>
          <t>Flumazenil 0.2 mg IV stat</t>
        </is>
      </c>
      <c r="F2368" s="2" t="inlineStr">
        <is>
          <t>Vitamin K1 (Phytomenadione) 10 mg IV slow</t>
        </is>
      </c>
      <c r="G2368" s="2" t="inlineStr">
        <is>
          <t>Sodium thiosulfate 25% 50 mL IV</t>
        </is>
      </c>
      <c r="H2368" s="2" t="inlineStr">
        <is>
          <t>Calcium disodium EDTA 1 g IV</t>
        </is>
      </c>
      <c r="I2368" s="8" t="inlineStr">
        <is>
          <t>1</t>
        </is>
      </c>
      <c r="J23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68" s="2" t="n"/>
      <c r="L2368" s="2" t="inlineStr">
        <is>
          <t>General Therapeutics</t>
        </is>
      </c>
      <c r="M2368" s="2" t="inlineStr">
        <is>
          <t>Clinic</t>
        </is>
      </c>
      <c r="N2368" s="2" t="inlineStr">
        <is>
          <t>ข้อ 3 (PLE_CC1_Key_Rx20_UBU.md)</t>
        </is>
      </c>
      <c r="O2368" s="2" t="inlineStr">
        <is>
          <t>Mock</t>
        </is>
      </c>
      <c r="P2368" s="2" t="inlineStr">
        <is>
          <t>Mock Rx20 UBU</t>
        </is>
      </c>
    </row>
    <row r="2369" ht="13.2" customHeight="1" s="37">
      <c r="A2369" s="8" t="inlineStr">
        <is>
          <t>2390</t>
        </is>
      </c>
      <c r="B2369" s="2" t="inlineStr">
        <is>
          <t>อุณหภูมิ 15-25C</t>
        </is>
      </c>
      <c r="C2369" s="2" t="n"/>
      <c r="D2369" s="2" t="inlineStr">
        <is>
          <t>Sodium thiosulfate 25% 50 mL IV</t>
        </is>
      </c>
      <c r="E2369" s="2" t="inlineStr">
        <is>
          <t>Calcium disodium EDTA 1 g IV</t>
        </is>
      </c>
      <c r="F2369" s="2" t="inlineStr">
        <is>
          <t>Desferrioxamine 1 g IM/IV</t>
        </is>
      </c>
      <c r="G2369" s="2" t="inlineStr">
        <is>
          <t>Dimercaprol (BAL) 3 mg/kg IM</t>
        </is>
      </c>
      <c r="H2369" s="2" t="inlineStr">
        <is>
          <t>Ethanol 10% IV infusion for Methanol poisoning</t>
        </is>
      </c>
      <c r="I2369" s="8" t="inlineStr">
        <is>
          <t>1</t>
        </is>
      </c>
      <c r="J23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69" s="2" t="n"/>
      <c r="L2369" s="2" t="inlineStr">
        <is>
          <t>General Therapeutics</t>
        </is>
      </c>
      <c r="M2369" s="2" t="inlineStr">
        <is>
          <t>Clinic</t>
        </is>
      </c>
      <c r="N2369" s="2" t="inlineStr">
        <is>
          <t>ข้อ 4 (PLE_CC1_Key_Rx20_UBU.md)</t>
        </is>
      </c>
      <c r="O2369" s="2" t="inlineStr">
        <is>
          <t>Mock</t>
        </is>
      </c>
      <c r="P2369" s="2" t="inlineStr">
        <is>
          <t>Mock Rx20 UBU</t>
        </is>
      </c>
    </row>
    <row r="2370" ht="13.2" customHeight="1" s="37">
      <c r="A2370" s="8" t="inlineStr">
        <is>
          <t>2391</t>
        </is>
      </c>
      <c r="B2370" s="2" t="inlineStr">
        <is>
          <t>ผูปวยคนนี้ควรไดรับการแกไขเรื่องยาอยางไร</t>
        </is>
      </c>
      <c r="C2370" s="2" t="n"/>
      <c r="D2370" s="2" t="inlineStr">
        <is>
          <t>Dimercaprol (BAL) 3 mg/kg IM</t>
        </is>
      </c>
      <c r="E2370" s="2" t="inlineStr">
        <is>
          <t>Ethanol 10% IV infusion for Methanol poisoning</t>
        </is>
      </c>
      <c r="F2370" s="2" t="inlineStr">
        <is>
          <t>Fomepizole 15 mg/kg IV loading</t>
        </is>
      </c>
      <c r="G2370" s="2" t="inlineStr">
        <is>
          <t>N-acetylcysteine (NAC) IV infusion protocol</t>
        </is>
      </c>
      <c r="H2370" s="2" t="inlineStr">
        <is>
          <t>Atropine sulfate 2 mg IV Q5-10 min</t>
        </is>
      </c>
      <c r="I2370" s="8" t="inlineStr">
        <is>
          <t>1</t>
        </is>
      </c>
      <c r="J23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0" s="2" t="n"/>
      <c r="L2370" s="2" t="inlineStr">
        <is>
          <t>General Therapeutics</t>
        </is>
      </c>
      <c r="M2370" s="2" t="inlineStr">
        <is>
          <t>Clinic</t>
        </is>
      </c>
      <c r="N2370" s="2" t="inlineStr">
        <is>
          <t>ข้อ 2 (PLE_CC1_Key_Rx20_UBU.md)</t>
        </is>
      </c>
      <c r="O2370" s="2" t="inlineStr">
        <is>
          <t>Mock</t>
        </is>
      </c>
      <c r="P2370" s="2" t="inlineStr">
        <is>
          <t>Mock Rx20 UBU</t>
        </is>
      </c>
    </row>
    <row r="2371" ht="13.2" customHeight="1" s="37">
      <c r="A2371" s="8" t="inlineStr">
        <is>
          <t>2392</t>
        </is>
      </c>
      <c r="B2371" s="2" t="inlineStr">
        <is>
          <t>Atenolol .ตอบ 3 TCA เหมาะสมที่สุด</t>
        </is>
      </c>
      <c r="C2371" s="2" t="n"/>
      <c r="D2371" s="2" t="inlineStr">
        <is>
          <t>N-acetylcysteine (NAC) IV infusion protocol</t>
        </is>
      </c>
      <c r="E2371" s="2" t="inlineStr">
        <is>
          <t>Atropine sulfate 2 mg IV Q5-10 min</t>
        </is>
      </c>
      <c r="F2371" s="2" t="inlineStr">
        <is>
          <t>Pralidoxime (2-PAM) 1-2 g IV over 30 min</t>
        </is>
      </c>
      <c r="G2371" s="2" t="inlineStr">
        <is>
          <t>Naloxone 0.4 mg IV stat</t>
        </is>
      </c>
      <c r="H2371" s="2" t="inlineStr">
        <is>
          <t>Flumazenil 0.2 mg IV stat</t>
        </is>
      </c>
      <c r="I2371" s="8" t="inlineStr">
        <is>
          <t>1</t>
        </is>
      </c>
      <c r="J237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71" s="2" t="n"/>
      <c r="L2371" s="2" t="inlineStr">
        <is>
          <t>General Therapeutics</t>
        </is>
      </c>
      <c r="M2371" s="2" t="inlineStr">
        <is>
          <t>Clinic</t>
        </is>
      </c>
      <c r="N2371" s="2" t="inlineStr">
        <is>
          <t>ข้อ 5 (PLE_CC1_Key_Rx20_UBU.md)</t>
        </is>
      </c>
      <c r="O2371" s="2" t="inlineStr">
        <is>
          <t>Mock</t>
        </is>
      </c>
      <c r="P2371" s="2" t="inlineStr">
        <is>
          <t>Mock Rx20 UBU</t>
        </is>
      </c>
    </row>
    <row r="2372" ht="13.2" customHeight="1" s="37">
      <c r="A2372" s="8" t="inlineStr">
        <is>
          <t>2393</t>
        </is>
      </c>
      <c r="B2372" s="2" t="inlineStr">
        <is>
          <t>กินยาซ้ำทุก 10 นาที</t>
        </is>
      </c>
      <c r="C2372" s="2" t="n"/>
      <c r="D2372" s="2" t="inlineStr">
        <is>
          <t>Naloxone 0.4 mg IV stat</t>
        </is>
      </c>
      <c r="E2372" s="2" t="inlineStr">
        <is>
          <t>Flumazenil 0.2 mg IV stat</t>
        </is>
      </c>
      <c r="F2372" s="2" t="inlineStr">
        <is>
          <t>Vitamin K1 (Phytomenadione) 10 mg IV slow</t>
        </is>
      </c>
      <c r="G2372" s="2" t="inlineStr">
        <is>
          <t>Sodium thiosulfate 25% 50 mL IV</t>
        </is>
      </c>
      <c r="H2372" s="2" t="inlineStr">
        <is>
          <t>Calcium disodium EDTA 1 g IV</t>
        </is>
      </c>
      <c r="I2372" s="8" t="inlineStr">
        <is>
          <t>1</t>
        </is>
      </c>
      <c r="J23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72" s="2" t="n"/>
      <c r="L2372" s="2" t="inlineStr">
        <is>
          <t>General Therapeutics</t>
        </is>
      </c>
      <c r="M2372" s="2" t="inlineStr">
        <is>
          <t>Clinic</t>
        </is>
      </c>
      <c r="N2372" s="2" t="inlineStr">
        <is>
          <t>ข้อ 1 (PLE_CC1_Key_Rx20_UBU.md)</t>
        </is>
      </c>
      <c r="O2372" s="2" t="inlineStr">
        <is>
          <t>Mock</t>
        </is>
      </c>
      <c r="P2372" s="2" t="inlineStr">
        <is>
          <t>Mock Rx20 UBU</t>
        </is>
      </c>
    </row>
    <row r="2373" ht="13.2" customHeight="1" s="37">
      <c r="A2373" s="8" t="inlineStr">
        <is>
          <t>2394</t>
        </is>
      </c>
      <c r="B2373" s="2" t="inlineStr">
        <is>
          <t>กินติดตอกัน 3 วัน</t>
        </is>
      </c>
      <c r="C2373" s="2" t="n"/>
      <c r="D2373" s="2" t="inlineStr">
        <is>
          <t>Sodium thiosulfate 25% 50 mL IV</t>
        </is>
      </c>
      <c r="E2373" s="2" t="inlineStr">
        <is>
          <t>Calcium disodium EDTA 1 g IV</t>
        </is>
      </c>
      <c r="F2373" s="2" t="inlineStr">
        <is>
          <t>Desferrioxamine 1 g IM/IV</t>
        </is>
      </c>
      <c r="G2373" s="2" t="inlineStr">
        <is>
          <t>Dimercaprol (BAL) 3 mg/kg IM</t>
        </is>
      </c>
      <c r="H2373" s="2" t="inlineStr">
        <is>
          <t>Ethanol 10% IV infusion for Methanol poisoning</t>
        </is>
      </c>
      <c r="I2373" s="8" t="inlineStr">
        <is>
          <t>1</t>
        </is>
      </c>
      <c r="J23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3" s="2" t="n"/>
      <c r="L2373" s="2" t="inlineStr">
        <is>
          <t>General Therapeutics</t>
        </is>
      </c>
      <c r="M2373" s="2" t="inlineStr">
        <is>
          <t>Clinic</t>
        </is>
      </c>
      <c r="N2373" s="2" t="inlineStr">
        <is>
          <t>ข้อ 2 (PLE_CC1_Key_Rx20_UBU.md)</t>
        </is>
      </c>
      <c r="O2373" s="2" t="inlineStr">
        <is>
          <t>Mock</t>
        </is>
      </c>
      <c r="P2373" s="2" t="inlineStr">
        <is>
          <t>Mock Rx20 UBU</t>
        </is>
      </c>
    </row>
    <row r="2374" ht="13.2" customHeight="1" s="37">
      <c r="A2374" s="8" t="inlineStr">
        <is>
          <t>2395</t>
        </is>
      </c>
      <c r="B2374" s="2" t="inlineStr">
        <is>
          <t>กินไดไมเกิน 6 เม็ด/วัน</t>
        </is>
      </c>
      <c r="C2374" s="2" t="n"/>
      <c r="D2374" s="2" t="inlineStr">
        <is>
          <t>Dimercaprol (BAL) 3 mg/kg IM</t>
        </is>
      </c>
      <c r="E2374" s="2" t="inlineStr">
        <is>
          <t>Ethanol 10% IV infusion for Methanol poisoning</t>
        </is>
      </c>
      <c r="F2374" s="2" t="inlineStr">
        <is>
          <t>Fomepizole 15 mg/kg IV loading</t>
        </is>
      </c>
      <c r="G2374" s="2" t="inlineStr">
        <is>
          <t>N-acetylcysteine (NAC) IV infusion protocol</t>
        </is>
      </c>
      <c r="H2374" s="2" t="inlineStr">
        <is>
          <t>Atropine sulfate 2 mg IV Q5-10 min</t>
        </is>
      </c>
      <c r="I2374" s="8" t="inlineStr">
        <is>
          <t>1</t>
        </is>
      </c>
      <c r="J23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4" s="2" t="n"/>
      <c r="L2374" s="2" t="inlineStr">
        <is>
          <t>General Therapeutics</t>
        </is>
      </c>
      <c r="M2374" s="2" t="inlineStr">
        <is>
          <t>Clinic</t>
        </is>
      </c>
      <c r="N2374" s="2" t="inlineStr">
        <is>
          <t>ข้อ 3 (PLE_CC1_Key_Rx20_UBU.md)</t>
        </is>
      </c>
      <c r="O2374" s="2" t="inlineStr">
        <is>
          <t>Mock</t>
        </is>
      </c>
      <c r="P2374" s="2" t="inlineStr">
        <is>
          <t>Mock Rx20 UBU</t>
        </is>
      </c>
    </row>
    <row r="2375" ht="13.2" customHeight="1" s="37">
      <c r="A2375" s="8" t="inlineStr">
        <is>
          <t>2396</t>
        </is>
      </c>
      <c r="B2375" s="2" t="inlineStr">
        <is>
          <t>ไมควรกินติดตอกันนานเนื่องจากจะทำใหเกิดอาการติดยา ตอบ 3 recall</t>
        </is>
      </c>
      <c r="C2375" s="2" t="n"/>
      <c r="D2375" s="2" t="inlineStr">
        <is>
          <t>N-acetylcysteine (NAC) IV infusion protocol</t>
        </is>
      </c>
      <c r="E2375" s="2" t="inlineStr">
        <is>
          <t>Atropine sulfate 2 mg IV Q5-10 min</t>
        </is>
      </c>
      <c r="F2375" s="2" t="inlineStr">
        <is>
          <t>Pralidoxime (2-PAM) 1-2 g IV over 30 min</t>
        </is>
      </c>
      <c r="G2375" s="2" t="inlineStr">
        <is>
          <t>Naloxone 0.4 mg IV stat</t>
        </is>
      </c>
      <c r="H2375" s="2" t="inlineStr">
        <is>
          <t>Flumazenil 0.2 mg IV stat</t>
        </is>
      </c>
      <c r="I2375" s="8" t="inlineStr">
        <is>
          <t>1</t>
        </is>
      </c>
      <c r="J23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75" s="2" t="n"/>
      <c r="L2375" s="2" t="inlineStr">
        <is>
          <t>General Therapeutics</t>
        </is>
      </c>
      <c r="M2375" s="2" t="inlineStr">
        <is>
          <t>Clinic</t>
        </is>
      </c>
      <c r="N2375" s="2" t="inlineStr">
        <is>
          <t>ข้อ 4 (PLE_CC1_Key_Rx20_UBU.md)</t>
        </is>
      </c>
      <c r="O2375" s="2" t="inlineStr">
        <is>
          <t>Mock</t>
        </is>
      </c>
      <c r="P2375" s="2" t="inlineStr">
        <is>
          <t>Mock Rx20 UBU</t>
        </is>
      </c>
    </row>
    <row r="2376" ht="13.2" customHeight="1" s="37">
      <c r="A2376" s="8" t="inlineStr">
        <is>
          <t>2397</t>
        </is>
      </c>
      <c r="B2376" s="2" t="inlineStr">
        <is>
          <t>ผ่าน Weight Variation</t>
        </is>
      </c>
      <c r="C2376" s="2" t="n"/>
      <c r="D2376" s="2" t="inlineStr">
        <is>
          <t>Naloxone 0.4 mg IV stat</t>
        </is>
      </c>
      <c r="E2376" s="2" t="inlineStr">
        <is>
          <t>Flumazenil 0.2 mg IV stat</t>
        </is>
      </c>
      <c r="F2376" s="2" t="inlineStr">
        <is>
          <t>Vitamin K1 (Phytomenadione) 10 mg IV slow</t>
        </is>
      </c>
      <c r="G2376" s="2" t="inlineStr">
        <is>
          <t>Sodium thiosulfate 25% 50 mL IV</t>
        </is>
      </c>
      <c r="H2376" s="2" t="inlineStr">
        <is>
          <t>Calcium disodium EDTA 1 g IV</t>
        </is>
      </c>
      <c r="I2376" s="8" t="inlineStr">
        <is>
          <t>1</t>
        </is>
      </c>
      <c r="J23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76" s="2" t="n"/>
      <c r="L2376" s="2" t="inlineStr">
        <is>
          <t>General Therapeutics</t>
        </is>
      </c>
      <c r="M2376" s="2" t="inlineStr">
        <is>
          <t>Clinic</t>
        </is>
      </c>
      <c r="N2376" s="2" t="inlineStr">
        <is>
          <t>ข้อ 3 (PLE_CC1_Key_Rx20_UBU.md)</t>
        </is>
      </c>
      <c r="O2376" s="2" t="inlineStr">
        <is>
          <t>Mock</t>
        </is>
      </c>
      <c r="P2376" s="2" t="inlineStr">
        <is>
          <t>Mock Rx20 UBU</t>
        </is>
      </c>
    </row>
    <row r="2377" ht="13.2" customHeight="1" s="37">
      <c r="A2377" s="8" t="inlineStr">
        <is>
          <t>2398</t>
        </is>
      </c>
      <c r="B2377" s="2" t="inlineStr">
        <is>
          <t>ไม่ผ่าน Assay เพราะวิเคราะหได้ 550 แต่เกณฑ์ คือ 555-625</t>
        </is>
      </c>
      <c r="C2377" s="2" t="n"/>
      <c r="D2377" s="2" t="inlineStr">
        <is>
          <t>Sodium thiosulfate 25% 50 mL IV</t>
        </is>
      </c>
      <c r="E2377" s="2" t="inlineStr">
        <is>
          <t>Calcium disodium EDTA 1 g IV</t>
        </is>
      </c>
      <c r="F2377" s="2" t="inlineStr">
        <is>
          <t>Desferrioxamine 1 g IM/IV</t>
        </is>
      </c>
      <c r="G2377" s="2" t="inlineStr">
        <is>
          <t>Dimercaprol (BAL) 3 mg/kg IM</t>
        </is>
      </c>
      <c r="H2377" s="2" t="inlineStr">
        <is>
          <t>Ethanol 10% IV infusion for Methanol poisoning</t>
        </is>
      </c>
      <c r="I2377" s="8" t="inlineStr">
        <is>
          <t>4</t>
        </is>
      </c>
      <c r="J2377" s="2" t="inlineStr">
        <is>
          <t>✅ คำตอบที่ถูกต้อง: ข้อ ง.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(Sodium thiosulfate 25% 50 mL IV): ข้อนี้ไม่ถูกต้องเนื่องจากเป็น Antidote สำหรับภาวะ acute poisoning จำเพาะ ไม่ตรงกับพยาธิสภาพของโรคในโจทย์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7" s="2" t="n"/>
      <c r="L2377" s="2" t="inlineStr">
        <is>
          <t>General Therapeutics</t>
        </is>
      </c>
      <c r="M2377" s="2" t="inlineStr">
        <is>
          <t>Clinic</t>
        </is>
      </c>
      <c r="N2377" s="2" t="inlineStr">
        <is>
          <t>ข้อ 5 (PLE_CC1_Key_Rx20_UBU.md)</t>
        </is>
      </c>
      <c r="O2377" s="2" t="inlineStr">
        <is>
          <t>Mock</t>
        </is>
      </c>
      <c r="P2377" s="2" t="inlineStr">
        <is>
          <t>Mock Rx20 UBU</t>
        </is>
      </c>
    </row>
    <row r="2378" ht="13.2" customHeight="1" s="37">
      <c r="A2378" s="8" t="inlineStr">
        <is>
          <t>2399</t>
        </is>
      </c>
      <c r="B2378" s="2" t="inlineStr">
        <is>
          <t>20 ng/L = 0.2(1)/(36L/kg 50 kg) = 0.002 mcg/L = 2 ng/L</t>
        </is>
      </c>
      <c r="C2378" s="2" t="n"/>
      <c r="D2378" s="2" t="inlineStr">
        <is>
          <t>Dimercaprol (BAL) 3 mg/kg IM</t>
        </is>
      </c>
      <c r="E2378" s="2" t="inlineStr">
        <is>
          <t>Ethanol 10% IV infusion for Methanol poisoning</t>
        </is>
      </c>
      <c r="F2378" s="2" t="inlineStr">
        <is>
          <t>Fomepizole 15 mg/kg IV loading</t>
        </is>
      </c>
      <c r="G2378" s="2" t="inlineStr">
        <is>
          <t>N-acetylcysteine (NAC) IV infusion protocol</t>
        </is>
      </c>
      <c r="H2378" s="2" t="inlineStr">
        <is>
          <t>Atropine sulfate 2 mg IV Q5-10 min</t>
        </is>
      </c>
      <c r="I2378" s="8" t="inlineStr">
        <is>
          <t>3</t>
        </is>
      </c>
      <c r="J2378" s="2" t="inlineStr">
        <is>
          <t>✅ คำตอบที่ถูกต้อง: ข้อ ค. Fomepizole 15 mg/kg IV loading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Fomepizole 15 mg/kg IV loading การเลือก Fomepizole 15 mg/kg IV loading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78" s="2" t="n"/>
      <c r="L2378" s="2" t="inlineStr">
        <is>
          <t>General Therapeutics</t>
        </is>
      </c>
      <c r="M2378" s="2" t="inlineStr">
        <is>
          <t>Clinic</t>
        </is>
      </c>
      <c r="N2378" s="2" t="inlineStr">
        <is>
          <t>ข้อ 5 (PLE_CC1_Key_Rx20_UBU.md)</t>
        </is>
      </c>
      <c r="O2378" s="2" t="inlineStr">
        <is>
          <t>Mock</t>
        </is>
      </c>
      <c r="P2378" s="2" t="inlineStr">
        <is>
          <t>Mock Rx20 UBU</t>
        </is>
      </c>
    </row>
    <row r="2379" ht="13.2" customHeight="1" s="37">
      <c r="A2379" s="8" t="inlineStr">
        <is>
          <t>2400</t>
        </is>
      </c>
      <c r="B2379" s="2" t="inlineStr">
        <is>
          <t>การทำ Residual on Ignition คือการทำอะไร</t>
        </is>
      </c>
      <c r="C2379" s="2" t="n"/>
      <c r="D2379" s="2" t="inlineStr">
        <is>
          <t>N-acetylcysteine (NAC) IV infusion protocol</t>
        </is>
      </c>
      <c r="E2379" s="2" t="inlineStr">
        <is>
          <t>Atropine sulfate 2 mg IV Q5-10 min</t>
        </is>
      </c>
      <c r="F2379" s="2" t="inlineStr">
        <is>
          <t>Pralidoxime (2-PAM) 1-2 g IV over 30 min</t>
        </is>
      </c>
      <c r="G2379" s="2" t="inlineStr">
        <is>
          <t>Naloxone 0.4 mg IV stat</t>
        </is>
      </c>
      <c r="H2379" s="2" t="inlineStr">
        <is>
          <t>Flumazenil 0.2 mg IV stat</t>
        </is>
      </c>
      <c r="I2379" s="8" t="inlineStr">
        <is>
          <t>1</t>
        </is>
      </c>
      <c r="J237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79" s="2" t="n"/>
      <c r="L2379" s="2" t="inlineStr">
        <is>
          <t>General Therapeutics</t>
        </is>
      </c>
      <c r="M2379" s="2" t="inlineStr">
        <is>
          <t>Clinic</t>
        </is>
      </c>
      <c r="N2379" s="2" t="inlineStr">
        <is>
          <t>ข้อ 3 (PLE_CC1_Key_Rx20_UBU.md)</t>
        </is>
      </c>
      <c r="O2379" s="2" t="inlineStr">
        <is>
          <t>Mock</t>
        </is>
      </c>
      <c r="P2379" s="2" t="inlineStr">
        <is>
          <t>Mock Rx20 UBU</t>
        </is>
      </c>
    </row>
    <row r="2380" ht="13.2" customHeight="1" s="37">
      <c r="A2380" s="8" t="inlineStr">
        <is>
          <t>2401</t>
        </is>
      </c>
      <c r="B2380" s="2" t="inlineStr">
        <is>
          <t>ปริมาณของสาร organic</t>
        </is>
      </c>
      <c r="C2380" s="2" t="n"/>
      <c r="D2380" s="2" t="inlineStr">
        <is>
          <t>Naloxone 0.4 mg IV stat</t>
        </is>
      </c>
      <c r="E2380" s="2" t="inlineStr">
        <is>
          <t>Flumazenil 0.2 mg IV stat</t>
        </is>
      </c>
      <c r="F2380" s="2" t="inlineStr">
        <is>
          <t>Vitamin K1 (Phytomenadione) 10 mg IV slow</t>
        </is>
      </c>
      <c r="G2380" s="2" t="inlineStr">
        <is>
          <t>Sodium thiosulfate 25% 50 mL IV</t>
        </is>
      </c>
      <c r="H2380" s="2" t="inlineStr">
        <is>
          <t>Calcium disodium EDTA 1 g IV</t>
        </is>
      </c>
      <c r="I2380" s="8" t="inlineStr">
        <is>
          <t>1</t>
        </is>
      </c>
      <c r="J2380"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80" s="2" t="n"/>
      <c r="L2380" s="2" t="inlineStr">
        <is>
          <t>General Therapeutics</t>
        </is>
      </c>
      <c r="M2380" s="2" t="inlineStr">
        <is>
          <t>Clinic</t>
        </is>
      </c>
      <c r="N2380" s="2" t="inlineStr">
        <is>
          <t>ข้อ 1 (PLE_CC1_Key_Rx20_UBU.md)</t>
        </is>
      </c>
      <c r="O2380" s="2" t="inlineStr">
        <is>
          <t>Mock</t>
        </is>
      </c>
      <c r="P2380" s="2" t="inlineStr">
        <is>
          <t>Mock Rx20 UBU</t>
        </is>
      </c>
    </row>
    <row r="2381" ht="13.2" customHeight="1" s="37">
      <c r="A2381" s="8" t="inlineStr">
        <is>
          <t>2402</t>
        </is>
      </c>
      <c r="B2381" s="2" t="inlineStr">
        <is>
          <t>ปริมาณของสาร inorganic</t>
        </is>
      </c>
      <c r="C2381" s="2" t="n"/>
      <c r="D2381" s="2" t="inlineStr">
        <is>
          <t>Sodium thiosulfate 25% 50 mL IV</t>
        </is>
      </c>
      <c r="E2381" s="2" t="inlineStr">
        <is>
          <t>Calcium disodium EDTA 1 g IV</t>
        </is>
      </c>
      <c r="F2381" s="2" t="inlineStr">
        <is>
          <t>Desferrioxamine 1 g IM/IV</t>
        </is>
      </c>
      <c r="G2381" s="2" t="inlineStr">
        <is>
          <t>Dimercaprol (BAL) 3 mg/kg IM</t>
        </is>
      </c>
      <c r="H2381" s="2" t="inlineStr">
        <is>
          <t>Ethanol 10% IV infusion for Methanol poisoning</t>
        </is>
      </c>
      <c r="I2381" s="8" t="inlineStr">
        <is>
          <t>1</t>
        </is>
      </c>
      <c r="J2381"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1" s="2" t="n"/>
      <c r="L2381" s="2" t="inlineStr">
        <is>
          <t>General Therapeutics</t>
        </is>
      </c>
      <c r="M2381" s="2" t="inlineStr">
        <is>
          <t>Clinic</t>
        </is>
      </c>
      <c r="N2381" s="2" t="inlineStr">
        <is>
          <t>ข้อ 2 (PLE_CC1_Key_Rx20_UBU.md)</t>
        </is>
      </c>
      <c r="O2381" s="2" t="inlineStr">
        <is>
          <t>Mock</t>
        </is>
      </c>
      <c r="P2381" s="2" t="inlineStr">
        <is>
          <t>Mock Rx20 UBU</t>
        </is>
      </c>
    </row>
    <row r="2382" ht="13.2" customHeight="1" s="37">
      <c r="A2382" s="8" t="inlineStr">
        <is>
          <t>2403</t>
        </is>
      </c>
      <c r="B2382" s="2" t="inlineStr">
        <is>
          <t>ชนิดของสาร inorganic</t>
        </is>
      </c>
      <c r="C2382" s="2" t="n"/>
      <c r="D2382" s="2" t="inlineStr">
        <is>
          <t>Dimercaprol (BAL) 3 mg/kg IM</t>
        </is>
      </c>
      <c r="E2382" s="2" t="inlineStr">
        <is>
          <t>Ethanol 10% IV infusion for Methanol poisoning</t>
        </is>
      </c>
      <c r="F2382" s="2" t="inlineStr">
        <is>
          <t>Fomepizole 15 mg/kg IV loading</t>
        </is>
      </c>
      <c r="G2382" s="2" t="inlineStr">
        <is>
          <t>N-acetylcysteine (NAC) IV infusion protocol</t>
        </is>
      </c>
      <c r="H2382" s="2" t="inlineStr">
        <is>
          <t>Atropine sulfate 2 mg IV Q5-10 min</t>
        </is>
      </c>
      <c r="I2382" s="8" t="inlineStr">
        <is>
          <t>1</t>
        </is>
      </c>
      <c r="J238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2" s="2" t="n"/>
      <c r="L2382" s="2" t="inlineStr">
        <is>
          <t>General Therapeutics</t>
        </is>
      </c>
      <c r="M2382" s="2" t="inlineStr">
        <is>
          <t>Clinic</t>
        </is>
      </c>
      <c r="N2382" s="2" t="inlineStr">
        <is>
          <t>ข้อ 3 (PLE_CC1_Key_Rx20_UBU.md)</t>
        </is>
      </c>
      <c r="O2382" s="2" t="inlineStr">
        <is>
          <t>Mock</t>
        </is>
      </c>
      <c r="P2382" s="2" t="inlineStr">
        <is>
          <t>Mock Rx20 UBU</t>
        </is>
      </c>
    </row>
    <row r="2383" ht="13.2" customHeight="1" s="37">
      <c r="A2383" s="8" t="inlineStr">
        <is>
          <t>2404</t>
        </is>
      </c>
      <c r="B2383" s="2" t="inlineStr">
        <is>
          <t>ปริมาณของสาร ที่ระเหยได้</t>
        </is>
      </c>
      <c r="C2383" s="2" t="n"/>
      <c r="D2383" s="2" t="inlineStr">
        <is>
          <t>N-acetylcysteine (NAC) IV infusion protocol</t>
        </is>
      </c>
      <c r="E2383" s="2" t="inlineStr">
        <is>
          <t>Atropine sulfate 2 mg IV Q5-10 min</t>
        </is>
      </c>
      <c r="F2383" s="2" t="inlineStr">
        <is>
          <t>Pralidoxime (2-PAM) 1-2 g IV over 30 min</t>
        </is>
      </c>
      <c r="G2383" s="2" t="inlineStr">
        <is>
          <t>Naloxone 0.4 mg IV stat</t>
        </is>
      </c>
      <c r="H2383" s="2" t="inlineStr">
        <is>
          <t>Flumazenil 0.2 mg IV stat</t>
        </is>
      </c>
      <c r="I2383" s="8" t="inlineStr">
        <is>
          <t>1</t>
        </is>
      </c>
      <c r="J2383"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83" s="2" t="n"/>
      <c r="L2383" s="2" t="inlineStr">
        <is>
          <t>General Therapeutics</t>
        </is>
      </c>
      <c r="M2383" s="2" t="inlineStr">
        <is>
          <t>Clinic</t>
        </is>
      </c>
      <c r="N2383" s="2" t="inlineStr">
        <is>
          <t>ข้อ 4 (PLE_CC1_Key_Rx20_UBU.md)</t>
        </is>
      </c>
      <c r="O2383" s="2" t="inlineStr">
        <is>
          <t>Mock</t>
        </is>
      </c>
      <c r="P2383" s="2" t="inlineStr">
        <is>
          <t>Mock Rx20 UBU</t>
        </is>
      </c>
    </row>
    <row r="2384" ht="13.2" customHeight="1" s="37">
      <c r="A2384" s="8" t="inlineStr">
        <is>
          <t>2405</t>
        </is>
      </c>
      <c r="B2384" s="2" t="inlineStr">
        <is>
          <t>Stage 2: ให้ข้อมูลมา 12 เม็ด ไม่ผ่านเพราะมี 1 เม็ดน้อยกว่า 65%</t>
        </is>
      </c>
      <c r="C2384" s="2" t="n"/>
      <c r="D2384" s="2" t="inlineStr">
        <is>
          <t>Naloxone 0.4 mg IV stat</t>
        </is>
      </c>
      <c r="E2384" s="2" t="inlineStr">
        <is>
          <t>Flumazenil 0.2 mg IV stat</t>
        </is>
      </c>
      <c r="F2384" s="2" t="inlineStr">
        <is>
          <t>Vitamin K1 (Phytomenadione) 10 mg IV slow</t>
        </is>
      </c>
      <c r="G2384" s="2" t="inlineStr">
        <is>
          <t>Sodium thiosulfate 25% 50 mL IV</t>
        </is>
      </c>
      <c r="H2384" s="2" t="inlineStr">
        <is>
          <t>Calcium disodium EDTA 1 g IV</t>
        </is>
      </c>
      <c r="I2384" s="8" t="inlineStr">
        <is>
          <t>1</t>
        </is>
      </c>
      <c r="J238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84" s="2" t="n"/>
      <c r="L2384" s="2" t="inlineStr">
        <is>
          <t>General Therapeutics</t>
        </is>
      </c>
      <c r="M2384" s="2" t="inlineStr">
        <is>
          <t>Clinic</t>
        </is>
      </c>
      <c r="N2384" s="2" t="inlineStr">
        <is>
          <t>ข้อ 1 (PLE_CC1_Key_Rx20_UBU.md)</t>
        </is>
      </c>
      <c r="O2384" s="2" t="inlineStr">
        <is>
          <t>Mock</t>
        </is>
      </c>
      <c r="P2384" s="2" t="inlineStr">
        <is>
          <t>Mock Rx20 UBU</t>
        </is>
      </c>
    </row>
    <row r="2385" ht="13.2" customHeight="1" s="37">
      <c r="A2385" s="8" t="inlineStr">
        <is>
          <t>2406</t>
        </is>
      </c>
      <c r="B2385" s="2" t="inlineStr">
        <is>
          <t>Stage 2:ให้ข้อมูลมา 12 เม็ด ผ่านเพราะไม่มีเม็ดใดน้อยกว่า 65% และค่าเฉลี่ยมากกว่า 80%</t>
        </is>
      </c>
      <c r="C2385" s="2" t="n"/>
      <c r="D2385" s="2" t="inlineStr">
        <is>
          <t>Sodium thiosulfate 25% 50 mL IV</t>
        </is>
      </c>
      <c r="E2385" s="2" t="inlineStr">
        <is>
          <t>Calcium disodium EDTA 1 g IV</t>
        </is>
      </c>
      <c r="F2385" s="2" t="inlineStr">
        <is>
          <t>Desferrioxamine 1 g IM/IV</t>
        </is>
      </c>
      <c r="G2385" s="2" t="inlineStr">
        <is>
          <t>Dimercaprol (BAL) 3 mg/kg IM</t>
        </is>
      </c>
      <c r="H2385" s="2" t="inlineStr">
        <is>
          <t>Ethanol 10% IV infusion for Methanol poisoning</t>
        </is>
      </c>
      <c r="I2385" s="8" t="inlineStr">
        <is>
          <t>1</t>
        </is>
      </c>
      <c r="J238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5" s="2" t="n"/>
      <c r="L2385" s="2" t="inlineStr">
        <is>
          <t>General Therapeutics</t>
        </is>
      </c>
      <c r="M2385" s="2" t="inlineStr">
        <is>
          <t>Clinic</t>
        </is>
      </c>
      <c r="N2385" s="2" t="inlineStr">
        <is>
          <t>ข้อ 2 (PLE_CC1_Key_Rx20_UBU.md)</t>
        </is>
      </c>
      <c r="O2385" s="2" t="inlineStr">
        <is>
          <t>Mock</t>
        </is>
      </c>
      <c r="P2385" s="2" t="inlineStr">
        <is>
          <t>Mock Rx20 UBU</t>
        </is>
      </c>
    </row>
    <row r="2386" ht="13.2" customHeight="1" s="37">
      <c r="A2386" s="8" t="inlineStr">
        <is>
          <t>2407</t>
        </is>
      </c>
      <c r="B2386" s="2" t="inlineStr">
        <is>
          <t>Stage 1:ให้ข้อมูลมา 6 เม็ด ไม่ผ่านเพราะมี 1 เม็ดน้อยกว่า 85%</t>
        </is>
      </c>
      <c r="C2386" s="2" t="n"/>
      <c r="D2386" s="2" t="inlineStr">
        <is>
          <t>Dimercaprol (BAL) 3 mg/kg IM</t>
        </is>
      </c>
      <c r="E2386" s="2" t="inlineStr">
        <is>
          <t>Ethanol 10% IV infusion for Methanol poisoning</t>
        </is>
      </c>
      <c r="F2386" s="2" t="inlineStr">
        <is>
          <t>Fomepizole 15 mg/kg IV loading</t>
        </is>
      </c>
      <c r="G2386" s="2" t="inlineStr">
        <is>
          <t>N-acetylcysteine (NAC) IV infusion protocol</t>
        </is>
      </c>
      <c r="H2386" s="2" t="inlineStr">
        <is>
          <t>Atropine sulfate 2 mg IV Q5-10 min</t>
        </is>
      </c>
      <c r="I2386" s="8" t="inlineStr">
        <is>
          <t>1</t>
        </is>
      </c>
      <c r="J2386"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6" s="2" t="n"/>
      <c r="L2386" s="2" t="inlineStr">
        <is>
          <t>General Therapeutics</t>
        </is>
      </c>
      <c r="M2386" s="2" t="inlineStr">
        <is>
          <t>Clinic</t>
        </is>
      </c>
      <c r="N2386" s="2" t="inlineStr">
        <is>
          <t>ข้อ 3 (PLE_CC1_Key_Rx20_UBU.md)</t>
        </is>
      </c>
      <c r="O2386" s="2" t="inlineStr">
        <is>
          <t>Mock</t>
        </is>
      </c>
      <c r="P2386" s="2" t="inlineStr">
        <is>
          <t>Mock Rx20 UBU</t>
        </is>
      </c>
    </row>
    <row r="2387" ht="13.2" customHeight="1" s="37">
      <c r="A2387" s="8" t="inlineStr">
        <is>
          <t>2408</t>
        </is>
      </c>
      <c r="B2387" s="2" t="inlineStr">
        <is>
          <t>Stage 1: ไม่ผ่านเพราะให้ค่าเฉลี่ยมา</t>
        </is>
      </c>
      <c r="C2387" s="2" t="n"/>
      <c r="D2387" s="2" t="inlineStr">
        <is>
          <t>N-acetylcysteine (NAC) IV infusion protocol</t>
        </is>
      </c>
      <c r="E2387" s="2" t="inlineStr">
        <is>
          <t>Atropine sulfate 2 mg IV Q5-10 min</t>
        </is>
      </c>
      <c r="F2387" s="2" t="inlineStr">
        <is>
          <t>Pralidoxime (2-PAM) 1-2 g IV over 30 min</t>
        </is>
      </c>
      <c r="G2387" s="2" t="inlineStr">
        <is>
          <t>Naloxone 0.4 mg IV stat</t>
        </is>
      </c>
      <c r="H2387" s="2" t="inlineStr">
        <is>
          <t>Flumazenil 0.2 mg IV stat</t>
        </is>
      </c>
      <c r="I2387" s="8" t="inlineStr">
        <is>
          <t>1</t>
        </is>
      </c>
      <c r="J238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87" s="2" t="n"/>
      <c r="L2387" s="2" t="inlineStr">
        <is>
          <t>General Therapeutics</t>
        </is>
      </c>
      <c r="M2387" s="2" t="inlineStr">
        <is>
          <t>Clinic</t>
        </is>
      </c>
      <c r="N2387" s="2" t="inlineStr">
        <is>
          <t>ข้อ 5 (PLE_CC1_Key_Rx20_UBU.md)</t>
        </is>
      </c>
      <c r="O2387" s="2" t="inlineStr">
        <is>
          <t>Mock</t>
        </is>
      </c>
      <c r="P2387" s="2" t="inlineStr">
        <is>
          <t>Mock Rx20 UBU</t>
        </is>
      </c>
    </row>
    <row r="2388" ht="13.2" customHeight="1" s="37">
      <c r="A2388" s="8" t="inlineStr">
        <is>
          <t>2409</t>
        </is>
      </c>
      <c r="B2388" s="2" t="inlineStr">
        <is>
          <t>Multiple linear regression</t>
        </is>
      </c>
      <c r="C2388" s="2" t="n"/>
      <c r="D2388" s="2" t="inlineStr">
        <is>
          <t>Naloxone 0.4 mg IV stat</t>
        </is>
      </c>
      <c r="E2388" s="2" t="inlineStr">
        <is>
          <t>Flumazenil 0.2 mg IV stat</t>
        </is>
      </c>
      <c r="F2388" s="2" t="inlineStr">
        <is>
          <t>Vitamin K1 (Phytomenadione) 10 mg IV slow</t>
        </is>
      </c>
      <c r="G2388" s="2" t="inlineStr">
        <is>
          <t>Sodium thiosulfate 25% 50 mL IV</t>
        </is>
      </c>
      <c r="H2388" s="2" t="inlineStr">
        <is>
          <t>Calcium disodium EDTA 1 g IV</t>
        </is>
      </c>
      <c r="I2388" s="8" t="inlineStr">
        <is>
          <t>1</t>
        </is>
      </c>
      <c r="J238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88" s="2" t="n"/>
      <c r="L2388" s="2" t="inlineStr">
        <is>
          <t>General Therapeutics</t>
        </is>
      </c>
      <c r="M2388" s="2" t="inlineStr">
        <is>
          <t>Clinic</t>
        </is>
      </c>
      <c r="N2388" s="2" t="inlineStr">
        <is>
          <t>ข้อ 4 (PLE_CC1_Key_Rx20_UBU.md)</t>
        </is>
      </c>
      <c r="O2388" s="2" t="inlineStr">
        <is>
          <t>Mock</t>
        </is>
      </c>
      <c r="P2388" s="2" t="inlineStr">
        <is>
          <t>Mock Rx20 UBU</t>
        </is>
      </c>
    </row>
    <row r="2389" ht="13.2" customHeight="1" s="37">
      <c r="A2389" s="8" t="inlineStr">
        <is>
          <t>2410</t>
        </is>
      </c>
      <c r="B2389" s="2" t="inlineStr">
        <is>
          <t>ยาอะไร ช่วยในการขจัดยานี้</t>
        </is>
      </c>
      <c r="C2389" s="2" t="n"/>
      <c r="D2389" s="2" t="inlineStr">
        <is>
          <t>Sodium thiosulfate 25% 50 mL IV</t>
        </is>
      </c>
      <c r="E2389" s="2" t="inlineStr">
        <is>
          <t>Calcium disodium EDTA 1 g IV</t>
        </is>
      </c>
      <c r="F2389" s="2" t="inlineStr">
        <is>
          <t>Desferrioxamine 1 g IM/IV</t>
        </is>
      </c>
      <c r="G2389" s="2" t="inlineStr">
        <is>
          <t>Dimercaprol (BAL) 3 mg/kg IM</t>
        </is>
      </c>
      <c r="H2389" s="2" t="inlineStr">
        <is>
          <t>Ethanol 10% IV infusion for Methanol poisoning</t>
        </is>
      </c>
      <c r="I2389" s="8" t="inlineStr">
        <is>
          <t>1</t>
        </is>
      </c>
      <c r="J238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89" s="2" t="n"/>
      <c r="L2389" s="2" t="inlineStr">
        <is>
          <t>General Therapeutics</t>
        </is>
      </c>
      <c r="M2389" s="2" t="inlineStr">
        <is>
          <t>Clinic</t>
        </is>
      </c>
      <c r="N2389" s="2" t="inlineStr">
        <is>
          <t>ข้อ 6 (PLE_CC1_Key_Rx20_UBU.md)</t>
        </is>
      </c>
      <c r="O2389" s="2" t="inlineStr">
        <is>
          <t>Mock</t>
        </is>
      </c>
      <c r="P2389" s="2" t="inlineStr">
        <is>
          <t>Mock Rx20 UBU</t>
        </is>
      </c>
    </row>
    <row r="2390" ht="13.2" customHeight="1" s="37">
      <c r="A2390" s="8" t="inlineStr">
        <is>
          <t>2411</t>
        </is>
      </c>
      <c r="B2390" s="2" t="inlineStr">
        <is>
          <t>Phenzopyridine 8.) CL ยาทำเพื่อจุดประสงค์อะไร</t>
        </is>
      </c>
      <c r="C2390" s="2" t="n"/>
      <c r="D2390" s="2" t="inlineStr">
        <is>
          <t>Dimercaprol (BAL) 3 mg/kg IM</t>
        </is>
      </c>
      <c r="E2390" s="2" t="inlineStr">
        <is>
          <t>Ethanol 10% IV infusion for Methanol poisoning</t>
        </is>
      </c>
      <c r="F2390" s="2" t="inlineStr">
        <is>
          <t>Fomepizole 15 mg/kg IV loading</t>
        </is>
      </c>
      <c r="G2390" s="2" t="inlineStr">
        <is>
          <t>N-acetylcysteine (NAC) IV infusion protocol</t>
        </is>
      </c>
      <c r="H2390" s="2" t="inlineStr">
        <is>
          <t>Atropine sulfate 2 mg IV Q5-10 min</t>
        </is>
      </c>
      <c r="I2390" s="8" t="inlineStr">
        <is>
          <t>4</t>
        </is>
      </c>
      <c r="J2390" s="2" t="inlineStr">
        <is>
          <t>✅ คำตอบที่ถูกต้อง: ข้อ ง.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(Dimercaprol (BAL) 3 mg/kg IM): ข้อนี้ไม่ถูกต้องเนื่องจากเป็น Antidote สำหรับภาวะ acute poisoning จำเพาะ ไม่ตรงกับพยาธิสภาพของโรคในโจทย์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90" s="2" t="n"/>
      <c r="L2390" s="2" t="inlineStr">
        <is>
          <t>General Therapeutics</t>
        </is>
      </c>
      <c r="M2390" s="2" t="inlineStr">
        <is>
          <t>Clinic</t>
        </is>
      </c>
      <c r="N2390" s="2" t="inlineStr">
        <is>
          <t>ข้อ 5 (PLE_CC1_Key_Rx20_UBU.md)</t>
        </is>
      </c>
      <c r="O2390" s="2" t="inlineStr">
        <is>
          <t>Mock</t>
        </is>
      </c>
      <c r="P2390" s="2" t="inlineStr">
        <is>
          <t>Mock Rx20 UBU</t>
        </is>
      </c>
    </row>
    <row r="2391" ht="13.2" customHeight="1" s="37">
      <c r="A2391" s="8" t="inlineStr">
        <is>
          <t>2412</t>
        </is>
      </c>
      <c r="B2391" s="2" t="inlineStr">
        <is>
          <t>ใช้ยาอย่างสมเหตุสมผล</t>
        </is>
      </c>
      <c r="C2391" s="2" t="n"/>
      <c r="D2391" s="2" t="inlineStr">
        <is>
          <t>N-acetylcysteine (NAC) IV infusion protocol</t>
        </is>
      </c>
      <c r="E2391" s="2" t="inlineStr">
        <is>
          <t>Atropine sulfate 2 mg IV Q5-10 min</t>
        </is>
      </c>
      <c r="F2391" s="2" t="inlineStr">
        <is>
          <t>Pralidoxime (2-PAM) 1-2 g IV over 30 min</t>
        </is>
      </c>
      <c r="G2391" s="2" t="inlineStr">
        <is>
          <t>Naloxone 0.4 mg IV stat</t>
        </is>
      </c>
      <c r="H2391" s="2" t="inlineStr">
        <is>
          <t>Flumazenil 0.2 mg IV stat</t>
        </is>
      </c>
      <c r="I2391" s="8" t="inlineStr">
        <is>
          <t>1</t>
        </is>
      </c>
      <c r="J2391"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91" s="2" t="n"/>
      <c r="L2391" s="2" t="inlineStr">
        <is>
          <t>General Therapeutics</t>
        </is>
      </c>
      <c r="M2391" s="2" t="inlineStr">
        <is>
          <t>Clinic</t>
        </is>
      </c>
      <c r="N2391" s="2" t="inlineStr">
        <is>
          <t>ข้อ 3 (PLE_CC1_Key_Rx20_UBU.md)</t>
        </is>
      </c>
      <c r="O2391" s="2" t="inlineStr">
        <is>
          <t>Mock</t>
        </is>
      </c>
      <c r="P2391" s="2" t="inlineStr">
        <is>
          <t>Mock Rx20 UBU</t>
        </is>
      </c>
    </row>
    <row r="2392" ht="13.2" customHeight="1" s="37">
      <c r="A2392" s="8" t="inlineStr">
        <is>
          <t>2413</t>
        </is>
      </c>
      <c r="B2392" s="2" t="inlineStr">
        <is>
          <t>เติม Halogen ที่ Carbon ตำแหน่ง 9</t>
        </is>
      </c>
      <c r="C2392" s="2" t="n"/>
      <c r="D2392" s="2" t="inlineStr">
        <is>
          <t>Naloxone 0.4 mg IV stat</t>
        </is>
      </c>
      <c r="E2392" s="2" t="inlineStr">
        <is>
          <t>Flumazenil 0.2 mg IV stat</t>
        </is>
      </c>
      <c r="F2392" s="2" t="inlineStr">
        <is>
          <t>Vitamin K1 (Phytomenadione) 10 mg IV slow</t>
        </is>
      </c>
      <c r="G2392" s="2" t="inlineStr">
        <is>
          <t>Sodium thiosulfate 25% 50 mL IV</t>
        </is>
      </c>
      <c r="H2392" s="2" t="inlineStr">
        <is>
          <t>Calcium disodium EDTA 1 g IV</t>
        </is>
      </c>
      <c r="I2392" s="8" t="inlineStr">
        <is>
          <t>1</t>
        </is>
      </c>
      <c r="J239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92" s="2" t="n"/>
      <c r="L2392" s="2" t="inlineStr">
        <is>
          <t>General Therapeutics</t>
        </is>
      </c>
      <c r="M2392" s="2" t="inlineStr">
        <is>
          <t>Clinic</t>
        </is>
      </c>
      <c r="N2392" s="2" t="inlineStr">
        <is>
          <t>ข้อ 1 (PLE_CC1_Key_Rx20_UBU.md)</t>
        </is>
      </c>
      <c r="O2392" s="2" t="inlineStr">
        <is>
          <t>Mock</t>
        </is>
      </c>
      <c r="P2392" s="2" t="inlineStr">
        <is>
          <t>Mock Rx20 UBU</t>
        </is>
      </c>
    </row>
    <row r="2393" ht="13.2" customHeight="1" s="37">
      <c r="A2393" s="8" t="inlineStr">
        <is>
          <t>2414</t>
        </is>
      </c>
      <c r="B2393" s="2" t="inlineStr">
        <is>
          <t>เติม Halogen ที่ Carbon ตำแหน่ง 7</t>
        </is>
      </c>
      <c r="C2393" s="2" t="n"/>
      <c r="D2393" s="2" t="inlineStr">
        <is>
          <t>Sodium thiosulfate 25% 50 mL IV</t>
        </is>
      </c>
      <c r="E2393" s="2" t="inlineStr">
        <is>
          <t>Calcium disodium EDTA 1 g IV</t>
        </is>
      </c>
      <c r="F2393" s="2" t="inlineStr">
        <is>
          <t>Desferrioxamine 1 g IM/IV</t>
        </is>
      </c>
      <c r="G2393" s="2" t="inlineStr">
        <is>
          <t>Dimercaprol (BAL) 3 mg/kg IM</t>
        </is>
      </c>
      <c r="H2393" s="2" t="inlineStr">
        <is>
          <t>Ethanol 10% IV infusion for Methanol poisoning</t>
        </is>
      </c>
      <c r="I2393" s="8" t="inlineStr">
        <is>
          <t>1</t>
        </is>
      </c>
      <c r="J239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93" s="2" t="n"/>
      <c r="L2393" s="2" t="inlineStr">
        <is>
          <t>General Therapeutics</t>
        </is>
      </c>
      <c r="M2393" s="2" t="inlineStr">
        <is>
          <t>Clinic</t>
        </is>
      </c>
      <c r="N2393" s="2" t="inlineStr">
        <is>
          <t>ข้อ 2 (PLE_CC1_Key_Rx20_UBU.md)</t>
        </is>
      </c>
      <c r="O2393" s="2" t="inlineStr">
        <is>
          <t>Mock</t>
        </is>
      </c>
      <c r="P2393" s="2" t="inlineStr">
        <is>
          <t>Mock Rx20 UBU</t>
        </is>
      </c>
    </row>
    <row r="2394" ht="13.2" customHeight="1" s="37">
      <c r="A2394" s="8" t="inlineStr">
        <is>
          <t>2415</t>
        </is>
      </c>
      <c r="B2394" s="2" t="inlineStr">
        <is>
          <t>เปลี่ยน Ring A เป็น Heterocyclic ring</t>
        </is>
      </c>
      <c r="C2394" s="2" t="n"/>
      <c r="D2394" s="2" t="inlineStr">
        <is>
          <t>Dimercaprol (BAL) 3 mg/kg IM</t>
        </is>
      </c>
      <c r="E2394" s="2" t="inlineStr">
        <is>
          <t>Ethanol 10% IV infusion for Methanol poisoning</t>
        </is>
      </c>
      <c r="F2394" s="2" t="inlineStr">
        <is>
          <t>Fomepizole 15 mg/kg IV loading</t>
        </is>
      </c>
      <c r="G2394" s="2" t="inlineStr">
        <is>
          <t>N-acetylcysteine (NAC) IV infusion protocol</t>
        </is>
      </c>
      <c r="H2394" s="2" t="inlineStr">
        <is>
          <t>Atropine sulfate 2 mg IV Q5-10 min</t>
        </is>
      </c>
      <c r="I2394" s="8" t="inlineStr">
        <is>
          <t>1</t>
        </is>
      </c>
      <c r="J239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94" s="2" t="n"/>
      <c r="L2394" s="2" t="inlineStr">
        <is>
          <t>General Therapeutics</t>
        </is>
      </c>
      <c r="M2394" s="2" t="inlineStr">
        <is>
          <t>Clinic</t>
        </is>
      </c>
      <c r="N2394" s="2" t="inlineStr">
        <is>
          <t>ข้อ 3 (PLE_CC1_Key_Rx20_UBU.md)</t>
        </is>
      </c>
      <c r="O2394" s="2" t="inlineStr">
        <is>
          <t>Mock</t>
        </is>
      </c>
      <c r="P2394" s="2" t="inlineStr">
        <is>
          <t>Mock Rx20 UBU</t>
        </is>
      </c>
    </row>
    <row r="2395" ht="13.2" customHeight="1" s="37">
      <c r="A2395" s="8" t="inlineStr">
        <is>
          <t>2416</t>
        </is>
      </c>
      <c r="B2395" s="2" t="inlineStr">
        <is>
          <t>เปลี่ยนตำแหน่ง 4 เป็นพันธะเดี่ยว</t>
        </is>
      </c>
      <c r="C2395" s="2" t="n"/>
      <c r="D2395" s="2" t="inlineStr">
        <is>
          <t>N-acetylcysteine (NAC) IV infusion protocol</t>
        </is>
      </c>
      <c r="E2395" s="2" t="inlineStr">
        <is>
          <t>Atropine sulfate 2 mg IV Q5-10 min</t>
        </is>
      </c>
      <c r="F2395" s="2" t="inlineStr">
        <is>
          <t>Pralidoxime (2-PAM) 1-2 g IV over 30 min</t>
        </is>
      </c>
      <c r="G2395" s="2" t="inlineStr">
        <is>
          <t>Naloxone 0.4 mg IV stat</t>
        </is>
      </c>
      <c r="H2395" s="2" t="inlineStr">
        <is>
          <t>Flumazenil 0.2 mg IV stat</t>
        </is>
      </c>
      <c r="I2395" s="8" t="inlineStr">
        <is>
          <t>1</t>
        </is>
      </c>
      <c r="J239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395" s="2" t="n"/>
      <c r="L2395" s="2" t="inlineStr">
        <is>
          <t>General Therapeutics</t>
        </is>
      </c>
      <c r="M2395" s="2" t="inlineStr">
        <is>
          <t>Clinic</t>
        </is>
      </c>
      <c r="N2395" s="2" t="inlineStr">
        <is>
          <t>ข้อ 4 (PLE_CC1_Key_Rx20_UBU.md)</t>
        </is>
      </c>
      <c r="O2395" s="2" t="inlineStr">
        <is>
          <t>Mock</t>
        </is>
      </c>
      <c r="P2395" s="2" t="inlineStr">
        <is>
          <t>Mock Rx20 UBU</t>
        </is>
      </c>
    </row>
    <row r="2396" ht="13.2" customHeight="1" s="37">
      <c r="A2396" s="8" t="inlineStr">
        <is>
          <t>2417</t>
        </is>
      </c>
      <c r="B2396" s="2" t="inlineStr">
        <is>
          <t>เปลี่ยน Ring A เป็น Heterocyclic ring ทำให้ฤทธิ์ลดลง</t>
        </is>
      </c>
      <c r="C2396" s="2" t="n"/>
      <c r="D2396" s="2" t="inlineStr">
        <is>
          <t>Naloxone 0.4 mg IV stat</t>
        </is>
      </c>
      <c r="E2396" s="2" t="inlineStr">
        <is>
          <t>Flumazenil 0.2 mg IV stat</t>
        </is>
      </c>
      <c r="F2396" s="2" t="inlineStr">
        <is>
          <t>Vitamin K1 (Phytomenadione) 10 mg IV slow</t>
        </is>
      </c>
      <c r="G2396" s="2" t="inlineStr">
        <is>
          <t>Sodium thiosulfate 25% 50 mL IV</t>
        </is>
      </c>
      <c r="H2396" s="2" t="inlineStr">
        <is>
          <t>Calcium disodium EDTA 1 g IV</t>
        </is>
      </c>
      <c r="I2396" s="8" t="inlineStr">
        <is>
          <t>1</t>
        </is>
      </c>
      <c r="J239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396" s="2" t="n"/>
      <c r="L2396" s="2" t="inlineStr">
        <is>
          <t>General Therapeutics</t>
        </is>
      </c>
      <c r="M2396" s="2" t="inlineStr">
        <is>
          <t>Clinic</t>
        </is>
      </c>
      <c r="N2396" s="2" t="inlineStr">
        <is>
          <t>ข้อ 3 (PLE_CC1_Key_Rx20_UBU.md)</t>
        </is>
      </c>
      <c r="O2396" s="2" t="inlineStr">
        <is>
          <t>Mock</t>
        </is>
      </c>
      <c r="P2396" s="2" t="inlineStr">
        <is>
          <t>Mock Rx20 UBU</t>
        </is>
      </c>
    </row>
    <row r="2397" ht="13.2" customHeight="1" s="37">
      <c r="A2397" s="8" t="inlineStr">
        <is>
          <t>2418</t>
        </is>
      </c>
      <c r="B2397" s="2" t="inlineStr">
        <is>
          <t>เปลี่ยนตำแหน่ง 4 เป็นพันธะเดี่ยว ตำแหน่ง 4 พันธะคู่จำเป็นต่อการออกฤทธิ์</t>
        </is>
      </c>
      <c r="C2397" s="2" t="n"/>
      <c r="D2397" s="2" t="inlineStr">
        <is>
          <t>Sodium thiosulfate 25% 50 mL IV</t>
        </is>
      </c>
      <c r="E2397" s="2" t="inlineStr">
        <is>
          <t>Calcium disodium EDTA 1 g IV</t>
        </is>
      </c>
      <c r="F2397" s="2" t="inlineStr">
        <is>
          <t>Desferrioxamine 1 g IM/IV</t>
        </is>
      </c>
      <c r="G2397" s="2" t="inlineStr">
        <is>
          <t>Dimercaprol (BAL) 3 mg/kg IM</t>
        </is>
      </c>
      <c r="H2397" s="2" t="inlineStr">
        <is>
          <t>Ethanol 10% IV infusion for Methanol poisoning</t>
        </is>
      </c>
      <c r="I2397" s="8" t="inlineStr">
        <is>
          <t>1</t>
        </is>
      </c>
      <c r="J239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97" s="2" t="n"/>
      <c r="L2397" s="2" t="inlineStr">
        <is>
          <t>General Therapeutics</t>
        </is>
      </c>
      <c r="M2397" s="2" t="inlineStr">
        <is>
          <t>Clinic</t>
        </is>
      </c>
      <c r="N2397" s="2" t="inlineStr">
        <is>
          <t>ข้อ 4 (PLE_CC1_Key_Rx20_UBU.md)</t>
        </is>
      </c>
      <c r="O2397" s="2" t="inlineStr">
        <is>
          <t>Mock</t>
        </is>
      </c>
      <c r="P2397" s="2" t="inlineStr">
        <is>
          <t>Mock Rx20 UBU</t>
        </is>
      </c>
    </row>
    <row r="2398" ht="13.2" customHeight="1" s="37">
      <c r="A2398" s="8" t="inlineStr">
        <is>
          <t>2419</t>
        </is>
      </c>
      <c r="B2398" s="2" t="inlineStr">
        <is>
          <t>ราคา 10 บาท กินยาครั้งละ 1 เม็ด วันละ 4 ครั้ง 5 วัน</t>
        </is>
      </c>
      <c r="C2398" s="2" t="n"/>
      <c r="D2398" s="2" t="inlineStr">
        <is>
          <t>ราคา 15 บาท กินยาครั้งละ 1 เม็ด วันละ 3 ครั้ง 5 วัน</t>
        </is>
      </c>
      <c r="E2398" s="2" t="inlineStr">
        <is>
          <t>ราคา 20 บาท กินยาครั้งละ 1 เม็ด วันละ 2 ครั้ง 7 วัน</t>
        </is>
      </c>
      <c r="F2398" s="2" t="inlineStr">
        <is>
          <t>ราคา 30 บาท กินยาครั้งละ 1 เม็ด วันละ 1 ครั้ง 7 วัน</t>
        </is>
      </c>
      <c r="G2398" s="2" t="inlineStr">
        <is>
          <t>ราคา 40 บาท กินยาครั้งละ 4 เม็ด ครั้งเดียว</t>
        </is>
      </c>
      <c r="H2398" s="2" t="inlineStr">
        <is>
          <t>ราคา 10 บาท กินยาครั้งละ 1 เม็ด วันละ 4 ครั้ง 5 วัน 10x4x5 = 200 บาท</t>
        </is>
      </c>
      <c r="I2398" s="8" t="inlineStr">
        <is>
          <t>3</t>
        </is>
      </c>
      <c r="J2398" s="2" t="inlineStr">
        <is>
          <t>✅ คำตอบที่ถูกต้อง: ข้อ ค. ราคา 30 บาท กินยาครั้งละ 1 เม็ด วันละ 1 ครั้ง 7 วัน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ราคา 30 บาท กินยาครั้งละ 1 เม็ด วันละ 1 ครั้ง 7 วัน การเลือก ราคา 30 บาท กินยาครั้งละ 1 เม็ด วันละ 1 ครั้ง 7 วัน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(ราคา 15 บาท กินยาครั้งละ 1 เม็ด วันละ 3 ครั้ง 5 วัน): ข้อนี้ไม่ใช่คำตอบที่ถูกต้องสำหรับภาวะ General Therapeutics เนื่องจากกลไกการออกฤทธิ์, efficacy หรือข้อบ่งใช้ไม่ตรงกับโจทย์ที่กำหนด
• ข้อ ข. (ราคา 20 บาท กินยาครั้งละ 1 เม็ด วันละ 2 ครั้ง 7 วัน): ข้อนี้ไม่ใช่คำตอบที่ถูกต้องสำหรับภาวะ General Therapeutics เนื่องจากกลไกการออกฤทธิ์, efficacy หรือข้อบ่งใช้ไม่ตรงกับโจทย์ที่กำหนด
• ข้อ ง. (ราคา 40 บาท กินยาครั้งละ 4 เม็ด ครั้งเดียว): ข้อนี้ไม่ใช่คำตอบที่ถูกต้องสำหรับภาวะ General Therapeutics เนื่องจากกลไกการออกฤทธิ์, efficacy หรือข้อบ่งใช้ไม่ตรงกับโจทย์ที่กำหนด
• ข้อ จ. (ราคา 10 บาท กินยาครั้งละ 1 เม็ด วันละ 4 ครั้ง 5 วัน 10x4x5 = 200 บาท):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98" s="2" t="n"/>
      <c r="L2398" s="2" t="inlineStr">
        <is>
          <t>General Therapeutics</t>
        </is>
      </c>
      <c r="M2398" s="2" t="inlineStr">
        <is>
          <t>Clinic</t>
        </is>
      </c>
      <c r="N2398" s="2" t="inlineStr">
        <is>
          <t>ข้อ 1 (PLE_CC1_Key_Rx20_UBU.md)</t>
        </is>
      </c>
      <c r="O2398" s="2" t="inlineStr">
        <is>
          <t>Mock</t>
        </is>
      </c>
      <c r="P2398" s="2" t="inlineStr">
        <is>
          <t>Mock Rx20 UBU</t>
        </is>
      </c>
    </row>
    <row r="2399" ht="13.2" customHeight="1" s="37">
      <c r="A2399" s="8" t="inlineStr">
        <is>
          <t>2420</t>
        </is>
      </c>
      <c r="B2399" s="2" t="inlineStr">
        <is>
          <t>การศึกษาระบาดวิทยา พบว่า วันที่ 1 ก.ค.59 มีประชากรทั้งหมด 5,000 คน เป็นเกลื้อน 100 คน ต่อมา ระหว่างวันที่ 2 ก.ค 59 ถึง 1 ก.ค.60 มีคนเป็นเกลื้อนใหม่ 20 คน (สมมุติว่าเป็นกลุ่มประชากรปิด ไม่ป่วย ไม่ตาย ไม่เกิด ไม่ย้ายออก) ข้อใดแสดงการคำนวณความชุกที่ถูกต้อง</t>
        </is>
      </c>
      <c r="C2399" s="2" t="n"/>
      <c r="D2399" s="2" t="inlineStr">
        <is>
          <t>20/5,000</t>
        </is>
      </c>
      <c r="E2399" s="2" t="inlineStr">
        <is>
          <t>80/5,000</t>
        </is>
      </c>
      <c r="F2399" s="2" t="inlineStr">
        <is>
          <t>100/5,000</t>
        </is>
      </c>
      <c r="G2399" s="2" t="inlineStr">
        <is>
          <t>120/5,000</t>
        </is>
      </c>
      <c r="H2399" s="2" t="inlineStr">
        <is>
          <t>365/5,000</t>
        </is>
      </c>
      <c r="I2399" s="8" t="inlineStr">
        <is>
          <t>4</t>
        </is>
      </c>
      <c r="J2399" s="2" t="inlineStr">
        <is>
          <t>✅ คำตอบที่ถูกต้อง: ข้อ ง. 120/5,000
💡 Background:
การประเมินหลักฐานเชิงประจักษ์ (Evidence-Based Practice) อาศัย study design, statistical parameters (p-value, 95% CI, RR/OR) เพื่อการตัดสินใจอย่างแม่นยำ
🎯 ทำไมข้อนี้ถึงถูก:
120/5,000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120/5,000 เป็นคำตอบที่ถูกต้องและสอดคล้องกับ evidence-based guidelines ของภาวะ Biostats &amp; Research โดยมี clinical efficacy สูงสุดในการรักษาและมี safety profile ที่เหมาะสม
🔍 ข้ออื่นผิดเพราะอะไร:
• ข้อ ก. (20/5,000): ข้อนี้ไม่ใช่คำตอบที่ถูกต้องสำหรับภาวะ Biostats &amp; Research เนื่องจากกลไกการออกฤทธิ์, efficacy หรือข้อบ่งใช้ไม่ตรงกับโจทย์ที่กำหนด
• ข้อ ข. (80/5,000): ข้อนี้ไม่ใช่คำตอบที่ถูกต้องสำหรับภาวะ Biostats &amp; Research เนื่องจากกลไกการออกฤทธิ์, efficacy หรือข้อบ่งใช้ไม่ตรงกับโจทย์ที่กำหนด
• ข้อ ค. (100/5,000): ข้อนี้ไม่ใช่คำตอบที่ถูกต้องสำหรับภาวะ Biostats &amp; Research เนื่องจากกลไกการออกฤทธิ์, efficacy หรือข้อบ่งใช้ไม่ตรงกับโจทย์ที่กำหนด
• ข้อ จ. (365/5,000): ข้อนี้ไม่ใช่คำตอบที่ถูกต้องสำหรับภาวะ Biostats &amp; Research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9" s="2" t="n"/>
      <c r="L2399" s="2" t="inlineStr">
        <is>
          <t>Biostats &amp; Research</t>
        </is>
      </c>
      <c r="M2399" s="2" t="inlineStr">
        <is>
          <t>SAP</t>
        </is>
      </c>
      <c r="N2399" s="2" t="inlineStr">
        <is>
          <t>ข้อ 17 (PLE_CC1_Key_Rx20_UBU.md)</t>
        </is>
      </c>
      <c r="O2399" s="2" t="inlineStr">
        <is>
          <t>Mock</t>
        </is>
      </c>
      <c r="P2399" s="2" t="inlineStr">
        <is>
          <t>Mock Rx20 UBU</t>
        </is>
      </c>
    </row>
    <row r="2400" ht="13.2" customHeight="1" s="37">
      <c r="A2400" s="8" t="inlineStr">
        <is>
          <t>2421</t>
        </is>
      </c>
      <c r="B2400" s="2" t="inlineStr">
        <is>
          <t>ยาใดใช้รักษาอาการนี้</t>
        </is>
      </c>
      <c r="C2400" s="2" t="n"/>
      <c r="D2400" s="2" t="inlineStr">
        <is>
          <t>Moxifloxacin 400 mg 1x1 7 days</t>
        </is>
      </c>
      <c r="E2400" s="2" t="inlineStr">
        <is>
          <t>Eryhthromycin 300 mg 1x2 7 days</t>
        </is>
      </c>
      <c r="F2400" s="2" t="inlineStr">
        <is>
          <t>Cefixime 400 mg OD single dose</t>
        </is>
      </c>
      <c r="G2400" s="2" t="inlineStr">
        <is>
          <t>Metronidazole 2 g hs single dose</t>
        </is>
      </c>
      <c r="H2400" s="2" t="inlineStr">
        <is>
          <t>Norfloxacin 400 mg 1x2 7 days</t>
        </is>
      </c>
      <c r="I2400" s="8" t="inlineStr">
        <is>
          <t>3</t>
        </is>
      </c>
      <c r="J2400" s="2" t="inlineStr">
        <is>
          <t>✅ คำตอบที่ถูกต้อง: ข้อ ค. Cefixime 400 mg OD single dose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Cefixime 400 mg OD single dose การเลือก Cefixime 400 mg OD single dose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(Moxifloxacin 400 mg 1x1 7 days): ข้อนี้ไม่ใช่คำตอบที่ถูกต้องสำหรับภาวะ General Therapeutics เนื่องจากกลไกการออกฤทธิ์, efficacy หรือข้อบ่งใช้ไม่ตรงกับโจทย์ที่กำหนด
• ข้อ ข. (Eryhthromycin 300 mg 1x2 7 days): ข้อนี้ไม่ใช่คำตอบที่ถูกต้องสำหรับภาวะ General Therapeutics เนื่องจากกลไกการออกฤทธิ์, efficacy หรือข้อบ่งใช้ไม่ตรงกับโจทย์ที่กำหนด
• ข้อ ง. (Metronidazole 2 g hs single dose): เป็น antianaerobic และ antiprotozoal agent ยับยั้ง Trichomonas vaginalis, Giardia, Amebiasis, และ anaerobes ห้ามดื่มแอลกอฮอล์ระหว่างใช้ยา (disulfiram-like reaction)
• ข้อ จ. (Norfloxacin 400 mg 1x2 7 days):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0" s="2" t="n"/>
      <c r="L2400" s="2" t="inlineStr">
        <is>
          <t>General Therapeutics</t>
        </is>
      </c>
      <c r="M2400" s="2" t="inlineStr">
        <is>
          <t>Clinic</t>
        </is>
      </c>
      <c r="N2400" s="2" t="inlineStr">
        <is>
          <t>ข้อ 20 (PLE_CC1_Key_Rx20_UBU.md)</t>
        </is>
      </c>
      <c r="O2400" s="2" t="inlineStr">
        <is>
          <t>Mock</t>
        </is>
      </c>
      <c r="P2400" s="2" t="inlineStr">
        <is>
          <t>Mock Rx20 UBU</t>
        </is>
      </c>
    </row>
    <row r="2401" ht="13.2" customHeight="1" s="37">
      <c r="A2401" s="8" t="inlineStr">
        <is>
          <t>2422</t>
        </is>
      </c>
      <c r="B2401" s="2" t="inlineStr">
        <is>
          <t>ควรใช้ยาใดร่วมในการรักษา</t>
        </is>
      </c>
      <c r="C2401" s="2" t="n"/>
      <c r="D2401" s="2" t="inlineStr">
        <is>
          <t>Sulfamethoxazole/trimethoprim</t>
        </is>
      </c>
      <c r="E2401" s="2" t="inlineStr">
        <is>
          <t>Vancomycin</t>
        </is>
      </c>
      <c r="F2401" s="2" t="inlineStr">
        <is>
          <t>Ethinyl estradiol/Gestodene</t>
        </is>
      </c>
      <c r="G2401" s="2" t="inlineStr">
        <is>
          <t>Azithromycin</t>
        </is>
      </c>
      <c r="H2401" s="2" t="inlineStr">
        <is>
          <t>Atovaquone</t>
        </is>
      </c>
      <c r="I2401" s="8" t="inlineStr">
        <is>
          <t>4</t>
        </is>
      </c>
      <c r="J2401" s="2" t="inlineStr">
        <is>
          <t>✅ คำตอบที่ถูกต้อง: ข้อ ง. Azithromycin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Azithromycin การเลือก Azithromycin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ก. (Sulfamethoxazole/trimethoprim): ข้อนี้ไม่ใช่คำตอบที่ถูกต้องสำหรับภาวะ General Therapeutics เนื่องจากกลไกการออกฤทธิ์, efficacy หรือข้อบ่งใช้ไม่ตรงกับโจทย์ที่กำหนด
• ข้อ ข. (Vancomycin): เป็น Glycopeptide antibiotic ยับยั้ง MRSA และ Enterococcus ต้อง monitoring trough level (target 15-20 mcg/mL ใน severe infections) เพื่อป้องกัน nephrotoxicity และ ototoxity
• ข้อ ค. (Ethinyl estradiol/Gestodene): ข้อนี้ไม่ใช่คำตอบที่ถูกต้องสำหรับภาวะ General Therapeutics เนื่องจากกลไกการออกฤทธิ์, efficacy หรือข้อบ่งใช้ไม่ตรงกับโจทย์ที่กำหนด
• ข้อ จ. (Atovaquone):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1" s="2" t="n"/>
      <c r="L2401" s="2" t="inlineStr">
        <is>
          <t>General Therapeutics</t>
        </is>
      </c>
      <c r="M2401" s="2" t="inlineStr">
        <is>
          <t>Clinic</t>
        </is>
      </c>
      <c r="N2401" s="2" t="inlineStr">
        <is>
          <t>ข้อ 21 (PLE_CC1_Key_Rx20_UBU.md)</t>
        </is>
      </c>
      <c r="O2401" s="2" t="inlineStr">
        <is>
          <t>Mock</t>
        </is>
      </c>
      <c r="P2401" s="2" t="inlineStr">
        <is>
          <t>Mock Rx20 UBU</t>
        </is>
      </c>
    </row>
    <row r="2402" ht="13.2" customHeight="1" s="37">
      <c r="A2402" s="8" t="inlineStr">
        <is>
          <t>2423</t>
        </is>
      </c>
      <c r="B2402" s="2" t="inlineStr">
        <is>
          <t>Metoprolol succinate CR/XL 25 mg 1 tab od pc</t>
        </is>
      </c>
      <c r="C2402" s="2" t="n"/>
      <c r="D2402" s="2" t="inlineStr">
        <is>
          <t>Aspirin 81 mg OD</t>
        </is>
      </c>
      <c r="E2402" s="2" t="inlineStr">
        <is>
          <t>Sacubitril/Valsartan 49/51 mg BID</t>
        </is>
      </c>
      <c r="F2402" s="2" t="inlineStr">
        <is>
          <t>Empagliflozin 10 mg OD</t>
        </is>
      </c>
      <c r="G2402" s="2" t="inlineStr">
        <is>
          <t>Diltiazem 30 mg TID</t>
        </is>
      </c>
      <c r="H2402" s="2" t="inlineStr">
        <is>
          <t>Warfarin 3 mg OD (target INR 2.0-3.0)</t>
        </is>
      </c>
      <c r="I2402" s="8" t="inlineStr">
        <is>
          <t>1</t>
        </is>
      </c>
      <c r="J2402" s="2" t="inlineStr">
        <is>
          <t>✅ คำตอบที่ถูกต้อง: ข้อ ก. Aspirin 81 mg OD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Aspirin 81 mg OD การเลือก Aspirin 81 mg OD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(Sacubitril/Valsartan 49/51 mg BID): เป็น ARB ที่มี clinical evidence ชัดเจนใน Heart Failure (ร่วมกับ sacubitril เป็น ARNI) และ post-MI
• ข้อ ค.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ง. (Diltiazem 30 mg TID): เป็น non-DHP CCB ลดอัตราการเต้นของหัวใจและ myocardial contractility มี contraindication ในผู้ป่วย HFrEF (LVEF &lt; 40%) และ 2nd/3rd degree AV block
• ข้อ จ. (Warfarin 3 mg OD (target INR 2.0-3.0)): เป็น Vitamin K antagonist ต้องติดตาม monitoring ค่า INR (target 2.0-3.0 ใน DVT/PE/AF, 2.5-3.5 ใน mechanical mitral valve) มี drug-food interactions มากมาย และ reversal agent คือ Vitamin K1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2" s="2" t="n"/>
      <c r="L2402" s="2" t="inlineStr">
        <is>
          <t>Cardiovascular Diseases</t>
        </is>
      </c>
      <c r="M2402" s="2" t="inlineStr">
        <is>
          <t>Clinic</t>
        </is>
      </c>
      <c r="N2402" s="2" t="inlineStr">
        <is>
          <t>ข้อ 2 (PLE_CC1_Key_Rx20_UBU.md)</t>
        </is>
      </c>
      <c r="O2402" s="2" t="inlineStr">
        <is>
          <t>Mock</t>
        </is>
      </c>
      <c r="P2402" s="2" t="inlineStr">
        <is>
          <t>Mock Rx20 UBU</t>
        </is>
      </c>
    </row>
    <row r="2403" ht="13.2" customHeight="1" s="37">
      <c r="A2403" s="8" t="inlineStr">
        <is>
          <t>2424</t>
        </is>
      </c>
      <c r="B2403" s="2" t="inlineStr">
        <is>
          <t>การเพิ่มยาในข้อใดสามารถช่วยลดอัตราการตายได้</t>
        </is>
      </c>
      <c r="C2403" s="2" t="n"/>
      <c r="D2403" s="2" t="inlineStr">
        <is>
          <t>Amlodipine</t>
        </is>
      </c>
      <c r="E2403" s="2" t="inlineStr">
        <is>
          <t>Diltiazem</t>
        </is>
      </c>
      <c r="F2403" s="2" t="inlineStr">
        <is>
          <t>Spironolactone</t>
        </is>
      </c>
      <c r="G2403" s="2" t="inlineStr">
        <is>
          <t>Digoxin</t>
        </is>
      </c>
      <c r="H2403" s="2" t="inlineStr">
        <is>
          <t>Furosemide จากข้อมูล</t>
        </is>
      </c>
      <c r="I2403" s="8" t="inlineStr">
        <is>
          <t>3</t>
        </is>
      </c>
      <c r="J2403" s="2" t="inlineStr">
        <is>
          <t>✅ คำตอบที่ถูกต้อง: ข้อ ค. Spironolactone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Spironolactone การเลือก Spironolactone เป็นคำตอบที่ถูกต้องตามแนวทางการรักษามาตรฐาน เนื่องจาก เป็น Mineralocorticoid receptor antagonist (MRA) ใช้เป็น 4th-line ใน resistant HTN หรือ GDMT ใน HFrEF ต้อง monitor potassium และเสี่ยงต่อ gynecomastia
🔍 ข้ออื่นผิดเพราะอะไร:
• ข้อ ก.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ข. (Diltiazem): เป็น non-DHP CCB ลดอัตราการเต้นของหัวใจและ myocardial contractility มี contraindication ในผู้ป่วย HFrEF (LVEF &lt; 40%) และ 2nd/3rd degree AV block
• ข้อ ง. (Digoxin): เป็น cardiac glycoside ยับยั้ง Na+/K+ ATPase เพิ่ม inotrope แต่มี narrow therapeutic index (target 0.5-0.9 ng/mL ใน HF) และเสี่ยงต่อ fatal arrhythmia เมื่อมี hypokalemia
• ข้อ จ. (Furosemide จากข้อมูล): เป็น Loop diuretic ยับยั้ง Na+/K+/2Cl- cotransporter ที่ Thick ascending limb ใช้จัดการ volume overload ใน HF หรือ CKD แต่ไม่เหมาะเป็น first-line ลดความดันโลหิตเดี่ยวๆ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2403" s="2" t="n"/>
      <c r="L2403" s="2" t="inlineStr">
        <is>
          <t>General Therapeutics</t>
        </is>
      </c>
      <c r="M2403" s="2" t="inlineStr">
        <is>
          <t>Clinic</t>
        </is>
      </c>
      <c r="N2403" s="2" t="inlineStr">
        <is>
          <t>ข้อ 38 (PLE_CC1_Key_Rx20_UBU.md)</t>
        </is>
      </c>
      <c r="O2403" s="2" t="inlineStr">
        <is>
          <t>Mock</t>
        </is>
      </c>
      <c r="P2403" s="2" t="inlineStr">
        <is>
          <t>Mock Rx20 UBU</t>
        </is>
      </c>
    </row>
    <row r="2404" ht="13.2" customHeight="1" s="37">
      <c r="A2404" s="8" t="inlineStr">
        <is>
          <t>2425</t>
        </is>
      </c>
      <c r="B2404" s="2" t="inlineStr">
        <is>
          <t>แบบทดสอบความรู้ทางเภสัชกรรม ข้อที่ 2425</t>
        </is>
      </c>
      <c r="C2404" s="2" t="n"/>
      <c r="D2404" s="2" t="inlineStr">
        <is>
          <t>Naloxone 0.4 mg IV stat</t>
        </is>
      </c>
      <c r="E2404" s="2" t="inlineStr">
        <is>
          <t>Flumazenil 0.2 mg IV stat</t>
        </is>
      </c>
      <c r="F2404" s="2" t="inlineStr">
        <is>
          <t>Vitamin K1 (Phytomenadione) 10 mg IV slow</t>
        </is>
      </c>
      <c r="G2404" s="2" t="inlineStr">
        <is>
          <t>Sodium thiosulfate 25% 50 mL IV</t>
        </is>
      </c>
      <c r="H2404" s="2" t="inlineStr">
        <is>
          <t>Calcium disodium EDTA 1 g IV</t>
        </is>
      </c>
      <c r="I2404" s="8" t="inlineStr">
        <is>
          <t>1</t>
        </is>
      </c>
      <c r="J240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04" s="2" t="n"/>
      <c r="L2404" s="2" t="inlineStr">
        <is>
          <t>General Therapeutics</t>
        </is>
      </c>
      <c r="M2404" s="2" t="inlineStr">
        <is>
          <t>Clinic</t>
        </is>
      </c>
      <c r="N2404" s="2" t="inlineStr">
        <is>
          <t>ข้อ 2 (PLE_CC1_Key_Rx20_UBU.md)</t>
        </is>
      </c>
      <c r="O2404" s="2" t="inlineStr">
        <is>
          <t>Mock</t>
        </is>
      </c>
      <c r="P2404" s="2" t="inlineStr">
        <is>
          <t>Mock Rx20 UBU</t>
        </is>
      </c>
    </row>
    <row r="2405" ht="13.2" customHeight="1" s="37">
      <c r="A2405" s="8" t="inlineStr">
        <is>
          <t>2426</t>
        </is>
      </c>
      <c r="B2405" s="2" t="inlineStr">
        <is>
          <t>ข้อใดถูกต้องเกี่ยวกับการใช้ Beta-blocker</t>
        </is>
      </c>
      <c r="C2405" s="2" t="n"/>
      <c r="D2405" s="2" t="inlineStr">
        <is>
          <t>ยาที่แนะนำให้ใช้ ได้แก่ Atenolol</t>
        </is>
      </c>
      <c r="E2405" s="2" t="inlineStr">
        <is>
          <t>ควรให้ตอนที่ผู้ป่วยอาการคงที่แล้ว</t>
        </is>
      </c>
      <c r="F2405" s="2" t="inlineStr">
        <is>
          <t>ให้ตอนผู้ป่วย Acute decompensated heart failure</t>
        </is>
      </c>
      <c r="G2405" s="2" t="inlineStr">
        <is>
          <t>ใช้เมื่อไม่สามารถใช้ Diureticได้</t>
        </is>
      </c>
      <c r="H2405" s="2" t="inlineStr">
        <is>
          <t>ใช้เมื่อไม่สามารถใช้ ACEI/ARB ได้</t>
        </is>
      </c>
      <c r="I2405" s="8" t="inlineStr">
        <is>
          <t>2</t>
        </is>
      </c>
      <c r="J2405" s="2" t="inlineStr">
        <is>
          <t>✅ คำตอบที่ถูกต้อง: ข้อ ข. ควรให้ตอนที่ผู้ป่วยอาการคงที่แล้ว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ควรให้ตอนที่ผู้ป่วยอาการคงที่แล้ว การเลือก ควรให้ตอนที่ผู้ป่วยอาการคงที่แล้ว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(ยาที่แนะนำให้ใช้ ได้แก่ Atenolol): เป็น hydrophilic cardioselective beta-1 blocker ขับออกทางไตเป็นหลัก แต่ evidence ในการลด stroke และ cardiovascular events ด้อยกว่า antihypertensive อื่นๆ
• ข้อ ค. (ให้ตอนผู้ป่วย Acute decompensated heart failure): ข้อนี้ไม่ใช่คำตอบที่ถูกต้องสำหรับภาวะ General Therapeutics เนื่องจากกลไกการออกฤทธิ์, efficacy หรือข้อบ่งใช้ไม่ตรงกับโจทย์ที่กำหนด
• ข้อ ง. (ใช้เมื่อไม่สามารถใช้ Diureticได้): ข้อนี้ไม่ใช่คำตอบที่ถูกต้องสำหรับภาวะ General Therapeutics เนื่องจากกลไกการออกฤทธิ์, efficacy หรือข้อบ่งใช้ไม่ตรงกับโจทย์ที่กำหนด
• ข้อ จ. (ใช้เมื่อไม่สามารถใช้ ACEI/ARB ได้):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5" s="2" t="n"/>
      <c r="L2405" s="2" t="inlineStr">
        <is>
          <t>General Therapeutics</t>
        </is>
      </c>
      <c r="M2405" s="2" t="inlineStr">
        <is>
          <t>Clinic</t>
        </is>
      </c>
      <c r="N2405" s="2" t="inlineStr">
        <is>
          <t>ข้อ 39 (PLE_CC1_Key_Rx20_UBU.md)</t>
        </is>
      </c>
      <c r="O2405" s="2" t="inlineStr">
        <is>
          <t>Mock</t>
        </is>
      </c>
      <c r="P2405" s="2" t="inlineStr">
        <is>
          <t>Mock Rx20 UBU</t>
        </is>
      </c>
    </row>
    <row r="2406" ht="13.2" customHeight="1" s="37">
      <c r="A2406" s="8" t="inlineStr">
        <is>
          <t>2427</t>
        </is>
      </c>
      <c r="B2406" s="2" t="inlineStr">
        <is>
          <t>ข้อใดคือสารที่ใช้ในการทำ Matrix-sustained release ของยา Metoprolol succinate</t>
        </is>
      </c>
      <c r="C2406" s="2" t="n"/>
      <c r="D2406" s="2" t="inlineStr">
        <is>
          <t>Hypromellose</t>
        </is>
      </c>
      <c r="E2406" s="2" t="inlineStr">
        <is>
          <t>PVP K90</t>
        </is>
      </c>
      <c r="F2406" s="2" t="inlineStr">
        <is>
          <t>PEG 6000</t>
        </is>
      </c>
      <c r="G2406" s="2" t="inlineStr">
        <is>
          <t>Polysorbate</t>
        </is>
      </c>
      <c r="H2406" s="2" t="inlineStr">
        <is>
          <t>Sugar sphere เรื่องที่ 6. Peptic ulcer ผู้ป่วย อายุ 25 ปี เครียด คลื่นไส้ อาเจียน ปวดแสบท้อง เจ็บลิ้นปี่ กินข้าวแล้วปวดมากขึ้น หลังกินยาลดกรดชนิดน้ำแล้วอากกรไม่ดีขึ้น</t>
        </is>
      </c>
      <c r="I2406" s="8" t="inlineStr">
        <is>
          <t>1</t>
        </is>
      </c>
      <c r="J2406" s="2" t="inlineStr">
        <is>
          <t>✅ คำตอบที่ถูกต้อง: ข้อ ก. Hypromellose
💡 Background:
การบริบาลผู้ป่วยในกลุ่มโรค Cardiovascular Diseases มุ่งเน้นการควบคุมโรคและลดความเสี่ยงต่อภาวะแทรกซ้อนด้วย evidence-based pharmacotherapy
🎯 ทำไมข้อนี้ถึงถูก:
Hypromellose การเลือก Hypromellose เป็นคำตอบที่ถูกต้องและสอดคล้องกับ evidence-based guidelines ของภาวะ Cardiovascular Diseases โดยมี clinical efficacy สูงสุดในการรักษาและมี safety profile ที่เหมาะสม
🔍 ข้ออื่นผิดเพราะอะไร:
• ข้อ ข. (PVP K90): ข้อนี้ไม่ใช่คำตอบที่ถูกต้องสำหรับภาวะ Cardiovascular Diseases เนื่องจากกลไกการออกฤทธิ์, efficacy หรือข้อบ่งใช้ไม่ตรงกับโจทย์ที่กำหนด
• ข้อ ค. (PEG 6000): ข้อนี้ไม่ใช่คำตอบที่ถูกต้องสำหรับภาวะ Cardiovascular Diseases เนื่องจากกลไกการออกฤทธิ์, efficacy หรือข้อบ่งใช้ไม่ตรงกับโจทย์ที่กำหนด
• ข้อ ง. (Polysorbate): ข้อนี้ไม่ใช่คำตอบที่ถูกต้องสำหรับภาวะ Cardiovascular Diseases เนื่องจากกลไกการออกฤทธิ์, efficacy หรือข้อบ่งใช้ไม่ตรงกับโจทย์ที่กำหนด
• ข้อ จ. (Sugar sphere เรื่องที่ 6. Peptic ulcer ผู้ป่วย อายุ 25 ปี เครียด คลื่นไส้ อาเจียน ปวดแสบท้อง เจ็บลิ้นปี่ กินข้าวแล้วปวดมากขึ้น หลังกินยาลดกรดชนิดน้ำแล้วอากกรไม่ดีขึ้น): ข้อนี้ไม่ใช่คำตอบที่ถูกต้องสำหรับภาวะ Cardiovascular Diseases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6" s="2" t="n"/>
      <c r="L2406" s="2" t="inlineStr">
        <is>
          <t>Cardiovascular Diseases</t>
        </is>
      </c>
      <c r="M2406" s="2" t="inlineStr">
        <is>
          <t>Clinic</t>
        </is>
      </c>
      <c r="N2406" s="2" t="inlineStr">
        <is>
          <t>ข้อ 46 (PLE_CC1_Key_Rx20_UBU.md)</t>
        </is>
      </c>
      <c r="O2406" s="2" t="inlineStr">
        <is>
          <t>Mock</t>
        </is>
      </c>
      <c r="P2406" s="2" t="inlineStr">
        <is>
          <t>Mock Rx20 UBU</t>
        </is>
      </c>
    </row>
    <row r="2407" ht="13.2" customHeight="1" s="37">
      <c r="A2407" s="8" t="inlineStr">
        <is>
          <t>2428</t>
        </is>
      </c>
      <c r="B2407" s="2" t="inlineStr">
        <is>
          <t>แบบทดสอบความรู้ทางเภสัชกรรม ข้อที่ 2428</t>
        </is>
      </c>
      <c r="C2407" s="2" t="n"/>
      <c r="D2407" s="2" t="inlineStr">
        <is>
          <t>N-acetylcysteine (NAC) IV infusion protocol</t>
        </is>
      </c>
      <c r="E2407" s="2" t="inlineStr">
        <is>
          <t>Atropine sulfate 2 mg IV Q5-10 min</t>
        </is>
      </c>
      <c r="F2407" s="2" t="inlineStr">
        <is>
          <t>Pralidoxime (2-PAM) 1-2 g IV over 30 min</t>
        </is>
      </c>
      <c r="G2407" s="2" t="inlineStr">
        <is>
          <t>Naloxone 0.4 mg IV stat</t>
        </is>
      </c>
      <c r="H2407" s="2" t="inlineStr">
        <is>
          <t>Flumazenil 0.2 mg IV stat</t>
        </is>
      </c>
      <c r="I2407" s="8" t="inlineStr">
        <is>
          <t>1</t>
        </is>
      </c>
      <c r="J240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07" s="2" t="n"/>
      <c r="L2407" s="2" t="inlineStr">
        <is>
          <t>General Therapeutics</t>
        </is>
      </c>
      <c r="M2407" s="2" t="inlineStr">
        <is>
          <t>Clinic</t>
        </is>
      </c>
      <c r="N2407" s="2" t="inlineStr">
        <is>
          <t>ข้อ 1 (PLE_CC1_Key_Rx20_UBU.md)</t>
        </is>
      </c>
      <c r="O2407" s="2" t="inlineStr">
        <is>
          <t>Mock</t>
        </is>
      </c>
      <c r="P2407" s="2" t="inlineStr">
        <is>
          <t>Mock Rx20 UBU</t>
        </is>
      </c>
    </row>
    <row r="2408" ht="13.2" customHeight="1" s="37">
      <c r="A2408" s="8" t="inlineStr">
        <is>
          <t>2429</t>
        </is>
      </c>
      <c r="B2408" s="2" t="inlineStr">
        <is>
          <t>Regimen ใด เหมาะสมที่วุด</t>
        </is>
      </c>
      <c r="C2408" s="2" t="n"/>
      <c r="D2408" s="2" t="inlineStr">
        <is>
          <t>Omeprazole 20 mg 1x1 pc ร่วมกับ Domperidone 10 mg 1x3 pc</t>
        </is>
      </c>
      <c r="E2408" s="2" t="inlineStr">
        <is>
          <t>Omeprazole 20 mg 1x1 pc ร่วมกับ Domperidone 10 mg 1x3 ac</t>
        </is>
      </c>
      <c r="F2408" s="2" t="inlineStr">
        <is>
          <t>Omeprazole 20 mg 1x1 ac ร่วมกับ Domperidone 10 mg 1x3 pc</t>
        </is>
      </c>
      <c r="G2408" s="2" t="inlineStr">
        <is>
          <t>Omeprazole 20 mg 1x1 ac ร่วมกับ Domperidone 10 mg 1x3 พร้อมอาหาร</t>
        </is>
      </c>
      <c r="H2408" s="2" t="inlineStr">
        <is>
          <t>Omeprazole 20 mg 1x1 ac ร่วมกับ Domperidone 10 mg 1x3 ac เนืองจากยาทั้งสองต้องกินก่อนอาหาร</t>
        </is>
      </c>
      <c r="I2408" s="8" t="inlineStr">
        <is>
          <t>5</t>
        </is>
      </c>
      <c r="J2408" s="2" t="inlineStr">
        <is>
          <t>✅ คำตอบที่ถูกต้อง: ข้อ จ. Omeprazole 20 mg 1x1 ac ร่วมกับ Domperidone 10 mg 1x3 ac เนืองจากยาทั้งสองต้องกินก่อนอาหาร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Omeprazole 20 mg 1x1 ac ร่วมกับ Domperidone 10 mg 1x3 ac เนืองจากยาทั้งสองต้องกินก่อนอาหาร การเลือก Omeprazole 20 mg 1x1 ac ร่วมกับ Domperidone 10 mg 1x3 ac เนืองจากยาทั้งสองต้องกินก่อนอาหาร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ก. (Omeprazole 20 mg 1x1 pc ร่วมกับ Domperidone 10 mg 1x3 pc):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(Omeprazole 20 mg 1x1 pc ร่วมกับ Domperidone 10 mg 1x3 ac):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(Omeprazole 20 mg 1x1 ac ร่วมกับ Domperidone 10 mg 1x3 pc):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(Omeprazole 20 mg 1x1 ac ร่วมกับ Domperidone 10 mg 1x3 พร้อมอาหาร):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08" s="2" t="n"/>
      <c r="L2408" s="2" t="inlineStr">
        <is>
          <t>General Therapeutics</t>
        </is>
      </c>
      <c r="M2408" s="2" t="inlineStr">
        <is>
          <t>Clinic</t>
        </is>
      </c>
      <c r="N2408" s="2" t="inlineStr">
        <is>
          <t>ข้อ 47 (PLE_CC1_Key_Rx20_UBU.md)</t>
        </is>
      </c>
      <c r="O2408" s="2" t="inlineStr">
        <is>
          <t>Mock</t>
        </is>
      </c>
      <c r="P2408" s="2" t="inlineStr">
        <is>
          <t>Mock Rx20 UBU</t>
        </is>
      </c>
    </row>
    <row r="2409" ht="13.2" customHeight="1" s="37">
      <c r="A2409" s="8" t="inlineStr">
        <is>
          <t>2430</t>
        </is>
      </c>
      <c r="B2409" s="2" t="inlineStr">
        <is>
          <t>ยาใดไม่ถูกต้องในการรักษา H.pylori infection</t>
        </is>
      </c>
      <c r="C2409" s="2" t="n"/>
      <c r="D2409" s="2" t="inlineStr">
        <is>
          <t>Omeprazole + Clarithromycin + Bismuth subsalicylate</t>
        </is>
      </c>
      <c r="E2409" s="2" t="inlineStr">
        <is>
          <t>Omeprazole + Clarithromycin + Amoxicillin</t>
        </is>
      </c>
      <c r="F2409" s="2" t="inlineStr">
        <is>
          <t>Omeprazole + Clarithromycin + Metronidazole</t>
        </is>
      </c>
      <c r="G2409" s="2" t="inlineStr">
        <is>
          <t>Omeprazole + Clarithromycin + Levofloxacin</t>
        </is>
      </c>
      <c r="H2409" s="2" t="inlineStr">
        <is>
          <t>Omeprazole + Clarithromycin + Tetracycline + Bismuth subsalicylate</t>
        </is>
      </c>
      <c r="I2409" s="8" t="inlineStr">
        <is>
          <t>1</t>
        </is>
      </c>
      <c r="J2409" s="2" t="inlineStr">
        <is>
          <t>✅ คำตอบที่ถูกต้อง: ข้อ ก. Omeprazole + Clarithromycin + Bismuth subsalicylate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 Clarithromycin + Bismuth subsalicylate การเลือก Omeprazole + Clarithromycin + Bismuth subsalicylate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(Omeprazole + Clarithromycin + Amoxicillin): เป็น Aminopenicillin ยับยั้ง bacterial cell wall synthesis เป็น first-line สำหรับ uncomplicated bacterial infections (เช่น Strep pharyngitis, AOM, sinusitis)
• ข้อ ค. (Omeprazole + Clarithromycin + Metronidazole): เป็น Macrolide เป็นแกนหลักในสูตรกำจัด H. pylori และ MAC treatment แต่ยับยั้ง CYP3A4 สูงมาก จึงมี drug-drug interactions รุนแรงกับ statins, colchicine
• ข้อ ง. (Omeprazole + Clarithromycin + Levofloxacin): เป็น Respiratory Fluoroquinolone ครอบคลุมทั้ง Streptococcus pneumoniae, atypicals และ Pseudomonas aeruginosa ใช้รักษา CAP, complicated UTI
• ข้อ จ. (Omeprazole + Clarithromycin + Tetracycline + Bismuth subsalicylate):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09" s="2" t="n"/>
      <c r="L2409" s="2" t="inlineStr">
        <is>
          <t>General Therapeutics</t>
        </is>
      </c>
      <c r="M2409" s="2" t="inlineStr">
        <is>
          <t>Clinic</t>
        </is>
      </c>
      <c r="N2409" s="2" t="inlineStr">
        <is>
          <t>ข้อ 53 (PLE_CC1_Key_Rx20_UBU.md)</t>
        </is>
      </c>
      <c r="O2409" s="2" t="inlineStr">
        <is>
          <t>Mock</t>
        </is>
      </c>
      <c r="P2409" s="2" t="inlineStr">
        <is>
          <t>Mock Rx20 UBU</t>
        </is>
      </c>
    </row>
    <row r="2410" ht="13.2" customHeight="1" s="37">
      <c r="A2410" s="8" t="inlineStr">
        <is>
          <t>2431</t>
        </is>
      </c>
      <c r="B2410" s="2" t="inlineStr">
        <is>
          <t>แพทย์ต้องการศึกษาเพื่อเปรียบเทียบอาการข้างเคียงจากการใช้ยาลดกรดระยะยาว โดยสุ่มเวชระเบียนผู้ป่วยที่ใช้ยาลดกรด มากกว่า 3 เดือน จากฐานข้อมูลของปี พ.ศ. 2559 จัดเป็นการศึกษาแบบใด</t>
        </is>
      </c>
      <c r="C2410" s="2" t="n"/>
      <c r="D2410" s="2" t="inlineStr">
        <is>
          <t>Research survey descriptive</t>
        </is>
      </c>
      <c r="E2410" s="2" t="inlineStr">
        <is>
          <t>Systemic review</t>
        </is>
      </c>
      <c r="F2410" s="2" t="inlineStr">
        <is>
          <t>Meta-analysis</t>
        </is>
      </c>
      <c r="G2410" s="2" t="inlineStr">
        <is>
          <t>Case-control</t>
        </is>
      </c>
      <c r="H2410" s="2" t="inlineStr">
        <is>
          <t>Randomized control study เรื่องที่ 7. CKD ผู้ป่วยชายไทยอายุ 65 ปี มีโรคประจำตัวเป็น Hypertension, Diabetes mellitus Type 2, Peptic ulcer 3 (HCTZ/Amiloride), Amlodipine, Hydralazine, Omeprazole และ Antacilห gel (Alminium Hydroxide, Magnesium Hydroxide, Simethicone) Lab; Scr: 2.1mg/dL, eGFR (CKD-EPI): 21 ml/min, K: 5.4 mg/dL (4.3-5.3), Hb: 8.6 g/dL, Hct: 26 %, Ferritin: 180, %TSAT: 18% Dx. Hyperkalemia, Anemia due to CKD</t>
        </is>
      </c>
      <c r="I2410" s="8" t="inlineStr">
        <is>
          <t>1</t>
        </is>
      </c>
      <c r="J2410" s="2" t="inlineStr">
        <is>
          <t>✅ คำตอบที่ถูกต้อง: ข้อ ก. Research survey descriptive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Research survey descriptive เดือนก่อน ได้รับการวินิจฉัยว่าเป็นโรคไตวายเรื้อรัง stage 4 ได้รับยา ดังนี้ Aspirin, Glipizide, Moduretic
🔍 ข้ออื่นผิดเพราะอะไร:
• ข้อ ข. (Systemic review): ข้อนี้ไม่ใช่คำตอบที่ถูกต้องสำหรับภาวะ GI Disorders เนื่องจากกลไกการออกฤทธิ์, efficacy หรือข้อบ่งใช้ไม่ตรงกับโจทย์ที่กำหนด
• ข้อ ค. (Meta-analysis): ข้อนี้ไม่ใช่คำตอบที่ถูกต้องสำหรับภาวะ GI Disorders เนื่องจากกลไกการออกฤทธิ์, efficacy หรือข้อบ่งใช้ไม่ตรงกับโจทย์ที่กำหนด
• ข้อ ง. (Case-control): ข้อนี้ไม่ใช่คำตอบที่ถูกต้องสำหรับภาวะ GI Disorders เนื่องจากกลไกการออกฤทธิ์, efficacy หรือข้อบ่งใช้ไม่ตรงกับโจทย์ที่กำหนด
• ข้อ จ. (Randomized control study เรื่องที่ 7. CKD ผู้ป่วยชายไทยอายุ 65 ปี มีโรคประจำตัวเป็น Hypertension, Diabetes mellitus Type 2, Peptic ulcer 3 (HCTZ/Amiloride), Amlodipine, Hydralazine, Omeprazole และ Antacilห gel (Alminium Hydroxide, Magnesium Hydroxide, Simethicone) Lab; Scr: 2.1mg/dL, eGFR (CKD-EPI): 21 ml/min, K: 5.4 mg/dL (4.3-5.3), Hb: 8.6 g/dL, Hct: 26 %, Ferritin: 180, %TSAT: 18% Dx. Hyperkalemia, Anemia due to CKD):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10" s="2" t="n"/>
      <c r="L2410" s="2" t="inlineStr">
        <is>
          <t>GI Disorders</t>
        </is>
      </c>
      <c r="M2410" s="2" t="inlineStr">
        <is>
          <t>Clinic</t>
        </is>
      </c>
      <c r="N2410" s="2" t="inlineStr">
        <is>
          <t>ข้อ 55 (PLE_CC1_Key_Rx20_UBU.md)</t>
        </is>
      </c>
      <c r="O2410" s="2" t="inlineStr">
        <is>
          <t>Mock</t>
        </is>
      </c>
      <c r="P2410" s="2" t="inlineStr">
        <is>
          <t>Mock Rx20 UBU</t>
        </is>
      </c>
    </row>
    <row r="2411" ht="13.2" customHeight="1" s="37">
      <c r="A2411" s="8" t="inlineStr">
        <is>
          <t>2432</t>
        </is>
      </c>
      <c r="B2411" s="2" t="inlineStr">
        <is>
          <t>Sumatriptan มีกลไกการออกฤทธิ์อย่างไร</t>
        </is>
      </c>
      <c r="C2411" s="2" t="n"/>
      <c r="D2411" s="2" t="inlineStr">
        <is>
          <t>5-HT1 agonist</t>
        </is>
      </c>
      <c r="E2411" s="2" t="inlineStr">
        <is>
          <t>5-HT1 antagonist</t>
        </is>
      </c>
      <c r="F2411" s="2" t="inlineStr">
        <is>
          <t>5-HT2 agonist</t>
        </is>
      </c>
      <c r="G2411" s="2" t="inlineStr">
        <is>
          <t>5-HT2 antagonist</t>
        </is>
      </c>
      <c r="H2411" s="2" t="inlineStr">
        <is>
          <t>5-HT3 agonist</t>
        </is>
      </c>
      <c r="I2411" s="8" t="inlineStr">
        <is>
          <t>1</t>
        </is>
      </c>
      <c r="J2411" s="2" t="inlineStr">
        <is>
          <t>✅ คำตอบที่ถูกต้อง: ข้อ ก. 5-HT1 agonist
💡 Background:
การบริบาลผู้ป่วยในกลุ่มโรค Neurologic Disorders มุ่งเน้นการควบคุมโรคและลดความเสี่ยงต่อภาวะแทรกซ้อนด้วย evidence-based pharmacotherapy
🎯 ทำไมข้อนี้ถึงถูก:
5-HT1 agonist การเลือก 5-HT1 agonist เป็นคำตอบที่ถูกต้องและสอดคล้องกับ evidence-based guidelines ของภาวะ Neurologic Disorders โดยมี clinical efficacy สูงสุดในการรักษาและมี safety profile ที่เหมาะสม
🔍 ข้ออื่นผิดเพราะอะไร:
• ข้อ ข. (5-HT1 antagonist): ข้อนี้ไม่ใช่คำตอบที่ถูกต้องสำหรับภาวะ Neurologic Disorders เนื่องจากกลไกการออกฤทธิ์, efficacy หรือข้อบ่งใช้ไม่ตรงกับโจทย์ที่กำหนด
• ข้อ ค. (5-HT2 agonist): ข้อนี้ไม่ใช่คำตอบที่ถูกต้องสำหรับภาวะ Neurologic Disorders เนื่องจากกลไกการออกฤทธิ์, efficacy หรือข้อบ่งใช้ไม่ตรงกับโจทย์ที่กำหนด
• ข้อ ง. (5-HT2 antagonist): ข้อนี้ไม่ใช่คำตอบที่ถูกต้องสำหรับภาวะ Neurologic Disorders เนื่องจากกลไกการออกฤทธิ์, efficacy หรือข้อบ่งใช้ไม่ตรงกับโจทย์ที่กำหนด
• ข้อ จ. (5-HT3 agonist): ข้อนี้ไม่ใช่คำตอบที่ถูกต้องสำหรับภาวะ Neurologic Disorders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11" s="2" t="n"/>
      <c r="L2411" s="2" t="inlineStr">
        <is>
          <t>Neurologic Disorders</t>
        </is>
      </c>
      <c r="M2411" s="2" t="inlineStr">
        <is>
          <t>Clinic</t>
        </is>
      </c>
      <c r="N2411" s="2" t="inlineStr">
        <is>
          <t>ข้อ 70 (PLE_CC1_Key_Rx20_UBU.md)</t>
        </is>
      </c>
      <c r="O2411" s="2" t="inlineStr">
        <is>
          <t>Mock</t>
        </is>
      </c>
      <c r="P2411" s="2" t="inlineStr">
        <is>
          <t>Mock Rx20 UBU</t>
        </is>
      </c>
    </row>
    <row r="2412" ht="13.2" customHeight="1" s="37">
      <c r="A2412" s="8" t="inlineStr">
        <is>
          <t>2433</t>
        </is>
      </c>
      <c r="B2412" s="2" t="inlineStr">
        <is>
          <t>ผู้ป่วยใช้ Cafergotห เป็นประจำ เมื่อเข้าโรงพยาบาลแล้วได้รับยาจนเกิดภาวะ Egotism เนื่องจากไม่มีคนถามว่าผู้ป่วยใช้ยาอะไรอยู่ กรณีนี้ถือว่าโรงพยาบาลขาดกระบวนการใด</t>
        </is>
      </c>
      <c r="C2412" s="2" t="n"/>
      <c r="D2412" s="2" t="inlineStr">
        <is>
          <t>Medication reconciliation system</t>
        </is>
      </c>
      <c r="E2412" s="2" t="inlineStr">
        <is>
          <t>Medication error system</t>
        </is>
      </c>
      <c r="F2412" s="2" t="inlineStr">
        <is>
          <t>Referral system</t>
        </is>
      </c>
      <c r="G2412" s="2" t="inlineStr">
        <is>
          <t>Spontaneous Adverse drug reaction system</t>
        </is>
      </c>
      <c r="H2412" s="2" t="inlineStr">
        <is>
          <t>Medication dispensing system</t>
        </is>
      </c>
      <c r="I2412" s="8" t="inlineStr">
        <is>
          <t>1</t>
        </is>
      </c>
      <c r="J2412" s="2" t="inlineStr">
        <is>
          <t>✅ คำตอบที่ถูกต้อง: ข้อ ก. Medication reconciliation system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Medication reconciliation system การเลือก Medication reconciliation system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(Medication error system): ข้อนี้ไม่ใช่คำตอบที่ถูกต้องสำหรับภาวะ General Therapeutics เนื่องจากกลไกการออกฤทธิ์, efficacy หรือข้อบ่งใช้ไม่ตรงกับโจทย์ที่กำหนด
• ข้อ ค. (Referral system): ข้อนี้ไม่ใช่คำตอบที่ถูกต้องสำหรับภาวะ General Therapeutics เนื่องจากกลไกการออกฤทธิ์, efficacy หรือข้อบ่งใช้ไม่ตรงกับโจทย์ที่กำหนด
• ข้อ ง. (Spontaneous Adverse drug reaction system): ข้อนี้ไม่ใช่คำตอบที่ถูกต้องสำหรับภาวะ General Therapeutics เนื่องจากกลไกการออกฤทธิ์, efficacy หรือข้อบ่งใช้ไม่ตรงกับโจทย์ที่กำหนด
• ข้อ จ. (Medication dispensing system):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12" s="2" t="n"/>
      <c r="L2412" s="2" t="inlineStr">
        <is>
          <t>General Therapeutics</t>
        </is>
      </c>
      <c r="M2412" s="2" t="inlineStr">
        <is>
          <t>Clinic</t>
        </is>
      </c>
      <c r="N2412" s="2" t="inlineStr">
        <is>
          <t>ข้อ 72 (PLE_CC1_Key_Rx20_UBU.md)</t>
        </is>
      </c>
      <c r="O2412" s="2" t="inlineStr">
        <is>
          <t>Mock</t>
        </is>
      </c>
      <c r="P2412" s="2" t="inlineStr">
        <is>
          <t>Mock Rx20 UBU</t>
        </is>
      </c>
    </row>
    <row r="2413" ht="13.2" customHeight="1" s="37">
      <c r="A2413" s="8" t="inlineStr">
        <is>
          <t>2434</t>
        </is>
      </c>
      <c r="B2413" s="2" t="inlineStr">
        <is>
          <t>เภสัชกรควรให้คำแนะนำกับผู้ป่วยอย่างไร ตามคำแนะนาขององค์การอนามัยโลก</t>
        </is>
      </c>
      <c r="C2413" s="2" t="n"/>
      <c r="D2413" s="2" t="inlineStr">
        <is>
          <t>ไม่ต้องทำอะไร เพราะอยู่ในช่วงปลอดภัย</t>
        </is>
      </c>
      <c r="E2413" s="2" t="inlineStr">
        <is>
          <t>ให้รับประทาน COCs ติดต่อกัน 5 วัน</t>
        </is>
      </c>
      <c r="F2413" s="2" t="inlineStr">
        <is>
          <t>รับประทานยาคุมฉุกเฉิน Levonorgestrel 750 mcg ทันที 1 เม็ด</t>
        </is>
      </c>
      <c r="G2413" s="2" t="inlineStr">
        <is>
          <t>รับประทานยาคุมฉุกเฉิน Levonorgestrel 750 mcg ทันที 2 เม็ด</t>
        </is>
      </c>
      <c r="H2413" s="2" t="inlineStr">
        <is>
          <t>เกิน 24 ชั่วโมง ไม่สามารถทำอะไรได้แล้ว</t>
        </is>
      </c>
      <c r="I2413" s="8" t="inlineStr">
        <is>
          <t>4</t>
        </is>
      </c>
      <c r="J2413" s="2" t="inlineStr">
        <is>
          <t>✅ คำตอบที่ถูกต้อง: ข้อ ง. รับประทานยาคุมฉุกเฉิน Levonorgestrel 750 mcg ทันที 2 เม็ด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รับประทานยาคุมฉุกเฉิน Levonorgestrel 750 mcg ทันที 2 เม็ด การเลือก รับประทานยาคุมฉุกเฉิน Levonorgestrel 750 mcg ทันที 2 เม็ด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(ไม่ต้องทำอะไร เพราะอยู่ในช่วงปลอดภัย): ข้อนี้ไม่ใช่คำตอบที่ถูกต้องสำหรับภาวะ General Therapeutics เนื่องจากกลไกการออกฤทธิ์, efficacy หรือข้อบ่งใช้ไม่ตรงกับโจทย์ที่กำหนด
• ข้อ ข. (ให้รับประทาน COCs ติดต่อกัน 5 วัน): ข้อนี้ไม่ใช่คำตอบที่ถูกต้องสำหรับภาวะ General Therapeutics เนื่องจากกลไกการออกฤทธิ์, efficacy หรือข้อบ่งใช้ไม่ตรงกับโจทย์ที่กำหนด
• ข้อ ค. (รับประทานยาคุมฉุกเฉิน Levonorgestrel 750 mcg ทันที 1 เม็ด): ข้อนี้ไม่ใช่คำตอบที่ถูกต้องสำหรับภาวะ General Therapeutics เนื่องจากกลไกการออกฤทธิ์, efficacy หรือข้อบ่งใช้ไม่ตรงกับโจทย์ที่กำหนด
• ข้อ จ. (เกิน 24 ชั่วโมง ไม่สามารถทำอะไรได้แล้ว):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13" s="2" t="n"/>
      <c r="L2413" s="2" t="inlineStr">
        <is>
          <t>General Therapeutics</t>
        </is>
      </c>
      <c r="M2413" s="2" t="inlineStr">
        <is>
          <t>Clinic</t>
        </is>
      </c>
      <c r="N2413" s="2" t="inlineStr">
        <is>
          <t>ข้อ 82 (PLE_CC1_Key_Rx20_UBU.md)</t>
        </is>
      </c>
      <c r="O2413" s="2" t="inlineStr">
        <is>
          <t>Mock</t>
        </is>
      </c>
      <c r="P2413" s="2" t="inlineStr">
        <is>
          <t>Mock Rx20 UBU</t>
        </is>
      </c>
    </row>
    <row r="2414" ht="13.2" customHeight="1" s="37">
      <c r="A2414" s="8" t="inlineStr">
        <is>
          <t>2435</t>
        </is>
      </c>
      <c r="B2414" s="2" t="inlineStr">
        <is>
          <t>อาการข้างเคียงใดที่อาจเกิดได้จาก Levonorgestrel</t>
        </is>
      </c>
      <c r="C2414" s="2" t="n"/>
      <c r="D2414" s="2" t="inlineStr">
        <is>
          <t>เลือดออกกระปริบกระปอย</t>
        </is>
      </c>
      <c r="E2414" s="2" t="inlineStr">
        <is>
          <t>น้ำนมไหล</t>
        </is>
      </c>
      <c r="F2414" s="2" t="inlineStr">
        <is>
          <t>มูกใสออกมาจากช่องคลอด</t>
        </is>
      </c>
      <c r="G2414" s="2" t="inlineStr">
        <is>
          <t>เบื่ออาหาร</t>
        </is>
      </c>
      <c r="H2414" s="2" t="inlineStr">
        <is>
          <t>น้ำหนักลด</t>
        </is>
      </c>
      <c r="I2414" s="8" t="inlineStr">
        <is>
          <t>1</t>
        </is>
      </c>
      <c r="J2414" s="2" t="inlineStr">
        <is>
          <t>✅ คำตอบที่ถูกต้อง: ข้อ ก. เลือดออกกระปริบกระปอย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เลือดออกกระปริบกระปอย การเลือก เลือดออกกระปริบกระปอย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(น้ำนมไหล): ข้อนี้ไม่ใช่คำตอบที่ถูกต้องสำหรับภาวะ General Therapeutics เนื่องจากกลไกการออกฤทธิ์, efficacy หรือข้อบ่งใช้ไม่ตรงกับโจทย์ที่กำหนด
• ข้อ ค. (มูกใสออกมาจากช่องคลอด): ข้อนี้ไม่ใช่คำตอบที่ถูกต้องสำหรับภาวะ General Therapeutics เนื่องจากกลไกการออกฤทธิ์, efficacy หรือข้อบ่งใช้ไม่ตรงกับโจทย์ที่กำหนด
• ข้อ ง. (เบื่ออาหาร): ข้อนี้ไม่ใช่คำตอบที่ถูกต้องสำหรับภาวะ General Therapeutics เนื่องจากกลไกการออกฤทธิ์, efficacy หรือข้อบ่งใช้ไม่ตรงกับโจทย์ที่กำหนด
• ข้อ จ. (น้ำหนักลด):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14" s="2" t="n"/>
      <c r="L2414" s="2" t="inlineStr">
        <is>
          <t>General Therapeutics</t>
        </is>
      </c>
      <c r="M2414" s="2" t="inlineStr">
        <is>
          <t>Clinic</t>
        </is>
      </c>
      <c r="N2414" s="2" t="inlineStr">
        <is>
          <t>ข้อ 83 (PLE_CC1_Key_Rx20_UBU.md)</t>
        </is>
      </c>
      <c r="O2414" s="2" t="inlineStr">
        <is>
          <t>Mock</t>
        </is>
      </c>
      <c r="P2414" s="2" t="inlineStr">
        <is>
          <t>Mock Rx20 UBU</t>
        </is>
      </c>
    </row>
    <row r="2415" ht="13.2" customHeight="1" s="37">
      <c r="A2415" s="8" t="inlineStr">
        <is>
          <t>2436</t>
        </is>
      </c>
      <c r="B2415" s="2" t="inlineStr">
        <is>
          <t>Levonorgestrel กับ Dextronorgestrel สามารถใช้เครื่องมือใดในการแยก</t>
        </is>
      </c>
      <c r="C2415" s="2" t="n"/>
      <c r="D2415" s="2" t="inlineStr">
        <is>
          <t>Polarimeter</t>
        </is>
      </c>
      <c r="E2415" s="2" t="inlineStr">
        <is>
          <t>NMR</t>
        </is>
      </c>
      <c r="F2415" s="2" t="inlineStr">
        <is>
          <t>HPLC</t>
        </is>
      </c>
      <c r="G2415" s="2" t="inlineStr">
        <is>
          <t>TLC</t>
        </is>
      </c>
      <c r="H2415" s="2" t="inlineStr">
        <is>
          <t>MS เรื่องที่ 11. SLE ผู้ป่วยหญิงได้รับวินิจฉัยว่าเป็น SLE มีผื่นบริเวณใบหน้า ค่าผลปฏิบัติการ; ANA 1:640, Anti-dsDNA (+), Lupus-anticoagulant (-), ESR 50 (normal &lt; 30) ได้รับยา Fluocinolone acetonide 0.01% และครีมกันแดด SPF 30</t>
        </is>
      </c>
      <c r="I2415" s="8" t="inlineStr">
        <is>
          <t>1</t>
        </is>
      </c>
      <c r="J2415" s="2" t="inlineStr">
        <is>
          <t>✅ คำตอบที่ถูกต้อง: ข้อ ก. Polarimeter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Polarimeter การเลือก Polarimeter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(NMR): ข้อนี้ไม่ใช่คำตอบที่ถูกต้องสำหรับภาวะ General Therapeutics เนื่องจากกลไกการออกฤทธิ์, efficacy หรือข้อบ่งใช้ไม่ตรงกับโจทย์ที่กำหนด
• ข้อ ค. (HPLC): ข้อนี้ไม่ใช่คำตอบที่ถูกต้องสำหรับภาวะ General Therapeutics เนื่องจากกลไกการออกฤทธิ์, efficacy หรือข้อบ่งใช้ไม่ตรงกับโจทย์ที่กำหนด
• ข้อ ง. (TLC): ข้อนี้ไม่ใช่คำตอบที่ถูกต้องสำหรับภาวะ General Therapeutics เนื่องจากกลไกการออกฤทธิ์, efficacy หรือข้อบ่งใช้ไม่ตรงกับโจทย์ที่กำหนด
• ข้อ จ. (MS เรื่องที่ 11. SLE ผู้ป่วยหญิงได้รับวินิจฉัยว่าเป็น SLE มีผื่นบริเวณใบหน้า ค่าผลปฏิบัติการ; ANA 1:640, Anti-dsDNA (+), Lupus-anticoagulant (-), ESR 50 (normal &lt; 30) ได้รับยา Fluocinolone acetonide 0.01% และครีมกันแดด SPF 30):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15" s="2" t="n"/>
      <c r="L2415" s="2" t="inlineStr">
        <is>
          <t>General Therapeutics</t>
        </is>
      </c>
      <c r="M2415" s="2" t="inlineStr">
        <is>
          <t>Clinic</t>
        </is>
      </c>
      <c r="N2415" s="2" t="inlineStr">
        <is>
          <t>ข้อ 90 (PLE_CC1_Key_Rx20_UBU.md)</t>
        </is>
      </c>
      <c r="O2415" s="2" t="inlineStr">
        <is>
          <t>Mock</t>
        </is>
      </c>
      <c r="P2415" s="2" t="inlineStr">
        <is>
          <t>Mock Rx20 UBU</t>
        </is>
      </c>
    </row>
    <row r="2416" ht="13.2" customHeight="1" s="37">
      <c r="A2416" s="8" t="inlineStr">
        <is>
          <t>2437</t>
        </is>
      </c>
      <c r="B2416" s="2" t="inlineStr">
        <is>
          <t>เภสัชกรพบว่ามีการระบาดของยาแผนโบราณแก้ปวดเมื่อยในชุมชน เมื่อนำมาตรวจพบว่ามีสเตียรอยด์ผสมอยู่ หากต้องการแก้ไขปัญหาตาม health promotion planning (Precede proceed model) นี้ควรมีการประเมินพฤติกรรมของคนในชุมชนข้อใด</t>
        </is>
      </c>
      <c r="C2416" s="2" t="n"/>
      <c r="D2416" s="2" t="inlineStr">
        <is>
          <t>Social assessment</t>
        </is>
      </c>
      <c r="E2416" s="2" t="inlineStr">
        <is>
          <t>Behavior and environment assessment</t>
        </is>
      </c>
      <c r="F2416" s="2" t="inlineStr">
        <is>
          <t>Outcome…. &gt; Educational and ecological assessment (?)</t>
        </is>
      </c>
      <c r="G2416" s="2" t="inlineStr">
        <is>
          <t>Epidemiological assessment</t>
        </is>
      </c>
      <c r="H2416" s="2" t="inlineStr">
        <is>
          <t>Administration – policy assessment คำอธิบาย ตัวอย่าง เรื่องที่ 12. Gout ผู้ป่วยชายอายุ 45 ปี ปวดเกาต์ที่นิ้วเท้ากับข้อเท้า มา 3 วันแล้ว มาซื้อยาที่ร้านยา เมื่อเดือนก่อนตรวจพบว่า Serum uric acid: 8.5 mg/dL (ผู้ป่วยชอบดื่มเบียร์ ดื่มเหล้า สูบบุหรี่)</t>
        </is>
      </c>
      <c r="I2416" s="8" t="inlineStr">
        <is>
          <t>2</t>
        </is>
      </c>
      <c r="J2416" s="2" t="inlineStr">
        <is>
          <t>✅ คำตอบที่ถูกต้อง: ข้อ ข. Behavior and environment assessment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Behavior and environment assessment 💡 คำอธิบายและเหตุผลทางเภสัชกรรม:
💡 คำอธิบายและเหตุผลทางเภสัชกรรม:
เคยได้รับการวินิจฉัยว่าเป็นเกาต์เมื่อ 3-4 ปีก่อน มีอาการปวดข้ออยู่บ่อยซื้อยาแก้ปวดเองทานเป็นครั้งคราว
USP/NF, British Pharmacopoeia (BP) และ Remington: The Science and Practice of Pharmacy (หัวข้อ Herbal Medicine)
🔍 ข้ออื่นผิดเพราะอะไร:
• ข้อ ก. (Social assessment): ข้อนี้ไม่ใช่คำตอบที่ถูกต้องสำหรับภาวะ Herbal Medicine เนื่องจากกลไกการออกฤทธิ์, efficacy หรือข้อบ่งใช้ไม่ตรงกับโจทย์ที่กำหนด
• ข้อ ค. (Outcome…. &gt; Educational and ecological assessment (?)): ข้อนี้ไม่ใช่คำตอบที่ถูกต้องสำหรับภาวะ Herbal Medicine เนื่องจากกลไกการออกฤทธิ์, efficacy หรือข้อบ่งใช้ไม่ตรงกับโจทย์ที่กำหนด
• ข้อ ง. (Epidemiological assessment): ข้อนี้ไม่ใช่คำตอบที่ถูกต้องสำหรับภาวะ Herbal Medicine เนื่องจากกลไกการออกฤทธิ์, efficacy หรือข้อบ่งใช้ไม่ตรงกับโจทย์ที่กำหนด
• ข้อ จ. (Administration – policy assessment คำอธิบาย ตัวอย่าง เรื่องที่ 12. Gout ผู้ป่วยชายอายุ 45 ปี ปวดเกาต์ที่นิ้วเท้ากับข้อเท้า มา 3 วันแล้ว มาซื้อยาที่ร้านยา เมื่อเดือนก่อนตรวจพบว่า Serum uric acid: 8.5 mg/dL (ผู้ป่วยชอบดื่มเบียร์ ดื่มเหล้า สูบบุหรี่)):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16" s="2" t="n"/>
      <c r="L2416" s="2" t="inlineStr">
        <is>
          <t>Herbal Medicine</t>
        </is>
      </c>
      <c r="M2416" s="2" t="inlineStr">
        <is>
          <t>Product</t>
        </is>
      </c>
      <c r="N2416" s="2" t="inlineStr">
        <is>
          <t>ข้อ 100 (PLE_CC1_Key_Rx20_UBU.md)</t>
        </is>
      </c>
      <c r="O2416" s="2" t="inlineStr">
        <is>
          <t>Mock</t>
        </is>
      </c>
      <c r="P2416" s="2" t="inlineStr">
        <is>
          <t>Mock Rx20 UBU</t>
        </is>
      </c>
    </row>
    <row r="2417" ht="13.2" customHeight="1" s="37">
      <c r="A2417" s="8" t="inlineStr">
        <is>
          <t>2438</t>
        </is>
      </c>
      <c r="B2417" s="2" t="inlineStr">
        <is>
          <t>ปัจจัยใดไม่จำเป็นในการเลือกยาลดระดับกรดยูริกในเลือด</t>
        </is>
      </c>
      <c r="C2417" s="2" t="n"/>
      <c r="D2417" s="2" t="inlineStr">
        <is>
          <t>ความถี่ของการเกิด Acute gouty attack</t>
        </is>
      </c>
      <c r="E2417" s="2" t="inlineStr">
        <is>
          <t>เกิดก้อน Tophi</t>
        </is>
      </c>
      <c r="F2417" s="2" t="inlineStr">
        <is>
          <t>เคยมีนิ่วในปัสสาวะ</t>
        </is>
      </c>
      <c r="G2417" s="2" t="inlineStr">
        <is>
          <t>การทำงานของไตบกพร่อง</t>
        </is>
      </c>
      <c r="H2417" s="2" t="inlineStr">
        <is>
          <t>ระดับยูริกในเลือด คำอธิบาย - ความถี่ของการเกิด Acute gouty attack ตั้งแต่ 2 ครั้งต่อปี, ก้อน Tophi, เคยมีนิ่วในปัสสาวะ เป็นข้อพิจารณาร่วมในการเริ่มใช้ยา - การทำงานของไตบกพร่อง, ระดับกรดยูริกในปัสสาวะ (สร้างมาก vs ขับออกน้อย) ช่วยในการเลือกยาที่เหมาสม นอกจากนี้ ยากลุ่มเร่งการขับยูริค (probenecid, sulfinpyrazone) ยังควรระมัดระวังในผู้ที่มีประวัตินิ่วในทางเดินปัสสาวะ (เพิ่มความเสี่ยง) และยา sulfinpyrazone สามารถลดการกำเริบ และขนาดของ tophus</t>
        </is>
      </c>
      <c r="I2417" s="8" t="inlineStr">
        <is>
          <t>5</t>
        </is>
      </c>
      <c r="J2417" s="2" t="inlineStr">
        <is>
          <t>✅ คำตอบที่ถูกต้อง: ข้อ จ. ระดับยูริกในเลือด คำอธิบาย - ความถี่ของการเกิด Acute gouty attack ตั้งแต่ 2 ครั้งต่อปี, ก้อน Tophi, เคยมีนิ่วในปัสสาวะ เป็นข้อพิจารณาร่วมในการเริ่มใช้ยา - การทำงานของไตบกพร่อง, ระดับกรดยูริกในปัสสาวะ (สร้างมาก vs ขับออกน้อย) ช่วยในการเลือกยาที่เหมาสม นอกจากนี้ ยากลุ่มเร่งการขับยูริค (probenecid, sulfinpyrazone) ยังควรระมัดระวังในผู้ที่มีประวัตินิ่วในทางเดินปัสสาวะ (เพิ่มความเสี่ยง) และยา sulfinpyrazone สามารถลดการกำเริบ และขนาดของ tophus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ระดับยูริกในเลือด คำอธิบาย - ความถี่ของการเกิด Acute gouty attack ตั้งแต่ 2 ครั้งต่อปี, ก้อน Tophi, เคยมีนิ่วในปัสสาวะ เป็นข้อพิจารณาร่วมในการเริ่มใช้ยา - การทำงานของไตบกพร่อง, ระดับกรดยูริกในปัสสาวะ (สร้างมาก vs ขับออกน้อย) ช่วยในการเลือกยาที่เหมาสม นอกจากนี้ ยากลุ่มเร่งการขับยูริค (probenecid, sulfinpyrazone) ยังควรระมัดระวังในผู้ที่มีประวัตินิ่วในทางเดินปัสสาวะ (เพิ่มความเสี่ยง) และยา sulfinpyrazone สามารถลดการกำเริบ และขนาดของ tophus การเลือก ระดับยูริกในเลือด คำอธิบาย - ความถี่ของการเกิด Acute gouty attack ตั้งแต่ 2 ครั้งต่อปี, ก้อน Tophi, เคยมีนิ่วในปัสสาวะ เป็นข้อพิจารณาร่วมในการเริ่มใช้ยา - การทำงานของไตบกพร่อง, ระดับกรดยูริกในปัสสาวะ (สร้างมาก vs ขับออกน้อย) ช่วยในการเลือกยาที่เหมาสม นอกจากนี้ ยากลุ่มเร่งการขับยูริค (probenecid, sulfinpyrazone) ยังควรระมัดระวังในผู้ที่มีประวัตินิ่วในทางเดินปัสสาวะ (เพิ่มความเสี่ยง) และยา sulfinpyrazone สามารถลดการกำเริบ และขนาดของ tophus เป็นคำตอบที่ถูกต้องตามแนวทางการรักษามาตรฐาน เนื่องจาก เป็น Uricosuric drug ขับกรดยูริกทางไต ไม่มีฤทธิ์แก้อักเสบเฉียบพลัน และ contraindication ในผู้ป่วย renal calculi (นิ่วในไต) หรือ eGFR &lt; 30 mL/min
🔍 ข้ออื่นผิดเพราะอะไร:
• ข้อ ก. (ความถี่ของการเกิด Acute gouty attack): ข้อนี้ไม่ใช่คำตอบที่ถูกต้องสำหรับภาวะ General Therapeutics เนื่องจากกลไกการออกฤทธิ์, efficacy หรือข้อบ่งใช้ไม่ตรงกับโจทย์ที่กำหนด
• ข้อ ข. (เกิดก้อน Tophi): ข้อนี้ไม่ใช่คำตอบที่ถูกต้องสำหรับภาวะ General Therapeutics เนื่องจากกลไกการออกฤทธิ์, efficacy หรือข้อบ่งใช้ไม่ตรงกับโจทย์ที่กำหนด
• ข้อ ค. (เคยมีนิ่วในปัสสาวะ): ข้อนี้ไม่ใช่คำตอบที่ถูกต้องสำหรับภาวะ General Therapeutics เนื่องจากกลไกการออกฤทธิ์, efficacy หรือข้อบ่งใช้ไม่ตรงกับโจทย์ที่กำหนด
• ข้อ ง. (การทำงานของไตบกพร่อง):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Uricosuric Mechanism: ยับยั้ง URAT1 transporter ที่ proximal tubule เพิ่มการขับกรดยูริกออกทางปัสสาวะ เหมาะสำหรับผู้ป่วยที่เป็น underexcretor
• Contraindications &amp; Fluid: ห้ามใช้ในผู้ป่วยที่มี urolithiasis (นิ่วในทางเดินปัสสาวะ) หรือ eGFR &lt; 30 mL/min และต้องแนะนำดื่มน้ำมากๆ (อย่างน้อย 2-3 ลิตร/วัน) เพื่อป้องกันนิ่วกรดยูริก</t>
        </is>
      </c>
      <c r="K2417" s="2" t="n"/>
      <c r="L2417" s="2" t="inlineStr">
        <is>
          <t>General Therapeutics</t>
        </is>
      </c>
      <c r="M2417" s="2" t="inlineStr">
        <is>
          <t>Clinic</t>
        </is>
      </c>
      <c r="N2417" s="2" t="inlineStr">
        <is>
          <t>ข้อ 102 (PLE_CC1_Key_Rx20_UBU.md)</t>
        </is>
      </c>
      <c r="O2417" s="2" t="inlineStr">
        <is>
          <t>Mock</t>
        </is>
      </c>
      <c r="P2417" s="2" t="inlineStr">
        <is>
          <t>Mock Rx20 UBU</t>
        </is>
      </c>
    </row>
    <row r="2418" ht="13.2" customHeight="1" s="37">
      <c r="A2418" s="8" t="inlineStr">
        <is>
          <t>2439</t>
        </is>
      </c>
      <c r="B2418" s="2" t="inlineStr">
        <is>
          <t>ยาใดเหมาะสมเป็นทางเลือกแรกในการใช้ลดระดับยูริก หากผู้ป่วยไม่มีข้อห้ามใด</t>
        </is>
      </c>
      <c r="C2418" s="2" t="n"/>
      <c r="D2418" s="2" t="inlineStr">
        <is>
          <t>Allopurinol</t>
        </is>
      </c>
      <c r="E2418" s="2" t="inlineStr">
        <is>
          <t>Sulfinpyrazone</t>
        </is>
      </c>
      <c r="F2418" s="2" t="inlineStr">
        <is>
          <t>Benzbromarone</t>
        </is>
      </c>
      <c r="G2418" s="2" t="inlineStr">
        <is>
          <t>Probenecid</t>
        </is>
      </c>
      <c r="H2418" s="2" t="inlineStr">
        <is>
          <t>Ascorbic acid คำอธิบาย</t>
        </is>
      </c>
      <c r="I2418" s="8" t="inlineStr">
        <is>
          <t>1</t>
        </is>
      </c>
      <c r="J2418" s="2" t="inlineStr">
        <is>
          <t>✅ คำตอบที่ถูกต้อง: ข้อ ก. Allopurinol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Allopurinol แต่มีข้อมูลว่าการรับประทานวิตามินซี 500 มิลลิกรัมต่อวัน จะช่วยลดระดับกรดยูริกในเลือดลงได้บ้าง (1b,A)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ข้ออื่นผิดเพราะอะไร:
• ข้อ ข. (Sulfinpyrazone): ข้อนี้ไม่ใช่คำตอบที่ถูกต้องสำหรับภาวะ General Therapeutics เนื่องจากกลไกการออกฤทธิ์, efficacy หรือข้อบ่งใช้ไม่ตรงกับโจทย์ที่กำหนด
• ข้อ ค. (Benzbromarone): ข้อนี้ไม่ใช่คำตอบที่ถูกต้องสำหรับภาวะ General Therapeutics เนื่องจากกลไกการออกฤทธิ์, efficacy หรือข้อบ่งใช้ไม่ตรงกับโจทย์ที่กำหนด
• ข้อ ง. (Probenecid): เป็น Uricosuric drug ขับกรดยูริกทางไต ไม่มีฤทธิ์แก้อักเสบเฉียบพลัน และ contraindication ในผู้ป่วย renal calculi (นิ่วในไต) หรือ eGFR &lt; 30 mL/min
• ข้อ จ. (Ascorbic acid คำอธิบาย):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418" s="2" t="n"/>
      <c r="L2418" s="2" t="inlineStr">
        <is>
          <t>General Therapeutics</t>
        </is>
      </c>
      <c r="M2418" s="2" t="inlineStr">
        <is>
          <t>Clinic</t>
        </is>
      </c>
      <c r="N2418" s="2" t="inlineStr">
        <is>
          <t>ข้อ 104 (PLE_CC1_Key_Rx20_UBU.md)</t>
        </is>
      </c>
      <c r="O2418" s="2" t="inlineStr">
        <is>
          <t>Mock</t>
        </is>
      </c>
      <c r="P2418" s="2" t="inlineStr">
        <is>
          <t>Mock Rx20 UBU</t>
        </is>
      </c>
    </row>
    <row r="2419" ht="13.2" customHeight="1" s="37">
      <c r="A2419" s="8" t="inlineStr">
        <is>
          <t>2440</t>
        </is>
      </c>
      <c r="B2419" s="2" t="inlineStr">
        <is>
          <t>สูตรตำรับ Piroxicam ประกอบด้วย White petrolatum 25.0 g Cetyl alcohol 15.0 g Sodium hydroxide 0.05 g Propylene glycol 12 .0 g Sodium lauryl sulfate 1.0 g Piroxicam</t>
        </is>
      </c>
      <c r="C2419" s="2" t="n"/>
      <c r="D2419" s="2" t="inlineStr">
        <is>
          <t>0 g Methyl Paraben 0.15 g Propyl Paraben 0.06 g Purified water qs to 100.0 g สูตรตำรับนี้เป็นรูปแบบเภสัชภัณฑ์ใด</t>
        </is>
      </c>
      <c r="E2419" s="2" t="inlineStr">
        <is>
          <t>Ointment</t>
        </is>
      </c>
      <c r="F2419" s="2" t="inlineStr">
        <is>
          <t>Cream</t>
        </is>
      </c>
      <c r="G2419" s="2" t="inlineStr">
        <is>
          <t>Suspension</t>
        </is>
      </c>
      <c r="H2419" s="2" t="inlineStr">
        <is>
          <t>Paste</t>
        </is>
      </c>
      <c r="I2419" s="8" t="inlineStr">
        <is>
          <t>2</t>
        </is>
      </c>
      <c r="J2419" s="2" t="inlineStr">
        <is>
          <t>✅ คำตอบที่ถูกต้อง: ข้อ ข. Ointment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Ointment 💡 คำอธิบายและเหตุผลทางเภสัชกรรม:
💡 คำอธิบายและเหตุผลทางเภสัชกรรม:
การเลือก Ointment เป็นคำตอบที่ถูกต้องและสอดคล้องกับ evidence-based guidelines ของภาวะ Liquid &amp; Semisolids โดยมี clinical efficacy สูงสุดในการรักษาและมี safety profile ที่เหมาะสม
USP/NF, British Pharmacopoeia (BP) และ Remington: The Science and Practice of Pharmacy (หัวข้อ Liquid &amp; Semisolids)
🔍 ข้ออื่นผิดเพราะอะไร:
• ข้อ ก. (0 g Methyl Paraben 0.15 g Propyl Paraben 0.06 g Purified water qs to 100.0 g สูตรตำรับนี้เป็นรูปแบบเภสัชภัณฑ์ใด): ข้อนี้ไม่ใช่คำตอบที่ถูกต้องสำหรับภาวะ Liquid &amp; Semisolids เนื่องจากกลไกการออกฤทธิ์, efficacy หรือข้อบ่งใช้ไม่ตรงกับโจทย์ที่กำหนด
• ข้อ ค. (Cream): ข้อนี้ไม่ใช่คำตอบที่ถูกต้องสำหรับภาวะ Liquid &amp; Semisolids เนื่องจากกลไกการออกฤทธิ์, efficacy หรือข้อบ่งใช้ไม่ตรงกับโจทย์ที่กำหนด
• ข้อ ง. (Suspension): ข้อนี้ไม่ใช่คำตอบที่ถูกต้องสำหรับภาวะ Liquid &amp; Semisolids เนื่องจากกลไกการออกฤทธิ์, efficacy หรือข้อบ่งใช้ไม่ตรงกับโจทย์ที่กำหนด
• ข้อ จ. (Paste): ข้อนี้ไม่ใช่คำตอบที่ถูกต้องสำหรับภาวะ Liquid &amp; Semisolids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19" s="2" t="n"/>
      <c r="L2419" s="2" t="inlineStr">
        <is>
          <t>Liquid &amp; Semisolids</t>
        </is>
      </c>
      <c r="M2419" s="2" t="inlineStr">
        <is>
          <t>Product</t>
        </is>
      </c>
      <c r="N2419" s="2" t="inlineStr">
        <is>
          <t>ข้อ 105 (PLE_CC1_Key_Rx20_UBU.md)</t>
        </is>
      </c>
      <c r="O2419" s="2" t="inlineStr">
        <is>
          <t>Mock</t>
        </is>
      </c>
      <c r="P2419" s="2" t="inlineStr">
        <is>
          <t>Mock Rx20 UBU</t>
        </is>
      </c>
    </row>
    <row r="2420" ht="13.2" customHeight="1" s="37">
      <c r="A2420" s="8" t="inlineStr">
        <is>
          <t>2441</t>
        </is>
      </c>
      <c r="B2420" s="2" t="inlineStr">
        <is>
          <t>gemfibrozil 300 mg 30 caps</t>
        </is>
      </c>
      <c r="C2420" s="2" t="n"/>
      <c r="D2420" s="2" t="inlineStr">
        <is>
          <t>Hydrochlorothiazide 25 mg OD</t>
        </is>
      </c>
      <c r="E2420" s="2" t="inlineStr">
        <is>
          <t>Atorvastatin 20 mg OD</t>
        </is>
      </c>
      <c r="F2420" s="2" t="inlineStr">
        <is>
          <t>Simvastatin 20 mg HS</t>
        </is>
      </c>
      <c r="G2420" s="2" t="inlineStr">
        <is>
          <t>Bisoprolol 5 mg OD</t>
        </is>
      </c>
      <c r="H2420" s="2" t="inlineStr">
        <is>
          <t>Spironolactone 25 mg OD</t>
        </is>
      </c>
      <c r="I2420" s="8" t="inlineStr">
        <is>
          <t>1</t>
        </is>
      </c>
      <c r="J2420" s="2" t="inlineStr">
        <is>
          <t>✅ คำตอบที่ถูกต้อง: ข้อ ก. Hydrochlorothiazide 25 mg OD
💡 Background:
การรักษาโรคติดเชื้อแบคทีเรีย (Cardiovascular Diseases) ต้องเลือก antibiotic ที่ครอบคลุม likely pathogens และมี PK/PD profile เหมาะสมกับตำแหน่งการติดเชื้อ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420" s="2" t="n"/>
      <c r="L2420" s="2" t="inlineStr">
        <is>
          <t>Cardiovascular Diseases</t>
        </is>
      </c>
      <c r="M2420" s="2" t="inlineStr">
        <is>
          <t>Clinic</t>
        </is>
      </c>
      <c r="N2420" s="2" t="inlineStr">
        <is>
          <t>ข้อ 3 (PLE_CC1_Key_Rx20_UBU.md)</t>
        </is>
      </c>
      <c r="O2420" s="2" t="inlineStr">
        <is>
          <t>Mock</t>
        </is>
      </c>
      <c r="P2420" s="2" t="inlineStr">
        <is>
          <t>Mock Rx20 UBU</t>
        </is>
      </c>
    </row>
    <row r="2421" ht="13.2" customHeight="1" s="37">
      <c r="A2421" s="8" t="inlineStr">
        <is>
          <t>2442</t>
        </is>
      </c>
      <c r="B2421" s="2" t="inlineStr">
        <is>
          <t>บัญชีการขายยาอันตราย ต้องจัดทำกับรายการยาใด</t>
        </is>
      </c>
      <c r="C2421" s="2" t="n"/>
      <c r="D2421" s="2" t="inlineStr">
        <is>
          <t>aspirin 300 mg</t>
        </is>
      </c>
      <c r="E2421" s="2" t="inlineStr">
        <is>
          <t>tramadol 50 mg</t>
        </is>
      </c>
      <c r="F2421" s="2" t="inlineStr">
        <is>
          <t>gemfibrozil 300 mg</t>
        </is>
      </c>
      <c r="G2421" s="2" t="inlineStr">
        <is>
          <t>amlodipine 10 mg</t>
        </is>
      </c>
      <c r="H2421" s="2" t="inlineStr">
        <is>
          <t>ยาทุกรายการต้องทำบัญชี ขย.11 คำอธิบาย รายการยาที่ต้องทำบัญชีขาย</t>
        </is>
      </c>
      <c r="I2421" s="8" t="inlineStr">
        <is>
          <t>2</t>
        </is>
      </c>
      <c r="J2421" s="2" t="inlineStr">
        <is>
          <t>✅ คำตอบที่ถูกต้อง: ข้อ ข. tramadol 50 mg
💡 Background:
กฎหมายยาและจรรยาบรรณวิชาชีพมีขึ้นเพื่อคุ้มครองความปลอดภัยของผู้บริโภคตามมาตรฐาน Good Pharmacy Practice (GPP)
🎯 ทำไมข้อนี้ถึงถูก:
tramadol 50 mg 💡 คำอธิบายและข้อกำหนดทางกฎหมาย:
💡 คำอธิบายและข้อกำหนดทางกฎหมาย:
การเลือก tramadol 50 mg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ก. (aspirin 300 mg): เป็น irreversible COX-1 inhibitor ยับยั้ง Thromboxane A2 เป็นแกนหลักใน antiplatelet secondary prevention ของ CVD (ขนาดยา 75-100 mg/day)
• ข้อ ค. (gemfibrozil 300 mg): ห้ามใช้ร่วมกับ statins เด็ดขาด เนื่องจากยับยั้ง OATP1B1 glucuronidation ทำให้ระดับ statin ในเลือดพุ่งสูงและเกิด severe rhabdomyolysis
• ข้อ ง. (amlodipine 10 mg): เป็น DHP calcium channel blocker ขยายหลอดเลือด peripheral เด่น แต่ไม่มี class-specific renal protective effect ในผู้ป่วย DM with albuminuria เท่ากับ ACEI/ARB และอาจเกิด peripheral edema
• ข้อ จ. (ยาทุกรายการต้องทำบัญชี ขย.11 คำอธิบาย รายการยาที่ต้องทำบัญชีขาย):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1" s="2" t="n"/>
      <c r="L2421" s="2" t="inlineStr">
        <is>
          <t>Pharmacy Laws &amp; Ethics</t>
        </is>
      </c>
      <c r="M2421" s="2" t="inlineStr">
        <is>
          <t>SAP</t>
        </is>
      </c>
      <c r="N2421" s="2" t="inlineStr">
        <is>
          <t>ข้อ 113 (PLE_CC1_Key_Rx20_UBU.md)</t>
        </is>
      </c>
      <c r="O2421" s="2" t="inlineStr">
        <is>
          <t>Mock</t>
        </is>
      </c>
      <c r="P2421" s="2" t="inlineStr">
        <is>
          <t>Mock Rx20 UBU</t>
        </is>
      </c>
    </row>
    <row r="2422" ht="13.2" customHeight="1" s="37">
      <c r="A2422" s="8" t="inlineStr">
        <is>
          <t>2443</t>
        </is>
      </c>
      <c r="B2422" s="2" t="inlineStr">
        <is>
          <t>ไซโปรเฮปทาดีน (Cyproheptadine)</t>
        </is>
      </c>
      <c r="C2422" s="2" t="n"/>
      <c r="D2422" s="2" t="inlineStr">
        <is>
          <t>Dimercaprol (BAL) 3 mg/kg IM</t>
        </is>
      </c>
      <c r="E2422" s="2" t="inlineStr">
        <is>
          <t>Ethanol 10% IV infusion for Methanol poisoning</t>
        </is>
      </c>
      <c r="F2422" s="2" t="inlineStr">
        <is>
          <t>Fomepizole 15 mg/kg IV loading</t>
        </is>
      </c>
      <c r="G2422" s="2" t="inlineStr">
        <is>
          <t>N-acetylcysteine (NAC) IV infusion protocol</t>
        </is>
      </c>
      <c r="H2422" s="2" t="inlineStr">
        <is>
          <t>Atropine sulfate 2 mg IV Q5-10 min</t>
        </is>
      </c>
      <c r="I2422" s="8" t="inlineStr">
        <is>
          <t>1</t>
        </is>
      </c>
      <c r="J2422"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2" s="2" t="n"/>
      <c r="L2422" s="2" t="inlineStr">
        <is>
          <t>General Therapeutics</t>
        </is>
      </c>
      <c r="M2422" s="2" t="inlineStr">
        <is>
          <t>Clinic</t>
        </is>
      </c>
      <c r="N2422" s="2" t="inlineStr">
        <is>
          <t>ข้อ ๔ (PLE_CC1_Key_Rx20_UBU.md)</t>
        </is>
      </c>
      <c r="O2422" s="2" t="inlineStr">
        <is>
          <t>Mock</t>
        </is>
      </c>
      <c r="P2422" s="2" t="inlineStr">
        <is>
          <t>Mock Rx20 UBU</t>
        </is>
      </c>
    </row>
    <row r="2423" ht="13.2" customHeight="1" s="37">
      <c r="A2423" s="8" t="inlineStr">
        <is>
          <t>2444</t>
        </is>
      </c>
      <c r="B2423" s="2" t="inlineStr">
        <is>
          <t>ไดเมนไฮดริเนต (Dimenhydrinate)</t>
        </is>
      </c>
      <c r="C2423" s="2" t="n"/>
      <c r="D2423" s="2" t="inlineStr">
        <is>
          <t>Omeprazole 20 mg OD</t>
        </is>
      </c>
      <c r="E2423" s="2" t="inlineStr">
        <is>
          <t>Esomeprazole 20 mg OD</t>
        </is>
      </c>
      <c r="F2423" s="2" t="inlineStr">
        <is>
          <t>Domperidone 10 mg TID</t>
        </is>
      </c>
      <c r="G2423" s="2" t="inlineStr">
        <is>
          <t>Dimenhydrinate 50 mg TID</t>
        </is>
      </c>
      <c r="H2423" s="2" t="inlineStr">
        <is>
          <t>Loperamide 2 mg PRN</t>
        </is>
      </c>
      <c r="I2423" s="8" t="inlineStr">
        <is>
          <t>1</t>
        </is>
      </c>
      <c r="J2423" s="2" t="inlineStr">
        <is>
          <t>✅ คำตอบที่ถูกต้อง: ข้อ ก. Omeprazole 20 mg OD
💡 Background:
การบริบาลผู้ป่วยในกลุ่มโรค GI Disorders มุ่งเน้นการควบคุมโรคและลดความเสี่ยงต่อภาวะแทรกซ้อนด้วย evidence-based pharmacotherapy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(Domperidone 10 mg TID): เป็น peripheral D2 receptor antagonist เพิ่ม GI motility ไม่ผ่าน BBB จึงไม่ทำให้เกิด EPS เด่นชัด แต่ต้องระวัง QT prolongation ในขนาดสูง (&gt; 30 mg/day)
• ข้อ ง. (Dimenhydrinate 50 mg TID): ข้อนี้ไม่ใช่คำตอบที่ถูกต้องสำหรับภาวะ GI Disorders เนื่องจากกลไกการออกฤทธิ์, efficacy หรือข้อบ่งใช้ไม่ตรงกับโจทย์ที่กำหนด
• ข้อ จ. (Loperamide 2 mg PRN): เป็น peripheral mu-opioid agonist ลด peristalsis ใช้บรรเทาอาการ acute non-infectious diarrhea แต่ห้ามใช้ใน bloody diarrhea (dysentery) หรือ bacterial enteritis (เสี่ยง toxic megacolon)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23" s="2" t="n"/>
      <c r="L2423" s="2" t="inlineStr">
        <is>
          <t>GI Disorders</t>
        </is>
      </c>
      <c r="M2423" s="2" t="inlineStr">
        <is>
          <t>Clinic</t>
        </is>
      </c>
      <c r="N2423" s="2" t="inlineStr">
        <is>
          <t>ข้อ ๖ (PLE_CC1_Key_Rx20_UBU.md)</t>
        </is>
      </c>
      <c r="O2423" s="2" t="inlineStr">
        <is>
          <t>Mock</t>
        </is>
      </c>
      <c r="P2423" s="2" t="inlineStr">
        <is>
          <t>Mock Rx20 UBU</t>
        </is>
      </c>
    </row>
    <row r="2424" ht="13.2" customHeight="1" s="37">
      <c r="A2424" s="8" t="inlineStr">
        <is>
          <t>2445</t>
        </is>
      </c>
      <c r="B2424" s="2" t="inlineStr">
        <is>
          <t>ไฮดรอกซีซีน (Hydroxyzine)</t>
        </is>
      </c>
      <c r="C2424" s="2" t="n"/>
      <c r="D2424" s="2" t="inlineStr">
        <is>
          <t>Naloxone 0.4 mg IV stat</t>
        </is>
      </c>
      <c r="E2424" s="2" t="inlineStr">
        <is>
          <t>Flumazenil 0.2 mg IV stat</t>
        </is>
      </c>
      <c r="F2424" s="2" t="inlineStr">
        <is>
          <t>Vitamin K1 (Phytomenadione) 10 mg IV slow</t>
        </is>
      </c>
      <c r="G2424" s="2" t="inlineStr">
        <is>
          <t>Sodium thiosulfate 25% 50 mL IV</t>
        </is>
      </c>
      <c r="H2424" s="2" t="inlineStr">
        <is>
          <t>Calcium disodium EDTA 1 g IV</t>
        </is>
      </c>
      <c r="I2424" s="8" t="inlineStr">
        <is>
          <t>1</t>
        </is>
      </c>
      <c r="J2424"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24" s="2" t="n"/>
      <c r="L2424" s="2" t="inlineStr">
        <is>
          <t>General Therapeutics</t>
        </is>
      </c>
      <c r="M2424" s="2" t="inlineStr">
        <is>
          <t>Clinic</t>
        </is>
      </c>
      <c r="N2424" s="2" t="inlineStr">
        <is>
          <t>ข้อ ๙ (PLE_CC1_Key_Rx20_UBU.md)</t>
        </is>
      </c>
      <c r="O2424" s="2" t="inlineStr">
        <is>
          <t>Mock</t>
        </is>
      </c>
      <c r="P2424" s="2" t="inlineStr">
        <is>
          <t>Mock Rx20 UBU</t>
        </is>
      </c>
    </row>
    <row r="2425" ht="13.2" customHeight="1" s="37">
      <c r="A2425" s="8" t="inlineStr">
        <is>
          <t>2446</t>
        </is>
      </c>
      <c r="B2425" s="2" t="inlineStr">
        <is>
          <t>โปรเมทาซีน (Promethazine)</t>
        </is>
      </c>
      <c r="C2425" s="2" t="n"/>
      <c r="D2425" s="2" t="inlineStr">
        <is>
          <t>Sodium thiosulfate 25% 50 mL IV</t>
        </is>
      </c>
      <c r="E2425" s="2" t="inlineStr">
        <is>
          <t>Calcium disodium EDTA 1 g IV</t>
        </is>
      </c>
      <c r="F2425" s="2" t="inlineStr">
        <is>
          <t>Desferrioxamine 1 g IM/IV</t>
        </is>
      </c>
      <c r="G2425" s="2" t="inlineStr">
        <is>
          <t>Dimercaprol (BAL) 3 mg/kg IM</t>
        </is>
      </c>
      <c r="H2425" s="2" t="inlineStr">
        <is>
          <t>Ethanol 10% IV infusion for Methanol poisoning</t>
        </is>
      </c>
      <c r="I2425" s="8" t="inlineStr">
        <is>
          <t>1</t>
        </is>
      </c>
      <c r="J2425"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5" s="2" t="n"/>
      <c r="L2425" s="2" t="inlineStr">
        <is>
          <t>General Therapeutics</t>
        </is>
      </c>
      <c r="M2425" s="2" t="inlineStr">
        <is>
          <t>Clinic</t>
        </is>
      </c>
      <c r="N2425" s="2" t="inlineStr">
        <is>
          <t>ข้อ ๑๐ (PLE_CC1_Key_Rx20_UBU.md)</t>
        </is>
      </c>
      <c r="O2425" s="2" t="inlineStr">
        <is>
          <t>Mock</t>
        </is>
      </c>
      <c r="P2425" s="2" t="inlineStr">
        <is>
          <t>Mock Rx20 UBU</t>
        </is>
      </c>
    </row>
    <row r="2426" ht="13.2" customHeight="1" s="37">
      <c r="A2426" s="8" t="inlineStr">
        <is>
          <t>2447</t>
        </is>
      </c>
      <c r="B2426" s="2" t="inlineStr">
        <is>
          <t>โฆษณาขายยาแผนโบราณนี้มีความผิดเรื่องการโฆษณาตามข้อใดชัดเจนที่สุด</t>
        </is>
      </c>
      <c r="C2426" s="2" t="n"/>
      <c r="D2426" s="2" t="inlineStr">
        <is>
          <t>โฆษณาสรรพคุณยาอันตราย</t>
        </is>
      </c>
      <c r="E2426" s="2" t="inlineStr">
        <is>
          <t>โฆษณายกย่องสรรพคุณโดยบุคคลอื่น</t>
        </is>
      </c>
      <c r="F2426" s="2" t="inlineStr">
        <is>
          <t>โฆษณาว่าสามารถรักษาโรคตามที่รัฐมนตรีประกาศ</t>
        </is>
      </c>
      <c r="G2426" s="2" t="inlineStr">
        <is>
          <t>โฆษณาโอ้อวดเกินจริง</t>
        </is>
      </c>
      <c r="H2426" s="2" t="inlineStr">
        <is>
          <t>โฆษณาโดยแสดงความทุกข์ทรมาน คำอธิบาย</t>
        </is>
      </c>
      <c r="I2426" s="8" t="inlineStr">
        <is>
          <t>2</t>
        </is>
      </c>
      <c r="J2426" s="2" t="inlineStr">
        <is>
          <t>✅ คำตอบที่ถูกต้อง: ข้อ ข. โฆษณายกย่องสรรพคุณโดยบุคคลอื่น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โฆษณายกย่องสรรพคุณโดยบุคคลอื่น 💡 คำอธิบายและเหตุผลทางเภสัชกรรม:
💡 คำอธิบายและเหตุผลทางเภสัชกรรม:
การเลือก โฆษณายกย่องสรรพคุณโดยบุคคลอื่น เป็นคำตอบที่ถูกต้องและสอดคล้องกับ evidence-based guidelines ของภาวะ Herbal Medicine โดยมี clinical efficacy สูงสุดในการรักษาและมี safety profile ที่เหมาะสม
USP/NF, British Pharmacopoeia (BP) และ Remington: The Science and Practice of Pharmacy (หัวข้อ Herbal Medicine)
🔍 ข้ออื่นผิดเพราะอะไร:
• ข้อ ก. (โฆษณาสรรพคุณยาอันตราย):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(โฆษณาว่าสามารถรักษาโรคตามที่รัฐมนตรีประกาศ): ข้อนี้ไม่ใช่คำตอบที่ถูกต้องสำหรับภาวะ Herbal Medicine เนื่องจากกลไกการออกฤทธิ์, efficacy หรือข้อบ่งใช้ไม่ตรงกับโจทย์ที่กำหนด
• ข้อ ง. (โฆษณาโอ้อวดเกินจริง): ข้อนี้ไม่ใช่คำตอบที่ถูกต้องสำหรับภาวะ Herbal Medicine เนื่องจากกลไกการออกฤทธิ์, efficacy หรือข้อบ่งใช้ไม่ตรงกับโจทย์ที่กำหนด
• ข้อ จ. (โฆษณาโดยแสดงความทุกข์ทรมาน คำอธิบาย): ข้อนี้ไม่ใช่คำตอบที่ถูกต้องสำหรับภาวะ Herbal Medicine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26" s="2" t="n"/>
      <c r="L2426" s="2" t="inlineStr">
        <is>
          <t>Herbal Medicine</t>
        </is>
      </c>
      <c r="M2426" s="2" t="inlineStr">
        <is>
          <t>Product</t>
        </is>
      </c>
      <c r="N2426" s="2" t="inlineStr">
        <is>
          <t>ข้อ 114 (PLE_CC1_Key_Rx20_UBU.md)</t>
        </is>
      </c>
      <c r="O2426" s="2" t="inlineStr">
        <is>
          <t>Mock</t>
        </is>
      </c>
      <c r="P2426" s="2" t="inlineStr">
        <is>
          <t>Mock Rx20 UBU</t>
        </is>
      </c>
    </row>
    <row r="2427" ht="13.2" customHeight="1" s="37">
      <c r="A2427" s="8" t="inlineStr">
        <is>
          <t>2448</t>
        </is>
      </c>
      <c r="B2427" s="2" t="inlineStr">
        <is>
          <t>ยาในข้อใดจัดเป็นยาปลอม</t>
        </is>
      </c>
      <c r="C2427" s="2" t="n"/>
      <c r="D2427" s="2" t="inlineStr">
        <is>
          <t>ยาครีมแยกชั้น</t>
        </is>
      </c>
      <c r="E2427" s="2" t="inlineStr">
        <is>
          <t>ยาขี้ผึ้งเยิ้มเหลว</t>
        </is>
      </c>
      <c r="F2427" s="2" t="inlineStr">
        <is>
          <t>ยาเม็ดเปราะแตก</t>
        </is>
      </c>
      <c r="G2427" s="2" t="inlineStr">
        <is>
          <t>ยาที่ใช้ทะเบียนยาอื่น</t>
        </is>
      </c>
      <c r="H2427" s="2" t="inlineStr">
        <is>
          <t>ยาที่มีปริมาณตัวยาเกินเกณฑ์ 15% คำอธิบาย - ยาหรือวัตถุต่อไปนี้เป็นยาปลอม (ไม่เป็นความจริงในทางกายภาพ เอกสาร หรือผิดมาตรฐานไปมาก) (๑) ยาหรือวัตถุที่ทำเทียมทั้งหมดหรือแต่บางส่วนว่าเป็นยาแท้ (๒) ยาที่แสดงชื่อว่าเป็นยาอื่น หรือแสดงเดือน ปีที่ยาสิ้นอายุซึ่งมิใช่ความจริง (๓) ยาที่แสดงชื่อหรือเครื่องหมายของผู้ผลิตหรือที่ตั้งสถานที่ผลิตยา ซึ่งมิใช่ความจริง (๔) ยาที่แสดงว่าเป็นยาตามตำรับยาที่ขึ้นทะเบียนไว้ซึ่งมิใช่ความจริง (๕) ยาที่ผลิตขึ้นไม่ถูกต้องตามมาตรฐานถึงขนาดที่ปริมาณหรือความแรงของสาร ออกฤทธิ์ขาดหรือเกินกว่าร้อยละยี่สิบจากเกณฑ์ต่ำสุดหรือสูงสุด</t>
        </is>
      </c>
      <c r="I2427" s="8" t="inlineStr">
        <is>
          <t>4</t>
        </is>
      </c>
      <c r="J2427" s="2" t="inlineStr">
        <is>
          <t>✅ คำตอบที่ถูกต้อง: ข้อ ง. ยาที่ใช้ทะเบียนยาอื่น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ยาที่ใช้ทะเบียนยาอื่น การเลือก ยาที่ใช้ทะเบียนยาอื่น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(ยาครีมแยกชั้น): ข้อนี้ไม่ใช่คำตอบที่ถูกต้องสำหรับภาวะ General Therapeutics เนื่องจากกลไกการออกฤทธิ์, efficacy หรือข้อบ่งใช้ไม่ตรงกับโจทย์ที่กำหนด
• ข้อ ข. (ยาขี้ผึ้งเยิ้มเหลว): ข้อนี้ไม่ใช่คำตอบที่ถูกต้องสำหรับภาวะ General Therapeutics เนื่องจากกลไกการออกฤทธิ์, efficacy หรือข้อบ่งใช้ไม่ตรงกับโจทย์ที่กำหนด
• ข้อ ค. (ยาเม็ดเปราะแตก): ข้อนี้ไม่ใช่คำตอบที่ถูกต้องสำหรับภาวะ General Therapeutics เนื่องจากกลไกการออกฤทธิ์, efficacy หรือข้อบ่งใช้ไม่ตรงกับโจทย์ที่กำหนด
• ข้อ จ. (ยาที่มีปริมาณตัวยาเกินเกณฑ์ 15% คำอธิบาย - ยาหรือวัตถุต่อไปนี้เป็นยาปลอม (ไม่เป็นความจริงในทางกายภาพ เอกสาร หรือผิดมาตรฐานไปมาก) (๑) ยาหรือวัตถุที่ทำเทียมทั้งหมดหรือแต่บางส่วนว่าเป็นยาแท้ (๒) ยาที่แสดงชื่อว่าเป็นยาอื่น หรือแสดงเดือน ปีที่ยาสิ้นอายุซึ่งมิใช่ความจริง (๓) ยาที่แสดงชื่อหรือเครื่องหมายของผู้ผลิตหรือที่ตั้งสถานที่ผลิตยา ซึ่งมิใช่ความจริง (๔) ยาที่แสดงว่าเป็นยาตามตำรับยาที่ขึ้นทะเบียนไว้ซึ่งมิใช่ความจริง (๕) ยาที่ผลิตขึ้นไม่ถูกต้องตามมาตรฐานถึงขนาดที่ปริมาณหรือความแรงของสาร ออกฤทธิ์ขาดหรือเกินกว่าร้อยละยี่สิบจากเกณฑ์ต่ำสุดหรือสูงสุด):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7" s="2" t="n"/>
      <c r="L2427" s="2" t="inlineStr">
        <is>
          <t>General Therapeutics</t>
        </is>
      </c>
      <c r="M2427" s="2" t="inlineStr">
        <is>
          <t>Clinic</t>
        </is>
      </c>
      <c r="N2427" s="2" t="inlineStr">
        <is>
          <t>ข้อ 116 (PLE_CC1_Key_Rx20_UBU.md)</t>
        </is>
      </c>
      <c r="O2427" s="2" t="inlineStr">
        <is>
          <t>Mock</t>
        </is>
      </c>
      <c r="P2427" s="2" t="inlineStr">
        <is>
          <t>Mock Rx20 UBU</t>
        </is>
      </c>
    </row>
    <row r="2428" ht="13.2" customHeight="1" s="37">
      <c r="A2428" s="8" t="inlineStr">
        <is>
          <t>2449</t>
        </is>
      </c>
      <c r="B2428" s="2" t="inlineStr">
        <is>
          <t>ยาใดไม่สามารถขายได้ในร้านสะดวกซื้อ</t>
        </is>
      </c>
      <c r="C2428" s="2" t="n"/>
      <c r="D2428" s="2" t="inlineStr">
        <is>
          <t>Vitamin C 100 mg 10 เม็ด</t>
        </is>
      </c>
      <c r="E2428" s="2" t="inlineStr">
        <is>
          <t>ยาแก้ไอน้ำดำ 60ml</t>
        </is>
      </c>
      <c r="F2428" s="2" t="inlineStr">
        <is>
          <t>Dimenhydrinate 50mg 2 เม็ด</t>
        </is>
      </c>
      <c r="G2428" s="2" t="inlineStr">
        <is>
          <t>Bromhexine</t>
        </is>
      </c>
      <c r="H2428" s="2" t="inlineStr">
        <is>
          <t>Paracetamol 325 mg บรรจุแผงละ 10 เม็ด คำอธิบาย Vitamin C 100 mg 10 เม็ด เป็นยาสามัญประจำบ้าน ยาแก้ไอน้ำดำ 60ml เป็นยาสามัญประจำบ้าน Dimenhydrinate 50mg 2 เม็ด เป็นยาสามัญประจำบ้าน Bromhexine ยาแผนปัจจุบันบรรจุเสร็จที่ไม่ใช่ยาอันตรายหรือยาควบคุมพิเศษ ขย.2 ขึ้นไป Paracetamol 325 mg บรรจุแผงละ 10 เม็ด เป็นยาสามัญประจำบ้าน</t>
        </is>
      </c>
      <c r="I2428" s="8" t="inlineStr">
        <is>
          <t>4</t>
        </is>
      </c>
      <c r="J2428" s="2" t="inlineStr">
        <is>
          <t>✅ คำตอบที่ถูกต้อง: ข้อ ง. Bromhexine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Bromhexine การเลือก Bromhexine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(Vitamin C 100 mg 10 เม็ด): ข้อนี้ไม่ใช่คำตอบที่ถูกต้องสำหรับภาวะ General Therapeutics เนื่องจากกลไกการออกฤทธิ์, efficacy หรือข้อบ่งใช้ไม่ตรงกับโจทย์ที่กำหนด
• ข้อ ข. (ยาแก้ไอน้ำดำ 60ml): ข้อนี้ไม่ใช่คำตอบที่ถูกต้องสำหรับภาวะ General Therapeutics เนื่องจากกลไกการออกฤทธิ์, efficacy หรือข้อบ่งใช้ไม่ตรงกับโจทย์ที่กำหนด
• ข้อ ค. (Dimenhydrinate 50mg 2 เม็ด): ข้อนี้ไม่ใช่คำตอบที่ถูกต้องสำหรับภาวะ General Therapeutics เนื่องจากกลไกการออกฤทธิ์, efficacy หรือข้อบ่งใช้ไม่ตรงกับโจทย์ที่กำหนด
• ข้อ จ. (Paracetamol 325 mg บรรจุแผงละ 10 เม็ด คำอธิบาย Vitamin C 100 mg 10 เม็ด เป็นยาสามัญประจำบ้าน ยาแก้ไอน้ำดำ 60ml เป็นยาสามัญประจำบ้าน Dimenhydrinate 50mg 2 เม็ด เป็นยาสามัญประจำบ้าน Bromhexine ยาแผนปัจจุบันบรรจุเสร็จที่ไม่ใช่ยาอันตรายหรือยาควบคุมพิเศษ ขย.2 ขึ้นไป Paracetamol 325 mg บรรจุแผงละ 10 เม็ด เป็นยาสามัญประจำบ้าน):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28" s="2" t="n"/>
      <c r="L2428" s="2" t="inlineStr">
        <is>
          <t>General Therapeutics</t>
        </is>
      </c>
      <c r="M2428" s="2" t="inlineStr">
        <is>
          <t>Clinic</t>
        </is>
      </c>
      <c r="N2428" s="2" t="inlineStr">
        <is>
          <t>ข้อ 119 (PLE_CC1_Key_Rx20_UBU.md)</t>
        </is>
      </c>
      <c r="O2428" s="2" t="inlineStr">
        <is>
          <t>Mock</t>
        </is>
      </c>
      <c r="P2428" s="2" t="inlineStr">
        <is>
          <t>Mock Rx20 UBU</t>
        </is>
      </c>
    </row>
    <row r="2429" ht="13.2" customHeight="1" s="37">
      <c r="A2429" s="8" t="inlineStr">
        <is>
          <t>2450</t>
        </is>
      </c>
      <c r="B2429" s="2" t="inlineStr">
        <is>
          <t>ผู้ป่วยได้รับยา Paclitaxel ควรให้ยาใดเป็น Premedication</t>
        </is>
      </c>
      <c r="C2429" s="2" t="n"/>
      <c r="D2429" s="2" t="inlineStr">
        <is>
          <t>Dexamethasone</t>
        </is>
      </c>
      <c r="E2429" s="2" t="inlineStr">
        <is>
          <t>Dexamethasone + Diphenhydramine</t>
        </is>
      </c>
      <c r="F2429" s="2" t="inlineStr">
        <is>
          <t>Dexamethasone + Diphenhydramine + Ranitidine</t>
        </is>
      </c>
      <c r="G2429" s="2" t="inlineStr">
        <is>
          <t>Dexamethasone + Diphenhydramine + Paracetamol</t>
        </is>
      </c>
      <c r="H2429" s="2" t="inlineStr">
        <is>
          <t>Dexamethasone + Ondansetron</t>
        </is>
      </c>
      <c r="I2429" s="8" t="inlineStr">
        <is>
          <t>3</t>
        </is>
      </c>
      <c r="J2429" s="2" t="inlineStr">
        <is>
          <t>✅ คำตอบที่ถูกต้อง: ข้อ ค. Dexamethasone + Diphenhydramine + Ranitidine
💡 Background:
การบริบาลผู้ป่วยในกลุ่มโรค Oncology &amp; Chemotherapy มุ่งเน้นการควบคุมโรคและลดความเสี่ยงต่อภาวะแทรกซ้อนด้วย evidence-based pharmacotherapy
🎯 ทำไมข้อนี้ถึงถูก:
Dexamethasone + Diphenhydramine + Ranitidine การเลือก Dexamethasone + Diphenhydramine + Ranitidine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(Dexamethasone + Diphenhydramine): เป็น long-acting potent glucocorticoid ไม่มี mineralocorticoid effect จึงไม่ทำให้น้ำคั่ง เหมาะสำหรับ brain edema, antiemetic, และ COVID-19 with hypoxemia
• ข้อ ง. (Dexamethasone + Diphenhydramine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(Dexamethasone + Ondansetron): เป็น long-acting potent glucocorticoid ไม่มี mineralocorticoid effect จึงไม่ทำให้น้ำคั่ง เหมาะสำหรับ brain edema, antiemetic, และ COVID-19 with hypoxemia
📖 Guideline อ้างอิง:
[NEED_REVIEW]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429" s="2" t="n"/>
      <c r="L2429" s="2" t="inlineStr">
        <is>
          <t>Oncology &amp; Chemotherapy</t>
        </is>
      </c>
      <c r="M2429" s="2" t="inlineStr">
        <is>
          <t>Clinic</t>
        </is>
      </c>
      <c r="N2429" s="2" t="inlineStr">
        <is>
          <t>ข้อ 13 (PLE_CC1_Key_Rx20_UBU.md)</t>
        </is>
      </c>
      <c r="O2429" s="2" t="inlineStr">
        <is>
          <t>Mock</t>
        </is>
      </c>
      <c r="P2429" s="2" t="inlineStr">
        <is>
          <t>Mock Rx20 UBU</t>
        </is>
      </c>
    </row>
    <row r="2430" ht="13.2" customHeight="1" s="37">
      <c r="A2430" s="8" t="inlineStr">
        <is>
          <t>2451</t>
        </is>
      </c>
      <c r="B2430" s="2" t="inlineStr">
        <is>
          <t>หากตรวจพบ HER-2 positive ผู้ป่วยควรได้รับยาใดเพิ่ม</t>
        </is>
      </c>
      <c r="C2430" s="2" t="n"/>
      <c r="D2430" s="2" t="inlineStr">
        <is>
          <t>Trastuzumab</t>
        </is>
      </c>
      <c r="E2430" s="2" t="inlineStr">
        <is>
          <t>Rituximab</t>
        </is>
      </c>
      <c r="F2430" s="2" t="inlineStr">
        <is>
          <t>Bevacizumab</t>
        </is>
      </c>
      <c r="G2430" s="2" t="inlineStr">
        <is>
          <t>Cetuximab</t>
        </is>
      </c>
      <c r="H2430" s="2" t="inlineStr">
        <is>
          <t>Adalimumab</t>
        </is>
      </c>
      <c r="I2430" s="8" t="inlineStr">
        <is>
          <t>1</t>
        </is>
      </c>
      <c r="J2430" s="2" t="inlineStr">
        <is>
          <t>✅ คำตอบที่ถูกต้อง: ข้อ ก. Trastuzumab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Trastuzumab การเลือก Trastuzumab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(Rituximab): ข้อนี้ไม่ใช่คำตอบที่ถูกต้องสำหรับภาวะ General Therapeutics เนื่องจากกลไกการออกฤทธิ์, efficacy หรือข้อบ่งใช้ไม่ตรงกับโจทย์ที่กำหนด
• ข้อ ค. (Bevacizumab): ข้อนี้ไม่ใช่คำตอบที่ถูกต้องสำหรับภาวะ General Therapeutics เนื่องจากกลไกการออกฤทธิ์, efficacy หรือข้อบ่งใช้ไม่ตรงกับโจทย์ที่กำหนด
• ข้อ ง. (Cetuximab): ข้อนี้ไม่ใช่คำตอบที่ถูกต้องสำหรับภาวะ General Therapeutics เนื่องจากกลไกการออกฤทธิ์, efficacy หรือข้อบ่งใช้ไม่ตรงกับโจทย์ที่กำหนด
• ข้อ จ. (Adalimumab):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0" s="2" t="n"/>
      <c r="L2430" s="2" t="inlineStr">
        <is>
          <t>General Therapeutics</t>
        </is>
      </c>
      <c r="M2430" s="2" t="inlineStr">
        <is>
          <t>Clinic</t>
        </is>
      </c>
      <c r="N2430" s="2" t="inlineStr">
        <is>
          <t>ข้อ 14 (PLE_CC1_Key_Rx20_UBU.md)</t>
        </is>
      </c>
      <c r="O2430" s="2" t="inlineStr">
        <is>
          <t>Mock</t>
        </is>
      </c>
      <c r="P2430" s="2" t="inlineStr">
        <is>
          <t>Mock Rx20 UBU</t>
        </is>
      </c>
    </row>
    <row r="2431" ht="13.2" customHeight="1" s="37">
      <c r="A2431" s="8" t="inlineStr">
        <is>
          <t>2452</t>
        </is>
      </c>
      <c r="B2431" s="2" t="inlineStr">
        <is>
          <t>หลังได้รับยา Cycle ที่ 3 พบว่ามีปัสสาวะเป็นเลือดผู้ป่วยควรได้รับยาใดเพื่อป้องกัน</t>
        </is>
      </c>
      <c r="C2431" s="2" t="n"/>
      <c r="D2431" s="2" t="inlineStr">
        <is>
          <t>Dexrazoxane</t>
        </is>
      </c>
      <c r="E2431" s="2" t="inlineStr">
        <is>
          <t>Acrolein</t>
        </is>
      </c>
      <c r="F2431" s="2" t="inlineStr">
        <is>
          <t>Mesna</t>
        </is>
      </c>
      <c r="G2431" s="2" t="inlineStr">
        <is>
          <t>Leucovorin</t>
        </is>
      </c>
      <c r="H2431" s="2" t="inlineStr">
        <is>
          <t>Hyaluronidase Dexrazoxane : Doxorubicin induced cardiotoxicity Acrolein: Toxic metabolite Leucovorin : Methothexate induced Megaloblastic anemia , 5- FU: Stabilize Thymidylase syntase</t>
        </is>
      </c>
      <c r="I2431" s="8" t="inlineStr">
        <is>
          <t>3</t>
        </is>
      </c>
      <c r="J2431" s="2" t="inlineStr">
        <is>
          <t>✅ คำตอบที่ถูกต้อง: ข้อ ค. Mesna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Mesna การเลือก Mesna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(Dexrazoxane): ข้อนี้ไม่ใช่คำตอบที่ถูกต้องสำหรับภาวะ General Therapeutics เนื่องจากกลไกการออกฤทธิ์, efficacy หรือข้อบ่งใช้ไม่ตรงกับโจทย์ที่กำหนด
• ข้อ ข. (Acrolein): ข้อนี้ไม่ใช่คำตอบที่ถูกต้องสำหรับภาวะ General Therapeutics เนื่องจากกลไกการออกฤทธิ์, efficacy หรือข้อบ่งใช้ไม่ตรงกับโจทย์ที่กำหนด
• ข้อ ง. (Leucovorin): ข้อนี้ไม่ใช่คำตอบที่ถูกต้องสำหรับภาวะ General Therapeutics เนื่องจากกลไกการออกฤทธิ์, efficacy หรือข้อบ่งใช้ไม่ตรงกับโจทย์ที่กำหนด
• ข้อ จ. (Hyaluronidase Dexrazoxane : Doxorubicin induced cardiotoxicity Acrolein: Toxic metabolite Leucovorin : Methothexate induced Megaloblastic anemia , 5- FU: Stabilize Thymidylase syntase):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1" s="2" t="n"/>
      <c r="L2431" s="2" t="inlineStr">
        <is>
          <t>General Therapeutics</t>
        </is>
      </c>
      <c r="M2431" s="2" t="inlineStr">
        <is>
          <t>Clinic</t>
        </is>
      </c>
      <c r="N2431" s="2" t="inlineStr">
        <is>
          <t>ข้อ 15 (PLE_CC1_Key_Rx20_UBU.md)</t>
        </is>
      </c>
      <c r="O2431" s="2" t="inlineStr">
        <is>
          <t>Mock</t>
        </is>
      </c>
      <c r="P2431" s="2" t="inlineStr">
        <is>
          <t>Mock Rx20 UBU</t>
        </is>
      </c>
    </row>
    <row r="2432" ht="13.2" customHeight="1" s="37">
      <c r="A2432" s="8" t="inlineStr">
        <is>
          <t>2453</t>
        </is>
      </c>
      <c r="B2432" s="2" t="inlineStr">
        <is>
          <t>ควรปรับเปลี่ยนยาในข้อใด</t>
        </is>
      </c>
      <c r="C2432" s="2" t="n"/>
      <c r="D2432" s="2" t="inlineStr">
        <is>
          <t>Glipizide</t>
        </is>
      </c>
      <c r="E2432" s="2" t="inlineStr">
        <is>
          <t>Insulin glargine</t>
        </is>
      </c>
      <c r="F2432" s="2" t="inlineStr">
        <is>
          <t>Metformin</t>
        </is>
      </c>
      <c r="G2432" s="2" t="inlineStr">
        <is>
          <t>Propranolol</t>
        </is>
      </c>
      <c r="H2432" s="2" t="inlineStr">
        <is>
          <t>ไม่ต้องทำอะไร</t>
        </is>
      </c>
      <c r="I2432" s="8" t="inlineStr">
        <is>
          <t>1</t>
        </is>
      </c>
      <c r="J2432" s="2" t="inlineStr">
        <is>
          <t>✅ คำตอบที่ถูกต้อง: ข้อ ก. Glipizide
💡 Background:
กฎหมายยาและจรรยาบรรณวิชาชีพมีขึ้นเพื่อคุ้มครองความปลอดภัยของผู้บริโภคตามมาตรฐาน Good Pharmacy Practice (GPP)
🎯 ทำไมข้อนี้ถึงถูก:
Glipizide 💡 คำอธิบายและข้อกำหนดทางกฎหมาย:
💡 คำอธิบายและข้อกำหนดทางกฎหมาย: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(Insulin glargine): ข้อนี้ไม่ใช่คำตอบที่ถูกต้องสำหรับภาวะ Pharmacy Laws &amp; Ethics เนื่องจากกลไกการออกฤทธิ์, efficacy หรือข้อบ่งใช้ไม่ตรงกับโจทย์ที่กำหนด
• ข้อ ค.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(Propranolol): เป็น non-selective beta-blocker ข้าม blood-brain barrier ได้ดี เหมาะสำหรับ performance anxiety, essential tremor, migraine prophylaxis และ thyroid storm แต่ contraindication ใน asthma
• ข้อ จ. (ไม่ต้องทำอะไร): ข้อนี้ไม่ใช่คำตอบที่ถูกต้องสำหรับภาวะ Pharmacy Laws &amp; Ethics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2" s="2" t="n"/>
      <c r="L2432" s="2" t="inlineStr">
        <is>
          <t>Pharmacy Laws &amp; Ethics</t>
        </is>
      </c>
      <c r="M2432" s="2" t="inlineStr">
        <is>
          <t>SAP</t>
        </is>
      </c>
      <c r="N2432" s="2" t="inlineStr">
        <is>
          <t>ข้อ 19 (PLE_CC1_Key_Rx20_UBU.md)</t>
        </is>
      </c>
      <c r="O2432" s="2" t="inlineStr">
        <is>
          <t>Mock</t>
        </is>
      </c>
      <c r="P2432" s="2" t="inlineStr">
        <is>
          <t>Mock Rx20 UBU</t>
        </is>
      </c>
    </row>
    <row r="2433" ht="13.2" customHeight="1" s="37">
      <c r="A2433" s="8" t="inlineStr">
        <is>
          <t>2454</t>
        </is>
      </c>
      <c r="B2433" s="2" t="inlineStr">
        <is>
          <t>หากผู้ป่วยรายนี้มีอาการน้ำตาลในเลือดต่ำสังเกตได้จากอาการใด</t>
        </is>
      </c>
      <c r="C2433" s="2" t="n"/>
      <c r="D2433" s="2" t="inlineStr">
        <is>
          <t>ใจสั่น</t>
        </is>
      </c>
      <c r="E2433" s="2" t="inlineStr">
        <is>
          <t>มือสั่น</t>
        </is>
      </c>
      <c r="F2433" s="2" t="inlineStr">
        <is>
          <t>เหงื่อออก</t>
        </is>
      </c>
      <c r="G2433" s="2" t="inlineStr">
        <is>
          <t>กล้ามเนื้ออ่อนแรง</t>
        </is>
      </c>
      <c r="H2433" s="2" t="inlineStr">
        <is>
          <t>ปากแห้ง คอแห้ง Hypoglycemia กล้ามเนื้ออ่อนแรง ปากแห้ง คอแห้ง : ไม่ได้เป็นอาการของการเกิด Hypoglycemia</t>
        </is>
      </c>
      <c r="I2433" s="8" t="inlineStr">
        <is>
          <t>3</t>
        </is>
      </c>
      <c r="J2433" s="2" t="inlineStr">
        <is>
          <t>✅ คำตอบที่ถูกต้อง: ข้อ ค. เหงื่อออก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เหงื่อออก การเลือก เหงื่อออก เป็นคำตอบที่ถูกต้องและสอดคล้องกับ evidence-based guidelines ของภาวะ Diabetes &amp; Endocrine โดยมี clinical efficacy สูงสุดในการรักษาและมี safety profile ที่เหมาะสม
🔍 ข้ออื่นผิดเพราะอะไร:
• ข้อ ก. (ใจสั่น): ข้อนี้ไม่ใช่คำตอบที่ถูกต้องสำหรับภาวะ Diabetes &amp; Endocrine เนื่องจากกลไกการออกฤทธิ์, efficacy หรือข้อบ่งใช้ไม่ตรงกับโจทย์ที่กำหนด
• ข้อ ข. (มือสั่น): ข้อนี้ไม่ใช่คำตอบที่ถูกต้องสำหรับภาวะ Diabetes &amp; Endocrine เนื่องจากกลไกการออกฤทธิ์, efficacy หรือข้อบ่งใช้ไม่ตรงกับโจทย์ที่กำหนด
• ข้อ ง. (กล้ามเนื้ออ่อนแรง): ข้อนี้ไม่ใช่คำตอบที่ถูกต้องสำหรับภาวะ Diabetes &amp; Endocrine เนื่องจากกลไกการออกฤทธิ์, efficacy หรือข้อบ่งใช้ไม่ตรงกับโจทย์ที่กำหนด
• ข้อ จ. (ปากแห้ง คอแห้ง Hypoglycemia กล้ามเนื้ออ่อนแรง ปากแห้ง คอแห้ง : ไม่ได้เป็นอาการของการเกิด Hypoglycemia): ข้อนี้ไม่ใช่คำตอบที่ถูกต้องสำหรับภาวะ Diabetes &amp; Endocrine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2433" s="2" t="n"/>
      <c r="L2433" s="2" t="inlineStr">
        <is>
          <t>Diabetes &amp; Endocrine</t>
        </is>
      </c>
      <c r="M2433" s="2" t="inlineStr">
        <is>
          <t>Clinic</t>
        </is>
      </c>
      <c r="N2433" s="2" t="inlineStr">
        <is>
          <t>ข้อ 21 (PLE_CC1_Key_Rx20_UBU.md)</t>
        </is>
      </c>
      <c r="O2433" s="2" t="inlineStr">
        <is>
          <t>Mock</t>
        </is>
      </c>
      <c r="P2433" s="2" t="inlineStr">
        <is>
          <t>Mock Rx20 UBU</t>
        </is>
      </c>
    </row>
    <row r="2434" ht="13.2" customHeight="1" s="37">
      <c r="A2434" s="8" t="inlineStr">
        <is>
          <t>2455</t>
        </is>
      </c>
      <c r="B2434" s="2" t="inlineStr">
        <is>
          <t>ควรใช้ยาอะไรในการรักษาผู้ป่วยรายนี้</t>
        </is>
      </c>
      <c r="C2434" s="2" t="n"/>
      <c r="D2434" s="2" t="inlineStr">
        <is>
          <t>Fluconazole</t>
        </is>
      </c>
      <c r="E2434" s="2" t="inlineStr">
        <is>
          <t>Clotrimoxazole</t>
        </is>
      </c>
      <c r="F2434" s="2" t="inlineStr">
        <is>
          <t>metronidazole</t>
        </is>
      </c>
      <c r="G2434" s="2" t="inlineStr">
        <is>
          <t>Tinidazole</t>
        </is>
      </c>
      <c r="H2434" s="2" t="inlineStr">
        <is>
          <t>Azithromycin ในผู้ป่วยรายนี้เนื่องจากมีประวัติการใช้ Clotrimazole มาแล้วหลายครั้งแล้วยังเกิด Relaspe ซึ่งมีโอกาสที่จะเกิด Drug resistant ได้สูง</t>
        </is>
      </c>
      <c r="I2434" s="8" t="inlineStr">
        <is>
          <t>3</t>
        </is>
      </c>
      <c r="J2434" s="2" t="inlineStr">
        <is>
          <t>✅ คำตอบที่ถูกต้อง: ข้อ ค. metronidazole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metronidazole การเลือก metronidazole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ก. (Fluconazole): เป็น Triazole antifungal เป็น first-line สำหรับ Candida albicans และ Cryptococcal maintenance therapy ขับออกทางไตเด่นชัดจึงต้องปรับ dose ตาม CrCl
• ข้อ ข. (Clotrimoxazole): ข้อนี้ไม่ใช่คำตอบที่ถูกต้องสำหรับภาวะ General Therapeutics เนื่องจากกลไกการออกฤทธิ์, efficacy หรือข้อบ่งใช้ไม่ตรงกับโจทย์ที่กำหนด
• ข้อ ง. (Tinidazole): ข้อนี้ไม่ใช่คำตอบที่ถูกต้องสำหรับภาวะ General Therapeutics เนื่องจากกลไกการออกฤทธิ์, efficacy หรือข้อบ่งใช้ไม่ตรงกับโจทย์ที่กำหนด
• ข้อ จ. (Azithromycin ในผู้ป่วยรายนี้เนื่องจากมีประวัติการใช้ Clotrimazole มาแล้วหลายครั้งแล้วยังเกิด Relaspe ซึ่งมีโอกาสที่จะเกิด Drug resistant ได้สูง):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4" s="2" t="n"/>
      <c r="L2434" s="2" t="inlineStr">
        <is>
          <t>General Therapeutics</t>
        </is>
      </c>
      <c r="M2434" s="2" t="inlineStr">
        <is>
          <t>Clinic</t>
        </is>
      </c>
      <c r="N2434" s="2" t="inlineStr">
        <is>
          <t>ข้อ 29 (PLE_CC1_Key_Rx20_UBU.md)</t>
        </is>
      </c>
      <c r="O2434" s="2" t="inlineStr">
        <is>
          <t>Mock</t>
        </is>
      </c>
      <c r="P2434" s="2" t="inlineStr">
        <is>
          <t>Mock Rx20 UBU</t>
        </is>
      </c>
    </row>
    <row r="2435" ht="13.2" customHeight="1" s="37">
      <c r="A2435" s="8" t="inlineStr">
        <is>
          <t>2456</t>
        </is>
      </c>
      <c r="B2435" s="2" t="inlineStr">
        <is>
          <t>จำเป็นต้องให้การรักษาคู่นอนหรือไม่หากจำเป็นควรรักษาด้วยยาใด</t>
        </is>
      </c>
      <c r="C2435" s="2" t="n"/>
      <c r="D2435" s="2" t="inlineStr">
        <is>
          <t>รักษาด้วย metronidazole 2g OD</t>
        </is>
      </c>
      <c r="E2435" s="2" t="inlineStr">
        <is>
          <t>รักษาด้วย tinidazole 2g OD</t>
        </is>
      </c>
      <c r="F2435" s="2" t="inlineStr">
        <is>
          <t>รักษาด้วย azithromycin 2g OD</t>
        </is>
      </c>
      <c r="G2435" s="2" t="inlineStr">
        <is>
          <t>รักษาด้วย fluconazole 150 mg OD Day 1,4,7</t>
        </is>
      </c>
      <c r="H2435" s="2" t="inlineStr">
        <is>
          <t>ไม่จำเป็นต้องรักษาคู่นอน ที่อยู่ที่ช่องคลอดเพศหญิงซึ่งปกติมักไม่ก่อโรคเว้นจะมีสภาวะที่ไม่เหมาะสม เช่น ในผู้ป่วยรายนี้มีการใช้ยาสวนล้างช่องคลอด ปัจจุบันจึงมีหลายแนวทางการรักษาที่ไม่จัดว่า Vaginal candidiasis เป็นโรคติดต่อทางเพศสัมพันธ์ ข้อ 31-60 ของวิรุฬห์</t>
        </is>
      </c>
      <c r="I2435" s="8" t="inlineStr">
        <is>
          <t>5</t>
        </is>
      </c>
      <c r="J2435" s="2" t="inlineStr">
        <is>
          <t>✅ คำตอบที่ถูกต้อง: ข้อ จ. ไม่จำเป็นต้องรักษาคู่นอน ที่อยู่ที่ช่องคลอดเพศหญิงซึ่งปกติมักไม่ก่อโรคเว้นจะมีสภาวะที่ไม่เหมาะสม เช่น ในผู้ป่วยรายนี้มีการใช้ยาสวนล้างช่องคลอด ปัจจุบันจึงมีหลายแนวทางการรักษาที่ไม่จัดว่า Vaginal candidiasis เป็นโรคติดต่อทางเพศสัมพันธ์ ข้อ 31-60 ของวิรุฬห์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ไม่จำเป็นต้องรักษาคู่นอน ที่อยู่ที่ช่องคลอดเพศหญิงซึ่งปกติมักไม่ก่อโรคเว้นจะมีสภาวะที่ไม่เหมาะสม เช่น ในผู้ป่วยรายนี้มีการใช้ยาสวนล้างช่องคลอด ปัจจุบันจึงมีหลายแนวทางการรักษาที่ไม่จัดว่า Vaginal candidiasis เป็นโรคติดต่อทางเพศสัมพันธ์ ข้อ 31-60 ของวิรุฬห์ การเลือก ไม่จำเป็นต้องรักษาคู่นอน ที่อยู่ที่ช่องคลอดเพศหญิงซึ่งปกติมักไม่ก่อโรคเว้นจะมีสภาวะที่ไม่เหมาะสม เช่น ในผู้ป่วยรายนี้มีการใช้ยาสวนล้างช่องคลอด ปัจจุบันจึงมีหลายแนวทางการรักษาที่ไม่จัดว่า Vaginal candidiasis เป็นโรคติดต่อทางเพศสัมพันธ์ ข้อ 31-60 ของวิรุฬห์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(รักษาด้วย metronidazole 2g OD): เป็น antianaerobic และ antiprotozoal agent ยับยั้ง Trichomonas vaginalis, Giardia, Amebiasis, และ anaerobes ห้ามดื่มแอลกอฮอล์ระหว่างใช้ยา (disulfiram-like reaction)
• ข้อ ข. (รักษาด้วย tinidazole 2g OD): ข้อนี้ไม่ใช่คำตอบที่ถูกต้องสำหรับภาวะ General Therapeutics เนื่องจากกลไกการออกฤทธิ์, efficacy หรือข้อบ่งใช้ไม่ตรงกับโจทย์ที่กำหนด
• ข้อ ค. (รักษาด้วย azithromycin 2g OD): เป็น Macrolide ครอบคลุม atypical pathogens (Mycoplasma, Chlamydia, Legionella) ขจัดออกทางตับเป็นหลัก และมี half-life ยาวนาน (~68 ชม.)
• ข้อ ง. (รักษาด้วย fluconazole 150 mg OD Day 1,4,7): เป็น Triazole antifungal เป็น first-line สำหรับ Candida albicans และ Cryptococcal maintenance therapy ขับออกทางไตเด่นชัดจึงต้องปรับ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5" s="2" t="n"/>
      <c r="L2435" s="2" t="inlineStr">
        <is>
          <t>General Therapeutics</t>
        </is>
      </c>
      <c r="M2435" s="2" t="inlineStr">
        <is>
          <t>Clinic</t>
        </is>
      </c>
      <c r="N2435" s="2" t="inlineStr">
        <is>
          <t>ข้อ 30 (PLE_CC1_Key_Rx20_UBU.md)</t>
        </is>
      </c>
      <c r="O2435" s="2" t="inlineStr">
        <is>
          <t>Mock</t>
        </is>
      </c>
      <c r="P2435" s="2" t="inlineStr">
        <is>
          <t>Mock Rx20 UBU</t>
        </is>
      </c>
    </row>
    <row r="2436" ht="13.2" customHeight="1" s="37">
      <c r="A2436" s="8" t="inlineStr">
        <is>
          <t>2457</t>
        </is>
      </c>
      <c r="B2436" s="2" t="inlineStr">
        <is>
          <t>ข้อใดเป็นคำแนะนำที่ต้องให้ในผู้ป่วยรายนี้</t>
        </is>
      </c>
      <c r="C2436" s="2" t="n"/>
      <c r="D2436" s="2" t="inlineStr">
        <is>
          <t>หลีกเลี่ยงการสวนล้างช่องคลอด</t>
        </is>
      </c>
      <c r="E2436" s="2" t="inlineStr">
        <is>
          <t>ดื่มนมเยอะ ๆ</t>
        </is>
      </c>
      <c r="F2436" s="2" t="inlineStr">
        <is>
          <t>ไม่ดื่มแอลกอฮอล์</t>
        </is>
      </c>
      <c r="G2436" s="2" t="inlineStr">
        <is>
          <t>เมื่อมีเพศสัมพันธ์ให้ป้องกันด้วยการสวมถุงยางอนามัย</t>
        </is>
      </c>
      <c r="H2436" s="2" t="inlineStr">
        <is>
          <t>ไม่ควรใช้ applicator ในการเหน็บยา clotrimazole Lactobacilli bacteria ที่จะสร้างความเป็นกรดในช่องคลอด ซึ่งความเป็นกรดนี้เองจะเป็นตัวป้องกันการติดเชื้อต่างๆที่จะเกิดขึ้นในช่องคลอด หากเราไปสวนล้างช่องคลอดบ่อยๆ จะไปทำให้แบคทีเรีย Lactobacilli ลดลง ทำให้เสียระบบนิเวศน์ในช่องคลอด จึงทำให้มีโอกาสติดเชื้อง่ายขึ้น (ทั้งเชื้อราและแบคทีเรีย) ส่วนข้อ b) ไม่น่าจะเกี่ยว/ c) fluconazole ไม่มี DI กับ alcohol/ d) ผู้ป่วยไม่ได้ใช้ยาเหน็บ clotrimazole แต่ได้ยารับประทาน fluconazole</t>
        </is>
      </c>
      <c r="I2436" s="8" t="inlineStr">
        <is>
          <t>1</t>
        </is>
      </c>
      <c r="J2436" s="2" t="inlineStr">
        <is>
          <t>✅ คำตอบที่ถูกต้อง: ข้อ ก. หลีกเลี่ยงการสวนล้างช่องคลอด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หลีกเลี่ยงการสวนล้างช่องคลอด เชื้อติดต่อทางเพศสัมพันธ์มักจะเป็นเชื้อพยาธิหรือแบคทีเรีย ส่วนเชื้อรามักจะเกิดในคนที่ภูมิคุ้มกันต่ำ/ e)
🔍 ข้ออื่นผิดเพราะอะไร:
• ข้อ ข. (ดื่มนมเยอะ ๆ): ข้อนี้ไม่ใช่คำตอบที่ถูกต้องสำหรับภาวะ General Therapeutics เนื่องจากกลไกการออกฤทธิ์, efficacy หรือข้อบ่งใช้ไม่ตรงกับโจทย์ที่กำหนด
• ข้อ ค. (ไม่ดื่มแอลกอฮอล์): ข้อนี้ไม่ใช่คำตอบที่ถูกต้องสำหรับภาวะ General Therapeutics เนื่องจากกลไกการออกฤทธิ์, efficacy หรือข้อบ่งใช้ไม่ตรงกับโจทย์ที่กำหนด
• ข้อ ง. (เมื่อมีเพศสัมพันธ์ให้ป้องกันด้วยการสวมถุงยางอนามัย): ข้อนี้ไม่ใช่คำตอบที่ถูกต้องสำหรับภาวะ General Therapeutics เนื่องจากกลไกการออกฤทธิ์, efficacy หรือข้อบ่งใช้ไม่ตรงกับโจทย์ที่กำหนด
• ข้อ จ. (ไม่ควรใช้ applicator ในการเหน็บยา clotrimazole Lactobacilli bacteria ที่จะสร้างความเป็นกรดในช่องคลอด ซึ่งความเป็นกรดนี้เองจะเป็นตัวป้องกันการติดเชื้อต่างๆที่จะเกิดขึ้นในช่องคลอด หากเราไปสวนล้างช่องคลอดบ่อยๆ จะไปทำให้แบคทีเรีย Lactobacilli ลดลง ทำให้เสียระบบนิเวศน์ในช่องคลอด จึงทำให้มีโอกาสติดเชื้อง่ายขึ้น (ทั้งเชื้อราและแบคทีเรีย) ส่วนข้อ b) ไม่น่าจะเกี่ยว/ c) fluconazole ไม่มี DI กับ alcohol/ d) ผู้ป่วยไม่ได้ใช้ยาเหน็บ clotrimazole แต่ได้ยารับประทาน fluconazole): เป็น Triazole antifungal เป็น first-line สำหรับ Candida albicans และ Cryptococcal maintenance therapy ขับออกทางไตเด่นชัดจึงต้องปรับ dose ตาม CrCl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6" s="2" t="n"/>
      <c r="L2436" s="2" t="inlineStr">
        <is>
          <t>General Therapeutics</t>
        </is>
      </c>
      <c r="M2436" s="2" t="inlineStr">
        <is>
          <t>Clinic</t>
        </is>
      </c>
      <c r="N2436" s="2" t="inlineStr">
        <is>
          <t>ข้อ 31 (PLE_CC1_Key_Rx20_UBU.md)</t>
        </is>
      </c>
      <c r="O2436" s="2" t="inlineStr">
        <is>
          <t>Mock</t>
        </is>
      </c>
      <c r="P2436" s="2" t="inlineStr">
        <is>
          <t>Mock Rx20 UBU</t>
        </is>
      </c>
    </row>
    <row r="2437" ht="13.2" customHeight="1" s="37">
      <c r="A2437" s="8" t="inlineStr">
        <is>
          <t>2458</t>
        </is>
      </c>
      <c r="B2437" s="2" t="inlineStr">
        <is>
          <t>ยาต้านจุลชีพในข้อใดเหมาะสมกับผู้ป่วยรายนี้</t>
        </is>
      </c>
      <c r="C2437" s="2" t="n"/>
      <c r="D2437" s="2" t="inlineStr">
        <is>
          <t>Amoxicillin</t>
        </is>
      </c>
      <c r="E2437" s="2" t="inlineStr">
        <is>
          <t>Acyclovir</t>
        </is>
      </c>
      <c r="F2437" s="2" t="inlineStr">
        <is>
          <t>Oseltamivir</t>
        </is>
      </c>
      <c r="G2437" s="2" t="inlineStr">
        <is>
          <t>Cefidinir</t>
        </is>
      </c>
      <c r="H2437" s="2" t="inlineStr">
        <is>
          <t>Dicloxacillin</t>
        </is>
      </c>
      <c r="I2437" s="8" t="inlineStr">
        <is>
          <t>3</t>
        </is>
      </c>
      <c r="J2437" s="2" t="inlineStr">
        <is>
          <t>✅ คำตอบที่ถูกต้อง: ข้อ ค. Oseltamivir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Oseltamivir การเลือก Oseltamivir เป็นคำตอบที่ถูกต้องตามแนวทางการรักษามาตรฐาน เนื่องจาก เป็น Neuraminidase inhibitor ยับยั้งการหลุดลอยของ Influenza A &amp; B ไวรัส ควรเริ่มให้ยาภายใน 48 ชั่วโมงหลังเริ่มมีอาการเพื่อ efficacy สูงสุด (ขนาดยา 75 mg BID x 5 วัน)
🔍 ข้ออื่นผิดเพราะอะไร:
• ข้อ ก. (Amoxicillin): เป็น Aminopenicillin ยับยั้ง bacterial cell wall synthesis เป็น first-line สำหรับ uncomplicated bacterial infections (เช่น Strep pharyngitis, AOM, sinusitis)
• ข้อ ข. (Acyclovir): เป็น Guanosine analog ยับยั้ง HSV และ VZV polymerase ต้องดื่มน้ำมากๆ ระหว่างได้ยา IV เพื่อป้องกัน crystal nephropathy และ obstructive AKI
• ข้อ ง. (Cefidinir): ข้อนี้ไม่ใช่คำตอบที่ถูกต้องสำหรับภาวะ General Therapeutics เนื่องจากกลไกการออกฤทธิ์, efficacy หรือข้อบ่งใช้ไม่ตรงกับโจทย์ที่กำหนด
• ข้อ จ. (Dicloxacillin): เป็น penicillinase-resistant penicillin เป็น drug of choice สำหรับ Methicillin-Susceptible Staphylococcus aureus (MSSA) infections ต้องรับประทานตอนท้องว่าง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37" s="2" t="n"/>
      <c r="L2437" s="2" t="inlineStr">
        <is>
          <t>General Therapeutics</t>
        </is>
      </c>
      <c r="M2437" s="2" t="inlineStr">
        <is>
          <t>Clinic</t>
        </is>
      </c>
      <c r="N2437" s="2" t="inlineStr">
        <is>
          <t>ข้อ 39 (PLE_CC1_Key_Rx20_UBU.md)</t>
        </is>
      </c>
      <c r="O2437" s="2" t="inlineStr">
        <is>
          <t>Mock</t>
        </is>
      </c>
      <c r="P2437" s="2" t="inlineStr">
        <is>
          <t>Mock Rx20 UBU</t>
        </is>
      </c>
    </row>
    <row r="2438" ht="13.2" customHeight="1" s="37">
      <c r="A2438" s="8" t="inlineStr">
        <is>
          <t>2459</t>
        </is>
      </c>
      <c r="B2438" s="2" t="inlineStr">
        <is>
          <t>ยาใดไม่ควรใช้เพราะทำให้เกิด Reye’s syndrome ได้</t>
        </is>
      </c>
      <c r="C2438" s="2" t="n"/>
      <c r="D2438" s="2" t="inlineStr">
        <is>
          <t>ASA</t>
        </is>
      </c>
      <c r="E2438" s="2" t="inlineStr">
        <is>
          <t>Naproxen</t>
        </is>
      </c>
      <c r="F2438" s="2" t="inlineStr">
        <is>
          <t>Diclofenac</t>
        </is>
      </c>
      <c r="G2438" s="2" t="inlineStr">
        <is>
          <t>Ibuprofen</t>
        </is>
      </c>
      <c r="H2438" s="2" t="inlineStr">
        <is>
          <t>Mefenamic acid ตอบ a) ASA เนื่องจาก Reye’s Syndrome เป็นกลุ่มอาการที่ทำให้เกิดความเสียหายต่อสมองและตับ ผู้ป่วยมักอาเจียนอย่างต่อเนื่อง กระสับกระส่าย ก้าวร้าว หรือหมดสติ บางกรณีอาจรุนแรงถึงขั้นเสียชีวิต สาเหตุสำคัญมักเกี่ยวข้องกับการติดเชื้อไวรัส หรือการใช้ยาแอสไพรินเพื่อรักษาการติดเชื้อไวรัส เกิดขึ้นได้กับทุกเพศทุกวัย โดยส่วนใหญ่พบในเด็กไปจนถึงช่วงอายุไม่เกิน 20 ปี</t>
        </is>
      </c>
      <c r="I2438" s="8" t="inlineStr">
        <is>
          <t>1</t>
        </is>
      </c>
      <c r="J2438" s="2" t="inlineStr">
        <is>
          <t>✅ คำตอบที่ถูกต้อง: ข้อ ก. ASA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ASA การเลือก ASA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(Naproxen): เป็น non-selective NSAID ที่มี cardiovascular safety profile ดีที่สุด และมี efficacy สูงในการระงับ acute inflammation
• ข้อ ค. (Diclofenac): ข้อนี้ไม่ใช่คำตอบที่ถูกต้องสำหรับภาวะ General Therapeutics เนื่องจากกลไกการออกฤทธิ์, efficacy หรือข้อบ่งใช้ไม่ตรงกับโจทย์ที่กำหนด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(Mefenamic acid ตอบ a) ASA เนื่องจาก Reye’s Syndrome เป็นกลุ่มอาการที่ทำให้เกิดความเสียหายต่อสมองและตับ ผู้ป่วยมักอาเจียนอย่างต่อเนื่อง กระสับกระส่าย ก้าวร้าว หรือหมดสติ บางกรณีอาจรุนแรงถึงขั้นเสียชีวิต สาเหตุสำคัญมักเกี่ยวข้องกับการติดเชื้อไวรัส หรือการใช้ยาแอสไพรินเพื่อรักษาการติดเชื้อไวรัส เกิดขึ้นได้กับทุกเพศทุกวัย โดยส่วนใหญ่พบในเด็กไปจนถึงช่วงอายุไม่เกิน 20 ปี):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38" s="2" t="n"/>
      <c r="L2438" s="2" t="inlineStr">
        <is>
          <t>General Therapeutics</t>
        </is>
      </c>
      <c r="M2438" s="2" t="inlineStr">
        <is>
          <t>Clinic</t>
        </is>
      </c>
      <c r="N2438" s="2" t="inlineStr">
        <is>
          <t>ข้อ 40 (PLE_CC1_Key_Rx20_UBU.md)</t>
        </is>
      </c>
      <c r="O2438" s="2" t="inlineStr">
        <is>
          <t>Mock</t>
        </is>
      </c>
      <c r="P2438" s="2" t="inlineStr">
        <is>
          <t>Mock Rx20 UBU</t>
        </is>
      </c>
    </row>
    <row r="2439" ht="13.2" customHeight="1" s="37">
      <c r="A2439" s="8" t="inlineStr">
        <is>
          <t>2460</t>
        </is>
      </c>
      <c r="B2439" s="2" t="inlineStr">
        <is>
          <t>ใส่ 1 เม็ด ในแต่ละ vessel ให้ทดสอบจำนวน 6 เม็ด หากมี 1 เม็ดปริมาณตัวยาละลายต่ำกว่ามาตรฐานกำหนด ยอมให้มีการทดสอบซ้ำได้อีก 6 เม็ด และ 6 เม็ดหลังต้องผ่านทุกเม็ด คือทดสอบทั้งหมด 12 เม็ด ต้องผ่านเกณฑ์ 11 เม็ด จึงจะสรุปว่าเข้ามาตรฐาน</t>
        </is>
      </c>
      <c r="C2439" s="2" t="n"/>
      <c r="D2439" s="2" t="inlineStr">
        <is>
          <t>N-acetylcysteine (NAC) IV infusion protocol</t>
        </is>
      </c>
      <c r="E2439" s="2" t="inlineStr">
        <is>
          <t>Atropine sulfate 2 mg IV Q5-10 min</t>
        </is>
      </c>
      <c r="F2439" s="2" t="inlineStr">
        <is>
          <t>Pralidoxime (2-PAM) 1-2 g IV over 30 min</t>
        </is>
      </c>
      <c r="G2439" s="2" t="inlineStr">
        <is>
          <t>Naloxone 0.4 mg IV stat</t>
        </is>
      </c>
      <c r="H2439" s="2" t="inlineStr">
        <is>
          <t>Flumazenil 0.2 mg IV stat</t>
        </is>
      </c>
      <c r="I2439" s="8" t="inlineStr">
        <is>
          <t>1</t>
        </is>
      </c>
      <c r="J2439"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39" s="2" t="n"/>
      <c r="L2439" s="2" t="inlineStr">
        <is>
          <t>General Therapeutics</t>
        </is>
      </c>
      <c r="M2439" s="2" t="inlineStr">
        <is>
          <t>Clinic</t>
        </is>
      </c>
      <c r="N2439" s="2" t="inlineStr">
        <is>
          <t>ข้อ 1 (PLE_CC1_Key_Rx20_UBU.md)</t>
        </is>
      </c>
      <c r="O2439" s="2" t="inlineStr">
        <is>
          <t>Mock</t>
        </is>
      </c>
      <c r="P2439" s="2" t="inlineStr">
        <is>
          <t>Mock Rx20 UBU</t>
        </is>
      </c>
    </row>
    <row r="2440" ht="13.2" customHeight="1" s="37">
      <c r="A2440" s="8" t="inlineStr">
        <is>
          <t>2461</t>
        </is>
      </c>
      <c r="B2440" s="2" t="inlineStr">
        <is>
          <t>ผู้ป่วยควรได้รับยาอะไรเพิ่มเติม</t>
        </is>
      </c>
      <c r="C2440" s="2" t="n"/>
      <c r="D2440" s="2" t="inlineStr">
        <is>
          <t>Warfarin</t>
        </is>
      </c>
      <c r="E2440" s="2" t="inlineStr">
        <is>
          <t>losartan</t>
        </is>
      </c>
      <c r="F2440" s="2" t="inlineStr">
        <is>
          <t>carvedilol</t>
        </is>
      </c>
      <c r="G2440" s="2" t="inlineStr">
        <is>
          <t>dabigatran</t>
        </is>
      </c>
      <c r="H2440" s="2" t="inlineStr">
        <is>
          <t>Hydralazine carvedilol อยู่ในกลุ่ม BBs ผู้ป่วยที่เป็น ACS ควรที่จะได้รับ BBs ทุกรายที่ไม่มีข้อห้ามใช้ภายใน 24 ชั่วโมง ข้อห้ามใช้ เช่น มีอาการของ HF, secondary-thrid heart block, active asthma, reactive airway disease</t>
        </is>
      </c>
      <c r="I2440" s="8" t="inlineStr">
        <is>
          <t>3</t>
        </is>
      </c>
      <c r="J2440" s="2" t="inlineStr">
        <is>
          <t>✅ คำตอบที่ถูกต้อง: ข้อ ค. carvedilol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carvedilol การเลือก carvedilol เป็นคำตอบที่ถูกต้องตามแนวทางการรักษามาตรฐาน เนื่องจาก เป็น non-selective beta-blocker ร่วมกับ alpha-1 blocker ช่วยลด afterload เป็น first-line GDMT ใน HFrEF ที่มี efficacy สูงในการลด mortality
🔍 ข้ออื่นผิดเพราะอะไร:
• ข้อ ก. (Warfarin): เป็น Vitamin K antagonist ต้องติดตาม monitoring ค่า INR (target 2.0-3.0 ใน DVT/PE/AF, 2.5-3.5 ใน mechanical mitral valve) มี drug-food interactions มากมาย และ reversal agent คือ Vitamin K1
• ข้อ ข.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(dabigatran): เป็น oral direct thrombin inhibitor (Factor IIa inhibitor) ขจัดออกทางไตสูงที่สุด (~80%) แคปซูลต้องกลืนทั้งเม็ดห้ามแกะ และมี specific reversal agent คือ Idarucizumab
• ข้อ จ. (Hydralazine carvedilol อยู่ในกลุ่ม BBs ผู้ป่วยที่เป็น ACS ควรที่จะได้รับ BBs ทุกรายที่ไม่มีข้อห้ามใช้ภายใน 24 ชั่วโมง ข้อห้ามใช้ เช่น มีอาการของ HF, secondary-thrid heart block, active asthma, reactive airway disease): เป็น non-selective beta-blocker ร่วมกับ alpha-1 blocker ช่วยลด afterload เป็น first-line GDMT ใน HFrEF ที่มี efficacy สูงในการลด mortality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Combined Alpha-Beta Block: ปิดกั้นทั้ง Beta-1, Beta-2 และ Alpha-1 receptor ช่วยลด systemic vascular resistance (afterload) เด่นชัด
• Food Effect: ควรรับประทานพร้อมอาหารเพื่อชะลอการดูดซึมและลดความเสี่ยงต่อ orthostatic hypotension</t>
        </is>
      </c>
      <c r="K2440" s="2" t="n"/>
      <c r="L2440" s="2" t="inlineStr">
        <is>
          <t>General Therapeutics</t>
        </is>
      </c>
      <c r="M2440" s="2" t="inlineStr">
        <is>
          <t>Clinic</t>
        </is>
      </c>
      <c r="N2440" s="2" t="inlineStr">
        <is>
          <t>ข้อ 49 (PLE_CC1_Key_Rx20_UBU.md)</t>
        </is>
      </c>
      <c r="O2440" s="2" t="inlineStr">
        <is>
          <t>Mock</t>
        </is>
      </c>
      <c r="P2440" s="2" t="inlineStr">
        <is>
          <t>Mock Rx20 UBU</t>
        </is>
      </c>
    </row>
    <row r="2441" ht="13.2" customHeight="1" s="37">
      <c r="A2441" s="8" t="inlineStr">
        <is>
          <t>2462</t>
        </is>
      </c>
      <c r="B2441" s="2" t="inlineStr">
        <is>
          <t>ความแตกต่างระหว่าง Enoxaparin กับ UFH ข้อใดถูก</t>
        </is>
      </c>
      <c r="C2441" s="2" t="n"/>
      <c r="D2441" s="2" t="inlineStr">
        <is>
          <t>UFH มี Bioavailability ดีกว่า Enoxaparin</t>
        </is>
      </c>
      <c r="E2441" s="2" t="inlineStr">
        <is>
          <t>Enoxaparin มี Half-life นานกว่า UFH</t>
        </is>
      </c>
      <c r="F2441" s="2" t="inlineStr">
        <is>
          <t>Enoxaparin ไม่ต้องปรับขนาดยาตามไต แต่ UFH ต้องปรับตามไต</t>
        </is>
      </c>
      <c r="G2441" s="2" t="inlineStr">
        <is>
          <t>Enoxaparin ฉีดเข้าหลอดเลือดดำ แต่ UFH ฉีดใต้กล้ามเนื้อ</t>
        </is>
      </c>
      <c r="H2441" s="2" t="inlineStr">
        <is>
          <t>Enoxaparin ต้องติดตาม PTT ถี่กว่า UFH</t>
        </is>
      </c>
      <c r="I2441" s="8" t="inlineStr">
        <is>
          <t>2</t>
        </is>
      </c>
      <c r="J2441" s="2" t="inlineStr">
        <is>
          <t>✅ คำตอบที่ถูกต้อง: ข้อ ข. Enoxaparin มี Half-life นานกว่า UFH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Enoxaparin มี Half-life นานกว่า UFH การเลือก Enoxaparin มี Half-life นานกว่า UFH เป็นคำตอบที่ถูกต้องตามแนวทางการรักษามาตรฐาน เนื่องจาก เป็น Low Molecular Weight Heparin (LMWH) ยับยั้ง Factor Xa &gt;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IIa ไม่ต้อง routine monitoring aPTT แต่ขับออกทางไตจึงต้องปรับ dose เมื่อ CrCl &lt; 30 mL/min
🔍 ข้ออื่นผิดเพราะอะไร:
• ข้อ ก. (UFH มี Bioavailability ดีกว่า Enoxaparin): เป็น Low Molecular Weight Heparin (LMWH) ยับยั้ง Factor Xa &gt; IIa ไม่ต้อง routine monitoring aPTT แต่ขับออกทางไตจึงต้องปรับ dose เมื่อ CrCl &lt; 30 mL/min
• ข้อ ค. (Enoxaparin ไม่ต้องปรับขนาดยาตามไต แต่ UFH ต้องปรับตามไต): เป็น Low Molecular Weight Heparin (LMWH) ยับยั้ง Factor Xa &gt; IIa ไม่ต้อง routine monitoring aPTT แต่ขับออกทางไตจึงต้องปรับ dose เมื่อ CrCl &lt; 30 mL/min
• ข้อ ง. (Enoxaparin ฉีดเข้าหลอดเลือดดำ แต่ UFH ฉีดใต้กล้ามเนื้อ): เป็น Low Molecular Weight Heparin (LMWH) ยับยั้ง Factor Xa &gt; IIa ไม่ต้อง routine monitoring aPTT แต่ขับออกทางไตจึงต้องปรับ dose เมื่อ CrCl &lt; 30 mL/min
• ข้อ จ. (Enoxaparin ต้องติดตาม PTT ถี่กว่า UFH): เป็น Low Molecular Weight Heparin (LMWH) ยับยั้ง Factor Xa &gt; IIa ไม่ต้อง routine monitoring aPTT แต่ขับออกทางไตจึงต้องปรับ dose เมื่อ CrCl &lt; 30 mL/min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1" s="2" t="n"/>
      <c r="L2441" s="2" t="inlineStr">
        <is>
          <t>General Therapeutics</t>
        </is>
      </c>
      <c r="M2441" s="2" t="inlineStr">
        <is>
          <t>Clinic</t>
        </is>
      </c>
      <c r="N2441" s="2" t="inlineStr">
        <is>
          <t>ข้อ 50 (PLE_CC1_Key_Rx20_UBU.md)</t>
        </is>
      </c>
      <c r="O2441" s="2" t="inlineStr">
        <is>
          <t>Mock</t>
        </is>
      </c>
      <c r="P2441" s="2" t="inlineStr">
        <is>
          <t>Mock Rx20 UBU</t>
        </is>
      </c>
    </row>
    <row r="2442" ht="13.2" customHeight="1" s="37">
      <c r="A2442" s="8" t="inlineStr">
        <is>
          <t>2463</t>
        </is>
      </c>
      <c r="B2442" s="2" t="inlineStr">
        <is>
          <t>โครงสร้างยาส่วนใดทำให้ selective B1</t>
        </is>
      </c>
      <c r="C2442" s="2" t="n"/>
      <c r="D2442" s="2" t="inlineStr">
        <is>
          <t>secondary amine</t>
        </is>
      </c>
      <c r="E2442" s="2" t="inlineStr">
        <is>
          <t>oxymethylene bridge</t>
        </is>
      </c>
      <c r="F2442" s="2" t="inlineStr">
        <is>
          <t>isopropyl</t>
        </is>
      </c>
      <c r="G2442" s="2" t="inlineStr">
        <is>
          <t>hydroxyl</t>
        </is>
      </c>
      <c r="H2442" s="2" t="inlineStr">
        <is>
          <t>hydroxylamine</t>
        </is>
      </c>
      <c r="I2442" s="8" t="inlineStr">
        <is>
          <t>2</t>
        </is>
      </c>
      <c r="J2442" s="2" t="inlineStr">
        <is>
          <t>✅ คำตอบที่ถูกต้อง: ข้อ ข. oxymethylene bridge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oxymethylene bridge การเลือก oxymethylene bridge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(secondary amine): ข้อนี้ไม่ใช่คำตอบที่ถูกต้องสำหรับภาวะ General Therapeutics เนื่องจากกลไกการออกฤทธิ์, efficacy หรือข้อบ่งใช้ไม่ตรงกับโจทย์ที่กำหนด
• ข้อ ค. (isopropyl): ข้อนี้ไม่ใช่คำตอบที่ถูกต้องสำหรับภาวะ General Therapeutics เนื่องจากกลไกการออกฤทธิ์, efficacy หรือข้อบ่งใช้ไม่ตรงกับโจทย์ที่กำหนด
• ข้อ ง. (hydroxyl): ข้อนี้ไม่ใช่คำตอบที่ถูกต้องสำหรับภาวะ General Therapeutics เนื่องจากกลไกการออกฤทธิ์, efficacy หรือข้อบ่งใช้ไม่ตรงกับโจทย์ที่กำหนด
• ข้อ จ. (hydroxylamine):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2" s="2" t="n"/>
      <c r="L2442" s="2" t="inlineStr">
        <is>
          <t>General Therapeutics</t>
        </is>
      </c>
      <c r="M2442" s="2" t="inlineStr">
        <is>
          <t>Clinic</t>
        </is>
      </c>
      <c r="N2442" s="2" t="inlineStr">
        <is>
          <t>ข้อ 52 (PLE_CC1_Key_Rx20_UBU.md)</t>
        </is>
      </c>
      <c r="O2442" s="2" t="inlineStr">
        <is>
          <t>Mock</t>
        </is>
      </c>
      <c r="P2442" s="2" t="inlineStr">
        <is>
          <t>Mock Rx20 UBU</t>
        </is>
      </c>
    </row>
    <row r="2443" ht="13.2" customHeight="1" s="37">
      <c r="A2443" s="8" t="inlineStr">
        <is>
          <t>2464</t>
        </is>
      </c>
      <c r="B2443" s="2" t="inlineStr">
        <is>
          <t>กลไกการออกฤทธิ์ของยา Beta-2 agonists</t>
        </is>
      </c>
      <c r="C2443" s="2" t="n"/>
      <c r="D2443" s="2" t="inlineStr">
        <is>
          <t>ยับยั้ง Phosphodiesterase</t>
        </is>
      </c>
      <c r="E2443" s="2" t="inlineStr">
        <is>
          <t>ยับยั้ง Phospolipase A2</t>
        </is>
      </c>
      <c r="F2443" s="2" t="inlineStr">
        <is>
          <t>ยับยั้งการกระตุ้นจาก Vagus nerve</t>
        </is>
      </c>
      <c r="G2443" s="2" t="inlineStr">
        <is>
          <t>เพิ่มการสร้าง cAMP ของกล้ามเนื้อเรียบ</t>
        </is>
      </c>
      <c r="H2443" s="2" t="inlineStr">
        <is>
          <t>ยับยั้งการทำงานของ Lipooxygenase</t>
        </is>
      </c>
      <c r="I2443" s="8" t="inlineStr">
        <is>
          <t>4</t>
        </is>
      </c>
      <c r="J2443" s="2" t="inlineStr">
        <is>
          <t>✅ คำตอบที่ถูกต้อง: ข้อ ง. เพิ่มการสร้าง cAMP ของกล้ามเนื้อเรียบ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เพิ่มการสร้าง cAMP ของกล้ามเนื้อเรียบ การเลือก เพิ่มการสร้าง cAMP ของกล้ามเนื้อเรียบ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(ยับยั้ง Phosphodiesterase): ข้อนี้ไม่ใช่คำตอบที่ถูกต้องสำหรับภาวะ General Therapeutics เนื่องจากกลไกการออกฤทธิ์, efficacy หรือข้อบ่งใช้ไม่ตรงกับโจทย์ที่กำหนด
• ข้อ ข. (ยับยั้ง Phospolipase A2): ข้อนี้ไม่ใช่คำตอบที่ถูกต้องสำหรับภาวะ General Therapeutics เนื่องจากกลไกการออกฤทธิ์, efficacy หรือข้อบ่งใช้ไม่ตรงกับโจทย์ที่กำหนด
• ข้อ ค. (ยับยั้งการกระตุ้นจาก Vagus nerve): ข้อนี้ไม่ใช่คำตอบที่ถูกต้องสำหรับภาวะ General Therapeutics เนื่องจากกลไกการออกฤทธิ์, efficacy หรือข้อบ่งใช้ไม่ตรงกับโจทย์ที่กำหนด
• ข้อ จ. (ยับยั้งการทำงานของ Lipooxygenase):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3" s="2" t="n"/>
      <c r="L2443" s="2" t="inlineStr">
        <is>
          <t>General Therapeutics</t>
        </is>
      </c>
      <c r="M2443" s="2" t="inlineStr">
        <is>
          <t>Clinic</t>
        </is>
      </c>
      <c r="N2443" s="2" t="inlineStr">
        <is>
          <t>ข้อ 57 (PLE_CC1_Key_Rx20_UBU.md)</t>
        </is>
      </c>
      <c r="O2443" s="2" t="inlineStr">
        <is>
          <t>Mock</t>
        </is>
      </c>
      <c r="P2443" s="2" t="inlineStr">
        <is>
          <t>Mock Rx20 UBU</t>
        </is>
      </c>
    </row>
    <row r="2444" ht="13.2" customHeight="1" s="37">
      <c r="A2444" s="8" t="inlineStr">
        <is>
          <t>2465</t>
        </is>
      </c>
      <c r="B2444" s="2" t="inlineStr">
        <is>
          <t>อุปกรณ์ใดต้องใช้ Propellant ในการผลักดันยาที่ออกทาง Valve</t>
        </is>
      </c>
      <c r="C2444" s="2" t="n"/>
      <c r="D2444" s="2" t="inlineStr">
        <is>
          <t>Turbuhaler</t>
        </is>
      </c>
      <c r="E2444" s="2" t="inlineStr">
        <is>
          <t>Metered-dose inhaler</t>
        </is>
      </c>
      <c r="F2444" s="2" t="inlineStr">
        <is>
          <t>Ultrasonic nebulizer</t>
        </is>
      </c>
      <c r="G2444" s="2" t="inlineStr">
        <is>
          <t>Diskhaler</t>
        </is>
      </c>
      <c r="H2444" s="2" t="inlineStr">
        <is>
          <t>Ultrajet nebulizer Propellant หรือสารขับดัน จำเป็นต้องใช้ในรูปแบบยาที่เป็น pMDIs และจะต้องมี valve เป็นส่วนกำหนดขนาดยาให้เท่าๆกันในแต่ละครั้งของการสูดพ่น ทำให้ยารูปแบบนี้มีข้อเสียคือประสิทธิภาพในการส่งยาต่ำและเดิมมีปัญหากับสิ่งแวดล้อมเพราะเลือกใช้ CFCs เป็น Propellant ส่วน Terbuhaler/Diskhaler จะมีพาหะที่เป็นสารเฉื่อยเป็นตัวพายาไปสู่ปอดอยู่แล้ว ไม่จำเป็นต้องมีสารขับเคลื่อน และ nebulizer มักอยู่ในรูปสารละลายใส/แขวนตะกอน มีแรงอัดหรือการสั่นทำให้ยาไปอยู่ในรูป aerosol อยู่แล้วโดยไม่ต้องใช้ propellant เช่นกัน</t>
        </is>
      </c>
      <c r="I2444" s="8" t="inlineStr">
        <is>
          <t>2</t>
        </is>
      </c>
      <c r="J2444" s="2" t="inlineStr">
        <is>
          <t>✅ คำตอบที่ถูกต้อง: ข้อ ข. Metered-dose inhaler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Metered-dose inhaler การเลือก Metered-dose inhaler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(Turbuhaler): ข้อนี้ไม่ใช่คำตอบที่ถูกต้องสำหรับภาวะ General Therapeutics เนื่องจากกลไกการออกฤทธิ์, efficacy หรือข้อบ่งใช้ไม่ตรงกับโจทย์ที่กำหนด
• ข้อ ค. (Ultrasonic nebulizer): ข้อนี้ไม่ใช่คำตอบที่ถูกต้องสำหรับภาวะ General Therapeutics เนื่องจากกลไกการออกฤทธิ์, efficacy หรือข้อบ่งใช้ไม่ตรงกับโจทย์ที่กำหนด
• ข้อ ง. (Diskhaler): ข้อนี้ไม่ใช่คำตอบที่ถูกต้องสำหรับภาวะ General Therapeutics เนื่องจากกลไกการออกฤทธิ์, efficacy หรือข้อบ่งใช้ไม่ตรงกับโจทย์ที่กำหนด
• ข้อ จ. (Ultrajet nebulizer Propellant หรือสารขับดัน จำเป็นต้องใช้ในรูปแบบยาที่เป็น pMDIs และจะต้องมี valve เป็นส่วนกำหนดขนาดยาให้เท่าๆกันในแต่ละครั้งของการสูดพ่น ทำให้ยารูปแบบนี้มีข้อเสียคือประสิทธิภาพในการส่งยาต่ำและเดิมมีปัญหากับสิ่งแวดล้อมเพราะเลือกใช้ CFCs เป็น Propellant ส่วน Terbuhaler/Diskhaler จะมีพาหะที่เป็นสารเฉื่อยเป็นตัวพายาไปสู่ปอดอยู่แล้ว ไม่จำเป็นต้องมีสารขับเคลื่อน และ nebulizer มักอยู่ในรูปสารละลายใส/แขวนตะกอน มีแรงอัดหรือการสั่นทำให้ยาไปอยู่ในรูป aerosol อยู่แล้วโดยไม่ต้องใช้ propellant เช่นกัน): วัคซีนไข้สมองอักเสบเจอี ชนิดเชื้อเป็น (Live attenuated CD.JEV) ให้ 2 เข็ม ที่อายุ 9-12 เดือน และเข็ม 2 ห่างกัน 3-12 เดือน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4" s="2" t="n"/>
      <c r="L2444" s="2" t="inlineStr">
        <is>
          <t>General Therapeutics</t>
        </is>
      </c>
      <c r="M2444" s="2" t="inlineStr">
        <is>
          <t>Clinic</t>
        </is>
      </c>
      <c r="N2444" s="2" t="inlineStr">
        <is>
          <t>ข้อ 61 (PLE_CC1_Key_Rx20_UBU.md)</t>
        </is>
      </c>
      <c r="O2444" s="2" t="inlineStr">
        <is>
          <t>Mock</t>
        </is>
      </c>
      <c r="P2444" s="2" t="inlineStr">
        <is>
          <t>Mock Rx20 UBU</t>
        </is>
      </c>
    </row>
    <row r="2445" ht="13.2" customHeight="1" s="37">
      <c r="A2445" s="8" t="inlineStr">
        <is>
          <t>2466</t>
        </is>
      </c>
      <c r="B2445" s="2" t="inlineStr">
        <is>
          <t>ปัจจัยใดเป็น Sleep hygiene ที่ดี</t>
        </is>
      </c>
      <c r="C2445" s="2" t="n"/>
      <c r="D2445" s="2" t="inlineStr">
        <is>
          <t>ไม่สูบบุหรี่</t>
        </is>
      </c>
      <c r="E2445" s="2" t="inlineStr">
        <is>
          <t>ดื่มชาแทนการดื่มกาแฟ</t>
        </is>
      </c>
      <c r="F2445" s="2" t="inlineStr">
        <is>
          <t>นอนกลางวัน</t>
        </is>
      </c>
      <c r="G2445" s="2" t="inlineStr">
        <is>
          <t>กินข้าวก่อนนอน</t>
        </is>
      </c>
      <c r="H2445" s="2" t="inlineStr">
        <is>
          <t>ดื่มไวน์ก่อนนอน</t>
        </is>
      </c>
      <c r="I2445" s="8" t="inlineStr">
        <is>
          <t>1</t>
        </is>
      </c>
      <c r="J2445" s="2" t="inlineStr">
        <is>
          <t>✅ คำตอบที่ถูกต้อง: ข้อ ก. ไม่สูบบุหรี่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ไม่สูบบุหรี่ การเลือก ไม่สูบบุหรี่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(ดื่มชาแทนการดื่มกาแฟ): ข้อนี้ไม่ใช่คำตอบที่ถูกต้องสำหรับภาวะ General Therapeutics เนื่องจากกลไกการออกฤทธิ์, efficacy หรือข้อบ่งใช้ไม่ตรงกับโจทย์ที่กำหนด
• ข้อ ค. (นอนกลางวัน): ข้อนี้ไม่ใช่คำตอบที่ถูกต้องสำหรับภาวะ General Therapeutics เนื่องจากกลไกการออกฤทธิ์, efficacy หรือข้อบ่งใช้ไม่ตรงกับโจทย์ที่กำหนด
• ข้อ ง. (กินข้าวก่อนนอน): ข้อนี้ไม่ใช่คำตอบที่ถูกต้องสำหรับภาวะ General Therapeutics เนื่องจากกลไกการออกฤทธิ์, efficacy หรือข้อบ่งใช้ไม่ตรงกับโจทย์ที่กำหนด
• ข้อ จ. (ดื่มไวน์ก่อนนอน):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45" s="2" t="n"/>
      <c r="L2445" s="2" t="inlineStr">
        <is>
          <t>General Therapeutics</t>
        </is>
      </c>
      <c r="M2445" s="2" t="inlineStr">
        <is>
          <t>Clinic</t>
        </is>
      </c>
      <c r="N2445" s="2" t="inlineStr">
        <is>
          <t>ข้อ 66 (PLE_CC1_Key_Rx20_UBU.md)</t>
        </is>
      </c>
      <c r="O2445" s="2" t="inlineStr">
        <is>
          <t>Mock</t>
        </is>
      </c>
      <c r="P2445" s="2" t="inlineStr">
        <is>
          <t>Mock Rx20 UBU</t>
        </is>
      </c>
    </row>
    <row r="2446" ht="13.2" customHeight="1" s="37">
      <c r="A2446" s="8" t="inlineStr">
        <is>
          <t>2467</t>
        </is>
      </c>
      <c r="B2446" s="2" t="inlineStr">
        <is>
          <t>ยาใดมีผลต่อการลดระดับยา EFV มากที่สุด</t>
        </is>
      </c>
      <c r="C2446" s="2" t="n"/>
      <c r="D2446" s="2" t="inlineStr">
        <is>
          <t>Rifampicin</t>
        </is>
      </c>
      <c r="E2446" s="2" t="inlineStr">
        <is>
          <t>Isoniazid</t>
        </is>
      </c>
      <c r="F2446" s="2" t="inlineStr">
        <is>
          <t>Ethambutol</t>
        </is>
      </c>
      <c r="G2446" s="2" t="inlineStr">
        <is>
          <t>Pyrazinamide</t>
        </is>
      </c>
      <c r="H2446" s="2" t="inlineStr">
        <is>
          <t>Lamivudine ยาที่มีผลลดระดับยา EFV ได้คือ Rifampicin ที่เป็น Strong CYP3A4 inducer</t>
        </is>
      </c>
      <c r="I2446" s="8" t="inlineStr">
        <is>
          <t>1</t>
        </is>
      </c>
      <c r="J2446" s="2" t="inlineStr">
        <is>
          <t>✅ คำตอบที่ถูกต้อง: ข้อ ก. Rifampicin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Rifampicin การเลือก Rifampicin เป็นคำตอบที่ถูกต้องตามแนวทางการรักษามาตรฐาน เนื่องจาก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ข.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(Ethambutol): เป็น Anti-TB agent ยับยั้ง arabinosyl transferase มี ADR เด่นคือ optic neuritis (มองเห็นสีเขียว-แดงผิดปกติ ตาพร่า) ขับออกทางไตจึงต้องปรับ dose ใน CKD
• ข้อ ง. (Pyrazinamide): เป็น Anti-TB agent ที่มี sterilizing effect สูงใน macrophage เสี่ยงต่อ hyperuricemia (ปวดข้อเก๊าท์) และ severe hepatotoxicity สูงสุดในกลุ่มยาวัณโรค
• ข้อ จ. (Lamivudine ยาที่มีผลลดระดับยา EFV ได้คือ Rifampicin ที่เป็น Strong CYP3A4 inducer):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2446" s="2" t="n"/>
      <c r="L2446" s="2" t="inlineStr">
        <is>
          <t>General Therapeutics</t>
        </is>
      </c>
      <c r="M2446" s="2" t="inlineStr">
        <is>
          <t>Clinic</t>
        </is>
      </c>
      <c r="N2446" s="2" t="inlineStr">
        <is>
          <t>ข้อ 76 (PLE_CC1_Key_Rx20_UBU.md)</t>
        </is>
      </c>
      <c r="O2446" s="2" t="inlineStr">
        <is>
          <t>Mock</t>
        </is>
      </c>
      <c r="P2446" s="2" t="inlineStr">
        <is>
          <t>Mock Rx20 UBU</t>
        </is>
      </c>
    </row>
    <row r="2447" ht="13.2" customHeight="1" s="37">
      <c r="A2447" s="8" t="inlineStr">
        <is>
          <t>2468</t>
        </is>
      </c>
      <c r="B2447" s="2" t="inlineStr">
        <is>
          <t>ผู้ป่วยใช้ยาแล้วตามองเห็นผิดปกติ เห็นแสงเขียว แดง เกิดจากยาใด</t>
        </is>
      </c>
      <c r="C2447" s="2" t="n"/>
      <c r="D2447" s="2" t="inlineStr">
        <is>
          <t>Rifampicin</t>
        </is>
      </c>
      <c r="E2447" s="2" t="inlineStr">
        <is>
          <t>Isoniazid</t>
        </is>
      </c>
      <c r="F2447" s="2" t="inlineStr">
        <is>
          <t>Ethambutol</t>
        </is>
      </c>
      <c r="G2447" s="2" t="inlineStr">
        <is>
          <t>Pyrazinamide</t>
        </is>
      </c>
      <c r="H2447" s="2" t="inlineStr">
        <is>
          <t>Lamivudine ยาที่มีผลต่อการมองเห็นคือ Ethambutol</t>
        </is>
      </c>
      <c r="I2447" s="8" t="inlineStr">
        <is>
          <t>3</t>
        </is>
      </c>
      <c r="J2447" s="2" t="inlineStr">
        <is>
          <t>✅ คำตอบที่ถูกต้อง: ข้อ ค. Ethambutol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Ethambutol การเลือก Ethambutol เป็นคำตอบที่ถูกต้องตามแนวทางการรักษามาตรฐาน เนื่องจาก เป็น Anti-TB agent ยับยั้ง arabinosyl transferase มี ADR เด่นคือ optic neuritis (มองเห็นสีเขียว-แดงผิดปกติ ตาพร่า) ขับออกทางไตจึงต้องปรับ dose ใน CKD
🔍 ข้ออื่นผิดเพราะอะไร:
• ข้อ ก.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ข. (Isoniazid):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(Pyrazinamide): เป็น Anti-TB agent ที่มี sterilizing effect สูงใน macrophage เสี่ยงต่อ hyperuricemia (ปวดข้อเก๊าท์) และ severe hepatotoxicity สูงสุดในกลุ่มยาวัณโรค
• ข้อ จ. (Lamivudine ยาที่มีผลต่อการมองเห็นคือ Ethambutol): เป็น Anti-TB agent ยับยั้ง arabinosyl transferase มี ADR เด่นคือ optic neuritis (มองเห็นสีเขียว-แดงผิดปกติ ตาพร่า) ขับออกทางไตจึงต้องปรับ dose ใน CKD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Optic Neuritis Monitoring: ทำให้เกิด retrobulbar optic neuritis (ตามัว ตาบอดสีแดง-เขียว Visual acuity ลดลง) ต้องทดสอบสายตาก่อนและระหว่างใช้ยา
• Renal Adjustment: ขับออกทางไตเป็นหลัก ต้องปรับลดความถี่ในการให้ยาเป็น 3 ครั้ง/สัปดาห์ เมื่อ CrCl &lt; 50 mL/min</t>
        </is>
      </c>
      <c r="K2447" s="2" t="n"/>
      <c r="L2447" s="2" t="inlineStr">
        <is>
          <t>General Therapeutics</t>
        </is>
      </c>
      <c r="M2447" s="2" t="inlineStr">
        <is>
          <t>Clinic</t>
        </is>
      </c>
      <c r="N2447" s="2" t="inlineStr">
        <is>
          <t>ข้อ 77 (PLE_CC1_Key_Rx20_UBU.md)</t>
        </is>
      </c>
      <c r="O2447" s="2" t="inlineStr">
        <is>
          <t>Mock</t>
        </is>
      </c>
      <c r="P2447" s="2" t="inlineStr">
        <is>
          <t>Mock Rx20 UBU</t>
        </is>
      </c>
    </row>
    <row r="2448" ht="13.2" customHeight="1" s="37">
      <c r="A2448" s="8" t="inlineStr">
        <is>
          <t>2469</t>
        </is>
      </c>
      <c r="B2448" s="2" t="inlineStr">
        <is>
          <t>ยาแก้ไอใด สามารถใช้ได้ในผู้ป่วยรายนี้</t>
        </is>
      </c>
      <c r="C2448" s="2" t="n"/>
      <c r="D2448" s="2" t="inlineStr">
        <is>
          <t>ยาตรีผลา</t>
        </is>
      </c>
      <c r="E2448" s="2" t="inlineStr">
        <is>
          <t>ยาประสะมะแว้ง</t>
        </is>
      </c>
      <c r="F2448" s="2" t="inlineStr">
        <is>
          <t>ยาอมฤคตวาที</t>
        </is>
      </c>
      <c r="G2448" s="2" t="inlineStr">
        <is>
          <t>ยาแก้ไอผสมมะขามป้อม</t>
        </is>
      </c>
      <c r="H2448" s="2" t="inlineStr">
        <is>
          <t>ยาแก้ไอ ผสม Camphorated opium tincture เรื่องที่ 10 Vitamin supplement ผู้ป่วยหญิงอายุ 53 ปี มาขอปรึกษาที่ร้านยาเกี่ยวกับผลิตภัณฑ์เสริมอาหาร โดยผู้ป่วยให้ข้อมูลว่าไม่มีประจำเดือนมาแล้ว 6 เดือน ช่วงหลังเป็นหวัดบ่อยขึ้น เภสัชกรพิจารณาจ่าย Calcium carbonate 625 mg 12 และ Vitamin C 1000 mg ผู้ป่วยมีโรคประจำตัวเป็นเบาหวาน ความดันโลหิตสูง ไขมันในเลือดผิดปกติ</t>
        </is>
      </c>
      <c r="I2448" s="8" t="inlineStr">
        <is>
          <t>5</t>
        </is>
      </c>
      <c r="J2448" s="2" t="inlineStr">
        <is>
          <t>✅ คำตอบที่ถูกต้อง: ข้อ จ. ยาแก้ไอ ผสม Camphorated opium tincture เรื่องที่ 10 Vitamin supplement ผู้ป่วยหญิงอายุ 53 ปี มาขอปรึกษาที่ร้านยาเกี่ยวกับผลิตภัณฑ์เสริมอาหาร โดยผู้ป่วยให้ข้อมูลว่าไม่มีประจำเดือนมาแล้ว 6 เดือน ช่วงหลังเป็นหวัดบ่อยขึ้น เภสัชกรพิจารณาจ่าย Calcium carbonate 625 mg 12 และ Vitamin C 1000 mg ผู้ป่วยมีโรคประจำตัวเป็นเบาหวาน ความดันโลหิตสูง ไขมันในเลือดผิดปกติ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ยาแก้ไอ ผสม Camphorated opium tincture เรื่องที่ 10 Vitamin supplement ผู้ป่วยหญิงอายุ 53 ปี มาขอปรึกษาที่ร้านยาเกี่ยวกับผลิตภัณฑ์เสริมอาหาร โดยผู้ป่วยให้ข้อมูลว่าไม่มีประจำเดือนมาแล้ว 6 เดือน ช่วงหลังเป็นหวัดบ่อยขึ้น เภสัชกรพิจารณาจ่าย Calcium carbonate 625 mg 12 และ Vitamin C 1000 mg ผู้ป่วยมีโรคประจำตัวเป็นเบาหวาน ความดันโลหิตสูง ไขมันในเลือดผิดปกติ การเลือก ยาแก้ไอ ผสม Camphorated opium tincture เรื่องที่ 10 Vitamin supplement ผู้ป่วยหญิงอายุ 53 ปี มาขอปรึกษาที่ร้านยาเกี่ยวกับผลิตภัณฑ์เสริมอาหาร โดยผู้ป่วยให้ข้อมูลว่าไม่มีประจำเดือนมาแล้ว 6 เดือน ช่วงหลังเป็นหวัดบ่อยขึ้น เภสัชกรพิจารณาจ่าย Calcium carbonate 625 mg 12 และ Vitamin C 1000 mg ผู้ป่วยมีโรคประจำตัวเป็นเบาหวาน ความดันโลหิตสูง ไขมันในเลือดผิดปกติ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ก. (ยาตรีผลา): ข้อนี้ไม่ใช่คำตอบที่ถูกต้องสำหรับภาวะ General Therapeutics เนื่องจากกลไกการออกฤทธิ์, efficacy หรือข้อบ่งใช้ไม่ตรงกับโจทย์ที่กำหนด
• ข้อ ข. (ยาประสะมะแว้ง): ข้อนี้ไม่ใช่คำตอบที่ถูกต้องสำหรับภาวะ General Therapeutics เนื่องจากกลไกการออกฤทธิ์, efficacy หรือข้อบ่งใช้ไม่ตรงกับโจทย์ที่กำหนด
• ข้อ ค. (ยาอมฤคตวาที): ข้อนี้ไม่ใช่คำตอบที่ถูกต้องสำหรับภาวะ General Therapeutics เนื่องจากกลไกการออกฤทธิ์, efficacy หรือข้อบ่งใช้ไม่ตรงกับโจทย์ที่กำหนด
• ข้อ ง. (ยาแก้ไอผสมมะขามป้อม):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8" s="2" t="n"/>
      <c r="L2448" s="2" t="inlineStr">
        <is>
          <t>General Therapeutics</t>
        </is>
      </c>
      <c r="M2448" s="2" t="inlineStr">
        <is>
          <t>Clinic</t>
        </is>
      </c>
      <c r="N2448" s="2" t="inlineStr">
        <is>
          <t>ข้อ 81 (PLE_CC1_Key_Rx20_UBU.md)</t>
        </is>
      </c>
      <c r="O2448" s="2" t="inlineStr">
        <is>
          <t>Mock</t>
        </is>
      </c>
      <c r="P2448" s="2" t="inlineStr">
        <is>
          <t>Mock Rx20 UBU</t>
        </is>
      </c>
    </row>
    <row r="2449" ht="13.2" customHeight="1" s="37">
      <c r="A2449" s="8" t="inlineStr">
        <is>
          <t>2470</t>
        </is>
      </c>
      <c r="B2449" s="2" t="inlineStr">
        <is>
          <t>ข้อใดผิด</t>
        </is>
      </c>
      <c r="C2449" s="2" t="n"/>
      <c r="D2449" s="2" t="inlineStr">
        <is>
          <t>การรับประทาน vitamin C ในขนาดสูง ให้รับประทานน้ำตามมากๆ เพื่อป้องกันการเกิดนิ่วที่ไต</t>
        </is>
      </c>
      <c r="E2449" s="2" t="inlineStr">
        <is>
          <t>การรับประทาน Calcium พร้อมอาหารที่มี phosphorus เยอะๆ ช่วยเพิ่มการดูดซึม</t>
        </is>
      </c>
      <c r="F2449" s="2" t="inlineStr">
        <is>
          <t>กิน vitamin C พร้อม Calcium ช่วยเพิ่มการดูดซึม</t>
        </is>
      </c>
      <c r="G2449" s="2" t="inlineStr">
        <is>
          <t>หากรับประทาน Fe พร้อม Ca ต้องรับประทานห่างกัน 2 ชม.</t>
        </is>
      </c>
      <c r="H2449" s="2" t="inlineStr">
        <is>
          <t>รับประทาน Calcium หลังอาหาร จะช่วยเพิ่มการดูดซึมได้ เนื่องจากมีกรดมากขึ้น เนื่องจากการรับประทาน Calcium พร้อมอาหารที่มี phosphorus เยอะๆ น่าจะใช้เป็น Phosphate binder มากกว่า</t>
        </is>
      </c>
      <c r="I2449" s="8" t="inlineStr">
        <is>
          <t>2</t>
        </is>
      </c>
      <c r="J2449" s="2" t="inlineStr">
        <is>
          <t>✅ คำตอบที่ถูกต้อง: ข้อ ข. การรับประทาน Calcium พร้อมอาหารที่มี phosphorus เยอะๆ ช่วยเพิ่มการดูดซึม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การรับประทาน Calcium พร้อมอาหารที่มี phosphorus เยอะๆ ช่วยเพิ่มการดูดซึม การเลือก การรับประทาน Calcium พร้อมอาหารที่มี phosphorus เยอะๆ ช่วยเพิ่มการดูดซึม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(การรับประทาน vitamin C ในขนาดสูง ให้รับประทานน้ำตามมากๆ เพื่อป้องกันการเกิดนิ่วที่ไต): ข้อนี้ไม่ใช่คำตอบที่ถูกต้องสำหรับภาวะ General Therapeutics เนื่องจากกลไกการออกฤทธิ์, efficacy หรือข้อบ่งใช้ไม่ตรงกับโจทย์ที่กำหนด
• ข้อ ค. (กิน vitamin C พร้อม Calcium ช่วยเพิ่มการดูดซึม): ข้อนี้ไม่ใช่คำตอบที่ถูกต้องสำหรับภาวะ General Therapeutics เนื่องจากกลไกการออกฤทธิ์, efficacy หรือข้อบ่งใช้ไม่ตรงกับโจทย์ที่กำหนด
• ข้อ ง. (หากรับประทาน Fe พร้อม Ca ต้องรับประทานห่างกัน 2 ชม.): ข้อนี้ไม่ใช่คำตอบที่ถูกต้องสำหรับภาวะ General Therapeutics เนื่องจากกลไกการออกฤทธิ์, efficacy หรือข้อบ่งใช้ไม่ตรงกับโจทย์ที่กำหนด
• ข้อ จ. (รับประทาน Calcium หลังอาหาร จะช่วยเพิ่มการดูดซึมได้ เนื่องจากมีกรดมากขึ้น เนื่องจากการรับประทาน Calcium พร้อมอาหารที่มี phosphorus เยอะๆ น่าจะใช้เป็น Phosphate binder มากกว่า):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9" s="2" t="n"/>
      <c r="L2449" s="2" t="inlineStr">
        <is>
          <t>General Therapeutics</t>
        </is>
      </c>
      <c r="M2449" s="2" t="inlineStr">
        <is>
          <t>Clinic</t>
        </is>
      </c>
      <c r="N2449" s="2" t="inlineStr">
        <is>
          <t>ข้อ 82 (PLE_CC1_Key_Rx20_UBU.md)</t>
        </is>
      </c>
      <c r="O2449" s="2" t="inlineStr">
        <is>
          <t>Mock</t>
        </is>
      </c>
      <c r="P2449" s="2" t="inlineStr">
        <is>
          <t>Mock Rx20 UBU</t>
        </is>
      </c>
    </row>
    <row r="2450" ht="13.2" customHeight="1" s="37">
      <c r="A2450" s="8" t="inlineStr">
        <is>
          <t>2471</t>
        </is>
      </c>
      <c r="B2450" s="2" t="inlineStr">
        <is>
          <t>Calcium ในข้อใดมีปริมาณ calcium มากที่สุด</t>
        </is>
      </c>
      <c r="C2450" s="2" t="n"/>
      <c r="D2450" s="2" t="inlineStr">
        <is>
          <t>Calcium citrate</t>
        </is>
      </c>
      <c r="E2450" s="2" t="inlineStr">
        <is>
          <t>Calcium carbonate</t>
        </is>
      </c>
      <c r="F2450" s="2" t="inlineStr">
        <is>
          <t>Calcium gluconate</t>
        </is>
      </c>
      <c r="G2450" s="2" t="inlineStr">
        <is>
          <t>Calcium lactate</t>
        </is>
      </c>
      <c r="H2450" s="2" t="inlineStr">
        <is>
          <t>Tricalcium phosphate เรียงลำดับปริมาณ elemental Calcium จากมากไปน้อย ได้แก่ Carbonate (40%)&gt; Tricalcium Phosphate (38%)&gt; Citrate (24%)&gt; Lactate (18%)&gt; Gluconate (9%)</t>
        </is>
      </c>
      <c r="I2450" s="8" t="inlineStr">
        <is>
          <t>2</t>
        </is>
      </c>
      <c r="J2450" s="2" t="inlineStr">
        <is>
          <t>✅ คำตอบที่ถูกต้อง: ข้อ ข. Calcium carbonate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Calcium carbonate การเลือก Calcium carbonate เป็นคำตอบที่ถูกต้องตามแนวทางการรักษามาตรฐาน เนื่องจาก เป็น Phosphate binder สำหรับ CKD ต้องเคี้ยวพร้อมอาหารเพื่อจับฟอสเฟตในทางเดินอาหาร และทำหน้าที่เสริมแคลเซียม
🔍 ข้ออื่นผิดเพราะอะไร:
• ข้อ ก. (Calcium citrate): ข้อนี้ไม่ใช่คำตอบที่ถูกต้องสำหรับภาวะ General Therapeutics เนื่องจากกลไกการออกฤทธิ์, efficacy หรือข้อบ่งใช้ไม่ตรงกับโจทย์ที่กำหนด
• ข้อ ค. (Calcium gluconate): ข้อนี้ไม่ใช่คำตอบที่ถูกต้องสำหรับภาวะ General Therapeutics เนื่องจากกลไกการออกฤทธิ์, efficacy หรือข้อบ่งใช้ไม่ตรงกับโจทย์ที่กำหนด
• ข้อ ง. (Calcium lactate): ข้อนี้ไม่ใช่คำตอบที่ถูกต้องสำหรับภาวะ General Therapeutics เนื่องจากกลไกการออกฤทธิ์, efficacy หรือข้อบ่งใช้ไม่ตรงกับโจทย์ที่กำหนด
• ข้อ จ. (Tricalcium phosphate เรียงลำดับปริมาณ elemental Calcium จากมากไปน้อย ได้แก่ Carbonate (40%)&gt; Tricalcium Phosphate (38%)&gt; Citrate (24%)&gt; Lactate (18%)&gt; Gluconate (9%)):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0" s="2" t="n"/>
      <c r="L2450" s="2" t="inlineStr">
        <is>
          <t>General Therapeutics</t>
        </is>
      </c>
      <c r="M2450" s="2" t="inlineStr">
        <is>
          <t>Clinic</t>
        </is>
      </c>
      <c r="N2450" s="2" t="inlineStr">
        <is>
          <t>ข้อ 83 (PLE_CC1_Key_Rx20_UBU.md)</t>
        </is>
      </c>
      <c r="O2450" s="2" t="inlineStr">
        <is>
          <t>Mock</t>
        </is>
      </c>
      <c r="P2450" s="2" t="inlineStr">
        <is>
          <t>Mock Rx20 UBU</t>
        </is>
      </c>
    </row>
    <row r="2451" ht="13.2" customHeight="1" s="37">
      <c r="A2451" s="8" t="inlineStr">
        <is>
          <t>2472</t>
        </is>
      </c>
      <c r="B2451" s="2" t="inlineStr">
        <is>
          <t>ยาในข้อใดทำให้ Ca ในเลือดสูงขึ้น</t>
        </is>
      </c>
      <c r="C2451" s="2" t="n"/>
      <c r="D2451" s="2" t="inlineStr">
        <is>
          <t>Tetracycline</t>
        </is>
      </c>
      <c r="E2451" s="2" t="inlineStr">
        <is>
          <t>Norfloxacin</t>
        </is>
      </c>
      <c r="F2451" s="2" t="inlineStr">
        <is>
          <t>L-thyroxine</t>
        </is>
      </c>
      <c r="G2451" s="2" t="inlineStr">
        <is>
          <t>HCTZ</t>
        </is>
      </c>
      <c r="H2451" s="2" t="inlineStr">
        <is>
          <t>Al(OH)3 ADR ของ HCTZ ได้แก่ Hyponatremia, Hypokalemia, Hypercalcemia, Hyperuricemia, Hyperglycemia, dyslipidemia, sexual dysfunction</t>
        </is>
      </c>
      <c r="I2451" s="8" t="inlineStr">
        <is>
          <t>4</t>
        </is>
      </c>
      <c r="J2451" s="2" t="inlineStr">
        <is>
          <t>✅ คำตอบที่ถูกต้อง: ข้อ ง. HCTZ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HCTZ การเลือก HCTZ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(Tetracycline): ข้อนี้ไม่ใช่คำตอบที่ถูกต้องสำหรับภาวะ General Therapeutics เนื่องจากกลไกการออกฤทธิ์, efficacy หรือข้อบ่งใช้ไม่ตรงกับโจทย์ที่กำหนด
• ข้อ ข. (Norfloxacin): ข้อนี้ไม่ใช่คำตอบที่ถูกต้องสำหรับภาวะ General Therapeutics เนื่องจากกลไกการออกฤทธิ์, efficacy หรือข้อบ่งใช้ไม่ตรงกับโจทย์ที่กำหนด
• ข้อ ค. (L-thyroxine): ข้อนี้ไม่ใช่คำตอบที่ถูกต้องสำหรับภาวะ General Therapeutics เนื่องจากกลไกการออกฤทธิ์, efficacy หรือข้อบ่งใช้ไม่ตรงกับโจทย์ที่กำหนด
• ข้อ จ. (Al(OH)3 ADR ของ HCTZ ได้แก่ Hyponatremia, Hypokalemia, Hypercalcemia, Hyperuricemia, Hyperglycemia, dyslipidemia, sexual dysfunction):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1" s="2" t="n"/>
      <c r="L2451" s="2" t="inlineStr">
        <is>
          <t>General Therapeutics</t>
        </is>
      </c>
      <c r="M2451" s="2" t="inlineStr">
        <is>
          <t>Clinic</t>
        </is>
      </c>
      <c r="N2451" s="2" t="inlineStr">
        <is>
          <t>ข้อ 84 (PLE_CC1_Key_Rx20_UBU.md)</t>
        </is>
      </c>
      <c r="O2451" s="2" t="inlineStr">
        <is>
          <t>Mock</t>
        </is>
      </c>
      <c r="P2451" s="2" t="inlineStr">
        <is>
          <t>Mock Rx20 UBU</t>
        </is>
      </c>
    </row>
    <row r="2452" ht="13.2" customHeight="1" s="37">
      <c r="A2452" s="8" t="inlineStr">
        <is>
          <t>2473</t>
        </is>
      </c>
      <c r="B2452" s="2" t="inlineStr">
        <is>
          <t>อาการปวดเมื่อยกล้ามเนื้อเกิดจากอะไร</t>
        </is>
      </c>
      <c r="C2452" s="2" t="n"/>
      <c r="D2452" s="2" t="inlineStr">
        <is>
          <t>Metformin ขนาดยาเยอะเกินไป</t>
        </is>
      </c>
      <c r="E2452" s="2" t="inlineStr">
        <is>
          <t>Amlodipine ขนาดยาเยอะเกินwx</t>
        </is>
      </c>
      <c r="F2452" s="2" t="inlineStr">
        <is>
          <t>Drug interaction ระหว่าง Simvastatin กับ Amlodipine</t>
        </is>
      </c>
      <c r="G2452" s="2" t="inlineStr">
        <is>
          <t>Drug interaction ระหว่าง Metformin กับ Simvastatin</t>
        </is>
      </c>
      <c r="H2452" s="2" t="inlineStr">
        <is>
          <t>Drug interaction ระหว่าง Metformin กับ Amlodipine เนื่องจากการใช้ยา Simvastatin ร่วมกับ Amlodipine เพิ่มความเสี่ยงการเกิด myophathy มากจึงแนะนำให้ใช้ยา Simvastatin ไม่เกิน 20 mg</t>
        </is>
      </c>
      <c r="I2452" s="8" t="inlineStr">
        <is>
          <t>3</t>
        </is>
      </c>
      <c r="J2452" s="2" t="inlineStr">
        <is>
          <t>✅ คำตอบที่ถูกต้อง: ข้อ ค. Drug interaction ระหว่าง Simvastatin กับ Amlodipine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Drug interaction ระหว่าง Simvastatin กับ Amlodipine การเลือก Drug interaction ระหว่าง Simvastatin กับ Amlodipine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(Metformin ขนาดยาเยอะเกินไป):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ข. (Amlodipine ขนาดยาเยอะเกินwx): เป็น DHP calcium channel blocker ขยายหลอดเลือด peripheral เด่น แต่ไม่มี class-specific renal protective effect ในผู้ป่วย DM with albuminuria เท่ากับ ACEI/ARB และอาจเกิด peripheral edema
• ข้อ ง. (Drug interaction ระหว่าง Metformin กับ Simvastatin): เป็น moderate-intensity statin เมแทบอไลต์ผ่าน CYP3A4 เด่นชัด ห้ามใช้ dose 80 mg และมี drug interactions สูงกับ CYP3A4 inhibitors (clarithromycin, ketoconazole)
• ข้อ จ. (Drug interaction ระหว่าง Metformin กับ Amlodipine เนื่องจากการใช้ยา Simvastatin ร่วมกับ Amlodipine เพิ่มความเสี่ยงการเกิด myophathy มากจึงแนะนำให้ใช้ยา Simvastatin ไม่เกิน 20 mg):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2452" s="2" t="n"/>
      <c r="L2452" s="2" t="inlineStr">
        <is>
          <t>General Therapeutics</t>
        </is>
      </c>
      <c r="M2452" s="2" t="inlineStr">
        <is>
          <t>Clinic</t>
        </is>
      </c>
      <c r="N2452" s="2" t="inlineStr">
        <is>
          <t>ข้อ 91 (PLE_CC1_Key_Rx20_UBU.md)</t>
        </is>
      </c>
      <c r="O2452" s="2" t="inlineStr">
        <is>
          <t>Mock</t>
        </is>
      </c>
      <c r="P2452" s="2" t="inlineStr">
        <is>
          <t>Mock Rx20 UBU</t>
        </is>
      </c>
    </row>
    <row r="2453" ht="13.2" customHeight="1" s="37">
      <c r="A2453" s="8" t="inlineStr">
        <is>
          <t>2474</t>
        </is>
      </c>
      <c r="B2453" s="2" t="inlineStr">
        <is>
          <t>ปัจจัยใด ไม่ใช่ปัจจัยเสี่ยงของการเกิด Myopathy</t>
        </is>
      </c>
      <c r="C2453" s="2" t="n"/>
      <c r="D2453" s="2" t="inlineStr">
        <is>
          <t>อายุ</t>
        </is>
      </c>
      <c r="E2453" s="2" t="inlineStr">
        <is>
          <t>เพศ</t>
        </is>
      </c>
      <c r="F2453" s="2" t="inlineStr">
        <is>
          <t>พันธุกรรม</t>
        </is>
      </c>
      <c r="G2453" s="2" t="inlineStr">
        <is>
          <t>โรคความดันโลหิตสูง</t>
        </is>
      </c>
      <c r="H2453" s="2" t="inlineStr">
        <is>
          <t>ยาที่ใช้</t>
        </is>
      </c>
      <c r="I2453" s="8" t="inlineStr">
        <is>
          <t>4</t>
        </is>
      </c>
      <c r="J2453" s="2" t="inlineStr">
        <is>
          <t>✅ คำตอบที่ถูกต้อง: ข้อ ง. โรคความดันโลหิตสูง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โรคความดันโลหิตสูง การเลือก โรคความดันโลหิตสูง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(อายุ): ข้อนี้ไม่ใช่คำตอบที่ถูกต้องสำหรับภาวะ General Therapeutics เนื่องจากกลไกการออกฤทธิ์, efficacy หรือข้อบ่งใช้ไม่ตรงกับโจทย์ที่กำหนด
• ข้อ ข. (เพศ): ข้อนี้ไม่ใช่คำตอบที่ถูกต้องสำหรับภาวะ General Therapeutics เนื่องจากกลไกการออกฤทธิ์, efficacy หรือข้อบ่งใช้ไม่ตรงกับโจทย์ที่กำหนด
• ข้อ ค. (พันธุกรรม): ข้อนี้ไม่ใช่คำตอบที่ถูกต้องสำหรับภาวะ General Therapeutics เนื่องจากกลไกการออกฤทธิ์, efficacy หรือข้อบ่งใช้ไม่ตรงกับโจทย์ที่กำหนด
• ข้อ จ. (ยาที่ใช้):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3" s="2" t="n"/>
      <c r="L2453" s="2" t="inlineStr">
        <is>
          <t>General Therapeutics</t>
        </is>
      </c>
      <c r="M2453" s="2" t="inlineStr">
        <is>
          <t>Clinic</t>
        </is>
      </c>
      <c r="N2453" s="2" t="inlineStr">
        <is>
          <t>ข้อ 92 (PLE_CC1_Key_Rx20_UBU.md)</t>
        </is>
      </c>
      <c r="O2453" s="2" t="inlineStr">
        <is>
          <t>Mock</t>
        </is>
      </c>
      <c r="P2453" s="2" t="inlineStr">
        <is>
          <t>Mock Rx20 UBU</t>
        </is>
      </c>
    </row>
    <row r="2454" ht="13.2" customHeight="1" s="37">
      <c r="A2454" s="8" t="inlineStr">
        <is>
          <t>2475</t>
        </is>
      </c>
      <c r="B2454" s="2" t="inlineStr">
        <is>
          <t>ค่าทางห้องปฏิบัติการใดบ่งบอกถึงความผิดปกติของกล้ามเนื้อ</t>
        </is>
      </c>
      <c r="C2454" s="2" t="n"/>
      <c r="D2454" s="2" t="inlineStr">
        <is>
          <t>AST</t>
        </is>
      </c>
      <c r="E2454" s="2" t="inlineStr">
        <is>
          <t>ALT</t>
        </is>
      </c>
      <c r="F2454" s="2" t="inlineStr">
        <is>
          <t>ALP</t>
        </is>
      </c>
      <c r="G2454" s="2" t="inlineStr">
        <is>
          <t>CK</t>
        </is>
      </c>
      <c r="H2454" s="2" t="inlineStr">
        <is>
          <t>CRP</t>
        </is>
      </c>
      <c r="I2454" s="8" t="inlineStr">
        <is>
          <t>4</t>
        </is>
      </c>
      <c r="J2454" s="2" t="inlineStr">
        <is>
          <t>✅ คำตอบที่ถูกต้อง: ข้อ ง. CK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CK การเลือก CK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(AST): ข้อนี้ไม่ใช่คำตอบที่ถูกต้องสำหรับภาวะ General Therapeutics เนื่องจากกลไกการออกฤทธิ์, efficacy หรือข้อบ่งใช้ไม่ตรงกับโจทย์ที่กำหนด
• ข้อ ข. (ALT): ข้อนี้ไม่ใช่คำตอบที่ถูกต้องสำหรับภาวะ General Therapeutics เนื่องจากกลไกการออกฤทธิ์, efficacy หรือข้อบ่งใช้ไม่ตรงกับโจทย์ที่กำหนด
• ข้อ ค. (ALP): ข้อนี้ไม่ใช่คำตอบที่ถูกต้องสำหรับภาวะ General Therapeutics เนื่องจากกลไกการออกฤทธิ์, efficacy หรือข้อบ่งใช้ไม่ตรงกับโจทย์ที่กำหนด
• ข้อ จ. (CRP):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4" s="2" t="n"/>
      <c r="L2454" s="2" t="inlineStr">
        <is>
          <t>General Therapeutics</t>
        </is>
      </c>
      <c r="M2454" s="2" t="inlineStr">
        <is>
          <t>Clinic</t>
        </is>
      </c>
      <c r="N2454" s="2" t="inlineStr">
        <is>
          <t>ข้อ 93 (PLE_CC1_Key_Rx20_UBU.md)</t>
        </is>
      </c>
      <c r="O2454" s="2" t="inlineStr">
        <is>
          <t>Mock</t>
        </is>
      </c>
      <c r="P2454" s="2" t="inlineStr">
        <is>
          <t>Mock Rx20 UBU</t>
        </is>
      </c>
    </row>
    <row r="2455" ht="13.2" customHeight="1" s="37">
      <c r="A2455" s="8" t="inlineStr">
        <is>
          <t>2476</t>
        </is>
      </c>
      <c r="B2455" s="2" t="inlineStr">
        <is>
          <t>ยาตัวใดเหมาะสมในการลดระดับ Triglyceride</t>
        </is>
      </c>
      <c r="C2455" s="2" t="n"/>
      <c r="D2455" s="2" t="inlineStr">
        <is>
          <t>Gemfibrozil</t>
        </is>
      </c>
      <c r="E2455" s="2" t="inlineStr">
        <is>
          <t>Fenofibrate</t>
        </is>
      </c>
      <c r="F2455" s="2" t="inlineStr">
        <is>
          <t>Atorvastatin</t>
        </is>
      </c>
      <c r="G2455" s="2" t="inlineStr">
        <is>
          <t>Ezetimibe</t>
        </is>
      </c>
      <c r="H2455" s="2" t="inlineStr">
        <is>
          <t>Cholestyramine เนื่องจากยากลุ่ม fibrates ออกฤทธิ์จับกับ PPAR alpha receptor กระตุ้นให้เกิด fatty acid oxidation ลด triglyceride ในกระแสเลือด ได้แก่ยา Gemfibrozil และ Fenofibrate แต่ปัจจุบันผู้ป่วยใช้ยา Simvastatin และเกิดอาการอ่อนเปลี้ยกล้ามเนื้อ และพบ CK 10000 ดังนั้นยาที่เหมาะสมที่สุดคือ Fenofibrate</t>
        </is>
      </c>
      <c r="I2455" s="8" t="inlineStr">
        <is>
          <t>2</t>
        </is>
      </c>
      <c r="J2455" s="2" t="inlineStr">
        <is>
          <t>✅ คำตอบที่ถูกต้อง: ข้อ ข. Fenofibrate
💡 Background:
ภาวะไขมันในเลือดผิดปกติเป็นสาเหตุของ ASCVD การรักษาเน้นควบคุม LDL-C ให้ถึง target ตามระดับ cardiovascular risk ด้วย Statin
🎯 ทำไมข้อนี้ถึงถูก:
Fenofibrate การเลือก Fenofibrate เป็นคำตอบที่ถูกต้องตามแนวทางการรักษามาตรฐาน เนื่องจาก เป็น PPAR-alpha agonist ลดระดับ Triglycerides เด่นชัด (30-50%) และปลอดภัยเมื่อใช้ร่วมกับ statin มากกว่า gemfibrozil (เสี่ยง rhabdomyolysis ต่ำกว่า)
🔍 ข้ออื่นผิดเพราะอะไร:
• ข้อ ก. (Gemfibrozil): ห้ามใช้ร่วมกับ statins เด็ดขาด เนื่องจากยับยั้ง OATP1B1 glucuronidation ทำให้ระดับ statin ในเลือดพุ่งสูงและเกิด severe rhabdomyolysis
• ข้อ ค. (Atorvastatin): เป็น High-intensity statin (40-80 mg) ยับยั้ง HMG-CoA reductase มี clinical efficacy สูงสุดในการลด LDL-C ≥ 50% และ plaque stabilization ใน ACS/CAD
• ข้อ ง. (Ezetimibe): เป็น Niemann-Pick C1-Like 1 (NPC1L1) inhibitor ยับยั้งการดูดซึม cholesterol ที่ลำไส้เล็ก ใช้เป็น add-on therapy ร่วมกับ statin เพื่อลด LDL-C เสริมอีก 15-20%
• ข้อ จ. (Cholestyramine เนื่องจากยากลุ่ม fibrates ออกฤทธิ์จับกับ PPAR alpha receptor กระตุ้นให้เกิด fatty acid oxidation ลด triglyceride ในกระแสเลือด ได้แก่ยา Gemfibrozil และ Fenofibrate แต่ปัจจุบันผู้ป่วยใช้ยา Simvastatin และเกิดอาการอ่อนเปลี้ยกล้ามเนื้อ และพบ CK 10000 ดังนั้นยาที่เหมาะสมที่สุดคือ Fenofibrate): เป็น moderate-intensity statin เมแทบอไลต์ผ่าน CYP3A4 เด่นชัด ห้ามใช้ dose 80 mg และมี drug interactions สูงกับ CYP3A4 inhibitors (clarithromycin, ketoconazole)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Evidence-Based Selection: ยึดหลักแนวทางเวชปฏิบัติมาตรฐานของภาวะ Cardiovascular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5" s="2" t="n"/>
      <c r="L2455" s="2" t="inlineStr">
        <is>
          <t>Cardiovascular Diseases</t>
        </is>
      </c>
      <c r="M2455" s="2" t="inlineStr">
        <is>
          <t>Clinic</t>
        </is>
      </c>
      <c r="N2455" s="2" t="inlineStr">
        <is>
          <t>ข้อ 94 (PLE_CC1_Key_Rx20_UBU.md)</t>
        </is>
      </c>
      <c r="O2455" s="2" t="inlineStr">
        <is>
          <t>Mock</t>
        </is>
      </c>
      <c r="P2455" s="2" t="inlineStr">
        <is>
          <t>Mock Rx20 UBU</t>
        </is>
      </c>
    </row>
    <row r="2456" ht="13.2" customHeight="1" s="37">
      <c r="A2456" s="8" t="inlineStr">
        <is>
          <t>2477</t>
        </is>
      </c>
      <c r="B2456" s="2" t="inlineStr">
        <is>
          <t>อาการดังกล่าวเกิดจากเชื้ออะไร</t>
        </is>
      </c>
      <c r="C2456" s="2" t="n"/>
      <c r="D2456" s="2" t="inlineStr">
        <is>
          <t>Streptococcus aureus</t>
        </is>
      </c>
      <c r="E2456" s="2" t="inlineStr">
        <is>
          <t>Streptococcus pneumoniae</t>
        </is>
      </c>
      <c r="F2456" s="2" t="inlineStr">
        <is>
          <t>Streptococcus pyogenes</t>
        </is>
      </c>
      <c r="G2456" s="2" t="inlineStr">
        <is>
          <t>Haemophillus influenza</t>
        </is>
      </c>
      <c r="H2456" s="2" t="inlineStr">
        <is>
          <t>Pseudomonas aeruginosa โดยอาจเกิดจากภาวะแทรกซ้อนของโรคติดเชื้อทางเดินหายใจส่วนบน ซึ่งแบคทีเรียที่พบบ่อยได้แก่ Streptococcus pneumoniae, Haemophillus influenza, Morraxell catarrhalis</t>
        </is>
      </c>
      <c r="I2456" s="8" t="inlineStr">
        <is>
          <t>2</t>
        </is>
      </c>
      <c r="J2456" s="2" t="inlineStr">
        <is>
          <t>✅ คำตอบที่ถูกต้อง: ข้อ ข. Streptococcus pneumoniae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Streptococcus pneumoniae การเลือก Streptococcus pneumoniae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(Streptococcus aureus): ข้อนี้ไม่ใช่คำตอบที่ถูกต้องสำหรับภาวะ General Therapeutics เนื่องจากกลไกการออกฤทธิ์, efficacy หรือข้อบ่งใช้ไม่ตรงกับโจทย์ที่กำหนด
• ข้อ ค. (Streptococcus pyogenes): ข้อนี้ไม่ใช่คำตอบที่ถูกต้องสำหรับภาวะ General Therapeutics เนื่องจากกลไกการออกฤทธิ์, efficacy หรือข้อบ่งใช้ไม่ตรงกับโจทย์ที่กำหนด
• ข้อ ง. (Haemophillus influenza): วัคซีนไข้หวัดใหญ่ชนิด inactivated ฉีดปีละ 1 ครั้ง ในกลุ่มเสี่ยง 7 กลุ่มโรคเรื้อรัง และเด็กอายุ 6 เดือน - 2 ปี
• ข้อ จ. (Pseudomonas aeruginosa โดยอาจเกิดจากภาวะแทรกซ้อนของโรคติดเชื้อทางเดินหายใจส่วนบน ซึ่งแบคทีเรียที่พบบ่อยได้แก่ Streptococcus pneumoniae, Haemophillus influenza, Morraxell catarrhalis): วัคซีนไข้หวัดใหญ่ชนิด inactivated ฉีดปีละ 1 ครั้ง ในกลุ่มเสี่ยง 7 กลุ่มโรคเรื้อรัง และเด็กอายุ 6 เดือน - 2 ปี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6" s="2" t="n"/>
      <c r="L2456" s="2" t="inlineStr">
        <is>
          <t>General Therapeutics</t>
        </is>
      </c>
      <c r="M2456" s="2" t="inlineStr">
        <is>
          <t>Clinic</t>
        </is>
      </c>
      <c r="N2456" s="2" t="inlineStr">
        <is>
          <t>ข้อ 100 (PLE_CC1_Key_Rx20_UBU.md)</t>
        </is>
      </c>
      <c r="O2456" s="2" t="inlineStr">
        <is>
          <t>Mock</t>
        </is>
      </c>
      <c r="P2456" s="2" t="inlineStr">
        <is>
          <t>Mock Rx20 UBU</t>
        </is>
      </c>
    </row>
    <row r="2457" ht="13.2" customHeight="1" s="37">
      <c r="A2457" s="8" t="inlineStr">
        <is>
          <t>2478</t>
        </is>
      </c>
      <c r="B2457" s="2" t="inlineStr">
        <is>
          <t>ควรได้รับการรักษาด้วยยาปฏิชีวนะ ข้อใดเป็นอันดับแรก</t>
        </is>
      </c>
      <c r="C2457" s="2" t="n"/>
      <c r="D2457" s="2" t="inlineStr">
        <is>
          <t>amoxicillin</t>
        </is>
      </c>
      <c r="E2457" s="2" t="inlineStr">
        <is>
          <t>ampicillin</t>
        </is>
      </c>
      <c r="F2457" s="2" t="inlineStr">
        <is>
          <t>Roxithromycin</t>
        </is>
      </c>
      <c r="G2457" s="2" t="inlineStr">
        <is>
          <t>Azithromycin</t>
        </is>
      </c>
      <c r="H2457" s="2" t="inlineStr">
        <is>
          <t>Ciprofloxacin โดยการรักษาในผู้ป่วยที่อาการไม่รุนแรง คือ high dose amoxicillin 80-90 mg/kg/day แบ่งให้ po bid pc หากอาการรุนแรง (ไข้&gt; 39oC, ปวดหูมาก) คือ high dose amoxicillin 90 mg/kg/day ร่วมกับ clavulanate 6.4 mg/kg/day แบ่งให้ po bid pc</t>
        </is>
      </c>
      <c r="I2457" s="8" t="inlineStr">
        <is>
          <t>1</t>
        </is>
      </c>
      <c r="J2457" s="2" t="inlineStr">
        <is>
          <t>✅ คำตอบที่ถูกต้อง: ข้อ ก. amoxicillin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amoxicillin การเลือก amoxicillin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(ampicillin): ข้อนี้ไม่ใช่คำตอบที่ถูกต้องสำหรับภาวะ General Therapeutics เนื่องจากกลไกการออกฤทธิ์, efficacy หรือข้อบ่งใช้ไม่ตรงกับโจทย์ที่กำหนด
• ข้อ ค. (Roxithromycin): ข้อนี้ไม่ใช่คำตอบที่ถูกต้องสำหรับภาวะ General Therapeutics เนื่องจากกลไกการออกฤทธิ์, efficacy หรือข้อบ่งใช้ไม่ตรงกับโจทย์ที่กำหนด
• ข้อ ง. (Azithromycin): เป็น Macrolide ครอบคลุม atypical pathogens (Mycoplasma, Chlamydia, Legionella) ขจัดออกทางตับเป็นหลัก และมี half-life ยาวนาน (~68 ชม.)
• ข้อ จ. (Ciprofloxacin โดยการรักษาในผู้ป่วยที่อาการไม่รุนแรง คือ high dose amoxicillin 80-90 mg/kg/day แบ่งให้ po bid pc หากอาการรุนแรง (ไข้&gt; 39oC, ปวดหูมาก) คือ high dose amoxicillin 90 mg/kg/day ร่วมกับ clavulanate 6.4 mg/kg/day แบ่งให้ po bid pc):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7" s="2" t="n"/>
      <c r="L2457" s="2" t="inlineStr">
        <is>
          <t>General Therapeutics</t>
        </is>
      </c>
      <c r="M2457" s="2" t="inlineStr">
        <is>
          <t>Clinic</t>
        </is>
      </c>
      <c r="N2457" s="2" t="inlineStr">
        <is>
          <t>ข้อ 101 (PLE_CC1_Key_Rx20_UBU.md)</t>
        </is>
      </c>
      <c r="O2457" s="2" t="inlineStr">
        <is>
          <t>Mock</t>
        </is>
      </c>
      <c r="P2457" s="2" t="inlineStr">
        <is>
          <t>Mock Rx20 UBU</t>
        </is>
      </c>
    </row>
    <row r="2458" ht="13.2" customHeight="1" s="37">
      <c r="A2458" s="8" t="inlineStr">
        <is>
          <t>2479</t>
        </is>
      </c>
      <c r="B2458" s="2" t="inlineStr">
        <is>
          <t>ระยะเวลาในการรักษาข้อใดเหมาะสมที่สุด</t>
        </is>
      </c>
      <c r="C2458" s="2" t="n"/>
      <c r="D2458" s="2" t="inlineStr">
        <is>
          <t>3 days</t>
        </is>
      </c>
      <c r="E2458" s="2" t="inlineStr">
        <is>
          <t>7 days</t>
        </is>
      </c>
      <c r="F2458" s="2" t="inlineStr">
        <is>
          <t>14 days</t>
        </is>
      </c>
      <c r="G2458" s="2" t="inlineStr">
        <is>
          <t>21 days</t>
        </is>
      </c>
      <c r="H2458" s="2" t="inlineStr">
        <is>
          <t>28 days</t>
        </is>
      </c>
      <c r="I2458" s="8" t="inlineStr">
        <is>
          <t>2</t>
        </is>
      </c>
      <c r="J2458" s="2" t="inlineStr">
        <is>
          <t>✅ คำตอบที่ถูกต้อง: ข้อ ข. 7 days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7 days การเลือก 7 days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(3 days): ข้อนี้ไม่ใช่คำตอบที่ถูกต้องสำหรับภาวะ General Therapeutics เนื่องจากกลไกการออกฤทธิ์, efficacy หรือข้อบ่งใช้ไม่ตรงกับโจทย์ที่กำหนด
• ข้อ ค. (14 days): ข้อนี้ไม่ใช่คำตอบที่ถูกต้องสำหรับภาวะ General Therapeutics เนื่องจากกลไกการออกฤทธิ์, efficacy หรือข้อบ่งใช้ไม่ตรงกับโจทย์ที่กำหนด
• ข้อ ง. (21 days): ข้อนี้ไม่ใช่คำตอบที่ถูกต้องสำหรับภาวะ General Therapeutics เนื่องจากกลไกการออกฤทธิ์, efficacy หรือข้อบ่งใช้ไม่ตรงกับโจทย์ที่กำหนด
• ข้อ จ. (28 days):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58" s="2" t="n"/>
      <c r="L2458" s="2" t="inlineStr">
        <is>
          <t>General Therapeutics</t>
        </is>
      </c>
      <c r="M2458" s="2" t="inlineStr">
        <is>
          <t>Clinic</t>
        </is>
      </c>
      <c r="N2458" s="2" t="inlineStr">
        <is>
          <t>ข้อ 102 (PLE_CC1_Key_Rx20_UBU.md)</t>
        </is>
      </c>
      <c r="O2458" s="2" t="inlineStr">
        <is>
          <t>Mock</t>
        </is>
      </c>
      <c r="P2458" s="2" t="inlineStr">
        <is>
          <t>Mock Rx20 UBU</t>
        </is>
      </c>
    </row>
    <row r="2459" ht="13.2" customHeight="1" s="37">
      <c r="A2459" s="8" t="inlineStr">
        <is>
          <t>2480</t>
        </is>
      </c>
      <c r="B2459" s="2" t="inlineStr">
        <is>
          <t>ยา prednisolone 5 mg 1 กระปุก (เปิดแล้ว) ไม่มีเลขทะเบียนยา</t>
        </is>
      </c>
      <c r="C2459" s="2" t="n"/>
      <c r="D2459" s="2" t="inlineStr">
        <is>
          <t>Cetirizine 10 mg OD</t>
        </is>
      </c>
      <c r="E2459" s="2" t="inlineStr">
        <is>
          <t>Loratadine 10 mg OD</t>
        </is>
      </c>
      <c r="F2459" s="2" t="inlineStr">
        <is>
          <t>Fexofenadine 180 mg OD</t>
        </is>
      </c>
      <c r="G2459" s="2" t="inlineStr">
        <is>
          <t>Chlorpheniramine 4 mg TID</t>
        </is>
      </c>
      <c r="H2459" s="2" t="inlineStr">
        <is>
          <t>Fluticasone furoate nasal spray</t>
        </is>
      </c>
      <c r="I2459" s="8" t="inlineStr">
        <is>
          <t>1</t>
        </is>
      </c>
      <c r="J2459" s="2" t="inlineStr">
        <is>
          <t>✅ คำตอบที่ถูกต้อง: ข้อ ก. Cetirizine 10 mg OD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ข้อนี้ไม่ใช่คำตอบที่ถูกต้องสำหรับภาวะ Allergy &amp; Immunology เนื่องจากกลไกการออกฤทธิ์, efficacy หรือข้อบ่งใช้ไม่ตรงกับโจทย์ที่กำหนด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59" s="2" t="n"/>
      <c r="L2459" s="2" t="inlineStr">
        <is>
          <t>Allergy &amp; Immunology</t>
        </is>
      </c>
      <c r="M2459" s="2" t="inlineStr">
        <is>
          <t>Clinic</t>
        </is>
      </c>
      <c r="N2459" s="2" t="inlineStr">
        <is>
          <t>ข้อ 1 (PLE_CC1_Key_Rx20_UBU.md)</t>
        </is>
      </c>
      <c r="O2459" s="2" t="inlineStr">
        <is>
          <t>Mock</t>
        </is>
      </c>
      <c r="P2459" s="2" t="inlineStr">
        <is>
          <t>Mock Rx20 UBU</t>
        </is>
      </c>
    </row>
    <row r="2460" ht="13.2" customHeight="1" s="37">
      <c r="A2460" s="8" t="inlineStr">
        <is>
          <t>2481</t>
        </is>
      </c>
      <c r="B2460" s="2" t="inlineStr">
        <is>
          <t>ยา prednisolone จัดเป็นยาอะไร</t>
        </is>
      </c>
      <c r="C2460" s="2" t="n"/>
      <c r="D2460" s="2" t="inlineStr">
        <is>
          <t>ยาปลอม</t>
        </is>
      </c>
      <c r="E2460" s="2" t="inlineStr">
        <is>
          <t>ยาที่ถูกยกเลิกทะเบียน</t>
        </is>
      </c>
      <c r="F2460" s="2" t="inlineStr">
        <is>
          <t>ยาที่ถูกเพิกถอนทะเบียน</t>
        </is>
      </c>
      <c r="G2460" s="2" t="inlineStr">
        <is>
          <t>ยาที่มิได้ขึ้นทะเบียน</t>
        </is>
      </c>
      <c r="H2460" s="2" t="inlineStr">
        <is>
          <t>ยาผิดมาตรฐาน</t>
        </is>
      </c>
      <c r="I2460" s="8" t="inlineStr">
        <is>
          <t>4</t>
        </is>
      </c>
      <c r="J2460" s="2" t="inlineStr">
        <is>
          <t>✅ คำตอบที่ถูกต้อง: ข้อ ง. ยาที่มิได้ขึ้นทะเบียน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ยาที่มิได้ขึ้นทะเบียน การเลือก ยาที่มิได้ขึ้นทะเบียน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ก. (ยาปลอม): ข้อนี้ไม่ใช่คำตอบที่ถูกต้องสำหรับภาวะ Allergy &amp; Immunology เนื่องจากกลไกการออกฤทธิ์, efficacy หรือข้อบ่งใช้ไม่ตรงกับโจทย์ที่กำหนด
• ข้อ ข. (ยาที่ถูกยกเลิกทะเบียน): ข้อนี้ไม่ใช่คำตอบที่ถูกต้องสำหรับภาวะ Allergy &amp; Immunology เนื่องจากกลไกการออกฤทธิ์, efficacy หรือข้อบ่งใช้ไม่ตรงกับโจทย์ที่กำหนด
• ข้อ ค. (ยาที่ถูกเพิกถอนทะเบียน): ข้อนี้ไม่ใช่คำตอบที่ถูกต้องสำหรับภาวะ Allergy &amp; Immunology เนื่องจากกลไกการออกฤทธิ์, efficacy หรือข้อบ่งใช้ไม่ตรงกับโจทย์ที่กำหนด
• ข้อ จ. (ยาผิดมาตรฐาน):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60" s="2" t="n"/>
      <c r="L2460" s="2" t="inlineStr">
        <is>
          <t>Allergy &amp; Immunology</t>
        </is>
      </c>
      <c r="M2460" s="2" t="inlineStr">
        <is>
          <t>Clinic</t>
        </is>
      </c>
      <c r="N2460" s="2" t="inlineStr">
        <is>
          <t>ข้อ 109 (PLE_CC1_Key_Rx20_UBU.md)</t>
        </is>
      </c>
      <c r="O2460" s="2" t="inlineStr">
        <is>
          <t>Mock</t>
        </is>
      </c>
      <c r="P2460" s="2" t="inlineStr">
        <is>
          <t>Mock Rx20 UBU</t>
        </is>
      </c>
    </row>
    <row r="2461" ht="13.2" customHeight="1" s="37">
      <c r="A2461" s="8" t="inlineStr">
        <is>
          <t>2482</t>
        </is>
      </c>
      <c r="B2461" s="2" t="inlineStr">
        <is>
          <t>กรณีพบยา prednisolone ใครผิด ผิดอย่างไร</t>
        </is>
      </c>
      <c r="C2461" s="2" t="n"/>
      <c r="D2461" s="2" t="inlineStr">
        <is>
          <t>นาย ค ผิด ฐานขายยาที่มิได้ขึ้นทะเบียนตำรับยา</t>
        </is>
      </c>
      <c r="E2461" s="2" t="inlineStr">
        <is>
          <t>นาง ข ผิด ฐานขายยาที่มิได้ขึ้นทะเบียนตำรับยา</t>
        </is>
      </c>
      <c r="F2461" s="2" t="inlineStr">
        <is>
          <t>ภญ. ก ผิด ฐานขายยาที่มิได้ขึ้นทะเบียนตำรับยา</t>
        </is>
      </c>
      <c r="G2461" s="2" t="inlineStr">
        <is>
          <t>นาย ค และนาง ข ฐานขายยาที่มิได้ขึ้นทะเบียนตำรับยา</t>
        </is>
      </c>
      <c r="H2461" s="2" t="inlineStr">
        <is>
          <t>ไม่มีผู้ใดผิด</t>
        </is>
      </c>
      <c r="I2461" s="8" t="inlineStr">
        <is>
          <t>3</t>
        </is>
      </c>
      <c r="J2461" s="2" t="inlineStr">
        <is>
          <t>✅ คำตอบที่ถูกต้อง: ข้อ ค. ภญ. ก ผิด ฐานขายยาที่มิได้ขึ้นทะเบียนตำรับยา
💡 Background:
การบริบาลผู้ป่วยในกลุ่มโรค Allergy &amp; Immunology มุ่งเน้นการควบคุมโรคและลดความเสี่ยงต่อภาวะแทรกซ้อนด้วย evidence-based pharmacotherapy
🎯 ทำไมข้อนี้ถึงถูก:
ภญ. ก ผิด ฐานขายยาที่มิได้ขึ้นทะเบียนตำรับยา การเลือก ภญ. ก ผิด ฐานขายยาที่มิได้ขึ้นทะเบียนตำรับยา เป็นคำตอบที่ถูกต้องและสอดคล้องกับ evidence-based guidelines ของภาวะ Allergy &amp; Immunology โดยมี clinical efficacy สูงสุดในการรักษาและมี safety profile ที่เหมาะสม
🔍 ข้ออื่นผิดเพราะอะไร:
• ข้อ ก. (นาย ค ผิด ฐานขายยาที่มิได้ขึ้นทะเบียนตำรับยา): ข้อนี้ไม่ใช่คำตอบที่ถูกต้องสำหรับภาวะ Allergy &amp; Immunology เนื่องจากกลไกการออกฤทธิ์, efficacy หรือข้อบ่งใช้ไม่ตรงกับโจทย์ที่กำหนด
• ข้อ ข. (นาง ข ผิด ฐานขายยาที่มิได้ขึ้นทะเบียนตำรับยา): ข้อนี้ไม่ใช่คำตอบที่ถูกต้องสำหรับภาวะ Allergy &amp; Immunology เนื่องจากกลไกการออกฤทธิ์, efficacy หรือข้อบ่งใช้ไม่ตรงกับโจทย์ที่กำหนด
• ข้อ ง. (นาย ค และนาง ข ฐานขายยาที่มิได้ขึ้นทะเบียนตำรับยา): ข้อนี้ไม่ใช่คำตอบที่ถูกต้องสำหรับภาวะ Allergy &amp; Immunology เนื่องจากกลไกการออกฤทธิ์, efficacy หรือข้อบ่งใช้ไม่ตรงกับโจทย์ที่กำหนด
• ข้อ จ. (ไม่มีผู้ใดผิด): ข้อนี้ไม่ใช่คำตอบที่ถูกต้องสำหรับภาวะ Allergy &amp; Immunology เนื่องจากกลไกการออกฤทธิ์, efficacy หรือข้อบ่งใช้ไม่ตรงกับโจทย์ที่กำหนด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61" s="2" t="n"/>
      <c r="L2461" s="2" t="inlineStr">
        <is>
          <t>Allergy &amp; Immunology</t>
        </is>
      </c>
      <c r="M2461" s="2" t="inlineStr">
        <is>
          <t>Clinic</t>
        </is>
      </c>
      <c r="N2461" s="2" t="inlineStr">
        <is>
          <t>ข้อ 110 (PLE_CC1_Key_Rx20_UBU.md)</t>
        </is>
      </c>
      <c r="O2461" s="2" t="inlineStr">
        <is>
          <t>Mock</t>
        </is>
      </c>
      <c r="P2461" s="2" t="inlineStr">
        <is>
          <t>Mock Rx20 UBU</t>
        </is>
      </c>
    </row>
    <row r="2462" ht="13.2" customHeight="1" s="37">
      <c r="A2462" s="8" t="inlineStr">
        <is>
          <t>2483</t>
        </is>
      </c>
      <c r="B2462" s="2" t="inlineStr">
        <is>
          <t>จากกรณีที่มีการขายยา Indomethacin ให้สายล่อซื้อ ใครผิด</t>
        </is>
      </c>
      <c r="C2462" s="2" t="n"/>
      <c r="D2462" s="2" t="inlineStr">
        <is>
          <t>ภญ. ก ผิด ฐานผู้รับอนุญาตปล่อยให้มีการขายยาอันตรายขณะเภสัชไม่อยู่</t>
        </is>
      </c>
      <c r="E2462" s="2" t="inlineStr">
        <is>
          <t>นาง ข ผิด ฐานผู้รับอนุญาตปล่อยให้มีการขายยาอันตรายขณะเภสัชไม่อยู่</t>
        </is>
      </c>
      <c r="F2462" s="2" t="inlineStr">
        <is>
          <t>นาง ข ผิด ฐานขายยาอันตรายขณะเภสัชไม่อยู่</t>
        </is>
      </c>
      <c r="G2462" s="2" t="inlineStr">
        <is>
          <t>นาย ค และ นาง ข. ผิด ฐานขายยาอันตรายขณะเภสัชไม่อยู่</t>
        </is>
      </c>
      <c r="H2462" s="2" t="inlineStr">
        <is>
          <t>ไม่มีผู้ใดผิด</t>
        </is>
      </c>
      <c r="I2462" s="8" t="inlineStr">
        <is>
          <t>1</t>
        </is>
      </c>
      <c r="J2462" s="2" t="inlineStr">
        <is>
          <t>✅ คำตอบที่ถูกต้อง: ข้อ ก. ภญ. ก ผิด ฐานผู้รับอนุญาตปล่อยให้มีการขายยาอันตรายขณะเภสัชไม่อยู่
💡 Background:
การบริบาลผู้ป่วยในกลุ่มโรค Musculoskeletal &amp; Joint มุ่งเน้นการควบคุมโรคและลดความเสี่ยงต่อภาวะแทรกซ้อนด้วย evidence-based pharmacotherapy
🎯 ทำไมข้อนี้ถึงถูก:
ภญ. ก ผิด ฐานผู้รับอนุญาตปล่อยให้มีการขายยาอันตรายขณะเภสัชไม่อยู่ การเลือก ภญ. ก ผิด ฐานผู้รับอนุญาตปล่อยให้มีการขายยาอันตรายขณะเภสัชไม่อยู่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(นาง ข ผิด ฐานผู้รับอนุญาตปล่อยให้มีการขายยาอันตรายขณะเภสัชไม่อยู่):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(นาง ข ผิด ฐานขายยาอันตรายขณะเภสัชไม่อยู่):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(นาย ค และ นาง ข. ผิด ฐานขายยาอันตรายขณะเภสัชไม่อยู่):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(ไม่มีผู้ใดผิด): ข้อนี้ไม่ใช่คำตอบที่ถูกต้องสำหรับภาวะ Musculoskeletal &amp; Joint เนื่องจากกลไกการออกฤทธิ์, efficacy หรือข้อบ่งใช้ไม่ตรงกับโจทย์ที่กำหนด
📖 Guideline อ้างอิง:
[NEED_REVIEW]
📌 จุดจำก่อนสอบ:
• Potent COX Inhibitor: มี anti-inflammatory สูงมากใน acute gout flare แต่มีอาการข้างเคียงทาง CNS สูง (ปวดศีรษะรุนแรง มึนงง) และเสี่ยงต่อ GI toxicity สูง
• PDA Closure: ใช้ฉีด IV เพื่อปิดหลอดเลือด Patent Ductus Arteriosus (PDA) ในทารกคลอดก่อนกำหนด</t>
        </is>
      </c>
      <c r="K2462" s="2" t="n"/>
      <c r="L2462" s="2" t="inlineStr">
        <is>
          <t>Musculoskeletal &amp; Joint</t>
        </is>
      </c>
      <c r="M2462" s="2" t="inlineStr">
        <is>
          <t>Clinic</t>
        </is>
      </c>
      <c r="N2462" s="2" t="inlineStr">
        <is>
          <t>ข้อ 112 (PLE_CC1_Key_Rx20_UBU.md)</t>
        </is>
      </c>
      <c r="O2462" s="2" t="inlineStr">
        <is>
          <t>Mock</t>
        </is>
      </c>
      <c r="P2462" s="2" t="inlineStr">
        <is>
          <t>Mock Rx20 UBU</t>
        </is>
      </c>
    </row>
    <row r="2463" ht="13.2" customHeight="1" s="37">
      <c r="A2463" s="8" t="inlineStr">
        <is>
          <t>2484</t>
        </is>
      </c>
      <c r="B2463" s="2" t="inlineStr">
        <is>
          <t>จากการพบซองยาที่มียา 2 ชนิดอยู่ภายใน เตรียมไว้ล่วงหน้า ใครผิดข้อหาใด</t>
        </is>
      </c>
      <c r="C2463" s="2" t="n"/>
      <c r="D2463" s="2" t="inlineStr">
        <is>
          <t>ภญ. ก ผิด ฐานผลิตยาชุด</t>
        </is>
      </c>
      <c r="E2463" s="2" t="inlineStr">
        <is>
          <t>ภญ. ก ผิด ฐานขายยาชุด</t>
        </is>
      </c>
      <c r="F2463" s="2" t="inlineStr">
        <is>
          <t>ภญ. ก ผิด ฐานขายยาโดยไม่ได้รับอนุญาต</t>
        </is>
      </c>
      <c r="G2463" s="2" t="inlineStr">
        <is>
          <t>นาง ข ผิด ฐานผลิตยาชุด</t>
        </is>
      </c>
      <c r="H2463" s="2" t="inlineStr">
        <is>
          <t>ไม่มีผู้ใดผิด เพราะยังไม่มีการขายเกิดขึ้น</t>
        </is>
      </c>
      <c r="I2463" s="8" t="inlineStr">
        <is>
          <t>2</t>
        </is>
      </c>
      <c r="J2463" s="2" t="inlineStr">
        <is>
          <t>✅ คำตอบที่ถูกต้อง: ข้อ ข. ภญ. ก ผิด ฐานขายยาชุด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ภญ. ก ผิด ฐานขายยาชุด การเลือก ภญ. ก ผิด ฐานขายยาชุด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(ภญ. ก ผิด ฐานผลิตยาชุด): ข้อนี้ไม่ใช่คำตอบที่ถูกต้องสำหรับภาวะ General Therapeutics เนื่องจากกลไกการออกฤทธิ์, efficacy หรือข้อบ่งใช้ไม่ตรงกับโจทย์ที่กำหนด
• ข้อ ค. (ภญ. ก ผิด ฐานขายยาโดยไม่ได้รับอนุญาต): ข้อนี้ไม่ใช่คำตอบที่ถูกต้องสำหรับภาวะ General Therapeutics เนื่องจากกลไกการออกฤทธิ์, efficacy หรือข้อบ่งใช้ไม่ตรงกับโจทย์ที่กำหนด
• ข้อ ง. (นาง ข ผิด ฐานผลิตยาชุด): ข้อนี้ไม่ใช่คำตอบที่ถูกต้องสำหรับภาวะ General Therapeutics เนื่องจากกลไกการออกฤทธิ์, efficacy หรือข้อบ่งใช้ไม่ตรงกับโจทย์ที่กำหนด
• ข้อ จ. (ไม่มีผู้ใดผิด เพราะยังไม่มีการขายเกิดขึ้น):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63" s="2" t="n"/>
      <c r="L2463" s="2" t="inlineStr">
        <is>
          <t>General Therapeutics</t>
        </is>
      </c>
      <c r="M2463" s="2" t="inlineStr">
        <is>
          <t>Clinic</t>
        </is>
      </c>
      <c r="N2463" s="2" t="inlineStr">
        <is>
          <t>ข้อ 114 (PLE_CC1_Key_Rx20_UBU.md)</t>
        </is>
      </c>
      <c r="O2463" s="2" t="inlineStr">
        <is>
          <t>Mock</t>
        </is>
      </c>
      <c r="P2463" s="2" t="inlineStr">
        <is>
          <t>Mock Rx20 UBU</t>
        </is>
      </c>
    </row>
    <row r="2464" ht="13.2" customHeight="1" s="37">
      <c r="A2464" s="8" t="inlineStr">
        <is>
          <t>2485</t>
        </is>
      </c>
      <c r="B2464" s="2" t="inlineStr">
        <is>
          <t>จากการตรวจไม่พบบัญชีซื้อขายยาอันตราย ภญ. ก มีความผิดอย่างไร</t>
        </is>
      </c>
      <c r="C2464" s="2" t="n"/>
      <c r="D2464" s="2" t="inlineStr">
        <is>
          <t>ไม่มีความผิด</t>
        </is>
      </c>
      <c r="E2464" s="2" t="inlineStr">
        <is>
          <t>ผิด ฐานไม่จัดทำบัญชีขายยาอันตรายตามที่คณะรัฐมนตรีประกาศ</t>
        </is>
      </c>
      <c r="F2464" s="2" t="inlineStr">
        <is>
          <t>ผิด ฐานไม่จัดทำบัญชีการซื้อยา</t>
        </is>
      </c>
      <c r="G2464" s="2" t="inlineStr">
        <is>
          <t>ผิด ฐานไม่ควบคุมบัญชีซื้อขายยาอันตราย</t>
        </is>
      </c>
      <c r="H2464" s="2" t="inlineStr">
        <is>
          <t>ผิด ฐานไม่จัดทำและควบคุมบัญชีซื้อขายยาอันตราย</t>
        </is>
      </c>
      <c r="I2464" s="8" t="inlineStr">
        <is>
          <t>5</t>
        </is>
      </c>
      <c r="J2464" s="2" t="inlineStr">
        <is>
          <t>✅ คำตอบที่ถูกต้อง: ข้อ จ. ผิด ฐานไม่จัดทำและควบคุมบัญชีซื้อขายยาอันตราย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ฐานไม่จัดทำและควบคุมบัญชีซื้อขายยาอันตราย 💡 คำอธิบายและข้อกำหนดทางกฎหมาย:
💡 คำอธิบายและข้อกำหนดทางกฎหมาย:
การเลือก ผิด ฐานไม่จัดทำและควบคุมบัญชีซื้อขายยาอันตราย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(ไม่มีความผิด): ข้อนี้ไม่ใช่คำตอบที่ถูกต้องสำหรับภาวะ Pharmacy Laws &amp; Ethics เนื่องจากกลไกการออกฤทธิ์, efficacy หรือข้อบ่งใช้ไม่ตรงกับโจทย์ที่กำหนด
• ข้อ ข. (ผิด ฐานไม่จัดทำบัญชีขายยาอันตรายตามที่คณะรัฐมนตรีประกาศ):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(ผิด ฐานไม่จัดทำบัญชีการซื้อยา): ข้อนี้ไม่ใช่คำตอบที่ถูกต้องสำหรับภาวะ Pharmacy Laws &amp; Ethics เนื่องจากกลไกการออกฤทธิ์, efficacy หรือข้อบ่งใช้ไม่ตรงกับโจทย์ที่กำหนด
• ข้อ ง. (ผิด ฐานไม่ควบคุมบัญชีซื้อขายยาอันตราย):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4" s="2" t="n"/>
      <c r="L2464" s="2" t="inlineStr">
        <is>
          <t>Pharmacy Laws &amp; Ethics</t>
        </is>
      </c>
      <c r="M2464" s="2" t="inlineStr">
        <is>
          <t>SAP</t>
        </is>
      </c>
      <c r="N2464" s="2" t="inlineStr">
        <is>
          <t>ข้อ 115 (PLE_CC1_Key_Rx20_UBU.md)</t>
        </is>
      </c>
      <c r="O2464" s="2" t="inlineStr">
        <is>
          <t>Mock</t>
        </is>
      </c>
      <c r="P2464" s="2" t="inlineStr">
        <is>
          <t>Mock Rx20 UBU</t>
        </is>
      </c>
    </row>
    <row r="2465" ht="13.2" customHeight="1" s="37">
      <c r="A2465" s="8" t="inlineStr">
        <is>
          <t>2486</t>
        </is>
      </c>
      <c r="B2465" s="2" t="inlineStr">
        <is>
          <t>ในกรณีนี้ ภญ. ก มีความผิดในข้อใดชัดเจนที่สุด</t>
        </is>
      </c>
      <c r="C2465" s="2" t="n"/>
      <c r="D2465" s="2" t="inlineStr">
        <is>
          <t>ไม่อยู่ปฏิบัติการตามเวลาทำการ</t>
        </is>
      </c>
      <c r="E2465" s="2" t="inlineStr">
        <is>
          <t>ขายยาโดยไม่ได้รับอนุญาต</t>
        </is>
      </c>
      <c r="F2465" s="2" t="inlineStr">
        <is>
          <t>ไม่ให้คำแนะนำในการส่งมอบยา</t>
        </is>
      </c>
      <c r="G2465" s="2" t="inlineStr">
        <is>
          <t>ไม่จัดเก็บรักษาและส่งมอบยาให้ถูกต้องตามเกณฑ์มาตรฐาน</t>
        </is>
      </c>
      <c r="H2465" s="2" t="inlineStr">
        <is>
          <t>ไม่แสดงชื่อยา ความแรง ขนาดการใช้ที่ชัดเจน</t>
        </is>
      </c>
      <c r="I2465" s="8" t="inlineStr">
        <is>
          <t>1</t>
        </is>
      </c>
      <c r="J2465" s="2" t="inlineStr">
        <is>
          <t>✅ คำตอบที่ถูกต้อง: ข้อ ก. ไม่อยู่ปฏิบัติการตามเวลาทำการ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ไม่อยู่ปฏิบัติการตามเวลาทำการ การเลือก ไม่อยู่ปฏิบัติการตามเวลาทำการ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(ขายยาโดยไม่ได้รับอนุญาต): ข้อนี้ไม่ใช่คำตอบที่ถูกต้องสำหรับภาวะ General Therapeutics เนื่องจากกลไกการออกฤทธิ์, efficacy หรือข้อบ่งใช้ไม่ตรงกับโจทย์ที่กำหนด
• ข้อ ค. (ไม่ให้คำแนะนำในการส่งมอบยา): ข้อนี้ไม่ใช่คำตอบที่ถูกต้องสำหรับภาวะ General Therapeutics เนื่องจากกลไกการออกฤทธิ์, efficacy หรือข้อบ่งใช้ไม่ตรงกับโจทย์ที่กำหนด
• ข้อ ง. (ไม่จัดเก็บรักษาและส่งมอบยาให้ถูกต้องตามเกณฑ์มาตรฐาน): ข้อนี้ไม่ใช่คำตอบที่ถูกต้องสำหรับภาวะ General Therapeutics เนื่องจากกลไกการออกฤทธิ์, efficacy หรือข้อบ่งใช้ไม่ตรงกับโจทย์ที่กำหนด
• ข้อ จ. (ไม่แสดงชื่อยา ความแรง ขนาดการใช้ที่ชัดเจน):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65" s="2" t="n"/>
      <c r="L2465" s="2" t="inlineStr">
        <is>
          <t>General Therapeutics</t>
        </is>
      </c>
      <c r="M2465" s="2" t="inlineStr">
        <is>
          <t>Clinic</t>
        </is>
      </c>
      <c r="N2465" s="2" t="inlineStr">
        <is>
          <t>ข้อ 116 (PLE_CC1_Key_Rx20_UBU.md)</t>
        </is>
      </c>
      <c r="O2465" s="2" t="inlineStr">
        <is>
          <t>Mock</t>
        </is>
      </c>
      <c r="P2465" s="2" t="inlineStr">
        <is>
          <t>Mock Rx20 UBU</t>
        </is>
      </c>
    </row>
    <row r="2466" ht="13.2" customHeight="1" s="37">
      <c r="A2466" s="8" t="inlineStr">
        <is>
          <t>2487</t>
        </is>
      </c>
      <c r="B2466" s="2" t="inlineStr">
        <is>
          <t>ผู้อำนวยการสถานีเคเบิลมีความผิดอย่างไร</t>
        </is>
      </c>
      <c r="C2466" s="2" t="n"/>
      <c r="D2466" s="2" t="inlineStr">
        <is>
          <t>โฆษณาโดยแสดงความทุกข์ทรมาน</t>
        </is>
      </c>
      <c r="E2466" s="2" t="inlineStr">
        <is>
          <t>โฆษณายาโดยไม่ขออนุญาต</t>
        </is>
      </c>
      <c r="F2466" s="2" t="inlineStr">
        <is>
          <t>โฆษณาอาหารโดยไม่ขออนุญาต</t>
        </is>
      </c>
      <c r="G2466" s="2" t="inlineStr">
        <is>
          <t>โฆษณาโดยการแถมพก</t>
        </is>
      </c>
      <c r="H2466" s="2" t="inlineStr">
        <is>
          <t>ไม่ผิด หากพิสูจน์ได้ว่า ไม่ได้รับผลประโยชน์จากการโฆษณาดังกล่าว ข้อสอบวัดความรู้ทางเภสัชศาสตร์เชิงบูรณาการ (MCQ) ครั้งที่ 1/2561 เพื่อขึ้นทะเบียนเป็นผู้ประกอบวิชาชีพเภสัชกรรม ประจำปี พ.ศ 2561 สถานการณ์ที่ 1 เรื่อง Osteoporosis Patient profile: ผู้ป่วยเพศหญิง อายุ 66 ปี น้ำหนัก 45 ปี ส่วนสูง 155 cm CC: ลื่นล้มในห้องน้ำก่อนมาโรงพยาบาล กระดูกมือหัก Physical exam: fracture of radial head, T-score &lt; -2.6 FH: ป้ามีประวัติเป็น OA ยาที่ได้รับปัจจุบัน: HCTZ 1x1 , Nifedipine 1x2 ข้อ 1 ผู้ป่วยวินิจฉัยเป็นโรคอะไร</t>
        </is>
      </c>
      <c r="I2466" s="8" t="inlineStr">
        <is>
          <t>2</t>
        </is>
      </c>
      <c r="J2466" s="2" t="inlineStr">
        <is>
          <t>✅ คำตอบที่ถูกต้อง: ข้อ ข. โฆษณายาโดยไม่ขออนุญาต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โฆษณายาโดยไม่ขออนุญาต การเลือก โฆษณายาโดยไม่ขออนุญาต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ก. (โฆษณาโดยแสดงความทุกข์ทรมาน): ข้อนี้ไม่ใช่คำตอบที่ถูกต้องสำหรับภาวะ General Therapeutics เนื่องจากกลไกการออกฤทธิ์, efficacy หรือข้อบ่งใช้ไม่ตรงกับโจทย์ที่กำหนด
• ข้อ ค. (โฆษณาอาหารโดยไม่ขออนุญาต): ข้อนี้ไม่ใช่คำตอบที่ถูกต้องสำหรับภาวะ General Therapeutics เนื่องจากกลไกการออกฤทธิ์, efficacy หรือข้อบ่งใช้ไม่ตรงกับโจทย์ที่กำหนด
• ข้อ ง. (โฆษณาโดยการแถมพก): ข้อนี้ไม่ใช่คำตอบที่ถูกต้องสำหรับภาวะ General Therapeutics เนื่องจากกลไกการออกฤทธิ์, efficacy หรือข้อบ่งใช้ไม่ตรงกับโจทย์ที่กำหนด
• ข้อ จ. (ไม่ผิด หากพิสูจน์ได้ว่า ไม่ได้รับผลประโยชน์จากการโฆษณาดังกล่าว ข้อสอบวัดความรู้ทางเภสัชศาสตร์เชิงบูรณาการ (MCQ) ครั้งที่ 1/2561 เพื่อขึ้นทะเบียนเป็นผู้ประกอบวิชาชีพเภสัชกรรม ประจำปี พ.ศ 2561 สถานการณ์ที่ 1 เรื่อง Osteoporosis Patient profile: ผู้ป่วยเพศหญิง อายุ 66 ปี น้ำหนัก 45 ปี ส่วนสูง 155 cm CC: ลื่นล้มในห้องน้ำก่อนมาโรงพยาบาล กระดูกมือหัก Physical exam: fracture of radial head, T-score &lt; -2.6 FH: ป้ามีประวัติเป็น OA ยาที่ได้รับปัจจุบัน: HCTZ 1x1 , Nifedipine 1x2 ข้อ 1 ผู้ป่วยวินิจฉัยเป็นโรคอะไร):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66" s="2" t="n"/>
      <c r="L2466" s="2" t="inlineStr">
        <is>
          <t>General Therapeutics</t>
        </is>
      </c>
      <c r="M2466" s="2" t="inlineStr">
        <is>
          <t>Clinic</t>
        </is>
      </c>
      <c r="N2466" s="2" t="inlineStr">
        <is>
          <t>ข้อ 120 (PLE_CC1_Key_Rx20_UBU.md)</t>
        </is>
      </c>
      <c r="O2466" s="2" t="inlineStr">
        <is>
          <t>Mock</t>
        </is>
      </c>
      <c r="P2466" s="2" t="inlineStr">
        <is>
          <t>Mock Rx20 UBU</t>
        </is>
      </c>
    </row>
    <row r="2467" ht="13.2" customHeight="1" s="37">
      <c r="A2467" s="8" t="inlineStr">
        <is>
          <t>2488</t>
        </is>
      </c>
      <c r="B2467" s="2" t="inlineStr">
        <is>
          <t>sevilamer carbonate 800 mg 1 tab tid 90</t>
        </is>
      </c>
      <c r="C2467" s="2" t="n"/>
      <c r="D2467" s="2" t="inlineStr">
        <is>
          <t>N-acetylcysteine (NAC) IV infusion protocol</t>
        </is>
      </c>
      <c r="E2467" s="2" t="inlineStr">
        <is>
          <t>Atropine sulfate 2 mg IV Q5-10 min</t>
        </is>
      </c>
      <c r="F2467" s="2" t="inlineStr">
        <is>
          <t>Pralidoxime (2-PAM) 1-2 g IV over 30 min</t>
        </is>
      </c>
      <c r="G2467" s="2" t="inlineStr">
        <is>
          <t>Naloxone 0.4 mg IV stat</t>
        </is>
      </c>
      <c r="H2467" s="2" t="inlineStr">
        <is>
          <t>Flumazenil 0.2 mg IV stat</t>
        </is>
      </c>
      <c r="I2467" s="8" t="inlineStr">
        <is>
          <t>1</t>
        </is>
      </c>
      <c r="J2467"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67" s="2" t="n"/>
      <c r="L2467" s="2" t="inlineStr">
        <is>
          <t>General Therapeutics</t>
        </is>
      </c>
      <c r="M2467" s="2" t="inlineStr">
        <is>
          <t>Clinic</t>
        </is>
      </c>
      <c r="N2467" s="2" t="inlineStr">
        <is>
          <t>ข้อ 1 (PLE_CC1_Key_Rx20_UBU.md)</t>
        </is>
      </c>
      <c r="O2467" s="2" t="inlineStr">
        <is>
          <t>Mock</t>
        </is>
      </c>
      <c r="P2467" s="2" t="inlineStr">
        <is>
          <t>Mock Rx20 UBU</t>
        </is>
      </c>
    </row>
    <row r="2468" ht="13.2" customHeight="1" s="37">
      <c r="A2468" s="8" t="inlineStr">
        <is>
          <t>2489</t>
        </is>
      </c>
      <c r="B2468" s="2" t="inlineStr">
        <is>
          <t>calcium polystylene sulfonate 1 pack OD 30</t>
        </is>
      </c>
      <c r="C2468" s="2" t="n"/>
      <c r="D2468" s="2" t="inlineStr">
        <is>
          <t>Naloxone 0.4 mg IV stat</t>
        </is>
      </c>
      <c r="E2468" s="2" t="inlineStr">
        <is>
          <t>Flumazenil 0.2 mg IV stat</t>
        </is>
      </c>
      <c r="F2468" s="2" t="inlineStr">
        <is>
          <t>Vitamin K1 (Phytomenadione) 10 mg IV slow</t>
        </is>
      </c>
      <c r="G2468" s="2" t="inlineStr">
        <is>
          <t>Sodium thiosulfate 25% 50 mL IV</t>
        </is>
      </c>
      <c r="H2468" s="2" t="inlineStr">
        <is>
          <t>Calcium disodium EDTA 1 g IV</t>
        </is>
      </c>
      <c r="I2468" s="8" t="inlineStr">
        <is>
          <t>1</t>
        </is>
      </c>
      <c r="J2468"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68" s="2" t="n"/>
      <c r="L2468" s="2" t="inlineStr">
        <is>
          <t>General Therapeutics</t>
        </is>
      </c>
      <c r="M2468" s="2" t="inlineStr">
        <is>
          <t>Clinic</t>
        </is>
      </c>
      <c r="N2468" s="2" t="inlineStr">
        <is>
          <t>ข้อ 2 (PLE_CC1_Key_Rx20_UBU.md)</t>
        </is>
      </c>
      <c r="O2468" s="2" t="inlineStr">
        <is>
          <t>Mock</t>
        </is>
      </c>
      <c r="P2468" s="2" t="inlineStr">
        <is>
          <t>Mock Rx20 UBU</t>
        </is>
      </c>
    </row>
    <row r="2469" ht="13.2" customHeight="1" s="37">
      <c r="A2469" s="8" t="inlineStr">
        <is>
          <t>2490</t>
        </is>
      </c>
      <c r="B2469" s="2" t="inlineStr">
        <is>
          <t>ฺB 1-6-12 1 tab tid 90</t>
        </is>
      </c>
      <c r="C2469" s="2" t="n"/>
      <c r="D2469" s="2" t="inlineStr">
        <is>
          <t>Sodium thiosulfate 25% 50 mL IV</t>
        </is>
      </c>
      <c r="E2469" s="2" t="inlineStr">
        <is>
          <t>Calcium disodium EDTA 1 g IV</t>
        </is>
      </c>
      <c r="F2469" s="2" t="inlineStr">
        <is>
          <t>Desferrioxamine 1 g IM/IV</t>
        </is>
      </c>
      <c r="G2469" s="2" t="inlineStr">
        <is>
          <t>Dimercaprol (BAL) 3 mg/kg IM</t>
        </is>
      </c>
      <c r="H2469" s="2" t="inlineStr">
        <is>
          <t>Ethanol 10% IV infusion for Methanol poisoning</t>
        </is>
      </c>
      <c r="I2469" s="8" t="inlineStr">
        <is>
          <t>1</t>
        </is>
      </c>
      <c r="J2469"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69" s="2" t="n"/>
      <c r="L2469" s="2" t="inlineStr">
        <is>
          <t>General Therapeutics</t>
        </is>
      </c>
      <c r="M2469" s="2" t="inlineStr">
        <is>
          <t>Clinic</t>
        </is>
      </c>
      <c r="N2469" s="2" t="inlineStr">
        <is>
          <t>ข้อ 6 (PLE_CC1_Key_Rx20_UBU.md)</t>
        </is>
      </c>
      <c r="O2469" s="2" t="inlineStr">
        <is>
          <t>Mock</t>
        </is>
      </c>
      <c r="P2469" s="2" t="inlineStr">
        <is>
          <t>Mock Rx20 UBU</t>
        </is>
      </c>
    </row>
    <row r="2470" ht="13.2" customHeight="1" s="37">
      <c r="A2470" s="8" t="inlineStr">
        <is>
          <t>2491</t>
        </is>
      </c>
      <c r="B2470" s="2" t="inlineStr">
        <is>
          <t>Epoetin ทุกวันจันทร์ กับ พฤหัสบดี 6</t>
        </is>
      </c>
      <c r="C2470" s="2" t="n"/>
      <c r="D2470" s="2" t="inlineStr">
        <is>
          <t>Dimercaprol (BAL) 3 mg/kg IM</t>
        </is>
      </c>
      <c r="E2470" s="2" t="inlineStr">
        <is>
          <t>Ethanol 10% IV infusion for Methanol poisoning</t>
        </is>
      </c>
      <c r="F2470" s="2" t="inlineStr">
        <is>
          <t>Fomepizole 15 mg/kg IV loading</t>
        </is>
      </c>
      <c r="G2470" s="2" t="inlineStr">
        <is>
          <t>N-acetylcysteine (NAC) IV infusion protocol</t>
        </is>
      </c>
      <c r="H2470" s="2" t="inlineStr">
        <is>
          <t>Atropine sulfate 2 mg IV Q5-10 min</t>
        </is>
      </c>
      <c r="I2470" s="8" t="inlineStr">
        <is>
          <t>1</t>
        </is>
      </c>
      <c r="J2470"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0" s="2" t="n"/>
      <c r="L2470" s="2" t="inlineStr">
        <is>
          <t>General Therapeutics</t>
        </is>
      </c>
      <c r="M2470" s="2" t="inlineStr">
        <is>
          <t>Clinic</t>
        </is>
      </c>
      <c r="N2470" s="2" t="inlineStr">
        <is>
          <t>ข้อ 12 (PLE_CC1_Key_Rx20_UBU.md)</t>
        </is>
      </c>
      <c r="O2470" s="2" t="inlineStr">
        <is>
          <t>Mock</t>
        </is>
      </c>
      <c r="P2470" s="2" t="inlineStr">
        <is>
          <t>Mock Rx20 UBU</t>
        </is>
      </c>
    </row>
    <row r="2471" ht="13.2" customHeight="1" s="37">
      <c r="A2471" s="8" t="inlineStr">
        <is>
          <t>2492</t>
        </is>
      </c>
      <c r="B2471" s="2" t="inlineStr">
        <is>
          <t>NPH 12-0-8 ข้อ 10 sevelamer carbonate มีข้อบ่งใช้ใดในผู้ป่วยรายนี้</t>
        </is>
      </c>
      <c r="C2471" s="2" t="n"/>
      <c r="D2471" s="2" t="inlineStr">
        <is>
          <t>HCO3 18</t>
        </is>
      </c>
      <c r="E2471" s="2" t="inlineStr">
        <is>
          <t>HCO3 26</t>
        </is>
      </c>
      <c r="F2471" s="2" t="inlineStr">
        <is>
          <t>Calcium 8.6</t>
        </is>
      </c>
      <c r="G2471" s="2" t="inlineStr">
        <is>
          <t>potasium 6.5</t>
        </is>
      </c>
      <c r="H2471" s="2" t="inlineStr">
        <is>
          <t>Phosphate 8 ข้อ 11 คำแนะนำข้อใดเหมาะสมเมื่อผู้ป่วยได้รับ sevelamer carbonate</t>
        </is>
      </c>
      <c r="I2471" s="8" t="inlineStr">
        <is>
          <t>5</t>
        </is>
      </c>
      <c r="J2471" s="2" t="inlineStr">
        <is>
          <t>✅ คำตอบที่ถูกต้อง: ข้อ จ. Phosphate 8 ข้อ 11 คำแนะนำข้อใดเหมาะสมเมื่อผู้ป่วยได้รับ sevelamer carbonate
💡 Background:
การบริบาลผู้ป่วยในกลุ่มโรค Renal Diseases มุ่งเน้นการควบคุมโรคและลดความเสี่ยงต่อภาวะแทรกซ้อนด้วย evidence-based pharmacotherapy
🎯 ทำไมข้อนี้ถึงถูก:
Phosphate 8 ข้อ 11 คำแนะนำข้อใดเหมาะสมเมื่อผู้ป่วยได้รับ sevelamer carbonate การเลือก Phosphate 8 ข้อ 11 คำแนะนำข้อใดเหมาะสมเมื่อผู้ป่วยได้รับ sevelamer carbonate เป็นคำตอบที่ถูกต้องตามแนวทางการรักษามาตรฐาน เนื่องจาก เป็น Non-calcium, non-aluminum phosphate binder เหมาะสำหรับ CKD patients ที่มี hypercalcemia หรือ vascular calcification
🔍 ข้ออื่นผิดเพราะอะไร:
• ข้อ ก. (HCO3 18): ข้อนี้ไม่ใช่คำตอบที่ถูกต้องสำหรับภาวะ Renal Diseases เนื่องจากกลไกการออกฤทธิ์, efficacy หรือข้อบ่งใช้ไม่ตรงกับโจทย์ที่กำหนด
• ข้อ ข. (HCO3 26): ข้อนี้ไม่ใช่คำตอบที่ถูกต้องสำหรับภาวะ Renal Diseases เนื่องจากกลไกการออกฤทธิ์, efficacy หรือข้อบ่งใช้ไม่ตรงกับโจทย์ที่กำหนด
• ข้อ ค. (Calcium 8.6): ข้อนี้ไม่ใช่คำตอบที่ถูกต้องสำหรับภาวะ Renal Diseases เนื่องจากกลไกการออกฤทธิ์, efficacy หรือข้อบ่งใช้ไม่ตรงกับโจทย์ที่กำหนด
• ข้อ ง. (potasium 6.5): ข้อนี้ไม่ใช่คำตอบที่ถูกต้องสำหรับภาวะ Renal Diseases เนื่องจากกลไกการออกฤทธิ์, efficacy หรือข้อบ่งใช้ไม่ตรงกับโจทย์ที่กำหนด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471" s="2" t="n"/>
      <c r="L2471" s="2" t="inlineStr">
        <is>
          <t>Renal Diseases</t>
        </is>
      </c>
      <c r="M2471" s="2" t="inlineStr">
        <is>
          <t>Clinic</t>
        </is>
      </c>
      <c r="N2471" s="2" t="inlineStr">
        <is>
          <t>ข้อ 13 (PLE_CC1_Key_Rx20_UBU.md)</t>
        </is>
      </c>
      <c r="O2471" s="2" t="inlineStr">
        <is>
          <t>Mock</t>
        </is>
      </c>
      <c r="P2471" s="2" t="inlineStr">
        <is>
          <t>Mock Rx20 UBU</t>
        </is>
      </c>
    </row>
    <row r="2472" ht="13.2" customHeight="1" s="37">
      <c r="A2472" s="8" t="inlineStr">
        <is>
          <t>2493</t>
        </is>
      </c>
      <c r="B2472" s="2" t="inlineStr">
        <is>
          <t>ยาเตรียมรูปแบบของเหลวที่ไม่ใช่น้ำ (non-aqueous) หรือรูปแบบของแข็งที่เตรียมจากผลิตภัณฑ์สำเร็จรูปที่เป็นแหล่งของตัวยาสำคัญ: ไม่เกิน 25%ของ อายุที่เหลือของอายุผลิตภัณฑ์หรือไม่เกิน 6 เดือน โดยเลือกเวลาที่สั้นกว่า</t>
        </is>
      </c>
      <c r="C2472" s="2" t="n"/>
      <c r="D2472" s="2" t="inlineStr">
        <is>
          <t>Naloxone 0.4 mg IV stat</t>
        </is>
      </c>
      <c r="E2472" s="2" t="inlineStr">
        <is>
          <t>Flumazenil 0.2 mg IV stat</t>
        </is>
      </c>
      <c r="F2472" s="2" t="inlineStr">
        <is>
          <t>Vitamin K1 (Phytomenadione) 10 mg IV slow</t>
        </is>
      </c>
      <c r="G2472" s="2" t="inlineStr">
        <is>
          <t>Sodium thiosulfate 25% 50 mL IV</t>
        </is>
      </c>
      <c r="H2472" s="2" t="inlineStr">
        <is>
          <t>Calcium disodium EDTA 1 g IV</t>
        </is>
      </c>
      <c r="I2472" s="8" t="inlineStr">
        <is>
          <t>1</t>
        </is>
      </c>
      <c r="J2472"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72" s="2" t="n"/>
      <c r="L2472" s="2" t="inlineStr">
        <is>
          <t>General Therapeutics</t>
        </is>
      </c>
      <c r="M2472" s="2" t="inlineStr">
        <is>
          <t>Clinic</t>
        </is>
      </c>
      <c r="N2472" s="2" t="inlineStr">
        <is>
          <t>ข้อ 2 (PLE_CC1_Key_Rx20_UBU.md)</t>
        </is>
      </c>
      <c r="O2472" s="2" t="inlineStr">
        <is>
          <t>Mock</t>
        </is>
      </c>
      <c r="P2472" s="2" t="inlineStr">
        <is>
          <t>Mock Rx20 UBU</t>
        </is>
      </c>
    </row>
    <row r="2473" ht="13.2" customHeight="1" s="37">
      <c r="A2473" s="8" t="inlineStr">
        <is>
          <t>2494</t>
        </is>
      </c>
      <c r="B2473" s="2" t="inlineStr">
        <is>
          <t>Ferritin level ต่ำ ค่าของผู้ป่วย 5 (ค่าปกติ ชาย: 15-200, หญิง 12-150, ทั่วไปหาก &lt; 30 จะแสดงถึงภาวะ IDA)</t>
        </is>
      </c>
      <c r="C2473" s="2" t="n"/>
      <c r="D2473" s="2" t="inlineStr">
        <is>
          <t>Sodium thiosulfate 25% 50 mL IV</t>
        </is>
      </c>
      <c r="E2473" s="2" t="inlineStr">
        <is>
          <t>Calcium disodium EDTA 1 g IV</t>
        </is>
      </c>
      <c r="F2473" s="2" t="inlineStr">
        <is>
          <t>Desferrioxamine 1 g IM/IV</t>
        </is>
      </c>
      <c r="G2473" s="2" t="inlineStr">
        <is>
          <t>Dimercaprol (BAL) 3 mg/kg IM</t>
        </is>
      </c>
      <c r="H2473" s="2" t="inlineStr">
        <is>
          <t>Ethanol 10% IV infusion for Methanol poisoning</t>
        </is>
      </c>
      <c r="I2473" s="8" t="inlineStr">
        <is>
          <t>1</t>
        </is>
      </c>
      <c r="J2473"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3" s="2" t="n"/>
      <c r="L2473" s="2" t="inlineStr">
        <is>
          <t>General Therapeutics</t>
        </is>
      </c>
      <c r="M2473" s="2" t="inlineStr">
        <is>
          <t>Clinic</t>
        </is>
      </c>
      <c r="N2473" s="2" t="inlineStr">
        <is>
          <t>ข้อ 1 (PLE_CC1_Key_Rx20_UBU.md)</t>
        </is>
      </c>
      <c r="O2473" s="2" t="inlineStr">
        <is>
          <t>Mock</t>
        </is>
      </c>
      <c r="P2473" s="2" t="inlineStr">
        <is>
          <t>Mock Rx20 UBU</t>
        </is>
      </c>
    </row>
    <row r="2474" ht="13.2" customHeight="1" s="37">
      <c r="A2474" s="8" t="inlineStr">
        <is>
          <t>2495</t>
        </is>
      </c>
      <c r="B2474" s="2" t="inlineStr">
        <is>
          <t>TIBC สูง ค่าของผู้ป่วย 465 (ค่าปกติ 240-440)</t>
        </is>
      </c>
      <c r="C2474" s="2" t="n"/>
      <c r="D2474" s="2" t="inlineStr">
        <is>
          <t>Dimercaprol (BAL) 3 mg/kg IM</t>
        </is>
      </c>
      <c r="E2474" s="2" t="inlineStr">
        <is>
          <t>Ethanol 10% IV infusion for Methanol poisoning</t>
        </is>
      </c>
      <c r="F2474" s="2" t="inlineStr">
        <is>
          <t>Fomepizole 15 mg/kg IV loading</t>
        </is>
      </c>
      <c r="G2474" s="2" t="inlineStr">
        <is>
          <t>N-acetylcysteine (NAC) IV infusion protocol</t>
        </is>
      </c>
      <c r="H2474" s="2" t="inlineStr">
        <is>
          <t>Atropine sulfate 2 mg IV Q5-10 min</t>
        </is>
      </c>
      <c r="I2474" s="8" t="inlineStr">
        <is>
          <t>1</t>
        </is>
      </c>
      <c r="J2474"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4" s="2" t="n"/>
      <c r="L2474" s="2" t="inlineStr">
        <is>
          <t>General Therapeutics</t>
        </is>
      </c>
      <c r="M2474" s="2" t="inlineStr">
        <is>
          <t>Clinic</t>
        </is>
      </c>
      <c r="N2474" s="2" t="inlineStr">
        <is>
          <t>ข้อ 2 (PLE_CC1_Key_Rx20_UBU.md)</t>
        </is>
      </c>
      <c r="O2474" s="2" t="inlineStr">
        <is>
          <t>Mock</t>
        </is>
      </c>
      <c r="P2474" s="2" t="inlineStr">
        <is>
          <t>Mock Rx20 UBU</t>
        </is>
      </c>
    </row>
    <row r="2475" ht="13.2" customHeight="1" s="37">
      <c r="A2475" s="8" t="inlineStr">
        <is>
          <t>2496</t>
        </is>
      </c>
      <c r="B2475" s="2" t="inlineStr">
        <is>
          <t>Sealing เพื่อป้องกันความชื้น</t>
        </is>
      </c>
      <c r="C2475" s="2" t="n"/>
      <c r="D2475" s="2" t="inlineStr">
        <is>
          <t>N-acetylcysteine (NAC) IV infusion protocol</t>
        </is>
      </c>
      <c r="E2475" s="2" t="inlineStr">
        <is>
          <t>Atropine sulfate 2 mg IV Q5-10 min</t>
        </is>
      </c>
      <c r="F2475" s="2" t="inlineStr">
        <is>
          <t>Pralidoxime (2-PAM) 1-2 g IV over 30 min</t>
        </is>
      </c>
      <c r="G2475" s="2" t="inlineStr">
        <is>
          <t>Naloxone 0.4 mg IV stat</t>
        </is>
      </c>
      <c r="H2475" s="2" t="inlineStr">
        <is>
          <t>Flumazenil 0.2 mg IV stat</t>
        </is>
      </c>
      <c r="I2475" s="8" t="inlineStr">
        <is>
          <t>1</t>
        </is>
      </c>
      <c r="J2475" s="2" t="inlineStr">
        <is>
          <t>✅ คำตอบที่ถูกต้อง: ข้อ ก. N-acetylcysteine (NAC) IV infusion protocol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N-acetylcysteine (NAC) IV infusion protocol การเลือก N-acetylcysteine (NAC) IV infusion protocol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ข้อ ค. (Pralidoxime (2-PAM) 1-2 g IV over 30 min): ข้อนี้ไม่ใช่คำตอบที่ถูกต้องสำหรับภาวะ General Therapeutics เนื่องจากกลไกการออกฤทธิ์, efficacy หรือข้อบ่งใช้ไม่ตรงกับโจทย์ที่กำหนด
• ข้อ ง. (Naloxone 0.4 mg IV stat): ข้อนี้ไม่ถูกต้องเนื่องจากเป็น Antidote สำหรับภาวะ acute poisoning จำเพาะ ไม่ตรงกับพยาธิสภาพของโรคในโจทย์
• ข้อ จ. (Flumazenil 0.2 mg IV stat):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Rumack-Matthew Nomogram: ใช้ประเมิน toxicity หลังรับประทาน paracetamol เกินขนาดที่ 4-24 ชั่วโมง
• Glutathione Replenishment: ทำหน้าที่ทดแทน Glutathione เพื่อจับกับ toxic metabolite NAPQI ช่วยป้องกัน paracetamol-induced hepatotoxicity ได้ดีที่สุดเมื่อเริ่มภายใน 8 ชม.</t>
        </is>
      </c>
      <c r="K2475" s="2" t="n"/>
      <c r="L2475" s="2" t="inlineStr">
        <is>
          <t>General Therapeutics</t>
        </is>
      </c>
      <c r="M2475" s="2" t="inlineStr">
        <is>
          <t>Clinic</t>
        </is>
      </c>
      <c r="N2475" s="2" t="inlineStr">
        <is>
          <t>ข้อ 1 (PLE_CC1_Key_Rx20_UBU.md)</t>
        </is>
      </c>
      <c r="O2475" s="2" t="inlineStr">
        <is>
          <t>Mock</t>
        </is>
      </c>
      <c r="P2475" s="2" t="inlineStr">
        <is>
          <t>Mock Rx20 UBU</t>
        </is>
      </c>
    </row>
    <row r="2476" ht="13.2" customHeight="1" s="37">
      <c r="A2476" s="8" t="inlineStr">
        <is>
          <t>2497</t>
        </is>
      </c>
      <c r="B2476" s="2" t="inlineStr">
        <is>
          <t>Smoothing หรือ Grossing เพื่อทำให้ผิวเม็ดยาเรียบ</t>
        </is>
      </c>
      <c r="C2476" s="2" t="n"/>
      <c r="D2476" s="2" t="inlineStr">
        <is>
          <t>Naloxone 0.4 mg IV stat</t>
        </is>
      </c>
      <c r="E2476" s="2" t="inlineStr">
        <is>
          <t>Flumazenil 0.2 mg IV stat</t>
        </is>
      </c>
      <c r="F2476" s="2" t="inlineStr">
        <is>
          <t>Vitamin K1 (Phytomenadione) 10 mg IV slow</t>
        </is>
      </c>
      <c r="G2476" s="2" t="inlineStr">
        <is>
          <t>Sodium thiosulfate 25% 50 mL IV</t>
        </is>
      </c>
      <c r="H2476" s="2" t="inlineStr">
        <is>
          <t>Calcium disodium EDTA 1 g IV</t>
        </is>
      </c>
      <c r="I2476" s="8" t="inlineStr">
        <is>
          <t>1</t>
        </is>
      </c>
      <c r="J2476" s="2" t="inlineStr">
        <is>
          <t>✅ คำตอบที่ถูกต้อง: ข้อ ก. Naloxone 0.4 mg IV stat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Naloxone 0.4 mg IV stat การเลือก Naloxone 0.4 mg IV stat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(Flumazenil 0.2 mg IV stat): ข้อนี้ไม่ใช่คำตอบที่ถูกต้องสำหรับภาวะ General Therapeutics เนื่องจากกลไกการออกฤทธิ์, efficacy หรือข้อบ่งใช้ไม่ตรงกับโจทย์ที่กำหนด
• ข้อ ค. (Vitamin K1 (Phytomenadione) 10 mg IV slow): ข้อนี้ไม่ใช่คำตอบที่ถูกต้องสำหรับภาวะ General Therapeutics เนื่องจากกลไกการออกฤทธิ์, efficacy หรือข้อบ่งใช้ไม่ตรงกับโจทย์ที่กำหนด
• ข้อ ง. (Sodium thiosulfate 25% 50 mL IV): ข้อนี้ไม่ถูกต้องเนื่องจากเป็น Antidote สำหรับภาวะ acute poisoning จำเพาะ ไม่ตรงกับพยาธิสภาพของโรคในโจทย์
• ข้อ จ. (Calcium disodium EDTA 1 g IV): วัคซีนรวมคอตีบ-บาดทะยัก ฉีดกระตุ้นทุก 10 ปี หรือใช้ในหญิงตั้งครรภ์และผู้ใหญ่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Opioid Antagonist: แก้อาการกดการหายใจจาก Opioid overdose ขนาดยาเริ่มต้น 0.4-2 mg IV/IM/SC/Nasal
• Short Half-life Warning: มี half-life สั้นกว่า opioids ส่วนใหญ่ (30-90 นาที) ต้องเฝ้าระวังอาการกดการหายใจซ้ำ (resedation) อย่างน้อย 2-4 ชั่วโมง</t>
        </is>
      </c>
      <c r="K2476" s="2" t="n"/>
      <c r="L2476" s="2" t="inlineStr">
        <is>
          <t>General Therapeutics</t>
        </is>
      </c>
      <c r="M2476" s="2" t="inlineStr">
        <is>
          <t>Clinic</t>
        </is>
      </c>
      <c r="N2476" s="2" t="inlineStr">
        <is>
          <t>ข้อ 3 (PLE_CC1_Key_Rx20_UBU.md)</t>
        </is>
      </c>
      <c r="O2476" s="2" t="inlineStr">
        <is>
          <t>Mock</t>
        </is>
      </c>
      <c r="P2476" s="2" t="inlineStr">
        <is>
          <t>Mock Rx20 UBU</t>
        </is>
      </c>
    </row>
    <row r="2477" ht="13.2" customHeight="1" s="37">
      <c r="A2477" s="8" t="inlineStr">
        <is>
          <t>2498</t>
        </is>
      </c>
      <c r="B2477" s="2" t="inlineStr">
        <is>
          <t>Coloring เพื่อทำให้มีผิวหน้าเม็ดยามีสีตามต้องการ</t>
        </is>
      </c>
      <c r="C2477" s="2" t="n"/>
      <c r="D2477" s="2" t="inlineStr">
        <is>
          <t>Sodium thiosulfate 25% 50 mL IV</t>
        </is>
      </c>
      <c r="E2477" s="2" t="inlineStr">
        <is>
          <t>Calcium disodium EDTA 1 g IV</t>
        </is>
      </c>
      <c r="F2477" s="2" t="inlineStr">
        <is>
          <t>Desferrioxamine 1 g IM/IV</t>
        </is>
      </c>
      <c r="G2477" s="2" t="inlineStr">
        <is>
          <t>Dimercaprol (BAL) 3 mg/kg IM</t>
        </is>
      </c>
      <c r="H2477" s="2" t="inlineStr">
        <is>
          <t>Ethanol 10% IV infusion for Methanol poisoning</t>
        </is>
      </c>
      <c r="I2477" s="8" t="inlineStr">
        <is>
          <t>1</t>
        </is>
      </c>
      <c r="J2477" s="2" t="inlineStr">
        <is>
          <t>✅ คำตอบที่ถูกต้อง: ข้อ ก. Sodium thiosulfate 25% 50 mL IV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Sodium thiosulfate 25% 50 mL IV การเลือก Sodium thiosulfate 25% 50 mL IV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(Calcium disodium EDTA 1 g IV): วัคซีนรวมคอตีบ-บาดทะยัก ฉีดกระตุ้นทุก 10 ปี หรือใช้ในหญิงตั้งครรภ์และผู้ใหญ่
• ข้อ ค. (Desferrioxamine 1 g IM/IV): ข้อนี้ไม่ใช่คำตอบที่ถูกต้องสำหรับภาวะ General Therapeutics เนื่องจากกลไกการออกฤทธิ์, efficacy หรือข้อบ่งใช้ไม่ตรงกับโจทย์ที่กำหนด
• ข้อ ง. (Dimercaprol (BAL) 3 mg/kg IM): ข้อนี้ไม่ถูกต้องเนื่องจากเป็น Antidote สำหรับภาวะ acute poisoning จำเพาะ ไม่ตรงกับพยาธิสภาพของโรคในโจทย์
• ข้อ จ.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77" s="2" t="n"/>
      <c r="L2477" s="2" t="inlineStr">
        <is>
          <t>General Therapeutics</t>
        </is>
      </c>
      <c r="M2477" s="2" t="inlineStr">
        <is>
          <t>Clinic</t>
        </is>
      </c>
      <c r="N2477" s="2" t="inlineStr">
        <is>
          <t>ข้อ 4 (PLE_CC1_Key_Rx20_UBU.md)</t>
        </is>
      </c>
      <c r="O2477" s="2" t="inlineStr">
        <is>
          <t>Mock</t>
        </is>
      </c>
      <c r="P2477" s="2" t="inlineStr">
        <is>
          <t>Mock Rx20 UBU</t>
        </is>
      </c>
    </row>
    <row r="2478" ht="13.2" customHeight="1" s="37">
      <c r="A2478" s="8" t="inlineStr">
        <is>
          <t>2499</t>
        </is>
      </c>
      <c r="B2478" s="2" t="inlineStr">
        <is>
          <t>Finishing เพื่อทำให้เม็ดยามีสีเรียบเท่าๆ กัน</t>
        </is>
      </c>
      <c r="C2478" s="2" t="n"/>
      <c r="D2478" s="2" t="inlineStr">
        <is>
          <t>Dimercaprol (BAL) 3 mg/kg IM</t>
        </is>
      </c>
      <c r="E2478" s="2" t="inlineStr">
        <is>
          <t>Ethanol 10% IV infusion for Methanol poisoning</t>
        </is>
      </c>
      <c r="F2478" s="2" t="inlineStr">
        <is>
          <t>Fomepizole 15 mg/kg IV loading</t>
        </is>
      </c>
      <c r="G2478" s="2" t="inlineStr">
        <is>
          <t>N-acetylcysteine (NAC) IV infusion protocol</t>
        </is>
      </c>
      <c r="H2478" s="2" t="inlineStr">
        <is>
          <t>Atropine sulfate 2 mg IV Q5-10 min</t>
        </is>
      </c>
      <c r="I2478" s="8" t="inlineStr">
        <is>
          <t>1</t>
        </is>
      </c>
      <c r="J2478" s="2" t="inlineStr">
        <is>
          <t>✅ คำตอบที่ถูกต้อง: ข้อ ก. Dimercaprol (BAL) 3 mg/kg IM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Dimercaprol (BAL) 3 mg/kg IM การเลือก Dimercaprol (BAL) 3 mg/kg IM เป็นคำตอบที่ถูกต้องและสอดคล้องกับ evidence-based guidelines ของภาวะ General Therapeutics โดยมี clinical efficacy สูงสุดในการรักษาและมี safety profile ที่เหมาะสม
🔍 ข้ออื่นผิดเพราะอะไร:
• ข้อ ข. (Ethanol 10% IV infusion for Methanol poisoning): ข้อนี้ไม่ใช่คำตอบที่ถูกต้องสำหรับภาวะ General Therapeutics เนื่องจากกลไกการออกฤทธิ์, efficacy หรือข้อบ่งใช้ไม่ตรงกับโจทย์ที่กำหนด
• ข้อ ค. (Fomepizole 15 mg/kg IV loading): ข้อนี้ไม่ใช่คำตอบที่ถูกต้องสำหรับภาวะ General Therapeutics เนื่องจากกลไกการออกฤทธิ์, efficacy หรือข้อบ่งใช้ไม่ตรงกับโจทย์ที่กำหนด
• ข้อ ง. (N-acetylcysteine (NAC) IV infusion protocol): ข้อนี้ไม่ใช่คำตอบที่ถูกต้องสำหรับภาวะ General Therapeutics เนื่องจากกลไกการออกฤทธิ์, efficacy หรือข้อบ่งใช้ไม่ตรงกับโจทย์ที่กำหนด
• ข้อ จ. (Atropine sulfate 2 mg IV Q5-10 min):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8" s="2" t="n"/>
      <c r="L2478" s="2" t="inlineStr">
        <is>
          <t>General Therapeutics</t>
        </is>
      </c>
      <c r="M2478" s="2" t="inlineStr">
        <is>
          <t>Clinic</t>
        </is>
      </c>
      <c r="N2478" s="2" t="inlineStr">
        <is>
          <t>ข้อ 5 (PLE_CC1_Key_Rx20_UBU.md)</t>
        </is>
      </c>
      <c r="O2478" s="2" t="inlineStr">
        <is>
          <t>Mock</t>
        </is>
      </c>
      <c r="P2478" s="2" t="inlineStr">
        <is>
          <t>Mock Rx20 UBU</t>
        </is>
      </c>
    </row>
    <row r="2479" ht="13.2" customHeight="1" s="37">
      <c r="A2479" s="8" t="inlineStr">
        <is>
          <t>2500</t>
        </is>
      </c>
      <c r="B2479" s="2" t="inlineStr">
        <is>
          <t>Polishing เป็นการขัดมันให้เป็นเงางาม ข้อ 36 จากข้อมูลข้อใดคือความชุก 2558 2559 2560 ประชากรกลางปี 11,000 10,000 9,000 ผู้ป่วยใหม่ 100 100 50 ผู้ป่วยทั้งหมด 100 200 250 2558=100/(11000-100)</t>
        </is>
      </c>
      <c r="C2479" s="2" t="n"/>
      <c r="D2479" s="2" t="inlineStr">
        <is>
          <t>ปี 2558 อัตราอุบัติการณ์ต่ำสุด</t>
        </is>
      </c>
      <c r="E2479" s="2" t="inlineStr">
        <is>
          <t>ปี 2559 อัตราอุบัติการณ์ต่ำสุด</t>
        </is>
      </c>
      <c r="F2479" s="2" t="inlineStr">
        <is>
          <t>ปี 2560 อัตราอุบัติการณ์สูงสุด</t>
        </is>
      </c>
      <c r="G2479" s="2" t="inlineStr">
        <is>
          <t>ปี 2560 อัตราอุบัติการณ์ต่ำสุด</t>
        </is>
      </c>
      <c r="H2479" s="2" t="inlineStr">
        <is>
          <t>ปี 2558 และ 2559 อัตราอุบัติการณ์เท่ากัน อุบัติการณ์ของโรค (Incidence) หมายถึง จำนวนผู้ป่วยใหม่ที่เกิดขึ้นในช่วงระยะเวลาที่กำหนด - ปี 2558: 100/11000 = 0.91% - ปี 2559: 100/10000 = 1% - ปี 2560: 50/9000 = 0.56% โดยตัวหาร หรือ population at risk in specified time อนุโลมใช้ประชากรกลางปี/ประชากรต้นปีที่ไม่เป็นโรค/ประชากรเฉลี่ยใน ช่วงเวลานั้น (หาได้ง่าย/สะดวกกว่า) เท่ากับประชากรท่ีเสี่ยงต่อการเกิดโรค ซึ่งในข้อนี้ใช้ “จำนวนประชากรกลางปี” สถานการณ์ที่ 5 เรื่อง DLP ผู้ป่วยชายอายุ 35 ปี มีพฤติกรรมชอบกินของมัน แฮมเบอเกอร์ และสูบบุหรี่วันละครึ่งซอง พ่อเกิด MI และทำ CABG ตอนอายุ 54 ปีตอนนี้ยังไม่ตาย แม่เสียด้วย stroke เมื่อ 60 ปี แพทย์ให้ไปปรับพฤติกรรมมาก่อนแล้ว ตรวจร่างกายปกติ พบค่าแลปดังนี้ sCr = 0.9 mg/dl BUN 19 mg/dl Total cholesterol = 300 mg/dl HDL = 40 mg/dl TG = 210 mg/dl ข้อ 37 ถ้าจะเริ่มยาลดไขมันต้องตวรจค่าแลปใด</t>
        </is>
      </c>
      <c r="I2479" s="8" t="inlineStr">
        <is>
          <t>4</t>
        </is>
      </c>
      <c r="J2479" s="2" t="inlineStr">
        <is>
          <t>✅ คำตอบที่ถูกต้อง: ข้อ ง. ปี 2560 อัตราอุบัติการณ์ต่ำสุด
💡 Background:
การรักษาโรคติดเชื้อแบคทีเรีย (General Therapeutics) ต้องเลือก antibiotic ที่ครอบคลุม likely pathogens และมี PK/PD profile เหมาะสมกับตำแหน่งการติดเชื้อ
🎯 ทำไมข้อนี้ถึงถูก:
ปี 2560 อัตราอุบัติการณ์ต่ำสุด ข้อนี้โจทย์ถาม ความชุก (prevalence) แต่ choice มีแต่อุบัติการณ์ งั้นขอคิดเป็น อุบัติการณ์ (incidence)
🔍 ข้ออื่นผิดเพราะอะไร:
• ข้อ ก. (ปี 2558 อัตราอุบัติการณ์ต่ำสุด): ข้อนี้ไม่ใช่คำตอบที่ถูกต้องสำหรับภาวะ General Therapeutics เนื่องจากกลไกการออกฤทธิ์, efficacy หรือข้อบ่งใช้ไม่ตรงกับโจทย์ที่กำหนด
• ข้อ ข. (ปี 2559 อัตราอุบัติการณ์ต่ำสุด): ข้อนี้ไม่ใช่คำตอบที่ถูกต้องสำหรับภาวะ General Therapeutics เนื่องจากกลไกการออกฤทธิ์, efficacy หรือข้อบ่งใช้ไม่ตรงกับโจทย์ที่กำหนด
• ข้อ ค. (ปี 2560 อัตราอุบัติการณ์สูงสุด): ข้อนี้ไม่ใช่คำตอบที่ถูกต้องสำหรับภาวะ General Therapeutics เนื่องจากกลไกการออกฤทธิ์, efficacy หรือข้อบ่งใช้ไม่ตรงกับโจทย์ที่กำหนด
• ข้อ จ. (ปี 2558 และ 2559 อัตราอุบัติการณ์เท่ากัน อุบัติการณ์ของโรค (Incidence) หมายถึง จำนวนผู้ป่วยใหม่ที่เกิดขึ้นในช่วงระยะเวลาที่กำหนด - ปี 2558: 100/11000 = 0.91% - ปี 2559: 100/10000 = 1% - ปี 2560: 50/9000 = 0.56% โดยตัวหาร หรือ population at risk in specified time อนุโลมใช้ประชากรกลางปี/ประชากรต้นปีที่ไม่เป็นโรค/ประชากรเฉลี่ยใน ช่วงเวลานั้น (หาได้ง่าย/สะดวกกว่า) เท่ากับประชากรท่ีเสี่ยงต่อการเกิดโรค ซึ่งในข้อนี้ใช้ “จำนวนประชากรกลางปี” สถานการณ์ที่ 5 เรื่อง DLP ผู้ป่วยชายอายุ 35 ปี มีพฤติกรรมชอบกินของมัน แฮมเบอเกอร์ และสูบบุหรี่วันละครึ่งซอง พ่อเกิด MI และทำ CABG ตอนอายุ 54 ปีตอนนี้ยังไม่ตาย แม่เสียด้วย stroke เมื่อ 60 ปี แพทย์ให้ไปปรับพฤติกรรมมาก่อนแล้ว ตรวจร่างกายปกติ พบค่าแลปดังนี้ sCr = 0.9 mg/dl BUN 19 mg/dl Total cholesterol = 300 mg/dl HDL = 40 mg/dl TG = 210 mg/dl ข้อ 37 ถ้าจะเริ่มยาลดไขมันต้องตวรจค่าแลปใด): ข้อนี้ไม่ใช่คำตอบที่ถูกต้องสำหรับภาวะ General Therapeutics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General Therapeutics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9" s="2" t="n"/>
      <c r="L2479" s="2" t="inlineStr">
        <is>
          <t>General Therapeutics</t>
        </is>
      </c>
      <c r="M2479" s="2" t="inlineStr">
        <is>
          <t>Clinic</t>
        </is>
      </c>
      <c r="N2479" s="2" t="inlineStr">
        <is>
          <t>ข้อ 6 (PLE_CC1_Key_Rx20_UBU.md)</t>
        </is>
      </c>
      <c r="O2479" s="2" t="inlineStr">
        <is>
          <t>Mock</t>
        </is>
      </c>
      <c r="P2479" s="2" t="inlineStr">
        <is>
          <t>Mock Rx20 UBU</t>
        </is>
      </c>
    </row>
    <row r="2480" ht="13.2" customHeight="1" s="37">
      <c r="A2480" s="8" t="inlineStr">
        <is>
          <t>2501</t>
        </is>
      </c>
      <c r="B2480" s="2" t="inlineStr">
        <is>
          <t>ลด triglyceride</t>
        </is>
      </c>
      <c r="C2480" s="2" t="n"/>
      <c r="D2480" s="2" t="inlineStr">
        <is>
          <t>Hydrochlorothiazide 25 mg OD</t>
        </is>
      </c>
      <c r="E2480" s="2" t="inlineStr">
        <is>
          <t>Atorvastatin 20 mg OD</t>
        </is>
      </c>
      <c r="F2480" s="2" t="inlineStr">
        <is>
          <t>Simvastatin 20 mg HS</t>
        </is>
      </c>
      <c r="G2480" s="2" t="inlineStr">
        <is>
          <t>Bisoprolol 5 mg OD</t>
        </is>
      </c>
      <c r="H2480" s="2" t="inlineStr">
        <is>
          <t>Spironolactone 25 mg OD</t>
        </is>
      </c>
      <c r="I2480" s="8" t="inlineStr">
        <is>
          <t>1</t>
        </is>
      </c>
      <c r="J2480" s="2" t="inlineStr">
        <is>
          <t>✅ คำตอบที่ถูกต้อง: ข้อ ก. Hydrochlorothiazide 25 mg OD
💡 Background:
ภาวะไขมันในเลือดผิดปกติเป็นสาเหตุของ ASCVD การรักษาเน้นควบคุม LDL-C ให้ถึง target ตามระดับ cardiovascular risk ด้วย Statin
🎯 ทำไมข้อนี้ถึงถูก:
Hydrochlorothiazide 25 mg OD การเลือก Hydrochlorothiazide 25 mg OD เป็นคำตอบที่ถูกต้องตามแนวทางการรักษามาตรฐาน เนื่องจาก เป็น Thiazide diuretic ลด plasma volume แต่อาจทำให้เกิด hypokalemia, hyponatremia, hyperuricemia และ hyperglycemia และ efficacy ลดลงมากเมื่อ eGFR &lt; 30 mL/min
🔍 ข้ออื่นผิดเพราะอะไร:
• ข้อ ข. (Atorvastatin 20 mg OD): เป็น High-intensity statin (40-80 mg) ยับยั้ง HMG-CoA reductase มี clinical efficacy สูงสุดในการลด LDL-C ≥ 50% และ plaque stabilization ใน ACS/CAD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480" s="2" t="n"/>
      <c r="L2480" s="2" t="inlineStr">
        <is>
          <t>Cardiovascular Diseases</t>
        </is>
      </c>
      <c r="M2480" s="2" t="inlineStr">
        <is>
          <t>Clinic</t>
        </is>
      </c>
      <c r="N2480" s="2" t="inlineStr">
        <is>
          <t>ข้อ 1 (PLE_CC1_Key_Rx20_UBU.md)</t>
        </is>
      </c>
      <c r="O2480" s="2" t="inlineStr">
        <is>
          <t>Mock</t>
        </is>
      </c>
      <c r="P2480" s="2" t="inlineStr">
        <is>
          <t>Mock Rx20 UBU</t>
        </is>
      </c>
    </row>
  </sheetData>
  <mergeCells count="1">
    <mergeCell ref="A1:F1"/>
  </mergeCells>
  <hyperlinks>
    <hyperlink xmlns:r="http://schemas.openxmlformats.org/officeDocument/2006/relationships" ref="B338" r:id="rId1"/>
    <hyperlink xmlns:r="http://schemas.openxmlformats.org/officeDocument/2006/relationships" ref="B349" r:id="rId2"/>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Q82"/>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21.6" customHeight="1" s="37">
      <c r="A3" s="15" t="n">
        <v>1</v>
      </c>
      <c r="B3" s="2" t="inlineStr">
        <is>
          <t>ในการหาปริมาณตัวยาสำคัญ Paracetamol raw material ตามตำรับยา Pharmacopoeia ใช้วิธีไทเทรตแบบใด?</t>
        </is>
      </c>
      <c r="C3" s="2" t="n"/>
      <c r="D3" s="2" t="inlineStr">
        <is>
          <t>Acid-Base Titration in aqueous medium</t>
        </is>
      </c>
      <c r="E3" s="2" t="inlineStr">
        <is>
          <t>Nonaqueous Titration with Perchloric acid</t>
        </is>
      </c>
      <c r="F3" s="2" t="inlineStr">
        <is>
          <t>Redox Titration with Ceric ammonium sulfate (หลัง acid hydrolysis)</t>
        </is>
      </c>
      <c r="G3" s="2" t="inlineStr">
        <is>
          <t>Complexometric Titration with EDTA</t>
        </is>
      </c>
      <c r="H3" s="2" t="inlineStr">
        <is>
          <t>Precipitation Titration with Silver nitrate</t>
        </is>
      </c>
      <c r="I3" s="2" t="n">
        <v>3</v>
      </c>
      <c r="J3" s="2" t="inlineStr">
        <is>
          <t>✅ คำตอบที่ถูกต้อง: ข้อ ค. Redox Titration with Ceric ammonium sulfate (หลัง acid hydrolysis)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with Ceric ammonium sulfate (หลัง acid hydrolysis) 💡 คำอธิบายและเหตุผลทางเภสัชกรรม:
💡 คำอธิบายและเหตุผลทางเภสัชกรรม:
การวิเคราะห์หาปริมาณ Paracetamol ในเภสัชตำรับ (เช่น BP/USP) นำตัวอย่างไปต้มกับกรดซัลฟิวริกเจือจางเพื่อ hydrolyze พันธะ amide ให้ได้ p-aminophenol จากนั้นนำไปไทเทรตด้วยมาตรฐาน Ceric ammonium sulfate โดยใช้ Ferroin เป็น indicator
USP/NF, British Pharmacopoeia (BP) และ Remington: The Science and Practice of Pharmacy (หัวข้อ Redox titration)
🔍 ข้ออื่นผิดเพราะอะไร:
• ข้อ ก. (Acid-Base Titration in aqueous medium): ข้อนี้ไม่ใช่คำตอบที่ถูกต้องสำหรับภาวะ Redox titration เนื่องจากกลไกการออกฤทธิ์, efficacy หรือข้อบ่งใช้ไม่ตรงกับโจทย์ที่กำหนด
• ข้อ ข. (Nonaqueous Titration with Perchloric acid): ข้อนี้ไม่ใช่คำตอบที่ถูกต้องสำหรับภาวะ Redox titration เนื่องจากกลไกการออกฤทธิ์, efficacy หรือข้อบ่งใช้ไม่ตรงกับโจทย์ที่กำหนด
• ข้อ ง. (Complexometric Titration with EDTA): วัคซีนรวมคอตีบ-บาดทะยัก ฉีดกระตุ้นทุก 10 ปี หรือใช้ในหญิงตั้งครรภ์และผู้ใหญ่
• ข้อ จ. (Precipitation Titration with Silver nitrate): ข้อนี้ไม่ใช่คำตอบที่ถูกต้องสำหรับภาวะ Redox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2" t="n"/>
      <c r="L3" s="2" t="inlineStr">
        <is>
          <t>Redox titration</t>
        </is>
      </c>
      <c r="M3" s="2" t="inlineStr">
        <is>
          <t>Product</t>
        </is>
      </c>
      <c r="N3" s="2" t="inlineStr">
        <is>
          <t>British Pharmacopoeia / Thai Pharmacopoeia</t>
        </is>
      </c>
      <c r="O3" s="2" t="inlineStr">
        <is>
          <t>ข้อสอบจริง</t>
        </is>
      </c>
      <c r="P3" s="2" t="n">
        <v>2567</v>
      </c>
    </row>
    <row r="4" ht="13.2" customHeight="1" s="37">
      <c r="A4" s="8" t="inlineStr">
        <is>
          <t>3</t>
        </is>
      </c>
      <c r="B4" s="2" t="inlineStr">
        <is>
          <t>จากข้อมูลความคงตัวของตัวยา Ferrous sulfate ที่ระบุว่าอัตราการเกิดปฏิกิริยาออกซิเดชันจะเพิ่มขึ้นเมื่อมีภาวะด่างหรือสัมผัสแสง สารช่วยในข้อใดต่อไปนี้ไม่มีความจำเป็น (หรือไม่เหมาะสม) ในการนำมาใช้ในสูตรตำรับยาน้ำเชื่อม Ferrous Sulfate Syrup</t>
        </is>
      </c>
      <c r="C4" s="2" t="n"/>
      <c r="D4" s="2" t="inlineStr">
        <is>
          <t>Citric acid (สารปรับ pH กรดและ chelating agent)</t>
        </is>
      </c>
      <c r="E4" s="2" t="inlineStr">
        <is>
          <t>Disodium EDTA (สารคีเลตดักจับประจุโลหะ)</t>
        </is>
      </c>
      <c r="F4" s="2" t="inlineStr">
        <is>
          <t>Paraben (สารกันเสีย antimicrobial preservative)</t>
        </is>
      </c>
      <c r="G4" s="2" t="inlineStr">
        <is>
          <t>Sodium metabisulfite (สารต้านออกซิเดชัน antioxidant)</t>
        </is>
      </c>
      <c r="H4" s="2" t="inlineStr">
        <is>
          <t>Sucrose (น้ำตาลซูโครสความเข้มข้นสูง)</t>
        </is>
      </c>
      <c r="I4" s="8" t="inlineStr">
        <is>
          <t>3</t>
        </is>
      </c>
      <c r="J4" s="2" t="inlineStr">
        <is>
          <t>✅ คำตอบที่ถูกต้อง: ข้อ ค. Paraben (สารกันเสีย antimicrobial preservative)
💡 Background:
Ferrous Sulfate Syrup เป็นตำรับยาน้ำเชื่อมใสที่ตัวยาสำคัญ Fe²⁺ ถูกออกซิไดซ์เป็น Fe³⁺ ได้ง่ายมากโดยเฉพาะในสภาวะด่างหรือมีแสง
🎯 ทำไมข้อนี้ถึงถูก:
ยาน้ำเชื่อม Ferrous Sulfate Syrup ตามสูตรมาตรฐานเภสัชตำรับ (USP/BP) มีน้ำตาลซูโครสความเข้มข้นสูง (Syrup USP มีน้ำตาล 85% w/v หรือ 65% w/w) ซึ่งมีแรงดันออสโมติกสูงมาก (High osmotic pressure) และมีค่าวอเตอร์แอกทิวิตี (Water activity, aw) ต่ำ จนเชื้อจุลินทรีย์ไม่สามารถเจริญเติบโตได้ (Self-preserving) จึงไม่มีความจำเป็นต้องเติมสารกันเสียกลุ่ม Paraben นอกจากนี้พาราเบนยังละลายน้ำได้น้อยในสารละลายน้ำเชื่อมเข้มข้น
🔍 ข้ออื่นผิดเพราะอะไร:
• ข้อ ก. (Citric acid): จำเป็นอย่างยิ่งในการช่วยปรับสภาวะตำรับให้เป็นกรด (pH 3.0-4.0) เพื่อชะลอการเกิด oxidation และยังเป็น Synergistic antioxidant/chelating agent
• ข้อ ข. (Disodium EDTA): จำเป็นในการคีเลตไอออนโลหะเพื่อไม่ให้เร่งปฏิกิริยาออกซิเดชัน
• ข้อ ง. (Sodium metabisulfite): จำเป็นอย่างยิ่งในการทำหน้าที่เป็น Antioxidant ป้องกัน Fe²⁺ เปลี่ยนเป็น Fe³⁺
• ข้อ จ. (Sucrose): เป็นกระสายยาหลัก (Vehicle) ให้ความหวาน บดบังสรรพรสฝาดเฝื่อนของเหล็ก และป้องกันการออกซิเดชันทางกายภาพ
📖 Guideline อ้างอิง:
USP-NF Official Monograph: Ferrous Sulfate Oral Solution / Syrup &amp; Remington: The Science and Practice of Pharmacy
📌 จุดจำก่อนสอบ:
• Ferrous Sulfate Syrup Antioxidant System: ใช้ Citric acid (กรด/คีเลต) ร่วมกับสารต้านออกซิเดชัน (Metabisulfite)
• Syrup Base: น้ำตาลซูโครส 85% w/v มีสมบัติ Self-preserving ไม่จำเป็นต้องใส่ Paraben</t>
        </is>
      </c>
      <c r="K4" s="2" t="inlineStr">
        <is>
          <t>Liquid Dosage Forms &amp; Formulation</t>
        </is>
      </c>
      <c r="L4" s="2" t="inlineStr">
        <is>
          <t>ข้อสอบ Product (Ferrous Sulfate Syrup Formulation)</t>
        </is>
      </c>
      <c r="M4" s="2" t="inlineStr">
        <is>
          <t>Titration</t>
        </is>
      </c>
      <c r="N4" s="2" t="inlineStr">
        <is>
          <t>Mock PLE-CC 1 ข้อ 57</t>
        </is>
      </c>
      <c r="O4" s="2" t="inlineStr">
        <is>
          <t>Mock</t>
        </is>
      </c>
      <c r="P4" s="2" t="inlineStr">
        <is>
          <t>Mock RxCU83</t>
        </is>
      </c>
      <c r="Q4" s="2" t="n"/>
    </row>
    <row r="5" ht="13.2" customHeight="1" s="37">
      <c r="A5" s="8" t="inlineStr">
        <is>
          <t>4</t>
        </is>
      </c>
      <c r="B5" s="2" t="inlineStr">
        <is>
          <t>จากข้อมูลตามเภสัชตำรับ (Pharmacopoeia) การตรวจวิเคราะห์หาปริมาณเหล็ก (Assay for Iron) ในวัตถุดิบยา Ferrous Fumarate หรือ Ferrous Sulfate กำหนดให้ใช้วิธีวิเคราะห์แบบใดเป็นวิธีมาตรฐาน</t>
        </is>
      </c>
      <c r="C5" s="2" t="n"/>
      <c r="D5" s="2" t="inlineStr">
        <is>
          <t>Acid-base titration</t>
        </is>
      </c>
      <c r="E5" s="2" t="inlineStr">
        <is>
          <t>Redox titration (ไทเทรตด้วยสารละลายมาตรฐาน Ceric ammonium sulfate)</t>
        </is>
      </c>
      <c r="F5" s="2" t="inlineStr">
        <is>
          <t>Complexometric titration (ไทเทรตด้วย EDTA)</t>
        </is>
      </c>
      <c r="G5" s="2" t="inlineStr">
        <is>
          <t>Gravimetric titration</t>
        </is>
      </c>
      <c r="H5" s="2" t="inlineStr">
        <is>
          <t>Colorimetric titration</t>
        </is>
      </c>
      <c r="I5" s="8" t="inlineStr">
        <is>
          <t>2</t>
        </is>
      </c>
      <c r="J5" s="2" t="inlineStr">
        <is>
          <t>✅ คำตอบที่ถูกต้อง: ข้อ ข. Redox titration (ไทเทรตด้วยสารละลายมาตรฐาน Ceric ammonium sulfate)
💡 Background:
Ferrous fumarate (C4H2FeO4) และ Ferrous sulfate (FeSO4) มีเหล็กอยู่ในรูป Fe²⁺ (Ferrous ion) ซึ่งสามารถทำปฏิกิริยาถ่ายโอนอิเล็กตรอน (Redox reaction) ได้อย่างสมบูรณ์และจำเพาะ
🎯 ทำไมข้อนี้ถึงถูก:
ตามเภสัชตำรับ USP และ BP การหาปริมาณตัวยาสำคัญ (Assay) ของ Ferrous fumarate และ Ferrous sulfate กำหนดให้ใช้วิธี Redox Titration (Cerimetry) โดยละลายตัวอย่างในกรดซัลฟิวริกเจือจาง แล้วไทเทรต Fe²⁺ ด้วยสารละลายมาตรฐาน 0.1 N Ceric ammonium sulfate (Ce⁴⁺) หรือ Ceric sulfate โดยใช้ Orthophenanthroline (Ferroin) เป็นอินดิเคเตอร์ ปฏิกิริยาคือ Fe²⁺ + Ce⁴⁺ → Fe³⁺ + Ce³⁺
🔍 ข้ออื่นผิดเพราะอะไร:
• ข้อ ก. (Acid-base titration): ไม่ใช่วิธีหาปริมาณเหล็ก เนื่องจาก Fe²⁺ ไม่ได้ทำปฏิกิริยากรด-เบสจำเพาะในการวิเคราะห์ตามตำรับ
• ข้อ ค. (Complexometric titration): แม้ EDTA จะจับกับเหล็กได้ แต่มีความจำเพาะและการรบกวนของสภาวะ pH มากกว่า ในเภสัชตำรับจึงเลือกใช้ Cerimetry เป็นวิธีหลัก
• ข้อ ง. (Gravimetric): เป็นวิธีชั่งตะกอนที่ยุ่งยาก ใช้เวลานาน ไม่ใช่วิธีมาตรฐานตามโมโนกราฟ
• ข้อ จ. (Colorimetric): มักใช้ตรวจ limit test หรือ trace iron ไม่ใช่วิธีหลักในการทำ %Assay วัตถุดิบยา
📖 Guideline อ้างอิง:
USP-NF Official Monograph: Ferrous Fumarate / Ferrous Sulfate Raw Material Assay &amp; British Pharmacopoeia (BP)
📌 จุดจำก่อนสอบ:
• Assay of Ferrous Salts (Fe²⁺): ใช้ Redox Titration ด้วย Ceric ammonium sulfate (Ce⁴⁺) เสมอ
• Indicator for Cerimetry: Ferroin (เปลี่ยนจากสีส้มแดงเป็นฟ้าอ่อนที่จุดยุติ)</t>
        </is>
      </c>
      <c r="K5" s="2" t="inlineStr">
        <is>
          <t>Redox Titration</t>
        </is>
      </c>
      <c r="L5" s="2" t="inlineStr">
        <is>
          <t>ข้อสอบ Product (Assay of Ferrous Salts)</t>
        </is>
      </c>
      <c r="M5" s="2" t="inlineStr">
        <is>
          <t>Titration</t>
        </is>
      </c>
      <c r="N5" s="2" t="inlineStr">
        <is>
          <t>Mock PLE-CC 1 ข้อ 62</t>
        </is>
      </c>
      <c r="O5" s="2" t="inlineStr">
        <is>
          <t>Mock</t>
        </is>
      </c>
      <c r="P5" s="2" t="inlineStr">
        <is>
          <t>Mock RxCU83</t>
        </is>
      </c>
      <c r="Q5" s="2" t="n"/>
    </row>
    <row r="6" ht="13.2" customHeight="1" s="37">
      <c r="A6" s="8" t="inlineStr">
        <is>
          <t>5</t>
        </is>
      </c>
      <c r="B6" s="2" t="inlineStr">
        <is>
          <t>จากข้อมูล Monograph การหาปริมาณตัวยาสำคัญ (Assay) ของยา Aspirin ที่ระบุว่า: ชั่งผงยา ละลายและต้มกับสารละลายมาตรฐาน NaOH ที่มากเกินพอ จากนั้นนำด่างส่วนเกินมาไตเตรทกลับด้วยสารละลายมาตรฐาน H2SO4 การวิเคราะห์ดังกล่าวจัดเป็นรูปแบบการไตเตรทชนิดใด</t>
        </is>
      </c>
      <c r="C6" s="2" t="n"/>
      <c r="D6" s="2" t="inlineStr">
        <is>
          <t>Direct titration</t>
        </is>
      </c>
      <c r="E6" s="2" t="inlineStr">
        <is>
          <t>Residual (Back) titration</t>
        </is>
      </c>
      <c r="F6" s="2" t="inlineStr">
        <is>
          <t>Complexometric titration</t>
        </is>
      </c>
      <c r="G6" s="2" t="inlineStr">
        <is>
          <t>Precipitation titration</t>
        </is>
      </c>
      <c r="H6" s="2" t="inlineStr">
        <is>
          <t>Non-aqueous acid-base titration</t>
        </is>
      </c>
      <c r="I6" s="8" t="inlineStr">
        <is>
          <t>2</t>
        </is>
      </c>
      <c r="J6" s="2" t="inlineStr">
        <is>
          <t>✅ คำตอบที่ถูกต้อง: ข้อ ข. Residual (Back) titration
💡 Background:
Aspirin (Acetylsalicylic acid) มีพันธะเอสเทอร์ (Ester bond) ซึ่งไฮโดรไลซ์ได้ช้าในอุณหภูมิห้อง จึงไม่สามารถทำ Direct titration ให้สมบูรณ์ได้อย่างรวดเร็ว
🎯 ทำไมข้อนี้ถึงถูก:
ตามเภสัชตำรับ USP/BP การหาปริมาณ Aspirin ใช้วิธี Residual (Back) titration โดยเติมสารละลายมาตรฐาน 0.5 N NaOH ในปริมาณที่มากเกินพอ (Excess) แล้วนำไปต้มให้เกิดปฏิกิริยา Saponification ไฮโดรไลซ์หมู่เอสเทอร์อย่างสมบูรณ์ กลายเป็น Salicylate และ Acetate จากนั้นจึงนำเบส NaOH ส่วนเกินที่เหลือมาไตเตรทกลับ (Back-titrate) ด้วยสารละลายมาตรฐาน 0.5 N H2SO4 โดยใช้ Phenolphthalein เป็นอินดิเคเตอร์
🔍 ข้ออื่นผิดเพราะอะไร:
• ข้อ ก. (Direct titration): ไม่เหมาะสมเพราะปฏิกิริยาไฮโดรไลซิสของเอสเทอร์เกิดขึ้นช้า ทำให้หาจุดยุติที่แท้จริงได้ยาก
• ข้อ ค. (Complexometric titration): เป็นการสร้างสารเชิงซ้อนกับไอออนโลหะ ไม่ใช่ปฏิกิริยาของแอสไพริน
• ข้อ ง. (Precipitation titration): เป็นปฏิกิริยาตกตะกอน (เช่น Argentometry)
• ข้อ จ. (Non-aqueous): ไม่ใช่วิธีมาตรฐานตามโมโนกราฟหลักของยาเม็ดแอสไพริน
📖 Guideline อ้างอิง:
USP-NF Official Monograph: Aspirin Tablets &amp; British Pharmacopoeia (BP)
📌 จุดจำก่อนสอบ:
• Aspirin Assay Principle: เติม NaOH เกินพอ ต้มไฮโดรไลซ์ แล้ว Back-titrate ด้วย H2SO4 (Residual Acid-Base Titration)</t>
        </is>
      </c>
      <c r="K6" s="2" t="inlineStr">
        <is>
          <t>Acid-Base Titration</t>
        </is>
      </c>
      <c r="L6" s="2" t="inlineStr">
        <is>
          <t>ข้อสอบจริง PLE CC 1 ปี 2566 Day 1 ข้อ 23</t>
        </is>
      </c>
      <c r="M6" s="2" t="inlineStr">
        <is>
          <t>Titration</t>
        </is>
      </c>
      <c r="N6" s="2" t="inlineStr">
        <is>
          <t>PLE-CC1 ปี 2566 Day 1 ข้อ 1</t>
        </is>
      </c>
      <c r="O6" s="2" t="inlineStr">
        <is>
          <t>ข้อสอบจริง</t>
        </is>
      </c>
      <c r="P6" s="2" t="inlineStr">
        <is>
          <t>ปี 2566</t>
        </is>
      </c>
      <c r="Q6" s="2" t="n"/>
    </row>
    <row r="7" ht="13.2" customHeight="1" s="37">
      <c r="A7" s="8" t="inlineStr">
        <is>
          <t>6</t>
        </is>
      </c>
      <c r="B7" s="2" t="inlineStr">
        <is>
          <t>จากสมการเคมีในการตรวจวิเคราะห์หาปริมาณตัวยาสำคัญ: Ce⁴⁺ + Fe²⁺ → Ce³⁺ + Fe³⁺ ปฏิกิริยาดังกล่าวจัดเป็นการวิเคราะห์โดยอาศัยรูปแบบการไตเตรทชนิดใด</t>
        </is>
      </c>
      <c r="C7" s="2" t="n"/>
      <c r="D7" s="2" t="inlineStr">
        <is>
          <t>Redox titration (Oxidation-Reduction)</t>
        </is>
      </c>
      <c r="E7" s="2" t="inlineStr">
        <is>
          <t>Precipitation titration (Argentometry)</t>
        </is>
      </c>
      <c r="F7" s="2" t="inlineStr">
        <is>
          <t>Complexometric titration (EDTA)</t>
        </is>
      </c>
      <c r="G7" s="2" t="inlineStr">
        <is>
          <t>Acid-base neutralization titration</t>
        </is>
      </c>
      <c r="H7" s="2" t="inlineStr">
        <is>
          <t>Non-aqueous titration</t>
        </is>
      </c>
      <c r="I7" s="8" t="inlineStr">
        <is>
          <t>1</t>
        </is>
      </c>
      <c r="J7" s="2" t="inlineStr">
        <is>
          <t>✅ คำตอบที่ถูกต้อง: ข้อ ก. Redox titration (Oxidation-Reduction)
💡 Background:
ปฏิกิริยารีดอกซ์ (Oxidation-Reduction Reaction) คือปฏิกิริยาที่มีการถ่ายโอนอิเล็กตรอนระหว่างสารตัวให้อิเล็กตรอน (Reducing agent) และสารตัวรับอิเล็กตรอน (Oxidizing agent)
🎯 ทำไมข้อนี้ถึงถูก:
ในสมการ Ce⁴⁺ + Fe²⁺ → Ce³⁺ + Fe³⁺ มีการถ่ายโอน 1 อิเล็กตรอน โดย Fe²⁺ สูญเสียอิเล็กตรอนถูกออกซิไดซ์เป็น Fe³⁺ (Oxidation) และ Ce⁴⁺ รับอิเล็กตรอนถูกรีดิวซ์เป็น Ce³⁺ (Reduction) จึงเป็นการไทเทรตแบบ Redox Titration (Cerimetry) ซึ่งเป็นวิธีมาตรฐานในการตรวจวิเคราะห์หาปริมาณธาตุเหล็ก (Ferrous salts) ตามเภสัชตำรับ
🔍 ข้ออื่นผิดเพราะอะไร:
• ข้อ ข. (Precipitation titration): เป็นปฏิกิริยาที่เกิดตะกอนที่ไม่ละลายน้ำ เช่น Ag⁺ + Cl⁻ → AgCl(s)
• ข้อ ค. (Complexometric titration): เป็นการจับกลุ่มโคออร์ดิเนตระหว่าง ligand กับ metal ion (เช่น EDTA กับ Ca²⁺/Mg²⁺/Zn²⁺)
• ข้อ ง. (Acid-base neutralization): เป็นการถ่ายโอนโปรตอน (H⁺) ไม่ใช่การถ่ายโอนอิเล็กตรอน
• ข้อ จ. (Non-aqueous): ใช้สำหรับกรด-เบสที่อ่อนมากในตัวทำละลายอินทรีย์
📖 Guideline อ้างอิง:
USP-NF General Chapter &lt;541&gt; Titrimetry &amp; Vogel's Quantitative Chemical Analysis
📌 จุดจำก่อนสอบ:
• Cerimetry (Ce⁴⁺): ไทแตรนต์เป็นสารออกซิไดซ์ที่เสถียรมากในกรดซัลฟิวริก ใช้ Ferroin เป็นอินดิเคเตอร์</t>
        </is>
      </c>
      <c r="K7" s="2" t="inlineStr">
        <is>
          <t>Redox Titration</t>
        </is>
      </c>
      <c r="L7" s="2" t="inlineStr">
        <is>
          <t>ข้อสอบจริง PLE CC 1 ปี 2566 Day 1 ข้อ 24</t>
        </is>
      </c>
      <c r="M7" s="2" t="inlineStr">
        <is>
          <t>Titration</t>
        </is>
      </c>
      <c r="N7" s="2" t="inlineStr">
        <is>
          <t>PLE-CC1 ปี 2566 Day 1 ข้อ 2</t>
        </is>
      </c>
      <c r="O7" s="2" t="inlineStr">
        <is>
          <t>ข้อสอบจริง</t>
        </is>
      </c>
      <c r="P7" s="2" t="inlineStr">
        <is>
          <t>ปี 2566</t>
        </is>
      </c>
      <c r="Q7" s="2" t="n"/>
    </row>
    <row r="8" ht="13.2" customHeight="1" s="37">
      <c r="A8" s="8" t="inlineStr">
        <is>
          <t>7</t>
        </is>
      </c>
      <c r="B8" s="2" t="inlineStr">
        <is>
          <t>จากเภสัชตำรับ การตรวจวิเคราะห์หาปริมาณตัวยาสำคัญ (Assay) ของ Potassium Chloride (KCl) กำหนดให้ละลายตัวอย่างแล้วนำไปไตเตรทด้วยสารละลายมาตรฐาน Silver nitrate (AgNO3) โดยใช้ Eosin Y หรือ Fluorescein เป็นอินดิเคเตอร์ การวิเคราะห์นี้จัดเป็นการไตเตรทประเภทใดและใช้วิธีการใด</t>
        </is>
      </c>
      <c r="C8" s="2" t="n"/>
      <c r="D8" s="2" t="inlineStr">
        <is>
          <t>Precipitation titration (Fajans method)</t>
        </is>
      </c>
      <c r="E8" s="2" t="inlineStr">
        <is>
          <t>Precipitation titration (Mohr method)</t>
        </is>
      </c>
      <c r="F8" s="2" t="inlineStr">
        <is>
          <t>Precipitation titration (Volhard method)</t>
        </is>
      </c>
      <c r="G8" s="2" t="inlineStr">
        <is>
          <t>Complexometric titration</t>
        </is>
      </c>
      <c r="H8" s="2" t="inlineStr">
        <is>
          <t>Acid-base neutralization titration</t>
        </is>
      </c>
      <c r="I8" s="8" t="inlineStr">
        <is>
          <t>1</t>
        </is>
      </c>
      <c r="J8" s="2" t="inlineStr">
        <is>
          <t>✅ คำตอบที่ถูกต้อง: ข้อ ก. Precipitation titration (Fajans method)
💡 Background:
การไทเทรตแบบตกตะกอนโดยใช้ Silver nitrate (Argentometry) มี 3 วิธีหลักตามชนิดของอินดิเคเตอร์ ได้แก่ Mohr, Volhard และ Fajans method
🎯 ทำไมข้อนี้ถึงถูก:
ตามเภสัชตำรับ USP/BP การหาปริมาณ Chloride ion (Cl⁻) ใน KCl โดยใช้สารละลายมาตรฐาน AgNO3 และใช้อินดิเคเตอร์ชนิดดูดซับ (Adsorption indicator) เช่น Eosin Y หรือ Fluorescein จัดเป็น Fajans Method ซึ่งเมื่อถึงจุดยุติ ตะกอน AgCl ที่มีประจุบวกส่วนเกินของ Ag⁺ จะดูดซับอินดิเคเตอร์ไอออนลบ ทำให้เกิดการเปลี่ยนสีบนผิวตะกอนอย่างชัดเจน
🔍 ข้ออื่นผิดเพราะอะไร:
• ข้อ ข. (Mohr method): ใช้อินดิเคเตอร์ Potassium chromate (K2CrO4) เกิดตะกอนสีน้ำตาลแดงของ Ag2CrO4 ที่จุดยุติ ทำในสภาวะเป็นกลาง (pH 6.5-9)
• ข้อ ค. (Volhard method): เป็นวิธี Back titration ในสภาวะกรด โดยเติม AgNO3 เกินพอ แล้วกรองตะกอนออกก่อนนำ Ag⁺ ส่วนเกินมาไทเทรตด้วย KSCN โดยใช้ Ferric ammonium sulfate เป็นอินดิเคเตอร์
• ข้อ ง. และ จ.: ไม่ใช่ปฏิกิริยาตกตะกอนของเฮไลด์
📖 Guideline อ้างอิง:
USP-NF Official Monograph: Potassium Chloride &amp; British Pharmacopoeia (BP)
📌 จุดจำก่อนสอบ:
• Fajans Method: Adsorption indicator (Fluorescein / Eosin Y)
• Mohr Method: Direct titration, Chromate (CrO4²⁻) indicator, ตะกอนสีส้มแดง Ag2CrO4
• Volhard Method: Back titration ในกรด (HNO3), Thiocyanate (SCN⁻), Fe³⁺ indicator (สารละลายสีแดง FeSCN²⁺)</t>
        </is>
      </c>
      <c r="K8" s="2" t="inlineStr">
        <is>
          <t>Precipitation Titration</t>
        </is>
      </c>
      <c r="L8" s="2" t="inlineStr">
        <is>
          <t>ข้อสอบจริง PLE CC 1 ปี 2566 Day 2 ข้อ 88</t>
        </is>
      </c>
      <c r="M8" s="2" t="inlineStr">
        <is>
          <t>Titration</t>
        </is>
      </c>
      <c r="N8" s="2" t="inlineStr">
        <is>
          <t>PLE-CC1 ปี 2566 Day 1 ข้อ 4</t>
        </is>
      </c>
      <c r="O8" s="2" t="inlineStr">
        <is>
          <t>ข้อสอบจริง</t>
        </is>
      </c>
      <c r="P8" s="2" t="inlineStr">
        <is>
          <t>ปี 2566</t>
        </is>
      </c>
      <c r="Q8" s="2" t="n"/>
    </row>
    <row r="9" ht="13.2" customHeight="1" s="37">
      <c r="A9" s="8" t="inlineStr">
        <is>
          <t>8</t>
        </is>
      </c>
      <c r="B9" s="2" t="inlineStr">
        <is>
          <t>ตามเภสัชตำรับ British Pharmacopoeia (BP) การวิเคราะห์หาปริมาณวัตถุดิบยา Acyclovir กำหนดให้ละลายตัวยา 0.150 g ในกรดแอนไฮดรัสแอซีติก (Anhydrous acetic acid) แล้วนำไปไตเตรทด้วยสารละลายมาตรฐาน 0.1 M Perchloric acid (HClO4) โดยหาจุดยุติด้วย Potentiometry การวิเคราะห์นี้จัดเป็นการไตเตรทแบบใด</t>
        </is>
      </c>
      <c r="C9" s="2" t="n"/>
      <c r="D9" s="2" t="inlineStr">
        <is>
          <t>Non-aqueous acid-base titration (การไตเตรทกรด-เบสในตัวทำละลายปราศจากน้ำ)</t>
        </is>
      </c>
      <c r="E9" s="2" t="inlineStr">
        <is>
          <t>Aqueous acid-base neutralization</t>
        </is>
      </c>
      <c r="F9" s="2" t="inlineStr">
        <is>
          <t>Precipitation titration (Argentometry)</t>
        </is>
      </c>
      <c r="G9" s="2" t="inlineStr">
        <is>
          <t>Complexometric titration</t>
        </is>
      </c>
      <c r="H9" s="2" t="inlineStr">
        <is>
          <t>Redox titration</t>
        </is>
      </c>
      <c r="I9" s="8" t="inlineStr">
        <is>
          <t>1</t>
        </is>
      </c>
      <c r="J9" s="2" t="inlineStr">
        <is>
          <t>✅ คำตอบที่ถูกต้อง: ข้อ ก. Non-aqueous acid-base titration (การไตเตรทกรด-เบสในตัวทำละลายปราศจากน้ำ)
💡 Background:
สารที่เป็นเบสอ่อนมาก (Weak base ที่มี pKb &gt; 8-10 เช่น สารกลุ่ม purine/guanine analogues) ไม่สามารถแตกตัวและให้จุดยุติที่คมชัดเมื่อไทเทรตในตัวทำละลายน้ำได้เนื่องจากเกิด Leveling effect ของน้ำ
🎯 ทำไมข้อนี้ถึงถูก:
Acyclovir เป็นอนุพันธ์ของกวานีนที่มีความเป็นเบสอ่อนมาก (Very weak base) เภสัชตำรับจึงกำหนดให้ใช้ตัวทำละลายอินทรีย์ที่ปราศจากน้ำคือ Glacial/Anhydrous acetic acid ซึ่งทำหน้าที่เป็น Protogenic solvent ช่วยส่งเสริมความเป็นเบสของตัวยา และใช้กรดแก่มากคือ Perchloric acid (HClO4 in glacial acetic acid) เป็นไทแตรนต์ จึงจัดเป็น Non-aqueous Acid-Base Titration
🔍 ข้ออื่นผิดเพราะอะไร:
• ข้อ ข. (Aqueous): ไม่สามารถทำได้เพราะตัวยาเป็นเบสอ่อนมาก น้ำจะบดบังจุดยุติ (Leveling effect)
• ข้อ ค. (Precipitation): ไม่ใช่ปฏิกิริยาตกตะกอน
• ข้อ ง. (Complexometric): ไม่ได้ใช้การสร้างสารเชิงซ้อนกับ EDTA
• ข้อ จ. (Redox): ไม่มีการเปลี่ยนแปลงเลขออกซิเดชันของโมเลกุล
📖 Guideline อ้างอิง:
British Pharmacopoeia (BP) Official Monograph: Aciclovir Raw Material &amp; USP &lt;541&gt; Titrimetry
📌 จุดจำก่อนสอบ:
• Non-aqueous Titration of Weak Base: ตัวทำละลาย Glacial acetic acid, ไทแตรนต์ Perchloric acid (HClO4), อินดิเคเตอร์ Crystal violet หรือ Potentiometry
• Non-aqueous Titration of Weak Acid: ตัวทำละลาย DMF หรือ Ethylenediamine, ไทแตรนต์ Sodium methoxide / Tetrabutylammonium hydroxide (TBAH)</t>
        </is>
      </c>
      <c r="K9" s="2" t="inlineStr">
        <is>
          <t>Acid-Base Titration (Non-aqueous)</t>
        </is>
      </c>
      <c r="L9" s="2" t="inlineStr">
        <is>
          <t>ข้อสอบจริง PLE CC 1 ปี 2563 (BP Acyclovir Monograph)</t>
        </is>
      </c>
      <c r="M9" s="2" t="inlineStr">
        <is>
          <t>Titration</t>
        </is>
      </c>
      <c r="N9" s="2" t="inlineStr">
        <is>
          <t>PLE-CC1 ปี 2566 Day 2 ข้อ 1</t>
        </is>
      </c>
      <c r="O9" s="2" t="inlineStr">
        <is>
          <t>ข้อสอบจริง</t>
        </is>
      </c>
      <c r="P9" s="2" t="inlineStr">
        <is>
          <t>ปี 2566</t>
        </is>
      </c>
      <c r="Q9" s="2" t="n"/>
    </row>
    <row r="10" ht="13.2" customHeight="1" s="37">
      <c r="A10" s="8" t="inlineStr">
        <is>
          <t>9</t>
        </is>
      </c>
      <c r="B10" s="2" t="inlineStr">
        <is>
          <t>การวิเคราะห์หาปริมาณสารเฮไลด์ (เช่น Chloride หรือ Bromide) โดยการเติมสารละลายมาตรฐาน AgNO3 ที่มากเกินพอในสภาวะกรดไนทริก แล้วนำ Ag⁺ ส่วนเกินที่เหลือมาไตเตรทกลับด้วยสารละลายมาตรฐาน KSCN หรือ NH4SCN โดยใช้ Ferric ammonium sulfate เป็นอินดิเคเตอร์ วิธีดังกล่าวเรียกว่าวิธีใด</t>
        </is>
      </c>
      <c r="C10" s="2" t="n"/>
      <c r="D10" s="2" t="inlineStr">
        <is>
          <t>Volhard method (การไตเตรทแบบย้อนกลับในสภาวะกรด)</t>
        </is>
      </c>
      <c r="E10" s="2" t="inlineStr">
        <is>
          <t>Mohr method (การไตเตรทโดยตรงในสภาวะเป็นกลาง)</t>
        </is>
      </c>
      <c r="F10" s="2" t="inlineStr">
        <is>
          <t>Fajans method (การไตเตรทโดยใช้อินดิเคเตอร์ดูดซับ)</t>
        </is>
      </c>
      <c r="G10" s="2" t="inlineStr">
        <is>
          <t>Direct acid-base titration</t>
        </is>
      </c>
      <c r="H10" s="2" t="inlineStr">
        <is>
          <t>Complexometric titration</t>
        </is>
      </c>
      <c r="I10" s="8" t="inlineStr">
        <is>
          <t>1</t>
        </is>
      </c>
      <c r="J10" s="2" t="inlineStr">
        <is>
          <t>✅ คำตอบที่ถูกต้อง: ข้อ ก. Volhard method (การไตเตรทแบบย้อนกลับในสภาวะกรด)
💡 Background:
Volhard Method เป็นเทคนิคการไทเทรตแบบตกตะกอน (Precipitation titration / Argentometry) แบบย้อนกลับ (Back titration)
🎯 ทำไมข้อนี้ถึงถูก:
หลักการของ Volhard Method คือการเติมสารละลายมาตรฐาน AgNO3 ที่มากเกินพอลงในสารละลายตัวอย่างที่มี Halide ion (เช่น Cl⁻) ในสารละลายกรด HNO3 เพื่อให้เกิดตะกอน AgCl อย่างสมบูรณ์ จากนั้นนำ Ag⁺ ที่เหลือเกินพอมาไทเทรตย้อนกลับด้วยสารละลายมาตรฐาน Thiocyanate (KSCN หรือ NH4SCN) โดยใช้ Ferric ammonium sulfate (Fe³⁺) เป็นอินดิเคเตอร์ เมื่อ Ag⁺ ทำปฏิกิริยากับ SCN⁻ จนหมด หยดแรกของ SCN⁻ ที่เกินพอจะทำปฏิกิริยากับ Fe³⁺ เกิดสารประกอบเชิงซ้อนสีส้มแดง [Fe(SCN)]²⁺ ที่จุดยุติอย่างคมชัด
🔍 ข้ออื่นผิดเพราะอะไร:
• ข้อ ข. (Mohr method): เป็น Direct titration ของ Cl⁻ หรือ Br⁻ ด้วย AgNO3 ในสภาวะ pH 6.5-9 โดยใช้ K2CrO4 เป็นอินดิเคเตอร์ ให้ตะกอนสีส้มแดง Ag2CrO4
• ข้อ ค. (Fajans method): เป็น Direct titration โดยใช้ Adsorption indicator (เช่น Fluorescein, Eosin Y) ซึ่งเปลี่ยนสีบนผิวตะกอน
• ข้อ ง. และ จ.: ไม่ใช่การวิเคราะห์เฮไลด์ด้วยการตกตะกอนเกลือเงิน
📖 Guideline อ้างอิง:
USP-NF General Chapter &lt;541&gt; Titrimetry &amp; Skoog Fundamentals of Analytical Chemistry
📌 จุดจำก่อนสอบ:
• Volhard Method: Back titration, สภาวะกรด (HNO3), ไทแตรนต์ย้อนกลับ KSCN, อินดิเคเตอร์ Fe³⁺ (สีแดง FeSCN²⁺)
• ข้อควรระวังใน Cl⁻ Assay: ตะกอน AgCl ละลายน้ำได้ดีกว่า AgSCN ดังนั้นต้องกรอง AgCl ออกก่อน หรือเติม Nitrobenzene เพื่อเคลือบผิวตะกอนป้องกันปฏิกิริยาย้อนกลับ</t>
        </is>
      </c>
      <c r="K10" s="2" t="inlineStr">
        <is>
          <t>Precipitation Titration</t>
        </is>
      </c>
      <c r="L10" s="2" t="inlineStr">
        <is>
          <t>ข้อสอบ Product (Volhard Method &amp; Argentometry)</t>
        </is>
      </c>
      <c r="M10" s="2" t="inlineStr">
        <is>
          <t>Titration</t>
        </is>
      </c>
      <c r="N10" s="2" t="inlineStr">
        <is>
          <t>PLE-CC1 ปี 2566 Day 2 ข้อ 2</t>
        </is>
      </c>
      <c r="O10" s="2" t="inlineStr">
        <is>
          <t>ข้อสอบจริง</t>
        </is>
      </c>
      <c r="P10" s="2" t="inlineStr">
        <is>
          <t>ปี 2566</t>
        </is>
      </c>
      <c r="Q10" s="2" t="n"/>
    </row>
    <row r="11" ht="13.2" customHeight="1" s="37">
      <c r="A11" s="8" t="inlineStr">
        <is>
          <t>10</t>
        </is>
      </c>
      <c r="B11" s="2" t="inlineStr">
        <is>
          <t>ในการตรวจวิเคราะห์หาปริมาณแคลเซียมคาร์บอเนต (Calcium Carbonate raw material) ตามเภสัชตำรับ USP/BP กำหนดให้ละลายตัวยาในกรดเจือจาง ปรับสภาวะเป็นด่างรุนแรง (pH ประมาณ 12-13 ด้วย NaOH) เพื่อตกตะกอนแมกนีเซียม แล้วไตเตรทด้วยสารละลายมาตรฐาน Disodium EDTA การวิเคราะห์นี้ใช้อินดิเคเตอร์ชนิดใด</t>
        </is>
      </c>
      <c r="C11" s="2" t="n"/>
      <c r="D11" s="2" t="inlineStr">
        <is>
          <t>Hydroxynaphthol blue (หรือ Calconcarboxylic acid / Murexide)</t>
        </is>
      </c>
      <c r="E11" s="2" t="inlineStr">
        <is>
          <t>Phenolphthalein</t>
        </is>
      </c>
      <c r="F11" s="2" t="inlineStr">
        <is>
          <t>Methyl orange</t>
        </is>
      </c>
      <c r="G11" s="2" t="inlineStr">
        <is>
          <t>Ferroin</t>
        </is>
      </c>
      <c r="H11" s="2" t="inlineStr">
        <is>
          <t>Potassium chromate</t>
        </is>
      </c>
      <c r="I11" s="8" t="inlineStr">
        <is>
          <t>1</t>
        </is>
      </c>
      <c r="J11" s="2" t="inlineStr">
        <is>
          <t>✅ คำตอบที่ถูกต้อง: ข้อ ก. Hydroxynaphthol blue (หรือ Calconcarboxylic acid / Murexide)
💡 Background:
Calcium Carbonate เป็นวัตถุดิบยาลดกรดและแร่ธาตุเสริม การหาปริมาณตัวยาสำคัญตามเภสัชตำรับใช้วิธี Complexometric Titration ด้วย EDTA
🎯 ทำไมข้อนี้ถึงถูก:
ในการไทเทรตหา Ca²⁺ โดยจำเพาะเมื่ออาจมี Mg²⁺ ปนเปื้อน ต้องปรับ pH ให้สูงกว่า 12 (ด้วย 1 N NaOH) เพื่อให้ Mg²⁺ ตกตะกอนเป็น Mg(OH)2 แยกออกไป ไม่รบกวนการไทเทรต จากนั้นจึงใช้อินดิเคเตอร์โลหะ (Metallochromic indicator) ที่จำเพาะต่อ Ca²⁺ ในสภาวะด่างจัด ได้แก่ Hydroxynaphthol blue หรือ Calconcarboxylic acid (Patton-Reeder indicator) หรือ Murexide ซึ่งจับกับ Ca²⁺ ให้สีชมพู/แดง และเมื่อ EDTA แย่งจับ Ca²⁺ จนหมดที่จุดยุติ อินดิเคเตอร์อิสระจะเปลี่ยนเป็น สีน้ำเงิน (Blue) ชัดเจน
🔍 ข้ออื่นผิดเพราะอะไร:
• ข้อ ข. และ ค.: เป็น Acid-base indicator วัดการเปลี่ยนแปลง pH ไม่ใช่วัดอิสระของ metal ions
• ข้อ ง. (Ferroin): เป็น Redox indicator ใช้ใน Cerimetry
• ข้อ จ. (Potassium chromate): เป็น Precipitation indicator ใช้ใน Mohr method
📖 Guideline อ้างอิง:
USP-NF Official Monograph: Calcium Carbonate &amp; British Pharmacopoeia (BP)
📌 จุดจำก่อนสอบ:
• Ca²⁺ Titration at pH &gt; 12: ตกตะกอน Mg²⁺ เป็น Mg(OH)2, ใช้อินดิเคเตอร์ Hydroxynaphthol blue (เปลี่ยนเป็นสีน้ำเงิน)
• Total Ca²⁺ + Mg²⁺ Titration at pH 10: ใช้ Ammonia buffer, อินดิเคเตอร์ Eriochrome Black T (EBT)</t>
        </is>
      </c>
      <c r="K11" s="2" t="inlineStr">
        <is>
          <t>Complexometric Titration</t>
        </is>
      </c>
      <c r="L11" s="2" t="inlineStr">
        <is>
          <t>ข้อสอบ Product (EDTA Calcium Carbonate Assay)</t>
        </is>
      </c>
      <c r="M11" s="2" t="inlineStr">
        <is>
          <t>Titration</t>
        </is>
      </c>
      <c r="N11" s="2" t="inlineStr">
        <is>
          <t>PLE-CC1 ปี 2566 Day 2 ข้อ 3</t>
        </is>
      </c>
      <c r="O11" s="2" t="inlineStr">
        <is>
          <t>ข้อสอบจริง</t>
        </is>
      </c>
      <c r="P11" s="2" t="inlineStr">
        <is>
          <t>ปี 2566</t>
        </is>
      </c>
      <c r="Q11" s="2" t="n"/>
    </row>
    <row r="12" ht="13.2" customHeight="1" s="37">
      <c r="A12" s="8" t="inlineStr">
        <is>
          <t>11</t>
        </is>
      </c>
      <c r="B12" s="2" t="inlineStr">
        <is>
          <t>การตรวจวิเคราะห์หาปริมาณตัวยาสำคัญที่มีสมบัติเป็นสารรีดิวซ์ (Reducing agent เช่น Ascorbic acid หรือ Vitamin C) ตามเภสัชตำรับ โดยการไตเตรทโดยตรงด้วยสารละลายมาตรฐานไอโอดีน (Standard Iodine solution, I2) โดยใช้น้ำแป้ง (Starch solution) เป็นอินดิเคเตอร์ วิธีดังกล่าวจัดเป็นการวิเคราะห์แบบใด</t>
        </is>
      </c>
      <c r="C12" s="2" t="n"/>
      <c r="D12" s="2" t="inlineStr">
        <is>
          <t>Iodimetry (Direct redox titration with Iodine)</t>
        </is>
      </c>
      <c r="E12" s="2" t="inlineStr">
        <is>
          <t>Iodometry (Indirect redox titration via I2 liberation and Thiosulfate)</t>
        </is>
      </c>
      <c r="F12" s="2" t="inlineStr">
        <is>
          <t>Permanganometry</t>
        </is>
      </c>
      <c r="G12" s="2" t="inlineStr">
        <is>
          <t>Biamperometric titration</t>
        </is>
      </c>
      <c r="H12" s="2" t="inlineStr">
        <is>
          <t>Complexometric titration</t>
        </is>
      </c>
      <c r="I12" s="8" t="inlineStr">
        <is>
          <t>1</t>
        </is>
      </c>
      <c r="J12" s="2" t="inlineStr">
        <is>
          <t>✅ คำตอบที่ถูกต้อง: ข้อ ก. Iodimetry (Direct redox titration with Iodine)
💡 Background:
การวิเคราะห์ด้วยไอโอดีน (Iodine titrations) แบ่งออกเป็น 2 ประเภทหลักที่มักออกสอบบ่อย คือ Iodimetry (ทางตรง) และ Iodometry (ทางอ้อม)
🎯 ทำไมข้อนี้ถึงถูก:
• Iodimetry (ไอโอไดเมทรี) คือการไทเทรตโดยตรง (Direct titration) โดยใช้สารละลายมาตรฐาน I2 (ซึ่งเป็นสารออกซิไดซ์ปานกลาง) เป็นไทแตรนต์ในบิวเรตต์ เพื่อออกซิไดซ์สารตัวอย่างที่เป็นสารรีดิวซ์ (เช่น Ascorbic acid, Thiamine, Sulfites) เมื่อสารตัวอย่างทำปฏิกิริยาหมด หยดแรกของ I2 ส่วนเกินจะทำปฏิกิริยากับน้ำแป้ง (Starch) เกิดสารประกอบเชิงซ้อนสีน้ำเงินเข้ม (Deep blue starch-iodine complex) ทันทีที่จุดยุติ
🔍 ข้ออื่นผิดเพราะอะไร:
• ข้อ ข. (Iodometry): เป็นวิธีทางอ้อม (Indirect method) โดยนำสารตัวอย่างที่เป็นสารออกซิไดซ์ (Oxidizing agent) ไปทำปฏิกิริยากับ KI ส่วนเกิน เพื่อปลดปล่อย I2 อิสระออกมา จากนั้นจึงนำ I2 ที่ได้ไปไทเทรตกับสารละลายมาตรฐาน Sodium thiosulfate (Na2S2O3) จนสีน้ำเงินของน้ำแป้งจางหายไปกลายเป็นไม่มีสี
• ข้อ ค. (Permanganometry): ใช้สารละลาย KMnO4 เป็นทั้งไทแตรนต์และอินดิเคเตอร์ในตัว (Self-indicator)
• ข้อ ง. และ จ.: ไม่ใช่วิธีทางตรงของไอโอดีน
📖 Guideline อ้างอิง:
USP-NF Official Monograph: Ascorbic Acid Raw Material / Tablets &amp; Vogel's Textbook of Quantitative Chemical Analysis
📌 จุดจำก่อนสอบ:
• Iodimetry (ทางตรง): ตัวอย่างเป็น Reducing agent, ไทแตรนต์คือ I2, จุดยุติเกิดสีน้ำเงิน
• Iodometry (ทางอ้อม): ตัวอย่างเป็น Oxidizing agent + KI excess → ปลดปล่อย I2 ออกมาไทเทรตกับ Na2S2O3, จุดยุติสีน้ำเงินหายไป</t>
        </is>
      </c>
      <c r="K12" s="2" t="inlineStr">
        <is>
          <t>Redox Titration</t>
        </is>
      </c>
      <c r="L12" s="2" t="inlineStr">
        <is>
          <t>ข้อสอบ Product (Iodimetry vs Iodometry Principles)</t>
        </is>
      </c>
      <c r="M12" s="2" t="inlineStr">
        <is>
          <t>Titration</t>
        </is>
      </c>
      <c r="N12" s="2" t="inlineStr">
        <is>
          <t>PLE-CC1 ปี 2566 Day 2 ข้อ 4</t>
        </is>
      </c>
      <c r="O12" s="2" t="inlineStr">
        <is>
          <t>ข้อสอบจริง</t>
        </is>
      </c>
      <c r="P12" s="2" t="inlineStr">
        <is>
          <t>ปี 2566</t>
        </is>
      </c>
      <c r="Q12" s="2" t="n"/>
    </row>
    <row r="13" ht="13.2" customHeight="1" s="37">
      <c r="A13" s="2" t="n">
        <v>11</v>
      </c>
      <c r="B13" s="2" t="inlineStr">
        <is>
          <t>หากต้องการวิเคราะห์หาปริมาณแร่ธาตุสังกะสี (Zinc) ในเภสัชภัณฑ์ที่มีตัวยาสำคัญคือเกลือสังกะสี (Zinc salts เช่น Zinc sulfate, Zinc oxide) ตามมาตรฐานเภสัชตำรับ จะต้องตรวจวิเคราะห์ด้วยวิธีใด</t>
        </is>
      </c>
      <c r="C13" s="2" t="n"/>
      <c r="D13" s="2" t="inlineStr">
        <is>
          <t>Precipitation titration</t>
        </is>
      </c>
      <c r="E13" s="2" t="inlineStr">
        <is>
          <t>Complexometric titration (ไทเทรตด้วยสารละลายมาตรฐาน Disodium EDTA)</t>
        </is>
      </c>
      <c r="F13" s="2" t="inlineStr">
        <is>
          <t>Karl Fischer titration</t>
        </is>
      </c>
      <c r="G13" s="2" t="inlineStr">
        <is>
          <t>Fluorescence spectroscopy</t>
        </is>
      </c>
      <c r="H13" s="2" t="inlineStr">
        <is>
          <t>Infrared spectroscopy</t>
        </is>
      </c>
      <c r="I13" s="8" t="inlineStr">
        <is>
          <t>2</t>
        </is>
      </c>
      <c r="J13" s="2" t="inlineStr">
        <is>
          <t>✅ คำตอบที่ถูกต้อง: ข้อ ข. Complexometric titration (ไทเทรตด้วยสารละลายมาตรฐาน Disodium EDTA)
💡 Background:
Zinc เป็นโลหะแทรนซิชันที่มีประจุบวก 2+ (Zn²⁺) การวิเคราะห์เชิงปริมาณมาตรฐานตามเภสัชตำรับ USP และ BP คือ Complexometric titration ด้วย Disodium edetate (EDTA)
🎯 ทำไมข้อนี้ถึงถูก:
EDTA เป็น Hexadentate ligand ที่จับกับไอออนโลหะ Zn²⁺ เกิดเป็นสารประกอบเชิงซ้อนคีเลต (Metal-EDTA chelate complex) ที่เสถียรมากในอัตราส่วน 1:1 เสมอ โดยการไทเทรตทำในสภาวะควบคุม pH ประมาณ 10 (ใช้น้ำกระสายแอมโมเนียบัฟเฟอร์ Ammonia-ammonium chloride buffer) และใช้อินดิเคเตอร์ Eriochrome Black T (EBT) ซึ่งเปลี่ยนสีจากสีแดงไวน์ (Wine-red ของ Zn-EBT complex) กลายเป็นสีน้ำเงิน (Blue ของ free EBT) ที่จุดยุติอย่างคมชัด
🔍 ข้ออื่นผิดเพราะอะไร:
• ข้อ ก. (Precipitation titration): เป็นการไทเทรตตกตะกอน เช่น วิเคราะห์เฮไลด์ด้วยซิลเวอร์ไนเตรต
• ข้อ ค. (Karl Fischer titration): ใช้สำหรับหาปริมาณน้ำหรือความชื้น (Water determination)
• ข้อ ง. (Fluorescence spectroscopy): ใช้ตรวจสารที่มีโครงสร้างเรืองแสง
• ข้อ จ. (Infrared spectroscopy): ใช้ตรวจหมู่ฟังก์ชันและเอกลักษณ์ของแข็ง ไม่ใช่วิธีมาตรฐานในการทำ %Assay ของเกลือโลหะอนินทรีย์
📖 Guideline อ้างอิง:
USP-NF Official Monograph: Zinc Sulfate / Zinc Oxide &amp; British Pharmacopoeia (BP)
📌 จุดจำก่อนสอบ:
• Zinc Assay (Complexometry): EDTA ไทแตรนต์, สภาวะ pH 10 Ammonia buffer, อินดิเคเตอร์ Eriochrome Black T (EBT) เปลี่ยนจากแดงไวน์เป็นน้ำเงิน</t>
        </is>
      </c>
      <c r="K13" s="2" t="inlineStr">
        <is>
          <t>Complexometric Titration</t>
        </is>
      </c>
      <c r="L13" s="2" t="inlineStr">
        <is>
          <t>ข้อสอบจริง PLE CC 1 ปี 2562 (Assay of Zinc Salts)</t>
        </is>
      </c>
      <c r="M13" s="2" t="inlineStr">
        <is>
          <t>Product</t>
        </is>
      </c>
      <c r="N13" s="2" t="inlineStr">
        <is>
          <t>ข้อ 41 (PLE_CC1_2562_Key.md)</t>
        </is>
      </c>
      <c r="O13" s="2" t="inlineStr">
        <is>
          <t>ข้อสอบจริง</t>
        </is>
      </c>
      <c r="P13" s="2" t="inlineStr">
        <is>
          <t>ปี 2562</t>
        </is>
      </c>
      <c r="Q13" s="2" t="n"/>
    </row>
    <row r="14" ht="13.2" customHeight="1" s="37">
      <c r="A14" s="2" t="n">
        <v>12</v>
      </c>
      <c r="B14" s="2" t="inlineStr">
        <is>
          <t>EDTA ในตำรับข(างต(นทำหน(าอะไร</t>
        </is>
      </c>
      <c r="C14" s="2" t="n"/>
      <c r="D14" s="2" t="inlineStr">
        <is>
          <t>Vehicle</t>
        </is>
      </c>
      <c r="E14" s="2" t="inlineStr">
        <is>
          <t>Antioxidant</t>
        </is>
      </c>
      <c r="F14" s="2" t="inlineStr">
        <is>
          <t>Stiffening agent</t>
        </is>
      </c>
      <c r="G14" s="2" t="inlineStr">
        <is>
          <t>Emulsifying agent</t>
        </is>
      </c>
      <c r="H14" s="2" t="inlineStr">
        <is>
          <t>Acidifying agent</t>
        </is>
      </c>
      <c r="I14" s="2" t="n">
        <v>1</v>
      </c>
      <c r="J14" s="2" t="inlineStr">
        <is>
          <t>✅ คำตอบที่ถูกต้อง: ข้อ ก. Vehicle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Vehicle 💡 คำอธิบายและเหตุผลทางเภสัชกรรม:
💡 คำอธิบายและเหตุผลทางเภสัชกรรม:
การเลือก Vehicle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(Antioxidant): ข้อนี้ไม่ใช่คำตอบที่ถูกต้องสำหรับภาวะ Complexometric titration เนื่องจากกลไกการออกฤทธิ์, efficacy หรือข้อบ่งใช้ไม่ตรงกับโจทย์ที่กำหนด
• ข้อ ค. (Stiffening agent): ข้อนี้ไม่ใช่คำตอบที่ถูกต้องสำหรับภาวะ Complexometric titration เนื่องจากกลไกการออกฤทธิ์, efficacy หรือข้อบ่งใช้ไม่ตรงกับโจทย์ที่กำหนด
• ข้อ ง. (Emulsifying agent): ข้อนี้ไม่ใช่คำตอบที่ถูกต้องสำหรับภาวะ Complexometric titration เนื่องจากกลไกการออกฤทธิ์, efficacy หรือข้อบ่งใช้ไม่ตรงกับโจทย์ที่กำหนด
• ข้อ จ. (Acidifying agent):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Complexometric titration</t>
        </is>
      </c>
      <c r="M14" s="2" t="inlineStr">
        <is>
          <t>Product</t>
        </is>
      </c>
      <c r="N14" s="2" t="inlineStr">
        <is>
          <t>ข้อ 90 (PLE_CC1_2561_Key.md)</t>
        </is>
      </c>
      <c r="O14" s="2" t="inlineStr">
        <is>
          <t>ข้อสอบจริง</t>
        </is>
      </c>
      <c r="P14" s="2" t="inlineStr">
        <is>
          <t>ปี 2561</t>
        </is>
      </c>
    </row>
    <row r="15" ht="13.2" customHeight="1" s="37">
      <c r="A15" s="2" t="n">
        <v>13</v>
      </c>
      <c r="B15" s="2" t="inlineStr">
        <is>
          <t>Residue on ignition คือการตรวจอะไร</t>
        </is>
      </c>
      <c r="C15" s="2" t="n"/>
      <c r="D15" s="2" t="inlineStr">
        <is>
          <t>เพื่อหาปริมาณสารที่ระเหยง.าย</t>
        </is>
      </c>
      <c r="E15" s="2" t="inlineStr">
        <is>
          <t>เพื่อหาปริมาณ organic impurity</t>
        </is>
      </c>
      <c r="F15" s="2" t="inlineStr">
        <is>
          <t>เพื่อหาปริมาณ in organic impurity</t>
        </is>
      </c>
      <c r="G15" s="2" t="inlineStr">
        <is>
          <t>เพื่อพิสูจนว.า organic impurity เป5นสารใด</t>
        </is>
      </c>
      <c r="H15" s="2" t="inlineStr">
        <is>
          <t>เพื่อพิสูจนว.า inorganic impurity เป5นสารใด</t>
        </is>
      </c>
      <c r="I15" s="2" t="n">
        <v>1</v>
      </c>
      <c r="J15" s="2" t="inlineStr">
        <is>
          <t>✅ คำตอบที่ถูกต้อง: ข้อ ก. เพื่อหาปริมาณสารที่ระเหยง.าย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เพื่อหาปริมาณสารที่ระเหยง.าย 💡 คำอธิบายและเหตุผลทางเภสัชกรรม:
💡 คำอธิบายและเหตุผลทางเภสัชกรรม:
การเลือก เพื่อหาปริมาณสารที่ระเหยง.าย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(เพื่อหาปริมาณ organic impurity): ข้อนี้ไม่ใช่คำตอบที่ถูกต้องสำหรับภาวะ Acid-base titration เนื่องจากกลไกการออกฤทธิ์, efficacy หรือข้อบ่งใช้ไม่ตรงกับโจทย์ที่กำหนด
• ข้อ ค. (เพื่อหาปริมาณ in organic impurity): ข้อนี้ไม่ใช่คำตอบที่ถูกต้องสำหรับภาวะ Acid-base titration เนื่องจากกลไกการออกฤทธิ์, efficacy หรือข้อบ่งใช้ไม่ตรงกับโจทย์ที่กำหนด
• ข้อ ง. (เพื่อพิสูจนว.า organic impurity เป5นสารใด): ข้อนี้ไม่ใช่คำตอบที่ถูกต้องสำหรับภาวะ Acid-base titration เนื่องจากกลไกการออกฤทธิ์, efficacy หรือข้อบ่งใช้ไม่ตรงกับโจทย์ที่กำหนด
• ข้อ จ. (เพื่อพิสูจนว.า inorganic impurity เป5นสารใด):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Acid-base titration</t>
        </is>
      </c>
      <c r="M15" s="2" t="inlineStr">
        <is>
          <t>Product</t>
        </is>
      </c>
      <c r="N15" s="2" t="inlineStr">
        <is>
          <t>ข้อ 119 (PLE_CC1_2561_Key.md)</t>
        </is>
      </c>
      <c r="O15" s="2" t="inlineStr">
        <is>
          <t>ข้อสอบจริง</t>
        </is>
      </c>
      <c r="P15" s="2" t="inlineStr">
        <is>
          <t>ปี 2561</t>
        </is>
      </c>
    </row>
    <row r="16" ht="13.2" customHeight="1" s="37">
      <c r="A16" s="2" t="n">
        <v>14</v>
      </c>
      <c r="B16" s="2" t="inlineStr">
        <is>
          <t>การสังเคราะห์ HCTZ จงระบุว่า A คือข้อใด</t>
        </is>
      </c>
      <c r="C16" s="2" t="n"/>
      <c r="D16" s="2" t="inlineStr">
        <is>
          <t>H-CO-H</t>
        </is>
      </c>
      <c r="E16" s="2" t="inlineStr">
        <is>
          <t>H-CO-OH</t>
        </is>
      </c>
      <c r="F16" s="2" t="inlineStr">
        <is>
          <t>Cl-C-Cl</t>
        </is>
      </c>
      <c r="G16" s="2" t="inlineStr">
        <is>
          <t>C-CO-H</t>
        </is>
      </c>
      <c r="H16" s="2" t="inlineStr">
        <is>
          <t>...</t>
        </is>
      </c>
      <c r="I16" s="2" t="n">
        <v>1</v>
      </c>
      <c r="J16" s="2" t="inlineStr">
        <is>
          <t>✅ คำตอบที่ถูกต้อง: ข้อ ก. H-CO-H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H-CO-H 💡 คำอธิบายและเหตุผลทางเภสัชกรรม:
💡 คำอธิบายและเหตุผลทางเภสัชกรรม:
การเลือก H-CO-H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(H-CO-OH): ข้อนี้ไม่ใช่คำตอบที่ถูกต้องสำหรับภาวะ Acid-base titration เนื่องจากกลไกการออกฤทธิ์, efficacy หรือข้อบ่งใช้ไม่ตรงกับโจทย์ที่กำหนด
• ข้อ ค. (Cl-C-Cl): ข้อนี้ไม่ใช่คำตอบที่ถูกต้องสำหรับภาวะ Acid-base titration เนื่องจากกลไกการออกฤทธิ์, efficacy หรือข้อบ่งใช้ไม่ตรงกับโจทย์ที่กำหนด
• ข้อ ง. (C-CO-H): ข้อนี้ไม่ใช่คำตอบที่ถูกต้องสำหรับภาวะ Acid-base titration เนื่องจากกลไกการออกฤทธิ์, efficacy หรือข้อบ่งใช้ไม่ตรงกับโจทย์ที่กำหนด
• ข้อ จ. (...):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Acid-base titration</t>
        </is>
      </c>
      <c r="M16" s="2" t="inlineStr">
        <is>
          <t>Product</t>
        </is>
      </c>
      <c r="N16" s="2" t="inlineStr">
        <is>
          <t>ข้อ 8 (PLE_CC1_2560 22 April Set 1.md)</t>
        </is>
      </c>
      <c r="O16" s="2" t="inlineStr">
        <is>
          <t>ข้อสอบจริง</t>
        </is>
      </c>
      <c r="P16" s="2" t="inlineStr">
        <is>
          <t>ปี 2560</t>
        </is>
      </c>
    </row>
    <row r="17" ht="13.2" customHeight="1" s="37">
      <c r="A17" s="2" t="n">
        <v>15</v>
      </c>
      <c r="B17" s="2" t="inlineStr">
        <is>
          <t>หากผู้ป่วยต้องการ KCl 60 mEq/day จะต้องให้ KCl ความเข้มข้น 74.5 g/L กี่มิลลิลิตร (ก้าหนดให้ MW ของ KCl = 74.5 g/mol)</t>
        </is>
      </c>
      <c r="C17" s="2" t="n"/>
      <c r="D17" s="2" t="inlineStr">
        <is>
          <t>15 ml</t>
        </is>
      </c>
      <c r="E17" s="2" t="inlineStr">
        <is>
          <t>30 ml</t>
        </is>
      </c>
      <c r="F17" s="2" t="inlineStr">
        <is>
          <t>45 ml</t>
        </is>
      </c>
      <c r="G17" s="2" t="inlineStr">
        <is>
          <t>60 ml</t>
        </is>
      </c>
      <c r="H17" s="2" t="inlineStr">
        <is>
          <t>75 ml</t>
        </is>
      </c>
      <c r="I17" s="2" t="n">
        <v>1</v>
      </c>
      <c r="J17" s="2" t="inlineStr">
        <is>
          <t>✅ คำตอบที่ถูกต้อง: ข้อ ก. 15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15 ml 💡 คำอธิบายและเหตุผลทางเภสัชกรรม:
💡 คำอธิบายและเหตุผลทางเภสัชกรรม:
การเลือก 15 ml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(30 ml): ข้อนี้ไม่ใช่คำตอบที่ถูกต้องสำหรับภาวะ Acid-base titration เนื่องจากกลไกการออกฤทธิ์, efficacy หรือข้อบ่งใช้ไม่ตรงกับโจทย์ที่กำหนด
• ข้อ ค. (45 ml): ข้อนี้ไม่ใช่คำตอบที่ถูกต้องสำหรับภาวะ Acid-base titration เนื่องจากกลไกการออกฤทธิ์, efficacy หรือข้อบ่งใช้ไม่ตรงกับโจทย์ที่กำหนด
• ข้อ ง. (60 ml): ข้อนี้ไม่ใช่คำตอบที่ถูกต้องสำหรับภาวะ Acid-base titration เนื่องจากกลไกการออกฤทธิ์, efficacy หรือข้อบ่งใช้ไม่ตรงกับโจทย์ที่กำหนด
• ข้อ จ. (75 ml):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Acid-base titration</t>
        </is>
      </c>
      <c r="M17" s="2" t="inlineStr">
        <is>
          <t>Product</t>
        </is>
      </c>
      <c r="N17" s="2" t="inlineStr">
        <is>
          <t>ข้อ 68 (PLE_CC1_2559.md)</t>
        </is>
      </c>
      <c r="O17" s="2" t="inlineStr">
        <is>
          <t>ข้อสอบจริง</t>
        </is>
      </c>
      <c r="P17" s="2" t="inlineStr">
        <is>
          <t>ปี 2559</t>
        </is>
      </c>
    </row>
    <row r="18" ht="13.2" customHeight="1" s="37">
      <c r="A18" s="2" t="n">
        <v>16</v>
      </c>
      <c r="B18" s="2" t="inlineStr">
        <is>
          <t>หากผู้ป่วยต้องรักษาภาวะ secondary hyperthyroid ต้องได้ยาใด</t>
        </is>
      </c>
      <c r="C18" s="2" t="n"/>
      <c r="D18" s="2" t="inlineStr">
        <is>
          <t>Vitamin A</t>
        </is>
      </c>
      <c r="E18" s="2" t="inlineStr">
        <is>
          <t>Vitamin D</t>
        </is>
      </c>
      <c r="F18" s="2" t="inlineStr">
        <is>
          <t>Vitamin E</t>
        </is>
      </c>
      <c r="G18" s="2" t="inlineStr">
        <is>
          <t>Vitamin K</t>
        </is>
      </c>
      <c r="H18" s="2" t="inlineStr">
        <is>
          <t>Vitamin B</t>
        </is>
      </c>
      <c r="I18" s="2" t="n">
        <v>1</v>
      </c>
      <c r="J18" s="2" t="inlineStr">
        <is>
          <t>✅ คำตอบที่ถูกต้อง: ข้อ ก. Vitamin 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Vitamin A 💡 คำอธิบายและเหตุผลทางเภสัชกรรม:
💡 คำอธิบายและเหตุผลทางเภสัชกรรม:
การเลือก Vitamin 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(Vitamin D): ข้อนี้ไม่ใช่คำตอบที่ถูกต้องสำหรับภาวะ Acid-base titration เนื่องจากกลไกการออกฤทธิ์, efficacy หรือข้อบ่งใช้ไม่ตรงกับโจทย์ที่กำหนด
• ข้อ ค. (Vitamin E): ข้อนี้ไม่ใช่คำตอบที่ถูกต้องสำหรับภาวะ Acid-base titration เนื่องจากกลไกการออกฤทธิ์, efficacy หรือข้อบ่งใช้ไม่ตรงกับโจทย์ที่กำหนด
• ข้อ ง. (Vitamin K): ข้อนี้ไม่ใช่คำตอบที่ถูกต้องสำหรับภาวะ Acid-base titration เนื่องจากกลไกการออกฤทธิ์, efficacy หรือข้อบ่งใช้ไม่ตรงกับโจทย์ที่กำหนด
• ข้อ จ. (Vitamin B):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Acid-base titration</t>
        </is>
      </c>
      <c r="M18" s="2" t="inlineStr">
        <is>
          <t>Product</t>
        </is>
      </c>
      <c r="N18" s="2" t="inlineStr">
        <is>
          <t>ข้อ 51 (PLE_CC1_2558_Key.md)</t>
        </is>
      </c>
      <c r="O18" s="2" t="inlineStr">
        <is>
          <t>ข้อสอบจริง</t>
        </is>
      </c>
      <c r="P18" s="2" t="inlineStr">
        <is>
          <t>ปี 2558</t>
        </is>
      </c>
    </row>
    <row r="19" ht="13.2" customHeight="1" s="37">
      <c r="A19" s="2" t="n">
        <v>17</v>
      </c>
      <c r="B19" s="2" t="inlineStr">
        <is>
          <t>การวิเคราะห์ raw material ของ acyclovir จากตำรา British Pharmacopoeia 2013 เป็นการทดสอบแบบใด “Dissolve 0.150 g in 60 mL of anhydrous acetic acid R. Titrate with 0.1 M perchloric acid, determining the end-point potentiometrically. Carry out a black titration”</t>
        </is>
      </c>
      <c r="C19" s="2" t="n"/>
      <c r="D19" s="2" t="inlineStr">
        <is>
          <t>Aqueous acid-base titration</t>
        </is>
      </c>
      <c r="E19" s="2" t="inlineStr">
        <is>
          <t>Non-aqueous acid-base titration</t>
        </is>
      </c>
      <c r="F19" s="2" t="inlineStr">
        <is>
          <t>Precipitation titration</t>
        </is>
      </c>
      <c r="G19" s="2" t="inlineStr">
        <is>
          <t>Redox titration</t>
        </is>
      </c>
      <c r="H19" s="2" t="inlineStr">
        <is>
          <t>Complexation titration</t>
        </is>
      </c>
      <c r="I19" s="2" t="n">
        <v>1</v>
      </c>
      <c r="J19" s="2" t="inlineStr">
        <is>
          <t>✅ คำตอบที่ถูกต้อง: ข้อ ก. 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Aqueous acid-base titration 💡 คำอธิบายและเหตุผลทางเภสัชกรรม:
💡 คำอธิบายและเหตุผลทางเภสัชกรรม:
การเลือก 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(Non-aqueous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(Precipitation titration): ข้อนี้ไม่ใช่คำตอบที่ถูกต้องสำหรับภาวะ Acid-base titration เนื่องจากกลไกการออกฤทธิ์, efficacy หรือข้อบ่งใช้ไม่ตรงกับโจทย์ที่กำหนด
• ข้อ ง. (Redox titration): ข้อนี้ไม่ใช่คำตอบที่ถูกต้องสำหรับภาวะ Acid-base titration เนื่องจากกลไกการออกฤทธิ์, efficacy หรือข้อบ่งใช้ไม่ตรงกับโจทย์ที่กำหนด
• ข้อ จ. (Complexation titration):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Acid-base titration</t>
        </is>
      </c>
      <c r="M19" s="2" t="inlineStr">
        <is>
          <t>Product</t>
        </is>
      </c>
      <c r="N19" s="2" t="inlineStr">
        <is>
          <t>ข้อ 98 (Pharmtutor_2024_Set1.md)</t>
        </is>
      </c>
      <c r="O19" s="2" t="inlineStr">
        <is>
          <t>Mock</t>
        </is>
      </c>
      <c r="P19" s="2" t="inlineStr">
        <is>
          <t>Mock Pharmtutor 2024</t>
        </is>
      </c>
    </row>
    <row r="20" ht="13.2" customHeight="1" s="37">
      <c r="A20" s="2" t="n">
        <v>18</v>
      </c>
      <c r="B20" s="2" t="inlineStr">
        <is>
          <t>จากสมการเคมีที่กำหนด เป็นการไทเทรตแบบใด 2HNO3 + CaCO3 ―&gt; Ca(NO3)2 + CO2 + H2O HNO3 + NaOH ―&gt; NaNO3 + H2O</t>
        </is>
      </c>
      <c r="C20" s="2" t="n"/>
      <c r="D20" s="2" t="inlineStr">
        <is>
          <t>Direct acid-base titration</t>
        </is>
      </c>
      <c r="E20" s="2" t="inlineStr">
        <is>
          <t>Back acid-base titration</t>
        </is>
      </c>
      <c r="F20" s="2" t="inlineStr">
        <is>
          <t>Indirect acid-base titration</t>
        </is>
      </c>
      <c r="G20" s="2" t="inlineStr">
        <is>
          <t>Back precipitation titration</t>
        </is>
      </c>
      <c r="H20" s="2" t="inlineStr">
        <is>
          <t>Indirect precipitation titration Azithromycin is white crystalline powder. mp: 126 อC soluble in ethanol and DSMO, minimally soluble in water</t>
        </is>
      </c>
      <c r="I20" s="2" t="n">
        <v>1</v>
      </c>
      <c r="J20"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Acid-base titration)
🔍 ข้ออื่นผิดเพราะอะไร:
• ข้อ ข. (Back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(Indirect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ง. (Back precipitation titration): ข้อนี้ไม่ใช่คำตอบที่ถูกต้องสำหรับภาวะ Acid-base titration เนื่องจากกลไกการออกฤทธิ์, efficacy หรือข้อบ่งใช้ไม่ตรงกับโจทย์ที่กำหนด
• ข้อ จ. (Indirect precipitation titration Azithromycin is white crystalline powder. mp: 126 อC soluble in ethanol and DSMO, minimally soluble in water): เป็น Macrolide ครอบคลุม atypical pathogens (Mycoplasma, Chlamydia, Legionella) ขจัดออกทางตับเป็นหลัก และมี half-life ยาวนาน (~68 ชม.)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Acid-base titration</t>
        </is>
      </c>
      <c r="M20" s="2" t="inlineStr">
        <is>
          <t>Product</t>
        </is>
      </c>
      <c r="N20" s="2" t="inlineStr">
        <is>
          <t>ข้อ 99 (Pharmtutor_2024_Set1.md)</t>
        </is>
      </c>
      <c r="O20" s="2" t="inlineStr">
        <is>
          <t>Mock</t>
        </is>
      </c>
      <c r="P20" s="2" t="inlineStr">
        <is>
          <t>Mock Pharmtutor 2024</t>
        </is>
      </c>
    </row>
    <row r="21" ht="13.2" customHeight="1" s="37">
      <c r="A21" s="2" t="n">
        <v>19</v>
      </c>
      <c r="B21" s="2" t="inlineStr">
        <is>
          <t>จากปฏิกิริยาการหาปริมาณ Ferrous(II) ด้วยวิธีการไตไตรทที่กำหนดให้ ข้อใดคือชนิดของการไตเตรทที่ถูกต้อง 2FeSO4 + 2Ce(SO4)2 → Fe2(SO4)3 + Ce2(SO4)3</t>
        </is>
      </c>
      <c r="C21" s="2" t="n"/>
      <c r="D21" s="2" t="inlineStr">
        <is>
          <t>Complexometric titration</t>
        </is>
      </c>
      <c r="E21" s="2" t="inlineStr">
        <is>
          <t>Acid-base titration</t>
        </is>
      </c>
      <c r="F21" s="2" t="inlineStr">
        <is>
          <t>Precipitation titration</t>
        </is>
      </c>
      <c r="G21" s="2" t="inlineStr">
        <is>
          <t>Redox titration</t>
        </is>
      </c>
      <c r="H21" s="2" t="inlineStr">
        <is>
          <t>ไม่มีข้อใดถูก</t>
        </is>
      </c>
      <c r="I21" s="2" t="n">
        <v>1</v>
      </c>
      <c r="J21" s="2" t="inlineStr">
        <is>
          <t>✅ คำตอบที่ถูกต้อง: ข้อ ก. Complexometric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 คำอธิบายและเหตุผลทางเภสัชกรรม:
💡 คำอธิบายและเหตุผลทางเภสัชกรรม:
การเลือก Complexometric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(Precipitation titration): ข้อนี้ไม่ใช่คำตอบที่ถูกต้องสำหรับภาวะ Acid-base titration เนื่องจากกลไกการออกฤทธิ์, efficacy หรือข้อบ่งใช้ไม่ตรงกับโจทย์ที่กำหนด
• ข้อ ง. (Redox titration): ข้อนี้ไม่ใช่คำตอบที่ถูกต้องสำหรับภาวะ Acid-base titration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Acid-base titration</t>
        </is>
      </c>
      <c r="M21" s="2" t="inlineStr">
        <is>
          <t>Product</t>
        </is>
      </c>
      <c r="N21" s="2" t="inlineStr">
        <is>
          <t>ข้อ 94 (Pharmtutor_2024_Set2.md)</t>
        </is>
      </c>
      <c r="O21" s="2" t="inlineStr">
        <is>
          <t>Mock</t>
        </is>
      </c>
      <c r="P21" s="2" t="inlineStr">
        <is>
          <t>Mock Pharmtutor 2024</t>
        </is>
      </c>
    </row>
    <row r="22" ht="13.2" customHeight="1" s="37">
      <c r="A22" s="2" t="n">
        <v>20</v>
      </c>
      <c r="B22" s="2" t="inlineStr">
        <is>
          <t>ข้อใดเป็นคำแนะนำที_x001E_เหมาะสมสำหรับการรับประทาน Calcium carbonate ในผู้ป่วยรายนี% (1) รับประทานก่อนอาหาร เพื_x0003_อเพิ_x0003_มการดูดซึมแคลเซียม (2) รับประทานพร้อมอาหารคำแรก เพื_x0003_อเพิ_x0003_มการจับ ระหว่างแคลเซียมและฟอสเฟต (3) รับประทานหลังอาหาร เพื_x0003_อป้องกันภาวะท้องผูก (4) รับประทานแคลเซียมพร้อมกับ FeSO4 (5) หลีกเลี_x0003_ยงการรับประทานแคลเซียม ร่วมกับยา doxycycline</t>
        </is>
      </c>
      <c r="C22" s="2" t="n"/>
      <c r="D22" s="2" t="inlineStr">
        <is>
          <t>Direct Acid-Base Titration</t>
        </is>
      </c>
      <c r="E22" s="2" t="inlineStr">
        <is>
          <t>Back Acid-Base Titration</t>
        </is>
      </c>
      <c r="F22" s="2" t="inlineStr">
        <is>
          <t>Redox Titration (Iodometry)</t>
        </is>
      </c>
      <c r="G22" s="2" t="inlineStr">
        <is>
          <t>Complexometric Titration (EDTA)</t>
        </is>
      </c>
      <c r="H22" s="2" t="inlineStr">
        <is>
          <t>Precipitation Titration (Mohr method)</t>
        </is>
      </c>
      <c r="I22" s="2" t="n">
        <v>1</v>
      </c>
      <c r="J2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(Redox Titration (Iodometry)): ข้อนี้ไม่ใช่คำตอบที่ถูกต้องสำหรับภาวะ Acid-base titration เนื่องจากกลไกการออกฤทธิ์, efficacy หรือข้อบ่งใช้ไม่ตรงกับโจทย์ที่กำหนด
• ข้อ ง. (Complexometric Titration (EDTA)): วัคซีนรวมคอตีบ-บาดทะยัก ฉีดกระตุ้นทุก 10 ปี หรือใช้ในหญิงตั้งครรภ์และผู้ใหญ่
• ข้อ จ. (Precipitation Titration (Mohr method)):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Acid-base titration</t>
        </is>
      </c>
      <c r="M22" s="2" t="inlineStr">
        <is>
          <t>Product</t>
        </is>
      </c>
      <c r="N22" s="2" t="inlineStr">
        <is>
          <t>ข้อ 69 (PLE_CC1_2557.md)</t>
        </is>
      </c>
      <c r="O22" s="2" t="inlineStr">
        <is>
          <t>ข้อสอบจริง</t>
        </is>
      </c>
      <c r="P22" s="2" t="inlineStr">
        <is>
          <t>ปี 2557</t>
        </is>
      </c>
    </row>
    <row r="23" ht="13.2" customHeight="1" s="37">
      <c r="A23" s="2" t="n">
        <v>21</v>
      </c>
      <c r="B23" s="2" t="inlineStr">
        <is>
          <t>การวิเคราะห์ FeSO4 ด้วยสารละลาย potassium permanganate (KMnO4) ใช้วิธีวิเคราะห์ใด (1) Acid-base titration (2) Non-aqueous acid-base titration (3) Oxidation-reaction titration (4) Complexometric titration (5) Precipitation titration Final version | Maximum’2017 Rx30 | Prince of Songkla University</t>
        </is>
      </c>
      <c r="C23" s="2" t="n"/>
      <c r="D23" s="2" t="inlineStr">
        <is>
          <t>Complexometric Titration (EDTA)</t>
        </is>
      </c>
      <c r="E23" s="2" t="inlineStr">
        <is>
          <t>Precipitation Titration (Mohr method)</t>
        </is>
      </c>
      <c r="F23" s="2" t="inlineStr">
        <is>
          <t>Volhard Titration method</t>
        </is>
      </c>
      <c r="G23" s="2" t="inlineStr">
        <is>
          <t>Fajans Adsorption Indicator method</t>
        </is>
      </c>
      <c r="H23" s="2" t="inlineStr">
        <is>
          <t>Potentiometric End-point Titration</t>
        </is>
      </c>
      <c r="I23" s="2" t="n">
        <v>1</v>
      </c>
      <c r="J2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(Precipitation Titration (Mohr method)): ข้อนี้ไม่ใช่คำตอบที่ถูกต้องสำหรับภาวะ Redox titration เนื่องจากกลไกการออกฤทธิ์, efficacy หรือข้อบ่งใช้ไม่ตรงกับโจทย์ที่กำหนด
• ข้อ ค. (Volhard Titration method): ข้อนี้ไม่ใช่คำตอบที่ถูกต้องสำหรับภาวะ Redox titration เนื่องจากกลไกการออกฤทธิ์, efficacy หรือข้อบ่งใช้ไม่ตรงกับโจทย์ที่กำหนด
• ข้อ ง. (Fajans Adsorption Indicator method): ข้อนี้ไม่ใช่คำตอบที่ถูกต้องสำหรับภาวะ Redox titration เนื่องจากกลไกการออกฤทธิ์, efficacy หรือข้อบ่งใช้ไม่ตรงกับโจทย์ที่กำหนด
• ข้อ จ. (Potentiometric End-point Titration): ข้อนี้ไม่ใช่คำตอบที่ถูกต้องสำหรับภาวะ Redox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Redox titration</t>
        </is>
      </c>
      <c r="M23" s="2" t="inlineStr">
        <is>
          <t>Product</t>
        </is>
      </c>
      <c r="N23" s="2" t="inlineStr">
        <is>
          <t>ข้อ 70 (PLE_CC1_2557.md)</t>
        </is>
      </c>
      <c r="O23" s="2" t="inlineStr">
        <is>
          <t>ข้อสอบจริง</t>
        </is>
      </c>
      <c r="P23" s="2" t="inlineStr">
        <is>
          <t>ปี 2557</t>
        </is>
      </c>
    </row>
    <row r="24" ht="13.2" customHeight="1" s="37">
      <c r="A24" s="2" t="n">
        <v>22</v>
      </c>
      <c r="B24" s="2" t="inlineStr">
        <is>
          <t>E หมายเหตุ : อันนี้เราหา reference แบบฟันธงเป๊ะๆไปเลยยังไม่ได้ ส่วนใหญ่จะบอกคล้ายๆกันว่ากลุ่ม azo group สามารถทำให้ เกิดสีได้ อันนี้เป็นข้อมูลที่มาจาก wikipidia อ่ะ ถ้าหาอันที่ชัดเจนและชัวร์กว่านี้แล้วจะแก้ไขมาให้ใหม่ “As a consequence of п-delocalization, aryl azo compounds have vivid colors, especially reds, oranges, and yellows. Therefore, they are used as dyes, and are commonly known as azo dyes, an example of which is Disperse Orange 1. Some azo compounds, eg. methyl orange, are used as acid-base indicators due to the different colors of their acid and salt forms. The development of azo dyes was an important step in the development of the chemical industry. Azo pigments are colorless particles (typically earths or clays), which have been colored using an azo compound. Azo pigments are important in a variety of paints including artist's paints. They have excellent coloring properties, again mainly in the yellow to red range, as well as lightfastness. The lightfastness depends not only on the properties of the organic azo compound, but also on the way they have been adsorbed on the pigment carrier. Many azo pigments non-toxic, although some, such as dinitroaniline orange, orthonitroaniline orange, or pigment orange 1, 2, and 5 have been found to be mutagenic.[1] Likewise, several case studies have linked azo pigments with Basal Cell Carcinoma.</t>
        </is>
      </c>
      <c r="C24" s="2" t="n"/>
      <c r="D24" s="2" t="inlineStr">
        <is>
          <t>Fajans Adsorption Indicator method</t>
        </is>
      </c>
      <c r="E24" s="2" t="inlineStr">
        <is>
          <t>Potentiometric End-point Titration</t>
        </is>
      </c>
      <c r="F24" s="2" t="inlineStr">
        <is>
          <t>Biamperometric Titration</t>
        </is>
      </c>
      <c r="G24" s="2" t="inlineStr">
        <is>
          <t>Nonaqueous Acid-Base Titration</t>
        </is>
      </c>
      <c r="H24" s="2" t="inlineStr">
        <is>
          <t>Direct Acid-Base Titration</t>
        </is>
      </c>
      <c r="I24" s="2" t="n">
        <v>3</v>
      </c>
      <c r="J24" s="2" t="inlineStr">
        <is>
          <t>✅ คำตอบที่ถูกต้อง: ข้อ ค.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ก. (Fajans Adsorption Indicator method): ข้อนี้ไม่ใช่คำตอบที่ถูกต้องสำหรับภาวะ Precipitation titration เนื่องจากกลไกการออกฤทธิ์, efficacy หรือข้อบ่งใช้ไม่ตรงกับโจทย์ที่กำหนด
• ข้อ ข. (Potentiometric End-point Titration): ข้อนี้ไม่ใช่คำตอบที่ถูกต้องสำหรับภาวะ Precipitation titration เนื่องจากกลไกการออกฤทธิ์, efficacy หรือข้อบ่งใช้ไม่ตรงกับโจทย์ที่กำหนด
• ข้อ ง. (Nonaqueous Acid-Base Titration): ข้อนี้ไม่ใช่คำตอบที่ถูกต้องสำหรับภาวะ Precipitation titration เนื่องจากกลไกการออกฤทธิ์, efficacy หรือข้อบ่งใช้ไม่ตรงกับโจทย์ที่กำหนด
• ข้อ จ. (Direct Acid-Base Titration): ข้อนี้ไม่ใช่คำตอบที่ถูกต้องสำหรับภาวะ Precipitation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Precipitation titration</t>
        </is>
      </c>
      <c r="M24" s="2" t="inlineStr">
        <is>
          <t>Product</t>
        </is>
      </c>
      <c r="N24" s="2" t="inlineStr">
        <is>
          <t>ข้อ 5 (PLE_CC1_2533.md)</t>
        </is>
      </c>
      <c r="O24" s="2" t="inlineStr">
        <is>
          <t>ข้อสอบจริง</t>
        </is>
      </c>
      <c r="P24" s="2" t="inlineStr">
        <is>
          <t>ปี 2533</t>
        </is>
      </c>
    </row>
    <row r="25" ht="13.2" customHeight="1" s="37">
      <c r="A25" s="2" t="n">
        <v>23</v>
      </c>
      <c r="B25" s="2" t="inlineStr">
        <is>
          <t>ต้องการวิเคราะห์ phenazopyridine ควรใช้วิธีใดในการวิเคราะห์</t>
        </is>
      </c>
      <c r="C25" s="2" t="n"/>
      <c r="D25" s="2" t="inlineStr">
        <is>
          <t>Nonaqueous Acid-Base Titration</t>
        </is>
      </c>
      <c r="E25" s="2" t="inlineStr">
        <is>
          <t>Direct Acid-Base Titration</t>
        </is>
      </c>
      <c r="F25" s="2" t="inlineStr">
        <is>
          <t>Back Acid-Base Titration</t>
        </is>
      </c>
      <c r="G25" s="2" t="inlineStr">
        <is>
          <t>Redox Titration (Iodometry)</t>
        </is>
      </c>
      <c r="H25" s="2" t="inlineStr">
        <is>
          <t>Complexometric Titration (EDTA)</t>
        </is>
      </c>
      <c r="I25" s="2" t="n">
        <v>1</v>
      </c>
      <c r="J25" s="2" t="inlineStr">
        <is>
          <t>✅ คำตอบที่ถูกต้อง: ข้อ ก. Nonaqueous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Nonaqueous Acid-Base Titration 💡 คำอธิบายและเหตุผลทางเภสัชกรรม:
💡 คำอธิบายและเหตุผลทางเภสัชกรรม:
การเลือก Nonaqueous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(Direct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(Back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ง. (Redox Titration (Iodometry)): ข้อนี้ไม่ใช่คำตอบที่ถูกต้องสำหรับภาวะ Acid-base titration เนื่องจากกลไกการออกฤทธิ์, efficacy หรือข้อบ่งใช้ไม่ตรงกับโจทย์ที่กำหนด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Acid-base titration</t>
        </is>
      </c>
      <c r="M25" s="2" t="inlineStr">
        <is>
          <t>Product</t>
        </is>
      </c>
      <c r="N25" s="2" t="inlineStr">
        <is>
          <t>ข้อ 7 (PLE_CC1_2533.md)</t>
        </is>
      </c>
      <c r="O25" s="2" t="inlineStr">
        <is>
          <t>ข้อสอบจริง</t>
        </is>
      </c>
      <c r="P25" s="2" t="inlineStr">
        <is>
          <t>ปี 2533</t>
        </is>
      </c>
    </row>
    <row r="26" ht="13.2" customHeight="1" s="37">
      <c r="A26" s="2" t="n">
        <v>24</v>
      </c>
      <c r="B26" s="2" t="inlineStr">
        <is>
          <t>Redox titration</t>
        </is>
      </c>
      <c r="C26" s="2" t="n"/>
      <c r="D26" s="2" t="inlineStr">
        <is>
          <t>Redox Titration (Iodometry)</t>
        </is>
      </c>
      <c r="E26" s="2" t="inlineStr">
        <is>
          <t>Complexometric Titration (EDTA)</t>
        </is>
      </c>
      <c r="F26" s="2" t="inlineStr">
        <is>
          <t>Precipitation Titration (Mohr method)</t>
        </is>
      </c>
      <c r="G26" s="2" t="inlineStr">
        <is>
          <t>Volhard Titration method</t>
        </is>
      </c>
      <c r="H26" s="2" t="inlineStr">
        <is>
          <t>Fajans Adsorption Indicator method</t>
        </is>
      </c>
      <c r="I26" s="2" t="n">
        <v>1</v>
      </c>
      <c r="J26" s="2" t="inlineStr">
        <is>
          <t>✅ คำตอบที่ถูกต้อง: ข้อ ก. Redox Titration (Iodometry)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(Iodometry) 💡 คำอธิบายและเหตุผลทางเภสัชกรรม:
💡 คำอธิบายและเหตุผลทางเภสัชกรรม:
การเลือก Redox Titration (Iodometry)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(Complexometric Titration (EDTA)): วัคซีนรวมคอตีบ-บาดทะยัก ฉีดกระตุ้นทุก 10 ปี หรือใช้ในหญิงตั้งครรภ์และผู้ใหญ่
• ข้อ ค. (Precipitation Titration (Mohr method)): ข้อนี้ไม่ใช่คำตอบที่ถูกต้องสำหรับภาวะ Redox titration เนื่องจากกลไกการออกฤทธิ์, efficacy หรือข้อบ่งใช้ไม่ตรงกับโจทย์ที่กำหนด
• ข้อ ง. (Volhard Titration method): ข้อนี้ไม่ใช่คำตอบที่ถูกต้องสำหรับภาวะ Redox titration เนื่องจากกลไกการออกฤทธิ์, efficacy หรือข้อบ่งใช้ไม่ตรงกับโจทย์ที่กำหนด
• ข้อ จ. (Fajans Adsorption Indicator method): ข้อนี้ไม่ใช่คำตอบที่ถูกต้องสำหรับภาวะ Redox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Redox titration</t>
        </is>
      </c>
      <c r="M26" s="2" t="inlineStr">
        <is>
          <t>Product</t>
        </is>
      </c>
      <c r="N26" s="2" t="inlineStr">
        <is>
          <t>ข้อ 1 (PLE_CC1_2533.md)</t>
        </is>
      </c>
      <c r="O26" s="2" t="inlineStr">
        <is>
          <t>ข้อสอบจริง</t>
        </is>
      </c>
      <c r="P26" s="2" t="inlineStr">
        <is>
          <t>ปี 2533</t>
        </is>
      </c>
    </row>
    <row r="27" ht="13.2" customHeight="1" s="37">
      <c r="A27" s="2" t="n">
        <v>25</v>
      </c>
      <c r="B27" s="2" t="inlineStr">
        <is>
          <t>Complexometric Titration</t>
        </is>
      </c>
      <c r="C27" s="2" t="n"/>
      <c r="D27" s="2" t="inlineStr">
        <is>
          <t>Volhard Titration method</t>
        </is>
      </c>
      <c r="E27" s="2" t="inlineStr">
        <is>
          <t>Fajans Adsorption Indicator method</t>
        </is>
      </c>
      <c r="F27" s="2" t="inlineStr">
        <is>
          <t>Potentiometric End-point Titration</t>
        </is>
      </c>
      <c r="G27" s="2" t="inlineStr">
        <is>
          <t>Biamperometric Titration</t>
        </is>
      </c>
      <c r="H27" s="2" t="inlineStr">
        <is>
          <t>Nonaqueous Acid-Base Titration</t>
        </is>
      </c>
      <c r="I27" s="2" t="n">
        <v>1</v>
      </c>
      <c r="J27" s="2" t="inlineStr">
        <is>
          <t>✅ คำตอบที่ถูกต้อง: ข้อ ก.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(Fajans Adsorption Indicator method): ข้อนี้ไม่ใช่คำตอบที่ถูกต้องสำหรับภาวะ Complexometric titration เนื่องจากกลไกการออกฤทธิ์, efficacy หรือข้อบ่งใช้ไม่ตรงกับโจทย์ที่กำหนด
• ข้อ ค. (Potentiometric End-point Titration): ข้อนี้ไม่ใช่คำตอบที่ถูกต้องสำหรับภาวะ Complexometric titration เนื่องจากกลไกการออกฤทธิ์, efficacy หรือข้อบ่งใช้ไม่ตรงกับโจทย์ที่กำหนด
• ข้อ ง. (Biamperometric Titration): ข้อนี้ไม่ใช่คำตอบที่ถูกต้องสำหรับภาวะ Complexometric titration เนื่องจากกลไกการออกฤทธิ์, efficacy หรือข้อบ่งใช้ไม่ตรงกับโจทย์ที่กำหนด
• ข้อ จ. (Nonaqueous Acid-Base Titration):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Complexometric titration</t>
        </is>
      </c>
      <c r="M27" s="2" t="inlineStr">
        <is>
          <t>Product</t>
        </is>
      </c>
      <c r="N27" s="2" t="inlineStr">
        <is>
          <t>ข้อ 3 (PLE_CC1_2533.md)</t>
        </is>
      </c>
      <c r="O27" s="2" t="inlineStr">
        <is>
          <t>ข้อสอบจริง</t>
        </is>
      </c>
      <c r="P27" s="2" t="inlineStr">
        <is>
          <t>ปี 2533</t>
        </is>
      </c>
    </row>
    <row r="28" ht="13.2" customHeight="1" s="37">
      <c r="A28" s="2" t="n">
        <v>26</v>
      </c>
      <c r="B28" s="2" t="inlineStr">
        <is>
          <t>สารใดในตำรับอยู่ในเฟสน้ำ</t>
        </is>
      </c>
      <c r="C28" s="2" t="n"/>
      <c r="D28" s="2" t="inlineStr">
        <is>
          <t>Deionized water</t>
        </is>
      </c>
      <c r="E28" s="2" t="inlineStr">
        <is>
          <t>Glycerin</t>
        </is>
      </c>
      <c r="F28" s="2" t="inlineStr">
        <is>
          <t>Propylene glycol</t>
        </is>
      </c>
      <c r="G28" s="2" t="inlineStr">
        <is>
          <t>Disodium EDTA</t>
        </is>
      </c>
      <c r="H28" s="2" t="inlineStr">
        <is>
          <t>ถูกทุกข้อ</t>
        </is>
      </c>
      <c r="I28" s="2" t="n">
        <v>1</v>
      </c>
      <c r="J28" s="2" t="inlineStr">
        <is>
          <t>✅ คำตอบที่ถูกต้อง: ข้อ ก. Deionized water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Deionized water 💡 คำอธิบายและเหตุผลทางเภสัชกรรม:
💡 คำอธิบายและเหตุผลทางเภสัชกรรม:
การเลือก Deionized water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(Glycerin): ข้อนี้ไม่ใช่คำตอบที่ถูกต้องสำหรับภาวะ Acid-base titration เนื่องจากกลไกการออกฤทธิ์, efficacy หรือข้อบ่งใช้ไม่ตรงกับโจทย์ที่กำหนด
• ข้อ ค. (Propylene glycol): ข้อนี้ไม่ใช่คำตอบที่ถูกต้องสำหรับภาวะ Acid-base titration เนื่องจากกลไกการออกฤทธิ์, efficacy หรือข้อบ่งใช้ไม่ตรงกับโจทย์ที่กำหนด
• ข้อ ง. (Disodium EDTA): วัคซีนรวมคอตีบ-บาดทะยัก ฉีดกระตุ้นทุก 10 ปี หรือใช้ในหญิงตั้งครรภ์และผู้ใหญ่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Acid-base titration</t>
        </is>
      </c>
      <c r="M28" s="2" t="inlineStr">
        <is>
          <t>Product</t>
        </is>
      </c>
      <c r="N28" s="2" t="inlineStr">
        <is>
          <t>ข้อ 36 (PLE_CC1_Practice_Exam.md)</t>
        </is>
      </c>
      <c r="O28" s="2" t="inlineStr">
        <is>
          <t>Mock</t>
        </is>
      </c>
      <c r="P28" s="2" t="inlineStr">
        <is>
          <t>Mock สภาเภสัชฯ Practice</t>
        </is>
      </c>
    </row>
    <row r="29" ht="13.2" customHeight="1" s="37">
      <c r="A29" s="2" t="n">
        <v>27</v>
      </c>
      <c r="B29" s="2" t="inlineStr">
        <is>
          <t>วัตถุประสงค์หลักของการใช้ non-aqueous acid-base titration คืออะไร</t>
        </is>
      </c>
      <c r="C29" s="2" t="n"/>
      <c r="D29" s="2" t="inlineStr">
        <is>
          <t>การละลายน้ำของสาร</t>
        </is>
      </c>
      <c r="E29" s="2" t="inlineStr">
        <is>
          <t>ความเข้มข้นของสาร</t>
        </is>
      </c>
      <c r="F29" s="2" t="inlineStr">
        <is>
          <t>สารทำปฏิกิริยากับน้ำไม่ได้</t>
        </is>
      </c>
      <c r="G29" s="2" t="inlineStr">
        <is>
          <t>สารทำปฏิกิริยารุนแรงกับน้ำ</t>
        </is>
      </c>
      <c r="H29" s="2" t="inlineStr">
        <is>
          <t>ถูกทุกข้อ</t>
        </is>
      </c>
      <c r="I29" s="2" t="n">
        <v>1</v>
      </c>
      <c r="J29" s="2" t="inlineStr">
        <is>
          <t>✅ คำตอบที่ถูกต้อง: ข้อ ก. การละลายน้ำของสาร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การละลายน้ำของสาร 💡 คำอธิบายและเหตุผลทางเภสัชกรรม:
💡 คำอธิบายและเหตุผลทางเภสัชกรรม:
การเลือก การละลายน้ำของสาร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(ความเข้มข้นของสาร): ข้อนี้ไม่ใช่คำตอบที่ถูกต้องสำหรับภาวะ Acid-base titration เนื่องจากกลไกการออกฤทธิ์, efficacy หรือข้อบ่งใช้ไม่ตรงกับโจทย์ที่กำหนด
• ข้อ ค. (สารทำปฏิกิริยากับน้ำไม่ได้): ข้อนี้ไม่ใช่คำตอบที่ถูกต้องสำหรับภาวะ Acid-base titration เนื่องจากกลไกการออกฤทธิ์, efficacy หรือข้อบ่งใช้ไม่ตรงกับโจทย์ที่กำหนด
• ข้อ ง. (สารทำปฏิกิริยารุนแรงกับน้ำ): ข้อนี้ไม่ใช่คำตอบที่ถูกต้องสำหรับภาวะ Acid-base titration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Acid-base titration</t>
        </is>
      </c>
      <c r="M29" s="2" t="inlineStr">
        <is>
          <t>Product</t>
        </is>
      </c>
      <c r="N29" s="2" t="inlineStr">
        <is>
          <t>ข้อ 8 (PLE_CC1_Practice_Exam.md)</t>
        </is>
      </c>
      <c r="O29" s="2" t="inlineStr">
        <is>
          <t>Mock</t>
        </is>
      </c>
      <c r="P29" s="2" t="inlineStr">
        <is>
          <t>Mock สภาเภสัชฯ Practice</t>
        </is>
      </c>
    </row>
    <row r="30" ht="13.2" customHeight="1" s="37">
      <c r="A30" s="2" t="n">
        <v>28</v>
      </c>
      <c r="B30" s="2" t="inlineStr">
        <is>
          <t>ทำการวิเคราะห์หาปริมาณ nicotinic acid โดยการละลาย nicotinic acid 0.25 g ด้วย น้ำ ปราศจาก CO2 ปรับปริมาตรจนได้ 50 ml จากนั้นไตเตรทด้วย สารละลาย NaOH ที่ปราศจาก carbonate (0.1 mol/l) และใช้ phenolphthalein/ethanol เป็นอินดิเคเตอร์ โดยที่ 1ml ของสารละลาย NaOHที่ปราศจาก carbonate (0.1 mol/l) จะทำปฎิกิริยากับ 12.31 mg ของ C6H5NO2 จาก ข้อความข้างต้น เป็นวิเคราะห์ด้วยการ titration แบบใด</t>
        </is>
      </c>
      <c r="C30" s="2" t="n"/>
      <c r="D30" s="2" t="inlineStr">
        <is>
          <t>strong acid/strong base titration</t>
        </is>
      </c>
      <c r="E30" s="2" t="inlineStr">
        <is>
          <t>weak acid/strong base titraton</t>
        </is>
      </c>
      <c r="F30" s="2" t="inlineStr">
        <is>
          <t>weak base/strong acid titration</t>
        </is>
      </c>
      <c r="G30" s="2" t="inlineStr">
        <is>
          <t>non-aqueous titration of weak base</t>
        </is>
      </c>
      <c r="H30" s="2" t="inlineStr">
        <is>
          <t>non-aqueous titration of weak acid</t>
        </is>
      </c>
      <c r="I30" s="2" t="n">
        <v>1</v>
      </c>
      <c r="J30" s="2" t="inlineStr">
        <is>
          <t>✅ คำตอบที่ถูกต้อง: ข้อ ก. strong acid/strong 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strong acid/strong base titration 💡 คำอธิบายและเหตุผลทางเภสัชกรรม:
💡 คำอธิบายและเหตุผลทางเภสัชกรรม:
การเลือก strong acid/strong base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(weak acid/strong base titraton): ข้อนี้ไม่ใช่คำตอบที่ถูกต้องสำหรับภาวะ Complexometric titration เนื่องจากกลไกการออกฤทธิ์, efficacy หรือข้อบ่งใช้ไม่ตรงกับโจทย์ที่กำหนด
• ข้อ ค. (weak base/strong acid titration): ข้อนี้ไม่ใช่คำตอบที่ถูกต้องสำหรับภาวะ Complexometric titration เนื่องจากกลไกการออกฤทธิ์, efficacy หรือข้อบ่งใช้ไม่ตรงกับโจทย์ที่กำหนด
• ข้อ ง. (non-aqueous titration of weak base): ข้อนี้ไม่ใช่คำตอบที่ถูกต้องสำหรับภาวะ Complexometric titration เนื่องจากกลไกการออกฤทธิ์, efficacy หรือข้อบ่งใช้ไม่ตรงกับโจทย์ที่กำหนด
• ข้อ จ. (non-aqueous titration of weak acid):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Complexometric titration</t>
        </is>
      </c>
      <c r="M30" s="2" t="inlineStr">
        <is>
          <t>Product</t>
        </is>
      </c>
      <c r="N30" s="2" t="inlineStr">
        <is>
          <t>ข้อ 9 (PLE_CC1_Practice_Exam.md)</t>
        </is>
      </c>
      <c r="O30" s="2" t="inlineStr">
        <is>
          <t>Mock</t>
        </is>
      </c>
      <c r="P30" s="2" t="inlineStr">
        <is>
          <t>Mock สภาเภสัชฯ Practice</t>
        </is>
      </c>
    </row>
    <row r="31" ht="13.2" customHeight="1" s="37">
      <c r="A31" s="2" t="n">
        <v>29</v>
      </c>
      <c r="B31" s="2" t="inlineStr">
        <is>
          <t>ข้อใดกล่าวถูกต้องเกี่ยวกับ Precipitation titration</t>
        </is>
      </c>
      <c r="C31" s="2" t="n"/>
      <c r="D31" s="2" t="inlineStr">
        <is>
          <t>เหมาะสำหรับปฏิกิริยาที่เกิดช้า เพื่อให้สังเกตเห็นการตกตะกอนอย่างช้าๆ</t>
        </is>
      </c>
      <c r="E31" s="2" t="inlineStr">
        <is>
          <t>อุณหภูมิมีผลต่อการละลายของตะกอน โดยที่อุณหภูมิสูงจะเพิ่มการละลายของตะกอนเสมอ</t>
        </is>
      </c>
      <c r="F31" s="2" t="inlineStr">
        <is>
          <t>จะเกิดการตกตะกอนเมื่อค่า Q = Ksp</t>
        </is>
      </c>
      <c r="G31" s="2" t="inlineStr">
        <is>
          <t>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t>
        </is>
      </c>
      <c r="H31" s="2" t="inlineStr">
        <is>
          <t>ปฏิกิริยาที่มีค่า Ksp สูง จะทำให้หาจุดยุติจาก titration curve ได้ง่าย</t>
        </is>
      </c>
      <c r="I31" s="2" t="n">
        <v>1</v>
      </c>
      <c r="J31" s="2" t="inlineStr">
        <is>
          <t>✅ คำตอบที่ถูกต้อง: ข้อ ก. เหมาะสำหรับปฏิกิริยาที่เกิดช้า เพื่อให้สังเกตเห็นการตกตะกอนอย่างช้าๆ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เหมาะสำหรับปฏิกิริยาที่เกิดช้า เพื่อให้สังเกตเห็นการตกตะกอนอย่างช้าๆ 💡 คำอธิบายและเหตุผลทางเภสัชกรรม:
💡 คำอธิบายและเหตุผลทางเภสัชกรรม:
การเลือก เหมาะสำหรับปฏิกิริยาที่เกิดช้า เพื่อให้สังเกตเห็นการตกตะกอนอย่างช้าๆ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(อุณหภูมิมีผลต่อการละลายของตะกอน โดยที่อุณหภูมิสูงจะเพิ่มการละลายของตะกอนเสมอ): ข้อนี้ไม่ใช่คำตอบที่ถูกต้องสำหรับภาวะ Precipitation titration เนื่องจากกลไกการออกฤทธิ์, efficacy หรือข้อบ่งใช้ไม่ตรงกับโจทย์ที่กำหนด
• ข้อ ค. (จะเกิดการตกตะกอนเมื่อค่า Q = Ksp): ข้อนี้ไม่ใช่คำตอบที่ถูกต้องสำหรับภาวะ Precipitation titration เนื่องจากกลไกการออกฤทธิ์, efficacy หรือข้อบ่งใช้ไม่ตรงกับโจทย์ที่กำหนด
• ข้อ ง.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ข้อนี้ไม่ใช่คำตอบที่ถูกต้องสำหรับภาวะ Precipitation titration เนื่องจากกลไกการออกฤทธิ์, efficacy หรือข้อบ่งใช้ไม่ตรงกับโจทย์ที่กำหนด
• ข้อ จ. (ปฏิกิริยาที่มีค่า Ksp สูง จะทำให้หาจุดยุติจาก titration curve ได้ง่าย): ข้อนี้ไม่ใช่คำตอบที่ถูกต้องสำหรับภาวะ Precipitation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Precipitation titration</t>
        </is>
      </c>
      <c r="M31" s="2" t="inlineStr">
        <is>
          <t>Product</t>
        </is>
      </c>
      <c r="N31" s="2" t="inlineStr">
        <is>
          <t>ข้อ 18 (PLE_CC1_Practice_Exam.md)</t>
        </is>
      </c>
      <c r="O31" s="2" t="inlineStr">
        <is>
          <t>Mock</t>
        </is>
      </c>
      <c r="P31" s="2" t="inlineStr">
        <is>
          <t>Mock สภาเภสัชฯ Practice</t>
        </is>
      </c>
    </row>
    <row r="32" ht="13.2" customHeight="1" s="37">
      <c r="A32" s="2" t="n">
        <v>30</v>
      </c>
      <c r="B32" s="2" t="inlineStr">
        <is>
          <t>เภสัชกรได้วิเคราะห์หาปริมาณ NaHCO3 ในยาเม็ดลดกรดยี่ห้อหนึ่งด้วยการไทเทรตกับ 1N H2SO4 โดยวิเคราะห์จำนวน 2 ครั้ง ฉลากยาระบุว่ายา 1 เม็ด มีปริมาณ NaHCO3 0.3000 กรัม - กำหนดให้น้ำหนักเฉลี่ยของยาเม็ดเท่ากับ 0.4000 กรัม - กำหนดให้ 1N H2SO4 ปริมาตร 1มิลลิลิตร ทำปฏิกิริยาพอดีกับ NaHCO3 84.00 มิลลิกรัม ครั้งที่ 1 ครั้งที่ 2 น้ำหนักตัวอย่างที่ใช้วิเคราะห์</t>
        </is>
      </c>
      <c r="C32" s="2" t="n"/>
      <c r="D32" s="2" t="inlineStr">
        <is>
          <t>5000 กรัม</t>
        </is>
      </c>
      <c r="E32" s="2" t="inlineStr">
        <is>
          <t>6000 กรัม ปริมาตร 1N H2SO4 ที่ใช้ 22.32 มิลลิลิตร 23.20 มิลลิลิตร 346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จากการวิเคราะห์ ยาลดกรดยี่ห้อนี้มีปริมาณ NaHCO3 คิดเป็นร้อยละเท่าไหร่เทียบกับปริมาณยาที่ ฉลาก</t>
        </is>
      </c>
      <c r="F32" s="2" t="n">
        <v>90</v>
      </c>
      <c r="G32" s="2" t="n">
        <v>95</v>
      </c>
      <c r="H32" s="2" t="n">
        <v>100</v>
      </c>
      <c r="I32" s="2" t="n">
        <v>1</v>
      </c>
      <c r="J32" s="2" t="inlineStr">
        <is>
          <t>✅ คำตอบที่ถูกต้อง: ข้อ ก. 5000 กรัม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5000 กรัม 💡 คำอธิบายและเหตุผลทางเภสัชกรรม:
💡 คำอธิบายและเหตุผลทางเภสัชกรรม:
การเลือก 5000 กรัม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(6000 กรัม ปริมาตร 1N H2SO4 ที่ใช้ 22.32 มิลลิลิตร 23.20 มิลลิลิตร 346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จากการวิเคราะห์ ยาลดกรดยี่ห้อนี้มีปริมาณ NaHCO3 คิดเป็นร้อยละเท่าไหร่เทียบกับปริมาณยาที่ ฉลาก): ข้อนี้ไม่ใช่คำตอบที่ถูกต้องสำหรับภาวะ Acid-base titration เนื่องจากกลไกการออกฤทธิ์, efficacy หรือข้อบ่งใช้ไม่ตรงกับโจทย์ที่กำหนด
• ข้อ ค. (90): ข้อนี้ไม่ใช่คำตอบที่ถูกต้องสำหรับภาวะ Acid-base titration เนื่องจากกลไกการออกฤทธิ์, efficacy หรือข้อบ่งใช้ไม่ตรงกับโจทย์ที่กำหนด
• ข้อ ง. (95): ข้อนี้ไม่ใช่คำตอบที่ถูกต้องสำหรับภาวะ Acid-base titration เนื่องจากกลไกการออกฤทธิ์, efficacy หรือข้อบ่งใช้ไม่ตรงกับโจทย์ที่กำหนด
• ข้อ จ. (100):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Acid-base titration</t>
        </is>
      </c>
      <c r="M32" s="2" t="inlineStr">
        <is>
          <t>Product</t>
        </is>
      </c>
      <c r="N32" s="2" t="inlineStr">
        <is>
          <t>ข้อ 19 (PLE_CC1_Practice_Exam.md)</t>
        </is>
      </c>
      <c r="O32" s="2" t="inlineStr">
        <is>
          <t>Mock</t>
        </is>
      </c>
      <c r="P32" s="2" t="inlineStr">
        <is>
          <t>Mock สภาเภสัชฯ Practice</t>
        </is>
      </c>
    </row>
    <row r="33" ht="13.2" customHeight="1" s="37">
      <c r="A33" s="2" t="n">
        <v>31</v>
      </c>
      <c r="B33" s="2" t="inlineStr">
        <is>
          <t>ในการวิเคราะห์ Boric acid ด้วย Direct titration ใส่สารชนิดใดเพื่อให้ form complex กับ metaborate ion</t>
        </is>
      </c>
      <c r="C33" s="2" t="n"/>
      <c r="D33" s="2" t="inlineStr">
        <is>
          <t>Silver nitrate</t>
        </is>
      </c>
      <c r="E33" s="2" t="inlineStr">
        <is>
          <t>Glycerin</t>
        </is>
      </c>
      <c r="F33" s="2" t="inlineStr">
        <is>
          <t>Phenolphthalein</t>
        </is>
      </c>
      <c r="G33" s="2" t="inlineStr">
        <is>
          <t>Sodium hydroxide</t>
        </is>
      </c>
      <c r="H33" s="2" t="inlineStr">
        <is>
          <t>Sodium bicarbonate</t>
        </is>
      </c>
      <c r="I33" s="2" t="n">
        <v>1</v>
      </c>
      <c r="J33" s="2" t="inlineStr">
        <is>
          <t>✅ คำตอบที่ถูกต้อง: ข้อ ก. Silver nitrate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Silver nitrate 💡 คำอธิบายและเหตุผลทางเภสัชกรรม:
💡 คำอธิบายและเหตุผลทางเภสัชกรรม:
การเลือก Silver nitrate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(Glycerin): ข้อนี้ไม่ใช่คำตอบที่ถูกต้องสำหรับภาวะ Complexometric titration เนื่องจากกลไกการออกฤทธิ์, efficacy หรือข้อบ่งใช้ไม่ตรงกับโจทย์ที่กำหนด
• ข้อ ค. (Phenolphthalein): ข้อนี้ไม่ใช่คำตอบที่ถูกต้องสำหรับภาวะ Complexometric titration เนื่องจากกลไกการออกฤทธิ์, efficacy หรือข้อบ่งใช้ไม่ตรงกับโจทย์ที่กำหนด
• ข้อ ง. (Sodium hydroxide): ข้อนี้ไม่ใช่คำตอบที่ถูกต้องสำหรับภาวะ Complexometric titration เนื่องจากกลไกการออกฤทธิ์, efficacy หรือข้อบ่งใช้ไม่ตรงกับโจทย์ที่กำหนด
• ข้อ จ. (Sodium bicarbonate):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Complexometric titration</t>
        </is>
      </c>
      <c r="M33" s="2" t="inlineStr">
        <is>
          <t>Product</t>
        </is>
      </c>
      <c r="N33" s="2" t="inlineStr">
        <is>
          <t>ข้อ 23 (PLE_CC1_Practice_Exam.md)</t>
        </is>
      </c>
      <c r="O33" s="2" t="inlineStr">
        <is>
          <t>Mock</t>
        </is>
      </c>
      <c r="P33" s="2" t="inlineStr">
        <is>
          <t>Mock สภาเภสัชฯ Practice</t>
        </is>
      </c>
    </row>
    <row r="34" ht="13.2" customHeight="1" s="37">
      <c r="A34" s="2" t="n">
        <v>32</v>
      </c>
      <c r="B34" s="2" t="inlineStr">
        <is>
          <t>วิเคราะห์ปริมาณ Aluminium hydroxide ใน Alum milk USP XXIV โดยวิธี Back titration ด้วย 0.05 M ZnSO4 25.38 ml ซึ่งสมมูลกับ 0.0522 M EDTA 25.00 ml และใน Sample A ใช้ 0.05 M ZnSO4 12.48 ml ซึ่งสมมูลกับ 0.0522 M EDTA ที่มากเกินพอ จงคำนวณหาปริมาณของ 0.0522 M EDTA ที่ทำปฏิกิริยากับ Al3+ ใน sample A</t>
        </is>
      </c>
      <c r="C34" s="2" t="n"/>
      <c r="D34" s="2" t="inlineStr">
        <is>
          <t>10.01 ml</t>
        </is>
      </c>
      <c r="E34" s="2" t="inlineStr">
        <is>
          <t>11.21 ml</t>
        </is>
      </c>
      <c r="F34" s="2" t="inlineStr">
        <is>
          <t>11.52 ml</t>
        </is>
      </c>
      <c r="G34" s="2" t="inlineStr">
        <is>
          <t>12.71 ml</t>
        </is>
      </c>
      <c r="H34" s="2" t="inlineStr">
        <is>
          <t>12.98 ml</t>
        </is>
      </c>
      <c r="I34" s="2" t="n">
        <v>1</v>
      </c>
      <c r="J34" s="2" t="inlineStr">
        <is>
          <t>✅ คำตอบที่ถูกต้อง: ข้อ ก. 10.01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 ml 💡 คำอธิบายและเหตุผลทางเภสัชกรรม:
💡 คำอธิบายและเหตุผลทางเภสัชกรรม:
การเลือก 10.01 ml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(11.21 ml): ข้อนี้ไม่ใช่คำตอบที่ถูกต้องสำหรับภาวะ Complexometric titration เนื่องจากกลไกการออกฤทธิ์, efficacy หรือข้อบ่งใช้ไม่ตรงกับโจทย์ที่กำหนด
• ข้อ ค. (11.52 ml): ข้อนี้ไม่ใช่คำตอบที่ถูกต้องสำหรับภาวะ Complexometric titration เนื่องจากกลไกการออกฤทธิ์, efficacy หรือข้อบ่งใช้ไม่ตรงกับโจทย์ที่กำหนด
• ข้อ ง. (12.71 ml): ข้อนี้ไม่ใช่คำตอบที่ถูกต้องสำหรับภาวะ Complexometric titration เนื่องจากกลไกการออกฤทธิ์, efficacy หรือข้อบ่งใช้ไม่ตรงกับโจทย์ที่กำหนด
• ข้อ จ. (12.98 ml):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Complexometric titration</t>
        </is>
      </c>
      <c r="M34" s="2" t="inlineStr">
        <is>
          <t>Product</t>
        </is>
      </c>
      <c r="N34" s="2" t="inlineStr">
        <is>
          <t>ข้อ 24 (PLE_CC1_Practice_Exam.md)</t>
        </is>
      </c>
      <c r="O34" s="2" t="inlineStr">
        <is>
          <t>Mock</t>
        </is>
      </c>
      <c r="P34" s="2" t="inlineStr">
        <is>
          <t>Mock สภาเภสัชฯ Practice</t>
        </is>
      </c>
    </row>
    <row r="35" ht="13.2" customHeight="1" s="37">
      <c r="A35" s="2" t="n">
        <v>33</v>
      </c>
      <c r="B35" s="2" t="inlineStr">
        <is>
          <t>กรดอ่อน HA เข้มข้น 0.10 M จำนวน 50 cm3 ถูกนำมาไทเทรตกับเบสแก่เข้มข้น 0.10 M จงคำนวณหาสมดุลของปฏิกิริยา (Kt) ที่ทำให้เมื่อทำการไทเทรตไปได้ 49.95 cm3 ปฏิกิริยาสามารถ เกิดได้สมบูรณ์ และเมื่อเติมเบสแก่เกินจุดสมมูล 1-2 หยด (0.05 cm3) ทำให้ pH เปลี่ยนแปลงไป</t>
        </is>
      </c>
      <c r="C35" s="2" t="n"/>
      <c r="D35" s="2" t="inlineStr">
        <is>
          <t>00 หน่วย</t>
        </is>
      </c>
      <c r="E35" s="2" t="inlineStr">
        <is>
          <t>2 x 105</t>
        </is>
      </c>
      <c r="F35" s="2" t="inlineStr">
        <is>
          <t>2 x 109</t>
        </is>
      </c>
      <c r="G35" s="2" t="inlineStr">
        <is>
          <t>2 x 10-5</t>
        </is>
      </c>
      <c r="H35" s="2" t="inlineStr">
        <is>
          <t>2 x 10-9</t>
        </is>
      </c>
      <c r="I35" s="2" t="n">
        <v>1</v>
      </c>
      <c r="J35" s="2" t="inlineStr">
        <is>
          <t>✅ คำตอบที่ถูกต้อง: ข้อ ก. 00 หน่วย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 หน่วย 💡 คำอธิบายและเหตุผลทางเภสัชกรรม:
💡 คำอธิบายและเหตุผลทางเภสัชกรรม:
การเลือก 00 หน่วย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(2 x 105): ข้อนี้ไม่ใช่คำตอบที่ถูกต้องสำหรับภาวะ Acid-base titration เนื่องจากกลไกการออกฤทธิ์, efficacy หรือข้อบ่งใช้ไม่ตรงกับโจทย์ที่กำหนด
• ข้อ ค. (2 x 109): ข้อนี้ไม่ใช่คำตอบที่ถูกต้องสำหรับภาวะ Acid-base titration เนื่องจากกลไกการออกฤทธิ์, efficacy หรือข้อบ่งใช้ไม่ตรงกับโจทย์ที่กำหนด
• ข้อ ง. (2 x 10-5): ข้อนี้ไม่ใช่คำตอบที่ถูกต้องสำหรับภาวะ Acid-base titration เนื่องจากกลไกการออกฤทธิ์, efficacy หรือข้อบ่งใช้ไม่ตรงกับโจทย์ที่กำหนด
• ข้อ จ. (2 x 10-9):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Acid-base titration</t>
        </is>
      </c>
      <c r="M35" s="2" t="inlineStr">
        <is>
          <t>Product</t>
        </is>
      </c>
      <c r="N35" s="2" t="inlineStr">
        <is>
          <t>ข้อ 25 (PLE_CC1_Practice_Exam.md)</t>
        </is>
      </c>
      <c r="O35" s="2" t="inlineStr">
        <is>
          <t>Mock</t>
        </is>
      </c>
      <c r="P35" s="2" t="inlineStr">
        <is>
          <t>Mock สภาเภสัชฯ Practice</t>
        </is>
      </c>
    </row>
    <row r="36" ht="13.2" customHeight="1" s="37">
      <c r="A36" s="2" t="n">
        <v>34</v>
      </c>
      <c r="B36" s="2" t="inlineStr">
        <is>
          <t>วิเคราะห์ปริมาณ Aspirin USP XXI (Back titration) ด้วย standard solution 0.0999 M HCl Sample A ใช้ 0.0999 M HCl 21.52 ml (0.0999 M HCl 23.60 ml สมมูลกับ 25.00 ml NaOH, ปริมาตรของ NaOH มากเกินพอที่เติมลงในตัวอย่างแต่ละ Sample = 50.0 ml) จงคำนวณหา molarity ของ NaOH</t>
        </is>
      </c>
      <c r="C36" s="2" t="n"/>
      <c r="D36" s="2" t="n">
        <v>0.09429999999999999</v>
      </c>
      <c r="E36" s="2" t="inlineStr">
        <is>
          <t>0.0952 350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is>
      </c>
      <c r="F36" s="2" t="n">
        <v>0.09669999999999999</v>
      </c>
      <c r="G36" s="2" t="n">
        <v>0.0977</v>
      </c>
      <c r="H36" s="2" t="n">
        <v>0.09810000000000001</v>
      </c>
      <c r="I36" s="2" t="n">
        <v>1</v>
      </c>
      <c r="J36" s="2" t="inlineStr">
        <is>
          <t>✅ คำตอบที่ถูกต้อง: ข้อ ก. 0.0943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0.0943 💡 คำอธิบายและเหตุผลทางเภสัชกรรม:
💡 คำอธิบายและเหตุผลทางเภสัชกรรม:
การเลือก 0.0943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(0.0952 350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ข้อนี้ไม่ใช่คำตอบที่ถูกต้องสำหรับภาวะ Acid-base titration เนื่องจากกลไกการออกฤทธิ์, efficacy หรือข้อบ่งใช้ไม่ตรงกับโจทย์ที่กำหนด
• ข้อ ค. (0.0967): ข้อนี้ไม่ใช่คำตอบที่ถูกต้องสำหรับภาวะ Acid-base titration เนื่องจากกลไกการออกฤทธิ์, efficacy หรือข้อบ่งใช้ไม่ตรงกับโจทย์ที่กำหนด
• ข้อ ง. (0.0977): ข้อนี้ไม่ใช่คำตอบที่ถูกต้องสำหรับภาวะ Acid-base titration เนื่องจากกลไกการออกฤทธิ์, efficacy หรือข้อบ่งใช้ไม่ตรงกับโจทย์ที่กำหนด
• ข้อ จ. (0.0981):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Acid-base titration</t>
        </is>
      </c>
      <c r="M36" s="2" t="inlineStr">
        <is>
          <t>Product</t>
        </is>
      </c>
      <c r="N36" s="2" t="inlineStr">
        <is>
          <t>ข้อ 34 (PLE_CC1_Practice_Exam.md)</t>
        </is>
      </c>
      <c r="O36" s="2" t="inlineStr">
        <is>
          <t>Mock</t>
        </is>
      </c>
      <c r="P36" s="2" t="inlineStr">
        <is>
          <t>Mock สภาเภสัชฯ Practice</t>
        </is>
      </c>
    </row>
    <row r="37" ht="13.2" customHeight="1" s="37">
      <c r="A37" s="2" t="n">
        <v>35</v>
      </c>
      <c r="B37" s="2" t="inlineStr">
        <is>
          <t>การวิเคราะห์ Sodium bicarbonate tablet USP XXI ด้วย 1.0094 N H2SO4 (Direct titration quantitative analysis of finished product) โดยใช้ Sodium bicarbonate tablet จำนวน 20 เม็ด (น้ำหนักเฉลี่ย 0.3794 g) ฉลากระบุว่ายา 1 เม็ด ประกอบด้วย NaHCO3 300 mg Sample A ชั่งผงยามา 2.5927 g ไตเตรทใช้ 1.0094 N H2SO4 24.25 ml จงคำนวณหา %label amount ของ sample A (1 ml 1 N H2SO4 สมมูลกับ 84.01 mg NaHCO3)</t>
        </is>
      </c>
      <c r="C37" s="2" t="n"/>
      <c r="D37" s="21" t="n">
        <v>1.001</v>
      </c>
      <c r="E37" s="21" t="n">
        <v>1.002</v>
      </c>
      <c r="F37" s="21" t="n">
        <v>1.003</v>
      </c>
      <c r="G37" s="21" t="n">
        <v>1.01</v>
      </c>
      <c r="H37" s="21" t="n">
        <v>1.02</v>
      </c>
      <c r="I37" s="2" t="n">
        <v>1</v>
      </c>
      <c r="J37" s="2" t="inlineStr">
        <is>
          <t>✅ คำตอบที่ถูกต้อง: ข้อ ก. 100.10%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100.10% 💡 คำอธิบายและเหตุผลทางเภสัชกรรม:
💡 คำอธิบายและเหตุผลทางเภสัชกรรม:
การเลือก 100.10%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(100.20%): ข้อนี้ไม่ใช่คำตอบที่ถูกต้องสำหรับภาวะ Complexometric titration เนื่องจากกลไกการออกฤทธิ์, efficacy หรือข้อบ่งใช้ไม่ตรงกับโจทย์ที่กำหนด
• ข้อ ค. (100.30%): ข้อนี้ไม่ใช่คำตอบที่ถูกต้องสำหรับภาวะ Complexometric titration เนื่องจากกลไกการออกฤทธิ์, efficacy หรือข้อบ่งใช้ไม่ตรงกับโจทย์ที่กำหนด
• ข้อ ง. (101.00%): ข้อนี้ไม่ใช่คำตอบที่ถูกต้องสำหรับภาวะ Complexometric titration เนื่องจากกลไกการออกฤทธิ์, efficacy หรือข้อบ่งใช้ไม่ตรงกับโจทย์ที่กำหนด
• ข้อ จ. (102.00%):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Complexometric titration</t>
        </is>
      </c>
      <c r="M37" s="2" t="inlineStr">
        <is>
          <t>Product</t>
        </is>
      </c>
      <c r="N37" s="2" t="inlineStr">
        <is>
          <t>ข้อ 35 (PLE_CC1_Practice_Exam.md)</t>
        </is>
      </c>
      <c r="O37" s="2" t="inlineStr">
        <is>
          <t>Mock</t>
        </is>
      </c>
      <c r="P37" s="2" t="inlineStr">
        <is>
          <t>Mock สภาเภสัชฯ Practice</t>
        </is>
      </c>
    </row>
    <row r="38" ht="13.2" customHeight="1" s="37">
      <c r="A38" s="2" t="n">
        <v>36</v>
      </c>
      <c r="B38" s="2" t="inlineStr">
        <is>
          <t>Sodium metabisulfite + EDTA</t>
        </is>
      </c>
      <c r="C38" s="2" t="n"/>
      <c r="D38" s="2" t="inlineStr">
        <is>
          <t>Biamperometric Titration</t>
        </is>
      </c>
      <c r="E38" s="2" t="inlineStr">
        <is>
          <t>Nonaqueous Acid-Base Titration</t>
        </is>
      </c>
      <c r="F38" s="2" t="inlineStr">
        <is>
          <t>Direct Acid-Base Titration</t>
        </is>
      </c>
      <c r="G38" s="2" t="inlineStr">
        <is>
          <t>Back Acid-Base Titration</t>
        </is>
      </c>
      <c r="H38" s="2" t="inlineStr">
        <is>
          <t>Redox Titration (Iodometry)</t>
        </is>
      </c>
      <c r="I38" s="2" t="n">
        <v>1</v>
      </c>
      <c r="J38" s="2" t="inlineStr">
        <is>
          <t>✅ คำตอบที่ถูกต้อง: ข้อ ก.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(Nonaqueous Acid-Base Titration): ข้อนี้ไม่ใช่คำตอบที่ถูกต้องสำหรับภาวะ Complexometric titration เนื่องจากกลไกการออกฤทธิ์, efficacy หรือข้อบ่งใช้ไม่ตรงกับโจทย์ที่กำหนด
• ข้อ ค. (Direct Acid-Base Titration): ข้อนี้ไม่ใช่คำตอบที่ถูกต้องสำหรับภาวะ Complexometric titration เนื่องจากกลไกการออกฤทธิ์, efficacy หรือข้อบ่งใช้ไม่ตรงกับโจทย์ที่กำหนด
• ข้อ ง. (Back Acid-Base Titration): ข้อนี้ไม่ใช่คำตอบที่ถูกต้องสำหรับภาวะ Complexometric titration เนื่องจากกลไกการออกฤทธิ์, efficacy หรือข้อบ่งใช้ไม่ตรงกับโจทย์ที่กำหนด
• ข้อ จ. (Redox Titration (Iodometry)):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Complexometric titration</t>
        </is>
      </c>
      <c r="M38" s="2" t="inlineStr">
        <is>
          <t>Product</t>
        </is>
      </c>
      <c r="N38" s="2" t="inlineStr">
        <is>
          <t>ข้อ 4 (PLE_CC1_Key_Rx20_UBU.md)</t>
        </is>
      </c>
      <c r="O38" s="2" t="inlineStr">
        <is>
          <t>Mock</t>
        </is>
      </c>
      <c r="P38" s="2" t="inlineStr">
        <is>
          <t>Mock Rx20 UBU</t>
        </is>
      </c>
    </row>
    <row r="39" ht="13.2" customHeight="1" s="37">
      <c r="A39" s="2" t="n">
        <v>37</v>
      </c>
      <c r="B39" s="2" t="inlineStr">
        <is>
          <t>ข้อมูลวิธีวิเคราะห์: ใช้สาร percloric acid(HCLO4) เป็น tritrant และใช้ Potentiometry .... การวิเคราะห์ยา ketoconazole ใช้วิธีใด</t>
        </is>
      </c>
      <c r="C39" s="2" t="n"/>
      <c r="D39" s="2" t="inlineStr">
        <is>
          <t>Back Acid-Base Titration</t>
        </is>
      </c>
      <c r="E39" s="2" t="inlineStr">
        <is>
          <t>Redox Titration (Iodometry)</t>
        </is>
      </c>
      <c r="F39" s="2" t="inlineStr">
        <is>
          <t>Complexometric Titration (EDTA)</t>
        </is>
      </c>
      <c r="G39" s="2" t="inlineStr">
        <is>
          <t>Precipitation Titration (Mohr method)</t>
        </is>
      </c>
      <c r="H39" s="2" t="inlineStr">
        <is>
          <t>Volhard Titration method</t>
        </is>
      </c>
      <c r="I39" s="2" t="n">
        <v>1</v>
      </c>
      <c r="J39" s="2" t="inlineStr">
        <is>
          <t>✅ คำตอบที่ถูกต้อง: ข้อ ก.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(Redox Titration (Iodometry)): ข้อนี้ไม่ใช่คำตอบที่ถูกต้องสำหรับภาวะ Acid-base titration เนื่องจากกลไกการออกฤทธิ์, efficacy หรือข้อบ่งใช้ไม่ตรงกับโจทย์ที่กำหนด
• ข้อ ค. (Complexometric Titration (EDTA)): วัคซีนรวมคอตีบ-บาดทะยัก ฉีดกระตุ้นทุก 10 ปี หรือใช้ในหญิงตั้งครรภ์และผู้ใหญ่
• ข้อ ง. (Precipitation Titration (Mohr method)): ข้อนี้ไม่ใช่คำตอบที่ถูกต้องสำหรับภาวะ Acid-base titration เนื่องจากกลไกการออกฤทธิ์, efficacy หรือข้อบ่งใช้ไม่ตรงกับโจทย์ที่กำหนด
• ข้อ จ. (Volhard Titration method):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Acid-base titration</t>
        </is>
      </c>
      <c r="M39" s="2" t="inlineStr">
        <is>
          <t>Product</t>
        </is>
      </c>
      <c r="N39" s="2" t="inlineStr">
        <is>
          <t>ข้อ 57 (PLE_CC1_Key_Rx20_UBU.md)</t>
        </is>
      </c>
      <c r="O39" s="2" t="inlineStr">
        <is>
          <t>Mock</t>
        </is>
      </c>
      <c r="P39" s="2" t="inlineStr">
        <is>
          <t>Mock Rx20 UBU</t>
        </is>
      </c>
    </row>
    <row r="40" ht="13.2" customHeight="1" s="37">
      <c r="A40" s="2" t="n">
        <v>38</v>
      </c>
      <c r="B40" s="2" t="inlineStr">
        <is>
          <t>Complexometric Titrations ใช้ EDTA เป็น titrant</t>
        </is>
      </c>
      <c r="C40" s="2" t="n"/>
      <c r="D40" s="2" t="inlineStr">
        <is>
          <t>Precipitation Titration (Mohr method)</t>
        </is>
      </c>
      <c r="E40" s="2" t="inlineStr">
        <is>
          <t>Volhard Titration method</t>
        </is>
      </c>
      <c r="F40" s="2" t="inlineStr">
        <is>
          <t>Fajans Adsorption Indicator method</t>
        </is>
      </c>
      <c r="G40" s="2" t="inlineStr">
        <is>
          <t>Potentiometric End-point Titration</t>
        </is>
      </c>
      <c r="H40" s="2" t="inlineStr">
        <is>
          <t>Biamperometric Titration</t>
        </is>
      </c>
      <c r="I40" s="2" t="n">
        <v>1</v>
      </c>
      <c r="J40" s="2" t="inlineStr">
        <is>
          <t>✅ คำตอบที่ถูกต้อง: ข้อ ก. Precipitation Titration (Mohr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Precipitation Titration (Mohr method) 💡 คำอธิบายและเหตุผลทางเภสัชกรรม:
💡 คำอธิบายและเหตุผลทางเภสัชกรรม:
การเลือก Precipitation Titration (Mohr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(Volhard Titration method): ข้อนี้ไม่ใช่คำตอบที่ถูกต้องสำหรับภาวะ Complexometric titration เนื่องจากกลไกการออกฤทธิ์, efficacy หรือข้อบ่งใช้ไม่ตรงกับโจทย์ที่กำหนด
• ข้อ ค. (Fajans Adsorption Indicator method): ข้อนี้ไม่ใช่คำตอบที่ถูกต้องสำหรับภาวะ Complexometric titration เนื่องจากกลไกการออกฤทธิ์, efficacy หรือข้อบ่งใช้ไม่ตรงกับโจทย์ที่กำหนด
• ข้อ ง. (Potentiometric End-point Titration): ข้อนี้ไม่ใช่คำตอบที่ถูกต้องสำหรับภาวะ Complexometric titration เนื่องจากกลไกการออกฤทธิ์, efficacy หรือข้อบ่งใช้ไม่ตรงกับโจทย์ที่กำหนด
• ข้อ จ. (Biamperometric Titration): ข้อนี้ไม่ใช่คำตอบที่ถูกต้องสำหรับภาวะ Complexometric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Complexometric titration</t>
        </is>
      </c>
      <c r="M40" s="2" t="inlineStr">
        <is>
          <t>Product</t>
        </is>
      </c>
      <c r="N40" s="2" t="inlineStr">
        <is>
          <t>ข้อ 1 (PLE_CC1_Key_Rx20_UBU.md)</t>
        </is>
      </c>
      <c r="O40" s="2" t="inlineStr">
        <is>
          <t>Mock</t>
        </is>
      </c>
      <c r="P40" s="2" t="inlineStr">
        <is>
          <t>Mock Rx20 UBU</t>
        </is>
      </c>
    </row>
    <row r="41" ht="13.2" customHeight="1" s="37">
      <c r="A41" s="2" t="n">
        <v>39</v>
      </c>
      <c r="B41" s="2" t="inlineStr">
        <is>
          <t>Redox titration ใช้พวก KMnO4, I2, FeSO4 เป็น titrant</t>
        </is>
      </c>
      <c r="C41" s="2" t="n"/>
      <c r="D41" s="2" t="inlineStr">
        <is>
          <t>Potentiometric End-point Titration</t>
        </is>
      </c>
      <c r="E41" s="2" t="inlineStr">
        <is>
          <t>Biamperometric Titration</t>
        </is>
      </c>
      <c r="F41" s="2" t="inlineStr">
        <is>
          <t>Nonaqueous Acid-Base Titration</t>
        </is>
      </c>
      <c r="G41" s="2" t="inlineStr">
        <is>
          <t>Direct Acid-Base Titration</t>
        </is>
      </c>
      <c r="H41" s="2" t="inlineStr">
        <is>
          <t>Back Acid-Base Titration</t>
        </is>
      </c>
      <c r="I41" s="2" t="n">
        <v>1</v>
      </c>
      <c r="J41" s="2" t="inlineStr">
        <is>
          <t>✅ คำตอบที่ถูกต้อง: ข้อ ก. Potentiometric End-point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Potentiometric End-point Titration 💡 คำอธิบายและเหตุผลทางเภสัชกรรม:
💡 คำอธิบายและเหตุผลทางเภสัชกรรม:
การเลือก Potentiometric End-point Titration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(Biamperometric Titration): ข้อนี้ไม่ใช่คำตอบที่ถูกต้องสำหรับภาวะ Redox titration เนื่องจากกลไกการออกฤทธิ์, efficacy หรือข้อบ่งใช้ไม่ตรงกับโจทย์ที่กำหนด
• ข้อ ค. (Nonaqueous Acid-Base Titration): ข้อนี้ไม่ใช่คำตอบที่ถูกต้องสำหรับภาวะ Redox titration เนื่องจากกลไกการออกฤทธิ์, efficacy หรือข้อบ่งใช้ไม่ตรงกับโจทย์ที่กำหนด
• ข้อ ง. (Direct Acid-Base Titration): ข้อนี้ไม่ใช่คำตอบที่ถูกต้องสำหรับภาวะ Redox titration เนื่องจากกลไกการออกฤทธิ์, efficacy หรือข้อบ่งใช้ไม่ตรงกับโจทย์ที่กำหนด
• ข้อ จ. (Back Acid-Base Titration): ข้อนี้ไม่ใช่คำตอบที่ถูกต้องสำหรับภาวะ Redox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Redox titration</t>
        </is>
      </c>
      <c r="M41" s="2" t="inlineStr">
        <is>
          <t>Product</t>
        </is>
      </c>
      <c r="N41" s="2" t="inlineStr">
        <is>
          <t>ข้อ 2 (PLE_CC1_Key_Rx20_UBU.md)</t>
        </is>
      </c>
      <c r="O41" s="2" t="inlineStr">
        <is>
          <t>Mock</t>
        </is>
      </c>
      <c r="P41" s="2" t="inlineStr">
        <is>
          <t>Mock Rx20 UBU</t>
        </is>
      </c>
    </row>
    <row r="42" ht="13.2" customHeight="1" s="37">
      <c r="A42" s="2" t="n">
        <v>40</v>
      </c>
      <c r="B42" s="2" t="inlineStr">
        <is>
          <t>Gravimetric titration</t>
        </is>
      </c>
      <c r="C42" s="2" t="n"/>
      <c r="D42" s="2" t="inlineStr">
        <is>
          <t>Direct Acid-Base Titration</t>
        </is>
      </c>
      <c r="E42" s="2" t="inlineStr">
        <is>
          <t>Back Acid-Base Titration</t>
        </is>
      </c>
      <c r="F42" s="2" t="inlineStr">
        <is>
          <t>Redox Titration (Iodometry)</t>
        </is>
      </c>
      <c r="G42" s="2" t="inlineStr">
        <is>
          <t>Complexometric Titration (EDTA)</t>
        </is>
      </c>
      <c r="H42" s="2" t="inlineStr">
        <is>
          <t>Precipitation Titration (Mohr method)</t>
        </is>
      </c>
      <c r="I42" s="2" t="n">
        <v>1</v>
      </c>
      <c r="J4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ค. (Redox Titration (Iodometry)): ข้อนี้ไม่ใช่คำตอบที่ถูกต้องสำหรับภาวะ Acid-base titration เนื่องจากกลไกการออกฤทธิ์, efficacy หรือข้อบ่งใช้ไม่ตรงกับโจทย์ที่กำหนด
• ข้อ ง. (Complexometric Titration (EDTA)): วัคซีนรวมคอตีบ-บาดทะยัก ฉีดกระตุ้นทุก 10 ปี หรือใช้ในหญิงตั้งครรภ์และผู้ใหญ่
• ข้อ จ. (Precipitation Titration (Mohr method)):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Acid-base titration</t>
        </is>
      </c>
      <c r="M42" s="2" t="inlineStr">
        <is>
          <t>Product</t>
        </is>
      </c>
      <c r="N42" s="2" t="inlineStr">
        <is>
          <t>ข้อ 3 (PLE_CC1_Key_Rx20_UBU.md)</t>
        </is>
      </c>
      <c r="O42" s="2" t="inlineStr">
        <is>
          <t>Mock</t>
        </is>
      </c>
      <c r="P42" s="2" t="inlineStr">
        <is>
          <t>Mock Rx20 UBU</t>
        </is>
      </c>
    </row>
    <row r="43" ht="13.2" customHeight="1" s="37">
      <c r="A43" s="2" t="n">
        <v>41</v>
      </c>
      <c r="B43" s="2" t="inlineStr">
        <is>
          <t>Non-Aqueous acid base titration ใช้กรด (perchloric acid) และเบสเป็น titrant (Sodium methoxide)</t>
        </is>
      </c>
      <c r="C43" s="2" t="n"/>
      <c r="D43" s="2" t="inlineStr">
        <is>
          <t>Complexometric Titration (EDTA)</t>
        </is>
      </c>
      <c r="E43" s="2" t="inlineStr">
        <is>
          <t>Precipitation Titration (Mohr method)</t>
        </is>
      </c>
      <c r="F43" s="2" t="inlineStr">
        <is>
          <t>Volhard Titration method</t>
        </is>
      </c>
      <c r="G43" s="2" t="inlineStr">
        <is>
          <t>Fajans Adsorption Indicator method</t>
        </is>
      </c>
      <c r="H43" s="2" t="inlineStr">
        <is>
          <t>Potentiometric End-point Titration</t>
        </is>
      </c>
      <c r="I43" s="2" t="n">
        <v>1</v>
      </c>
      <c r="J4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(Precipitation Titration (Mohr method)): ข้อนี้ไม่ใช่คำตอบที่ถูกต้องสำหรับภาวะ Acid-base titration เนื่องจากกลไกการออกฤทธิ์, efficacy หรือข้อบ่งใช้ไม่ตรงกับโจทย์ที่กำหนด
• ข้อ ค. (Volhard Titration method): ข้อนี้ไม่ใช่คำตอบที่ถูกต้องสำหรับภาวะ Acid-base titration เนื่องจากกลไกการออกฤทธิ์, efficacy หรือข้อบ่งใช้ไม่ตรงกับโจทย์ที่กำหนด
• ข้อ ง. (Fajans Adsorption Indicator method): ข้อนี้ไม่ใช่คำตอบที่ถูกต้องสำหรับภาวะ Acid-base titration เนื่องจากกลไกการออกฤทธิ์, efficacy หรือข้อบ่งใช้ไม่ตรงกับโจทย์ที่กำหนด
• ข้อ จ. (Potentiometric End-point Titration): ข้อนี้ไม่ใช่คำตอบที่ถูกต้องสำหรับภาวะ Acid-base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Acid-base titration</t>
        </is>
      </c>
      <c r="M43" s="2" t="inlineStr">
        <is>
          <t>Product</t>
        </is>
      </c>
      <c r="N43" s="2" t="inlineStr">
        <is>
          <t>ข้อ 4 (PLE_CC1_Key_Rx20_UBU.md)</t>
        </is>
      </c>
      <c r="O43" s="2" t="inlineStr">
        <is>
          <t>Mock</t>
        </is>
      </c>
      <c r="P43" s="2" t="inlineStr">
        <is>
          <t>Mock Rx20 UBU</t>
        </is>
      </c>
    </row>
    <row r="44" ht="13.2" customHeight="1" s="37">
      <c r="A44" s="2" t="n">
        <v>42</v>
      </c>
      <c r="B44" s="2" t="inlineStr">
        <is>
          <t>Precipitation titration ใช้หลัก Ag, Hg, Pb เจอหมู่ 7 ตกตะกอน</t>
        </is>
      </c>
      <c r="C44" s="2" t="n"/>
      <c r="D44" s="2" t="inlineStr">
        <is>
          <t>Fajans Adsorption Indicator method</t>
        </is>
      </c>
      <c r="E44" s="2" t="inlineStr">
        <is>
          <t>Potentiometric End-point Titration</t>
        </is>
      </c>
      <c r="F44" s="2" t="inlineStr">
        <is>
          <t>Biamperometric Titration</t>
        </is>
      </c>
      <c r="G44" s="2" t="inlineStr">
        <is>
          <t>Nonaqueous Acid-Base Titration</t>
        </is>
      </c>
      <c r="H44" s="2" t="inlineStr">
        <is>
          <t>Direct Acid-Base Titration</t>
        </is>
      </c>
      <c r="I44" s="2" t="n">
        <v>1</v>
      </c>
      <c r="J44" s="2" t="inlineStr">
        <is>
          <t>✅ คำตอบที่ถูกต้อง: ข้อ ก. Fajans Adsorption Indicator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Fajans Adsorption Indicator method 💡 คำอธิบายและเหตุผลทางเภสัชกรรม:
💡 คำอธิบายและเหตุผลทางเภสัชกรรม:
การเลือก Fajans Adsorption Indicator method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(Potentiometric End-point Titration): ข้อนี้ไม่ใช่คำตอบที่ถูกต้องสำหรับภาวะ Precipitation titration เนื่องจากกลไกการออกฤทธิ์, efficacy หรือข้อบ่งใช้ไม่ตรงกับโจทย์ที่กำหนด
• ข้อ ค. (Biamperometric Titration): ข้อนี้ไม่ใช่คำตอบที่ถูกต้องสำหรับภาวะ Precipitation titration เนื่องจากกลไกการออกฤทธิ์, efficacy หรือข้อบ่งใช้ไม่ตรงกับโจทย์ที่กำหนด
• ข้อ ง. (Nonaqueous Acid-Base Titration): ข้อนี้ไม่ใช่คำตอบที่ถูกต้องสำหรับภาวะ Precipitation titration เนื่องจากกลไกการออกฤทธิ์, efficacy หรือข้อบ่งใช้ไม่ตรงกับโจทย์ที่กำหนด
• ข้อ จ. (Direct Acid-Base Titration): ข้อนี้ไม่ใช่คำตอบที่ถูกต้องสำหรับภาวะ Precipitation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Precipitation titration</t>
        </is>
      </c>
      <c r="M44" s="2" t="inlineStr">
        <is>
          <t>Product</t>
        </is>
      </c>
      <c r="N44" s="2" t="inlineStr">
        <is>
          <t>ข้อ 5 (PLE_CC1_Key_Rx20_UBU.md)</t>
        </is>
      </c>
      <c r="O44" s="2" t="inlineStr">
        <is>
          <t>Mock</t>
        </is>
      </c>
      <c r="P44" s="2" t="inlineStr">
        <is>
          <t>Mock Rx20 UBU</t>
        </is>
      </c>
    </row>
    <row r="45" ht="13.2" customHeight="1" s="37">
      <c r="A45" s="2" t="n">
        <v>43</v>
      </c>
      <c r="B45" s="2" t="inlineStr">
        <is>
          <t>ข$อใดเปญนคำแนะนำที่เหมาะสมสำหรับการรับประทาน Calcium carbonate ในผ$ูป&amp;วยรายนี้ (1) รับประทานกGอนอาหาร เพื่อเพิ่มการดูดซึมแคลเซียม (2) รับประทานพร$อมอาหารคำแรก เพื่อเพิ่มการจับระหวGางแคลเซียมและฟอสเฟต (3) รับประทานหลังอาหาร เพื่อปนองกันภาวะท$องผูก (4) รับประทานแคลเซียมพร$อมกับ FeSO4 (5) หลีกเลี่ยงการรับประทานแคลเซียมรGวมกับยา doxycycline Calcium carbonate ใช$เปญนตัวจับแรGธาตุฟอสเฟต ควรกินพร$อมอาหารคำแรกและเคี้ยวด$วยเพื่อให$ยามี action เร็ว การกินพร$อมอาหารคำแรกจะไปชGวยจับฟอสเฟตจากอาหารทำให$ลดการดูดชึมฟอสเฟตเข$าในรGางกาย เพื่อควบคุมระดับฟอสเฟตในเลือดไมGให$สูงจนเกินไป โดยระดับฟอสเฟตที่สูงมีผลกระทบตGอกระดูกทำให$กระดูกเปราะได$งGาย</t>
        </is>
      </c>
      <c r="C45" s="2" t="n"/>
      <c r="D45" s="2" t="inlineStr">
        <is>
          <t>Nonaqueous Acid-Base Titration</t>
        </is>
      </c>
      <c r="E45" s="2" t="inlineStr">
        <is>
          <t>Direct Acid-Base Titration</t>
        </is>
      </c>
      <c r="F45" s="2" t="inlineStr">
        <is>
          <t>Back Acid-Base Titration</t>
        </is>
      </c>
      <c r="G45" s="2" t="inlineStr">
        <is>
          <t>Redox Titration (Iodometry)</t>
        </is>
      </c>
      <c r="H45" s="2" t="inlineStr">
        <is>
          <t>Complexometric Titration (EDTA)</t>
        </is>
      </c>
      <c r="I45" s="2" t="n">
        <v>3</v>
      </c>
      <c r="J45" s="2" t="inlineStr">
        <is>
          <t>✅ คำตอบที่ถูกต้อง: ข้อ ค.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ก. (Nonaqueous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ข. (Direct Acid-Base Titration): ข้อนี้ไม่ใช่คำตอบที่ถูกต้องสำหรับภาวะ Acid-base titration เนื่องจากกลไกการออกฤทธิ์, efficacy หรือข้อบ่งใช้ไม่ตรงกับโจทย์ที่กำหนด
• ข้อ ง. (Redox Titration (Iodometry)): ข้อนี้ไม่ใช่คำตอบที่ถูกต้องสำหรับภาวะ Acid-base titration เนื่องจากกลไกการออกฤทธิ์, efficacy หรือข้อบ่งใช้ไม่ตรงกับโจทย์ที่กำหนด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Acid-base titration</t>
        </is>
      </c>
      <c r="M45" s="2" t="inlineStr">
        <is>
          <t>Product</t>
        </is>
      </c>
      <c r="N45" s="2" t="inlineStr">
        <is>
          <t>ข้อ 69 (PLE_CC1_Key_Rx20_UBU.md)</t>
        </is>
      </c>
      <c r="O45" s="2" t="inlineStr">
        <is>
          <t>Mock</t>
        </is>
      </c>
      <c r="P45" s="2" t="inlineStr">
        <is>
          <t>Mock Rx20 UBU</t>
        </is>
      </c>
    </row>
    <row r="46" ht="13.2" customHeight="1" s="37">
      <c r="A46" s="2" t="n">
        <v>44</v>
      </c>
      <c r="B46" s="2" t="inlineStr">
        <is>
          <t>การวิเคราะห_ FeSO4 ด$วยสารละลาย potassium permanganate (KMnO4) ใช$วิธีวิเคราะห_ใด (1) Acid-base titration (2) Non-aqueous acid-base titration (3) Oxidation-reaction titration (4) Complexometric titration (5) Precipitation titration</t>
        </is>
      </c>
      <c r="C46" s="2" t="n"/>
      <c r="D46" s="2" t="inlineStr">
        <is>
          <t>Redox Titration (Iodometry)</t>
        </is>
      </c>
      <c r="E46" s="2" t="inlineStr">
        <is>
          <t>Complexometric Titration (EDTA)</t>
        </is>
      </c>
      <c r="F46" s="2" t="inlineStr">
        <is>
          <t>Precipitation Titration (Mohr method)</t>
        </is>
      </c>
      <c r="G46" s="2" t="inlineStr">
        <is>
          <t>Volhard Titration method</t>
        </is>
      </c>
      <c r="H46" s="2" t="inlineStr">
        <is>
          <t>Fajans Adsorption Indicator method</t>
        </is>
      </c>
      <c r="I46" s="2" t="n">
        <v>4</v>
      </c>
      <c r="J46" s="2" t="inlineStr">
        <is>
          <t>✅ คำตอบที่ถูกต้อง: ข้อ ง.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ก. (Redox Titration (Iodometry)): ข้อนี้ไม่ใช่คำตอบที่ถูกต้องสำหรับภาวะ Redox titration เนื่องจากกลไกการออกฤทธิ์, efficacy หรือข้อบ่งใช้ไม่ตรงกับโจทย์ที่กำหนด
• ข้อ ข. (Complexometric Titration (EDTA)): วัคซีนรวมคอตีบ-บาดทะยัก ฉีดกระตุ้นทุก 10 ปี หรือใช้ในหญิงตั้งครรภ์และผู้ใหญ่
• ข้อ ค. (Precipitation Titration (Mohr method)): ข้อนี้ไม่ใช่คำตอบที่ถูกต้องสำหรับภาวะ Redox titration เนื่องจากกลไกการออกฤทธิ์, efficacy หรือข้อบ่งใช้ไม่ตรงกับโจทย์ที่กำหนด
• ข้อ จ. (Fajans Adsorption Indicator method): ข้อนี้ไม่ใช่คำตอบที่ถูกต้องสำหรับภาวะ Redox titration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Redox titration</t>
        </is>
      </c>
      <c r="M46" s="2" t="inlineStr">
        <is>
          <t>Product</t>
        </is>
      </c>
      <c r="N46" s="2" t="inlineStr">
        <is>
          <t>ข้อ 70 (PLE_CC1_Key_Rx20_UBU.md)</t>
        </is>
      </c>
      <c r="O46" s="2" t="inlineStr">
        <is>
          <t>Mock</t>
        </is>
      </c>
      <c r="P46" s="2" t="inlineStr">
        <is>
          <t>Mock Rx20 UBU</t>
        </is>
      </c>
    </row>
    <row r="47" ht="13.2" customHeight="1" s="37">
      <c r="A47" s="2" t="n">
        <v>45</v>
      </c>
      <c r="B47" s="2" t="inlineStr">
        <is>
          <t>ให้สูตรตำรับยาน้ำ paracetamol ประกอบด้วย paracetamol, propylene glycol, glycerin, sodium citrate, citric acid, EDTA จากตำรับ ตัวยา paracetamol ใช้ระบบใดในการละลาย</t>
        </is>
      </c>
      <c r="C47" s="2" t="n"/>
      <c r="D47" s="2" t="inlineStr">
        <is>
          <t>co-solvent</t>
        </is>
      </c>
      <c r="E47" s="2" t="inlineStr">
        <is>
          <t>pH</t>
        </is>
      </c>
      <c r="F47" s="2" t="inlineStr">
        <is>
          <t>complex salt form</t>
        </is>
      </c>
      <c r="G47" s="2" t="inlineStr">
        <is>
          <t>liposome</t>
        </is>
      </c>
      <c r="H47" s="2" t="inlineStr">
        <is>
          <t>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t>
        </is>
      </c>
      <c r="I47" s="2" t="n">
        <v>1</v>
      </c>
      <c r="J47" s="2" t="inlineStr">
        <is>
          <t>✅ คำตอบที่ถูกต้อง: ข้อ ก. co-solvent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co-solvent 💡 คำอธิบายและเหตุผลทางเภสัชกรรม:
💡 คำอธิบายและเหตุผลทางเภสัชกรรม:
การเลือก co-solvent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(pH): ข้อนี้ไม่ใช่คำตอบที่ถูกต้องสำหรับภาวะ Complexometric titration เนื่องจากกลไกการออกฤทธิ์, efficacy หรือข้อบ่งใช้ไม่ตรงกับโจทย์ที่กำหนด
• ข้อ ค. (complex salt form): ข้อนี้ไม่ใช่คำตอบที่ถูกต้องสำหรับภาวะ Complexometric titration เนื่องจากกลไกการออกฤทธิ์, efficacy หรือข้อบ่งใช้ไม่ตรงกับโจทย์ที่กำหนด
• ข้อ ง. (liposome): ข้อนี้ไม่ใช่คำตอบที่ถูกต้องสำหรับภาวะ Complexometric titration เนื่องจากกลไกการออกฤทธิ์, efficacy หรือข้อบ่งใช้ไม่ตรงกับโจทย์ที่กำหนด
• ข้อ จ. (micelle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Complexometric titration</t>
        </is>
      </c>
      <c r="M47" s="2" t="inlineStr">
        <is>
          <t>Product</t>
        </is>
      </c>
      <c r="N47" s="2" t="inlineStr">
        <is>
          <t>ข้อ 42 (PLE_CC1_Key_Rx20_UBU.md)</t>
        </is>
      </c>
      <c r="O47" s="2" t="inlineStr">
        <is>
          <t>Mock</t>
        </is>
      </c>
      <c r="P47" s="2" t="inlineStr">
        <is>
          <t>Mock Rx20 UBU</t>
        </is>
      </c>
    </row>
    <row r="48">
      <c r="A48" s="46" t="n">
        <v>46</v>
      </c>
      <c r="B48" s="45" t="inlineStr">
        <is>
          <t>(ปี 2566, Day 1 ข้อ 23\) (เรื่อง: การไตเตรทตาม Monograph - Aspirin) โจทย์ให้ Monograph การหา Assay ของ Aspirin มา (ต้มกับ NaOH ก่อน แล้วไตเตรทส่วนเกินด้วย H2SO4) และถามรูปแบบการไตเตรทของยา Aspirin</t>
        </is>
      </c>
      <c r="C48" s="46" t="n"/>
      <c r="D48" s="45" t="inlineStr">
        <is>
          <t>Direct titration</t>
        </is>
      </c>
      <c r="E48" s="45" t="inlineStr">
        <is>
          <t>Residual titration</t>
        </is>
      </c>
      <c r="F48" s="45" t="inlineStr">
        <is>
          <t>Complexometric titration</t>
        </is>
      </c>
      <c r="G48" s="45" t="inlineStr">
        <is>
          <t>Precipitation titration เหตุผล: มีการเติมด่างเกินพอ ต้มไฮโดรไลซ์ แล้วไตเตรทกรดส่วนเกินกลับ → เป็น Residual (back) titration แบบ acid-base</t>
        </is>
      </c>
      <c r="H48" s="45" t="inlineStr"/>
      <c r="I48" s="46" t="n">
        <v>1</v>
      </c>
      <c r="J48" s="45" t="inlineStr">
        <is>
          <t>✅ คำตอบที่ถูกต้อง: ข้อ ก. Direct titration
💡 Background:
คำถามข้อสอบจริงใบประกอบวิชาชีพ PLE-CC 1 (Product) ปี 2566 ข้อ 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8" s="46" t="n"/>
      <c r="L48" s="45" t="inlineStr">
        <is>
          <t>Titrimetric Analysis</t>
        </is>
      </c>
      <c r="M48" s="46" t="inlineStr">
        <is>
          <t>Product</t>
        </is>
      </c>
      <c r="N48" s="45" t="inlineStr">
        <is>
          <t>ข้อสอบจริง Product ปี 2566 ข้อ 1</t>
        </is>
      </c>
      <c r="O48" s="46" t="inlineStr">
        <is>
          <t>ข้อสอบจริง</t>
        </is>
      </c>
      <c r="P48" s="46" t="inlineStr">
        <is>
          <t>ปี 2566</t>
        </is>
      </c>
    </row>
    <row r="49">
      <c r="A49" s="46" t="n">
        <v>47</v>
      </c>
      <c r="B49" s="45" t="inlineStr">
        <is>
          <t>(ปี 2566, Day 2 ข้อ 88\) (เรื่อง: วิธี Assay KCl) ให้ Assay ใน Monograph ของ KCl มา (ไตเตรทด้วย silver nitrate, eosin Y indicator)</t>
        </is>
      </c>
      <c r="C49" s="46" t="n"/>
      <c r="D49" s="45" t="inlineStr">
        <is>
          <t>Acid-base titration</t>
        </is>
      </c>
      <c r="E49" s="45" t="inlineStr">
        <is>
          <t>Precipitation titration</t>
        </is>
      </c>
      <c r="F49" s="45" t="inlineStr">
        <is>
          <t>Complexometric titration</t>
        </is>
      </c>
      <c r="G49" s="45" t="inlineStr">
        <is>
          <t>Redox titration เหตุผล: AgNO₃ ทำปฏิกิริยากับ Cl⁻ เกิดตะกอน AgCl เป็น argentometric/precipitation titration (Fajans method ใช้ eosin Y เป็น indicator)</t>
        </is>
      </c>
      <c r="H49" s="45" t="inlineStr"/>
      <c r="I49" s="46" t="n">
        <v>1</v>
      </c>
      <c r="J49" s="45" t="inlineStr">
        <is>
          <t>✅ คำตอบที่ถูกต้อง: ข้อ ก. Acid-base titration
💡 Background:
คำถามข้อสอบจริงใบประกอบวิชาชีพ PLE-CC 1 (Product) ปี 2566 ข้อ 34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9" s="46" t="n"/>
      <c r="L49" s="45" t="inlineStr">
        <is>
          <t>Titrimetric Analysis</t>
        </is>
      </c>
      <c r="M49" s="46" t="inlineStr">
        <is>
          <t>Product</t>
        </is>
      </c>
      <c r="N49" s="45" t="inlineStr">
        <is>
          <t>ข้อสอบจริง Product ปี 2566 ข้อ 34</t>
        </is>
      </c>
      <c r="O49" s="46" t="inlineStr">
        <is>
          <t>ข้อสอบจริง</t>
        </is>
      </c>
      <c r="P49" s="46" t="inlineStr">
        <is>
          <t>ปี 2566</t>
        </is>
      </c>
    </row>
    <row r="50">
      <c r="A50" s="46" t="n">
        <v>48</v>
      </c>
      <c r="B50" s="45" t="inlineStr">
        <is>
          <t>สารอะไรออกฤทธิ์ต้าน oxidation ในยาตา</t>
        </is>
      </c>
      <c r="C50" s="46" t="n"/>
      <c r="D50" s="45" t="inlineStr">
        <is>
          <t>perborate</t>
        </is>
      </c>
      <c r="E50" s="45" t="inlineStr">
        <is>
          <t>BKA</t>
        </is>
      </c>
      <c r="F50" s="45" t="inlineStr">
        <is>
          <t>EDTA</t>
        </is>
      </c>
      <c r="G50" s="45" t="inlineStr">
        <is>
          <t>camphor RH</t>
        </is>
      </c>
      <c r="H50" s="45" t="inlineStr">
        <is>
          <t>PEG Part อื่นๆ</t>
        </is>
      </c>
      <c r="I50" s="46" t="n">
        <v>1</v>
      </c>
      <c r="J50" s="45" t="inlineStr">
        <is>
          <t>✅ คำตอบที่ถูกต้อง: ข้อ ก. perborate
💡 Background:
คำถามข้อสอบจริงใบประกอบวิชาชีพ PLE-CC 1 (Product) ปี 2565 ข้อ 73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0" s="46" t="n"/>
      <c r="L50" s="45" t="inlineStr">
        <is>
          <t>Titrimetric Analysis</t>
        </is>
      </c>
      <c r="M50" s="46" t="inlineStr">
        <is>
          <t>Product</t>
        </is>
      </c>
      <c r="N50" s="45" t="inlineStr">
        <is>
          <t>ข้อสอบจริง Product ปี 2565 ข้อ 73</t>
        </is>
      </c>
      <c r="O50" s="46" t="inlineStr">
        <is>
          <t>ข้อสอบจริง</t>
        </is>
      </c>
      <c r="P50" s="46" t="inlineStr">
        <is>
          <t>ปี 2565</t>
        </is>
      </c>
    </row>
    <row r="51">
      <c r="A51" s="46" t="n">
        <v>49</v>
      </c>
      <c r="B51" s="45" t="inlineStr">
        <is>
          <t>ให้สูตรตำรับ ทำ rifampicin suspension จาก rifampicin capsule ข้อใดทำหน้าที่เป็น co-solvent</t>
        </is>
      </c>
      <c r="C51" s="46" t="n"/>
      <c r="D51" s="45" t="inlineStr">
        <is>
          <t>Glycerin, PEG, ascorbic acid</t>
        </is>
      </c>
      <c r="E51" s="45" t="inlineStr">
        <is>
          <t>Glycerin, PEG, sorbitol solution</t>
        </is>
      </c>
      <c r="F51" s="45" t="inlineStr">
        <is>
          <t>PEG, ascorbic acid, Saccharin</t>
        </is>
      </c>
      <c r="G51" s="45" t="inlineStr">
        <is>
          <t>Ascorbic acid, sorbitol solution, EDTA</t>
        </is>
      </c>
      <c r="H51" s="45" t="inlineStr">
        <is>
          <t>Ascorbic acid. EDTA. Saccharin สูตรตำรับ Rifampicin capsule 1.2 g Glycerin PEG 400 Sorbitol solution Ascorbic acid EDTA กรณีศึกษา 18 ผู้ป่วยหญิงตกขาวมีสีเหลือง มีกลิ่น แต่ไม่คัน) ไม่ไข้ ก่อนมารพ. 3 วัน มีเพศสัมพันธ์กับคู่นอนผลทดสอบ KOH: negative ผลแลปพบ motile protozoa</t>
        </is>
      </c>
      <c r="I51" s="46" t="n">
        <v>1</v>
      </c>
      <c r="J51" s="45" t="inlineStr">
        <is>
          <t>✅ คำตอบที่ถูกต้อง: ข้อ ก. Glycerin, PEG, ascorbic acid
💡 Background:
คำถามข้อสอบจริงใบประกอบวิชาชีพ PLE-CC 1 (Product) ปี 2565 ข้อ 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1" s="46" t="n"/>
      <c r="L51" s="45" t="inlineStr">
        <is>
          <t>Titrimetric Analysis</t>
        </is>
      </c>
      <c r="M51" s="46" t="inlineStr">
        <is>
          <t>Product</t>
        </is>
      </c>
      <c r="N51" s="45" t="inlineStr">
        <is>
          <t>ข้อสอบจริง Product ปี 2565 ข้อ 54</t>
        </is>
      </c>
      <c r="O51" s="46" t="inlineStr">
        <is>
          <t>ข้อสอบจริง</t>
        </is>
      </c>
      <c r="P51" s="46" t="inlineStr">
        <is>
          <t>ปี 2565</t>
        </is>
      </c>
    </row>
    <row r="52">
      <c r="A52" s="46" t="n">
        <v>50</v>
      </c>
      <c r="B52" s="45" t="inlineStr">
        <is>
          <t>การหาปริมาณ Cl- ในนํ้าเกลือ โดยวิธีการไตเตรชั่นใช้ Ag ที่มากเกินพอ Ag ใช้ Fe3+ เป็นอินดิเคเต่อร์ ใช้วิธีการไตเตรชั่นแบบใด</t>
        </is>
      </c>
      <c r="C52" s="46" t="n"/>
      <c r="D52" s="45" t="inlineStr">
        <is>
          <t>Direct titration ต้อง ไตเตรต Cl⁻ กับ AgNO₃ โดยตรง (เช่น วิธี Mohr)</t>
        </is>
      </c>
      <c r="E52" s="45" t="inlineStr">
        <is>
          <t>Indirect titration  เป็นการหาสารโดยอ้อม แต่ไม่ได้จำเพาะว่าต้องเติมสารเกินแล้วไตเตรตย้อน</t>
        </is>
      </c>
      <c r="F52" s="45" t="inlineStr">
        <is>
          <t>Back titration</t>
        </is>
      </c>
      <c r="G52" s="45" t="inlineStr">
        <is>
          <t>Differentiating titration  ไม่ใช่ชื่อวิธีมาตรฐานในกรณีนี้</t>
        </is>
      </c>
      <c r="H52" s="45" t="inlineStr">
        <is>
          <t>Redox titration  ไม่ใช่ปฏิกิริยารีดอกซ์ แต่เป็นปฏิกิริยาการเกิดตะกอน (precipitation)</t>
        </is>
      </c>
      <c r="I52" s="46" t="n">
        <v>1</v>
      </c>
      <c r="J52" s="45" t="inlineStr">
        <is>
          <t>✅ คำตอบที่ถูกต้อง: ข้อ ก. Direct titration ต้อง ไตเตรต Cl⁻ กับ AgNO₃ โดยตรง (เช่น วิธี Mohr)
💡 Background:
คำถามข้อสอบจริงใบประกอบวิชาชีพ PLE-CC 1 (Product) ปี 2564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2" s="46" t="n"/>
      <c r="L52" s="45" t="inlineStr">
        <is>
          <t>Titrimetric Analysis</t>
        </is>
      </c>
      <c r="M52" s="46" t="inlineStr">
        <is>
          <t>Product</t>
        </is>
      </c>
      <c r="N52" s="45" t="inlineStr">
        <is>
          <t>ข้อสอบจริง Product ปี 2564 ข้อ 4</t>
        </is>
      </c>
      <c r="O52" s="46" t="inlineStr">
        <is>
          <t>ข้อสอบจริง</t>
        </is>
      </c>
      <c r="P52" s="46" t="inlineStr">
        <is>
          <t>ปี 2564</t>
        </is>
      </c>
    </row>
    <row r="53">
      <c r="A53" s="46" t="n">
        <v>51</v>
      </c>
      <c r="B53" s="45" t="inlineStr">
        <is>
          <t>สารใดทําให้ตํารับยาตาอยู่ในตาได้นานขึ้น</t>
        </is>
      </c>
      <c r="C53" s="46" t="n"/>
      <c r="D53" s="45" t="inlineStr">
        <is>
          <t>Benzalkonium chloride  เป็นสารกันเสีย (preservative)</t>
        </is>
      </c>
      <c r="E53" s="45" t="inlineStr">
        <is>
          <t>Hypromellose</t>
        </is>
      </c>
      <c r="F53" s="45" t="inlineStr">
        <is>
          <t>EDTA  เป็นสารจับโลหะ (chelating agent) ช่วยเพิ่มประสิทธิภาพสารกันเสีย</t>
        </is>
      </c>
      <c r="G53" s="45" t="inlineStr">
        <is>
          <t>NaCl  ปรับความเป็นไอโซโทนิก (isotonicity)</t>
        </is>
      </c>
      <c r="H53" s="45" t="inlineStr">
        <is>
          <t>Sodium phosphate  ใช้เป็นสารบัฟเฟอร์ ควบคุมค่า pH</t>
        </is>
      </c>
      <c r="I53" s="46" t="n">
        <v>1</v>
      </c>
      <c r="J53" s="45" t="inlineStr">
        <is>
          <t>✅ คำตอบที่ถูกต้อง: ข้อ ก. Benzalkonium chloride  เป็นสารกันเสีย (preservative)
💡 Background:
คำถามข้อสอบจริงใบประกอบวิชาชีพ PLE-CC 1 (Product) ปี 2564 ข้อ 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3" s="46" t="n"/>
      <c r="L53" s="45" t="inlineStr">
        <is>
          <t>Titrimetric Analysis</t>
        </is>
      </c>
      <c r="M53" s="46" t="inlineStr">
        <is>
          <t>Product</t>
        </is>
      </c>
      <c r="N53" s="45" t="inlineStr">
        <is>
          <t>ข้อสอบจริง Product ปี 2564 ข้อ 6</t>
        </is>
      </c>
      <c r="O53" s="46" t="inlineStr">
        <is>
          <t>ข้อสอบจริง</t>
        </is>
      </c>
      <c r="P53" s="46" t="inlineStr">
        <is>
          <t>ปี 2564</t>
        </is>
      </c>
    </row>
    <row r="54">
      <c r="A54" s="46" t="n">
        <v>52</v>
      </c>
      <c r="B54" s="45" t="inlineStr">
        <is>
          <t>การหาปริมาณ ferrous sulfate ใน ferrous sulfate tablets USP โดย titrate ด้วย ceric sulfate ในสารละลายกรด และใช้ orthophenanthroline TS เป็น indicator เป็น titration รูปแบบใด</t>
        </is>
      </c>
      <c r="C54" s="46" t="n"/>
      <c r="D54" s="45" t="inlineStr">
        <is>
          <t>Aqueous acid-base  ไม่ใช่ปฏิกิริยากรด-เบส</t>
        </is>
      </c>
      <c r="E54" s="45" t="inlineStr">
        <is>
          <t>Non-aqueous acid-base  ไม่ใช่การไตเตรตในตัวทำละลายที่ไม่ใช่น้ำ</t>
        </is>
      </c>
      <c r="F54" s="45" t="inlineStr">
        <is>
          <t>Precipitation  ไม่มีการเกิดตะกอน</t>
        </is>
      </c>
      <c r="G54" s="45" t="inlineStr">
        <is>
          <t>Complexation  แม้ orthophenanthroline จะเกิดสารเชิงซ้อนกับ Fe²⁺ แต่หลักการวิเคราะห์คือปฏิกิริยารีดอกซ์</t>
        </is>
      </c>
      <c r="H54" s="45" t="inlineStr">
        <is>
          <t>Redox คำอธิบาย:การวิเคราะห์ Ferrous sulfate (Fe²⁺) โดยไตเตรตด้วย Ceric sulfate (Ce⁴⁺) เป็นปฏิกิริยา ออกซิเดชัน–รีดักชัน (Redox) ปฏิกิริยา: Ce⁴⁺ \+ Fe²⁺ → Ce³⁺ \+ Fe³⁺ Fe²⁺ ถูกออกซิไดซ์เป็น Fe³⁺ Ce⁴⁺ ถูกรีดิวซ์เป็น Ce³⁺ จึงเป็น Redox titration ทำไมตัวเลือกอื่นไม่ถูก</t>
        </is>
      </c>
      <c r="I54" s="46" t="n">
        <v>1</v>
      </c>
      <c r="J54" s="45" t="inlineStr">
        <is>
          <t>✅ คำตอบที่ถูกต้อง: ข้อ ก. Aqueous acid-base  ไม่ใช่ปฏิกิริยากรด-เบส
💡 Background:
คำถามข้อสอบจริงใบประกอบวิชาชีพ PLE-CC 1 (Product) ปี 2564 ข้อ 11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4" s="46" t="n"/>
      <c r="L54" s="45" t="inlineStr">
        <is>
          <t>Titrimetric Analysis</t>
        </is>
      </c>
      <c r="M54" s="46" t="inlineStr">
        <is>
          <t>Product</t>
        </is>
      </c>
      <c r="N54" s="45" t="inlineStr">
        <is>
          <t>ข้อสอบจริง Product ปี 2564 ข้อ 11</t>
        </is>
      </c>
      <c r="O54" s="46" t="inlineStr">
        <is>
          <t>ข้อสอบจริง</t>
        </is>
      </c>
      <c r="P54" s="46" t="inlineStr">
        <is>
          <t>ปี 2564</t>
        </is>
      </c>
    </row>
    <row r="55">
      <c r="A55" s="46" t="n">
        <v>53</v>
      </c>
      <c r="B55" s="45" t="inlineStr">
        <is>
          <t>จากสูตร nasal spray สารช่วยทางเภสัชกรรมในข้อใดช่วยทําให้ไม่รู้สึกระคายเคืองเวลาใช้ยาพ่นจมูก</t>
        </is>
      </c>
      <c r="C55" s="46" t="n"/>
      <c r="D55" s="45" t="inlineStr">
        <is>
          <t>Carboxymethyl cellulose (CMC)  เพิ่มความหนืด (Viscosity enhancer)</t>
        </is>
      </c>
      <c r="E55" s="45" t="inlineStr">
        <is>
          <t>Dextrose anhydrous</t>
        </is>
      </c>
      <c r="F55" s="45" t="inlineStr">
        <is>
          <t>Disodium edetate (EDTA)  เป็น Chelating agent</t>
        </is>
      </c>
      <c r="G55" s="45" t="inlineStr">
        <is>
          <t>Hydrochloric acid  ใช้ปรับ pH</t>
        </is>
      </c>
      <c r="H55" s="45" t="inlineStr">
        <is>
          <t>Polysorbate 80 เป็น Surfactant/solubilizer</t>
        </is>
      </c>
      <c r="I55" s="46" t="n">
        <v>1</v>
      </c>
      <c r="J55" s="45" t="inlineStr">
        <is>
          <t>✅ คำตอบที่ถูกต้อง: ข้อ ก. Carboxymethyl cellulose (CMC)  เพิ่มความหนืด (Viscosity enhancer)
💡 Background:
คำถามข้อสอบจริงใบประกอบวิชาชีพ PLE-CC 1 (Product) ปี 2564 ข้อ 31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5" s="46" t="n"/>
      <c r="L55" s="45" t="inlineStr">
        <is>
          <t>Titrimetric Analysis</t>
        </is>
      </c>
      <c r="M55" s="46" t="inlineStr">
        <is>
          <t>Product</t>
        </is>
      </c>
      <c r="N55" s="45" t="inlineStr">
        <is>
          <t>ข้อสอบจริง Product ปี 2564 ข้อ 31</t>
        </is>
      </c>
      <c r="O55" s="46" t="inlineStr">
        <is>
          <t>ข้อสอบจริง</t>
        </is>
      </c>
      <c r="P55" s="46" t="inlineStr">
        <is>
          <t>ปี 2564</t>
        </is>
      </c>
    </row>
    <row r="56">
      <c r="A56" s="46" t="n">
        <v>54</v>
      </c>
      <c r="B56" s="45" t="inlineStr">
        <is>
          <t>วัตถุดิบผงยา methimazole หากต้องการนํามาตอกยาเม็ด กําหนดว่า Methimazole contain NLT 98.0% and NMT 101.0% of methimazole on dried basis ต้องทำ การทดสอบใดเพิ่มเพื่อหาปริมาณหรือความบริสุทธิ์</t>
        </is>
      </c>
      <c r="C56" s="46" t="n"/>
      <c r="D56" s="45" t="inlineStr">
        <is>
          <t>Organic impurities ตรวจสารเจือปนอินทรีย์ ไม่เกี่ยวกับการคำนวณ on dried basis</t>
        </is>
      </c>
      <c r="E56" s="45" t="inlineStr">
        <is>
          <t>Loss on drying</t>
        </is>
      </c>
      <c r="F56" s="45" t="inlineStr">
        <is>
          <t>Uniformity of dosage units  ใช้กับผลิตภัณฑ์สำเร็จรูป ไม่ใช่วัตถุดิบ</t>
        </is>
      </c>
      <c r="G56" s="45" t="inlineStr">
        <is>
          <t>Water determination  ใช้วัดน้ำโดยตรง (เช่น Karl Fischer) แต่เมื่อ monograph ระบุ on dried basis โดยทั่วไปจะอ้างอิง Loss on Drying</t>
        </is>
      </c>
      <c r="H56" s="45" t="inlineStr">
        <is>
          <t>Dissolution  ใช้กับยาเม็ดหรือแคปซูลสำเร็จรูป PLE\_CC1\_2564\_All\_Key.pdf</t>
        </is>
      </c>
      <c r="I56" s="46" t="n">
        <v>1</v>
      </c>
      <c r="J56" s="45" t="inlineStr">
        <is>
          <t>✅ คำตอบที่ถูกต้อง: ข้อ ก. Organic impurities ตรวจสารเจือปนอินทรีย์ ไม่เกี่ยวกับการคำนวณ on dried basis
💡 Background:
คำถามข้อสอบจริงใบประกอบวิชาชีพ PLE-CC 1 (Product) ปี 2564 ข้อ 32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6" s="46" t="n"/>
      <c r="L56" s="45" t="inlineStr">
        <is>
          <t>Titrimetric Analysis</t>
        </is>
      </c>
      <c r="M56" s="46" t="inlineStr">
        <is>
          <t>Product</t>
        </is>
      </c>
      <c r="N56" s="45" t="inlineStr">
        <is>
          <t>ข้อสอบจริง Product ปี 2564 ข้อ 32</t>
        </is>
      </c>
      <c r="O56" s="46" t="inlineStr">
        <is>
          <t>ข้อสอบจริง</t>
        </is>
      </c>
      <c r="P56" s="46" t="inlineStr">
        <is>
          <t>ปี 2564</t>
        </is>
      </c>
    </row>
    <row r="57">
      <c r="A57" s="46" t="n">
        <v>55</v>
      </c>
      <c r="B57" s="45" t="inlineStr">
        <is>
          <t>Aluminium and magnesium suspension ใช้การวิเคราะห์แบบใด (ให้ Assay มา)</t>
        </is>
      </c>
      <c r="C57" s="46" t="n"/>
      <c r="D57" s="45" t="inlineStr">
        <is>
          <t>acid base titration</t>
        </is>
      </c>
      <c r="E57" s="45" t="inlineStr">
        <is>
          <t>complexation direct titration</t>
        </is>
      </c>
      <c r="F57" s="45" t="inlineStr">
        <is>
          <t>Complexation back titration</t>
        </is>
      </c>
      <c r="G57" s="45" t="inlineStr">
        <is>
          <t>Redox back</t>
        </is>
      </c>
      <c r="H57" s="45" t="inlineStr">
        <is>
          <t>Redox direct คำอธิบาย: ในการวิเคราะห์ Aluminium hydroxide \+ Magnesium hydroxide oral suspension มักใช้วิธี Complexometric titration โดยใช้ EDTA เป็นสารสร้างสารเชิงซ้อนกับโลหะ (Al³⁺, Mg²⁺) เนื่องจาก Al³⁺ และ Mg²⁺ มีปฏิกิริยากับ EDTA และการแยกวัดทำได้ยาก จึงนิยมใช้วิธี Back titration</t>
        </is>
      </c>
      <c r="I57" s="46" t="n">
        <v>1</v>
      </c>
      <c r="J57" s="45" t="inlineStr">
        <is>
          <t>✅ คำตอบที่ถูกต้อง: ข้อ ก. acid base titration
💡 Background:
คำถามข้อสอบจริงใบประกอบวิชาชีพ PLE-CC 1 (Product) ปี 2564 ข้อ 52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7" s="46" t="n"/>
      <c r="L57" s="45" t="inlineStr">
        <is>
          <t>Titrimetric Analysis</t>
        </is>
      </c>
      <c r="M57" s="46" t="inlineStr">
        <is>
          <t>Product</t>
        </is>
      </c>
      <c r="N57" s="45" t="inlineStr">
        <is>
          <t>ข้อสอบจริง Product ปี 2564 ข้อ 52</t>
        </is>
      </c>
      <c r="O57" s="46" t="inlineStr">
        <is>
          <t>ข้อสอบจริง</t>
        </is>
      </c>
      <c r="P57" s="46" t="inlineStr">
        <is>
          <t>ปี 2564</t>
        </is>
      </c>
    </row>
    <row r="58">
      <c r="A58" s="46" t="n">
        <v>56</v>
      </c>
      <c r="B58" s="45" t="inlineStr">
        <is>
          <t>ให้ monograph assay ของ Aspirin ถามว่าใช้วิธีอะไร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(S41)). Each mL of 0.5 N sodium hydroxide is equivalent to 45.04 mg of C9H8O4</t>
        </is>
      </c>
      <c r="C58" s="46" t="inlineStr">
        <is>
          <t>[แนบรูป: ข้อสอบ Product ปี 2564 รหัสรูปภาพ image80]</t>
        </is>
      </c>
      <c r="D58" s="45" t="inlineStr">
        <is>
          <t>วิธี Direct titration มี Sodium Hydroxide เป็น Titrant</t>
        </is>
      </c>
      <c r="E58" s="45" t="inlineStr">
        <is>
          <t>วิธี Direct titration มี Sulfuric acid เป็น Titrant</t>
        </is>
      </c>
      <c r="F58" s="45" t="inlineStr">
        <is>
          <t>วิธี Indirect titration มี Sodium Hydroxide เป็น Titrant</t>
        </is>
      </c>
      <c r="G58" s="45" t="inlineStr">
        <is>
          <t>วิธี Indirect titration มี Sulfuric acid เป็น Titrant</t>
        </is>
      </c>
      <c r="H58" s="45" t="inlineStr">
        <is>
          <t>วิธี Indirect titration มี Sulfuric acid และ Sodium Hydroxide เป็น Titrant คำอธิบาย: จาก Monograph มีการเติม NaOH ปริมาณเกินพอ (known excess) แล้วไทเทรต NaOH ที่เหลือ ด้วย H₂SO₄ ดังนั้นจึงเป็นการทำ Back titration หรือ Indirect titration โดยมี Sulfuric acid เป็น Titrant [แนบรูป: ข้อสอบ Product ปี 2564 รหัสรูปภาพ image80]\\\ระวังสับสน Titrant กับ Titrand</t>
        </is>
      </c>
      <c r="I58" s="46" t="n">
        <v>1</v>
      </c>
      <c r="J58" s="45" t="inlineStr">
        <is>
          <t>✅ คำตอบที่ถูกต้อง: ข้อ ก. วิธี Direct titration มี Sodium Hydroxide เป็น Titrant
💡 Background:
คำถามข้อสอบจริงใบประกอบวิชาชีพ PLE-CC 1 (Product) ปี 2564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8" s="46" t="n"/>
      <c r="L58" s="45" t="inlineStr">
        <is>
          <t>Titrimetric Analysis</t>
        </is>
      </c>
      <c r="M58" s="46" t="inlineStr">
        <is>
          <t>Product</t>
        </is>
      </c>
      <c r="N58" s="45" t="inlineStr">
        <is>
          <t>ข้อสอบจริง Product ปี 2564 ข้อ 69</t>
        </is>
      </c>
      <c r="O58" s="46" t="inlineStr">
        <is>
          <t>ข้อสอบจริง</t>
        </is>
      </c>
      <c r="P58" s="46" t="inlineStr">
        <is>
          <t>ปี 2564</t>
        </is>
      </c>
    </row>
    <row r="59">
      <c r="A59" s="46" t="n">
        <v>57</v>
      </c>
      <c r="B59" s="45" t="inlineStr">
        <is>
          <t>1 ml 0.1 N perchloric acid \= ... mg salbutamol sulfate (MW 576.70)</t>
        </is>
      </c>
      <c r="C59" s="46" t="inlineStr">
        <is>
          <t>[แนบรูป: ข้อสอบ Product ปี 2564 รหัสรูปภาพ image81]</t>
        </is>
      </c>
      <c r="D59" s="45" t="inlineStr">
        <is>
          <t>71</t>
        </is>
      </c>
      <c r="E59" s="45" t="inlineStr">
        <is>
          <t>118</t>
        </is>
      </c>
      <c r="F59" s="45" t="inlineStr">
        <is>
          <t>287.35</t>
        </is>
      </c>
      <c r="G59" s="45" t="inlineStr">
        <is>
          <t>576.7</t>
        </is>
      </c>
      <c r="H59" s="45" t="inlineStr">
        <is>
          <t>57.67 คำอธิบาย:ใช้หลัก Equivalent weight สูตร mg ที่เทียบเท่า \= N × Equivalent weight × V(mL) โดย Equivalent weight \= Molecular weight / n MW ของ Salbutamol sulfate \= 576.70 Salbutamol sulfate มีหมู่เบส 2 ตำแหน่ง จึงทำปฏิกิริยากับกรดได้ 2 equivalent [แนบรูป: ข้อสอบ Product ปี 2564 รหัสรูปภาพ image81] ดังนั้น 			Equivalent weight \= 576.702 / 2 \= 288.35 คำนวณ 1 mL ของ 0.1 N HClO₄ \= 0.001 L ×0.1 eq/L \= 0.0001 eq มวลของ salbutamol sulfate ที่เทียบเท่า 0.0001 × 288.35 \= 0.028835 g \=28.835 mg แต่ตัวเลือกไม่มี 28.835 mg ลองใช้ 1 equivalent (ไม่หาร 2\) จะได้		0.0001 × 576.70 \= 0.05767 g \= 57.67 mg ซึ่งตรงกับ e. 57.67</t>
        </is>
      </c>
      <c r="I59" s="46" t="n">
        <v>1</v>
      </c>
      <c r="J59" s="45" t="inlineStr">
        <is>
          <t>✅ คำตอบที่ถูกต้อง: ข้อ ก. 71
💡 Background:
คำถามข้อสอบจริงใบประกอบวิชาชีพ PLE-CC 1 (Product) ปี 2564 ข้อ 79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9" s="46" t="n"/>
      <c r="L59" s="45" t="inlineStr">
        <is>
          <t>Titrimetric Analysis</t>
        </is>
      </c>
      <c r="M59" s="46" t="inlineStr">
        <is>
          <t>Product</t>
        </is>
      </c>
      <c r="N59" s="45" t="inlineStr">
        <is>
          <t>ข้อสอบจริง Product ปี 2564 ข้อ 79</t>
        </is>
      </c>
      <c r="O59" s="46" t="inlineStr">
        <is>
          <t>ข้อสอบจริง</t>
        </is>
      </c>
      <c r="P59" s="46" t="inlineStr">
        <is>
          <t>ปี 2564</t>
        </is>
      </c>
    </row>
    <row r="60">
      <c r="A60" s="46" t="n">
        <v>58</v>
      </c>
      <c r="B60" s="45" t="inlineStr">
        <is>
          <t>ให้ monograph assay aluminum hydroxide มา ถามว่าใช้วิธีอะไร Assay— Edetate disodium titrant— Prepare and standardize as directed in the Assay under Ammonium Alum. Procedure— Transfer an accurately measured quantity of Gel, equivalent to about 1.5 g of Al(OH)3,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 pink. Perform a blank determination, substituting 20 mL of water for the sample, and make any necessary correction. Each mL of 0.05 M Edetate disodium titrant consumed is equivalent to 3.900 mg of Al(OH)3.</t>
        </is>
      </c>
      <c r="C60" s="46" t="n"/>
      <c r="D60" s="45" t="inlineStr">
        <is>
          <t>Acid-base aqueous titration</t>
        </is>
      </c>
      <c r="E60" s="45" t="inlineStr">
        <is>
          <t>Acid base non aqueous titration</t>
        </is>
      </c>
      <c r="F60" s="45" t="inlineStr">
        <is>
          <t>Complexometric titration</t>
        </is>
      </c>
      <c r="G60" s="45" t="inlineStr">
        <is>
          <t>Precipitation titration</t>
        </is>
      </c>
      <c r="H60" s="45" t="inlineStr">
        <is>
          <t>Back titration คำอธิบาย: จุดสำคัญในMonograph คือ การใช้ Edetate disodium titrant (EDTA) โดย EDTA เป็นสารที่ใช้ในการทำ complexation กับโลหะ เช่น Al³⁺ ดังนั้นวิธีวิเคราะห์คือ c) Complexometric titration</t>
        </is>
      </c>
      <c r="I60" s="46" t="n">
        <v>1</v>
      </c>
      <c r="J60" s="45" t="inlineStr">
        <is>
          <t>✅ คำตอบที่ถูกต้อง: ข้อ ก. Acid-base aqueous titration
💡 Background:
คำถามข้อสอบจริงใบประกอบวิชาชีพ PLE-CC 1 (Product) ปี 2564 ข้อ 85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0" s="46" t="n"/>
      <c r="L60" s="45" t="inlineStr">
        <is>
          <t>Titrimetric Analysis</t>
        </is>
      </c>
      <c r="M60" s="46" t="inlineStr">
        <is>
          <t>Product</t>
        </is>
      </c>
      <c r="N60" s="45" t="inlineStr">
        <is>
          <t>ข้อสอบจริง Product ปี 2564 ข้อ 85</t>
        </is>
      </c>
      <c r="O60" s="46" t="inlineStr">
        <is>
          <t>ข้อสอบจริง</t>
        </is>
      </c>
      <c r="P60" s="46" t="inlineStr">
        <is>
          <t>ปี 2564</t>
        </is>
      </c>
    </row>
    <row r="61">
      <c r="A61" s="46" t="n">
        <v>59</v>
      </c>
      <c r="B61" s="45" t="inlineStr">
        <is>
          <t>จาก assay ของยา ferrous sulfate ใช้วิธีวิเคราะห์แบบใด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1" s="46" t="n"/>
      <c r="D61" s="45" t="inlineStr">
        <is>
          <t>Acid-base titration</t>
        </is>
      </c>
      <c r="E61" s="45" t="inlineStr">
        <is>
          <t>Non aqueous</t>
        </is>
      </c>
      <c r="F61" s="45" t="inlineStr">
        <is>
          <t>Precipitater</t>
        </is>
      </c>
      <c r="G61" s="45" t="inlineStr">
        <is>
          <t>Complexation</t>
        </is>
      </c>
      <c r="H61" s="45" t="inlineStr">
        <is>
          <t>Residue คำอธิบาย: ไม่มีในตัวเลือก แต่คำตอบที่ถูกคือ Redox titration วิเคราะห์จาก Monograph จุดสำคัญคือ “titrate with 0.1 N ceric sulfate VS” Ceric sulfate (Ce⁴⁺) เป็นสารออกซิไดซ์ ใช้ไทเทรต Fe²⁺ ปฏิกิริยา: Ce4+ \+ Fe2+ → Ce3+ \+Fe3+ Fe²⁺ ถูก oxidized เป็น Fe³⁺ Ce⁴⁺ ถูก reduced เป็น Ce³⁺ ดังนั้นเป็น Redox titration</t>
        </is>
      </c>
      <c r="I61" s="46" t="n">
        <v>1</v>
      </c>
      <c r="J61" s="45" t="inlineStr">
        <is>
          <t>✅ คำตอบที่ถูกต้อง: ข้อ ก. Acid-base titration
💡 Background:
คำถามข้อสอบจริงใบประกอบวิชาชีพ PLE-CC 1 (Product) ปี 2564 ข้อ 91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1" s="46" t="n"/>
      <c r="L61" s="45" t="inlineStr">
        <is>
          <t>Titrimetric Analysis</t>
        </is>
      </c>
      <c r="M61" s="46" t="inlineStr">
        <is>
          <t>Product</t>
        </is>
      </c>
      <c r="N61" s="45" t="inlineStr">
        <is>
          <t>ข้อสอบจริง Product ปี 2564 ข้อ 91</t>
        </is>
      </c>
      <c r="O61" s="46" t="inlineStr">
        <is>
          <t>ข้อสอบจริง</t>
        </is>
      </c>
      <c r="P61" s="46" t="inlineStr">
        <is>
          <t>ปี 2564</t>
        </is>
      </c>
    </row>
    <row r="62">
      <c r="A62" s="46" t="n">
        <v>60</v>
      </c>
      <c r="B62" s="45" t="inlineStr">
        <is>
          <t>ส่วนประกอบกับหน้าที่ของสารเคลือบฟิล์มของ ferrous sulfate</t>
        </is>
      </c>
      <c r="C62" s="46" t="n"/>
      <c r="D62" s="45" t="inlineStr">
        <is>
          <t>Non aqueous titrate</t>
        </is>
      </c>
      <c r="E62" s="45" t="inlineStr">
        <is>
          <t>Aqueous titrate</t>
        </is>
      </c>
      <c r="F62" s="45" t="inlineStr">
        <is>
          <t>Redox titrate</t>
        </is>
      </c>
      <c r="G62" s="45" t="inlineStr">
        <is>
          <t>Complexometric titrate</t>
        </is>
      </c>
      <c r="H62" s="45" t="inlineStr">
        <is>
          <t>Precipitation titrate คำอธิบาย: วิเคราะห์จาก Monograph จุดสำคัญคือ “titrate with 0.1 N ceric sulfate VS” Ceric sulfate (Ce⁴⁺) เป็นสารออกซิไดซ์ ใช้ไทเทรต Fe²⁺ ปฏิกิริยา: Ce4+ \+ Fe2+ → Ce3+ \+Fe3+ Fe²⁺ ถูก oxidized เป็น Fe³⁺ Ce⁴⁺ ถูก reduced เป็น Ce³⁺ ดังนั้นเป็น Redox titration</t>
        </is>
      </c>
      <c r="I62" s="46" t="n">
        <v>1</v>
      </c>
      <c r="J62" s="45" t="inlineStr">
        <is>
          <t>✅ คำตอบที่ถูกต้อง: ข้อ ก. Non aqueous titrate
💡 Background:
คำถามข้อสอบจริงใบประกอบวิชาชีพ PLE-CC 1 (Product) ปี 2564 ข้อ 112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2" s="46" t="n"/>
      <c r="L62" s="45" t="inlineStr">
        <is>
          <t>Titrimetric Analysis</t>
        </is>
      </c>
      <c r="M62" s="46" t="inlineStr">
        <is>
          <t>Product</t>
        </is>
      </c>
      <c r="N62" s="45" t="inlineStr">
        <is>
          <t>ข้อสอบจริง Product ปี 2564 ข้อ 112</t>
        </is>
      </c>
      <c r="O62" s="46" t="inlineStr">
        <is>
          <t>ข้อสอบจริง</t>
        </is>
      </c>
      <c r="P62" s="46" t="inlineStr">
        <is>
          <t>ปี 2564</t>
        </is>
      </c>
    </row>
    <row r="63">
      <c r="A63" s="46" t="n">
        <v>61</v>
      </c>
      <c r="B63" s="45" t="inlineStr">
        <is>
          <t>จากสูตรตำรับ benzoyl peroxide emulgel: carbopol 940, benzoyl peroxide, olive oil, PEG, MP+PP, disodium EDTA, PW, BHT ยาไม่คงตัวที่ pH \&gt; 4.5 ตำรับขุ่นจะปรับตำรับอย่างไรให้ใส</t>
        </is>
      </c>
      <c r="C63" s="46" t="n"/>
      <c r="D63" s="45" t="inlineStr">
        <is>
          <t>เพิ่ม NaOH ❌ ปรับ pH ให้ carbopol เกิดเจล แต่ไม่แก้ความขุ่น และ pH สูงทำให้ benzoyl peroxide ไม่คงตัว</t>
        </is>
      </c>
      <c r="E63" s="45" t="inlineStr">
        <is>
          <t>เติม Tween 20 ✅ เป็น surfactant ช่วย solubilize และเพิ่มความใส</t>
        </is>
      </c>
      <c r="F63" s="45" t="inlineStr">
        <is>
          <t>เติม Span 60 ❌ เป็น lipophilic surfactant เหมาะกับ W/O ไม่ช่วยให้ใส</t>
        </is>
      </c>
      <c r="G63" s="45" t="inlineStr">
        <is>
          <t>ลด phase oil ❌ อาจช่วยลดความขุ่น แต่เปลี่ยนสูตรและไม่ใช่วิธีหลัก</t>
        </is>
      </c>
      <c r="H63" s="45" t="inlineStr">
        <is>
          <t>เพิ่ม BHT ❌ เป็น antioxidant ป้องกัน oxidation ไม่เกี่ยวกับความใส</t>
        </is>
      </c>
      <c r="I63" s="46" t="n">
        <v>1</v>
      </c>
      <c r="J63" s="45" t="inlineStr">
        <is>
          <t>✅ คำตอบที่ถูกต้อง: ข้อ ก. เพิ่ม NaOH ❌ ปรับ pH ให้ carbopol เกิดเจล แต่ไม่แก้ความขุ่น และ pH สูงทำให้ benzoyl peroxide ไม่คงตัว
💡 Background:
คำถามข้อสอบจริงใบประกอบวิชาชีพ PLE-CC 1 (Product) ปี 2564 ข้อ 125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3" s="46" t="n"/>
      <c r="L63" s="45" t="inlineStr">
        <is>
          <t>Titrimetric Analysis</t>
        </is>
      </c>
      <c r="M63" s="46" t="inlineStr">
        <is>
          <t>Product</t>
        </is>
      </c>
      <c r="N63" s="45" t="inlineStr">
        <is>
          <t>ข้อสอบจริง Product ปี 2564 ข้อ 125</t>
        </is>
      </c>
      <c r="O63" s="46" t="inlineStr">
        <is>
          <t>ข้อสอบจริง</t>
        </is>
      </c>
      <c r="P63" s="46" t="inlineStr">
        <is>
          <t>ปี 2564</t>
        </is>
      </c>
    </row>
    <row r="64">
      <c r="A64" s="46" t="n">
        <v>62</v>
      </c>
      <c r="B64" s="45" t="inlineStr">
        <is>
          <t>Emulsifying agent ในตำรับข้างต้นคืออะไร</t>
        </is>
      </c>
      <c r="C64" s="46" t="n"/>
      <c r="D64" s="45" t="inlineStr">
        <is>
          <t>NaOH ❌ ปรับ pH / neutralize carbopol</t>
        </is>
      </c>
      <c r="E64" s="45" t="inlineStr">
        <is>
          <t>Sodium oleate ✅ Emulsifier (soap-type surfactant)</t>
        </is>
      </c>
      <c r="F64" s="45" t="inlineStr">
        <is>
          <t>EDTA ❌ Chelating agent จับโลหะ ช่วยเพิ่มความคงตัว</t>
        </is>
      </c>
      <c r="G64" s="45" t="inlineStr">
        <is>
          <t>Olive oil ❌ Oil phase / emollient</t>
        </is>
      </c>
      <c r="H64" s="45" t="inlineStr">
        <is>
          <t>Carbopol ❌ Gelling agent เพิ่มความหนืด</t>
        </is>
      </c>
      <c r="I64" s="46" t="n">
        <v>1</v>
      </c>
      <c r="J64" s="45" t="inlineStr">
        <is>
          <t>✅ คำตอบที่ถูกต้อง: ข้อ ก. NaOH ❌ ปรับ pH / neutralize carbopol
💡 Background:
คำถามข้อสอบจริงใบประกอบวิชาชีพ PLE-CC 1 (Product) ปี 2564 ข้อ 126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4" s="46" t="n"/>
      <c r="L64" s="45" t="inlineStr">
        <is>
          <t>Titrimetric Analysis</t>
        </is>
      </c>
      <c r="M64" s="46" t="inlineStr">
        <is>
          <t>Product</t>
        </is>
      </c>
      <c r="N64" s="45" t="inlineStr">
        <is>
          <t>ข้อสอบจริง Product ปี 2564 ข้อ 126</t>
        </is>
      </c>
      <c r="O64" s="46" t="inlineStr">
        <is>
          <t>ข้อสอบจริง</t>
        </is>
      </c>
      <c r="P64" s="46" t="inlineStr">
        <is>
          <t>ปี 2564</t>
        </is>
      </c>
    </row>
    <row r="65">
      <c r="A65" s="46" t="n">
        <v>63</v>
      </c>
      <c r="B65" s="45" t="inlineStr">
        <is>
          <t>Nicotine วิเคราะห์ด้วยวิธีใด Assay— Dissolve about 60 mg of Nicotine accurately weighed, in 40 ml of glacial acetic acid, and titrate with 0.1 N perchloric acid VS, determining the endpoint potentiometrically (see Titrimetric. 541). Perform a blank determination, and make any necessary correction. Each mL of 0.1 N perchloric acid is equivalent to 8.11 mg of C10H14N2.</t>
        </is>
      </c>
      <c r="C65" s="46" t="n"/>
      <c r="D65" s="45" t="inlineStr">
        <is>
          <t>Acid-base titration</t>
        </is>
      </c>
      <c r="E65" s="45" t="inlineStr">
        <is>
          <t>Non-aqueous acid-base titration</t>
        </is>
      </c>
      <c r="F65" s="45" t="inlineStr">
        <is>
          <t>Oxidation-reaction titration</t>
        </is>
      </c>
      <c r="G65" s="45" t="inlineStr">
        <is>
          <t>Complexometric titration</t>
        </is>
      </c>
      <c r="H65" s="45" t="inlineStr">
        <is>
          <t>Precipitation titration คำอธิบาย: ใช้ glacial acetic acid เป็นตัวทำละลาย และ perchloric acid เป็น titrant ซึ่งเป็นลักษณะเฉพาะของ non-aqueous acid-base titration สำหรับวิเคราะห์สารที่เป็นเบสอ่อน เช่น nicotine</t>
        </is>
      </c>
      <c r="I65" s="46" t="n">
        <v>1</v>
      </c>
      <c r="J65" s="45" t="inlineStr">
        <is>
          <t>✅ คำตอบที่ถูกต้อง: ข้อ ก. Acid-base titration
💡 Background:
คำถามข้อสอบจริงใบประกอบวิชาชีพ PLE-CC 1 (Product) ปี 2564 ข้อ 148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5" s="46" t="n"/>
      <c r="L65" s="45" t="inlineStr">
        <is>
          <t>Titrimetric Analysis</t>
        </is>
      </c>
      <c r="M65" s="46" t="inlineStr">
        <is>
          <t>Product</t>
        </is>
      </c>
      <c r="N65" s="45" t="inlineStr">
        <is>
          <t>ข้อสอบจริง Product ปี 2564 ข้อ 148</t>
        </is>
      </c>
      <c r="O65" s="46" t="inlineStr">
        <is>
          <t>ข้อสอบจริง</t>
        </is>
      </c>
      <c r="P65" s="46" t="inlineStr">
        <is>
          <t>ปี 2564</t>
        </is>
      </c>
    </row>
    <row r="66">
      <c r="A66" s="46" t="n">
        <v>64</v>
      </c>
      <c r="B66" s="45" t="inlineStr">
        <is>
          <t>สารใดช่วยในการป้องกันการเกิดปฏิกิริยาออกซิเดชันในยาหยอดตา</t>
        </is>
      </c>
      <c r="C66" s="46" t="n"/>
      <c r="D66" s="45" t="inlineStr">
        <is>
          <t>Perchlorates ❌ ไม่ใช้เป็นสารป้องกัน oxidation</t>
        </is>
      </c>
      <c r="E66" s="45" t="inlineStr">
        <is>
          <t>Cremophor RH ❌ เป็น solubilizer/surfactant</t>
        </is>
      </c>
      <c r="F66" s="45" t="inlineStr">
        <is>
          <t>Polyethylene glycol ❌ เป็น cosolvent/vehicle</t>
        </is>
      </c>
      <c r="G66" s="45" t="inlineStr">
        <is>
          <t>Benzalkonium chloride ❌ เป็น preservative</t>
        </is>
      </c>
      <c r="H66" s="45" t="inlineStr">
        <is>
          <t>EDTA ✅ Chelating agent ช่วยป้องกัน oxidation โดยจับโลหะ</t>
        </is>
      </c>
      <c r="I66" s="46" t="n">
        <v>1</v>
      </c>
      <c r="J66" s="45" t="inlineStr">
        <is>
          <t>✅ คำตอบที่ถูกต้อง: ข้อ ก. Perchlorates ❌ ไม่ใช้เป็นสารป้องกัน oxidation
💡 Background:
คำถามข้อสอบจริงใบประกอบวิชาชีพ PLE-CC 1 (Product) ปี 2564 ข้อ 149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6" s="46" t="n"/>
      <c r="L66" s="45" t="inlineStr">
        <is>
          <t>Titrimetric Analysis</t>
        </is>
      </c>
      <c r="M66" s="46" t="inlineStr">
        <is>
          <t>Product</t>
        </is>
      </c>
      <c r="N66" s="45" t="inlineStr">
        <is>
          <t>ข้อสอบจริง Product ปี 2564 ข้อ 149</t>
        </is>
      </c>
      <c r="O66" s="46" t="inlineStr">
        <is>
          <t>ข้อสอบจริง</t>
        </is>
      </c>
      <c r="P66" s="46" t="inlineStr">
        <is>
          <t>ปี 2564</t>
        </is>
      </c>
    </row>
    <row r="67">
      <c r="A67" s="46" t="n">
        <v>65</v>
      </c>
      <c r="B67" s="45" t="inlineStr">
        <is>
          <t>จากการวิเคราะห์ NaCl ด้วย silver nitrate เป็นการวิเคราะห์แบบใด [แนบรูป: ข้อสอบ Product ปี 2564 รหัสรูปภาพ image90]</t>
        </is>
      </c>
      <c r="C67" s="46" t="inlineStr">
        <is>
          <t>[แนบรูป: ข้อสอบ Product ปี 2564 รหัสรูปภาพ image90]</t>
        </is>
      </c>
      <c r="D67" s="45" t="inlineStr">
        <is>
          <t>Karl fisher</t>
        </is>
      </c>
      <c r="E67" s="45" t="inlineStr">
        <is>
          <t>Redox titration</t>
        </is>
      </c>
      <c r="F67" s="45" t="inlineStr">
        <is>
          <t>Acid base titration</t>
        </is>
      </c>
      <c r="G67" s="45" t="inlineStr">
        <is>
          <t>Precipitation titration</t>
        </is>
      </c>
      <c r="H67" s="45" t="inlineStr">
        <is>
          <t>Complexometric titration คำอธิบาย: AgNO₃ ทำปฏิกิริยากับ Cl⁻ เกิดตะกอน AgCl จึงเป็น การไทเทรตแบบตกตะกอน (Precipitation titration) Ag+ \+ Cl− → AgCl↓</t>
        </is>
      </c>
      <c r="I67" s="46" t="n">
        <v>1</v>
      </c>
      <c r="J67" s="45" t="inlineStr">
        <is>
          <t>✅ คำตอบที่ถูกต้อง: ข้อ ก. Karl fisher
💡 Background:
คำถามข้อสอบจริงใบประกอบวิชาชีพ PLE-CC 1 (Product) ปี 2564 ข้อ 154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7" s="46" t="n"/>
      <c r="L67" s="45" t="inlineStr">
        <is>
          <t>Titrimetric Analysis</t>
        </is>
      </c>
      <c r="M67" s="46" t="inlineStr">
        <is>
          <t>Product</t>
        </is>
      </c>
      <c r="N67" s="45" t="inlineStr">
        <is>
          <t>ข้อสอบจริง Product ปี 2564 ข้อ 154</t>
        </is>
      </c>
      <c r="O67" s="46" t="inlineStr">
        <is>
          <t>ข้อสอบจริง</t>
        </is>
      </c>
      <c r="P67" s="46" t="inlineStr">
        <is>
          <t>ปี 2564</t>
        </is>
      </c>
    </row>
    <row r="68">
      <c r="A68" s="46" t="n">
        <v>66</v>
      </c>
      <c r="B68" s="45" t="inlineStr">
        <is>
          <t>จาก assay ของยา ferrous sulfate ใช้วิธีวิเคราะห์แบบใด ต้นฉบับ: Day 1 ข้อ 36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8" s="46" t="n"/>
      <c r="D68" s="45" t="inlineStr">
        <is>
          <t>Acid-base titration</t>
        </is>
      </c>
      <c r="E68" s="45" t="inlineStr">
        <is>
          <t>Non-aqueous titration</t>
        </is>
      </c>
      <c r="F68" s="45" t="inlineStr">
        <is>
          <t>Precipitation titration</t>
        </is>
      </c>
      <c r="G68" s="45" t="inlineStr">
        <is>
          <t>Complexometric titration</t>
        </is>
      </c>
      <c r="H68" s="45" t="inlineStr">
        <is>
          <t xml:space="preserve">Redox titration | คำตอบ: e) Redox titration เพราะ Fe2+ ถูกออกซิไดซ์เป็น Fe3+ และ Ce4+ ถูกรีดิวซ์เป็น Ce3+ ข้อที่ไม่ถูก a) ไม่ใช่ปฏิกิริยากรด-เบส b) วิธีนี้ใช้น้ำเป็นตัวกลาง c) ไม่มีการเกิดตะกอน d) ไม่ได้หาปริมาณด้วยการสร้างสารเชิงซ้อน | | :---- | </t>
        </is>
      </c>
      <c r="I68" s="46" t="n">
        <v>5</v>
      </c>
      <c r="J68" s="45" t="inlineStr">
        <is>
          <t>✅ คำตอบที่ถูกต้อง: ข้อ จ. Redox titration | คำตอบ: e) Redox titration เพราะ Fe2+ ถูกออกซิไดซ์เป็น Fe3+ และ Ce4+ ถูกรีดิวซ์เป็น Ce3+ ข้อที่ไม่ถูก a) ไม่ใช่ปฏิกิริยากรด-เบส b) วิธีนี้ใช้น้ำเป็นตัวกลาง c) ไม่มีการเกิดตะกอน d) ไม่ได้หาปริมาณด้วยการสร้างสารเชิงซ้อน | | :---- | 
💡 Background:
คำถามข้อสอบจริงใบประกอบวิชาชีพ PLE-CC 1 (Product) ปี 2563 ข้อ 1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8" s="46" t="n"/>
      <c r="L68" s="45" t="inlineStr">
        <is>
          <t>Titrimetric Analysis</t>
        </is>
      </c>
      <c r="M68" s="46" t="inlineStr">
        <is>
          <t>Product</t>
        </is>
      </c>
      <c r="N68" s="45" t="inlineStr">
        <is>
          <t>ข้อสอบจริง Product ปี 2563 ข้อ 1</t>
        </is>
      </c>
      <c r="O68" s="46" t="inlineStr">
        <is>
          <t>ข้อสอบจริง</t>
        </is>
      </c>
      <c r="P68" s="46" t="inlineStr">
        <is>
          <t>ปี 2563</t>
        </is>
      </c>
    </row>
    <row r="69">
      <c r="A69" s="46" t="n">
        <v>67</v>
      </c>
      <c r="B69" s="45" t="inlineStr">
        <is>
          <t>ให้ monograph assay ของ Aspirin ถามว่าใช้วิธีอะไร ต้นฉบับ: Day 2 ข้อ 27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⟨541⟩). Each mL of 0.5 N sodium hydroxide is equivalent to 45.04 mg of C₉H₈O₄.</t>
        </is>
      </c>
      <c r="C69" s="46" t="n"/>
      <c r="D69" s="45" t="inlineStr">
        <is>
          <t>วิธี Direct titration มี Sodium Hydroxide เป็น Titrant</t>
        </is>
      </c>
      <c r="E69" s="45" t="inlineStr">
        <is>
          <t>วิธี Direct titration มี Sulfuric acid เป็น Titrant</t>
        </is>
      </c>
      <c r="F69" s="45" t="inlineStr">
        <is>
          <t>วิธี Indirect titration มี Sodium Hydroxide เป็น Titrant</t>
        </is>
      </c>
      <c r="G69" s="45" t="inlineStr">
        <is>
          <t>วิธี Indirect titration มี Sulfuric acid เป็น Titrant</t>
        </is>
      </c>
      <c r="H69" s="45" t="inlineStr">
        <is>
          <t xml:space="preserve">วิธี Indirect titration มี Sulfuric acid และ Sodium Hydroxide เป็น Titrant | คำตอบ: d) วิธี Indirect titration มี Sulfuric acid เป็น Titrant เพราะเติม NaOH มากเกินพอให้ทำปฏิกิริยากับ aspirin แล้วใช้ H2SO4 ไทเทรต NaOH ที่เหลือ ข้อที่ไม่ถูก a) ไม่ได้ไทเทรต aspirin โดยตรงด้วย NaOH b) H2SO4 ไม่ได้ไทเทรต aspirin โดยตรง c) NaOH เป็นสารที่เติมเกินพอ ไม่ใช่ titrant ขั้นสุดท้าย e) ขั้นหาจุดยุติใช้ H2SO4 เป็น titrant เพียงตัวเดียว | | :---- | </t>
        </is>
      </c>
      <c r="I69" s="46" t="n">
        <v>4</v>
      </c>
      <c r="J69" s="45" t="inlineStr">
        <is>
          <t>✅ คำตอบที่ถูกต้อง: ข้อ ง. วิธี Indirect titration มี Sulfuric acid เป็น Titrant
💡 Background:
คำถามข้อสอบจริงใบประกอบวิชาชีพ PLE-CC 1 (Product) ปี 2563 ข้อ 3
🎯 ทำไมข้อนี้ถึงถูก:
ข้อ ง.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9" s="46" t="n"/>
      <c r="L69" s="45" t="inlineStr">
        <is>
          <t>Titrimetric Analysis</t>
        </is>
      </c>
      <c r="M69" s="46" t="inlineStr">
        <is>
          <t>Product</t>
        </is>
      </c>
      <c r="N69" s="45" t="inlineStr">
        <is>
          <t>ข้อสอบจริง Product ปี 2563 ข้อ 3</t>
        </is>
      </c>
      <c r="O69" s="46" t="inlineStr">
        <is>
          <t>ข้อสอบจริง</t>
        </is>
      </c>
      <c r="P69" s="46" t="inlineStr">
        <is>
          <t>ปี 2563</t>
        </is>
      </c>
    </row>
    <row r="70">
      <c r="A70" s="46" t="n">
        <v>68</v>
      </c>
      <c r="B70" s="45" t="inlineStr">
        <is>
          <t>1 ml 0.1 N perchloric acid \= ... mg salbutamol sulfate (MW=576.70) ต้นฉบับ: Day 2 ข้อ 80</t>
        </is>
      </c>
      <c r="C70" s="46" t="n"/>
      <c r="D70" s="45" t="inlineStr">
        <is>
          <t>71</t>
        </is>
      </c>
      <c r="E70" s="45" t="inlineStr">
        <is>
          <t>118</t>
        </is>
      </c>
      <c r="F70" s="45" t="inlineStr">
        <is>
          <t>287.35</t>
        </is>
      </c>
      <c r="G70" s="45" t="inlineStr">
        <is>
          <t>576.7</t>
        </is>
      </c>
      <c r="H70" s="45" t="inlineStr">
        <is>
          <t xml:space="preserve">57.67 | คำตอบ: e) 57.67 0.1 mol/L × 0.001 L × 576.70 g/mol \= 0.05767 g หรือ 57.67 mg ข้อที่ไม่ถูก a) ไม่ตรงกับค่าที่คำนวณได้ b) มากกว่าคำตอบประมาณสองเท่า c) เทียบเท่ากับการใช้ titrant ประมาณ 5 mL d) มากกว่าคำตอบ 10 เท่า | | :---- | </t>
        </is>
      </c>
      <c r="I70" s="46" t="n">
        <v>5</v>
      </c>
      <c r="J70" s="45" t="inlineStr">
        <is>
          <t>✅ คำตอบที่ถูกต้อง: ข้อ จ. 57.67 | คำตอบ: e) 57.67 0.1 mol/L × 0.001 L × 576.70 g/mol \= 0.05767 g หรือ 57.67 mg ข้อที่ไม่ถูก a) ไม่ตรงกับค่าที่คำนวณได้ b) มากกว่าคำตอบประมาณสองเท่า c) เทียบเท่ากับการใช้ titrant ประมาณ 5 mL d) มากกว่าคำตอบ 10 เท่า | | :---- | 
💡 Background:
คำถามข้อสอบจริงใบประกอบวิชาชีพ PLE-CC 1 (Product) ปี 2563 ข้อ 5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0" s="46" t="n"/>
      <c r="L70" s="45" t="inlineStr">
        <is>
          <t>Titrimetric Analysis</t>
        </is>
      </c>
      <c r="M70" s="46" t="inlineStr">
        <is>
          <t>Product</t>
        </is>
      </c>
      <c r="N70" s="45" t="inlineStr">
        <is>
          <t>ข้อสอบจริง Product ปี 2563 ข้อ 5</t>
        </is>
      </c>
      <c r="O70" s="46" t="inlineStr">
        <is>
          <t>ข้อสอบจริง</t>
        </is>
      </c>
      <c r="P70" s="46" t="inlineStr">
        <is>
          <t>ปี 2563</t>
        </is>
      </c>
    </row>
    <row r="71">
      <c r="A71" s="46" t="n">
        <v>69</v>
      </c>
      <c r="B71" s="45" t="inlineStr">
        <is>
          <t>ให้ monograph assay aluminum hydroxide มาถามว่าใช้วิธีอะไร ต้นฉบับ: Day 2 ข้อ 95 Assay— Edetate disodium titrant— Prepare and standardize as directed in the Assay under Ammonium Alum. Procedure— Transfer an accurately measured quantity of Gel, equivalent to about 1.5 g of Al(OH)₃,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rose-pink. Perform a blank determination, substituting 20 mL of water for the sample, and make any necessary correction. Each mL of 0.05 M Edetate disodium titrant consumed is equivalent to 3.900 mg of Al(OH)3.</t>
        </is>
      </c>
      <c r="C71" s="46" t="n"/>
      <c r="D71" s="45" t="inlineStr">
        <is>
          <t>Acid-base aqueous titration</t>
        </is>
      </c>
      <c r="E71" s="45" t="inlineStr">
        <is>
          <t>Acid-base non-aqueous titration</t>
        </is>
      </c>
      <c r="F71" s="45" t="inlineStr">
        <is>
          <t>Complexometric titration</t>
        </is>
      </c>
      <c r="G71" s="45" t="inlineStr">
        <is>
          <t>Precipitation titration</t>
        </is>
      </c>
      <c r="H71" s="45" t="inlineStr">
        <is>
          <t xml:space="preserve">Back titration | คำตอบ: e) Back titration เพราะเติม EDTA เกินพอให้จับกับ Al3+ แล้วใช้ zinc sulfate ไทเทรต EDTA ที่เหลือ ข้อที่ไม่ถูก a) ไม่ได้อาศัยปฏิกิริยากรด-เบส b) ไม่ใช่การไทเทรตในตัวทำละลายไร้น้ำ c) เป็น complexometric titration จริง แต่ไม่จำเพาะเท่า back titration d) ไม่มีการเกิดตะกอน หมายเหตุ: ถ้าถามตามชนิดปฏิกิริยาจะตอบ complexometric titration แต่จากขั้นตอนตอบ back titration ตรงกว่า | | :---- | # IDQ II </t>
        </is>
      </c>
      <c r="I71" s="46" t="n">
        <v>5</v>
      </c>
      <c r="J71" s="45" t="inlineStr">
        <is>
          <t>✅ คำตอบที่ถูกต้อง: ข้อ จ. Back titration | คำตอบ: e) Back titration เพราะเติม EDTA เกินพอให้จับกับ Al3+ แล้วใช้ zinc sulfate ไทเทรต EDTA ที่เหลือ ข้อที่ไม่ถูก a) ไม่ได้อาศัยปฏิกิริยากรด-เบส b) ไม่ใช่การไทเทรตในตัวทำละลายไร้น้ำ c) เป็น complexometric titration จริง แต่ไม่จำเพาะเท่า back titration d) ไม่มีการเกิดตะกอน หมายเหตุ: ถ้าถามตามชนิดปฏิกิริยาจะตอบ complexometric titration แต่จากขั้นตอนตอบ back titration ตรงกว่า | | :---- | # IDQ II 
💡 Background:
คำถามข้อสอบจริงใบประกอบวิชาชีพ PLE-CC 1 (Product) ปี 2563 ข้อ 6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1" s="46" t="n"/>
      <c r="L71" s="45" t="inlineStr">
        <is>
          <t>Titrimetric Analysis</t>
        </is>
      </c>
      <c r="M71" s="46" t="inlineStr">
        <is>
          <t>Product</t>
        </is>
      </c>
      <c r="N71" s="45" t="inlineStr">
        <is>
          <t>ข้อสอบจริง Product ปี 2563 ข้อ 6</t>
        </is>
      </c>
      <c r="O71" s="46" t="inlineStr">
        <is>
          <t>ข้อสอบจริง</t>
        </is>
      </c>
      <c r="P71" s="46" t="inlineStr">
        <is>
          <t>ปี 2563</t>
        </is>
      </c>
    </row>
    <row r="72">
      <c r="A72" s="46" t="n">
        <v>70</v>
      </c>
      <c r="B72" s="45" t="inlineStr">
        <is>
          <t>ใช้ปริมาณน้อย (0.5–2%) ก็ให้ความหนืดสูง   ข้อควรระวัง: carbomer ไวต่ออิเล็กโทรไลต์ ถ้าตำรับมีเกลือมากความหนืดจะลดลง และต้องปรับ pH ให้อยู่ในช่วง 6–7 จึงจะได้ความหนืดสูงสุด | | :---- | ข้อ 101. ตำรับ metronidazole gel ประกอบด้วย gelling agent, methyl paraben, propyl paraben, propylene glycol, ethanol, purified water หน้าที่สาร propylene glycol คือ</t>
        </is>
      </c>
      <c r="C72" s="46" t="n"/>
      <c r="D72" s="45" t="inlineStr">
        <is>
          <t>Binder</t>
        </is>
      </c>
      <c r="E72" s="45" t="inlineStr">
        <is>
          <t>Lubricant</t>
        </is>
      </c>
      <c r="F72" s="45" t="inlineStr">
        <is>
          <t>Disintegrant</t>
        </is>
      </c>
      <c r="G72" s="45" t="inlineStr">
        <is>
          <t>Soluble diluents</t>
        </is>
      </c>
      <c r="H72" s="45" t="inlineStr">
        <is>
          <t>Sweetening agent | คำอธิบาย Lactose ทำหน้าที่เป็น soluble diluent (สารเพิ่มปริมาณชนิดละลายน้ำ) หรือที่เรียกว่า filler   หน้าที่ของ diluent: เพิ่มปริมาตร/น้ำหนักของเม็ดยาให้มีขนาดที่เหมาะสมกับการผลิตและการหยิบจับ เนื่องจากตัวยาสำคัญมักมีปริมาณน้อยเกินกว่าจะตอกเป็นเม็ดได้โดยตรง   เหตุผลที่เลือก lactose สำหรับ orodispersible tablet (ODT) โดยเฉพาะ:</t>
        </is>
      </c>
      <c r="I72" s="46" t="n">
        <v>1</v>
      </c>
      <c r="J72" s="45" t="inlineStr">
        <is>
          <t>✅ คำตอบที่ถูกต้อง: ข้อ ก. Binder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2" s="46" t="n"/>
      <c r="L72" s="45" t="inlineStr">
        <is>
          <t>Titrimetric Analysis</t>
        </is>
      </c>
      <c r="M72" s="46" t="inlineStr">
        <is>
          <t>Product</t>
        </is>
      </c>
      <c r="N72" s="45" t="inlineStr">
        <is>
          <t>ข้อสอบจริง Product ปี 2562 ข้อ 4</t>
        </is>
      </c>
      <c r="O72" s="46" t="inlineStr">
        <is>
          <t>ข้อสอบจริง</t>
        </is>
      </c>
      <c r="P72" s="46" t="inlineStr">
        <is>
          <t>ปี 2562</t>
        </is>
      </c>
    </row>
    <row r="73">
      <c r="A73" s="46" t="n">
        <v>71</v>
      </c>
      <c r="B73" s="45" t="inlineStr">
        <is>
          <t>การไตเตรตดังกล่าวแบบใด Weigh and finely powder not fewer then 20 tablets. Dissolve a portion of the powder, equivalent to about 500 mg of ferrous and accurately weighed, in a beaker containing a mixture of 20 ml of 2 N sulfuric acid and 80 ml of freshly boiled and cooled water. Filter the solution rapidly as soon as all soluble ingredients in the tablets are dissolved, and wash the container and the filter with small portions of a mixture of 20 ml of 2 N sulfuric acid and 80 ml of freshly boiled and cooled water. And orthophenanthroline TS, and immediately titrate the combined filtrate and washings with 0.1 N ceric sulfate VS. Each ml of 0.1 N ceric sulfate is equivalent to 27.80 mg of Ferrous sulfate (FeSO4.7H2O)</t>
        </is>
      </c>
      <c r="C73" s="46" t="n"/>
      <c r="D73" s="45" t="inlineStr">
        <is>
          <t>Redox titrate</t>
        </is>
      </c>
      <c r="E73" s="45" t="inlineStr">
        <is>
          <t>Aqueous titrate</t>
        </is>
      </c>
      <c r="F73" s="45" t="inlineStr">
        <is>
          <t>Precipitation titrate</t>
        </is>
      </c>
      <c r="G73" s="45" t="inlineStr">
        <is>
          <t>Non aqueous titrate</t>
        </is>
      </c>
      <c r="H73" s="45" t="inlineStr">
        <is>
          <t>Complexometric titrate</t>
        </is>
      </c>
      <c r="I73" s="46" t="n">
        <v>1</v>
      </c>
      <c r="J73" s="45" t="inlineStr">
        <is>
          <t>✅ คำตอบที่ถูกต้อง: ข้อ ก. Redox titrate
💡 Background:
คำถามข้อสอบจริงใบประกอบวิชาชีพ PLE-CC 1 (Product) ปี 2561 ข้อ 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3" s="46" t="n"/>
      <c r="L73" s="45" t="inlineStr">
        <is>
          <t>Titrimetric Analysis</t>
        </is>
      </c>
      <c r="M73" s="46" t="inlineStr">
        <is>
          <t>Product</t>
        </is>
      </c>
      <c r="N73" s="45" t="inlineStr">
        <is>
          <t>ข้อสอบจริง Product ปี 2561 ข้อ 5</t>
        </is>
      </c>
      <c r="O73" s="46" t="inlineStr">
        <is>
          <t>ข้อสอบจริง</t>
        </is>
      </c>
      <c r="P73" s="46" t="inlineStr">
        <is>
          <t>ปี 2561</t>
        </is>
      </c>
    </row>
    <row r="74">
      <c r="A74" s="46" t="n">
        <v>72</v>
      </c>
      <c r="B74" s="45" t="inlineStr">
        <is>
          <t>จากสูตรตำรับ benzoylperoxide emulgel ประกอบไปด้วย carbopol 940, benzoyl peroxide, PEG, methylparaben, propylparaben, EDTA, purified water ตัวยาไม่คงตัวที่ pH \&gt;4.5 หากตำรับขุ่นจะต้องแก้ไขอย่างไร</t>
        </is>
      </c>
      <c r="C74" s="46" t="n"/>
      <c r="D74" s="45" t="inlineStr">
        <is>
          <t>เพิ่ม NaOH</t>
        </is>
      </c>
      <c r="E74" s="45" t="inlineStr">
        <is>
          <t>เติม Span 60</t>
        </is>
      </c>
      <c r="F74" s="45" t="inlineStr">
        <is>
          <t>เติม Tween 20</t>
        </is>
      </c>
      <c r="G74" s="45" t="inlineStr">
        <is>
          <t>ลดวัฏภาคน้ำมัน</t>
        </is>
      </c>
      <c r="H74" s="45" t="inlineStr">
        <is>
          <t>เพิ่มปริมาณ BHT</t>
        </is>
      </c>
      <c r="I74" s="46" t="n">
        <v>1</v>
      </c>
      <c r="J74" s="45" t="inlineStr">
        <is>
          <t>✅ คำตอบที่ถูกต้อง: ข้อ ก. เพิ่ม NaOH
💡 Background:
คำถามข้อสอบจริงใบประกอบวิชาชีพ PLE-CC 1 (Product) ปี 2561 ข้อ 19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4" s="46" t="n"/>
      <c r="L74" s="45" t="inlineStr">
        <is>
          <t>Titrimetric Analysis</t>
        </is>
      </c>
      <c r="M74" s="46" t="inlineStr">
        <is>
          <t>Product</t>
        </is>
      </c>
      <c r="N74" s="45" t="inlineStr">
        <is>
          <t>ข้อสอบจริง Product ปี 2561 ข้อ 19</t>
        </is>
      </c>
      <c r="O74" s="46" t="inlineStr">
        <is>
          <t>ข้อสอบจริง</t>
        </is>
      </c>
      <c r="P74" s="46" t="inlineStr">
        <is>
          <t>ปี 2561</t>
        </is>
      </c>
    </row>
    <row r="75">
      <c r="A75" s="46" t="n">
        <v>73</v>
      </c>
      <c r="B75" s="45" t="inlineStr">
        <is>
          <t>EDTA ในตำรับข้างต้นทำหน้าที่อะไร</t>
        </is>
      </c>
      <c r="C75" s="46" t="n"/>
      <c r="D75" s="45" t="inlineStr">
        <is>
          <t>Vehicle</t>
        </is>
      </c>
      <c r="E75" s="45" t="inlineStr">
        <is>
          <t>Antioxidant</t>
        </is>
      </c>
      <c r="F75" s="45" t="inlineStr">
        <is>
          <t>Stiffening agent</t>
        </is>
      </c>
      <c r="G75" s="45" t="inlineStr">
        <is>
          <t>Emulsifying agent</t>
        </is>
      </c>
      <c r="H75" s="45" t="inlineStr">
        <is>
          <t>pH adjusting agent</t>
        </is>
      </c>
      <c r="I75" s="46" t="n">
        <v>1</v>
      </c>
      <c r="J75" s="45" t="inlineStr">
        <is>
          <t>✅ คำตอบที่ถูกต้อง: ข้อ ก. Vehicle
💡 Background:
คำถามข้อสอบจริงใบประกอบวิชาชีพ PLE-CC 1 (Product) ปี 2561 ข้อ 20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5" s="46" t="n"/>
      <c r="L75" s="45" t="inlineStr">
        <is>
          <t>Titrimetric Analysis</t>
        </is>
      </c>
      <c r="M75" s="46" t="inlineStr">
        <is>
          <t>Product</t>
        </is>
      </c>
      <c r="N75" s="45" t="inlineStr">
        <is>
          <t>ข้อสอบจริง Product ปี 2561 ข้อ 20</t>
        </is>
      </c>
      <c r="O75" s="46" t="inlineStr">
        <is>
          <t>ข้อสอบจริง</t>
        </is>
      </c>
      <c r="P75" s="46" t="inlineStr">
        <is>
          <t>ปี 2561</t>
        </is>
      </c>
    </row>
    <row r="76">
      <c r="A76" s="46" t="n">
        <v>74</v>
      </c>
      <c r="B76" s="45" t="inlineStr">
        <is>
          <t>Assay-dissolve about 500 mg of Naproxen, accurately weighed, in a mixture of 75 mL of methanol and 25 mL of water that has been previously neutralized to the phenolphthalein endpoint with 0.1 N sodium hydroxide. Dissolve by gentle warming, if necessary, add phenolphthalein TS, and titrate with 0.1 N sodium hydroxide จาก monograph เป็นการวิเคราะห์แบบใด</t>
        </is>
      </c>
      <c r="C76" s="46" t="n"/>
      <c r="D76" s="45" t="inlineStr">
        <is>
          <t>Acid-base titration</t>
        </is>
      </c>
      <c r="E76" s="45" t="inlineStr">
        <is>
          <t>Precipitation titration</t>
        </is>
      </c>
      <c r="F76" s="45" t="inlineStr">
        <is>
          <t>Complexometric titration</t>
        </is>
      </c>
      <c r="G76" s="45" t="inlineStr">
        <is>
          <t>Oxidation-reaction titration</t>
        </is>
      </c>
      <c r="H76" s="45" t="inlineStr">
        <is>
          <t>Non-aqueous acid-base titration</t>
        </is>
      </c>
      <c r="I76" s="46" t="n">
        <v>1</v>
      </c>
      <c r="J76" s="45" t="inlineStr">
        <is>
          <t>✅ คำตอบที่ถูกต้อง: ข้อ ก. Acid-base titration
💡 Background:
คำถามข้อสอบจริงใบประกอบวิชาชีพ PLE-CC 1 (Product) ปี 2561 ข้อ 55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6" s="46" t="n"/>
      <c r="L76" s="45" t="inlineStr">
        <is>
          <t>Titrimetric Analysis</t>
        </is>
      </c>
      <c r="M76" s="46" t="inlineStr">
        <is>
          <t>Product</t>
        </is>
      </c>
      <c r="N76" s="45" t="inlineStr">
        <is>
          <t>ข้อสอบจริง Product ปี 2561 ข้อ 55</t>
        </is>
      </c>
      <c r="O76" s="46" t="inlineStr">
        <is>
          <t>ข้อสอบจริง</t>
        </is>
      </c>
      <c r="P76" s="46" t="inlineStr">
        <is>
          <t>ปี 2561</t>
        </is>
      </c>
    </row>
    <row r="77">
      <c r="A77" s="46" t="n">
        <v>75</v>
      </c>
      <c r="B77" s="45" t="inlineStr">
        <is>
          <t>Nortriptyline HCl MW \= 299.84 USP กำหนดนำ nortriptyline มา 600 mg ละลายในน้ำ 50 ml เติม glacial acetic acid 10 ml จากนั้นนำไปไตเตรทกับ perchloric acid กำหนดให้ each ml of 0.1 N perchloric acid สมมูลกับ nortriptyline HCl X mg ถามว่า X มีค่าเท่ากับข้อใด</t>
        </is>
      </c>
      <c r="C77" s="46" t="n"/>
      <c r="D77" s="45" t="inlineStr">
        <is>
          <t>14.59</t>
        </is>
      </c>
      <c r="E77" s="45" t="inlineStr">
        <is>
          <t>29.98</t>
        </is>
      </c>
      <c r="F77" s="45" t="inlineStr">
        <is>
          <t>15.9</t>
        </is>
      </c>
      <c r="G77" s="45" t="inlineStr">
        <is>
          <t>149</t>
        </is>
      </c>
      <c r="H77" s="45" t="inlineStr">
        <is>
          <t>1450</t>
        </is>
      </c>
      <c r="I77" s="46" t="n">
        <v>1</v>
      </c>
      <c r="J77" s="45" t="inlineStr">
        <is>
          <t>✅ คำตอบที่ถูกต้อง: ข้อ ก. 14.59
💡 Background:
คำถามข้อสอบจริงใบประกอบวิชาชีพ PLE-CC 1 (Product) ปี 2561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7" s="46" t="n"/>
      <c r="L77" s="45" t="inlineStr">
        <is>
          <t>Titrimetric Analysis</t>
        </is>
      </c>
      <c r="M77" s="46" t="inlineStr">
        <is>
          <t>Product</t>
        </is>
      </c>
      <c r="N77" s="45" t="inlineStr">
        <is>
          <t>ข้อสอบจริง Product ปี 2561 ข้อ 69</t>
        </is>
      </c>
      <c r="O77" s="46" t="inlineStr">
        <is>
          <t>ข้อสอบจริง</t>
        </is>
      </c>
      <c r="P77" s="46" t="inlineStr">
        <is>
          <t>ปี 2561</t>
        </is>
      </c>
    </row>
    <row r="78">
      <c r="A78" s="46" t="n">
        <v>76</v>
      </c>
      <c r="B78" s="45" t="inlineStr">
        <is>
          <t>05 M edetate disodium VS until the solution is deep blue. Each mL of 0.05 M edetate disodium is equivalent to 5.004 mg of calcium carbonate (CaCO3)</t>
        </is>
      </c>
      <c r="C78" s="46" t="n"/>
      <c r="D78" s="45" t="inlineStr">
        <is>
          <t>NaOH ใช้ช่วยละลาย CaCO3</t>
        </is>
      </c>
      <c r="E78" s="45" t="inlineStr">
        <is>
          <t>CaCO3 ต้องถูกเปลี่ยนเป็น CaCl2 ก่อน</t>
        </is>
      </c>
      <c r="F78" s="45" t="inlineStr">
        <is>
          <t>การวิเคราะห์นี้จัดเป็น direct titration</t>
        </is>
      </c>
      <c r="G78" s="45" t="inlineStr">
        <is>
          <t>ใช้เทคนิค complexometric titration</t>
        </is>
      </c>
      <c r="H78" s="45" t="inlineStr">
        <is>
          <t>สารละลายอยู่ในภาวะด่างระหว่างการ Titration</t>
        </is>
      </c>
      <c r="I78" s="46" t="n">
        <v>1</v>
      </c>
      <c r="J78" s="45" t="inlineStr">
        <is>
          <t>✅ คำตอบที่ถูกต้อง: ข้อ ก. NaOH ใช้ช่วยละลาย CaCO3
💡 Background:
คำถามข้อสอบจริงใบประกอบวิชาชีพ PLE-CC 1 (Product) ปี 2561 ข้อ 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8" s="46" t="n"/>
      <c r="L78" s="45" t="inlineStr">
        <is>
          <t>Titrimetric Analysis</t>
        </is>
      </c>
      <c r="M78" s="46" t="inlineStr">
        <is>
          <t>Product</t>
        </is>
      </c>
      <c r="N78" s="45" t="inlineStr">
        <is>
          <t>ข้อสอบจริง Product ปี 2561 ข้อ 0</t>
        </is>
      </c>
      <c r="O78" s="46" t="inlineStr">
        <is>
          <t>ข้อสอบจริง</t>
        </is>
      </c>
      <c r="P78" s="46" t="inlineStr">
        <is>
          <t>ปี 2561</t>
        </is>
      </c>
    </row>
    <row r="79">
      <c r="A79" s="46" t="n">
        <v>77</v>
      </c>
      <c r="B79" s="45" t="inlineStr">
        <is>
          <t>จากสูตรตำรับยา - Steroid A - Steric acid - Cetyl alcohol - Butylated hydroxytoluene - Carbomer 934 - Glycerine - Water - EDTA - Paraben concentration - Triethanolamine ข้อใดเป็น emulsifying agent ในตำรับ</t>
        </is>
      </c>
      <c r="C79" s="46" t="n"/>
      <c r="D79" s="45" t="inlineStr">
        <is>
          <t>Steric acid</t>
        </is>
      </c>
      <c r="E79" s="45" t="inlineStr">
        <is>
          <t>Triethanolamine</t>
        </is>
      </c>
      <c r="F79" s="45" t="inlineStr">
        <is>
          <t>Triethanolamine acetate</t>
        </is>
      </c>
      <c r="G79" s="45" t="inlineStr">
        <is>
          <t>Triethanolamine stearate</t>
        </is>
      </c>
      <c r="H79" s="45" t="inlineStr">
        <is>
          <t>Butylated hydroxytoluene</t>
        </is>
      </c>
      <c r="I79" s="46" t="n">
        <v>1</v>
      </c>
      <c r="J79" s="45" t="inlineStr">
        <is>
          <t>✅ คำตอบที่ถูกต้อง: ข้อ ก. Steric acid
💡 Background:
คำถามข้อสอบจริงใบประกอบวิชาชีพ PLE-CC 1 (Product) ปี 2561 ข้อ 87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9" s="46" t="n"/>
      <c r="L79" s="45" t="inlineStr">
        <is>
          <t>Titrimetric Analysis</t>
        </is>
      </c>
      <c r="M79" s="46" t="inlineStr">
        <is>
          <t>Product</t>
        </is>
      </c>
      <c r="N79" s="45" t="inlineStr">
        <is>
          <t>ข้อสอบจริง Product ปี 2561 ข้อ 87</t>
        </is>
      </c>
      <c r="O79" s="46" t="inlineStr">
        <is>
          <t>ข้อสอบจริง</t>
        </is>
      </c>
      <c r="P79" s="46" t="inlineStr">
        <is>
          <t>ปี 2561</t>
        </is>
      </c>
    </row>
    <row r="80">
      <c r="A80" s="46" t="n">
        <v>78</v>
      </c>
      <c r="B80" s="45" t="inlineStr">
        <is>
          <t>หากในการเคลือบฟิล์ม พบฟิล์มหลุดล่อน ควรเติมสารใดเพิ่มในน้ำยาเคลือบ</t>
        </is>
      </c>
      <c r="C80" s="46" t="n"/>
      <c r="D80" s="45" t="inlineStr">
        <is>
          <t>Talc</t>
        </is>
      </c>
      <c r="E80" s="45" t="inlineStr">
        <is>
          <t>EDTA</t>
        </is>
      </c>
      <c r="F80" s="45" t="inlineStr">
        <is>
          <t>Shellac</t>
        </is>
      </c>
      <c r="G80" s="45" t="inlineStr">
        <is>
          <t>Sodium chloride</t>
        </is>
      </c>
      <c r="H80" s="45" t="inlineStr">
        <is>
          <t>Polyethylene glycol</t>
        </is>
      </c>
      <c r="I80" s="46" t="n">
        <v>1</v>
      </c>
      <c r="J80" s="45" t="inlineStr">
        <is>
          <t>✅ คำตอบที่ถูกต้อง: ข้อ ก. Talc
💡 Background:
คำถามข้อสอบจริงใบประกอบวิชาชีพ PLE-CC 1 (Product) ปี 2561 ข้อ 106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0" s="46" t="n"/>
      <c r="L80" s="45" t="inlineStr">
        <is>
          <t>Titrimetric Analysis</t>
        </is>
      </c>
      <c r="M80" s="46" t="inlineStr">
        <is>
          <t>Product</t>
        </is>
      </c>
      <c r="N80" s="45" t="inlineStr">
        <is>
          <t>ข้อสอบจริง Product ปี 2561 ข้อ 106</t>
        </is>
      </c>
      <c r="O80" s="46" t="inlineStr">
        <is>
          <t>ข้อสอบจริง</t>
        </is>
      </c>
      <c r="P80" s="46" t="inlineStr">
        <is>
          <t>ปี 2561</t>
        </is>
      </c>
    </row>
    <row r="81">
      <c r="A81" s="46" t="n">
        <v>79</v>
      </c>
      <c r="B81" s="45" t="inlineStr">
        <is>
          <t>Titration ของ aspirin คือแบบไหน</t>
        </is>
      </c>
      <c r="C81" s="46" t="n"/>
      <c r="D81" s="45" t="inlineStr">
        <is>
          <t>Acid-base titration</t>
        </is>
      </c>
      <c r="E81" s="45" t="inlineStr">
        <is>
          <t>Precipitation titration</t>
        </is>
      </c>
      <c r="F81" s="45" t="inlineStr">
        <is>
          <t>Back titration</t>
        </is>
      </c>
      <c r="G81" s="45" t="inlineStr"/>
      <c r="H81" s="45" t="inlineStr"/>
      <c r="I81" s="46" t="n">
        <v>1</v>
      </c>
      <c r="J81" s="45" t="inlineStr">
        <is>
          <t>✅ คำตอบที่ถูกต้อง: ข้อ ก. Acid-base titration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1" s="46" t="n"/>
      <c r="L81" s="45" t="inlineStr">
        <is>
          <t>Titrimetric Analysis</t>
        </is>
      </c>
      <c r="M81" s="46" t="inlineStr">
        <is>
          <t>Product</t>
        </is>
      </c>
      <c r="N81" s="45" t="inlineStr">
        <is>
          <t>ข้อสอบจริง Product ปี 2559 ข้อ 18</t>
        </is>
      </c>
      <c r="O81" s="46" t="inlineStr">
        <is>
          <t>ข้อสอบจริง</t>
        </is>
      </c>
      <c r="P81" s="46" t="inlineStr">
        <is>
          <t>ปี 2559</t>
        </is>
      </c>
    </row>
    <row r="82">
      <c r="A82" s="46" t="n">
        <v>80</v>
      </c>
      <c r="B82" s="45" t="inlineStr">
        <is>
          <t>จากการวิเคราะห์หาปริมาณยา aspirin ดัง monograph จัดเป็นการ titration แบบใด</t>
        </is>
      </c>
      <c r="C82" s="46" t="n"/>
      <c r="D82" s="45" t="inlineStr">
        <is>
          <t>Direct titration</t>
        </is>
      </c>
      <c r="E82" s="45" t="inlineStr">
        <is>
          <t>Indirect titration</t>
        </is>
      </c>
      <c r="F82" s="45" t="inlineStr">
        <is>
          <t>Residual titration</t>
        </is>
      </c>
      <c r="G82" s="45" t="inlineStr">
        <is>
          <t>Precipitation titration</t>
        </is>
      </c>
      <c r="H82" s="45" t="inlineStr">
        <is>
          <t>Complexometrix titration</t>
        </is>
      </c>
      <c r="I82" s="46" t="n">
        <v>1</v>
      </c>
      <c r="J82" s="45" t="inlineStr">
        <is>
          <t>✅ คำตอบที่ถูกต้อง: ข้อ ก. Direct titration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2" s="46" t="n"/>
      <c r="L82" s="45" t="inlineStr">
        <is>
          <t>Titrimetric Analysis</t>
        </is>
      </c>
      <c r="M82" s="46" t="inlineStr">
        <is>
          <t>Product</t>
        </is>
      </c>
      <c r="N82" s="45" t="inlineStr">
        <is>
          <t>ข้อสอบจริง Product ปี 2559 ข้อ 16</t>
        </is>
      </c>
      <c r="O82" s="46" t="inlineStr">
        <is>
          <t>ข้อสอบจริง</t>
        </is>
      </c>
      <c r="P82" s="46" t="inlineStr">
        <is>
          <t>ปี 2559</t>
        </is>
      </c>
    </row>
  </sheetData>
  <mergeCells count="1">
    <mergeCell ref="A1:F1"/>
  </mergeCell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Q1000"/>
  <sheetViews>
    <sheetView workbookViewId="0">
      <pane ySplit="2" topLeftCell="A3" activePane="bottomLeft" state="frozen"/>
      <selection pane="bottomLeft" activeCell="B4" sqref="B4"/>
    </sheetView>
  </sheetViews>
  <sheetFormatPr baseColWidth="8" defaultColWidth="12.6640625" defaultRowHeight="15.75" customHeight="1"/>
  <cols>
    <col width="55.77734375" customWidth="1" style="37" min="2" max="2"/>
  </cols>
  <sheetData>
    <row r="1" ht="26.25" customHeight="1" s="37">
      <c r="A1" s="38">
        <f>HYPERLINK("#gid=0", "🏠 กลับสู่หน้าแรก (Go to Home Page)")</f>
        <v/>
      </c>
      <c r="G1" s="16" t="n"/>
      <c r="H1" s="16" t="n"/>
      <c r="I1" s="16" t="n"/>
      <c r="J1" s="16" t="n"/>
      <c r="K1" s="16" t="n"/>
      <c r="L1" s="16" t="n"/>
      <c r="M1" s="16" t="n"/>
      <c r="N1" s="16" t="n"/>
      <c r="O1" s="16" t="n"/>
      <c r="P1" s="16" t="n"/>
      <c r="Q1" s="16" t="n"/>
    </row>
    <row r="2" ht="64.8" customHeight="1" s="37">
      <c r="A2" s="17" t="inlineStr">
        <is>
          <t>ข้อที่</t>
        </is>
      </c>
      <c r="B2" s="18"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6" t="inlineStr">
        <is>
          <t>ประเภทข้อสอบ</t>
        </is>
      </c>
      <c r="P2" s="16" t="inlineStr">
        <is>
          <t>ปี / เลขชุด</t>
        </is>
      </c>
      <c r="Q2" s="16" t="n"/>
    </row>
    <row r="3" ht="409.6" customHeight="1" s="37">
      <c r="A3" s="19" t="inlineStr">
        <is>
          <t>2</t>
        </is>
      </c>
      <c r="B3" s="20" t="inlineStr">
        <is>
          <t>จากการพิจารณาคุณสมบัติทางเคมีและโครงสร้างของยา Febuxostat (เป็นสารอินทรีย์โมเลกุลขนาดเล็ก มีวงแหวนอะโรมาติก และมีพันธะคู่คอนจูเกต) วิธีการหรือเทคนิคในข้อใดต่อไปนี้ ไม่เหมาะสมที่สุด ในการนำมาพัฒนาเป็นวิธีวิเคราะห์เพื่อควบคุมคุณภาพยา (ทั้งการหาปริมาณตัวยาสำคัญ หรือการพิสูจน์เอกลักษณ์)</t>
        </is>
      </c>
      <c r="C3" s="16" t="n"/>
      <c r="D3" s="16" t="inlineStr">
        <is>
          <t>Atomic Absorption Spectroscopy (AAS; สเปกโทรสโกปีการดูดกลืนแสงของอะตอม)</t>
        </is>
      </c>
      <c r="E3" s="16" t="inlineStr">
        <is>
          <t>High-Performance Liquid Chromatography ควบคู่กับ UV detector (HPLC-UV)</t>
        </is>
      </c>
      <c r="F3" s="16" t="inlineStr">
        <is>
          <t>Liquid Chromatography-Mass Spectrometry (LC-MS)</t>
        </is>
      </c>
      <c r="G3" s="16" t="inlineStr">
        <is>
          <t>Fourier Transform Infrared Spectroscopy (FT-IR)</t>
        </is>
      </c>
      <c r="H3" s="16" t="inlineStr">
        <is>
          <t>UV-Vis Spectrophotometry</t>
        </is>
      </c>
      <c r="I3" s="19" t="inlineStr">
        <is>
          <t>1</t>
        </is>
      </c>
      <c r="J3" s="16" t="inlineStr">
        <is>
          <t>✅ คำตอบที่ถูกต้อง: ข้อ ก. Atomic Absorption Spectroscopy (AAS; สเปกโทรสโกปีการดูดกลืนแสงของอะตอม)
💡 Background:
Febuxostat เป็นยาต้านเอนไซม์ Xanthine oxidase ชนิด Non-purine selective inhibitor มีโครงสร้างเป็นสารอินทรีย์ (Organic molecule, C16H16N2O3S) มีหมู่อะโรมาติก Thiazole และ Phenyl rings
🎯 ทำไมข้อนี้ถึงถูก:
Atomic Absorption Spectroscopy (AAS) เป็นเทคนิคที่ใช้สำหรับวิเคราะห์หา ปริมาณธาตุหรือไอออนโลหะ (Metal ions / Elemental analysis เช่น Na, K, Ca, Fe, Pb, Zn) ในระดับอะตอมอิสระเท่านั้น ไม่สามารถนำมาใช้วิเคราะห์หาปริมาณหรือพิสูจน์เอกลักษณ์ของสารประกอบอินทรีย์โมเลกุลขนาดเล็กที่ซับซ้อนอย่าง Febuxostat ได้ จึงเป็นวิธีที่ ไม่เหมาะสมที่สุด
🔍 ข้ออื่นผิดเพราะอะไร:
• ข้อ ข. (HPLC-UV): เป็นวิธีมาตรฐานตามเภสัชตำรับ (USP/BP) ในการทำ Assay และ Related substances ของยา Febuxostat
• ข้อ ค. (LC-MS): ใช้ตรวจยืนยันเอกลักษณ์ (Identification) และตรวจหาสารสลายตัว (Degradation products)
• ข้อ ง. (FT-IR): เป็นวิธีมาตรฐานในการพิสูจน์เอกลักษณ์ของวัตถุดิบยาเปรียบเทียบกับสารมาตรฐาน
• ข้อ จ. (UV-Vis): โครงสร้างมี Chromophore ดูดกลืนแสง UV ได้ดี สามารถใช้วิเคราะห์ได้
📖 Guideline อ้างอิง:
USP-NF Official Monograph: Febuxostat &amp; British Pharmacopoeia (BP)
📌 จุดจำก่อนสอบ:
• AAS / ICP: ใช้ตรวจเฉพาะธาตุอนินทรีย์หรือโลหะ (Elemental/Metal analysis) เท่านั้น ห้ามใช้กับ intact organic drugs</t>
        </is>
      </c>
      <c r="K3" s="16" t="inlineStr">
        <is>
          <t>Analytical Method Development &amp; QC</t>
        </is>
      </c>
      <c r="L3" s="16" t="inlineStr">
        <is>
          <t>ข้อสอบ Product (Febuxostat Analysis)</t>
        </is>
      </c>
      <c r="M3" s="16" t="inlineStr">
        <is>
          <t>Chromatography</t>
        </is>
      </c>
      <c r="N3" s="16" t="inlineStr">
        <is>
          <t>Mock PLE-CC 1 ข้อ 10</t>
        </is>
      </c>
      <c r="O3" s="16" t="inlineStr">
        <is>
          <t>Mock</t>
        </is>
      </c>
      <c r="P3" s="16" t="inlineStr">
        <is>
          <t>Mock RxCU83</t>
        </is>
      </c>
      <c r="Q3" s="16" t="n"/>
    </row>
    <row r="4" ht="409.6" customHeight="1" s="37">
      <c r="A4" s="19" t="inlineStr">
        <is>
          <t>3</t>
        </is>
      </c>
      <c r="B4" s="20" t="inlineStr">
        <is>
          <t>การตรวจวิเคราะห์หาปริมาณแร่ธาตุโซเดียม (Sodium content) ในผลิตภัณฑ์อาหารและโภชนเภสัชเพื่อจัดทำฉลากโภชนาการและประเมินความเสี่ยงต่อโรคความดันโลหิตสูง เทคนิคการวิเคราะห์ในข้อใดต่อไปนี้มีความแม่นยำ ถูกต้อง และได้รับความน่าเชื่อถือตามมาตรฐานสากลสูงสุด</t>
        </is>
      </c>
      <c r="C4" s="16" t="n"/>
      <c r="D4" s="16" t="inlineStr">
        <is>
          <t>Inductively Coupled Plasma Optical Emission Spectrometry (ICP-OES) หรือ AAS</t>
        </is>
      </c>
      <c r="E4" s="16" t="inlineStr">
        <is>
          <t>UV-Vis Spectrophotometry</t>
        </is>
      </c>
      <c r="F4" s="16" t="inlineStr">
        <is>
          <t>Fourier Transform Infrared Spectroscopy (FTIR)</t>
        </is>
      </c>
      <c r="G4" s="16" t="inlineStr">
        <is>
          <t>Thin Layer Chromatography (TLC)</t>
        </is>
      </c>
      <c r="H4" s="16" t="inlineStr">
        <is>
          <t>High-Performance Liquid Chromatography with UV detector (HPLC-UV)</t>
        </is>
      </c>
      <c r="I4" s="19" t="inlineStr">
        <is>
          <t>1</t>
        </is>
      </c>
      <c r="J4" s="16" t="inlineStr">
        <is>
          <t>✅ คำตอบที่ถูกต้อง: ข้อ ก. Inductively Coupled Plasma Optical Emission Spectrometry (ICP-OES) หรือ AAS
💡 Background:
โซเดียม (Na⁺) เป็นแร่ธาตุอิเล็กโทรไลต์อนินทรีย์เดี่ยว ไม่มีอิเล็กตรอนคู่ควบในโมเลกุลอินทรีย์ ไม่มีโครโมฟอร์ (Chromophore) ที่ดูดกลืนแสง UV-Vis หรือ IR
🎯 ทำไมข้อนี้ถึงถูก:
วิธีมาตรฐานสากลตาม AOAC Official Methods และ US Pharmacopeia สำหรับการหาปริมาณแร่ธาตุและโลหะเดี่ยว (Sodium) ในอาหารและเภสัชภัณฑ์ คือ Atomic Absorption Spectroscopy (AAS) หรือ Inductively Coupled Plasma (ICP-OES / ICP-MS) ซึ่งทำให้ตัวอย่างแตกตัวเป็นไอออนเดี่ยวในเปลวไฟหรือพลาสมา ให้ความถูกต้อง (Accuracy), ความเที่ยง (Precision) และความไวในการตรวจวัดโซเดียมสูงสุด
🔍 ข้ออื่นผิดเพราะอะไร:
• ข้อ ข. (UV-Vis): Na⁺ ไม่ดูดกลืนแสง UV หรือ Visible light จึงไม่สามารถวัดได้โดยตรง
• ข้อ ค. (FTIR): ไม่มีการสั่นของพันธะโควาเลนต์ในไอออนโซเดียมเดี่ยว
• ข้อ ง. (TLC) และ ข้อ จ. (HPLC-UV): ไม่ใช่วิธีมาตรฐานสำหรับไอออนโลหะเดี่ยวที่ไม่มีโครโมฟอร์
📖 Guideline อ้างอิง:
AOAC Official Method 969.23 (Sodium in Foods by AAS) &amp; USP &lt;233&gt; Elemental Impurities
📌 จุดจำก่อนสอบ:
• Elemental / Metal Analysis (Na, K, Ca, Mg, Fe): ใช้ Flame AAS, ICP-OES หรือ ICP-MS เสมอ</t>
        </is>
      </c>
      <c r="K4" s="16" t="inlineStr">
        <is>
          <t>Food &amp; Elemental Analysis</t>
        </is>
      </c>
      <c r="L4" s="16" t="inlineStr">
        <is>
          <t>ข้อสอบ Product (Sodium Analysis in Foods)</t>
        </is>
      </c>
      <c r="M4" s="16" t="inlineStr">
        <is>
          <t>Chromatography</t>
        </is>
      </c>
      <c r="N4" s="16" t="inlineStr">
        <is>
          <t>Mock PLE-CC 1 ข้อ 21</t>
        </is>
      </c>
      <c r="O4" s="16" t="inlineStr">
        <is>
          <t>Mock</t>
        </is>
      </c>
      <c r="P4" s="16" t="inlineStr">
        <is>
          <t>Mock RxCU83</t>
        </is>
      </c>
      <c r="Q4" s="16" t="n"/>
    </row>
    <row r="5" ht="409.6" customHeight="1" s="37">
      <c r="A5" s="19" t="inlineStr">
        <is>
          <t>4</t>
        </is>
      </c>
      <c r="B5" s="20" t="inlineStr">
        <is>
          <t>ในกระบวนการผลิตชีวเภสัชภัณฑ์ (Biopharmaceuticals เช่น Monoclonal Antibodies หรือ Recombinant Proteins) ขั้นตอนในข้อใดต่อไปนี้จัดเป็นกระบวนการต้นน้ำ (Upstream processing)</t>
        </is>
      </c>
      <c r="C5" s="16" t="n"/>
      <c r="D5" s="16" t="inlineStr">
        <is>
          <t>การเพาะเลี้ยงเซลล์ภายในถังหมักชีวภาพ (Cell culture and fermentation in bioreactor) เพื่อผลิตโปรตีนเป้าหมาย</t>
        </is>
      </c>
      <c r="E5" s="16" t="inlineStr">
        <is>
          <t>การทำให้โปรตีนบริสุทธิ์ด้วยคอลัมน์โครมาโทกราฟี (Affinity chromatography purification เช่น Protein A chromatography)</t>
        </is>
      </c>
      <c r="F5" s="16" t="inlineStr">
        <is>
          <t>การกรองกำจัดไวรัสและการกรองแบบละเอียดระดับนาโน (Viral filtration &amp; Ultrafiltration/Diafiltration)</t>
        </is>
      </c>
      <c r="G5" s="16" t="inlineStr">
        <is>
          <t>การเตรียมสูตรตำรับและการผสมสารช่วย (Formulation development &amp; Sterile filtration)</t>
        </is>
      </c>
      <c r="H5" s="16" t="inlineStr">
        <is>
          <t>การบรรจุยาลงในภาชนะบรรจุสุดท้ายแบบปราศจากเชื้อ (Aseptic fill and finish)</t>
        </is>
      </c>
      <c r="I5" s="19" t="inlineStr">
        <is>
          <t>1</t>
        </is>
      </c>
      <c r="J5" s="16" t="inlineStr">
        <is>
          <t>✅ คำตอบที่ถูกต้อง: ข้อ ก. การเพาะเลี้ยงเซลล์ภายในถังหมักชีวภาพ (Cell culture and fermentation in bioreactor) เพื่อผลิตโปรตีนเป้าหมาย
💡 Background:
กระบวนการผลิตชีววัตถุและยาชีววัตถุคล้ายคลึง (Biologics &amp; Biosimilars) แบ่งออกเป็น 2 ช่วงหลักคือ Upstream processing และ Downstream processing
🎯 ทำไมข้อนี้ถึงถูก:
• Upstream Processing (กระบวนการต้นน้ำ): ครอบคลุมตั้งแต่การคัดเลือกสายพันธุ์เซลล์ต้นกำเนิด (Cell line development), การเพาะขยายเซลล์จาก Cell bank, และการเลี้ยงเซลล์ในถังปฏิกรณ์ชีวภาพ (Bioreactor) ภายใต้สภาวะควบคุม (อุณหภูมิ, pH, ออกซิเจน, สารอาหาร) เพื่อให้เซลล์สังเคราะห์โปรตีนเป้าหมายออกมา
🔍 ข้ออื่นผิดเพราะอะไร:
• ข้อ ข., ค., ง., จ.: จัดเป็น Downstream Processing (กระบวนการปลายน้ำ) ทั้งหมด ซึ่งครอบคลุมการเก็บเกี่ยวเซลล์ (Harvesting), การสกัดและทำให้บริสุทธิ์ (Purification ด้วย Chromatography), การกรองไวรัส, การปรับสูตรตำรับ (Formulation) และการบรรจุปราศจากเชื้อ (Fill &amp; finish)
📖 Guideline อ้างอิง:
WHO Guidelines on the Quality, Safety and Efficacy of Biotherapeutic Protein Products &amp; EMA Guidelines
📌 จุดจำก่อนสอบ:
• Upstream Processing: Cell culture, Fermentation, Inoculum expansion ใน Bioreactor
• Downstream Processing: Harvest, Cell lysis, Affinity Chromatography, Ultrafiltration, Aseptic Fill &amp; Finish</t>
        </is>
      </c>
      <c r="K5" s="16" t="inlineStr">
        <is>
          <t>Biotechnology &amp; Upstream Process</t>
        </is>
      </c>
      <c r="L5" s="16" t="inlineStr">
        <is>
          <t>ข้อสอบ Product (Biologics Upstream vs Downstream)</t>
        </is>
      </c>
      <c r="M5" s="16" t="inlineStr">
        <is>
          <t>Chromatography</t>
        </is>
      </c>
      <c r="N5" s="16" t="inlineStr">
        <is>
          <t>Mock PLE-CC 1 ข้อ 78</t>
        </is>
      </c>
      <c r="O5" s="16" t="inlineStr">
        <is>
          <t>Mock</t>
        </is>
      </c>
      <c r="P5" s="16" t="inlineStr">
        <is>
          <t>Mock RxCU83</t>
        </is>
      </c>
      <c r="Q5" s="16" t="n"/>
    </row>
    <row r="6" ht="409.6" customHeight="1" s="37">
      <c r="A6" s="19" t="inlineStr">
        <is>
          <t>5</t>
        </is>
      </c>
      <c r="B6" s="20" t="inlineStr">
        <is>
          <t>ยาเม็ดคุมกำเนิดที่มีตัวยาสำคัญคือ Ethinyl Estradiol (สารสเตียรอยด์สังเคราะห์กลุ่มเอสโตรเจน) เทคนิคหรือเครื่องมือในข้อใดต่อไปนี้ ไม่เหมาะสมที่สุด ในการใช้ตรวจพิสูจน์เอกลักษณ์ (Identification test) ของตัวยาสำคัญตามเภสัชตำรับ</t>
        </is>
      </c>
      <c r="C6" s="16" t="n"/>
      <c r="D6" s="16" t="inlineStr">
        <is>
          <t>Inductively Coupled Plasma Spectroscopy (ICP-OES / ICP-MS)</t>
        </is>
      </c>
      <c r="E6" s="16" t="inlineStr">
        <is>
          <t>Fourier Transform Infrared Spectroscopy (FTIR) เทียบกับสารมาตรฐาน</t>
        </is>
      </c>
      <c r="F6" s="16" t="inlineStr">
        <is>
          <t>High-Performance Liquid Chromatography (HPLC) โดยเปรียบเทียบ Retention time กับสารมาตรฐาน</t>
        </is>
      </c>
      <c r="G6" s="16" t="inlineStr">
        <is>
          <t>Liquid Chromatography-Mass Spectrometry (LC-MS) ตรวจวัด Molecular ion m/z</t>
        </is>
      </c>
      <c r="H6" s="16" t="inlineStr">
        <is>
          <t>Thin Layer Chromatography (TLC) โดยเปรียบเทียบค่า Rf และสีของจุดสาร</t>
        </is>
      </c>
      <c r="I6" s="19" t="inlineStr">
        <is>
          <t>1</t>
        </is>
      </c>
      <c r="J6" s="16" t="inlineStr">
        <is>
          <t>✅ คำตอบที่ถูกต้อง: ข้อ ก. Inductively Coupled Plasma Spectroscopy (ICP-OES / ICP-MS)
💡 Background:
Ethinyl Estradiol เป็นสารสเตียรอยด์กึ่งสังเคราะห์ (C20H24O2) ที่เป็นโมเลกุลอินทรีย์ การตรวจเอกลักษณ์ตามเภสัชตำรับ USP/BP ต้องใช้เทคนิคที่พิสูจน์พันธะและโครงสร้างสารอินทรีย์
🎯 ทำไมข้อนี้ถึงถูก:
ICP-OES และ ICP-MS เป็นเครื่องมือสำหรับตรวจวิเคราะห์ ธาตุโลหะและอโลหะอนินทรีย์ (Elemental analysis) ในระดับร่องรอย โดยจะเผาทำลายโมเลกุลจนกลายเป็นอะตอมเดี่ยว จึงไม่สามารถให้ข้อมูลหมู่ฟังก์ชันหรือโครงสร้างทางเคมีของสารอินทรีย์สเตียรอยด์อย่าง Ethinyl Estradiol ได้เลย จึงเป็นวิธีที่ ไม่เหมาะสมที่สุด
🔍 ข้ออื่นผิดเพราะอะไร:
• ข้อ ข. (FTIR): เป็นวิธี Identification หลักระดับสากลตาม USP &lt;197&gt;
• ข้อ ค. (HPLC): ใช้ยืนยัน Chromatographic retention time ตรงกับ Reference Standard
• ข้อ ง. (LC-MS): ตรวจสอบน้ำหนักโมเลกุลที่แม่นยำ (Exact mass) และ fragmentation
• ข้อ จ. (TLC): เป็นวิธีตรวจสอบเอกลักษณ์ทางเภสัชตำรับที่ง่ายและรวดเร็ว
📖 Guideline อ้างอิง:
USP-NF Official Monograph: Ethinyl Estradiol &amp; British Pharmacopoeia (BP)
📌 จุดจำก่อนสอบ:
• Identification of Organic Drugs (Steroids, Antibiotics, NSAIDs): ใช้ IR, HPLC tR, TLC Rf, UV spectrum หรือ NMR/MS (ห้ามใช้ ICP/AAS)</t>
        </is>
      </c>
      <c r="K6" s="16" t="inlineStr">
        <is>
          <t>Identification of Organic Drugs</t>
        </is>
      </c>
      <c r="L6" s="16" t="inlineStr">
        <is>
          <t>ข้อสอบ Product (Ethinyl Estradiol ID Tests)</t>
        </is>
      </c>
      <c r="M6" s="16" t="inlineStr">
        <is>
          <t>Chromatography</t>
        </is>
      </c>
      <c r="N6" s="16" t="inlineStr">
        <is>
          <t>Mock PLE-CC 1 ข้อ 92</t>
        </is>
      </c>
      <c r="O6" s="16" t="inlineStr">
        <is>
          <t>Mock</t>
        </is>
      </c>
      <c r="P6" s="16" t="inlineStr">
        <is>
          <t>Mock RxCU83</t>
        </is>
      </c>
      <c r="Q6" s="16" t="n"/>
    </row>
    <row r="7" ht="409.6" customHeight="1" s="37">
      <c r="A7" s="19" t="inlineStr">
        <is>
          <t>6</t>
        </is>
      </c>
      <c r="B7" s="20" t="inlineStr">
        <is>
          <t>บริษัทผลิตยาแห่งหนึ่งต้องการปรับปรุงสูตรตำรับยาแก้ปวดสูตรผสม และพัฒนาวิธีวิเคราะห์ปริมาณตัวยาสำคัญด้วยเทคนิค HPLC ฝ่ายประกันคุณภาพต้องการจัดทำเกณฑ์การทดสอบความถูกต้องของวิธีวิเคราะห์ (Method Validation Protocol) ตามแนวทาง ICH Q2(R1) ข้อใดต่อไปนี้เป็นการกำหนดเกณฑ์ที่ไม่ถูกต้องหรือไม่เหมาะสม</t>
        </is>
      </c>
      <c r="C7" s="16" t="n"/>
      <c r="D7" s="16" t="inlineStr">
        <is>
          <t>Linearity: กำหนดช่วงความเข้มข้นของการทดสอบความเป็นเส้นตรงแคบเกินไปเพียง 95%, 105%, และ 110% ของ Label claim</t>
        </is>
      </c>
      <c r="E7" s="16" t="inlineStr">
        <is>
          <t>Specificity: ประเมินความจำเพาะโดยทำการทดสอบ Forced Degradation Studies (สภาวะกรด, ด่าง, ความร้อน, แสง, ออกซิไดซ์)</t>
        </is>
      </c>
      <c r="F7" s="16" t="inlineStr">
        <is>
          <t>Precision: ประเมินทั้ง Repeatability และ Intermediate precision พร้อมกำหนดเกณฑ์การยอมรับ %RSD ไม่เกิน 2.0%</t>
        </is>
      </c>
      <c r="G7" s="16" t="inlineStr">
        <is>
          <t>Accuracy: ประเมินโดยการเติมสารมาตรฐานลงในสูตรยาจำลองที่ไม่มีตัวยา (Placebo spike recovery) ที่ 80%, 100%, และ 120% ของความเข้มข้นเป้าหมาย</t>
        </is>
      </c>
      <c r="H7" s="16" t="inlineStr">
        <is>
          <t>Robustness: ประเมินความคงทนของวิธีโดยการจงใจปรับเปลี่ยนสัดส่วน Mobile phase เล็กน้อย (±2%) และอุณหภูมิคอลัมน์ (±5 °C)</t>
        </is>
      </c>
      <c r="I7" s="19" t="inlineStr">
        <is>
          <t>1</t>
        </is>
      </c>
      <c r="J7" s="16" t="inlineStr">
        <is>
          <t>✅ คำตอบที่ถูกต้อง: ข้อ ก. Linearity: กำหนดช่วงความเข้มข้นของการทดสอบความเป็นเส้นตรงแคบเกินไปเพียง 95%, 105%, และ 110% ของ Label claim
💡 Background:
ตามแนวทางสากล ICH Q2(R1) และ USP &lt;1225&gt; การทดสอบ Linearity และ Range สำหรับวิธีหาปริมาณตัวยาสำคัญ (Assay) ต้องครอบคลุมช่วงความเข้มข้นอย่างน้อย 80% ถึง 120% ของความเข้มข้นทดสอบเป้าหมาย และต้องมีจุดความเข้มข้นไม่น้อยกว่า 5 ระดับ (5 concentration levels)
🎯 ทำไมข้อนี้ถึงถูก:
การกำหนดช่วง Linearity เพียง 95% - 110% (และมีเพียง 3 ระดับ) ถือว่าแคบเกินไปมาก ไม่เป็นไปตามมาตรฐานสากล ICH Q2(R1) ซึ่งกำหนดให้ประเมินอย่างน้อย 80% - 120% ของความเข้มข้นเป้าหมาย เพื่อรองรับความผันแปรของปริมาณตัวยาในผลิตภัณฑ์ยาสำเร็จรูปจริง (Assay acceptance criteria ทั่วไปอยู่ที่ 90.0% - 110.0% หรือ 95.0% - 105.0%)
🔍 ข้ออื่นผิดเพราะอะไร:
• ข้อ ข. (Specificity): การทำ Forced degradation (Stress testing) เป็นวิธีมาตรฐานในการพิสูจน์ Stability-indicating method
• ข้อ ค. (Precision): เกณฑ์ %RSD ≤ 2.0% สำหรับตัวยาสำคัญ (Active substance assay) เป็นเกณฑ์สากลที่ยอมรับได้
• ข้อ ง. (Accuracy): การทำ Spike recovery ที่ 80%, 100%, 120% รวม 9 ซ้ำ เป็นไปตามข้อกำหนด ICH Q2(R1) ทุกประการ
• ข้อ จ. (Robustness): การปรับสัดส่วน Mobile phase และอุณหภูมิเล็กน้อย เป็นหัวข้อมาตรฐานในการประเมินความคงทน
📖 Guideline อ้างอิง:
ICH Harmonised Tripartite Guideline Q2(R1): Validation of Analytical Procedures &amp; USP &lt;1225&gt;
📌 จุดจำก่อนสอบ:
• Linearity Range for Assay: ต้องครอบคลุมอย่างน้อย 80% - 120% ของความเข้มข้นเป้าหมาย และมีอย่างน้อย 5 ระดับความเข้มข้น</t>
        </is>
      </c>
      <c r="K7" s="16" t="inlineStr">
        <is>
          <t>Analytical Method Validation (ICH Q2)</t>
        </is>
      </c>
      <c r="L7" s="16" t="inlineStr">
        <is>
          <t>ข้อสอบ Product (HPLC Validation Linearity Protocol)</t>
        </is>
      </c>
      <c r="M7" s="16" t="inlineStr">
        <is>
          <t>Chromatography</t>
        </is>
      </c>
      <c r="N7" s="16" t="inlineStr">
        <is>
          <t>Mock PLE-CC 1 ข้อ 116</t>
        </is>
      </c>
      <c r="O7" s="16" t="inlineStr">
        <is>
          <t>Mock</t>
        </is>
      </c>
      <c r="P7" s="16" t="inlineStr">
        <is>
          <t>Mock RxCU83</t>
        </is>
      </c>
      <c r="Q7" s="16" t="n"/>
    </row>
    <row r="8" ht="409.6" customHeight="1" s="37">
      <c r="A8" s="19" t="inlineStr">
        <is>
          <t>7</t>
        </is>
      </c>
      <c r="B8" s="20" t="inlineStr">
        <is>
          <t>ในการวิเคราะห์ยา Amitriptyline tablets (pKa ≈ 9.7) ด้วยเทคนิค Reversed-Phase HPLC โดยใช้ Stationary phase เป็น C18 (Octadecylsilane) และ Mobile phase เริ่มต้นเป็น Acetonitrile : Buffer pH 2.5 ในอัตราส่วน 42 : 58 หากปรับเปลี่ยนอัตราส่วนของ Mobile phase เป็น Acetonitrile : Buffer pH 2.5 ในอัตราส่วน 60 : 40 จะส่งผลต่อระยะเวลาคงอยู่ (Retention time; tR) ของตัวยา Amitriptyline อย่างไร</t>
        </is>
      </c>
      <c r="C8" s="16" t="n"/>
      <c r="D8" s="16" t="inlineStr">
        <is>
          <t>Retention time ลดลง เนื่องจากสัดส่วน Organic phase เพิ่มขึ้น ทำให้ความแรงในการชะ (Elution strength) สูงขึ้น สารจึงถูกชะออกจากคอลัมน์เร็วขึ้น</t>
        </is>
      </c>
      <c r="E8" s="16" t="inlineStr">
        <is>
          <t>Retention time เพิ่มขึ้น เนื่องจาก Organic phase เพิ่มขึ้น ทำให้สารเกิดอันตรกิริยากับ Stationary phase แน่นหนาขึ้น</t>
        </is>
      </c>
      <c r="F8" s="16" t="inlineStr">
        <is>
          <t>Retention time ไม่เปลี่ยนแปลง เนื่องจากสัดส่วนของสารละลายบัฟเฟอร์ไม่มีผลต่อการชะของยาในระบบ Reversed-phase</t>
        </is>
      </c>
      <c r="G8" s="16" t="inlineStr">
        <is>
          <t>Retention time เพิ่มขึ้น เนื่องจากยา Amitriptyline แตกตัวเป็นอิสระ (Unionized) มากขึ้น</t>
        </is>
      </c>
      <c r="H8" s="16" t="inlineStr">
        <is>
          <t>ไม่สามารถทำนายผลได้ เนื่องจากขึ้นอยู่กับอัตราการไหล (Flow rate) เพียงอย่างเดียว</t>
        </is>
      </c>
      <c r="I8" s="19" t="inlineStr">
        <is>
          <t>1</t>
        </is>
      </c>
      <c r="J8" s="16" t="inlineStr">
        <is>
          <t>✅ คำตอบที่ถูกต้อง: ข้อ ก. Retention time ลดลง เนื่องจากสัดส่วน Organic phase เพิ่มขึ้น ทำให้ความแรงในการชะ (Elution strength) สูงขึ้น สารจึงถูกชะออกจากคอลัมน์เร็วขึ้น
💡 Background:
ในระบบ Reversed-Phase Chromatography (RP-HPLC):
• Stationary phase เป็น สารไม่มีขั้ว (Non-polar เช่น C18)
• Mobile phase เป็น สารมีขั้ว (Polar เช่น น้ำ/บัฟเฟอร์ ผสมกับ Organic modifier เช่น Acetonitrile หรือ Methanol)
🎯 ทำไมข้อนี้ถึงถูก:
ใน RP-HPLC สารอินทรีย์ (Organic modifier เช่น Acetonitrile) ทำหน้าที่เป็น Strong solvent ที่ช่วยเพิ่มแรงในการชะขั้วต่ำ เมื่อเพิ่มสัดส่วน Acetonitrile จาก 42% เป็น 60% สภาพขั้วของ Mobile phase จะลดลง (Non-polar character เพิ่มขึ้น) ทำให้แรงดึงดูดของ Mobile phase ต่อโมเลกุลยาเพิ่มขึ้นอย่างมาก ตัวยาจึงหลุดออกจากผิวหน้า C18 เร็วขึ้น ส่งผลให้ Retention time (tR) ลดลงอย่างชัดเจน
🔍 ข้ออื่นผิดเพราะอะไร:
• ข้อ ข., ง.: ผิดหลักการ RP-HPLC การเพิ่ม Organic solvent จะลด Retention time เสมอ (ตรงข้ามกับ Normal-phase)
• ข้อ ค.: สัดส่วนของ Organic phase เป็นปัจจัยหลักที่มีอิทธิพลสูงสุดต่อความแรงในการชะ (Elution strength)
• ข้อ จ.: สัดส่วน Mobile phase เป็นตัวกำหนดค่าความจุ (Capacity factor; k') โดยตรง
📖 Guideline อ้างอิง:
USP &lt;621&gt; Chromatography &amp; Snyder Practical HPLC Method Development
📌 จุดจำก่อนสอบ:
• Reversed-Phase Rule: เพิ่ม Organic solvent (% ACN หรือ MeOH) → Elution strength เพิ่มขึ้น → Retention time (tR) ลดลงเสมอ</t>
        </is>
      </c>
      <c r="K8" s="16" t="inlineStr">
        <is>
          <t>Reversed-Phase HPLC</t>
        </is>
      </c>
      <c r="L8" s="16" t="inlineStr">
        <is>
          <t>ข้อสอบ Product (RP-HPLC Mobile Phase Elution Strength)</t>
        </is>
      </c>
      <c r="M8" s="16" t="inlineStr">
        <is>
          <t>Chromatography</t>
        </is>
      </c>
      <c r="N8" s="16" t="inlineStr">
        <is>
          <t>Mock PLE-CC 1 ข้อ 117</t>
        </is>
      </c>
      <c r="O8" s="16" t="inlineStr">
        <is>
          <t>Mock</t>
        </is>
      </c>
      <c r="P8" s="16" t="inlineStr">
        <is>
          <t>Mock RxCU83</t>
        </is>
      </c>
      <c r="Q8" s="16" t="n"/>
    </row>
    <row r="9" ht="409.6" customHeight="1" s="37">
      <c r="A9" s="19" t="inlineStr">
        <is>
          <t>8</t>
        </is>
      </c>
      <c r="B9" s="20" t="inlineStr">
        <is>
          <t>ในการตรวจวิเคราะห์ความบริสุทธิ์ทางโครมาโทกราฟี (Chromatographic Purity) ของวัตถุดิบยา Acyclovir ด้วยเทคนิค HPLC กำหนดเกณฑ์มาตรฐาน: สิ่งเจือปน Guanine ต้องไม่เกิน 2.0% และสิ่งเจือปนอื่นแต่ละตัวต้องไม่เกิน 0.5% หากผลการทดสอบพบพื้นที่ใต้พีค (Peak area) ดังนี้: Guanine = 500, Acyclovir = 19,300, และสิ่งเจือปนอื่น (Other impurity) = 200 จากผลการทดสอบนี้วัตถุดิบยาผ่านเกณฑ์มาตรฐานหรือไม่</t>
        </is>
      </c>
      <c r="C9" s="16" t="n"/>
      <c r="D9" s="16" t="inlineStr">
        <is>
          <t>ไม่ผ่านเกณฑ์มาตรฐาน เนื่องจาก Guanine คิดเป็น 2.5% (เกินเกณฑ์ 2.0%) และสิ่งเจือปนอื่นคิดเป็น 1.0% (เกินเกณฑ์ 0.5%)</t>
        </is>
      </c>
      <c r="E9" s="16" t="inlineStr">
        <is>
          <t>ผ่านเกณฑ์มาตรฐาน เนื่องจาก Guanine และสิ่งเจือปนอื่นมีปริมาณรวมกันน้อยกว่า 5.0%</t>
        </is>
      </c>
      <c r="F9" s="16" t="inlineStr">
        <is>
          <t>ผ่านเกณฑ์มาตรฐาน เนื่องจาก Acyclovir มีความบริสุทธิ์สูงถึง 96.5%</t>
        </is>
      </c>
      <c r="G9" s="16" t="inlineStr">
        <is>
          <t>ไม่ผ่านเกณฑ์มาตรฐาน เนื่องจาก Guanine เกินเกณฑ์เพียงตัวเดียว แต่สิ่งเจือปนอื่นผ่านเกณฑ์</t>
        </is>
      </c>
      <c r="H9" s="16" t="inlineStr">
        <is>
          <t>ไม่สามารถสรุปผลได้เนื่องจากต้องทราบความกว้างของพีค (Peak width) ก่อน</t>
        </is>
      </c>
      <c r="I9" s="19" t="inlineStr">
        <is>
          <t>1</t>
        </is>
      </c>
      <c r="J9" s="16" t="inlineStr">
        <is>
          <t>✅ คำตอบที่ถูกต้อง: ข้อ ก. ไม่ผ่านเกณฑ์มาตรฐาน เนื่องจาก Guanine คิดเป็น 2.5% (เกินเกณฑ์ 2.0%) และสิ่งเจือปนอื่นคิดเป็น 1.0% (เกินเกณฑ์ 0.5%)
💡 Background:
การตรวจวิเคราะห์สิ่งเจือปนที่เกี่ยวข้อง (Related substances / Chromatographic purity) ตามเภสัชตำรับ USP และ BP ใช้วิธี Area Normalization หรือเทียบกับ Reference standard
🎯 ทำไมข้อนี้ถึงถูก:
วิธีคำนวณร้อยละของสิ่งเจือปนจากพื้นที่ใต้พีครวม (Total peak area):
• พื้นที่ใต้พีครวม = 500 (Guanine) + 19,300 (Acyclovir) + 200 (Others) = 20,000
• % Guanine = (500 / 20,000) × 100 = 2.5%
• % Other impurity = (200 / 20,000) × 100 = 1.0%
เมื่อเปรียบเทียบกับเกณฑ์มาตรฐานของเภสัชตำรับ:
1. เกณฑ์ Guanine: ไม่เกิน 2.0% (ผลตรวจได้ 2.5% → ตกเกณฑ์ / ไม่ผ่าน)
2. เกณฑ์ สิ่งเจือปนอื่น: ไม่เกิน 0.5% (ผลตรวจได้ 1.0% → ตกเกณฑ์ / ไม่ผ่าน)
ดังนั้น ตัวอย่างยานี้ ไม่ผ่านเกณฑ์มาตรฐานทั้งสองรายการ
🔍 ข้ออื่นผิดเพราะอะไร:
• ข้อ ข., ค., ง.: เป็นการแปลผลที่ผิดพลาด ไม่ตรงตามตัวเลขการคำนวณจริง
• ข้อ จ.: การคำนวณ %Purity ด้วย Area normalization ใช้เฉพาะ Peak area
📖 Guideline อ้างอิง:
USP-NF Official Monograph: Acyclovir &amp; British Pharmacopoeia (BP) Related Substances
📌 จุดจำก่อนสอบ:
• Chromatographic Purity Calculation: % Impurity = (Area of Impurity / Total Area) × 100
• เกณฑ์ USP Acyclovir: Guanine NMT 2.0%, Individual other impurity NMT 0.5%</t>
        </is>
      </c>
      <c r="K9" s="16" t="inlineStr">
        <is>
          <t>Chromatographic Purity &amp; Related Substances</t>
        </is>
      </c>
      <c r="L9" s="16" t="inlineStr">
        <is>
          <t>ข้อสอบจริง PLE CC 1 (Acyclovir Guanine Impurity)</t>
        </is>
      </c>
      <c r="M9" s="16" t="inlineStr">
        <is>
          <t>Chromatography</t>
        </is>
      </c>
      <c r="N9" s="16" t="inlineStr">
        <is>
          <t>Mock PLE-CC 1 ข้อ 127</t>
        </is>
      </c>
      <c r="O9" s="16" t="inlineStr">
        <is>
          <t>Mock</t>
        </is>
      </c>
      <c r="P9" s="16" t="inlineStr">
        <is>
          <t>Mock RxCU83</t>
        </is>
      </c>
      <c r="Q9" s="16" t="n"/>
    </row>
    <row r="10" ht="409.6" customHeight="1" s="37">
      <c r="A10" s="19" t="inlineStr">
        <is>
          <t>9</t>
        </is>
      </c>
      <c r="B10" s="20"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t>
        </is>
      </c>
      <c r="C10" s="16" t="n"/>
      <c r="D10" s="16" t="inlineStr">
        <is>
          <t>Chromatography</t>
        </is>
      </c>
      <c r="E10" s="16" t="inlineStr">
        <is>
          <t>alpha-1 receptor</t>
        </is>
      </c>
      <c r="F10" s="16" t="inlineStr">
        <is>
          <t>5-HT2A</t>
        </is>
      </c>
      <c r="G10" s="16" t="inlineStr">
        <is>
          <t>M1 receptor</t>
        </is>
      </c>
      <c r="H10" s="16" t="inlineStr">
        <is>
          <t>H1 receptor</t>
        </is>
      </c>
      <c r="I10" s="19" t="inlineStr">
        <is>
          <t>1</t>
        </is>
      </c>
      <c r="J10" s="16" t="inlineStr">
        <is>
          <t>✅ คำตอบที่ถูกต้อง: ข้อ ก. Chromatography
💡 Background:
การบริบาลผู้ป่วยในกลุ่มโรค HPLC (Liquid Chromatography) มุ่งเน้นการควบคุมโรคและลดความเสี่ยงต่อภาวะแทรกซ้อนด้วย evidence-based pharmacotherapy
🎯 ทำไมข้อนี้ถึงถูก:
Chromatography การเลือก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 ข้ออื่นผิดเพราะอะไร:
• ข้อ ข. (alpha-1 receptor): ข้อนี้ไม่ใช่คำตอบที่ถูกต้องสำหรับภาวะ HPLC (Liquid Chromatography) เนื่องจากกลไกการออกฤทธิ์, efficacy หรือข้อบ่งใช้ไม่ตรงกับโจทย์ที่กำหนด
• ข้อ ค. (5-HT2A): ข้อนี้ไม่ใช่คำตอบที่ถูกต้องสำหรับภาวะ HPLC (Liquid Chromatography) เนื่องจากกลไกการออกฤทธิ์, efficacy หรือข้อบ่งใช้ไม่ตรงกับโจทย์ที่กำหนด
• ข้อ ง. (M1 receptor): ข้อนี้ไม่ใช่คำตอบที่ถูกต้องสำหรับภาวะ HPLC (Liquid Chromatography) เนื่องจากกลไกการออกฤทธิ์, efficacy หรือข้อบ่งใช้ไม่ตรงกับโจทย์ที่กำหนด
• ข้อ จ. (H1 receptor):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[NEED_REVIEW]
📌 จุดจำก่อนสอบ:
• Reversed-Phase Chromatography: Stationary phase ไม่มีขั้ว (Non-polar: C18/C8), Mobile phase มีขั้ว (Polar: Water, Methanol, Acetonitrile); สารมีขั้วสูงจะ elute ออกมาก่อน
• System Suitability Parameters: เกณฑ์มาตรฐาน USP: Theoretical plates (N) &gt; 2,000, Tailing factor (T) 0.9-1.5, Resolution (Rs) &gt; 1.5, %RSD &lt; 2.0%
• Gradient vs Isocratic: Gradient elution ปรับเปลี่ยนสัดส่วน mobile phase ระหว่างรัน เหมาะสำหรับตัวอย่างที่มีสารขั้วต่างกันมาก เพื่อลดเวลาการวิเคราะห์</t>
        </is>
      </c>
      <c r="K10" s="16" t="n"/>
      <c r="L10" s="16" t="inlineStr">
        <is>
          <t>HPLC (Liquid Chromatography)</t>
        </is>
      </c>
      <c r="M10" s="16" t="inlineStr">
        <is>
          <t>Chromatography</t>
        </is>
      </c>
      <c r="N10" s="16" t="inlineStr">
        <is>
          <t>PLE_CC1_2567_Key ข้อ 22</t>
        </is>
      </c>
      <c r="O10" s="16" t="inlineStr">
        <is>
          <t>ข้อสอบจริง</t>
        </is>
      </c>
      <c r="P10" s="16" t="inlineStr">
        <is>
          <t>ปี 2567</t>
        </is>
      </c>
      <c r="Q10" s="16" t="inlineStr">
        <is>
          <t>Beta-2 receptor</t>
        </is>
      </c>
    </row>
    <row r="11" ht="409.6" customHeight="1" s="37">
      <c r="A11" s="19" t="inlineStr">
        <is>
          <t>10</t>
        </is>
      </c>
      <c r="B11" s="20" t="inlineStr">
        <is>
          <t>จากข้อกำหนดการวิเคราะห์ปริมาณตัวยาสำคัญ (Assay) ของยา Ezetimibe ด้วยเทคนิค High-Performance Liquid Chromatography (HPLC) เภสัชตำรับระบุว่า Run time: NLT 2.4 times the retention time of ezetimibe peak หากผลการทดสอบพบว่าพีคของ Ezetimibe มี retention time (tR) เท่ากับ 5 นาที ในการวิเคราะห์นี้จะต้องกำหนด Run time ไม่น้อยกว่ากี่นาที</t>
        </is>
      </c>
      <c r="C11" s="16" t="n"/>
      <c r="D11" s="16" t="inlineStr">
        <is>
          <t>12 นาที</t>
        </is>
      </c>
      <c r="E11" s="16" t="inlineStr">
        <is>
          <t>5 นาที</t>
        </is>
      </c>
      <c r="F11" s="16" t="inlineStr">
        <is>
          <t>8 นาที</t>
        </is>
      </c>
      <c r="G11" s="16" t="inlineStr">
        <is>
          <t>10 นาที</t>
        </is>
      </c>
      <c r="H11" s="16" t="inlineStr">
        <is>
          <t>2.4 นาที</t>
        </is>
      </c>
      <c r="I11" s="19" t="inlineStr">
        <is>
          <t>1</t>
        </is>
      </c>
      <c r="J11" s="16" t="inlineStr">
        <is>
          <t>✅ คำตอบที่ถูกต้อง: ข้อ ก. 12 นาที
💡 Background:
การกำหนด Run time ในการวิเคราะห์ด้วยโครมาโทกราฟีเหลวสมรรถนะสูง (HPLC) มีความสำคัญอย่างยิ่งเพื่อให้แน่ใจว่าตัวยาสำคัญและสารประกอบที่เกี่ยวข้อง (Related substances/impurities) หรือสารตัวทำละลาย ถูกชะออกจากคอลัมน์จนหมด ป้องกันปัญหา Carry-over หรือ Ghost peaks ในการฉีดครั้งถัดไป
🎯 ทำไมข้อนี้ถึงถูก:
โจทย์กำหนดเงื่อนไข: Run time ต้องไม่น้อยกว่า 2.4 เท่าของ Retention time ของ Ezetimibe peak
• Retention time (tR) ของ Ezetimibe = 5 นาที
• คำนวณ Run time ขั้นต่ำ = 2.4 × 5 นาที = 12 นาที
ดังนั้น การวิเคราะห์นี้ต้องตั้งเวลา Run time ไม่น้อยกว่า 12 นาที
🔍 ข้ออื่นผิดเพราะอะไร:
• ข้อ ข. (5 นาที): เป็นเพียง retention time ของพีคยาหลัก หากหยุดรันที่ 5 นาที สารอื่นที่ชะออกช้ากว่าจะตกค้างในคอลัมน์
• ข้อ ค., ง., จ.: เป็นตัวเลขที่คำนวณไม่ถูกต้องตามตัวคูณ 2.4 เท่า
📖 Guideline อ้างอิง:
USP-NF Official Monograph: Ezetimibe Tablets &amp; USP &lt;621&gt; Chromatography
📌 จุดจำก่อนสอบ:
• HPLC Run Time Calculation: Run time = Multiplier factor × Retention time (tR)</t>
        </is>
      </c>
      <c r="K11" s="16" t="inlineStr">
        <is>
          <t>HPLC Method Parameters</t>
        </is>
      </c>
      <c r="L11" s="16" t="inlineStr">
        <is>
          <t>ข้อสอบจริง PLE CC 1 ปี 2567 ข้อ 5</t>
        </is>
      </c>
      <c r="M11" s="16" t="inlineStr">
        <is>
          <t>Chromatography</t>
        </is>
      </c>
      <c r="N11" s="16" t="inlineStr">
        <is>
          <t>PLE_CC1_2567_Key ข้อ 23</t>
        </is>
      </c>
      <c r="O11" s="16" t="inlineStr">
        <is>
          <t>ข้อสอบจริง</t>
        </is>
      </c>
      <c r="P11" s="16" t="inlineStr">
        <is>
          <t>ปี 2567</t>
        </is>
      </c>
      <c r="Q11" s="16" t="n"/>
    </row>
    <row r="12" ht="409.6" customHeight="1" s="37">
      <c r="A12" s="19" t="inlineStr">
        <is>
          <t>11</t>
        </is>
      </c>
      <c r="B12" s="20" t="inlineStr">
        <is>
          <t>ในการทดสอบความเหมาะสมของระบบ (System Suitability Test) สำหรับเครื่อง HPLC ตามเกณฑ์เภสัชตำรับ กำหนดสมการคำนวณจำนวนจานทฤษฎีคือ N = 5.54 × (tR / W0.5)² โดยผลการทดสอบพบว่าตัวยามีระยะเวลาคงอยู่ (tR) = 4.0 นาที และความกว้างของพีคที่ครึ่งหนึ่งของความสูงพีค (W0.5) = 0.1 นาที หากเภสัชตำรับกำหนดเกณฑ์ยอมรับของ N ต้องไม่น้อยกว่า 8,000 (NLT 8,000) ผลการทดสอบนี้ผ่านเกณฑ์หรือไม่ และคำนวณได้ค่า N เท่าใด</t>
        </is>
      </c>
      <c r="C12" s="16" t="n"/>
      <c r="D12" s="16" t="inlineStr">
        <is>
          <t>ผ่านเกณฑ์ยอมรับ เนื่องจากคำนวณได้ N = 8,864 (ซึ่ง &gt; 8,000)</t>
        </is>
      </c>
      <c r="E12" s="16" t="inlineStr">
        <is>
          <t>ไม่ผ่านเกณฑ์ยอมรับ เนื่องจากคำนวณได้ N = 4,432 (ซึ่ง &lt; 8,000)</t>
        </is>
      </c>
      <c r="F12" s="16" t="inlineStr">
        <is>
          <t>ผ่านเกณฑ์ยอมรับ เนื่องจากคำนวณได้ N = 11,080 (ซึ่ง &gt; 8,000)</t>
        </is>
      </c>
      <c r="G12" s="16" t="inlineStr">
        <is>
          <t>ไม่ผ่านเกณฑ์ยอมรับ เนื่องจากคำนวณได้ N = 2,216 (ซึ่ง &lt; 8,000)</t>
        </is>
      </c>
      <c r="H12" s="16" t="inlineStr">
        <is>
          <t>ไม่สามารถสรุปได้เนื่องจากต้องทราบค่า Peak tailing factor (T) ก่อน</t>
        </is>
      </c>
      <c r="I12" s="19" t="inlineStr">
        <is>
          <t>1</t>
        </is>
      </c>
      <c r="J12" s="16" t="inlineStr">
        <is>
          <t>✅ คำตอบที่ถูกต้อง: ข้อ ก. ผ่านเกณฑ์ยอมรับ เนื่องจากคำนวณได้ N = 8,864 (ซึ่ง &gt; 8,000)
💡 Background:
จำนวนจานทฤษฎี (Number of Theoretical Plates; N) เป็นพารามิเตอร์ใน System Suitability Test ตาม USP &lt;621&gt; ที่บ่งบอกถึง ประสิทธิภาพของคอลัมน์ (Column efficiency) ยิ่งค่า N สูง แสดงว่าพีคแคบแหลม คอลัมน์มีประสิทธิภาพการแยกสูง
🎯 ทำไมข้อนี้ถึงถูก:
จากสูตรคำนวณตามเภสัชตำรับ: N = 5.54 × (tR / W0.5)²
• แทนค่า tR = 4.0 นาที และ W0.5 = 0.1 นาที
• (tR / W0.5) = 4.0 / 0.1 = 40
• (40)² = 1,600
• N = 5.54 × 1,600 = 8,864 plates
เนื่องจากเกณฑ์ระบุ NLT 8,000 และค่าที่ได้คือ 8,864 ดังนั้น ผลการทดสอบจึง ผ่านเกณฑ์การยอมรับ
🔍 ข้ออื่นผิดเพราะอะไร:
• ข้อ ข., ค., ง.: เป็นตัวเลขที่คำนวณผิดพลาดทางคณิตศาสตร์
• ข้อ จ.: ค่า N สามารถคำนวณและสรุปผลตามเกณฑ์ Column efficiency ได้โดยตรง
📖 Guideline อ้างอิง:
USP &lt;621&gt; Chromatography – System Suitability &amp; European Pharmacopoeia (Ph. Eur.) 2.2.46
📌 จุดจำก่อนสอบ:
• Theoretical Plates formula: N = 16 × (tR / W)² (ใช้ความกว้างที่ฐาน) หรือ N = 5.54 × (tR / W0.5)² (ใช้ความกว้างที่ครึ่งความสูง)</t>
        </is>
      </c>
      <c r="K12" s="16" t="inlineStr">
        <is>
          <t>System Suitability (Theoretical Plates)</t>
        </is>
      </c>
      <c r="L12" s="16" t="inlineStr">
        <is>
          <t>ข้อสอบ Product (Column Efficiency N Calculation)</t>
        </is>
      </c>
      <c r="M12" s="16" t="inlineStr">
        <is>
          <t>Chromatography</t>
        </is>
      </c>
      <c r="N12" s="16" t="inlineStr">
        <is>
          <t>PLE_CC1_2565_Day1_Key ข้อ 87</t>
        </is>
      </c>
      <c r="O12" s="16" t="inlineStr">
        <is>
          <t>ข้อสอบจริง</t>
        </is>
      </c>
      <c r="P12" s="16" t="inlineStr">
        <is>
          <t>ปี 2565</t>
        </is>
      </c>
      <c r="Q12" s="16" t="n"/>
    </row>
    <row r="13" ht="409.6" customHeight="1" s="37">
      <c r="A13" s="19" t="inlineStr">
        <is>
          <t>12</t>
        </is>
      </c>
      <c r="B13" s="20" t="inlineStr">
        <is>
          <t>ในการทดสอบเอกลักษณ์และความบริสุทธิ์ของสารด้วยเทคนิค Thin Layer Chromatography (Normal-Phase TLC โดยใช้ Silica gel เป็นวัฏภาคคงที่ และตัวทำละลายอินทรีย์ที่มีขั้วต่ำเป็นวัฏภาคเคลื่อนที่) กำหนดให้สาร A คือ Metronidazole, สาร B คือ Metronidazole + Carboxyl group, และสาร C คือ Metronidazole + Hydroxyl + Carboxyl group จงเปรียบเทียบและเรียงลำดับค่า Retardation factor (Rf) ของสารทั้งสามจากน้อยไปหามาก</t>
        </is>
      </c>
      <c r="C13" s="16" t="n"/>
      <c r="D13" s="16" t="inlineStr">
        <is>
          <t>สาร C &lt; สาร B &lt; สาร A (สาร C มีค่า Rf ต่ำที่สุด และ สาร A มีค่า Rf สูงที่สุด)</t>
        </is>
      </c>
      <c r="E13" s="16" t="inlineStr">
        <is>
          <t>สาร A &lt; สาร B &lt; สาร C</t>
        </is>
      </c>
      <c r="F13" s="16" t="inlineStr">
        <is>
          <t>สาร B &lt; สาร C &lt; สาร A</t>
        </is>
      </c>
      <c r="G13" s="16" t="inlineStr">
        <is>
          <t>สาร A &lt; สาร C &lt; สาร B</t>
        </is>
      </c>
      <c r="H13" s="16" t="inlineStr">
        <is>
          <t>สารทั้งสามมีค่า Rf เท่ากันเนื่องจากมีโครงสร้างหลักเป็น Metronidazole เหมือนกัน</t>
        </is>
      </c>
      <c r="I13" s="19" t="inlineStr">
        <is>
          <t>1</t>
        </is>
      </c>
      <c r="J13" s="16" t="inlineStr">
        <is>
          <t>✅ คำตอบที่ถูกต้อง: ข้อ ก. สาร C &lt; สาร B &lt; สาร A (สาร C มีค่า Rf ต่ำที่สุด และ สาร A มีค่า Rf สูงที่สุด)
💡 Background:
ใน Normal-Phase Thin Layer Chromatography (TLC):
• วัฏภาคคงที่ (Stationary Phase; SP) คือ Silica gel ซึ่งมีหมู่ Silanol (-Si-OH) มีสภาพขั้วสูงมาก (Strongly polar)
• วัฏภาคเคลื่อนที่ (Mobile Phase; MP) คือ ตัวทำละลายอินทรีย์ที่มีขั้วต่ำกว่า SP
🎯 ทำไมข้อนี้ถึงถูก:
หลักการแยกของ Normal-Phase TLC อาศัยแรงดูดซับ (Adsorption):
• สารที่มีขั้วสูง (Polar analyte) จะจับกับ Silica gel ได้แน่นหนามาก จึงเคลื่อนที่ช้า และมีค่า Rf ต่ำ
• สารที่มีขั้วต่ำ (Non-polar analyte) จะจับกับ Silica gel ได้น้อยกว่า และละลายเคลื่อนที่ไปกับ Mobile phase ได้ไกลกว่า จึงมีค่า Rf สูง
เมื่อพิจารณาหมู่ฟังก์ชัน:
• สาร C มีทั้งหมู่ -OH และ -COOH จึงมีสภาพขั้วสูงสุด (Most polar) → จับแน่นที่สุด → Rf ต่ำสุด
• สาร B มีหมู่ -COOH จึงมีสภาพขั้วปานกลาง → Rf ปานกลาง
• สาร A (Metronidazole ดั้งเดิม) ไม่มีหมู่กรดหรือไฮดรอกซิลเพิ่มเติม จึงมีสภาพขั้วน้อยที่สุดในกลุ่ม (Least polar) → เคลื่อนที่ไปได้ไกลสุด → Rf สูงสุด
ดังนั้น ลำดับค่า Rf จากน้อยไปมากคือ สาร C &lt; สาร B &lt; สาร A
🔍 ข้ออื่นผิดเพราะอะไร:
• ข้อ ข., ค., ง.: เรียงลำดับความมีขั้วและการเคลื่อนที่บนแผ่น Silica gel สลับกัน
• ข้อ จ.: สารที่มีอนุพันธ์และหมู่ฟังก์ชันต่างกันจะมีความมีขั้วต่างกัน จึงมีค่า Rf ไม่เท่ากัน
📖 Guideline อ้างอิง:
USP &lt;621&gt; Chromatography &amp; British Pharmacopoeia (BP) TLC Identification Tests
📌 จุดจำก่อนสอบ:
• Normal-Phase TLC: สารขั้วสูง (Polar) จับกับ Silica gel แน่น → เคลื่อนที่ได้สั้น → Rf ต่ำ
• สารขั้วต่ำ (Non-polar) ละลายใน Mobile phase ดี → เคลื่อนที่ได้ไกล → Rf สูง</t>
        </is>
      </c>
      <c r="K13" s="16" t="inlineStr">
        <is>
          <t>Thin Layer Chromatography (TLC)</t>
        </is>
      </c>
      <c r="L13" s="16" t="inlineStr">
        <is>
          <t>ข้อสอบจริง PLE CC 1 ปี 2559 (TLC Polarity &amp; Rf)</t>
        </is>
      </c>
      <c r="M13" s="16" t="inlineStr">
        <is>
          <t>Chromatography</t>
        </is>
      </c>
      <c r="N13" s="16" t="inlineStr">
        <is>
          <t>PLE_CC1_2565_Day2_Key ข้อ 65</t>
        </is>
      </c>
      <c r="O13" s="16" t="inlineStr">
        <is>
          <t>ข้อสอบจริง</t>
        </is>
      </c>
      <c r="P13" s="16" t="inlineStr">
        <is>
          <t>ปี 2565</t>
        </is>
      </c>
      <c r="Q13" s="16" t="n"/>
    </row>
    <row r="14" ht="409.6" customHeight="1" s="37">
      <c r="A14" s="19" t="inlineStr">
        <is>
          <t>13</t>
        </is>
      </c>
      <c r="B14" s="20" t="inlineStr">
        <is>
          <t>ตามเภสัชตำรับ USP &lt;621&gt; Chromatography กำหนดให้ใช้คอลัมน์ชนิด Packing L1 ข้อใดต่อไปนี้กล่าวไม่ถูกต้อง</t>
        </is>
      </c>
      <c r="C14" s="16" t="n"/>
      <c r="D14" s="16" t="inlineStr">
        <is>
          <t>จัดเป็นการแยกในระบบ Normal-Phase Chromatography</t>
        </is>
      </c>
      <c r="E14" s="16" t="inlineStr">
        <is>
          <t>เฟสคงที่ (Stationary phase) คือ Octadecyl silane (C18) บน silica support</t>
        </is>
      </c>
      <c r="F14" s="16" t="inlineStr">
        <is>
          <t>สารที่มีขั้วสูงกว่าจะถูกชะออกจากคอลัมน์ออกมาก่อนสารไม่มีขั้ว</t>
        </is>
      </c>
      <c r="G14" s="16" t="inlineStr">
        <is>
          <t>การเพิ่มสัดส่วนตัวทำละลายอินทรีย์ในเฟสเคลื่อนที่จะลดเวลา Retention time ลง</t>
        </is>
      </c>
      <c r="H14" s="16" t="inlineStr">
        <is>
          <t>เป็นระบบโครมาโทกราฟีของเหลวสมรรถนะสูงชนิด Reversed-Phase</t>
        </is>
      </c>
      <c r="I14" s="19" t="inlineStr">
        <is>
          <t>1</t>
        </is>
      </c>
      <c r="J14" s="16" t="inlineStr">
        <is>
          <t>✅ คำตอบที่ถูกต้อง: ข้อ ก. เป็นระบบ Normal Phase (ข้อความนี้ไม่ถูกต้อง)
💡 Background:
ตามเภสัชตำรับ USP &lt;621&gt; Chromatography ข้อกำหนดชนิดของสารตัวเติมในคอลัมน์ (Column Packing) ชนิด L1 หมายถึง Octadecyl silane (C18) chemically bonded to porous silica or ceramic particles
🎯 ทำไมข้อนี้ถึงถูก:
คอลัมน์ C18 (Packing L1) เป็นเฟสคงที่ชนิดไม่มีขั้ว (Nonpolar stationary phase) ซึ่งใช้ในระบบ Reversed-Phase Chromatography (โดยมีเฟสเคลื่อนที่เป็นสารละลายที่มีขั้ว เช่น Water, Methanol, Acetonitrile) ดังนั้น การระบุว่าเป็น Normal Phase จึงเป็นข้อความที่ผิดอย่างยิ่ง
🔍 ข้ออื่นผิดเพราะอะไร:
• ข้อ ข. เฟสคงที่คือ Octadecyl silane (C18): ถูกต้องตามนิยาม USP L1
• ข้อ ค. สารที่มีขั้วมากกว่าจะถูกชะออกมาก่อน: ถูกต้องในระบบ Reversed Phase
• ข้อ ง. การเพิ่มสัดส่วนตัวทำละลายอินทรีย์จะทำให้สารชะเร็วขึ้น: ถูกต้องในระบบ Reversed Phase
• ข้อ จ. นิยมใช้ตรวจวิเคราะห์ยาแผนปัจจุบันส่วนใหญ่: ถูกต้อง RP-HPLC ครองสัดส่วนกว่า 80%
📖 Guideline อ้างอิง:
United States Pharmacopeia USP &lt;621&gt; Chromatography (Chromatographic Columns: Packing L1)
📌 จุดจำก่อนสอบ:
USP Packing L1 = C18 (Octadecyl silane) เป็น Reversed-Phase เสมอ! ถ้าบอกว่าเป็น Normal Phase = ผิดทันที</t>
        </is>
      </c>
      <c r="K14" s="16" t="n"/>
      <c r="L14" s="16" t="inlineStr">
        <is>
          <t>HPLC Column Specifications</t>
        </is>
      </c>
      <c r="M14" s="16" t="inlineStr">
        <is>
          <t>Product</t>
        </is>
      </c>
      <c r="N14" s="16" t="inlineStr">
        <is>
          <t>ข้อสอบเก่า 2561 ข้อ 107</t>
        </is>
      </c>
      <c r="O14" s="16" t="inlineStr">
        <is>
          <t>ข้อสอบเก่า</t>
        </is>
      </c>
      <c r="P14" s="19" t="inlineStr">
        <is>
          <t>2561</t>
        </is>
      </c>
      <c r="Q14" s="16" t="n"/>
    </row>
    <row r="15" ht="409.6" customHeight="1" s="37">
      <c r="A15" s="19" t="inlineStr">
        <is>
          <t>14</t>
        </is>
      </c>
      <c r="B15" s="20" t="inlineStr">
        <is>
          <t>ตามเภสัชตำรับ USP Monograph ในการตรวจวิเคราะห์หาปริมาณตัวยาสำคัญ (% Label Amount / Assay) ของยาเม็ด Simvastatin tablets กำหนดให้ใช้วิธีวิเคราะห์ใดเป็นวิธีมาตรฐาน</t>
        </is>
      </c>
      <c r="C15" s="16" t="n"/>
      <c r="D15" s="16" t="inlineStr">
        <is>
          <t>High Performance Liquid Chromatography (HPLC)</t>
        </is>
      </c>
      <c r="E15" s="16" t="inlineStr">
        <is>
          <t>Gas Chromatography (GC)</t>
        </is>
      </c>
      <c r="F15" s="16" t="inlineStr">
        <is>
          <t>Thin Layer Chromatography (TLC)</t>
        </is>
      </c>
      <c r="G15" s="16" t="inlineStr">
        <is>
          <t>Mass Spectrometry (MS)</t>
        </is>
      </c>
      <c r="H15" s="16" t="inlineStr">
        <is>
          <t>Direct UV-Visible Spectrophotometry</t>
        </is>
      </c>
      <c r="I15" s="19" t="inlineStr">
        <is>
          <t>1</t>
        </is>
      </c>
      <c r="J15" s="16" t="inlineStr">
        <is>
          <t>✅ คำตอบที่ถูกต้อง: ข้อ ก. HPLC (High Performance Liquid Chromatography)
💡 Background:
ยา Simvastatin เป็นยาลดไขมันกลุ่ม HMG-CoA reductase inhibitor ซึ่งมีโครงสร้างเป็นสารประกอบแลกโทน (Lactone prodrug) และไวต่อการเกิดปฏิกิริยาไฮโดรไลซิสเป็นสารอนุพันธ์กรด (Hydroxy acid form)
🎯 ทำไมข้อนี้ถึงถูก:
ตามเภสัชตำรับ USP Monograph for Simvastatin Tablets กำหนดให้ใช้วิธี HPLC (Reversed-phase C18 ร่วมกับ UV Detector ที่ความยาวคลื่น 238 nm) เป็นวิธีมาตรฐานในการตรวจหาปริมาณตัวยาสำคัญ (% Label Amount) เนื่องจากมีความจำเพาะและสามารถแยก Simvastatin ออกจากสารสลายตัวและอนุพันธ์ที่เกี่ยวข้องได้อย่างมีประสิทธิภาพ
🔍 ข้ออื่นผิดเพราะอะไร:
• ข้อ ข. GC: Simvastatin เป็นโมเลกุลขนาดใหญ่ ไม่ทนความร้อนสูงและระเหยยาก ไม่เหมาะกับ GC
• ข้อ ค. TLC: ความแม่นยำเชิงปริมาณไม่เพียงพอสำหรับ Finished product assay
• ข้อ ง. Mass spectrometry: มีความซับซ้อนและค่าใช้จ่ายสูงเกินจำเป็นสำหรับการตรวจวิเคราะห์ประจำรุ่น (Routine QC assay)
• ข้อ จ. UV-visible spectrophotometry: ขาดความจำเพาะ ไม่สามารถแยกสารสลายตัวที่ดูดกลืนแสงในช่วงเดียวกันได้
📖 Guideline อ้างอิง:
United States Pharmacopeia USP Monograph: Simvastatin Tablets (Assay)
📌 จุดจำก่อนสอบ:
การวิเคราะห์ %Assay ของ Simvastatin ในเภสัชตำรับ USP: วิธีมาตรฐานสากลคือ RP-HPLC (C18, UV detector)</t>
        </is>
      </c>
      <c r="K15" s="16" t="n"/>
      <c r="L15" s="16" t="inlineStr">
        <is>
          <t>Monograph Assay &amp; HPLC</t>
        </is>
      </c>
      <c r="M15" s="16" t="inlineStr">
        <is>
          <t>Product</t>
        </is>
      </c>
      <c r="N15" s="16" t="inlineStr">
        <is>
          <t>ข้อสอบเก่า / เภสัชตำรับ USP</t>
        </is>
      </c>
      <c r="O15" s="16" t="inlineStr">
        <is>
          <t>ข้อสอบเก่า</t>
        </is>
      </c>
      <c r="P15" s="16" t="inlineStr">
        <is>
          <t>USP</t>
        </is>
      </c>
      <c r="Q15" s="16" t="n"/>
    </row>
    <row r="16" ht="409.6" customHeight="1" s="37">
      <c r="A16" s="16" t="n">
        <v>14</v>
      </c>
      <c r="B16" s="20" t="inlineStr">
        <is>
          <t>ในการตรวจวิเคราะห์ยา Omeprazole และสารปนเปื้อน Omeprazole Related Compound A ด้วยเครื่อง HPLC พบว่าพีคของสารทั้งสองมี Retention time เท่ากับ 3.0 นาที และ 6.0 นาที ตามลำดับ โดยมีความกว้างของพีคที่ฐาน (Peak width at baseline; W) เท่ากับ 0.30 นาที และ 0.325 นาที ตามลำดับ จงคำนวณหาค่า Resolution (Rs) ระหว่างพีคทั้งสองตามเกณฑ์เภสัชตำรับ USP</t>
        </is>
      </c>
      <c r="C16" s="16" t="n"/>
      <c r="D16" s="19" t="inlineStr">
        <is>
          <t>9.6</t>
        </is>
      </c>
      <c r="E16" s="19" t="inlineStr">
        <is>
          <t>4.8</t>
        </is>
      </c>
      <c r="F16" s="19" t="inlineStr">
        <is>
          <t>2.4</t>
        </is>
      </c>
      <c r="G16" s="19" t="inlineStr">
        <is>
          <t>0.625</t>
        </is>
      </c>
      <c r="H16" s="19" t="inlineStr">
        <is>
          <t>1.5</t>
        </is>
      </c>
      <c r="I16" s="19" t="inlineStr">
        <is>
          <t>1</t>
        </is>
      </c>
      <c r="J16" s="16" t="inlineStr">
        <is>
          <t>✅ คำตอบที่ถูกต้อง: ข้อ ก. 9.6
💡 Background:
Resolution (Rs) เป็นค่าที่บอกความสามารถของระบบโครมาโทกราฟีในการแยกพีคสองพีคที่อยู่ติดกันออกจากกันได้อย่างสมบูรณ์หรือไม่ เกณฑ์ยอมรับทั่วไปของ Baseline separation คือ Rs ≥ 1.5
🎯 ทำไมข้อนี้ถึงถูก:
ตามสูตร USP &lt;621&gt;: Rs = 2 × (tR2 - tR1) / (W1 + W2)
• tR1 = 3.0 นาที, tR2 = 6.0 นาที → (tR2 - tR1) = 3.0 นาที
• W1 = 0.30 นาที, W2 = 0.325 นาที → (W1 + W2) = 0.625 นาที
• Rs = (2 × 3.0) / 0.625 = 6.0 / 0.625 = 9.6
ดังนั้น ค่า Resolution มีค่าเท่ากับ 9.6
🔍 ข้ออื่นผิดเพราะอะไร:
• ข้อ ข. (4.8): ลืมคูณ 2 ในสูตร (คำนวณเฉพาะ ΔtR / ΣW)
• ข้อ ค., ง., จ.: ตัวเลขการคำนวณไม่ถูกต้อง
📖 Guideline อ้างอิง:
USP &lt;621&gt; Chromatography &amp; British Pharmacopoeia (BP)
📌 จุดจำก่อนสอบ:
• Resolution Formula: Rs = 2(tR2 - tR1) / (W1 + W2)
• Baseline Separation Standard: Rs ≥ 1.5</t>
        </is>
      </c>
      <c r="K16" s="16" t="inlineStr">
        <is>
          <t>System Suitability (Resolution)</t>
        </is>
      </c>
      <c r="L16" s="16" t="inlineStr">
        <is>
          <t>ข้อสอบ Product (HPLC Resolution Calculation)</t>
        </is>
      </c>
      <c r="M16" s="16" t="inlineStr">
        <is>
          <t>Product</t>
        </is>
      </c>
      <c r="N16" s="16" t="inlineStr">
        <is>
          <t>ข้อ 125 (PLE_CC1_2561_Key.md)</t>
        </is>
      </c>
      <c r="O16" s="16" t="inlineStr">
        <is>
          <t>ข้อสอบจริง</t>
        </is>
      </c>
      <c r="P16" s="16" t="inlineStr">
        <is>
          <t>ปี 2561</t>
        </is>
      </c>
      <c r="Q16" s="16" t="n"/>
    </row>
    <row r="17" ht="409.6" customHeight="1" s="37">
      <c r="A17" s="19" t="inlineStr">
        <is>
          <t>16</t>
        </is>
      </c>
      <c r="B17" s="20" t="inlineStr">
        <is>
          <t>ตำรับ Clotrimazole cream มีส่วนประกอบได้แก่ Clotrimazole, Methylparaben, Propylparaben, Mineral oil, Glycerin, Propylene glycol, และ Cetyl alcohol หากนำตำรับนี้มาวิเคราะห์ด้วยเทคนิค RP-HPLC ร่วมกับเครื่องตรวจวัด UV Detector จะปรากฏสัญญาณโครมาโทแกรมทั้งหมดกี่ Peak</t>
        </is>
      </c>
      <c r="C17" s="16" t="n"/>
      <c r="D17" s="16" t="inlineStr">
        <is>
          <t>1 peak</t>
        </is>
      </c>
      <c r="E17" s="16" t="inlineStr">
        <is>
          <t>2 peaks</t>
        </is>
      </c>
      <c r="F17" s="16" t="inlineStr">
        <is>
          <t>3 peaks</t>
        </is>
      </c>
      <c r="G17" s="16" t="inlineStr">
        <is>
          <t>5 peaks</t>
        </is>
      </c>
      <c r="H17" s="16" t="inlineStr">
        <is>
          <t>7 peaks</t>
        </is>
      </c>
      <c r="I17" s="19" t="inlineStr">
        <is>
          <t>3</t>
        </is>
      </c>
      <c r="J17" s="16" t="inlineStr">
        <is>
          <t>✅ คำตอบที่ถูกต้อง: ข้อ ค. 3 peaks (Clotrimazole, Methylparaben, และ Propylparaben)
💡 Background:
เครื่องตรวจวัดชนิด UV-Visible Detector ในระบบ HPLC จะตรวจจับเฉพาะสารที่มีหมู่ให้สี (Chromophores) เช่น พันธะคู่คอนจูเกต (Conjugated double bonds) หรือวงแหวนเบนซีน (Aromatic rings) ที่ดูดกลืนแสง UV
🎯 ทำไมข้อนี้ถึงถูก:
เมื่อวิเคราะห์ส่วนประกอบในตำรับ Clotrimazole cream:
1. Clotrimazole: มีวงแหวนแอโรแมติกถึง 3 วงและวงอิมิดาโซล -&gt; ดูดกลืน UV ดีเยี่ยม (เกิด Peak ที่ 1)
2. Methylparaben: มีวงแหวนฟีนอลและเอสเทอร์ -&gt; ดูดกลืน UV ดีเยี่ยม (เกิด Peak ที่ 2)
3. Propylparaben: มีวงแหวนฟีนอลและเอสเทอร์ -&gt; ดูดกลืน UV ดีเยี่ยม (เกิด Peak ที่ 3)
ส่วน Mineral oil, Glycerin, Propylene glycol, และ Cetyl alcohol ล้วนเป็นสารประกอบแอลิแฟติกอิ่มตัว (Aliphatic hydrocarbons/polyols) ที่ไม่มีโครโมฟอร์ จึงไม่ดูดกลืนแสง UV และ ไม่ปรากฏ Peak บนโครมาโทแกรม ทำให้ตรวจพบทั้งหมด 3 Peaks อย่างชัดเจน
🔍 ข้ออื่นผิดเพราะอะไร:
• ข้อ ก. (1 peak): เข้าใจผิดว่าเห็นเฉพาะตัวยาสำคัญ Clotrimazole ลืมคิดถึงสารกันเสียกลุ่ม Parabens
• ข้อ ข. (2 peaks): นับสารไม่ครบ
• ข้อ ง. (5 peaks) และ ข้อ จ. (7 peaks): นับรวมสารกระสายยาแอลิแฟติกที่ไม่มีโครโมฟอร์เข้ามาด้วย
📖 Guideline อ้างอิง:
USP Monograph for Clotrimazole Cream &amp; Principles of Instrumental Analysis (Skoog, Holler, Crouch)
📌 จุดจำก่อนสอบ:
UV Detector จะเห็นเฉพาะสารที่มีวงเบนซีน/พันธะคู่สลับ (Chromophore): Clotrimazole + Methylparaben + Propylparaben = 3 peaks! ส่วนไขมัน/แอลกอฮอล์/น้ำมัน ไม่มี UV peak!</t>
        </is>
      </c>
      <c r="K17" s="16" t="n"/>
      <c r="L17" s="16" t="inlineStr">
        <is>
          <t>HPLC Detectors &amp; Chromophores</t>
        </is>
      </c>
      <c r="M17" s="16" t="inlineStr">
        <is>
          <t>Product</t>
        </is>
      </c>
      <c r="N17" s="16" t="inlineStr">
        <is>
          <t>ข้อสอบเก่า 2560 ข้อ 6 / RxCU73</t>
        </is>
      </c>
      <c r="O17" s="16" t="inlineStr">
        <is>
          <t>ข้อสอบเก่า</t>
        </is>
      </c>
      <c r="P17" s="19" t="inlineStr">
        <is>
          <t>2560</t>
        </is>
      </c>
      <c r="Q17" s="16" t="n"/>
    </row>
    <row r="18" ht="409.6" customHeight="1" s="37">
      <c r="A18" s="16" t="n">
        <v>16</v>
      </c>
      <c r="B18" s="20" t="inlineStr">
        <is>
          <t>วิเคราะห์ Paracetamol ให้ USP มา บอกว่า ชั่ง Paracetamol 500 mg 20 เม็ด ได้ 20.50 กรัม และชั่งผง ยามา 140 mg หลังจากวิเคราะห์ด้วย HPLC ได้ พื นที่ใต้กราฟของตัวอย่าง 2500 และ Standard (Paracetamol 0.1 mg/ml) 2500 ถามว่า %LA เท่าใด</t>
        </is>
      </c>
      <c r="C18" s="16" t="n"/>
      <c r="D18" s="22" t="n">
        <v>1</v>
      </c>
      <c r="E18" s="22" t="n">
        <v>0.68</v>
      </c>
      <c r="F18" s="22" t="n">
        <v>1.46</v>
      </c>
      <c r="G18" s="22" t="n">
        <v>0.84</v>
      </c>
      <c r="H18" s="22" t="n">
        <v>0.72</v>
      </c>
      <c r="I18" s="16" t="n">
        <v>1</v>
      </c>
      <c r="J18" s="16" t="inlineStr">
        <is>
          <t>✅ คำตอบที่ถูกต้อง: ข้อ ก. 100%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คำอธิบายและเหตุผลทางเภสัชกรรม:
💡 คำอธิบายและเหตุผลทางเภสัชกรรม:
การเลือก 100%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ข้อนี้ไม่ใช่คำตอบที่ถูกต้องสำหรับภาวะ HPLC (Liquid Chromatography) เนื่องจากกลไกการออกฤทธิ์, efficacy หรือข้อบ่งใช้ไม่ตรงกับโจทย์ที่กำหนด
• ข้อ ค. (146%): ข้อนี้ไม่ใช่คำตอบที่ถูกต้องสำหรับภาวะ HPLC (Liquid Chromatography) เนื่องจากกลไกการออกฤทธิ์, efficacy หรือข้อบ่งใช้ไม่ตรงกับโจทย์ที่กำหนด
• ข้อ ง. (84%): ข้อนี้ไม่ใช่คำตอบที่ถูกต้องสำหรับภาวะ HPLC (Liquid Chromatography) เนื่องจากกลไกการออกฤทธิ์, efficacy หรือข้อบ่งใช้ไม่ตรงกับโจทย์ที่กำหนด
• ข้อ จ. (72%):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 t="n"/>
      <c r="L18" s="16" t="inlineStr">
        <is>
          <t>HPLC (Liquid Chromatography)</t>
        </is>
      </c>
      <c r="M18" s="16" t="inlineStr">
        <is>
          <t>Product</t>
        </is>
      </c>
      <c r="N18" s="16" t="inlineStr">
        <is>
          <t>ข้อ 7 (PLE_CC1_2560 22 April Set 1.md)</t>
        </is>
      </c>
      <c r="O18" s="16" t="inlineStr">
        <is>
          <t>ข้อสอบจริง</t>
        </is>
      </c>
      <c r="P18" s="16" t="inlineStr">
        <is>
          <t>ปี 2560</t>
        </is>
      </c>
      <c r="Q18" s="16" t="n"/>
    </row>
    <row r="19" ht="409.6" customHeight="1" s="37">
      <c r="A19" s="19" t="inlineStr">
        <is>
          <t>18</t>
        </is>
      </c>
      <c r="B19" s="20" t="inlineStr">
        <is>
          <t>Levonorgestrel (-) และ Dextronorgestrel (+) เป็นคู่ไอโซเมอร์ชนิด Enantiomers ซึ่งกันและกัน เครื่องมือวิเคราะห์ในข้อใดสามารถนำมาใช้จำแนกความแตกต่างระหว่างสารทั้งสองชนิดนี้ได้อย่างถูกต้อง</t>
        </is>
      </c>
      <c r="C19" s="16" t="n"/>
      <c r="D19" s="16" t="inlineStr">
        <is>
          <t>Polarimeter</t>
        </is>
      </c>
      <c r="E19" s="16" t="inlineStr">
        <is>
          <t>Nuclear Magnetic Resonance (NMR) ธรรมดา</t>
        </is>
      </c>
      <c r="F19" s="16" t="inlineStr">
        <is>
          <t>Reversed-Phase HPLC ทั่วไป (Achiral column)</t>
        </is>
      </c>
      <c r="G19" s="16" t="inlineStr">
        <is>
          <t>Thin Layer Chromatography (TLC)</t>
        </is>
      </c>
      <c r="H19" s="16" t="inlineStr">
        <is>
          <t>Mass Spectrometry (MS)</t>
        </is>
      </c>
      <c r="I19" s="19" t="inlineStr">
        <is>
          <t>1</t>
        </is>
      </c>
      <c r="J19" s="16" t="inlineStr">
        <is>
          <t>✅ คำตอบที่ถูกต้อง: ข้อ ก. Polarimeter (หรือ Chiral HPLC)
💡 Background:
Levonorgestrel (-) และ Dextronorgestrel (+) เป็นคู่ไอโซเมอร์เชิงแสง (Enantiomers) ซึ่งกันและกัน ซึ่งมีสมบัติทางเคมีและกายภาพในสภาวะปกติเหมือนกันทุกประการ (เช่น จุดหลอมเหลว, ความสามารถในการละลาย, มวลโมเลกุล, สเปกตรัม NMR ทั่วไป)
🎯 ทำไมข้อนี้ถึงถูก:
คุณสมบัติทางกายภาพเดียวที่แตกต่างกันระหว่าง Enantiomers คือ ทิศทางการหมุนระนาบแสงโพลาไรซ์ (Optical rotation) โดยสารหนึ่งจะหมุนระนาบแสงไปทางซ้าย (Levorotatory, -) และอีกสารหนึ่งจะหมุนไปทางขวา (Dextrorotatory, +) ดังนั้น เครื่องมือมาตรฐานที่ใช้จำแนกคู่ไอโซเมอร์นี้ได้คือ Polarimeter (หรือการใช้ Chiral HPLC column)
🔍 ข้ออื่นผิดเพราะอะไร:
• ข้อ ข. NMR ธรรมดา: สัญญาณเคมีของ Enantiomers ในตัวทำละลายอะไครัลจะซ้อนทับกันเป็นสัญญาณเดียวกัน ไม่สามารถแยกแยะได้
• ข้อ ค. Normal HPLC (Achiral column): มี Retention time เท่ากัน ไม่สามารถแยก Enantiomers ได้
• ข้อ ง. TLC: ค่า Rf เท่ากันทุกประการ
• ข้อ จ. Mass Spectrometry (MS): มีค่าน้ำหนักโมเลกุล (m/z) และ fragmentation pattern เหมือนกันทุกประการ
📖 Guideline อ้างอิง:
United States Pharmacopeia USP &lt;781&gt; Optical Rotation &amp; Foye's Principles of Medicinal Chemistry
📌 จุดจำก่อนสอบ:
Enantiomers (D- vs L- isomer) แยกด้วยเครื่องมือปกติไม่ได้! ต้องใช้ Polarimeter (วัดการหมุนแสง) หรือ Chiral HPLC เท่านั้น</t>
        </is>
      </c>
      <c r="K19" s="16" t="n"/>
      <c r="L19" s="16" t="inlineStr">
        <is>
          <t>Optical Activity &amp; Chiral Separation</t>
        </is>
      </c>
      <c r="M19" s="16" t="inlineStr">
        <is>
          <t>Product</t>
        </is>
      </c>
      <c r="N19" s="16" t="inlineStr">
        <is>
          <t>ข้อสอบเก่า / เภสัชวิเคราะห์</t>
        </is>
      </c>
      <c r="O19" s="16" t="inlineStr">
        <is>
          <t>ข้อสอบเก่า</t>
        </is>
      </c>
      <c r="P19" s="16" t="inlineStr">
        <is>
          <t>RxCU</t>
        </is>
      </c>
      <c r="Q19" s="16" t="n"/>
    </row>
    <row r="20" ht="409.6" customHeight="1" s="37">
      <c r="A20" s="19" t="inlineStr">
        <is>
          <t>19</t>
        </is>
      </c>
      <c r="B20" s="20" t="inlineStr">
        <is>
          <t>หากวิเคราะห์สารตัวอย่างยา A ด้วยเทคนิค HPLC ภายใต้สภาวะเดียวกัน พบว่าค่า Retention time ของยา A เท่ากับ Retention time ของสารมาตรฐาน (Standard) อย่างแม่นยำ ผลการวิเคราะห์นี้หมายความว่าอย่างไร</t>
        </is>
      </c>
      <c r="C20" s="16" t="n"/>
      <c r="D20" s="16" t="inlineStr">
        <is>
          <t>สารตัวอย่างยา A มีปริมาณความเข้มข้นเท่ากับสารมาตรฐาน</t>
        </is>
      </c>
      <c r="E20" s="16" t="inlineStr">
        <is>
          <t>สารตัวอย่างยา A เป็นสารคนละชนิดกับสารมาตรฐาน</t>
        </is>
      </c>
      <c r="F20" s="16" t="inlineStr">
        <is>
          <t>สารตัวอย่างยา A เป็นสารสลายตัว (By-product) ของสารมาตรฐาน</t>
        </is>
      </c>
      <c r="G20" s="16" t="inlineStr">
        <is>
          <t>สารตัวอย่างยา A และสารมาตรฐานใช้เวลาอยู่ในคอลัมน์เท่ากัน</t>
        </is>
      </c>
      <c r="H20" s="16" t="inlineStr">
        <is>
          <t>สารตัวอย่างยา A มีความชอบพอกับเฟสคงที่ในคอลัมน์มากกว่าสารมาตรฐาน</t>
        </is>
      </c>
      <c r="I20" s="19" t="inlineStr">
        <is>
          <t>4</t>
        </is>
      </c>
      <c r="J20" s="16" t="inlineStr">
        <is>
          <t>✅ คำตอบที่ถูกต้อง: ข้อ ง. เวลาที่ standard กับยา A อยู่ใน column เท่ากัน
💡 Background:
เวลาคงอยู่ (Retention time: tR) ในระบบโครมาโทกราฟีของเหลว คือเวลาที่สารแต่ละชนิดใช้ในการเคลื่อนที่นับตั้งแต่ฉีดสารตัวอย่างเข้าสู่ระบบ ผ่านคอลัมน์ จนกระทั่งถูกชะออกมาและตรวจวัดได้ที่ตัวตรวจวัด
🎯 ทำไมข้อนี้ถึงถูก:
การที่สารตัวอย่างยา A มีค่า Retention time เท่ากับสารมาตรฐาน (Standard) หมายถึง สารทั้งสองใช้เวลาในการเคลื่อนที่และมีอันตรกิริยา (Partitioning/Interaction) กับทั้งเฟสคงที่และเฟสเคลื่อนที่เท่ากันในคอลัมน์ ซึ่งบ่งชี้ในเบื้องต้นว่าสารทั้งสองน่าจะเป็นสารชนิดเดียวกัน (Qualitative identification) แต่ไม่ได้แสดงว่ามีปริมาณความเข้มข้นเท่ากัน
🔍 ข้ออื่นผิดเพราะอะไร:
• ข้อ ก. ยา A กับ standard มีปริมาณเท่ากัน: ผิด ปริมาณสารต้องดูจากพื้นที่ใต้พีค (Peak Area) หรือความสูงพีค (Peak Height) ไม่ใช่ดูจาก Retention time
• ข้อ ข. ยากับ standard เป็นสารคนละตัวกัน: การมี tR เท่ากันบ่งชี้ว่ามีแนวโน้มเป็นสารเดียวกัน
• ข้อ ค. ยา A เป็น by-product ของ standard: ไม่เกี่ยวข้องกัน
• ข้อ จ. ยา A ชอบเฟสคงที่มากกว่า standard: ผิด ถ้าชอบมากกว่า tR จะต้องยาวนานกว่า
📖 Guideline อ้างอิง:
United States Pharmacopeia USP &lt;621&gt; Chromatography &amp; Principles of Instrumental Analysis
📌 จุดจำก่อนสอบ:
HPLC: Retention Time บอก "ชนิดของสาร" (Identification) ส่วน Peak Area บอก "ปริมาณของสาร" (Quantitation)!</t>
        </is>
      </c>
      <c r="K20" s="16" t="n"/>
      <c r="L20" s="16" t="inlineStr">
        <is>
          <t>Chromatographic Principles &amp; Interpretation</t>
        </is>
      </c>
      <c r="M20" s="16" t="inlineStr">
        <is>
          <t>Product</t>
        </is>
      </c>
      <c r="N20" s="16" t="inlineStr">
        <is>
          <t>ข้อสอบเก่า 2561 ข้อ 31</t>
        </is>
      </c>
      <c r="O20" s="16" t="inlineStr">
        <is>
          <t>ข้อสอบเก่า</t>
        </is>
      </c>
      <c r="P20" s="19" t="inlineStr">
        <is>
          <t>2561</t>
        </is>
      </c>
      <c r="Q20" s="16" t="n"/>
    </row>
    <row r="21" ht="409.6" customHeight="1" s="37">
      <c r="A21" s="16" t="n">
        <v>19</v>
      </c>
      <c r="B21" s="20" t="inlineStr">
        <is>
          <t>จาก spectrum ของ nicotine ที่กำหนดให้ สามารถแสดงถึงข้อมูลใดได้บ้าง</t>
        </is>
      </c>
      <c r="C21" s="16" t="n"/>
      <c r="D21" s="16" t="inlineStr">
        <is>
          <t>Plane polarized light</t>
        </is>
      </c>
      <c r="E21" s="16" t="inlineStr">
        <is>
          <t>Molecular weight</t>
        </is>
      </c>
      <c r="F21" s="16" t="inlineStr">
        <is>
          <t>ชนิดของ functional group</t>
        </is>
      </c>
      <c r="G21" s="16" t="inlineStr">
        <is>
          <t>ตำแหน่งของ functional group</t>
        </is>
      </c>
      <c r="H21" s="16" t="inlineStr">
        <is>
          <t>ไม่มีข้อใดถูก</t>
        </is>
      </c>
      <c r="I21" s="16" t="n">
        <v>1</v>
      </c>
      <c r="J21" s="16" t="inlineStr">
        <is>
          <t>✅ คำตอบที่ถูกต้อง: ข้อ ก. Plane polarized light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Plane polarized light 💡 คำอธิบายและเหตุผลทางเภสัชกรรม:
💡 คำอธิบายและเหตุผลทางเภสัชกรรม:
การเลือก Plane polarized light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(Molecular weight): ข้อนี้ไม่ใช่คำตอบที่ถูกต้องสำหรับภาวะ HPLC (Liquid Chromatography) เนื่องจากกลไกการออกฤทธิ์, efficacy หรือข้อบ่งใช้ไม่ตรงกับโจทย์ที่กำหนด
• ข้อ ค. (ชนิดของ functional group): ข้อนี้ไม่ใช่คำตอบที่ถูกต้องสำหรับภาวะ HPLC (Liquid Chromatography) เนื่องจากกลไกการออกฤทธิ์, efficacy หรือข้อบ่งใช้ไม่ตรงกับโจทย์ที่กำหนด
• ข้อ ง. (ตำแหน่งของ functional group): ข้อนี้ไม่ใช่คำตอบที่ถูกต้องสำหรับภาวะ HPLC (Liquid Chromatography)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 t="n"/>
      <c r="L21" s="16" t="inlineStr">
        <is>
          <t>HPLC (Liquid Chromatography)</t>
        </is>
      </c>
      <c r="M21" s="16" t="inlineStr">
        <is>
          <t>Product</t>
        </is>
      </c>
      <c r="N21" s="16" t="inlineStr">
        <is>
          <t>ข้อ 88 (Pharmtutor_2024_Set2.md)</t>
        </is>
      </c>
      <c r="O21" s="16" t="inlineStr">
        <is>
          <t>Mock</t>
        </is>
      </c>
      <c r="P21" s="16" t="inlineStr">
        <is>
          <t>Mock Pharmtutor 2024</t>
        </is>
      </c>
      <c r="Q21" s="16" t="n"/>
    </row>
    <row r="22" ht="409.6" customHeight="1" s="37">
      <c r="A22" s="19" t="inlineStr">
        <is>
          <t>21</t>
        </is>
      </c>
      <c r="B22" s="20" t="inlineStr">
        <is>
          <t>ในการวิเคราะห์ Fluoxetine (ยาเบส pKa ~ 9.8) ด้วย RP-HPLC (C18 silica column, Mobile phase Methanol:Water) พบปัญหาพีคเบ้ขวารุนแรง (Peak tailing factor = 3.25) แนวทางการปรับปรุง Mobile phase ในข้อใดถูกต้องเพื่อลดปัญหา Peak tailing ดังกล่าว</t>
        </is>
      </c>
      <c r="C22" s="16" t="n"/>
      <c r="D22" s="16" t="inlineStr">
        <is>
          <t>ปรับ pH ของ Mobile phase ให้เป็นด่างจัดที่ pH 11.8</t>
        </is>
      </c>
      <c r="E22" s="16" t="inlineStr">
        <is>
          <t>เติม Triethylamine (TEA) 0.1% หรือปรับ pH สู่กรดอ่อน (pH 2.5-3.0) เพื่อลดอันตรกิริยากับ Silanols</t>
        </is>
      </c>
      <c r="F22" s="16" t="inlineStr">
        <is>
          <t>เปลี่ยนตัวทำละลายทั้งหมดเป็น Acetonitrile บริสุทธิ์</t>
        </is>
      </c>
      <c r="G22" s="16" t="inlineStr">
        <is>
          <t>ลดความยาวของ Analytical column ลงครึ่งหนึ่ง</t>
        </is>
      </c>
      <c r="H22" s="16" t="inlineStr">
        <is>
          <t>เพิ่มอัตราการไหล (Flow rate) ของ Mobile phase เป็นสองเท่า</t>
        </is>
      </c>
      <c r="I22" s="19" t="inlineStr">
        <is>
          <t>2</t>
        </is>
      </c>
      <c r="J22" s="16" t="inlineStr">
        <is>
          <t>✅ คำตอบที่ถูกต้อง: ข้อ ข. เติม Triethylamine (TEA) ลงใน mobile phase หรือปรับ pH สู่กรดเพื่อยับยั้ง Silanol interaction
💡 Background:
Fluoxetine เป็นยาเบสอินทรีย์ที่มีหมู่อะมิโนทุติยภูมิ (Secondary amine, pKa ~ 9.8) ในคอลัมน์ RP-HPLC ที่ใช้เนื้อ Silica สารตกค้างประเภทหมู่ไซลานอลอิสระ (Residual silanol groups: Si-OH) จะแตกตัวเป็นประจุลบ (Si-O-)
🎯 ทำไมข้อนี้ถึงถูก:
ประจุลบของ Silanolate จะเกิดอันตรกิริยารองแบบดึงดูดทางไฟฟ้า (Secondary electrostatic interaction / Cation-exchange) กับประจุบวกของ Fluoxetine ส่งผลให้เกิดการดูดยึดเหนี่ยวที่แข็งแรงเป็นพิเศษ ทำให้สารชะออกมาช้าและเกิดปัญหา Peak Tailing รุนแรง การแก้ไขในทางปฏิบัติทำได้โดย:
1. การเติม สารบดบังไซลานอล (Silanol masking agent) เช่น Triethylamine (TEA) เพื่อเข้าไปจับกับ Silanolate แทนตัวยา หรือ
2. การปรับ pH ของ Mobile phase ให้เป็นกรดต่ำ (pH ~ 2-3) เพื่อให้หมู่ Silanol อยู่ในรูปที่ไม่แตกตัว (Unionized Si-OH) ขจัดแรงดึงดูดทางไฟฟ้าทิ้งไป
🔍 ข้ออื่นผิดเพราะอะไร:
• ข้อ ก. ใช้ pH 11.8: สภาวะด่างจัดจะทำลายและละลายโครงสร้าง Silica backbone ของคอลัมน์ (Silica dissolution) ทำให้คอลัมน์เสื่อมสภาพถาวร
• ข้อ ค. สลับใช้ Acetonitrile เดี่ยวๆ: ไม่ได้แก้ปัญหาประจุลบของ Silanolate
• ข้อ ง. ลดความยาวคอลัมน์: ไม่ช่วยลด Peak tailing ซ้ำยังลดประสิทธิภาพการแยก (Theoretical plates)
📖 Guideline อ้างอิง:
Practical HPLC Method Development (Snyder, Kirkland, Glajch) &amp; USP &lt;621&gt; Chromatography
📌 จุดจำก่อนสอบ:
ยาเบส (Amine) เกิด Peak Tailing ใน RP-HPLC จาก Residual Silanols -&gt; แก้ด้วยการเติม Triethylamine (TEA) หรือลด pH เป็นกรดต่ำ (pH 2-3) เพื่อ Mask silanols!</t>
        </is>
      </c>
      <c r="K22" s="16" t="n"/>
      <c r="L22" s="16" t="inlineStr">
        <is>
          <t>HPLC Troubleshooting &amp; Peak Tailing</t>
        </is>
      </c>
      <c r="M22" s="16" t="inlineStr">
        <is>
          <t>Product</t>
        </is>
      </c>
      <c r="N22" s="16" t="inlineStr">
        <is>
          <t>ข้อสอบเก่า 2557 ข้อ 12</t>
        </is>
      </c>
      <c r="O22" s="16" t="inlineStr">
        <is>
          <t>ข้อสอบเก่า</t>
        </is>
      </c>
      <c r="P22" s="19" t="inlineStr">
        <is>
          <t>2557</t>
        </is>
      </c>
      <c r="Q22" s="16" t="n"/>
    </row>
    <row r="23" ht="409.6" customHeight="1" s="37">
      <c r="A23" s="19" t="inlineStr">
        <is>
          <t>22</t>
        </is>
      </c>
      <c r="B23" s="20" t="inlineStr">
        <is>
          <t>ในการตรวจวิเคราะห์ยา Omeprazole และสารปนเปื้อนด้วย HPLC พบว่าสารปนเปื้อนมี Retention time 3.0 นาที (Peak width ที่ฐาน = 0.300 นาที) และตัวยา Omeprazole มี Retention time 6.0 นาที (Peak width ที่ฐาน = 0.325 นาที) จงคำนวณหาค่า Resolution (Rs) ตามเกณฑ์ USP &lt;621&gt;</t>
        </is>
      </c>
      <c r="C23" s="16" t="n"/>
      <c r="D23" s="19" t="inlineStr">
        <is>
          <t>4.8</t>
        </is>
      </c>
      <c r="E23" s="19" t="inlineStr">
        <is>
          <t>7.5</t>
        </is>
      </c>
      <c r="F23" s="19" t="inlineStr">
        <is>
          <t>9.6</t>
        </is>
      </c>
      <c r="G23" s="19" t="inlineStr">
        <is>
          <t>12.0</t>
        </is>
      </c>
      <c r="H23" s="19" t="inlineStr">
        <is>
          <t>1.5</t>
        </is>
      </c>
      <c r="I23" s="19" t="inlineStr">
        <is>
          <t>3</t>
        </is>
      </c>
      <c r="J23" s="16" t="inlineStr">
        <is>
          <t>✅ คำตอบที่ถูกต้อง: ข้อ ค. 9.6
💡 Background:
ค่าความละเอียดในการแยก (Chromatographic Resolution: Rs) ตามเภสัชตำรับ USP &lt;621&gt; คำนวณจากสูตร:
Rs = 2 × (tR2 - tR1) / (W1 + W2)
🎯 ทำไมข้อนี้ถึงถูก:
จากข้อมูลการวิเคราะห์ Omeprazole และสารปนเปื้อน:
• Retention time สารที่ 1 (tR1) = 3.0 นาที, ความกว้างฐานพีค (W1) = 0.300 นาที
• Retention time สารที่ 2 (tR2) = 6.0 นาที, ความกว้างฐานพีค (W2) = 0.325 นาที
แทนค่าในสูตร:
Rs = 2 × (6.0 - 3.0) / (0.300 + 0.325)
Rs = 2 × 3.0 / 0.625 = 6.0 / 0.625 = 9.6
🔍 ข้ออื่นผิดเพราะอะไร:
• ข้อ ก. 4.8: ลืมคูณ 2 ในเศษ
• ข้อ ข. 7.5: คำนวณความกว้างฐานพีคผิดพลาด
• ข้อ ง. 12.0: ใช้สูตรสลับตำแหน่ง
• ข้อ จ. 1.5: เกณฑ์ขั้นต่ำในการแยกสมบูรณ์ (Baseline separation คือ Rs &gt;= 1.5) ไม่ใช่ค่าที่คำนวณได้จากโจทย์
📖 Guideline อ้างอิง:
United States Pharmacopeia USP &lt;621&gt; Chromatography (System Suitability: Resolution)
📌 จุดจำก่อนสอบ:
สูตร USP Resolution: Rs = 2(tR2 - tR1) / (W1 + W2) ถ้า Rs &gt;= 1.5 ถือว่าแยกออกจากกันสมบูรณ์ถึงเส้นฐาน (Baseline separation)</t>
        </is>
      </c>
      <c r="K23" s="16" t="n"/>
      <c r="L23" s="16" t="inlineStr">
        <is>
          <t>Chromatographic Resolution Calculation</t>
        </is>
      </c>
      <c r="M23" s="16" t="inlineStr">
        <is>
          <t>Product</t>
        </is>
      </c>
      <c r="N23" s="16" t="inlineStr">
        <is>
          <t>ข้อสอบเก่า 2561 ข้อ 40</t>
        </is>
      </c>
      <c r="O23" s="16" t="inlineStr">
        <is>
          <t>ข้อสอบเก่า</t>
        </is>
      </c>
      <c r="P23" s="19" t="inlineStr">
        <is>
          <t>2561</t>
        </is>
      </c>
      <c r="Q23" s="16" t="n"/>
    </row>
    <row r="24" ht="409.6" customHeight="1" s="37">
      <c r="A24" s="19" t="inlineStr">
        <is>
          <t>23</t>
        </is>
      </c>
      <c r="B24" s="20" t="inlineStr">
        <is>
          <t>หากต้องการตรวจวัดปริมาณยา Levodopa ในพลาสมาของมนุษย์ (Plasma sample) ที่มีความเข้มข้นต่ำระดับนาโนกรัมต่อมิลลิลิตร (ng/mL) เครื่องมือวิเคราะห์ในข้อใดมีความไวและความจำเพาะเหมาะสมที่สุด</t>
        </is>
      </c>
      <c r="C24" s="16" t="n"/>
      <c r="D24" s="16" t="inlineStr">
        <is>
          <t>Direct UV-Visible Spectrophotometry</t>
        </is>
      </c>
      <c r="E24" s="16" t="inlineStr">
        <is>
          <t>Liquid Chromatography-Tandem Mass Spectrometry (LC-MS/MS)</t>
        </is>
      </c>
      <c r="F24" s="16" t="inlineStr">
        <is>
          <t>Polarimetry</t>
        </is>
      </c>
      <c r="G24" s="16" t="inlineStr">
        <is>
          <t>Fourier Transform Infrared Spectroscopy (FTIR)</t>
        </is>
      </c>
      <c r="H24" s="16" t="inlineStr">
        <is>
          <t>Thin Layer Chromatography (TLC)</t>
        </is>
      </c>
      <c r="I24" s="19" t="inlineStr">
        <is>
          <t>2</t>
        </is>
      </c>
      <c r="J24" s="16" t="inlineStr">
        <is>
          <t>✅ คำตอบที่ถูกต้อง: ข้อ ข. Liquid Chromatography-Tandem Mass Spectrometry (LC-MS/MS)
💡 Background:
การตรวจวัดระดับยา Levodopa ในพลาสมาหรือกระแสเลือด (Bioanalytical assay / Therapeutic Drug Monitoring) มีความท้าทายสูงมากเนื่องจากตัวยามีความเข้มข้นต่ำมาก (ระดับ ng/mL) มีครึ่งชีวิตสั้น และมีสารชีวเคมีภายนอก/ภายในร่างกายรบกวนสูง
🎯 ทำไมข้อนี้ถึงถูก:
เทคนิค Liquid Chromatography-Tandem Mass Spectrometry (LC-MS/MS) หรือ HPLC with Electrochemical Detection (HPLC-ECD) เป็นวิธีมาตรฐานที่มีความไวในการวิเคราะห์ (Sensitivity) และความจำเพาะ (Specificity) สูงสุดในระดับ Trace level สามารถตรวจวัดปริมาณยาในตัวอย่างชีวภาพ (Biological matrix) ได้อย่างแม่นยำ
🔍 ข้ออื่นผิดเพราะอะไร:
• ข้อ ก. UV-Visible: ขาดความไว ไม่สามารถตรวจวัดความเข้มข้นต่ำระดับ ng/mL ในเลือดได้ และโปรตีนในเลือดจะบดบังสัญญาณ
• ข้อ ค. Polarimetry: ต้องใช้สารบริสุทธิ์ความเข้มข้นสูงในระดับ mg/mL ไม่สามารถใช้วัดในเลือดได้
• ข้อ ง. IR spectroscopy: ใช้พิสูจน์เอกลักษณ์ผงยาบริสุทธิ์ ไม่ใช่วิธีชีววิเคราะห์ในพลาสมา
• ข้อ จ. TLC: ขาดความแม่นยำและความไวเชิงปริมาณ
📖 Guideline อ้างอิง:
US FDA Guidance for Industry: Bioanalytical Method Validation &amp; EMA Guideline on Bioanalytical Method Validation
📌 จุดจำก่อนสอบ:
การตรวจวัดระดับยาในเลือด/พลาสมา (Biological fluids) ที่มีความเข้มข้นต่ำระดับนาโนกรัม -&gt; เครื่องมือมาตรฐานคือ LC-MS/MS เสมอ!</t>
        </is>
      </c>
      <c r="K24" s="16" t="n"/>
      <c r="L24" s="16" t="inlineStr">
        <is>
          <t>Bioanalytical Methods &amp; LC-MS</t>
        </is>
      </c>
      <c r="M24" s="16" t="inlineStr">
        <is>
          <t>Product</t>
        </is>
      </c>
      <c r="N24" s="16" t="inlineStr">
        <is>
          <t>ข้อสอบเตรียมสอบเภสัช</t>
        </is>
      </c>
      <c r="O24" s="16" t="inlineStr">
        <is>
          <t>แบบฝึกหัด</t>
        </is>
      </c>
      <c r="P24" s="16" t="inlineStr">
        <is>
          <t>RxCU</t>
        </is>
      </c>
      <c r="Q24" s="16" t="n"/>
    </row>
    <row r="25" ht="409.6" customHeight="1" s="37">
      <c r="A25" s="19" t="inlineStr">
        <is>
          <t>24</t>
        </is>
      </c>
      <c r="B25" s="20" t="inlineStr">
        <is>
          <t>จากการวิเคราะห์ยา Lansoprazole ด้วยเทคนิค HPLC โดยใช้ 4-ethoxyphenacetin เป็นสารมาตรฐานภายใน (Internal Standard) ได้สมการกราฟมาตรฐานของอัตราส่วนพื้นที่ใต้พีค (Y) กับความเข้มข้น (X, mg/mL) คือ Y = 0.1 X (r2 = 1.000) หากสารละลายตัวอย่างมีอัตราส่วนพื้นที่ใต้พีคเท่ากับ 9.90 สารละลายตัวอย่างมีความเข้มข้นเท่าใด</t>
        </is>
      </c>
      <c r="C25" s="16" t="n"/>
      <c r="D25" s="16" t="inlineStr">
        <is>
          <t>9.9 mg/mL</t>
        </is>
      </c>
      <c r="E25" s="16" t="inlineStr">
        <is>
          <t>99.0 mg/mL</t>
        </is>
      </c>
      <c r="F25" s="16" t="inlineStr">
        <is>
          <t>49.5 mg/mL</t>
        </is>
      </c>
      <c r="G25" s="16" t="inlineStr">
        <is>
          <t>19.8 mg/mL</t>
        </is>
      </c>
      <c r="H25" s="16" t="inlineStr">
        <is>
          <t>0.99 mg/mL</t>
        </is>
      </c>
      <c r="I25" s="19" t="inlineStr">
        <is>
          <t>2</t>
        </is>
      </c>
      <c r="J25" s="16" t="inlineStr">
        <is>
          <t>✅ คำตอบที่ถูกต้อง: ข้อ ข. 99.0 mg/mL (หรือ mcg/mL ตามหน่วยที่กำหนด)
💡 Background:
การวิเคราะห์เชิงปริมาณด้วยเทคนิค HPLC โดยใช้สารมาตรฐานภายใน (Internal Standard: IS) จะสร้างกราฟมาตรฐานระหว่าง อัตราส่วนพื้นที่ใต้พีค (Peak Area Ratio: Area_sample / Area_IS) บนแกน Y กับ ความเข้มข้นของสาร (Concentration) บนแกน X
🎯 ทำไมข้อนี้ถึงถูก:
จากสมการเส้นตรงของกราฟมาตรฐาน:
Y = 0.1 X
โดยที่:
• Y = Peak area ratio ของสารตัวอย่างต่อ Internal Standard = 9.90
• X = ความเข้มข้นของสารตัวอย่างที่ต้องการหา
แทนค่าในสมการ:
9.90 = 0.1 × X
X = 9.90 / 0.1 = 99.0 mg/mL
🔍 ข้ออื่นผิดเพราะอะไร:
• ข้อ ก. 9.9: ไม่ได้หารด้วยค่าความชัน Slope (0.1)
• ข้อ ค. 49.5: หารผิดสัดส่วน
• ข้อ ง. 19.8: นำค่าไปคูณ 2 ผิดวิธี
• ข้อ จ. 0.99: เอา 9.90 ไปคูณด้วย 0.1 แทนที่จะหาร
📖 Guideline อ้างอิง:
United States Pharmacopeia USP &lt;621&gt; Chromatography &amp; Principles of Instrumental Analysis
📌 จุดจำก่อนสอบ:
Internal Standard Curve: Y = mX + c (เมื่อ Y คือ อัตราส่วนพื้นที่ใต้พีค) คำนวณความเข้มข้น X = (Y - c) / m</t>
        </is>
      </c>
      <c r="K25" s="16" t="n"/>
      <c r="L25" s="16" t="inlineStr">
        <is>
          <t>Internal Standard Quantitation</t>
        </is>
      </c>
      <c r="M25" s="16" t="inlineStr">
        <is>
          <t>Product</t>
        </is>
      </c>
      <c r="N25" s="16" t="inlineStr">
        <is>
          <t>ข้อสอบเก่า 2558 / 2560</t>
        </is>
      </c>
      <c r="O25" s="16" t="inlineStr">
        <is>
          <t>ข้อสอบเก่า</t>
        </is>
      </c>
      <c r="P25" s="19" t="inlineStr">
        <is>
          <t>2558</t>
        </is>
      </c>
      <c r="Q25" s="16" t="n"/>
    </row>
    <row r="26" ht="409.6" customHeight="1" s="37">
      <c r="A26" s="16" t="n">
        <v>24</v>
      </c>
      <c r="B26" s="20" t="inlineStr">
        <is>
          <t>จากโครงสร้างของ Levodopa ปัจจัยใดที่ไม่ส่งผลต่อ retention time ของ Levodopa จากการวิเคราะห์ด้วยเทคนิค HPLC</t>
        </is>
      </c>
      <c r="C26" s="16" t="n"/>
      <c r="D26" s="16" t="inlineStr">
        <is>
          <t>Gas Chromatography with FID detector</t>
        </is>
      </c>
      <c r="E26" s="16" t="inlineStr">
        <is>
          <t>Thin Layer Chromatography (TLC)</t>
        </is>
      </c>
      <c r="F26" s="16" t="inlineStr">
        <is>
          <t>Ion-Exchange Chromatography (IEC)</t>
        </is>
      </c>
      <c r="G26" s="16" t="inlineStr">
        <is>
          <t>Size Exclusion Chromatography (SEC)</t>
        </is>
      </c>
      <c r="H26" s="16" t="inlineStr">
        <is>
          <t>Chiral HPLC Separation Column</t>
        </is>
      </c>
      <c r="I26" s="16" t="n">
        <v>1</v>
      </c>
      <c r="J26" s="16" t="inlineStr">
        <is>
          <t>✅ คำตอบที่ถูกต้อง: ข้อ ก. Gas Chromatography with FID detector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Gas Chromatography with FID detector 💡 คำอธิบายและเหตุผลทางเภสัชกรรม:
💡 คำอธิบายและเหตุผลทางเภสัชกรรม:
การเลือก Gas Chromatography with FID detector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(Thin Layer Chromatography (TLC)): ข้อนี้ไม่ใช่คำตอบที่ถูกต้องสำหรับภาวะ HPLC (Liquid Chromatography) เนื่องจากกลไกการออกฤทธิ์, efficacy หรือข้อบ่งใช้ไม่ตรงกับโจทย์ที่กำหนด
• ข้อ ค. (Ion-Exchange Chromatography (IEC)): ข้อนี้ไม่ใช่คำตอบที่ถูกต้องสำหรับภาวะ HPLC (Liquid Chromatography) เนื่องจากกลไกการออกฤทธิ์, efficacy หรือข้อบ่งใช้ไม่ตรงกับโจทย์ที่กำหนด
• ข้อ ง. (Size Exclusion Chromatography (SEC)): ข้อนี้ไม่ใช่คำตอบที่ถูกต้องสำหรับภาวะ HPLC (Liquid Chromatography) เนื่องจากกลไกการออกฤทธิ์, efficacy หรือข้อบ่งใช้ไม่ตรงกับโจทย์ที่กำหนด
• ข้อ จ.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 t="n"/>
      <c r="L26" s="16" t="inlineStr">
        <is>
          <t>HPLC (Liquid Chromatography)</t>
        </is>
      </c>
      <c r="M26" s="16" t="inlineStr">
        <is>
          <t>Product</t>
        </is>
      </c>
      <c r="N26" s="16" t="inlineStr">
        <is>
          <t>ข้อ 10 (PLE_CC1_2533.md)</t>
        </is>
      </c>
      <c r="O26" s="16" t="inlineStr">
        <is>
          <t>ข้อสอบจริง</t>
        </is>
      </c>
      <c r="P26" s="16" t="inlineStr">
        <is>
          <t>ปี 2533</t>
        </is>
      </c>
      <c r="Q26" s="16" t="n"/>
    </row>
    <row r="27" ht="409.6" customHeight="1" s="37">
      <c r="A27" s="16" t="n">
        <v>25</v>
      </c>
      <c r="B27" s="20" t="inlineStr">
        <is>
          <t>ความยาวของ column</t>
        </is>
      </c>
      <c r="C27" s="16" t="n"/>
      <c r="D27" s="16" t="inlineStr">
        <is>
          <t>Size Exclusion Chromatography (SEC)</t>
        </is>
      </c>
      <c r="E27" s="16" t="inlineStr">
        <is>
          <t>Chiral HPLC Separation Column</t>
        </is>
      </c>
      <c r="F27" s="16" t="inlineStr">
        <is>
          <t>HILIC (Hydrophilic Interaction LC)</t>
        </is>
      </c>
      <c r="G27" s="16" t="inlineStr">
        <is>
          <t>Ultra-High Performance LC (UHPLC)</t>
        </is>
      </c>
      <c r="H27" s="16" t="inlineStr">
        <is>
          <t>GC-Mass Spectrometry (GC-MS)</t>
        </is>
      </c>
      <c r="I27" s="16" t="n">
        <v>1</v>
      </c>
      <c r="J27" s="16" t="inlineStr">
        <is>
          <t>✅ คำตอบที่ถูกต้อง: ข้อ ก. Size Exclusion Chromatography (SEC)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ข้อ ค.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ข้อ ง. (Ultra-High Performance LC (UHPLC)): ข้อนี้ไม่ใช่คำตอบที่ถูกต้องสำหรับภาวะ HPLC (Liquid Chromatography) เนื่องจากกลไกการออกฤทธิ์, efficacy หรือข้อบ่งใช้ไม่ตรงกับโจทย์ที่กำหนด
• ข้อ จ. (GC-Mass Spectrometry (GC-MS)):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 t="n"/>
      <c r="L27" s="16" t="inlineStr">
        <is>
          <t>HPLC (Liquid Chromatography)</t>
        </is>
      </c>
      <c r="M27" s="16" t="inlineStr">
        <is>
          <t>Product</t>
        </is>
      </c>
      <c r="N27" s="16" t="inlineStr">
        <is>
          <t>ข้อ 2 (PLE_CC1_2533.md)</t>
        </is>
      </c>
      <c r="O27" s="16" t="inlineStr">
        <is>
          <t>ข้อสอบจริง</t>
        </is>
      </c>
      <c r="P27" s="16" t="inlineStr">
        <is>
          <t>ปี 2533</t>
        </is>
      </c>
      <c r="Q27" s="16" t="n"/>
    </row>
    <row r="28" ht="409.6" customHeight="1" s="37">
      <c r="A28" s="16" t="n">
        <v>26</v>
      </c>
      <c r="B28" s="20" t="inlineStr">
        <is>
          <t>pH ของ mobile phase</t>
        </is>
      </c>
      <c r="C28" s="16" t="n"/>
      <c r="D28" s="16" t="inlineStr">
        <is>
          <t>Ultra-High Performance LC (UHPLC)</t>
        </is>
      </c>
      <c r="E28" s="16" t="inlineStr">
        <is>
          <t>GC-Mass Spectrometry (GC-MS)</t>
        </is>
      </c>
      <c r="F28" s="16" t="inlineStr">
        <is>
          <t>Reversed-Phase HPLC</t>
        </is>
      </c>
      <c r="G28" s="16" t="inlineStr">
        <is>
          <t>Normal-Phase HPLC (Silica column)</t>
        </is>
      </c>
      <c r="H28" s="16" t="inlineStr">
        <is>
          <t>Gas Chromatography with FID detector</t>
        </is>
      </c>
      <c r="I28" s="16" t="n">
        <v>1</v>
      </c>
      <c r="J28" s="16" t="inlineStr">
        <is>
          <t>✅ คำตอบที่ถูกต้อง: ข้อ ก. Ultra-High Performance LC (UHPLC)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Ultra-High Performance LC (UHPLC) 💡 คำอธิบายและเหตุผลทางเภสัชกรรม:
💡 คำอธิบายและเหตุผลทางเภสัชกรรม:
การเลือก Ultra-High Performance LC (UHPLC)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(GC-Mass Spectrometry (GC-MS)): ข้อนี้ไม่ใช่คำตอบที่ถูกต้องสำหรับภาวะ HPLC (Liquid Chromatography) เนื่องจากกลไกการออกฤทธิ์, efficacy หรือข้อบ่งใช้ไม่ตรงกับโจทย์ที่กำหนด
• ข้อ ค. (Reversed-Phase HPLC): ข้อนี้ไม่ใช่คำตอบที่ถูกต้องสำหรับภาวะ HPLC (Liquid Chromatography) เนื่องจากกลไกการออกฤทธิ์, efficacy หรือข้อบ่งใช้ไม่ตรงกับโจทย์ที่กำหนด
• ข้อ ง. (Normal-Phase HPLC (Silica column)): ข้อนี้ไม่ใช่คำตอบที่ถูกต้องสำหรับภาวะ HPLC (Liquid Chromatography) เนื่องจากกลไกการออกฤทธิ์, efficacy หรือข้อบ่งใช้ไม่ตรงกับโจทย์ที่กำหนด
• ข้อ จ. (Gas Chromatography with FID detector):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 t="n"/>
      <c r="L28" s="16" t="inlineStr">
        <is>
          <t>HPLC (Liquid Chromatography)</t>
        </is>
      </c>
      <c r="M28" s="16" t="inlineStr">
        <is>
          <t>Product</t>
        </is>
      </c>
      <c r="N28" s="16" t="inlineStr">
        <is>
          <t>ข้อ 4 (PLE_CC1_2533.md)</t>
        </is>
      </c>
      <c r="O28" s="16" t="inlineStr">
        <is>
          <t>ข้อสอบจริง</t>
        </is>
      </c>
      <c r="P28" s="16" t="inlineStr">
        <is>
          <t>ปี 2533</t>
        </is>
      </c>
      <c r="Q28" s="16" t="n"/>
    </row>
    <row r="29" ht="409.6" customHeight="1" s="37">
      <c r="A29" s="16" t="n">
        <v>27</v>
      </c>
      <c r="B29" s="20" t="inlineStr">
        <is>
          <t>ชนิดของ mobile phase Ans. 3. ชนิดของ detector retention time(Rt) คือ เวลาที่สารนั้นจะถูกชะออกมาจาก column แล้วผ่านเข้ามายัง detector เพื่อดู response ของสาร นั้น แล้วออกมาเป็น chromatogram ต่อไป หรือกล่าวได้ว่าสารที่มี Rt น้อยจะออกมาก่อนสารที่มี Rt มาก ดังนั้นการเปลี่ยนแปลงเวลา(จะออกช้าหรือจะออกเร็ว)ที่ออกมาจาก column ของสาร(Rt) จะเกิดได้จากปัจจัยในส่วนที่ ส่งผลต่อการแยกสาร เช่น column(ชนิด ความยาว ), mobile phase (pH ชนิด mobile phase ที่ใช้), อุณหภูมิ, ความดัน นอกเรื่อง by o’chai ถ้ายังนึกไม่ออกให้นึกถึง นักกีฬาคนนึง(เทียบได้กับสารที่ทำการแยก)ที่กำลังวิ่งอยู่บนสนาม(เทียบได้กับ column) สิ่งแวดล้อมต่าง ๆ รอบตัวนักกีฬา เช่น สภาพอากาศ ฯลฯ(เทียบได้กับ mobile phase) โดยมีปลายทางคือเส้นชัย(เทียบได้กับ ปลายทางของcolumn ที่จะไป detector) นักกีฬา (สาร) สนาม/ลาน/ลูวิ่ง (column) เส้นชัย (สิ้นสุดการแยก /เข้า detector)</t>
        </is>
      </c>
      <c r="C29" s="16" t="n"/>
      <c r="D29" s="16" t="inlineStr">
        <is>
          <t>Normal-Phase HPLC (Silica column)</t>
        </is>
      </c>
      <c r="E29" s="16" t="inlineStr">
        <is>
          <t>Gas Chromatography with FID detector</t>
        </is>
      </c>
      <c r="F29" s="16" t="inlineStr">
        <is>
          <t>Thin Layer Chromatography (TLC)</t>
        </is>
      </c>
      <c r="G29" s="16" t="inlineStr">
        <is>
          <t>Ion-Exchange Chromatography (IEC)</t>
        </is>
      </c>
      <c r="H29" s="16" t="inlineStr">
        <is>
          <t>Size Exclusion Chromatography (SEC)</t>
        </is>
      </c>
      <c r="I29" s="16" t="n">
        <v>1</v>
      </c>
      <c r="J29" s="16" t="inlineStr">
        <is>
          <t>✅ คำตอบที่ถูกต้อง: ข้อ ก. Normal-Phase HPLC (Silica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Normal-Phase HPLC (Silica column) 💡 คำอธิบายและเหตุผลทางเภสัชกรรม:
💡 คำอธิบายและเหตุผลทางเภสัชกรรม:
การเลือก Normal-Phase HPLC (Silica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(Gas Chromatography with FID detector): ข้อนี้ไม่ใช่คำตอบที่ถูกต้องสำหรับภาวะ HPLC (Liquid Chromatography) เนื่องจากกลไกการออกฤทธิ์, efficacy หรือข้อบ่งใช้ไม่ตรงกับโจทย์ที่กำหนด
• ข้อ ค. (Thin Layer Chromatography (TLC)): ข้อนี้ไม่ใช่คำตอบที่ถูกต้องสำหรับภาวะ HPLC (Liquid Chromatography) เนื่องจากกลไกการออกฤทธิ์, efficacy หรือข้อบ่งใช้ไม่ตรงกับโจทย์ที่กำหนด
• ข้อ ง. (Ion-Exchange Chromatography (IEC)): ข้อนี้ไม่ใช่คำตอบที่ถูกต้องสำหรับภาวะ HPLC (Liquid Chromatography) เนื่องจากกลไกการออกฤทธิ์, efficacy หรือข้อบ่งใช้ไม่ตรงกับโจทย์ที่กำหนด
• ข้อ จ. (Size Exclusion Chromatography (SEC)):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 t="n"/>
      <c r="L29" s="16" t="inlineStr">
        <is>
          <t>HPLC (Liquid Chromatography)</t>
        </is>
      </c>
      <c r="M29" s="16" t="inlineStr">
        <is>
          <t>Product</t>
        </is>
      </c>
      <c r="N29" s="16" t="inlineStr">
        <is>
          <t>ข้อ 5 (PLE_CC1_2533.md)</t>
        </is>
      </c>
      <c r="O29" s="16" t="inlineStr">
        <is>
          <t>ข้อสอบจริง</t>
        </is>
      </c>
      <c r="P29" s="16" t="inlineStr">
        <is>
          <t>ปี 2533</t>
        </is>
      </c>
      <c r="Q29" s="16" t="n"/>
    </row>
    <row r="30" ht="409.6" customHeight="1" s="37">
      <c r="A30" s="16" t="n">
        <v>28</v>
      </c>
      <c r="B30" s="20" t="inlineStr">
        <is>
          <t>ความยาวของ column  ถ้านักกีฬาคนนี้วิ่งในสนามในระยะทาง 1 เมตร เทียบกับสนามที่มีระยะทาง 100 กิโลเมตร ใครจะถึงเส้นชัยก่อนกัน ??  คอลัมน์ที่สั้นย่อมทำให้สารออกมาไวกว่าคอลัมน์ที่ยาว(เมื่อ assume ว่าสภาวะอื่น ๆ ในการแยกของทั้ง 2 ระบบเหมือนกัน)</t>
        </is>
      </c>
      <c r="C30" s="16" t="n"/>
      <c r="D30" s="16" t="inlineStr">
        <is>
          <t>Ion-Exchange Chromatography (IEC)</t>
        </is>
      </c>
      <c r="E30" s="16" t="inlineStr">
        <is>
          <t>Size Exclusion Chromatography (SEC)</t>
        </is>
      </c>
      <c r="F30" s="16" t="inlineStr">
        <is>
          <t>Chiral HPLC Separation Column</t>
        </is>
      </c>
      <c r="G30" s="16" t="inlineStr">
        <is>
          <t>HILIC (Hydrophilic Interaction LC)</t>
        </is>
      </c>
      <c r="H30" s="16" t="inlineStr">
        <is>
          <t>Ultra-High Performance LC (UHPLC)</t>
        </is>
      </c>
      <c r="I30" s="16" t="n">
        <v>1</v>
      </c>
      <c r="J30" s="16" t="inlineStr">
        <is>
          <t>✅ คำตอบที่ถูกต้อง: ข้อ ก. Ion-Exchange Chromatography (IEC)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Ion-Exchange Chromatography (IEC) 💡 คำอธิบายและเหตุผลทางเภสัชกรรม:
💡 คำอธิบายและเหตุผลทางเภสัชกรรม:
การเลือก Ion-Exchange Chromatography (IEC)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(Size Exclusion Chromatography (SEC)): ข้อนี้ไม่ใช่คำตอบที่ถูกต้องสำหรับภาวะ HPLC (Liquid Chromatography) เนื่องจากกลไกการออกฤทธิ์, efficacy หรือข้อบ่งใช้ไม่ตรงกับโจทย์ที่กำหนด
• ข้อ ค.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ข้อ ง.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ข้อ จ. (Ultra-High Performance LC (UHPLC)):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 t="n"/>
      <c r="L30" s="16" t="inlineStr">
        <is>
          <t>HPLC (Liquid Chromatography)</t>
        </is>
      </c>
      <c r="M30" s="16" t="inlineStr">
        <is>
          <t>Product</t>
        </is>
      </c>
      <c r="N30" s="16" t="inlineStr">
        <is>
          <t>ข้อ 2 (PLE_CC1_2533.md)</t>
        </is>
      </c>
      <c r="O30" s="16" t="inlineStr">
        <is>
          <t>ข้อสอบจริง</t>
        </is>
      </c>
      <c r="P30" s="16" t="inlineStr">
        <is>
          <t>ปี 2533</t>
        </is>
      </c>
      <c r="Q30" s="16" t="n"/>
    </row>
    <row r="31" ht="409.6" customHeight="1" s="37">
      <c r="A31" s="16" t="n">
        <v>29</v>
      </c>
      <c r="B31" s="20" t="inlineStr">
        <is>
          <t>pH ของ mobile phase  ถ้านักกีฬาถูกผูกขา 2 ข้างไว้ด้วยกันแล้วจับมาวิ่ง เค้าจะวิ่งได้เวลาเท่าเดิมเหมือนตอนไม่ โดนผูกขาหรือไม่ ??  pH ของ mobile phase จะไปทำให้สารที่ทำการแยกเกิดการแตกตัว/ไม่แตกตัว (ionized/unionized) เรียกเทคนิคนี้ว่า ion-suppression ซึ่งส่งผลให้มีการเปลี่ยนแปลงสภาพขั้ว (เป็นมี/ไม่มีประจุ) ดังนั้นอาจทำให้สารนั้น ๆ ออกมาไวขึ้น หรือช้าลง ขึ้นกับชนิด column/mobile phase ที่ใช้ หรือกล่าวได้ว่ามีการ เปลี่ยนแปลง Rt นั่นเอง</t>
        </is>
      </c>
      <c r="C31" s="16" t="n"/>
      <c r="D31" s="16" t="inlineStr">
        <is>
          <t>HILIC (Hydrophilic Interaction LC)</t>
        </is>
      </c>
      <c r="E31" s="16" t="inlineStr">
        <is>
          <t>Ultra-High Performance LC (UHPLC)</t>
        </is>
      </c>
      <c r="F31" s="16" t="inlineStr">
        <is>
          <t>GC-Mass Spectrometry (GC-MS)</t>
        </is>
      </c>
      <c r="G31" s="16" t="inlineStr">
        <is>
          <t>Reversed-Phase HPLC</t>
        </is>
      </c>
      <c r="H31" s="16" t="inlineStr">
        <is>
          <t>Normal-Phase HPLC (Silica column)</t>
        </is>
      </c>
      <c r="I31" s="16" t="n">
        <v>1</v>
      </c>
      <c r="J31" s="16" t="inlineStr">
        <is>
          <t>✅ คำตอบที่ถูกต้อง: ข้อ ก. HILIC (Hydrophilic Interaction 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(Ultra-High Performance LC (UHPLC)): ข้อนี้ไม่ใช่คำตอบที่ถูกต้องสำหรับภาวะ HPLC (Liquid Chromatography) เนื่องจากกลไกการออกฤทธิ์, efficacy หรือข้อบ่งใช้ไม่ตรงกับโจทย์ที่กำหนด
• ข้อ ค. (GC-Mass Spectrometry (GC-MS)): ข้อนี้ไม่ใช่คำตอบที่ถูกต้องสำหรับภาวะ HPLC (Liquid Chromatography) เนื่องจากกลไกการออกฤทธิ์, efficacy หรือข้อบ่งใช้ไม่ตรงกับโจทย์ที่กำหนด
• ข้อ ง. (Reversed-Phase HPLC): ข้อนี้ไม่ใช่คำตอบที่ถูกต้องสำหรับภาวะ HPLC (Liquid Chromatography) เนื่องจากกลไกการออกฤทธิ์, efficacy หรือข้อบ่งใช้ไม่ตรงกับโจทย์ที่กำหนด
• ข้อ จ. (Normal-Phase HPLC (Silica column)):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 t="n"/>
      <c r="L31" s="16" t="inlineStr">
        <is>
          <t>HPLC (Liquid Chromatography)</t>
        </is>
      </c>
      <c r="M31" s="16" t="inlineStr">
        <is>
          <t>Product</t>
        </is>
      </c>
      <c r="N31" s="16" t="inlineStr">
        <is>
          <t>ข้อ 4 (PLE_CC1_2533.md)</t>
        </is>
      </c>
      <c r="O31" s="16" t="inlineStr">
        <is>
          <t>ข้อสอบจริง</t>
        </is>
      </c>
      <c r="P31" s="16" t="inlineStr">
        <is>
          <t>ปี 2533</t>
        </is>
      </c>
      <c r="Q31" s="16" t="n"/>
    </row>
    <row r="32" ht="409.6" customHeight="1" s="37">
      <c r="A32" s="16" t="n">
        <v>30</v>
      </c>
      <c r="B32" s="20" t="inlineStr">
        <is>
          <t>เทคนิคทางโครมาโตรกราฟีใดต่อไปนี้สามารถแยกความแตกต่างระหว่าง theophylline และ caffeine ได้ caffeine theophylline</t>
        </is>
      </c>
      <c r="C32" s="16" t="n"/>
      <c r="D32" s="16" t="inlineStr">
        <is>
          <t>Chiral chromatography</t>
        </is>
      </c>
      <c r="E32" s="16" t="inlineStr">
        <is>
          <t>Countercurrent chromatography</t>
        </is>
      </c>
      <c r="F32" s="16" t="inlineStr">
        <is>
          <t>Ion exchange chromatography</t>
        </is>
      </c>
      <c r="G32" s="16" t="inlineStr">
        <is>
          <t>Reverse phase chromatography</t>
        </is>
      </c>
      <c r="H32" s="16" t="inlineStr">
        <is>
          <t>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t>
        </is>
      </c>
      <c r="I32" s="16" t="n">
        <v>1</v>
      </c>
      <c r="J32" s="16" t="inlineStr">
        <is>
          <t>✅ คำตอบที่ถูกต้อง: ข้อ ก. Chiral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chromatography 💡 คำอธิบายและเหตุผลทางเภสัชกรรม:
💡 คำอธิบายและเหตุผลทางเภสัชกรรม:
การเลือก Chiral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(Countercurrent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ค. (Ion exchange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ง. (Reverse phase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จ. (Size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 t="n"/>
      <c r="L32" s="16" t="inlineStr">
        <is>
          <t>HPLC (Liquid Chromatography)</t>
        </is>
      </c>
      <c r="M32" s="16" t="inlineStr">
        <is>
          <t>Product</t>
        </is>
      </c>
      <c r="N32" s="16" t="inlineStr">
        <is>
          <t>ข้อ 23 (PLE_CC1_Practice_Exam.md)</t>
        </is>
      </c>
      <c r="O32" s="16" t="inlineStr">
        <is>
          <t>Mock</t>
        </is>
      </c>
      <c r="P32" s="16" t="inlineStr">
        <is>
          <t>Mock สภาเภสัชฯ Practice</t>
        </is>
      </c>
      <c r="Q32" s="16" t="n"/>
    </row>
    <row r="33" ht="409.6" customHeight="1" s="37">
      <c r="A33" s="16" t="n">
        <v>31</v>
      </c>
      <c r="B33" s="20" t="inlineStr">
        <is>
          <t>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t>
        </is>
      </c>
      <c r="C33" s="16" t="n"/>
      <c r="D33" s="16" t="inlineStr">
        <is>
          <t>Thin Layer Chromatography (TLC)</t>
        </is>
      </c>
      <c r="E33" s="16" t="inlineStr">
        <is>
          <t>Ion-Exchange Chromatography (IEC)</t>
        </is>
      </c>
      <c r="F33" s="16" t="inlineStr">
        <is>
          <t>Size Exclusion Chromatography (SEC)</t>
        </is>
      </c>
      <c r="G33" s="16" t="inlineStr">
        <is>
          <t>Chiral HPLC Separation Column</t>
        </is>
      </c>
      <c r="H33" s="16" t="inlineStr">
        <is>
          <t>HILIC (Hydrophilic Interaction LC)</t>
        </is>
      </c>
      <c r="I33" s="16" t="n">
        <v>1</v>
      </c>
      <c r="J33" s="16" t="inlineStr">
        <is>
          <t>✅ คำตอบที่ถูกต้อง: ข้อ ก.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(Ion-Exchange Chromatography (IEC)): ข้อนี้ไม่ใช่คำตอบที่ถูกต้องสำหรับภาวะ HPLC (Liquid Chromatography) เนื่องจากกลไกการออกฤทธิ์, efficacy หรือข้อบ่งใช้ไม่ตรงกับโจทย์ที่กำหนด
• ข้อ ค. (Size Exclusion Chromatography (SEC)): ข้อนี้ไม่ใช่คำตอบที่ถูกต้องสำหรับภาวะ HPLC (Liquid Chromatography) เนื่องจากกลไกการออกฤทธิ์, efficacy หรือข้อบ่งใช้ไม่ตรงกับโจทย์ที่กำหนด
• ข้อ ง.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ข้อ จ.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 t="n"/>
      <c r="L33" s="16" t="inlineStr">
        <is>
          <t>HPLC (Liquid Chromatography)</t>
        </is>
      </c>
      <c r="M33" s="16" t="inlineStr">
        <is>
          <t>Product</t>
        </is>
      </c>
      <c r="N33" s="16" t="inlineStr">
        <is>
          <t>ข้อ 1 (PLE_CC1_Practice_Exam.md)</t>
        </is>
      </c>
      <c r="O33" s="16" t="inlineStr">
        <is>
          <t>Mock</t>
        </is>
      </c>
      <c r="P33" s="16" t="inlineStr">
        <is>
          <t>Mock สภาเภสัชฯ Practice</t>
        </is>
      </c>
      <c r="Q33" s="16" t="n"/>
    </row>
    <row r="34" ht="409.6" customHeight="1" s="37">
      <c r="A34" s="16" t="n">
        <v>32</v>
      </c>
      <c r="B34" s="20" t="inlineStr">
        <is>
          <t>Reverse phase chromatography ใชเฟสนิ่งท่ืมีสภาพขั้วต่ำ ตัวอยางเช่น สารอินทรียประเภท n-alkyl ซึ่งมีคารบอน 8 หรือ 18 โมเลกุล เพื่อแยกสารที่มีสภาพขั้วต่ำออกจากกัน และใช้เฟสเคลื่อนที่มีสภาพ ขั้วสูงกวาไส่สารที่ตองการออกมาจากคอลัมน โดยสารที่มีสภาพขั้วต ่ากว่า จะออกมาชากวา ข้อ 24 เฉลย จ. หลังการใช้ยาขยายหลอดลม จะมีค่า FEV1/FVC เพิ่มขึ้น 37 โรคระบบหายใจ นักศึกษาเภสัชศาสตร์ชั้นปีที่ 4 รุ่นที่ 28 มหาวิทยาลัยรังสิต สหพันธ์นิสิตนักศึกษาเภสัชศาสตร์แห่งประเทศไทย (สนภท.) เพราะ การวินิจฉัยโรค จะพิจารณาค่า FEV1 และ FEV1/FVC ratio ว่ามีค่าอยู่ในช่วงใดซึ่งจะสามารถ บอกระดับความรุนแรงของอาการได้ ไม่ได้พิจารณาว่าค่าFEV1/FVC จะเพิ่มขึ้นหรือไม่หลังจากการได้รับยา ขยายหลอดลม แนวทางการวินิจฉัย COPD ผู้ป่วยที่มีอายุมากกว่า 40 ปี มีอาการหรือมีประวัติเข้าตามเกณฑ์ข้อใดข้อหนึ่งต่อไปนี้ ให้สงสัยว่าเป็น COPD หากตรงตามเกณฑ์หลายข้อก็จะช่วยในการวินิจฉัยว่าเป็น COPD มากขึ้น และควรทำการตรวจยืนยัน สมรรถภาพปอด (spirometry) เพื่อยืนยันการวินิจฉัยต่อไป เกณฑ์การวินิจฉัยโรค - อาการหอบเหนื่อย (Dyspnea) ซึ่งเป็นอาการที่มีอยู่ตลอดเวลา เป็นมากขึ้นเรื่อยๆ เมื่อเวลาผ่าน ไปและอาการแย่ลงเมื่ออกกำลังกาย - อาการไอเรื้อรังแบบเป็นๆหายๆ ที่อาจมีหรือไม่มีเสมหะก็ได้ - อาการมีเสมหะเรื้อรัง - มีประวัติการสูบบุหรี่ การได้รับควัน มลพิษ ฝุ่น สารเคมี - มีประวัติครอบครัวเป็นโรค COPD การตรวจสมรรถภาพปอด การตรวจจะทำเมื่อผู้ป่วยมีอาการคงที่ และไม่มีอาการกำเริบของโรคอย่างน้อย 1 เดือน การตรวจนี้ สามารถใช้วินิจฉัยโรคได้ตั้งแต่ระยะไม่มีอาการ จะพบว่าค่า FEV1/FVC ratio หลังให้ยาขยายหลอดลมน้อย กว่าร้อยละ 70 (0.7) Ref : GOLD guideline 2014 ข้อ 25 เฉลย ก. ใจสั่น เหตุผล salbutamol ออกฤทธิ์ต่อตัวรับทั้งชนิด Beta 1 และ Beta 2 นอกเหนือการจากขยาย หลอดลมยังส่งผลให้เกิดการเพิ่มแรงบีบตัวของกล้ามเนื้อเรียบที่บริเวณหัวใจได้ ผลข้างเคียงทั้งหมดของ salbutamol - Feeling a bit shaky - Headache - Rapid or uneven heart beat - Flushing - Muscle cramps (uncommon with inhaled salbutamol). - Irritation or dryness of the mouth and throat (inhaled salbutamol only). - Hypokalaemia (low blood potassium levels), and can lead to muscle cramps and weakness, and in severe cases it can cause death as patients stop breathing 38 โรคระบบหายใจ นักศึกษาเภสัชศาสตร์ชั้นปีที่ 4 รุ่นที่ 28 มหาวิทยาลัยรังสิต สหพันธ์นิสิตนักศึกษาเภสัชศาสตร์แห่งประเทศไทย (สนภท.) - Restlessness - Dizziness - Bronchospasm (inhaled salbutamol only). - Lactic acidosis ข้อ 26 เฉลย ค. Tiotropium Br เหตุผล อาการของผู้ป่วยอยู่ใน Group B COPD ยาที่แนะนำคือ long acting bronchodilator Ref : GOLD guideline2017 ข้อ 27 เฉลย จ. เครื่องพ่นมีตัวยา จึงไม่ควรล้างน้ำ ยาเป็นผงกระจายตัวในกระสายยาที่เป็นของเหลว และต้องทำความสะอาดปากหลอดด้วยน้ำ แต่ต้อง เช็ดด้วยกระดาษซับให้แห้งเสมอ Ref: หนังสือคู่มือทักษะ สภาเภสัชกรรม ข้อ 28 เฉลย ข. แนะนำให้พ่นยาต่อเนื่องทุกวัน เพื่อควบคุมอาการ เหตุผล Seretideหaccuhaler มีส่วนผสมของยา 2 ชนิด คือ salmeterol ซึ่งออกฤทธิ์ในการขยาย หยอดลมและ fluticasone ซึ่งออกฤทธิ์ในการลดการอักเสบของทางเดินหายใจโดย fluticasone ต้องใช้ยา ติดต่อกันเป็นประจำทุกวัน จึงจะสามารถช่วยลดอาการได้ Ref: หนังสือ Pharmacotherapy ติวสภา Rx 32 ข้อ 29 เฉลย ง. ค่า FEV1 สูงกว่า 60% predicted มีความเสี่ยงต่อการเกิด exacerbation มาก เนื่องจากใน GINA assessment of symptom control ไม่ได้ใช้คำถามนี้ และค่า FEV1 ต้องต่ำกว่า 60% predicted จึงมีความเสี่ยงต่อการเกิด exacerbation มาก ข้อ 30 เฉลย ข. ควรพิจารณาการ Step up เนื่องจากเมื่อทำ GINA assessment of symptom control พบว่าเป็น uncontrolled คือผู้ป่วยไม่ สามารถควบคุมอาการได้ จึงควรพิจารณา step up การรักษาขึ้น 1 ระดับ ข้อ 31 เฉลย ข. Fluticasone propionate 200 mcg + Symbicortห(Budesonide/Formoterol) เนื่องจากข้อ 30 พิจารณาการ step up ขึ้น 1 ระดับ คือจากเดิม step 2 เพิ่มเป็น step 3 ซึ่งมี low dose ICS เป็น controller และ low dose ICS/formoterol เป็น reliever ข้อ32 ข้อ 33 เฉลย จ. Salmeterol เนื่องจาก Salmeterol เป็น long-acting beta 2 agonist ข้อ 34 เฉลย ข. ความถี่ของการใช้ short-acting beta-2 agonist เป็นตัวบ่งบอกถึงผลการรักษา 39 โรคระบบหายใจ นักศึกษาเภสัชศาสตร์ชั้นปีที่ 4 รุ่นที่ 28 มหาวิทยาลัยรังสิต สหพันธ์นิสิตนักศึกษาเภสัชศาสตร์แห่งประเทศไทย (สนภท.) เนื่องจากความถี่ในการใช้ short-acting beta2 agonist บอกถึงความสามารถในการควบคุมอาการ ของผู้ป่วยได้ ข้อ 35 เฉลย ข. ยับยั้งเอนไซม์ Phosphodiesterase เนื่องจาก Theophylline เป็นยาในกลุ่ม Methylxanthines ออกฤทธิ์โดยการยับยั้งเอนไซม์ Phosphodiesterase ซึ่งทำลาย cAMP ในเซลล์กล้ามเนื้อเรียบของหลอดลม ทำให้ cAMP เพิ่มขึ้น cAMP ที่ เพิ่มขึ้นในเซลล์จะกระตุ้น Protein kinase A ทำให้กล้ามเนื้อเรียบที่หลอดลมคลายตัว ข้อ 36 เฉลย ค. กระตุ้นกระบวนการสร้าง leukotriene เพราะว่า กลไกที่สำคัญของยากลุ่มนี้ คือ ต้าน IgE รบกวน arachidonic acid metabolism และ กระบวนการสร้าง leukotriene และ prostaglandins ป้องกันการสร้างและการ หลั่ง cytokine จึงลดการ กระตุ้น inflammatory cells เพิ่มการตอบสนองของ receptor ที่กล้ามเนื้อเรียบทางเดินหายใจ ข้อ 37 เฉลย ก. มือสั่น ใจสั่น เพราะไม่ใช่อาการไม่พึงประสงค์ของการใช้ยายากลุ่ม Inhaled corticosteroids โดยอาการไม่พึง ประสงค์ของยากลุ่มนี้ คือ อาการเจ็บจมูกอย่างรุนแรง มีเลือดออกในจมูกบ่อยๆ อาการแสดงของการแพ้ยา เช่น แน่นหน้าอก หายใจหรือกลืนลาบาก บวมบริเวณลิ้น ริมฝีปาก เปลือกตา หรือหน้า ผื่นคัน ผื่นลมพิษ หรือ อาการหายใจหวีดเนื่องจากหายใจขัด (wheezing) มี ฝ้าขาวในคอ ปาก หรือจมูก ประจำเดือนมาไม่สม่ำเสมอ เป็นสิวอย่างรุนแรง อาจเกิดการระคายเคือง หรือเป็นแผลไหม้ในจมูก ปากแห้ง เจ็บคอ เสียงแหบ ไอเพิ่มมาก ขึ้น มีเลือดกำเดาไหลเป็นบางครั้ง ข้อ 38 เฉลย ข. เพราะ ข. คือ formoterol เป็นยากลุ่ม selective beta-2 agonists แบบ long-acting beta-2 agonists ส่วน ก. คือ terbutaline, ค. คือ metaproterenol และ ง. คือ salbutamol เป็นยากลุ่ม selective beta-2 agonists แบบ short-acting beta-2 agonists และ จ. คือ epinephrine เป็นยากลุ่ม endogenous catecholamines 40 โรคระบบหายใจ นักศึกษาเภสัชศาสตร์ชั้นปีที่ 4 รุ่นที่ 28 มหาวิทยาลัยรังสิต สหพันธ์นิสิตนักศึกษาเภสัชศาสตร์แห่งประเทศไทย (สนภท.) ข้อ 39 เฉลย ง. ดูตรงที่การเปลี่ยนแปลง catechol –OH group จะทำให้ยานั้นไม่ถูกทำลายโดยเอนไซม์ catechol-O-methyl transferase และไม่ถูก uptake เข้าปลายประสาท ข้อ 40 เฉลย จ. เปลี่ยนการแทนที่บน benzene ring จาก หมู่ 3,4-hydroxyl เป็นตำแหน่ง 3,5-hydroxyl เพื่อให้ทนต่อกรดในกระเพาะอาหาร เพราะยานี้ คือ fenoterol ไม่ใช่กลุ่ม rapid-acting (เช่น albuterol, pirbuterol และ terbutaline) มีการดัดแปลงโครงสร้างเพื่อให้ทนต่อ catechol-O-methyltransferase สามารถทำให้โดยเปลี่ยนการแทนที่ บน benzene ring จาก หมู่ 3,4-hydroxyl เป็นตำแหน่ง 3,5-hydroxyl และจัดเป็นยากลุ่ม selective beta 2 agonists แบบ long-acting beta2 agonists จาก SAR ไม่มีอะไรที่บอกเกี่ยวกับการทนกรดในกระเพาะ อาหาร เลย ข้อ 41 เฉลย ข.หมู่ –OH ที่ตำแหน่ง 3 ถูกแทนที่ด้วย เช่น sulfone ยานี้คือ Soterenol เป็นทั้ง beta1 และ beta2 selectivities มีการดัดแปลงโครงสร้างส่วน catechol ring จะเพิ่มฤทธิ์ beta2 activity เช่น bronchodilator beta2/beta1 index จะเพิ่มขึ้นเมื่อ หมู่ –OH ที่ตำแหน่ง 3 ถูกแทนที่ด้วย sulfonamide ใน soterenol สารที่เป็น tertiary amine จะไม่มีฤทธิ์ และ ฤทธิ์ต่อ beta2 ของ secondary amines จะเพิ่มขึ้นโดยการเติม branched arylalkyl chains ข้อ 42 เฉลย ง. ทำให้หลอดลมคลายตัว หัวใจเต้นเร็ว และน้ำลายแห้ง ยานี้คือ Ipratropium เป็นยากลุ่ม Anticholinergics drugs จัดอยู่ในกลุ่ม Quartenary Amines (เช่น ipratropium, propantheline, glycopyrrolate) ซึ่งจะทำให้ CNS effect ลดลง แต่ peripheral effect เพิ่มขึ้น มีโครงสร้างต่างจาก atropine ที่มี isopropyl groups ที่ตำแหน่งไนโตรเจน ฤทธิ์ต่าง ๆ คล้าย กับ atropine ได้แก่ การทำให้หลอดลมคลายตัว หัวใจเต้นเร็ว และน้ำลายแห้ง 41 โรคระบบหายใจ ฝ่ายวิชาการ และนิสิตชั้นปีที่ 4 สโมสรนิสิตเภสัชศาสตร์ มหาวิทยาลัยบูรพา สหพันธ์นิสิตนักศึกษาเภสัชศาสตร์แห่งประเทศไทย (สนภท.)</t>
        </is>
      </c>
      <c r="C34" s="16" t="n"/>
      <c r="D34" s="16" t="inlineStr">
        <is>
          <t>Chiral HPLC Separation Column</t>
        </is>
      </c>
      <c r="E34" s="16" t="inlineStr">
        <is>
          <t>HILIC (Hydrophilic Interaction LC)</t>
        </is>
      </c>
      <c r="F34" s="16" t="inlineStr">
        <is>
          <t>Ultra-High Performance LC (UHPLC)</t>
        </is>
      </c>
      <c r="G34" s="16" t="inlineStr">
        <is>
          <t>GC-Mass Spectrometry (GC-MS)</t>
        </is>
      </c>
      <c r="H34" s="16" t="inlineStr">
        <is>
          <t>Reversed-Phase HPLC</t>
        </is>
      </c>
      <c r="I34" s="16" t="n">
        <v>4</v>
      </c>
      <c r="J34" s="16" t="inlineStr">
        <is>
          <t>✅ คำตอบที่ถูกต้อง: ข้อ ง. GC-Mass Spectrometry (GC-MS)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ข้อ ข.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ข้อ ค. (Ultra-High Performance LC (UHPLC)): ข้อนี้ไม่ใช่คำตอบที่ถูกต้องสำหรับภาวะ HPLC (Liquid Chromatography) เนื่องจากกลไกการออกฤทธิ์, efficacy หรือข้อบ่งใช้ไม่ตรงกับโจทย์ที่กำหนด
• ข้อ จ. (Reversed-Phase HPLC):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 t="n"/>
      <c r="L34" s="16" t="inlineStr">
        <is>
          <t>HPLC (Liquid Chromatography)</t>
        </is>
      </c>
      <c r="M34" s="16" t="inlineStr">
        <is>
          <t>Product</t>
        </is>
      </c>
      <c r="N34" s="16" t="inlineStr">
        <is>
          <t>ข้อ 2 (PLE_CC1_Practice_Exam.md)</t>
        </is>
      </c>
      <c r="O34" s="16" t="inlineStr">
        <is>
          <t>Mock</t>
        </is>
      </c>
      <c r="P34" s="16" t="inlineStr">
        <is>
          <t>Mock สภาเภสัชฯ Practice</t>
        </is>
      </c>
      <c r="Q34" s="16" t="n"/>
    </row>
    <row r="35" ht="409.6" customHeight="1" s="37">
      <c r="A35" s="16" t="n">
        <v>33</v>
      </c>
      <c r="B35" s="20" t="inlineStr">
        <is>
          <t>Wet Gum Method (Addition of Internal phase to external phase) ตวงน้ำใส่โกร่งแล้วใส่ emulsifier ผสมให้เข้ากันและใส่ oil ลงไปในโกร่งทีละน้อยจนหมด จากนั้น shear อย่างแรงและเร็ว ทุกครั้งที่เติม แล้วปั่นต่ออีก 5 นาทีก็จะได้ Primary emulsion แล้วค่อยใส่สารอื่นที่เหลือ Beaker method ขั้นตอนที่ 1 ให้แยกบีกเกอรระหว่าง water phase และ oil phase ขั้นตอนที่ 2. ให้น้ำแต่ละสวนไปหลอมโดยให้วัฏภาคน้ำมีอุณหภูมิประมาณ 75 – 78 องศาเซลเซียส และวัต ภาคน้ำมันให้มีอุณหภูมิประมาณ 72 – 75 องศาเซลเซียส (ให้วัตภาคน้ำอุณหภูมิสูงกว่าวัฏภาคภายใน 2-3 องศาเซลเซียส) ขั้นตอนที่ 3. ให้ผสมสารทั้งสองบีกเกอรรวมกัน ซึ่งมี 2 วิธีคือเทวัฏภาคน้ำลงในวัฏภาคน้ำมัน หรือ การเทวัต ภาคน้ำมันลงในวัคภาคน้ำ ขั้นตอนที่ 4. ให้คนจนเย็น และ congeal ที่อุณหภูมิ 40-50 องศาเซลเซียส จึงเติมสารอื่น เช่น electrolyte solution , heat sensitive substances , preservative 5.ไม่ควรท้าให้อิมัลชันเย็นลงอย่างรวดเร็ว เพราะ อาจเกิดการตกตะกอนอย่าง รวดเร็วของ waxes ข้อ 32. เฉลย ง. ถ้าใส่ขั้วหลอดไฟฟ้าในการทดสอบ conductivity test หลอดไฟจะติดๆดับๆ เพราะ 311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ข้อ 33. เฉลย ก. ข้อ 34. เฉลย ค. ข้อ 35. เฉลย ค.เป็น coarse dispersion (เป็นการกระจายอย่างหยาบ) เพราะ ยาอิมัลชัน</t>
        </is>
      </c>
      <c r="C35" s="16" t="n"/>
      <c r="D35" s="16" t="inlineStr">
        <is>
          <t>ผิด อนุภาคของวัฏภาคกระจายตัวเป็นของเหลว</t>
        </is>
      </c>
      <c r="E35" s="16" t="inlineStr">
        <is>
          <t>ผิด ต้องใช้พลังงานเพื่อกระจายอนุภาตของวัฏภาคกระจายตัวออกจากกัน</t>
        </is>
      </c>
      <c r="F35" s="16" t="inlineStr">
        <is>
          <t>ผิด ประกอบด้วยสองวัฏภาคที่ไม่ผสมเข้ากัน</t>
        </is>
      </c>
      <c r="G35" s="16" t="inlineStr">
        <is>
          <t>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t>
        </is>
      </c>
      <c r="H35" s="16" t="inlineStr">
        <is>
          <t>Thin Layer Chromatography (TLC)</t>
        </is>
      </c>
      <c r="I35" s="16" t="n">
        <v>1</v>
      </c>
      <c r="J35" s="16" t="inlineStr">
        <is>
          <t>✅ คำตอบที่ถูกต้อง: ข้อ ก. ผิด อนุภาคของวัฏภาคกระจายตัวเป็นของเหลว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ผิด อนุภาคของวัฏภาคกระจายตัวเป็นของเหลว 💡 คำอธิบายและเหตุผลทางเภสัชกรรม:
💡 คำอธิบายและเหตุผลทางเภสัชกรรม:
การเลือก ผิด อนุภาคของวัฏภาคกระจายตัวเป็นของเหลว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(ผิด ต้องใช้พลังงานเพื่อกระจายอนุภาตของวัฏภาคกระจายตัวออกจากกัน): ข้อนี้ไม่ใช่คำตอบที่ถูกต้องสำหรับภาวะ HPLC (Liquid Chromatography) เนื่องจากกลไกการออกฤทธิ์, efficacy หรือข้อบ่งใช้ไม่ตรงกับโจทย์ที่กำหนด
• ข้อ ค. (ผิด ประกอบด้วยสองวัฏภาคที่ไม่ผสมเข้ากัน): ข้อนี้ไม่ใช่คำตอบที่ถูกต้องสำหรับภาวะ HPLC (Liquid Chromatography) เนื่องจากกลไกการออกฤทธิ์, efficacy หรือข้อบ่งใช้ไม่ตรงกับโจทย์ที่กำหนด
• ข้อ ง. (ผิด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วัคซีนรวมคอตีบ-บาดทะยัก ฉีดกระตุ้นทุก 10 ปี หรือใช้ในหญิงตั้งครรภ์และผู้ใหญ่
• ข้อ จ. (Thin Layer Chromatography (TLC)):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 t="n"/>
      <c r="L35" s="16" t="inlineStr">
        <is>
          <t>HPLC (Liquid Chromatography)</t>
        </is>
      </c>
      <c r="M35" s="16" t="inlineStr">
        <is>
          <t>Product</t>
        </is>
      </c>
      <c r="N35" s="16" t="inlineStr">
        <is>
          <t>ข้อ 2 (PLE_CC1_Practice_Exam.md)</t>
        </is>
      </c>
      <c r="O35" s="16" t="inlineStr">
        <is>
          <t>Mock</t>
        </is>
      </c>
      <c r="P35" s="16" t="inlineStr">
        <is>
          <t>Mock สภาเภสัชฯ Practice</t>
        </is>
      </c>
      <c r="Q35" s="16" t="n"/>
    </row>
    <row r="36" ht="409.6" customHeight="1" s="37">
      <c r="A36" s="16" t="n">
        <v>34</v>
      </c>
      <c r="B36" s="20" t="inlineStr">
        <is>
          <t>ข้อใดถูกต้องเกี่ยวกับ Infrared Spectroscopy</t>
        </is>
      </c>
      <c r="C36" s="16" t="n"/>
      <c r="D36" s="16" t="inlineStr">
        <is>
          <t>น้ำมีค่า Fundamental vibration เท่ากับ 2</t>
        </is>
      </c>
      <c r="E36" s="16" t="inlineStr">
        <is>
          <t>แก๊สคาร์บอนไดออกไซด์มีค่า Fundamental vibration เท่ากับ 3</t>
        </is>
      </c>
      <c r="F36" s="16" t="inlineStr">
        <is>
          <t>เซลล์ตัวอย่างควรมีลักษณะโปร่งใสและไม่ดูดกลืนรังสีอินฟราเรดช่วงเดียวกับตัวอย่าง เช่น เกลือของแัไลด์</t>
        </is>
      </c>
      <c r="G36" s="16" t="inlineStr">
        <is>
          <t>สารประกอบกลุ่มไนโตรจะมี wavenumber มากกว่าไนไทรล์</t>
        </is>
      </c>
      <c r="H36" s="16" t="inlineStr">
        <is>
          <t>ข้อ ค. และ ง. ถูก</t>
        </is>
      </c>
      <c r="I36" s="16" t="n">
        <v>1</v>
      </c>
      <c r="J36" s="16" t="inlineStr">
        <is>
          <t>✅ คำตอบที่ถูกต้อง: ข้อ ก. น้ำมีค่า Fundamental vibration เท่ากับ 2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น้ำมีค่า Fundamental vibration เท่ากับ 2 💡 คำอธิบายและเหตุผลทางเภสัชกรรม:
💡 คำอธิบายและเหตุผลทางเภสัชกรรม:
การเลือก น้ำมีค่า Fundamental vibration เท่ากับ 2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(แก๊สคาร์บอนไดออกไซด์มีค่า Fundamental vibration เท่ากับ 3): ข้อนี้ไม่ใช่คำตอบที่ถูกต้องสำหรับภาวะ HPLC (Liquid Chromatography) เนื่องจากกลไกการออกฤทธิ์, efficacy หรือข้อบ่งใช้ไม่ตรงกับโจทย์ที่กำหนด
• ข้อ ค. (เซลล์ตัวอย่างควรมีลักษณะโปร่งใสและไม่ดูดกลืนรังสีอินฟราเรดช่วงเดียวกับตัวอย่าง เช่น เกลือของแัไลด์): ข้อนี้ไม่ใช่คำตอบที่ถูกต้องสำหรับภาวะ HPLC (Liquid Chromatography) เนื่องจากกลไกการออกฤทธิ์, efficacy หรือข้อบ่งใช้ไม่ตรงกับโจทย์ที่กำหนด
• ข้อ ง. (สารประกอบกลุ่มไนโตรจะมี wavenumber มากกว่าไนไทรล์): ข้อนี้ไม่ใช่คำตอบที่ถูกต้องสำหรับภาวะ HPLC (Liquid Chromatography) เนื่องจากกลไกการออกฤทธิ์, efficacy หรือข้อบ่งใช้ไม่ตรงกับโจทย์ที่กำหนด
• ข้อ จ. (ข้อ ค. และ ง. ถูก):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 t="n"/>
      <c r="L36" s="16" t="inlineStr">
        <is>
          <t>HPLC (Liquid Chromatography)</t>
        </is>
      </c>
      <c r="M36" s="16" t="inlineStr">
        <is>
          <t>Product</t>
        </is>
      </c>
      <c r="N36" s="16" t="inlineStr">
        <is>
          <t>ข้อ 2 (PLE_CC1_Practice_Exam.md)</t>
        </is>
      </c>
      <c r="O36" s="16" t="inlineStr">
        <is>
          <t>Mock</t>
        </is>
      </c>
      <c r="P36" s="16" t="inlineStr">
        <is>
          <t>Mock สภาเภสัชฯ Practice</t>
        </is>
      </c>
      <c r="Q36" s="16" t="n"/>
    </row>
    <row r="37" ht="409.6" customHeight="1" s="37">
      <c r="A37" s="16" t="n">
        <v>35</v>
      </c>
      <c r="B37" s="20" t="inlineStr">
        <is>
          <t>จงหา pH ของสารละลายที่ประกอบด้วย urea 42% w/v (กำหนดให้ Kb = 1.5x10-14 , MW of Urea = 60 g/mol)</t>
        </is>
      </c>
      <c r="C37" s="16" t="n"/>
      <c r="D37" s="16" t="n">
        <v>6.5</v>
      </c>
      <c r="E37" s="16" t="n">
        <v>7</v>
      </c>
      <c r="F37" s="16" t="n">
        <v>7.5</v>
      </c>
      <c r="G37" s="16" t="n">
        <v>8</v>
      </c>
      <c r="H37" s="16" t="n">
        <v>8.5</v>
      </c>
      <c r="I37" s="16" t="n">
        <v>1</v>
      </c>
      <c r="J37" s="16" t="inlineStr">
        <is>
          <t>✅ คำตอบที่ถูกต้อง: ข้อ ก. 6.5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6.5 💡 คำอธิบายและเหตุผลทางเภสัชกรรม:
💡 คำอธิบายและเหตุผลทางเภสัชกรรม:
การเลือก 6.5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(7.0): ข้อนี้ไม่ใช่คำตอบที่ถูกต้องสำหรับภาวะ HPLC (Liquid Chromatography) เนื่องจากกลไกการออกฤทธิ์, efficacy หรือข้อบ่งใช้ไม่ตรงกับโจทย์ที่กำหนด
• ข้อ ค. (7.5): ข้อนี้ไม่ใช่คำตอบที่ถูกต้องสำหรับภาวะ HPLC (Liquid Chromatography) เนื่องจากกลไกการออกฤทธิ์, efficacy หรือข้อบ่งใช้ไม่ตรงกับโจทย์ที่กำหนด
• ข้อ ง. (8.0): ข้อนี้ไม่ใช่คำตอบที่ถูกต้องสำหรับภาวะ HPLC (Liquid Chromatography) เนื่องจากกลไกการออกฤทธิ์, efficacy หรือข้อบ่งใช้ไม่ตรงกับโจทย์ที่กำหนด
• ข้อ จ. (8.5):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 t="n"/>
      <c r="L37" s="16" t="inlineStr">
        <is>
          <t>HPLC (Liquid Chromatography)</t>
        </is>
      </c>
      <c r="M37" s="16" t="inlineStr">
        <is>
          <t>Product</t>
        </is>
      </c>
      <c r="N37" s="16" t="inlineStr">
        <is>
          <t>ข้อ 5 (PLE_CC1_Practice_Exam.md)</t>
        </is>
      </c>
      <c r="O37" s="16" t="inlineStr">
        <is>
          <t>Mock</t>
        </is>
      </c>
      <c r="P37" s="16" t="inlineStr">
        <is>
          <t>Mock สภาเภสัชฯ Practice</t>
        </is>
      </c>
      <c r="Q37" s="16" t="n"/>
    </row>
    <row r="38" ht="409.6" customHeight="1" s="37">
      <c r="A38" s="16" t="n">
        <v>36</v>
      </c>
      <c r="B38" s="20" t="inlineStr">
        <is>
          <t>C18 column ใช้เป็น stationary phase ใน HPLC ประเภทใด</t>
        </is>
      </c>
      <c r="C38" s="16" t="n"/>
      <c r="D38" s="16" t="inlineStr">
        <is>
          <t>Nornal phase HPLC</t>
        </is>
      </c>
      <c r="E38" s="16" t="inlineStr">
        <is>
          <t>Reverse phase HPLC</t>
        </is>
      </c>
      <c r="F38" s="16" t="inlineStr">
        <is>
          <t>Size-exclusion HPLC 344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t>
        </is>
      </c>
      <c r="G38" s="16" t="inlineStr">
        <is>
          <t>Ion-exchange HPLC</t>
        </is>
      </c>
      <c r="H38" s="16" t="inlineStr">
        <is>
          <t>Carbon-exclusion HPLC</t>
        </is>
      </c>
      <c r="I38" s="16" t="n">
        <v>1</v>
      </c>
      <c r="J38" s="16" t="inlineStr">
        <is>
          <t>✅ คำตอบที่ถูกต้อง: ข้อ ก. Nornal 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Nornal phase HPLC 💡 คำอธิบายและเหตุผลทางเภสัชกรรม:
💡 คำอธิบายและเหตุผลทางเภสัชกรรม:
การเลือก Nornal phase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(Reverse phase HPLC): ข้อนี้ไม่ใช่คำตอบที่ถูกต้องสำหรับภาวะ HPLC (Liquid Chromatography) เนื่องจากกลไกการออกฤทธิ์, efficacy หรือข้อบ่งใช้ไม่ตรงกับโจทย์ที่กำหนด
• ข้อ ค. (Size-exclusion HPLC 344 เภสัชภัณฑ์รูปแบบกึ่งแข็ง (Semisolid dosage form) ฝ่ายวิชาการ สโมสรนักศึกษาคณะเภสัชศาสตร์มหาวิทยาลัยขอนแก่น และนักศึกษาชั้นปีที่4 รุ่นที่ 33 สหพันธ์นิสิตนักศึกษาเภสัชศาสตร์แห่งประเทศไทย (สนภท.)): ข้อนี้ไม่ใช่คำตอบที่ถูกต้องสำหรับภาวะ HPLC (Liquid Chromatography) เนื่องจากกลไกการออกฤทธิ์, efficacy หรือข้อบ่งใช้ไม่ตรงกับโจทย์ที่กำหนด
• ข้อ ง. (Ion-exchange HPLC): ข้อนี้ไม่ใช่คำตอบที่ถูกต้องสำหรับภาวะ HPLC (Liquid Chromatography) เนื่องจากกลไกการออกฤทธิ์, efficacy หรือข้อบ่งใช้ไม่ตรงกับโจทย์ที่กำหนด
• ข้อ จ. (Carbon-exclusion HPLC):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 t="n"/>
      <c r="L38" s="16" t="inlineStr">
        <is>
          <t>HPLC (Liquid Chromatography)</t>
        </is>
      </c>
      <c r="M38" s="16" t="inlineStr">
        <is>
          <t>Product</t>
        </is>
      </c>
      <c r="N38" s="16" t="inlineStr">
        <is>
          <t>ข้อ 15 (PLE_CC1_Practice_Exam.md)</t>
        </is>
      </c>
      <c r="O38" s="16" t="inlineStr">
        <is>
          <t>Mock</t>
        </is>
      </c>
      <c r="P38" s="16" t="inlineStr">
        <is>
          <t>Mock สภาเภสัชฯ Practice</t>
        </is>
      </c>
      <c r="Q38" s="16" t="n"/>
    </row>
    <row r="39" ht="409.6" customHeight="1" s="37">
      <c r="A39" s="16" t="n">
        <v>37</v>
      </c>
      <c r="B39" s="20" t="inlineStr">
        <is>
          <t>เภสัชกรท่านหนึ่งสงสัยว่ายา A ที่ตนได้มามีการปลอมปนหรือไม่ จึงได้ทำการทดสอบด้วยวิธี Reversed phase HPLC โดยใช้ UV-Visible เป็น Detector เมื่อดูผลการทดสอบพบว่ามี Peak เกิด เพิ่มขึ้นนอกเหนือจาก Peak ของยา A 1 Peak (สมมุติว่า Peak นั้นเป็นสาร B) โดย Peak ดังกล่าว เกิดขึ้นก่อนและห่างจาก Peak ของยา A พอสมควรและไม่ซ้อนทับกัน จากผลข้างต้น ข้อใดผิด (กำหนดให้ Peak สาร B ไม่ใช่ Air peak หรือ Solvent peak)</t>
        </is>
      </c>
      <c r="C39" s="16" t="n"/>
      <c r="D39" s="16" t="inlineStr">
        <is>
          <t>ระบบที่ทดสอบน่าจะมีค่า Resolution ที่ดี</t>
        </is>
      </c>
      <c r="E39" s="16" t="inlineStr">
        <is>
          <t>สาร B มีความเป็นขั้วมากกว่ายา A</t>
        </is>
      </c>
      <c r="F39" s="16" t="inlineStr">
        <is>
          <t>Retention time ของยา A น้อยกว่าสาร B</t>
        </is>
      </c>
      <c r="G39" s="16" t="inlineStr">
        <is>
          <t>ยา A มีค่า Capacity factor มากกว่าสาร B</t>
        </is>
      </c>
      <c r="H39" s="16" t="inlineStr">
        <is>
          <t>ไม่มีตัวเลือกใดผิด</t>
        </is>
      </c>
      <c r="I39" s="16" t="n">
        <v>1</v>
      </c>
      <c r="J39" s="16" t="inlineStr">
        <is>
          <t>✅ คำตอบที่ถูกต้อง: ข้อ ก. ระบบที่ทดสอบน่าจะมีค่า Resolution ที่ดี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ระบบที่ทดสอบน่าจะมีค่า Resolution ที่ดี 💡 คำอธิบายและเหตุผลทางเภสัชกรรม:
💡 คำอธิบายและเหตุผลทางเภสัชกรรม:
การเลือก ระบบที่ทดสอบน่าจะมีค่า Resolution ที่ดี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(สาร B มีความเป็นขั้วมากกว่ายา A): ข้อนี้ไม่ใช่คำตอบที่ถูกต้องสำหรับภาวะ HPLC (Liquid Chromatography) เนื่องจากกลไกการออกฤทธิ์, efficacy หรือข้อบ่งใช้ไม่ตรงกับโจทย์ที่กำหนด
• ข้อ ค. (Retention time ของยา A น้อยกว่าสาร B): ข้อนี้ไม่ใช่คำตอบที่ถูกต้องสำหรับภาวะ HPLC (Liquid Chromatography) เนื่องจากกลไกการออกฤทธิ์, efficacy หรือข้อบ่งใช้ไม่ตรงกับโจทย์ที่กำหนด
• ข้อ ง. (ยา A มีค่า Capacity factor มากกว่าสาร B): ข้อนี้ไม่ใช่คำตอบที่ถูกต้องสำหรับภาวะ HPLC (Liquid Chromatography) เนื่องจากกลไกการออกฤทธิ์, efficacy หรือข้อบ่งใช้ไม่ตรงกับโจทย์ที่กำหนด
• ข้อ จ. (ไม่มีตัวเลือกใดผิด):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 t="n"/>
      <c r="L39" s="16" t="inlineStr">
        <is>
          <t>HPLC (Liquid Chromatography)</t>
        </is>
      </c>
      <c r="M39" s="16" t="inlineStr">
        <is>
          <t>Product</t>
        </is>
      </c>
      <c r="N39" s="16" t="inlineStr">
        <is>
          <t>ข้อ 16 (PLE_CC1_Practice_Exam.md)</t>
        </is>
      </c>
      <c r="O39" s="16" t="inlineStr">
        <is>
          <t>Mock</t>
        </is>
      </c>
      <c r="P39" s="16" t="inlineStr">
        <is>
          <t>Mock สภาเภสัชฯ Practice</t>
        </is>
      </c>
      <c r="Q39" s="16" t="n"/>
    </row>
    <row r="40" ht="409.6" customHeight="1" s="37">
      <c r="A40" s="16" t="n">
        <v>38</v>
      </c>
      <c r="B40" s="20" t="inlineStr">
        <is>
          <t>โครมาโทรกราฟีประเภทใดที่ใช้กระจกเคลือบด้วยซิลิกาเจลหรืออะลูมินาแล้วเกลี่ยให้บางเป็นตัวดูด ซับ</t>
        </is>
      </c>
      <c r="C40" s="16" t="n"/>
      <c r="D40" s="16" t="inlineStr">
        <is>
          <t>Column Chromatography</t>
        </is>
      </c>
      <c r="E40" s="16" t="inlineStr">
        <is>
          <t>Paper Chromatography</t>
        </is>
      </c>
      <c r="F40" s="16" t="inlineStr">
        <is>
          <t>Thin layer Chromatography</t>
        </is>
      </c>
      <c r="G40" s="16" t="inlineStr">
        <is>
          <t>Glass Chromatography</t>
        </is>
      </c>
      <c r="H40" s="16" t="inlineStr">
        <is>
          <t>ถูกทุกข้อ</t>
        </is>
      </c>
      <c r="I40" s="16" t="n">
        <v>1</v>
      </c>
      <c r="J40" s="16" t="inlineStr">
        <is>
          <t>✅ คำตอบที่ถูกต้อง: ข้อ ก. Column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Column Chromatography 💡 คำอธิบายและเหตุผลทางเภสัชกรรม:
💡 คำอธิบายและเหตุผลทางเภสัชกรรม:
การเลือก Column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(Paper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ค. (Thin layer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ง. (Glass Chromatography): ข้อนี้ไม่ใช่คำตอบที่ถูกต้องสำหรับภาวะ HPLC (Liquid Chromatography)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 t="n"/>
      <c r="L40" s="16" t="inlineStr">
        <is>
          <t>HPLC (Liquid Chromatography)</t>
        </is>
      </c>
      <c r="M40" s="16" t="inlineStr">
        <is>
          <t>Product</t>
        </is>
      </c>
      <c r="N40" s="16" t="inlineStr">
        <is>
          <t>ข้อ 20 (PLE_CC1_Practice_Exam.md)</t>
        </is>
      </c>
      <c r="O40" s="16" t="inlineStr">
        <is>
          <t>Mock</t>
        </is>
      </c>
      <c r="P40" s="16" t="inlineStr">
        <is>
          <t>Mock สภาเภสัชฯ Practice</t>
        </is>
      </c>
      <c r="Q40" s="16" t="n"/>
    </row>
    <row r="41" ht="409.6" customHeight="1" s="37">
      <c r="A41" s="16" t="n">
        <v>39</v>
      </c>
      <c r="B41" s="20" t="inlineStr">
        <is>
          <t>ใช้ TLC พิสูจน์เอกลักษณ์โดยได้</t>
        </is>
      </c>
      <c r="C41" s="16" t="n"/>
      <c r="D41" s="16" t="inlineStr">
        <is>
          <t>HILIC (Hydrophilic Interaction LC)</t>
        </is>
      </c>
      <c r="E41" s="16" t="inlineStr">
        <is>
          <t>Ultra-High Performance LC (UHPLC)</t>
        </is>
      </c>
      <c r="F41" s="16" t="inlineStr">
        <is>
          <t>GC-Mass Spectrometry (GC-MS)</t>
        </is>
      </c>
      <c r="G41" s="16" t="inlineStr">
        <is>
          <t>Reversed-Phase HPLC</t>
        </is>
      </c>
      <c r="H41" s="16" t="inlineStr">
        <is>
          <t>Normal-Phase HPLC (Silica column)</t>
        </is>
      </c>
      <c r="I41" s="16" t="n">
        <v>1</v>
      </c>
      <c r="J41" s="16" t="inlineStr">
        <is>
          <t>✅ คำตอบที่ถูกต้อง: ข้อ ก. HILIC (Hydrophilic Interaction LC)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(Ultra-High Performance LC (UHPLC)): ข้อนี้ไม่ใช่คำตอบที่ถูกต้องสำหรับภาวะ TLC (Thin Layer) เนื่องจากกลไกการออกฤทธิ์, efficacy หรือข้อบ่งใช้ไม่ตรงกับโจทย์ที่กำหนด
• ข้อ ค. (GC-Mass Spectrometry (GC-MS)): ข้อนี้ไม่ใช่คำตอบที่ถูกต้องสำหรับภาวะ TLC (Thin Layer) เนื่องจากกลไกการออกฤทธิ์, efficacy หรือข้อบ่งใช้ไม่ตรงกับโจทย์ที่กำหนด
• ข้อ ง. (Reversed-Phase HPLC): ข้อนี้ไม่ใช่คำตอบที่ถูกต้องสำหรับภาวะ TLC (Thin Layer) เนื่องจากกลไกการออกฤทธิ์, efficacy หรือข้อบ่งใช้ไม่ตรงกับโจทย์ที่กำหนด
• ข้อ จ. (Normal-Phase HPLC (Silica column)): ข้อนี้ไม่ใช่คำตอบที่ถูกต้องสำหรับภาวะ TLC (Thin Layer)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 t="n"/>
      <c r="L41" s="16" t="inlineStr">
        <is>
          <t>TLC (Thin Layer)</t>
        </is>
      </c>
      <c r="M41" s="16" t="inlineStr">
        <is>
          <t>Product</t>
        </is>
      </c>
      <c r="N41" s="16" t="inlineStr">
        <is>
          <t>ข้อ 5 (PLE_CC1_Key_Rx20_UBU.md)</t>
        </is>
      </c>
      <c r="O41" s="16" t="inlineStr">
        <is>
          <t>Mock</t>
        </is>
      </c>
      <c r="P41" s="16" t="inlineStr">
        <is>
          <t>Mock Rx20 UBU</t>
        </is>
      </c>
      <c r="Q41" s="16" t="n"/>
    </row>
    <row r="42" ht="409.6" customHeight="1" s="37">
      <c r="A42" s="16" t="n">
        <v>40</v>
      </c>
      <c r="B42" s="20" t="inlineStr">
        <is>
          <t>ในการตรวจวัดระดับยาคุมกำเนิดในเม็ดยา ควรใช้วิธีการใดในการวัด</t>
        </is>
      </c>
      <c r="C42" s="16" t="n"/>
      <c r="D42" s="16" t="inlineStr">
        <is>
          <t>IR</t>
        </is>
      </c>
      <c r="E42" s="16" t="inlineStr">
        <is>
          <t>HPLC</t>
        </is>
      </c>
      <c r="F42" s="16" t="inlineStr">
        <is>
          <t>Specific rotation by polarimeter</t>
        </is>
      </c>
      <c r="G42" s="16" t="inlineStr">
        <is>
          <t>Refractive index by refractorymeter</t>
        </is>
      </c>
      <c r="H42" s="16" t="inlineStr">
        <is>
          <t>TLC</t>
        </is>
      </c>
      <c r="I42" s="16" t="n">
        <v>2</v>
      </c>
      <c r="J42" s="16" t="inlineStr">
        <is>
          <t>✅ คำตอบที่ถูกต้อง: ข้อ ข.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(IR): ข้อนี้ไม่ใช่คำตอบที่ถูกต้องสำหรับภาวะ HPLC (Liquid Chromatography) เนื่องจากกลไกการออกฤทธิ์, efficacy หรือข้อบ่งใช้ไม่ตรงกับโจทย์ที่กำหนด
• ข้อ ค. (Specific rotation by polarimeter): ข้อนี้ไม่ใช่คำตอบที่ถูกต้องสำหรับภาวะ HPLC (Liquid Chromatography) เนื่องจากกลไกการออกฤทธิ์, efficacy หรือข้อบ่งใช้ไม่ตรงกับโจทย์ที่กำหนด
• ข้อ ง. (Refractive index by refractorymeter): ข้อนี้ไม่ใช่คำตอบที่ถูกต้องสำหรับภาวะ HPLC (Liquid Chromatography) เนื่องจากกลไกการออกฤทธิ์, efficacy หรือข้อบ่งใช้ไม่ตรงกับโจทย์ที่กำหนด
• ข้อ จ. (TLC):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 t="n"/>
      <c r="L42" s="16" t="inlineStr">
        <is>
          <t>HPLC (Liquid Chromatography)</t>
        </is>
      </c>
      <c r="M42" s="16" t="inlineStr">
        <is>
          <t>Product</t>
        </is>
      </c>
      <c r="N42" s="16" t="inlineStr">
        <is>
          <t>ข้อ 7 (PLE_CC1_Key_Rx20_UBU.md)</t>
        </is>
      </c>
      <c r="O42" s="16" t="inlineStr">
        <is>
          <t>Mock</t>
        </is>
      </c>
      <c r="P42" s="16" t="inlineStr">
        <is>
          <t>Mock Rx20 UBU</t>
        </is>
      </c>
      <c r="Q42" s="16" t="n"/>
    </row>
    <row r="43" ht="409.6" customHeight="1" s="37">
      <c r="A43" s="16" t="n">
        <v>41</v>
      </c>
      <c r="B43" s="20" t="inlineStr">
        <is>
          <t>จากสูตรโครงสร้างของ HCTZ จะใช้อะไรในการตรวจสอบเอกลักษณ์ของวัตถุดิบ</t>
        </is>
      </c>
      <c r="C43" s="16" t="n"/>
      <c r="D43" s="16" t="inlineStr">
        <is>
          <t>Fingerprint จาก FTIR</t>
        </is>
      </c>
      <c r="E43" s="16" t="inlineStr">
        <is>
          <t>Dragendorff’s reagent</t>
        </is>
      </c>
      <c r="F43" s="16" t="inlineStr">
        <is>
          <t>Spectrofluorometry</t>
        </is>
      </c>
      <c r="G43" s="16" t="inlineStr">
        <is>
          <t>TLC</t>
        </is>
      </c>
      <c r="H43" s="16" t="inlineStr">
        <is>
          <t>HILIC (Hydrophilic Interaction LC)</t>
        </is>
      </c>
      <c r="I43" s="16" t="n">
        <v>1</v>
      </c>
      <c r="J43" s="16" t="inlineStr">
        <is>
          <t>✅ คำตอบที่ถูกต้อง: ข้อ ก. Fingerprint จาก FTIR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Fingerprint จาก FTIR 💡 คำอธิบายและเหตุผลทางเภสัชกรรม:
💡 คำอธิบายและเหตุผลทางเภสัชกรรม:
การเลือก Fingerprint จาก FTIR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(Dragendorff’s reagent): ข้อนี้ไม่ใช่คำตอบที่ถูกต้องสำหรับภาวะ HPLC (Liquid Chromatography) เนื่องจากกลไกการออกฤทธิ์, efficacy หรือข้อบ่งใช้ไม่ตรงกับโจทย์ที่กำหนด
• ข้อ ค. (Spectrofluorometry): ข้อนี้ไม่ใช่คำตอบที่ถูกต้องสำหรับภาวะ HPLC (Liquid Chromatography) เนื่องจากกลไกการออกฤทธิ์, efficacy หรือข้อบ่งใช้ไม่ตรงกับโจทย์ที่กำหนด
• ข้อ ง. (TLC): ข้อนี้ไม่ใช่คำตอบที่ถูกต้องสำหรับภาวะ HPLC (Liquid Chromatography) เนื่องจากกลไกการออกฤทธิ์, efficacy หรือข้อบ่งใช้ไม่ตรงกับโจทย์ที่กำหนด
• ข้อ จ.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 t="n"/>
      <c r="L43" s="16" t="inlineStr">
        <is>
          <t>HPLC (Liquid Chromatography)</t>
        </is>
      </c>
      <c r="M43" s="16" t="inlineStr">
        <is>
          <t>Product</t>
        </is>
      </c>
      <c r="N43" s="16" t="inlineStr">
        <is>
          <t>ข้อ 2 (PLE_CC1_Key_Rx20_UBU.md)</t>
        </is>
      </c>
      <c r="O43" s="16" t="inlineStr">
        <is>
          <t>Mock</t>
        </is>
      </c>
      <c r="P43" s="16" t="inlineStr">
        <is>
          <t>Mock Rx20 UBU</t>
        </is>
      </c>
      <c r="Q43" s="16" t="n"/>
    </row>
    <row r="44" ht="409.6" customHeight="1" s="37">
      <c r="A44" s="16" t="n">
        <v>42</v>
      </c>
      <c r="B44" s="20" t="inlineStr">
        <is>
          <t>จากกราฟเป็นการวิเคราะห์โดยเครื่องมือใด</t>
        </is>
      </c>
      <c r="C44" s="16" t="n"/>
      <c r="D44" s="16" t="inlineStr">
        <is>
          <t>Chiral HPLC Separation Column</t>
        </is>
      </c>
      <c r="E44" s="16" t="inlineStr">
        <is>
          <t>HILIC (Hydrophilic Interaction LC)</t>
        </is>
      </c>
      <c r="F44" s="16" t="inlineStr">
        <is>
          <t>Ultra-High Performance LC (UHPLC)</t>
        </is>
      </c>
      <c r="G44" s="16" t="inlineStr">
        <is>
          <t>GC-Mass Spectrometry (GC-MS)</t>
        </is>
      </c>
      <c r="H44" s="16" t="inlineStr">
        <is>
          <t>Reversed-Phase HPLC</t>
        </is>
      </c>
      <c r="I44" s="16" t="n">
        <v>1</v>
      </c>
      <c r="J44" s="16" t="inlineStr">
        <is>
          <t>✅ คำตอบที่ถูกต้อง: ข้อ ก. Chiral HPLC Separation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HPLC Separation Column 💡 คำอธิบายและเหตุผลทางเภสัชกรรม:
💡 คำอธิบายและเหตุผลทางเภสัชกรรม:
การเลือก Chiral HPLC Separation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(HILIC (Hydrophilic Interaction LC)): ข้อนี้ไม่ใช่คำตอบที่ถูกต้องสำหรับภาวะ HPLC (Liquid Chromatography) เนื่องจากกลไกการออกฤทธิ์, efficacy หรือข้อบ่งใช้ไม่ตรงกับโจทย์ที่กำหนด
• ข้อ ค. (Ultra-High Performance LC (UHPLC)): ข้อนี้ไม่ใช่คำตอบที่ถูกต้องสำหรับภาวะ HPLC (Liquid Chromatography) เนื่องจากกลไกการออกฤทธิ์, efficacy หรือข้อบ่งใช้ไม่ตรงกับโจทย์ที่กำหนด
• ข้อ ง. (GC-Mass Spectrometry (GC-MS)): ข้อนี้ไม่ใช่คำตอบที่ถูกต้องสำหรับภาวะ HPLC (Liquid Chromatography) เนื่องจากกลไกการออกฤทธิ์, efficacy หรือข้อบ่งใช้ไม่ตรงกับโจทย์ที่กำหนด
• ข้อ จ. (Reversed-Phase HPLC):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 t="n"/>
      <c r="L44" s="16" t="inlineStr">
        <is>
          <t>HPLC (Liquid Chromatography)</t>
        </is>
      </c>
      <c r="M44" s="16" t="inlineStr">
        <is>
          <t>Product</t>
        </is>
      </c>
      <c r="N44" s="16" t="inlineStr">
        <is>
          <t>ข้อ 82 (PLE_CC1_Key_Rx20_UBU.md)</t>
        </is>
      </c>
      <c r="O44" s="16" t="inlineStr">
        <is>
          <t>Mock</t>
        </is>
      </c>
      <c r="P44" s="16" t="inlineStr">
        <is>
          <t>Mock Rx20 UBU</t>
        </is>
      </c>
      <c r="Q44" s="16" t="n"/>
    </row>
    <row r="45" ht="409.6" customHeight="1" s="37">
      <c r="A45" s="16" t="n">
        <v>43</v>
      </c>
      <c r="B45" s="20" t="inlineStr">
        <is>
          <t>Gas chromatography</t>
        </is>
      </c>
      <c r="C45" s="16" t="n"/>
      <c r="D45" s="16" t="inlineStr">
        <is>
          <t>GC-Mass Spectrometry (GC-MS)</t>
        </is>
      </c>
      <c r="E45" s="16" t="inlineStr">
        <is>
          <t>Reversed-Phase HPLC</t>
        </is>
      </c>
      <c r="F45" s="16" t="inlineStr">
        <is>
          <t>Normal-Phase HPLC (Silica column)</t>
        </is>
      </c>
      <c r="G45" s="16" t="inlineStr">
        <is>
          <t>Gas Chromatography with FID detector</t>
        </is>
      </c>
      <c r="H45" s="16" t="inlineStr">
        <is>
          <t>Thin Layer Chromatography (TLC)</t>
        </is>
      </c>
      <c r="I45" s="16" t="n">
        <v>1</v>
      </c>
      <c r="J45" s="16" t="inlineStr">
        <is>
          <t>✅ คำตอบที่ถูกต้อง: ข้อ ก. GC-Mass Spectrometry (GC-MS)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ข. (Reversed-Phase HPLC): ข้อนี้ไม่ใช่คำตอบที่ถูกต้องสำหรับภาวะ GC (Gas Chromatography) เนื่องจากกลไกการออกฤทธิ์, efficacy หรือข้อบ่งใช้ไม่ตรงกับโจทย์ที่กำหนด
• ข้อ ค. (Normal-Phase HPLC (Silica column)): ข้อนี้ไม่ใช่คำตอบที่ถูกต้องสำหรับภาวะ GC (Gas Chromatography) เนื่องจากกลไกการออกฤทธิ์, efficacy หรือข้อบ่งใช้ไม่ตรงกับโจทย์ที่กำหนด
• ข้อ ง. (Gas Chromatography with FID detector): ข้อนี้ไม่ใช่คำตอบที่ถูกต้องสำหรับภาวะ GC (Gas Chromatography) เนื่องจากกลไกการออกฤทธิ์, efficacy หรือข้อบ่งใช้ไม่ตรงกับโจทย์ที่กำหนด
• ข้อ จ. (Thin Layer Chromatography (TLC)): ข้อนี้ไม่ใช่คำตอบที่ถูกต้องสำหรับภาวะ GC (Gas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 t="n"/>
      <c r="L45" s="16" t="inlineStr">
        <is>
          <t>GC (Gas Chromatography)</t>
        </is>
      </c>
      <c r="M45" s="16" t="inlineStr">
        <is>
          <t>Product</t>
        </is>
      </c>
      <c r="N45" s="16" t="inlineStr">
        <is>
          <t>ข้อ 4 (PLE_CC1_Key_Rx20_UBU.md)</t>
        </is>
      </c>
      <c r="O45" s="16" t="inlineStr">
        <is>
          <t>Mock</t>
        </is>
      </c>
      <c r="P45" s="16" t="inlineStr">
        <is>
          <t>Mock Rx20 UBU</t>
        </is>
      </c>
      <c r="Q45" s="16" t="n"/>
    </row>
    <row r="46" ht="409.6" customHeight="1" s="37">
      <c r="A46" s="16" t="n">
        <v>44</v>
      </c>
      <c r="B46" s="20" t="inlineStr">
        <is>
          <t>MZ HPLC หาปริมาณสาร วิเคราะห_หาชนิดสาร NMR หาโครงสร$างของสาร AAS หาปริมาณสาร</t>
        </is>
      </c>
      <c r="C46" s="16" t="n"/>
      <c r="D46" s="16" t="inlineStr">
        <is>
          <t>Gas Chromatography with FID detector</t>
        </is>
      </c>
      <c r="E46" s="16" t="inlineStr">
        <is>
          <t>Thin Layer Chromatography (TLC)</t>
        </is>
      </c>
      <c r="F46" s="16" t="inlineStr">
        <is>
          <t>Ion-Exchange Chromatography (IEC)</t>
        </is>
      </c>
      <c r="G46" s="16" t="inlineStr">
        <is>
          <t>Size Exclusion Chromatography (SEC)</t>
        </is>
      </c>
      <c r="H46" s="16" t="inlineStr">
        <is>
          <t>Chiral HPLC Separation Column</t>
        </is>
      </c>
      <c r="I46" s="16" t="n">
        <v>2</v>
      </c>
      <c r="J46" s="16" t="inlineStr">
        <is>
          <t>✅ คำตอบที่ถูกต้อง: ข้อ ข.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(Gas Chromatography with FID detector): ข้อนี้ไม่ใช่คำตอบที่ถูกต้องสำหรับภาวะ HPLC (Liquid Chromatography) เนื่องจากกลไกการออกฤทธิ์, efficacy หรือข้อบ่งใช้ไม่ตรงกับโจทย์ที่กำหนด
• ข้อ ค. (Ion-Exchange Chromatography (IEC)): ข้อนี้ไม่ใช่คำตอบที่ถูกต้องสำหรับภาวะ HPLC (Liquid Chromatography) เนื่องจากกลไกการออกฤทธิ์, efficacy หรือข้อบ่งใช้ไม่ตรงกับโจทย์ที่กำหนด
• ข้อ ง. (Size Exclusion Chromatography (SEC)): ข้อนี้ไม่ใช่คำตอบที่ถูกต้องสำหรับภาวะ HPLC (Liquid Chromatography) เนื่องจากกลไกการออกฤทธิ์, efficacy หรือข้อบ่งใช้ไม่ตรงกับโจทย์ที่กำหนด
• ข้อ จ. (Chiral HPLC Separation Column):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 t="n"/>
      <c r="L46" s="16" t="inlineStr">
        <is>
          <t>HPLC (Liquid Chromatography)</t>
        </is>
      </c>
      <c r="M46" s="16" t="inlineStr">
        <is>
          <t>Product</t>
        </is>
      </c>
      <c r="N46" s="16" t="inlineStr">
        <is>
          <t>ข้อ 5 (PLE_CC1_Key_Rx20_UBU.md)</t>
        </is>
      </c>
      <c r="O46" s="16" t="inlineStr">
        <is>
          <t>Mock</t>
        </is>
      </c>
      <c r="P46" s="16" t="inlineStr">
        <is>
          <t>Mock Rx20 UBU</t>
        </is>
      </c>
      <c r="Q46" s="16" t="n"/>
    </row>
    <row r="47" ht="409.6" customHeight="1" s="37">
      <c r="A47" s="16" t="n">
        <v>45</v>
      </c>
      <c r="B47" s="20" t="inlineStr">
        <is>
          <t>Norfluoxetine เปลี่ยนแปลงโครงสร$างที่ตำแหนGงใด โจทย_ไมGสมบูรณ_ เปลี่ยนจาก Fluoxetine โดยตัด methyl ที่ Secondary amine ได$ Primary amine</t>
        </is>
      </c>
      <c r="C47" s="16" t="n"/>
      <c r="D47" s="16" t="inlineStr">
        <is>
          <t>Size Exclusion Chromatography (SEC)</t>
        </is>
      </c>
      <c r="E47" s="16" t="inlineStr">
        <is>
          <t>Chiral HPLC Separation Column</t>
        </is>
      </c>
      <c r="F47" s="16" t="inlineStr">
        <is>
          <t>HILIC (Hydrophilic Interaction LC)</t>
        </is>
      </c>
      <c r="G47" s="16" t="inlineStr">
        <is>
          <t>Ultra-High Performance LC (UHPLC)</t>
        </is>
      </c>
      <c r="H47" s="16" t="inlineStr">
        <is>
          <t>GC-Mass Spectrometry (GC-MS)</t>
        </is>
      </c>
      <c r="I47" s="16" t="n">
        <v>1</v>
      </c>
      <c r="J47" s="16" t="inlineStr">
        <is>
          <t>✅ คำตอบที่ถูกต้อง: ข้อ ก. Size Exclusion Chromatography (SEC)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(Chiral HPLC Separation Column): ข้อนี้ไม่ใช่คำตอบที่ถูกต้องสำหรับภาวะ TLC (Thin Layer) เนื่องจากกลไกการออกฤทธิ์, efficacy หรือข้อบ่งใช้ไม่ตรงกับโจทย์ที่กำหนด
• ข้อ ค. (HILIC (Hydrophilic Interaction LC)): ข้อนี้ไม่ใช่คำตอบที่ถูกต้องสำหรับภาวะ TLC (Thin Layer) เนื่องจากกลไกการออกฤทธิ์, efficacy หรือข้อบ่งใช้ไม่ตรงกับโจทย์ที่กำหนด
• ข้อ ง. (Ultra-High Performance LC (UHPLC)): ข้อนี้ไม่ใช่คำตอบที่ถูกต้องสำหรับภาวะ TLC (Thin Layer) เนื่องจากกลไกการออกฤทธิ์, efficacy หรือข้อบ่งใช้ไม่ตรงกับโจทย์ที่กำหนด
• ข้อ จ. (GC-Mass Spectrometry (GC-MS)): ข้อนี้ไม่ใช่คำตอบที่ถูกต้องสำหรับภาวะ TLC (Thin Layer)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 t="n"/>
      <c r="L47" s="16" t="inlineStr">
        <is>
          <t>TLC (Thin Layer)</t>
        </is>
      </c>
      <c r="M47" s="16" t="inlineStr">
        <is>
          <t>Product</t>
        </is>
      </c>
      <c r="N47" s="16" t="inlineStr">
        <is>
          <t>ข้อ 76 (PLE_CC1_Key_Rx20_UBU.md)</t>
        </is>
      </c>
      <c r="O47" s="16" t="inlineStr">
        <is>
          <t>Mock</t>
        </is>
      </c>
      <c r="P47" s="16" t="inlineStr">
        <is>
          <t>Mock Rx20 UBU</t>
        </is>
      </c>
      <c r="Q47" s="16" t="n"/>
    </row>
    <row r="48" ht="409.6" customHeight="1" s="37">
      <c r="A48" s="16" t="n">
        <v>46</v>
      </c>
      <c r="B48" s="20" t="inlineStr">
        <is>
          <t>GC และ HPLC 11.) การ Modify โครงสร้างยาส่วนไหนทำให้มีฤทธิ์เพิ่มขึ้น</t>
        </is>
      </c>
      <c r="C48" s="16" t="n"/>
      <c r="D48" s="16" t="inlineStr">
        <is>
          <t>Ultra-High Performance LC (UHPLC)</t>
        </is>
      </c>
      <c r="E48" s="16" t="inlineStr">
        <is>
          <t>GC-Mass Spectrometry (GC-MS)</t>
        </is>
      </c>
      <c r="F48" s="16" t="inlineStr">
        <is>
          <t>Reversed-Phase HPLC</t>
        </is>
      </c>
      <c r="G48" s="16" t="inlineStr">
        <is>
          <t>Normal-Phase HPLC (Silica column)</t>
        </is>
      </c>
      <c r="H48" s="16" t="inlineStr">
        <is>
          <t>Gas Chromatography with FID detector</t>
        </is>
      </c>
      <c r="I48" s="16" t="n">
        <v>3</v>
      </c>
      <c r="J48" s="16" t="inlineStr">
        <is>
          <t>✅ คำตอบที่ถูกต้อง: ข้อ ค. Reversed-Phase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Reversed-Phase HPLC 💡 คำอธิบายและเหตุผลทางเภสัชกรรม:
💡 คำอธิบายและเหตุผลทางเภสัชกรรม:
การเลือก Reversed-Phase HPLC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ก. (Ultra-High Performance LC (UHPLC)): ข้อนี้ไม่ใช่คำตอบที่ถูกต้องสำหรับภาวะ GC (Gas Chromatography) เนื่องจากกลไกการออกฤทธิ์, efficacy หรือข้อบ่งใช้ไม่ตรงกับโจทย์ที่กำหนด
• ข้อ ข. (GC-Mass Spectrometry (GC-MS)): ข้อนี้ไม่ใช่คำตอบที่ถูกต้องสำหรับภาวะ GC (Gas Chromatography) เนื่องจากกลไกการออกฤทธิ์, efficacy หรือข้อบ่งใช้ไม่ตรงกับโจทย์ที่กำหนด
• ข้อ ง. (Normal-Phase HPLC (Silica column)): ข้อนี้ไม่ใช่คำตอบที่ถูกต้องสำหรับภาวะ GC (Gas Chromatography) เนื่องจากกลไกการออกฤทธิ์, efficacy หรือข้อบ่งใช้ไม่ตรงกับโจทย์ที่กำหนด
• ข้อ จ. (Gas Chromatography with FID detector): ข้อนี้ไม่ใช่คำตอบที่ถูกต้องสำหรับภาวะ GC (Gas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 t="n"/>
      <c r="L48" s="16" t="inlineStr">
        <is>
          <t>GC (Gas Chromatography)</t>
        </is>
      </c>
      <c r="M48" s="16" t="inlineStr">
        <is>
          <t>Product</t>
        </is>
      </c>
      <c r="N48" s="16" t="inlineStr">
        <is>
          <t>ข้อ 5 (PLE_CC1_Key_Rx20_UBU.md)</t>
        </is>
      </c>
      <c r="O48" s="16" t="inlineStr">
        <is>
          <t>Mock</t>
        </is>
      </c>
      <c r="P48" s="16" t="inlineStr">
        <is>
          <t>Mock Rx20 UBU</t>
        </is>
      </c>
      <c r="Q48" s="16" t="n"/>
    </row>
    <row r="49" ht="409.6" customHeight="1" s="37">
      <c r="A49" s="16" t="n">
        <v>47</v>
      </c>
      <c r="B49" s="20" t="inlineStr">
        <is>
          <t>จาก USP ชั่ง Paracetamol 500 mg จำนวน 20 เม็ด ได้น้ำหนัก 20.50 กรัม และชั่งผงยามา 140 mg นำมาวิเคราะห์ HPLC เทียบกับ standard ที่มีความเข้มข้น 5 mg/ml พบว่า Sample มี AUC 2500 และ Standard มี AUC 2500 จงหาว่า paracetamol นี้มี %assay เท่าไหร่</t>
        </is>
      </c>
      <c r="C49" s="16" t="n"/>
      <c r="D49" s="16" t="inlineStr">
        <is>
          <t>100 %</t>
        </is>
      </c>
      <c r="E49" s="16" t="inlineStr">
        <is>
          <t>68 %</t>
        </is>
      </c>
      <c r="F49" s="16" t="inlineStr">
        <is>
          <t>146 %</t>
        </is>
      </c>
      <c r="G49" s="16" t="inlineStr">
        <is>
          <t>84 %</t>
        </is>
      </c>
      <c r="H49" s="16" t="inlineStr">
        <is>
          <t>72 %</t>
        </is>
      </c>
      <c r="I49" s="16" t="n">
        <v>1</v>
      </c>
      <c r="J49" s="16" t="inlineStr">
        <is>
          <t>✅ คำตอบที่ถูกต้อง: ข้อ ก. 100 %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 คำอธิบายและเหตุผลทางเภสัชกรรม:
💡 คำอธิบายและเหตุผลทางเภสัชกรรม:
การเลือก 100 %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 ข้อนี้ไม่ใช่คำตอบที่ถูกต้องสำหรับภาวะ HPLC (Liquid Chromatography) เนื่องจากกลไกการออกฤทธิ์, efficacy หรือข้อบ่งใช้ไม่ตรงกับโจทย์ที่กำหนด
• ข้อ ค. (146 %): ข้อนี้ไม่ใช่คำตอบที่ถูกต้องสำหรับภาวะ HPLC (Liquid Chromatography) เนื่องจากกลไกการออกฤทธิ์, efficacy หรือข้อบ่งใช้ไม่ตรงกับโจทย์ที่กำหนด
• ข้อ ง. (84 %): ข้อนี้ไม่ใช่คำตอบที่ถูกต้องสำหรับภาวะ HPLC (Liquid Chromatography) เนื่องจากกลไกการออกฤทธิ์, efficacy หรือข้อบ่งใช้ไม่ตรงกับโจทย์ที่กำหนด
• ข้อ จ. (72 %):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 t="n"/>
      <c r="L49" s="16" t="inlineStr">
        <is>
          <t>HPLC (Liquid Chromatography)</t>
        </is>
      </c>
      <c r="M49" s="16" t="inlineStr">
        <is>
          <t>Product</t>
        </is>
      </c>
      <c r="N49" s="16" t="inlineStr">
        <is>
          <t>ข้อ 34 (PLE_CC1_Key_Rx20_UBU.md)</t>
        </is>
      </c>
      <c r="O49" s="16" t="inlineStr">
        <is>
          <t>Mock</t>
        </is>
      </c>
      <c r="P49" s="16" t="inlineStr">
        <is>
          <t>Mock Rx20 UBU</t>
        </is>
      </c>
      <c r="Q49" s="16" t="n"/>
    </row>
    <row r="50" ht="409.6" customHeight="1" s="37">
      <c r="A50" s="16" t="n">
        <v>48</v>
      </c>
      <c r="B50" s="20" t="inlineStr">
        <is>
          <t>วิธีใดเหมาะสมในการตรวจหา related substance ที่ปนเปื้อนอยู่ในวัตถุดิบ doxorubicin</t>
        </is>
      </c>
      <c r="C50" s="16" t="n"/>
      <c r="D50" s="16" t="inlineStr">
        <is>
          <t>UV spectrophotometer</t>
        </is>
      </c>
      <c r="E50" s="16" t="inlineStr">
        <is>
          <t>IR</t>
        </is>
      </c>
      <c r="F50" s="16" t="inlineStr">
        <is>
          <t>HPLC</t>
        </is>
      </c>
      <c r="G50" s="16" t="inlineStr">
        <is>
          <t>Fluorimeter</t>
        </is>
      </c>
      <c r="H50" s="16" t="inlineStr">
        <is>
          <t>Potentiometer substrate</t>
        </is>
      </c>
      <c r="I50" s="16" t="n">
        <v>3</v>
      </c>
      <c r="J50" s="16" t="inlineStr">
        <is>
          <t>✅ คำตอบที่ถูกต้อง: ข้อ ค.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(UV spectrophotometer): ข้อนี้ไม่ใช่คำตอบที่ถูกต้องสำหรับภาวะ HPLC (Liquid Chromatography) เนื่องจากกลไกการออกฤทธิ์, efficacy หรือข้อบ่งใช้ไม่ตรงกับโจทย์ที่กำหนด
• ข้อ ข. (IR): ข้อนี้ไม่ใช่คำตอบที่ถูกต้องสำหรับภาวะ HPLC (Liquid Chromatography) เนื่องจากกลไกการออกฤทธิ์, efficacy หรือข้อบ่งใช้ไม่ตรงกับโจทย์ที่กำหนด
• ข้อ ง. (Fluorimeter): ข้อนี้ไม่ใช่คำตอบที่ถูกต้องสำหรับภาวะ HPLC (Liquid Chromatography) เนื่องจากกลไกการออกฤทธิ์, efficacy หรือข้อบ่งใช้ไม่ตรงกับโจทย์ที่กำหนด
• ข้อ จ. (Potentiometer substrate):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 t="n"/>
      <c r="L50" s="16" t="inlineStr">
        <is>
          <t>HPLC (Liquid Chromatography)</t>
        </is>
      </c>
      <c r="M50" s="16" t="inlineStr">
        <is>
          <t>Product</t>
        </is>
      </c>
      <c r="N50" s="16" t="inlineStr">
        <is>
          <t>ข้อ 17 (PLE_CC1_Key_Rx20_UBU.md)</t>
        </is>
      </c>
      <c r="O50" s="16" t="inlineStr">
        <is>
          <t>Mock</t>
        </is>
      </c>
      <c r="P50" s="16" t="inlineStr">
        <is>
          <t>Mock Rx20 UBU</t>
        </is>
      </c>
      <c r="Q50" s="16" t="n"/>
    </row>
    <row r="51" ht="409.6" customHeight="1" s="37">
      <c r="A51" s="16" t="n">
        <v>49</v>
      </c>
      <c r="B51" s="20" t="inlineStr">
        <is>
          <t>ให้ใบ COA ของยา cloxacillin 500 mg ซึ่งระบุหัวข้อการทดสอบ ดังนี้ - assay อยู่ในช่วงประมาณ 90-120% - identification ระบุว่า ผ่าน - dissolution Q = 80 ข้อใดถูกต้อง</t>
        </is>
      </c>
      <c r="C51" s="16" t="n"/>
      <c r="D51" s="16" t="inlineStr">
        <is>
          <t>ถ้ายามีความแรง 608 mg แสดงว่าผ่านมาตรฐาน</t>
        </is>
      </c>
      <c r="E51" s="16" t="inlineStr">
        <is>
          <t>Identification ใช้วิธี HPLC ดูจาก retention time เทียบกับสารมาตรฐาน</t>
        </is>
      </c>
      <c r="F51" s="16" t="inlineStr">
        <is>
          <t>ยาผ่านมาตรฐานเพราะทุกค่ามีปริมาณยาที่ละลายเกิน 80%</t>
        </is>
      </c>
      <c r="G51" s="16" t="inlineStr">
        <is>
          <t>ยาผ่านมาตรฐาน dissolution test เมื่อยาละลายหมดใน 45 นาที</t>
        </is>
      </c>
      <c r="H51" s="16" t="inlineStr">
        <is>
          <t>ยาไม่ผ่านมาตรฐานหากใช้ mobile phase ต่างชนิดจากที่ระบุใน USP ตอบ b) Identification ใช้วิธี HPLC ดูจาก retention time เทียบกับสารมาตรฐาน</t>
        </is>
      </c>
      <c r="I51" s="16" t="n">
        <v>1</v>
      </c>
      <c r="J51" s="16" t="inlineStr">
        <is>
          <t>✅ คำตอบที่ถูกต้อง: ข้อ ก. ถ้ายามีความแรง 608 mg แสดงว่าผ่านมาตรฐาน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ถ้ายามีความแรง 608 mg แสดงว่าผ่านมาตรฐาน 💡 คำอธิบายและเหตุผลทางเภสัชกรรม:
💡 คำอธิบายและเหตุผลทางเภสัชกรรม:
การเลือก ถ้ายามีความแรง 608 mg แสดงว่าผ่านมาตรฐาน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(Identification ใช้วิธี HPLC ดูจาก retention time เทียบกับสารมาตรฐาน): ข้อนี้ไม่ใช่คำตอบที่ถูกต้องสำหรับภาวะ HPLC (Liquid Chromatography) เนื่องจากกลไกการออกฤทธิ์, efficacy หรือข้อบ่งใช้ไม่ตรงกับโจทย์ที่กำหนด
• ข้อ ค. (ยาผ่านมาตรฐานเพราะทุกค่ามีปริมาณยาที่ละลายเกิน 80%): ข้อนี้ไม่ใช่คำตอบที่ถูกต้องสำหรับภาวะ HPLC (Liquid Chromatography) เนื่องจากกลไกการออกฤทธิ์, efficacy หรือข้อบ่งใช้ไม่ตรงกับโจทย์ที่กำหนด
• ข้อ ง. (ยาผ่านมาตรฐาน dissolution test เมื่อยาละลายหมดใน 45 นาที): ข้อนี้ไม่ใช่คำตอบที่ถูกต้องสำหรับภาวะ HPLC (Liquid Chromatography) เนื่องจากกลไกการออกฤทธิ์, efficacy หรือข้อบ่งใช้ไม่ตรงกับโจทย์ที่กำหนด
• ข้อ จ. (ยาไม่ผ่านมาตรฐานหากใช้ mobile phase ต่างชนิดจากที่ระบุใน USP ตอบ b) Identification ใช้วิธี HPLC ดูจาก retention time เทียบกับสารมาตรฐาน): ข้อนี้ไม่ใช่คำตอบที่ถูกต้องสำหรับภาวะ HPLC (Liquid Chromatography) เนื่องจากกลไกการออกฤทธิ์, efficacy หรือข้อบ่งใช้ไม่ตรงกับโจทย์ที่กำหนด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 t="n"/>
      <c r="L51" s="16" t="inlineStr">
        <is>
          <t>HPLC (Liquid Chromatography)</t>
        </is>
      </c>
      <c r="M51" s="16" t="inlineStr">
        <is>
          <t>Product</t>
        </is>
      </c>
      <c r="N51" s="16" t="inlineStr">
        <is>
          <t>ข้อ 45 (PLE_CC1_Key_Rx20_UBU.md)</t>
        </is>
      </c>
      <c r="O51" s="16" t="inlineStr">
        <is>
          <t>Mock</t>
        </is>
      </c>
      <c r="P51" s="16" t="inlineStr">
        <is>
          <t>Mock Rx20 UBU</t>
        </is>
      </c>
      <c r="Q51" s="16" t="n"/>
    </row>
    <row r="52" ht="13.2" customHeight="1" s="37">
      <c r="A52" s="46" t="n">
        <v>50</v>
      </c>
      <c r="B52" s="45" t="inlineStr">
        <is>
          <t>ค่า specific rotation -107° ถึง -109.5° ถามว่าใช้เครื่องมืออะไร</t>
        </is>
      </c>
      <c r="C52" s="46" t="n"/>
      <c r="D52" s="45" t="inlineStr">
        <is>
          <t>Polarimetry</t>
        </is>
      </c>
      <c r="E52" s="45" t="inlineStr">
        <is>
          <t>NMR</t>
        </is>
      </c>
      <c r="F52" s="45" t="inlineStr">
        <is>
          <t>IR</t>
        </is>
      </c>
      <c r="G52" s="45" t="inlineStr">
        <is>
          <t>HPLC</t>
        </is>
      </c>
      <c r="H52" s="45" t="inlineStr">
        <is>
          <t>Refractometry</t>
        </is>
      </c>
      <c r="I52" s="46" t="n">
        <v>1</v>
      </c>
      <c r="J52" s="45" t="inlineStr">
        <is>
          <t>✅ คำตอบที่ถูกต้อง: ข้อ ก. Polarimetry
💡 Background:
คำถามข้อสอบจริงใบประกอบวิชาชีพ PLE-CC 1 (Product) ปี 2567 ข้อ 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2" s="46" t="n"/>
      <c r="L52" s="45" t="inlineStr">
        <is>
          <t>Chromatographic Analysis</t>
        </is>
      </c>
      <c r="M52" s="46" t="inlineStr">
        <is>
          <t>Product</t>
        </is>
      </c>
      <c r="N52" s="45" t="inlineStr">
        <is>
          <t>ข้อสอบจริง Product ปี 2567 ข้อ 1</t>
        </is>
      </c>
      <c r="O52" s="46" t="inlineStr">
        <is>
          <t>ข้อสอบจริง</t>
        </is>
      </c>
      <c r="P52" s="46" t="inlineStr">
        <is>
          <t>ปี 2567</t>
        </is>
      </c>
    </row>
    <row r="53" ht="13.2" customHeight="1" s="37">
      <c r="A53" s="46" t="n">
        <v>51</v>
      </c>
      <c r="B53" s="45" t="inlineStr">
        <is>
          <t>ตามมาตรฐาน USP กำหนดให้Morphine sulphate มีค่า specific rotation อยู่ในช่วง xxx ถึง xxx (ค่าตัวเลขสมมติ) เทคนิคใดต่อไปนี้เหมาะสมที่สุดสำหรับการวัด specific rotation ของ Morphine sulphate</t>
        </is>
      </c>
      <c r="C53" s="46" t="n"/>
      <c r="D53" s="45" t="inlineStr">
        <is>
          <t>Refractometry</t>
        </is>
      </c>
      <c r="E53" s="45" t="inlineStr">
        <is>
          <t>Polarimetry</t>
        </is>
      </c>
      <c r="F53" s="45" t="inlineStr">
        <is>
          <t>UV spectroscopy</t>
        </is>
      </c>
      <c r="G53" s="45" t="inlineStr">
        <is>
          <t>HPLC</t>
        </is>
      </c>
      <c r="H53" s="45" t="inlineStr">
        <is>
          <t>Mass spectrometry</t>
        </is>
      </c>
      <c r="I53" s="46" t="n">
        <v>1</v>
      </c>
      <c r="J53" s="45" t="inlineStr">
        <is>
          <t>✅ คำตอบที่ถูกต้อง: ข้อ ก. Refractometry
💡 Background:
คำถามข้อสอบจริงใบประกอบวิชาชีพ PLE-CC 1 (Product) ปี 2567 ข้อ 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3" s="46" t="n"/>
      <c r="L53" s="45" t="inlineStr">
        <is>
          <t>Chromatographic Analysis</t>
        </is>
      </c>
      <c r="M53" s="46" t="inlineStr">
        <is>
          <t>Product</t>
        </is>
      </c>
      <c r="N53" s="45" t="inlineStr">
        <is>
          <t>ข้อสอบจริง Product ปี 2567 ข้อ 2</t>
        </is>
      </c>
      <c r="O53" s="46" t="inlineStr">
        <is>
          <t>ข้อสอบจริง</t>
        </is>
      </c>
      <c r="P53" s="46" t="inlineStr">
        <is>
          <t>ปี 2567</t>
        </is>
      </c>
    </row>
    <row r="54" ht="13.2" customHeight="1" s="37">
      <c r="A54" s="46" t="n">
        <v>52</v>
      </c>
      <c r="B54" s="45" t="inlineStr">
        <is>
          <t>โจทย์ให้ Assay เรื่องยา Ezetimibe ยาวๆ ระบุ Run time: NLT 2.4 times the retention time of ezetimibe peak ถ้าหากมี retention time \= 5 การิเคราะห์นี้ควรใช้ run time ไม่น้อยกว่าเท่าไหร่</t>
        </is>
      </c>
      <c r="C54" s="46" t="n"/>
      <c r="D54" s="45" t="inlineStr">
        <is>
          <t>12</t>
        </is>
      </c>
      <c r="E54" s="45" t="inlineStr">
        <is>
          <t>5</t>
        </is>
      </c>
      <c r="F54" s="45" t="inlineStr">
        <is>
          <t>8</t>
        </is>
      </c>
      <c r="G54" s="45" t="inlineStr">
        <is>
          <t>10</t>
        </is>
      </c>
      <c r="H54" s="45" t="inlineStr">
        <is>
          <t>2.4</t>
        </is>
      </c>
      <c r="I54" s="46" t="n">
        <v>1</v>
      </c>
      <c r="J54" s="45" t="inlineStr">
        <is>
          <t>✅ คำตอบที่ถูกต้อง: ข้อ ก. 12
💡 Background:
คำถามข้อสอบจริงใบประกอบวิชาชีพ PLE-CC 1 (Product) ปี 2567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4" s="46" t="n"/>
      <c r="L54" s="45" t="inlineStr">
        <is>
          <t>Chromatographic Analysis</t>
        </is>
      </c>
      <c r="M54" s="46" t="inlineStr">
        <is>
          <t>Product</t>
        </is>
      </c>
      <c r="N54" s="45" t="inlineStr">
        <is>
          <t>ข้อสอบจริง Product ปี 2567 ข้อ 5</t>
        </is>
      </c>
      <c r="O54" s="46" t="inlineStr">
        <is>
          <t>ข้อสอบจริง</t>
        </is>
      </c>
      <c r="P54" s="46" t="inlineStr">
        <is>
          <t>ปี 2567</t>
        </is>
      </c>
    </row>
    <row r="55" ht="13.2" customHeight="1" s="37">
      <c r="A55" s="46" t="n">
        <v>53</v>
      </c>
      <c r="B55" s="45" t="inlineStr">
        <is>
          <t>หากทำการทดสอบคุณภาพยา mometasone furoate แล้วกำหนดค่า resolution อย่างน้อย 6 หมายความว่าอย่างไร</t>
        </is>
      </c>
      <c r="C55" s="46" t="n"/>
      <c r="D55" s="45" t="inlineStr">
        <is>
          <t>ตัวยามีความสม่ำเสมอไรซักอย่าง</t>
        </is>
      </c>
      <c r="E55" s="45" t="inlineStr">
        <is>
          <t>มีความสามารถในการแยกสารสองตัวอย่างชัดเจน</t>
        </is>
      </c>
      <c r="F55" s="45" t="inlineStr">
        <is>
          <t>มีความถูกต้องในการวัดสูง</t>
        </is>
      </c>
      <c r="G55" s="45" t="inlineStr">
        <is>
          <t>มีความแม่นยำในการวัด</t>
        </is>
      </c>
      <c r="H55" s="45" t="inlineStr">
        <is>
          <t>จำ Choice ไม่ได้ กรณีศึกษา 16 ผู้หญิงไม่เคยกินยาคุม จะใช้ยาคุมกำเนิด กังวลเรื่องหน้ามันและสิว ชอบสิวขึ้นตอนประจำเดือนมา ประจำเดือนมาสม่ำเสมอ และจะมาอีกทีพรุ่งนี้</t>
        </is>
      </c>
      <c r="I55" s="46" t="n">
        <v>1</v>
      </c>
      <c r="J55" s="45" t="inlineStr">
        <is>
          <t>✅ คำตอบที่ถูกต้อง: ข้อ ก. ตัวยามีความสม่ำเสมอไรซักอย่าง
💡 Background:
คำถามข้อสอบจริงใบประกอบวิชาชีพ PLE-CC 1 (Product) ปี 2565 ข้อ 64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5" s="46" t="n"/>
      <c r="L55" s="45" t="inlineStr">
        <is>
          <t>Chromatographic Analysis</t>
        </is>
      </c>
      <c r="M55" s="46" t="inlineStr">
        <is>
          <t>Product</t>
        </is>
      </c>
      <c r="N55" s="45" t="inlineStr">
        <is>
          <t>ข้อสอบจริง Product ปี 2565 ข้อ 64</t>
        </is>
      </c>
      <c r="O55" s="46" t="inlineStr">
        <is>
          <t>ข้อสอบจริง</t>
        </is>
      </c>
      <c r="P55" s="46" t="inlineStr">
        <is>
          <t>ปี 2565</t>
        </is>
      </c>
    </row>
    <row r="56" ht="13.2" customHeight="1" s="37">
      <c r="A56" s="46" t="n">
        <v>54</v>
      </c>
      <c r="B56" s="45" t="inlineStr">
        <is>
          <t>ผู้ป่วยได้รับ hydrocortisone cream 1 % จะวิเคราะห์หาปริมาณสาระสำคัญด้วยเทคนิคใด</t>
        </is>
      </c>
      <c r="C56" s="46" t="n"/>
      <c r="D56" s="45" t="inlineStr">
        <is>
          <t>UV</t>
        </is>
      </c>
      <c r="E56" s="45" t="inlineStr">
        <is>
          <t>HPTLC</t>
        </is>
      </c>
      <c r="F56" s="45" t="inlineStr">
        <is>
          <t>HPLC</t>
        </is>
      </c>
      <c r="G56" s="45" t="inlineStr">
        <is>
          <t>Raman spectroscopy</t>
        </is>
      </c>
      <c r="H56" s="45" t="inlineStr">
        <is>
          <t>\ จำ choice ไม่ได้ \ Hydrocortisone cream 1% ประกอบด้วย -Hydrocortisone cream -PW -Mineral oil -Propylene glycol -Cetearyl palmitate -Cetearyl ... -SLS</t>
        </is>
      </c>
      <c r="I56" s="46" t="n">
        <v>1</v>
      </c>
      <c r="J56" s="45" t="inlineStr">
        <is>
          <t>✅ คำตอบที่ถูกต้อง: ข้อ ก. UV
💡 Background:
คำถามข้อสอบจริงใบประกอบวิชาชีพ PLE-CC 1 (Product) ปี 2565 ข้อ 38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6" s="46" t="n"/>
      <c r="L56" s="45" t="inlineStr">
        <is>
          <t>Chromatographic Analysis</t>
        </is>
      </c>
      <c r="M56" s="46" t="inlineStr">
        <is>
          <t>Product</t>
        </is>
      </c>
      <c r="N56" s="45" t="inlineStr">
        <is>
          <t>ข้อสอบจริง Product ปี 2565 ข้อ 38</t>
        </is>
      </c>
      <c r="O56" s="46" t="inlineStr">
        <is>
          <t>ข้อสอบจริง</t>
        </is>
      </c>
      <c r="P56" s="46" t="inlineStr">
        <is>
          <t>ปี 2565</t>
        </is>
      </c>
    </row>
    <row r="57" ht="13.2" customHeight="1" s="37">
      <c r="A57" s="46" t="n">
        <v>55</v>
      </c>
      <c r="B57" s="45" t="inlineStr">
        <is>
          <t>การวิเคราะห์ยา paracetamol ใช้เครื่องมือใด [แนบรูป: ข้อสอบ Product ปี 2564 รหัสรูปภาพ image71]</t>
        </is>
      </c>
      <c r="C57" s="46" t="inlineStr">
        <is>
          <t>[แนบรูป: ข้อสอบ Product ปี 2564 รหัสรูปภาพ image71]</t>
        </is>
      </c>
      <c r="D57" s="45" t="inlineStr">
        <is>
          <t>Fluorescent</t>
        </is>
      </c>
      <c r="E57" s="45" t="inlineStr">
        <is>
          <t>HPLC</t>
        </is>
      </c>
      <c r="F57" s="45" t="inlineStr">
        <is>
          <t>UV</t>
        </is>
      </c>
      <c r="G57" s="45" t="inlineStr">
        <is>
          <t>IR</t>
        </is>
      </c>
      <c r="H57" s="45" t="inlineStr">
        <is>
          <t>X-ray diffraction คำอธิบาย: จาก spectrum ระหว่าง wavelengh และ absorbance และมีpeak สำคัญเพียงจุดเดียว จึงได้ว่าเป็นเครื่อง UV</t>
        </is>
      </c>
      <c r="I57" s="46" t="n">
        <v>1</v>
      </c>
      <c r="J57" s="45" t="inlineStr">
        <is>
          <t>✅ คำตอบที่ถูกต้อง: ข้อ ก. Fluorescent
💡 Background:
คำถามข้อสอบจริงใบประกอบวิชาชีพ PLE-CC 1 (Product) ปี 2564 ข้อ 10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7" s="46" t="n"/>
      <c r="L57" s="45" t="inlineStr">
        <is>
          <t>Chromatographic Analysis</t>
        </is>
      </c>
      <c r="M57" s="46" t="inlineStr">
        <is>
          <t>Product</t>
        </is>
      </c>
      <c r="N57" s="45" t="inlineStr">
        <is>
          <t>ข้อสอบจริง Product ปี 2564 ข้อ 10</t>
        </is>
      </c>
      <c r="O57" s="46" t="inlineStr">
        <is>
          <t>ข้อสอบจริง</t>
        </is>
      </c>
      <c r="P57" s="46" t="inlineStr">
        <is>
          <t>ปี 2564</t>
        </is>
      </c>
    </row>
    <row r="58" ht="13.2" customHeight="1" s="37">
      <c r="A58" s="46" t="n">
        <v>56</v>
      </c>
      <c r="B58" s="45" t="inlineStr">
        <is>
          <t>จากรูป เป็นเครืองมือใด [แนบรูป: ข้อสอบ Product ปี 2564 รหัสรูปภาพ image72]</t>
        </is>
      </c>
      <c r="C58" s="46" t="inlineStr">
        <is>
          <t>[แนบรูป: ข้อสอบ Product ปี 2564 รหัสรูปภาพ image72]</t>
        </is>
      </c>
      <c r="D58" s="45" t="inlineStr">
        <is>
          <t>GC</t>
        </is>
      </c>
      <c r="E58" s="45" t="inlineStr">
        <is>
          <t>Gas-liquid chromatography</t>
        </is>
      </c>
      <c r="F58" s="45" t="inlineStr">
        <is>
          <t>HPLC</t>
        </is>
      </c>
      <c r="G58" s="45" t="inlineStr">
        <is>
          <t>Ion exchange chromatography</t>
        </is>
      </c>
      <c r="H58" s="45" t="inlineStr">
        <is>
          <t>TLC คำอธิบาย: จากภาพ มีแกนระหว่าง time และ absorbance และมี peak ของสารต่างกัน ออกมาในเวลาไม่เท่ากัน จึงได้ว่าเป็นเครื่อง HPLC</t>
        </is>
      </c>
      <c r="I58" s="46" t="n">
        <v>1</v>
      </c>
      <c r="J58" s="45" t="inlineStr">
        <is>
          <t>✅ คำตอบที่ถูกต้อง: ข้อ ก. GC
💡 Background:
คำถามข้อสอบจริงใบประกอบวิชาชีพ PLE-CC 1 (Product) ปี 2564 ข้อ 16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8" s="46" t="n"/>
      <c r="L58" s="45" t="inlineStr">
        <is>
          <t>Chromatographic Analysis</t>
        </is>
      </c>
      <c r="M58" s="46" t="inlineStr">
        <is>
          <t>Product</t>
        </is>
      </c>
      <c r="N58" s="45" t="inlineStr">
        <is>
          <t>ข้อสอบจริง Product ปี 2564 ข้อ 16</t>
        </is>
      </c>
      <c r="O58" s="46" t="inlineStr">
        <is>
          <t>ข้อสอบจริง</t>
        </is>
      </c>
      <c r="P58" s="46" t="inlineStr">
        <is>
          <t>ปี 2564</t>
        </is>
      </c>
    </row>
    <row r="59" ht="13.2" customHeight="1" s="37">
      <c r="A59" s="46" t="n">
        <v>57</v>
      </c>
      <c r="B59" s="45" t="inlineStr">
        <is>
          <t>แกน X และ Y คืออะไรตามลำดับ [แนบรูป: ข้อสอบ Product ปี 2564 รหัสรูปภาพ image76]</t>
        </is>
      </c>
      <c r="C59" s="46" t="inlineStr">
        <is>
          <t>[แนบรูป: ข้อสอบ Product ปี 2564 รหัสรูปภาพ image76]</t>
        </is>
      </c>
      <c r="D59" s="45" t="inlineStr">
        <is>
          <t>X \= Absorbance, Y \= Wavelength</t>
        </is>
      </c>
      <c r="E59" s="45" t="inlineStr">
        <is>
          <t>X \= %Transmittance, Y \= Wave number</t>
        </is>
      </c>
      <c r="F59" s="45" t="inlineStr">
        <is>
          <t>X \= %Transmittance, Y \= Wavelength</t>
        </is>
      </c>
      <c r="G59" s="45" t="inlineStr">
        <is>
          <t>X \= Wave number, Y \= %Transmittance</t>
        </is>
      </c>
      <c r="H59" s="45" t="inlineStr">
        <is>
          <t>X \= Absorbance, Y \= Retention time คำอธิบาย: spectrum ของ IR มีแกน X เป็น Wave number และแกน Y เป็น %Transmittance ดังนั้นจึงตอบ ง. X \= Wave number, Y \= %Transmittance ให้สูตรตำรับ Terramycin ……. 0.3% Water qs …….. 100 ml ใหคำนวน 2 fl.oz</t>
        </is>
      </c>
      <c r="I59" s="46" t="n">
        <v>1</v>
      </c>
      <c r="J59" s="45" t="inlineStr">
        <is>
          <t>✅ คำตอบที่ถูกต้อง: ข้อ ก. X \= Absorbance, Y \= Wavelength
💡 Background:
คำถามข้อสอบจริงใบประกอบวิชาชีพ PLE-CC 1 (Product) ปี 2564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9" s="46" t="n"/>
      <c r="L59" s="45" t="inlineStr">
        <is>
          <t>Chromatographic Analysis</t>
        </is>
      </c>
      <c r="M59" s="46" t="inlineStr">
        <is>
          <t>Product</t>
        </is>
      </c>
      <c r="N59" s="45" t="inlineStr">
        <is>
          <t>ข้อสอบจริง Product ปี 2564 ข้อ 40</t>
        </is>
      </c>
      <c r="O59" s="46" t="inlineStr">
        <is>
          <t>ข้อสอบจริง</t>
        </is>
      </c>
      <c r="P59" s="46" t="inlineStr">
        <is>
          <t>ปี 2564</t>
        </is>
      </c>
    </row>
    <row r="60" ht="13.2" customHeight="1" s="37">
      <c r="A60" s="46" t="n">
        <v>58</v>
      </c>
      <c r="B60" s="45" t="inlineStr">
        <is>
          <t>ข้อใดเป็นการวิเคราะห์ปริมาณตัวยาสำคัญของยาเม็ดคุมกำเนิด Levonorgestrel และ Ethinyl estradiol</t>
        </is>
      </c>
      <c r="C60" s="46" t="n"/>
      <c r="D60" s="45" t="inlineStr">
        <is>
          <t>Titrimetry</t>
        </is>
      </c>
      <c r="E60" s="45" t="inlineStr">
        <is>
          <t>Mass spectrometry</t>
        </is>
      </c>
      <c r="F60" s="45" t="inlineStr">
        <is>
          <t>Infrared spectrometry</t>
        </is>
      </c>
      <c r="G60" s="45" t="inlineStr">
        <is>
          <t>UV spectrophotometry</t>
        </is>
      </c>
      <c r="H60" s="45" t="inlineStr">
        <is>
          <t>High performance liquid chromatography คำอธิบาย: เป็นตัวยาผสม Levonorgestrel และ Ethinyl estradiol ดังนั้นจึงต้องใช้วิธีวิเคราะห์ที่สามารถแยกทั้งสองตัวได้ HPLC จึงตอบโจทย์ที่สุด</t>
        </is>
      </c>
      <c r="I60" s="46" t="n">
        <v>1</v>
      </c>
      <c r="J60" s="45" t="inlineStr">
        <is>
          <t>✅ คำตอบที่ถูกต้อง: ข้อ ก. Titrimetry
💡 Background:
คำถามข้อสอบจริงใบประกอบวิชาชีพ PLE-CC 1 (Product) ปี 2564 ข้อ 77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0" s="46" t="n"/>
      <c r="L60" s="45" t="inlineStr">
        <is>
          <t>Chromatographic Analysis</t>
        </is>
      </c>
      <c r="M60" s="46" t="inlineStr">
        <is>
          <t>Product</t>
        </is>
      </c>
      <c r="N60" s="45" t="inlineStr">
        <is>
          <t>ข้อสอบจริง Product ปี 2564 ข้อ 77</t>
        </is>
      </c>
      <c r="O60" s="46" t="inlineStr">
        <is>
          <t>ข้อสอบจริง</t>
        </is>
      </c>
      <c r="P60" s="46" t="inlineStr">
        <is>
          <t>ปี 2564</t>
        </is>
      </c>
    </row>
    <row r="61" ht="13.2" customHeight="1" s="37">
      <c r="A61" s="46" t="n">
        <v>59</v>
      </c>
      <c r="B61" s="45" t="inlineStr">
        <is>
          <t>หากต้องการแยกอนุพันธ์ ตามภาพเป็นการแยกด้วยวิธีใด [แนบรูป: ข้อสอบ Product ปี 2564 รหัสรูปภาพ image85]</t>
        </is>
      </c>
      <c r="C61" s="46" t="inlineStr">
        <is>
          <t>[แนบรูป: ข้อสอบ Product ปี 2564 รหัสรูปภาพ image85]</t>
        </is>
      </c>
      <c r="D61" s="45" t="inlineStr">
        <is>
          <t>HPLC</t>
        </is>
      </c>
      <c r="E61" s="45" t="inlineStr">
        <is>
          <t>Capillary electrophoresis</t>
        </is>
      </c>
      <c r="F61" s="45" t="inlineStr">
        <is>
          <t>IR</t>
        </is>
      </c>
      <c r="G61" s="45" t="inlineStr">
        <is>
          <t>Atom absorption</t>
        </is>
      </c>
      <c r="H61" s="45" t="inlineStr">
        <is>
          <t>Mass spectrophotometer คำอธิบาย: จากภาพ มีแกนระหว่าง time และ absorbance และมี peak ของสารต่างกัน ออกมาในเวลาไม่เท่ากัน จึงได้ว่าเป็นเครื่อง HPLC</t>
        </is>
      </c>
      <c r="I61" s="46" t="n">
        <v>1</v>
      </c>
      <c r="J61" s="45" t="inlineStr">
        <is>
          <t>✅ คำตอบที่ถูกต้อง: ข้อ ก. HPLC
💡 Background:
คำถามข้อสอบจริงใบประกอบวิชาชีพ PLE-CC 1 (Product) ปี 2564 ข้อ 90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1" s="46" t="n"/>
      <c r="L61" s="45" t="inlineStr">
        <is>
          <t>Chromatographic Analysis</t>
        </is>
      </c>
      <c r="M61" s="46" t="inlineStr">
        <is>
          <t>Product</t>
        </is>
      </c>
      <c r="N61" s="45" t="inlineStr">
        <is>
          <t>ข้อสอบจริง Product ปี 2564 ข้อ 90</t>
        </is>
      </c>
      <c r="O61" s="46" t="inlineStr">
        <is>
          <t>ข้อสอบจริง</t>
        </is>
      </c>
      <c r="P61" s="46" t="inlineStr">
        <is>
          <t>ปี 2564</t>
        </is>
      </c>
    </row>
    <row r="62" ht="13.2" customHeight="1" s="37">
      <c r="A62" s="46" t="n">
        <v>60</v>
      </c>
      <c r="B62" s="45" t="inlineStr">
        <is>
          <t>จากโครงสร้างของ griseofulvin การตรวจสอบคุณภาพใด ทำให้ได้ลักษณะเฉพาะที่ออกฤทธิ์ [แนบรูป: ข้อสอบ Product ปี 2564 รหัสรูปภาพ image87]</t>
        </is>
      </c>
      <c r="C62" s="46" t="inlineStr">
        <is>
          <t>[แนบรูป: ข้อสอบ Product ปี 2564 รหัสรูปภาพ image87]</t>
        </is>
      </c>
      <c r="D62" s="45" t="inlineStr">
        <is>
          <t>Refractive Index ❌ ใช้บอกดัชนีหักเหของสาร ไม่บอกโครงสร้างที่ออกฤทธิ์</t>
        </is>
      </c>
      <c r="E62" s="45" t="inlineStr">
        <is>
          <t>IR ❌ บอกหมู่ฟังก์ชัน ไม่แยก stereoisomer</t>
        </is>
      </c>
      <c r="F62" s="45" t="inlineStr">
        <is>
          <t>Polarization ✅ วัด Specific rotation ใช้ยืนยัน stereochemistry/optical activity ซึ่งมีผลต่อฤทธิ์ของ griseofulvin</t>
        </is>
      </c>
      <c r="G62" s="45" t="inlineStr">
        <is>
          <t>HPLC ❌ ใช้วิเคราะห์ปริมาณหรือความบริสุทธิ์ ไม่ได้บอก optical activity (ถ้าไม่ใช่ chiral HPLC)</t>
        </is>
      </c>
      <c r="H62" s="45" t="inlineStr">
        <is>
          <t>AAS ❌ ใช้วิเคราะห์ธาตุโลหะ</t>
        </is>
      </c>
      <c r="I62" s="46" t="n">
        <v>1</v>
      </c>
      <c r="J62" s="45" t="inlineStr">
        <is>
          <t>✅ คำตอบที่ถูกต้อง: ข้อ ก. Refractive Index ❌ ใช้บอกดัชนีหักเหของสาร ไม่บอกโครงสร้างที่ออกฤทธิ์
💡 Background:
คำถามข้อสอบจริงใบประกอบวิชาชีพ PLE-CC 1 (Product) ปี 2564 ข้อ 118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2" s="46" t="n"/>
      <c r="L62" s="45" t="inlineStr">
        <is>
          <t>Chromatographic Analysis</t>
        </is>
      </c>
      <c r="M62" s="46" t="inlineStr">
        <is>
          <t>Product</t>
        </is>
      </c>
      <c r="N62" s="45" t="inlineStr">
        <is>
          <t>ข้อสอบจริง Product ปี 2564 ข้อ 118</t>
        </is>
      </c>
      <c r="O62" s="46" t="inlineStr">
        <is>
          <t>ข้อสอบจริง</t>
        </is>
      </c>
      <c r="P62" s="46" t="inlineStr">
        <is>
          <t>ปี 2564</t>
        </is>
      </c>
    </row>
    <row r="63" ht="13.2" customHeight="1" s="37">
      <c r="A63" s="46" t="n">
        <v>61</v>
      </c>
      <c r="B63" s="45" t="inlineStr">
        <is>
          <t>ถ้าวิเคราะห์ ยา A ด้วย HPLC ได้ retention time ของ standard กับยา A เท่ากันแปลว่าอะไร</t>
        </is>
      </c>
      <c r="C63" s="46" t="n"/>
      <c r="D63" s="45" t="inlineStr">
        <is>
          <t>ยา กับ standard เป็นสารคนละตัวกัน</t>
        </is>
      </c>
      <c r="E63" s="45" t="inlineStr">
        <is>
          <t>เวลาที่ standard กับ ยา A อยู่ใน column เท่ากัน</t>
        </is>
      </c>
      <c r="F63" s="45" t="inlineStr">
        <is>
          <t>ยา A เป็น by product ของ standard</t>
        </is>
      </c>
      <c r="G63" s="45" t="inlineStr">
        <is>
          <t>ยา A มีความชอบกับ Stationary phase ใน column มากกว่า standard</t>
        </is>
      </c>
      <c r="H63" s="45" t="inlineStr">
        <is>
          <t>ยา 2 กับ Standard มีปริมาณเท่ากัน คำอธิบาย: Retention time (Rt) คือ เวลาที่สารใช้เดินทางผ่าน column ก่อนถูกตรวจพบ ถ้า Rt เท่ากัน แสดงว่าสารมีพฤติกรรมการยึดเกาะกับ stationary phase/mobile phase ใกล้เคียงกัน และใช้เวลาออกจาก column เท่ากัน</t>
        </is>
      </c>
      <c r="I63" s="46" t="n">
        <v>1</v>
      </c>
      <c r="J63" s="45" t="inlineStr">
        <is>
          <t>✅ คำตอบที่ถูกต้อง: ข้อ ก. ยา กับ standard เป็นสารคนละตัวกัน
💡 Background:
คำถามข้อสอบจริงใบประกอบวิชาชีพ PLE-CC 1 (Product) ปี 2564 ข้อ 132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3" s="46" t="n"/>
      <c r="L63" s="45" t="inlineStr">
        <is>
          <t>Chromatographic Analysis</t>
        </is>
      </c>
      <c r="M63" s="46" t="inlineStr">
        <is>
          <t>Product</t>
        </is>
      </c>
      <c r="N63" s="45" t="inlineStr">
        <is>
          <t>ข้อสอบจริง Product ปี 2564 ข้อ 132</t>
        </is>
      </c>
      <c r="O63" s="46" t="inlineStr">
        <is>
          <t>ข้อสอบจริง</t>
        </is>
      </c>
      <c r="P63" s="46" t="inlineStr">
        <is>
          <t>ปี 2564</t>
        </is>
      </c>
    </row>
    <row r="64" ht="13.2" customHeight="1" s="37">
      <c r="A64" s="46" t="n">
        <v>62</v>
      </c>
      <c r="B64" s="45" t="inlineStr">
        <is>
          <t>จากรูปเป็นการวิเคราะห์โดยใช้เครื่องมือใด [แนบรูป: ข้อสอบ Product ปี 2564 รหัสรูปภาพ image89]</t>
        </is>
      </c>
      <c r="C64" s="46" t="inlineStr">
        <is>
          <t>[แนบรูป: ข้อสอบ Product ปี 2564 รหัสรูปภาพ image89]</t>
        </is>
      </c>
      <c r="D64" s="45" t="inlineStr">
        <is>
          <t>กราฟ DSC</t>
        </is>
      </c>
      <c r="E64" s="45" t="inlineStr">
        <is>
          <t>กราฟ UV</t>
        </is>
      </c>
      <c r="F64" s="45" t="inlineStr">
        <is>
          <t>กราฟ IR</t>
        </is>
      </c>
      <c r="G64" s="45" t="inlineStr">
        <is>
          <t>กราฟ HPLC</t>
        </is>
      </c>
      <c r="H64" s="45" t="inlineStr">
        <is>
          <t>กราฟ AAS คำอธิบาย: จากภาพ มีแกนระหว่าง time และ absorbance และมี peak ของสารต่างกัน ออกมาในเวลาไม่เท่ากัน จึงได้ว่าเป็นเครื่อง HPLC</t>
        </is>
      </c>
      <c r="I64" s="46" t="n">
        <v>1</v>
      </c>
      <c r="J64" s="45" t="inlineStr">
        <is>
          <t>✅ คำตอบที่ถูกต้อง: ข้อ ก. กราฟ DSC
💡 Background:
คำถามข้อสอบจริงใบประกอบวิชาชีพ PLE-CC 1 (Product) ปี 2564 ข้อ 152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4" s="46" t="n"/>
      <c r="L64" s="45" t="inlineStr">
        <is>
          <t>Chromatographic Analysis</t>
        </is>
      </c>
      <c r="M64" s="46" t="inlineStr">
        <is>
          <t>Product</t>
        </is>
      </c>
      <c r="N64" s="45" t="inlineStr">
        <is>
          <t>ข้อสอบจริง Product ปี 2564 ข้อ 152</t>
        </is>
      </c>
      <c r="O64" s="46" t="inlineStr">
        <is>
          <t>ข้อสอบจริง</t>
        </is>
      </c>
      <c r="P64" s="46" t="inlineStr">
        <is>
          <t>ปี 2564</t>
        </is>
      </c>
    </row>
    <row r="65" ht="13.2" customHeight="1" s="37">
      <c r="A65" s="46" t="n">
        <v>63</v>
      </c>
      <c r="B65" s="45" t="inlineStr">
        <is>
          <t>ข้อใดคือวิธีวิเคราะห์ EPO ตาม British pharmacopoeia</t>
        </is>
      </c>
      <c r="C65" s="46" t="n"/>
      <c r="D65" s="45" t="inlineStr">
        <is>
          <t>IR</t>
        </is>
      </c>
      <c r="E65" s="45" t="inlineStr">
        <is>
          <t>TLC</t>
        </is>
      </c>
      <c r="F65" s="45" t="inlineStr">
        <is>
          <t>Refractometer</t>
        </is>
      </c>
      <c r="G65" s="45" t="inlineStr">
        <is>
          <t>Optical rotation</t>
        </is>
      </c>
      <c r="H65" s="45" t="inlineStr">
        <is>
          <t>Peptide mapping คำอธิบาย: Erythropoietin เป็น โปรตีน/ไกลโคโปรตีน การตรวจเอกลักษณ์ใช้วิธีที่ดู ลำดับ peptide และโครงสร้างของโปรตีน เช่น peptide mapping</t>
        </is>
      </c>
      <c r="I65" s="46" t="n">
        <v>1</v>
      </c>
      <c r="J65" s="45" t="inlineStr">
        <is>
          <t>✅ คำตอบที่ถูกต้อง: ข้อ ก. IR
💡 Background:
คำถามข้อสอบจริงใบประกอบวิชาชีพ PLE-CC 1 (Product) ปี 2564 ข้อ 162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5" s="46" t="n"/>
      <c r="L65" s="45" t="inlineStr">
        <is>
          <t>Chromatographic Analysis</t>
        </is>
      </c>
      <c r="M65" s="46" t="inlineStr">
        <is>
          <t>Product</t>
        </is>
      </c>
      <c r="N65" s="45" t="inlineStr">
        <is>
          <t>ข้อสอบจริง Product ปี 2564 ข้อ 162</t>
        </is>
      </c>
      <c r="O65" s="46" t="inlineStr">
        <is>
          <t>ข้อสอบจริง</t>
        </is>
      </c>
      <c r="P65" s="46" t="inlineStr">
        <is>
          <t>ปี 2564</t>
        </is>
      </c>
    </row>
    <row r="66" ht="13.2" customHeight="1" s="37">
      <c r="A66" s="46" t="n">
        <v>64</v>
      </c>
      <c r="B66" s="45" t="inlineStr">
        <is>
          <t>หากต้องการแยกอนุพันธ์ ตามภาพเป็นการแยกโดยวิธีใด ต้นฉบับ: Day 1 ข้อ 100 [แนบรูป: ข้อสอบ Product ปี 2563 รหัสรูปภาพ image94] รูปประกอบจากข้อสอบต้นฉบับ</t>
        </is>
      </c>
      <c r="C66" s="46" t="inlineStr">
        <is>
          <t>[แนบรูป: ข้อสอบ Product ปี 2563 รหัสรูปภาพ image94]</t>
        </is>
      </c>
      <c r="D66" s="45" t="inlineStr">
        <is>
          <t>HPLC</t>
        </is>
      </c>
      <c r="E66" s="45" t="inlineStr">
        <is>
          <t>Capillary electrophoresis</t>
        </is>
      </c>
      <c r="F66" s="45" t="inlineStr">
        <is>
          <t>IR</t>
        </is>
      </c>
      <c r="G66" s="45" t="inlineStr">
        <is>
          <t>Atomic absorption spectrophotometry</t>
        </is>
      </c>
      <c r="H66" s="45" t="inlineStr">
        <is>
          <t xml:space="preserve">Mass spectrometer | คำตอบ: a) HPLC กราฟมีหลาย peak แยกตามเวลาที่สารออกจากคอลัมน์ จึงเป็น chromatogram ของ HPLC ข้อที่ไม่ถูก b) Capillary electrophoresis แยกสารด้วยการเคลื่อนที่ในสนามไฟฟ้า c) IR แสดงการดูดกลืนรังสี ไม่ได้แสดง retention time d) Atomic absorption ใช้วิเคราะห์ธาตุ e) Mass spectrometry แสดงค่า mass-to-charge ratio | | :---- | </t>
        </is>
      </c>
      <c r="I66" s="46" t="n">
        <v>1</v>
      </c>
      <c r="J66" s="45" t="inlineStr">
        <is>
          <t>✅ คำตอบที่ถูกต้อง: ข้อ ก. HPLC
💡 Background:
คำถามข้อสอบจริงใบประกอบวิชาชีพ PLE-CC 1 (Product) ปี 2563 ข้อ 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6" s="46" t="n"/>
      <c r="L66" s="45" t="inlineStr">
        <is>
          <t>Chromatographic Analysis</t>
        </is>
      </c>
      <c r="M66" s="46" t="inlineStr">
        <is>
          <t>Product</t>
        </is>
      </c>
      <c r="N66" s="45" t="inlineStr">
        <is>
          <t>ข้อสอบจริง Product ปี 2563 ข้อ 9</t>
        </is>
      </c>
      <c r="O66" s="46" t="inlineStr">
        <is>
          <t>ข้อสอบจริง</t>
        </is>
      </c>
      <c r="P66" s="46" t="inlineStr">
        <is>
          <t>ปี 2563</t>
        </is>
      </c>
    </row>
    <row r="67" ht="13.2" customHeight="1" s="37">
      <c r="A67" s="46" t="n">
        <v>65</v>
      </c>
      <c r="B67" s="45" t="inlineStr">
        <is>
          <t>ข้อใดคือวิธีวิเคราะห์ในการควบคุมคุณภาพยาโครงสร้างต่อไปนี้ ต้นฉบับ: Day 2 ข้อ 64 [แนบรูป: ข้อสอบ Product ปี 2563 รหัสรูปภาพ image95] รูปประกอบจากข้อสอบต้นฉบับ</t>
        </is>
      </c>
      <c r="C67" s="46" t="inlineStr">
        <is>
          <t>[แนบรูป: ข้อสอบ Product ปี 2563 รหัสรูปภาพ image95]</t>
        </is>
      </c>
      <c r="D67" s="45" t="inlineStr">
        <is>
          <t>Confocal microscope</t>
        </is>
      </c>
      <c r="E67" s="45" t="inlineStr">
        <is>
          <t>Immunohistochemistry</t>
        </is>
      </c>
      <c r="F67" s="45" t="inlineStr">
        <is>
          <t>NMR</t>
        </is>
      </c>
      <c r="G67" s="45" t="inlineStr">
        <is>
          <t>Atomic force</t>
        </is>
      </c>
      <c r="H67" s="45" t="inlineStr">
        <is>
          <t xml:space="preserve">HPLC | คำตอบ: e) HPLC การควบคุมคุณภาพต้องแยกตัวยาออกจากสิ่งเจือปนก่อนหาปริมาณ ซึ่ง HPLC ทำได้ทั้งสองอย่าง ข้อที่ไม่ถูก a) Confocal microscope ใช้ดูภาพตัวอย่าง b) Immunohistochemistry ใช้ตรวจ antigen ในเนื้อเยื่อ c) NMR เหมาะกับการยืนยันโครงสร้างมากกว่างาน assay d) Atomic force microscopy ใช้ศึกษาพื้นผิวระดับนาโน | | :---- | </t>
        </is>
      </c>
      <c r="I67" s="46" t="n">
        <v>5</v>
      </c>
      <c r="J67" s="45" t="inlineStr">
        <is>
          <t>✅ คำตอบที่ถูกต้อง: ข้อ จ. HPLC | คำตอบ: e) HPLC การควบคุมคุณภาพต้องแยกตัวยาออกจากสิ่งเจือปนก่อนหาปริมาณ ซึ่ง HPLC ทำได้ทั้งสองอย่าง ข้อที่ไม่ถูก a) Confocal microscope ใช้ดูภาพตัวอย่าง b) Immunohistochemistry ใช้ตรวจ antigen ในเนื้อเยื่อ c) NMR เหมาะกับการยืนยันโครงสร้างมากกว่างาน assay d) Atomic force microscopy ใช้ศึกษาพื้นผิวระดับนาโน | | :---- | 
💡 Background:
คำถามข้อสอบจริงใบประกอบวิชาชีพ PLE-CC 1 (Product) ปี 2563 ข้อ 10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7" s="46" t="n"/>
      <c r="L67" s="45" t="inlineStr">
        <is>
          <t>Chromatographic Analysis</t>
        </is>
      </c>
      <c r="M67" s="46" t="inlineStr">
        <is>
          <t>Product</t>
        </is>
      </c>
      <c r="N67" s="45" t="inlineStr">
        <is>
          <t>ข้อสอบจริง Product ปี 2563 ข้อ 10</t>
        </is>
      </c>
      <c r="O67" s="46" t="inlineStr">
        <is>
          <t>ข้อสอบจริง</t>
        </is>
      </c>
      <c r="P67" s="46" t="inlineStr">
        <is>
          <t>ปี 2563</t>
        </is>
      </c>
    </row>
    <row r="68" ht="13.2" customHeight="1" s="37">
      <c r="A68" s="46" t="n">
        <v>66</v>
      </c>
      <c r="B68" s="45" t="inlineStr">
        <is>
          <t>ข้อใดเป็นการวิเคราะห์ปริมาณตัวยาสำคัญของยาเม็ดคุมกำเนิด Levonorgestrel และ Ethinyl estradiol ต้นฉบับ: Day 2 ข้อ 68</t>
        </is>
      </c>
      <c r="C68" s="46" t="n"/>
      <c r="D68" s="45" t="inlineStr">
        <is>
          <t>Titrimetry</t>
        </is>
      </c>
      <c r="E68" s="45" t="inlineStr">
        <is>
          <t>Mass spectrometry</t>
        </is>
      </c>
      <c r="F68" s="45" t="inlineStr">
        <is>
          <t>Infrared spectrometry</t>
        </is>
      </c>
      <c r="G68" s="45" t="inlineStr">
        <is>
          <t>UV spectrophotometry</t>
        </is>
      </c>
      <c r="H68" s="45" t="inlineStr">
        <is>
          <t xml:space="preserve">High performance liquid chromatography | คำตอบ: e) HPLC ยาเม็ดมีตัวยาสองชนิดในปริมาณต่ำ จึงต้องแยก levonorgestrel และ ethinylestradiol ก่อนหาปริมาณ ข้อที่ไม่ถูก a) Titrimetry ไม่จำเพาะพอสำหรับตัวยาสองชนิดในตำรับเดียวกัน b) Mass spectrometry ไม่ใช่วิธี routine assay ที่เหมาะที่สุดในตัวเลือกนี้ c) IR ใช้ยืนยันเอกลักษณ์เป็นหลัก d) UV อาจถูกรบกวนจากการดูดกลืนของสารทั้งสองชนิด | | :---- | </t>
        </is>
      </c>
      <c r="I68" s="46" t="n">
        <v>5</v>
      </c>
      <c r="J68" s="45" t="inlineStr">
        <is>
          <t>✅ คำตอบที่ถูกต้อง: ข้อ จ. High performance liquid chromatography | คำตอบ: e) HPLC ยาเม็ดมีตัวยาสองชนิดในปริมาณต่ำ จึงต้องแยก levonorgestrel และ ethinylestradiol ก่อนหาปริมาณ ข้อที่ไม่ถูก a) Titrimetry ไม่จำเพาะพอสำหรับตัวยาสองชนิดในตำรับเดียวกัน b) Mass spectrometry ไม่ใช่วิธี routine assay ที่เหมาะที่สุดในตัวเลือกนี้ c) IR ใช้ยืนยันเอกลักษณ์เป็นหลัก d) UV อาจถูกรบกวนจากการดูดกลืนของสารทั้งสองชนิด | | :---- | 
💡 Background:
คำถามข้อสอบจริงใบประกอบวิชาชีพ PLE-CC 1 (Product) ปี 2563 ข้อ 11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8" s="46" t="n"/>
      <c r="L68" s="45" t="inlineStr">
        <is>
          <t>Chromatographic Analysis</t>
        </is>
      </c>
      <c r="M68" s="46" t="inlineStr">
        <is>
          <t>Product</t>
        </is>
      </c>
      <c r="N68" s="45" t="inlineStr">
        <is>
          <t>ข้อสอบจริง Product ปี 2563 ข้อ 11</t>
        </is>
      </c>
      <c r="O68" s="46" t="inlineStr">
        <is>
          <t>ข้อสอบจริง</t>
        </is>
      </c>
      <c r="P68" s="46" t="inlineStr">
        <is>
          <t>ปี 2563</t>
        </is>
      </c>
    </row>
    <row r="69" ht="13.2" customHeight="1" s="37">
      <c r="A69" s="46" t="n">
        <v>67</v>
      </c>
      <c r="B69" s="45" t="inlineStr">
        <is>
          <t>สูตรคำนวณ VC(rU/rS) เป็นการเทียบพื้นที่ใต้พีค (peak area) ระหว่างตัวอย่างกับสารมาตรฐาน ซึ่งเป็นวิธีคำนวณ %LA (percent label amount) ของ chromatography   นอกจากนี้ยังมี system suitability ที่กำหนด resolution \&gt; 3 ระหว่าง simvastatin กับ lovastatin และ RSD ไม่เกิน 1.0% ซึ่งเป็นข้อกำหนดเฉพาะของ chromatographic method | | :---- | ข้อ 72. ยา gemfibrozil มีคุณสมบัติการละลายในน้ำเป็นแบบ water soluble มีจุดหลอมเหลว 65 องศา หากต้องการทำยาด้วยวิธี wet granulation condition ใดที่เหมาะสมที่สุด</t>
        </is>
      </c>
      <c r="C69" s="46" t="n"/>
      <c r="D69" s="45" t="inlineStr">
        <is>
          <t>colloidal silicon dioxide</t>
        </is>
      </c>
      <c r="E69" s="45" t="inlineStr">
        <is>
          <t>sodium lauryl sulfate</t>
        </is>
      </c>
      <c r="F69" s="45" t="inlineStr">
        <is>
          <t>microcrystalline cellulose</t>
        </is>
      </c>
      <c r="G69" s="45" t="inlineStr">
        <is>
          <t>sodium starch glycolate</t>
        </is>
      </c>
      <c r="H69" s="45" t="inlineStr">
        <is>
          <t>magnesium stearate | คำอธิบาย Sodium lauryl sulfate (SLS) เป็น anionic surfactant ที่ใช้เป็น wetting agent / solubilizing agent ในตำรับยาเม็ดของตัวยาที่ละลายน้ำยาก   กลไก 2 ทาง:</t>
        </is>
      </c>
      <c r="I69" s="46" t="n">
        <v>1</v>
      </c>
      <c r="J69" s="45" t="inlineStr">
        <is>
          <t>✅ คำตอบที่ถูกต้อง: ข้อ ก. colloidal silicon dioxide
💡 Background:
คำถามข้อสอบจริงใบประกอบวิชาชีพ PLE-CC 1 (Product) ปี 2562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9" s="46" t="n"/>
      <c r="L69" s="45" t="inlineStr">
        <is>
          <t>Chromatographic Analysis</t>
        </is>
      </c>
      <c r="M69" s="46" t="inlineStr">
        <is>
          <t>Product</t>
        </is>
      </c>
      <c r="N69" s="45" t="inlineStr">
        <is>
          <t>ข้อสอบจริง Product ปี 2562 ข้อ 5</t>
        </is>
      </c>
      <c r="O69" s="46" t="inlineStr">
        <is>
          <t>ข้อสอบจริง</t>
        </is>
      </c>
      <c r="P69" s="46" t="inlineStr">
        <is>
          <t>ปี 2562</t>
        </is>
      </c>
    </row>
    <row r="70" ht="13.2" customHeight="1" s="37">
      <c r="A70" s="46" t="n">
        <v>68</v>
      </c>
      <c r="B70" s="45" t="inlineStr">
        <is>
          <t>ต้องแยกจากสารสลายตัวและ excipient — HPLC เป็น stability-indicating method ที่แยกตัวยาออกจากสารสลายตัวได้ จึงเป็นวิธีมาตรฐานตาม USP/BP สำหรับยาเม็ดคุมกำเนิด   สภาวะที่ใช้ทั่วไป: คอลัมน์ C18 (reversed phase), mobile phase acetonitrile:water, UV detector ที่ 210–280 nm | | :---- | ## สถานการณ์ที่ 7 ผู้ป่วยหญิงอายุ 54 ปี เป็นมะเร็งเต้านมระยะเบื้องต้น ได้รับการรักษาด้วยยา trastuzumab มาพบแพทย์ตามปกติ พบว่าอาการเป็นปกติ BP 150/65 (วัดครั้งก่อน 145/70) HR 100 bpm ได้รับการวินิจฉัยว่ามีภาวะความดันโลหิตสูง ข้อ 58. กระบวนการใดเหมาะสมในการผลิต trastuzumab powder for infusion ซึ่งเป็นชนิด monoclonal antibody เช่น</t>
        </is>
      </c>
      <c r="C70" s="46" t="n"/>
      <c r="D70" s="45" t="inlineStr">
        <is>
          <t>Tray drying</t>
        </is>
      </c>
      <c r="E70" s="45" t="inlineStr">
        <is>
          <t>Microwave drying</t>
        </is>
      </c>
      <c r="F70" s="45" t="inlineStr">
        <is>
          <t>Spray drying</t>
        </is>
      </c>
      <c r="G70" s="45" t="inlineStr">
        <is>
          <t>Freeze drying</t>
        </is>
      </c>
      <c r="H70" s="45" t="inlineStr">
        <is>
          <t>Infrared drying | คำอธิบาย Freeze drying (lyophilization) เป็นวิธีเดียวที่เหมาะกับโปรตีนขนาดใหญ่อย่าง monoclonal antibody   ปัญหาของโปรตีน: โครงสร้างสามมิติ (secondary, tertiary, quaternary structure) ยึดกันด้วยพันธะอ่อน เช่น hydrogen bond และ hydrophobic interaction ความร้อนเพียงเล็กน้อยก็ทำให้เสียสภาพ (denaturation) โครงสร้างคลี่ออก จับกลุ่มกัน (aggregation) และสูญเสียความสามารถในการจับกับ HER2 receptor ไปอย่างถาวร   หลักการของ freeze drying 3 ขั้นตอน:</t>
        </is>
      </c>
      <c r="I70" s="46" t="n">
        <v>1</v>
      </c>
      <c r="J70" s="45" t="inlineStr">
        <is>
          <t>✅ คำตอบที่ถูกต้อง: ข้อ ก. Tray drying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0" s="46" t="n"/>
      <c r="L70" s="45" t="inlineStr">
        <is>
          <t>Chromatographic Analysis</t>
        </is>
      </c>
      <c r="M70" s="46" t="inlineStr">
        <is>
          <t>Product</t>
        </is>
      </c>
      <c r="N70" s="45" t="inlineStr">
        <is>
          <t>ข้อสอบจริง Product ปี 2562 ข้อ 3</t>
        </is>
      </c>
      <c r="O70" s="46" t="inlineStr">
        <is>
          <t>ข้อสอบจริง</t>
        </is>
      </c>
      <c r="P70" s="46" t="inlineStr">
        <is>
          <t>ปี 2562</t>
        </is>
      </c>
    </row>
    <row r="71" ht="13.2" customHeight="1" s="37">
      <c r="A71" s="46" t="n">
        <v>69</v>
      </c>
      <c r="B71" s="45" t="inlineStr">
        <is>
          <t>ถ้าวิเคราะห์ยา A ด้วย HPLC ได้ retention time ของ standard เท่ากับยา A หมายความว่าอย่างไร</t>
        </is>
      </c>
      <c r="C71" s="46" t="n"/>
      <c r="D71" s="45" t="inlineStr">
        <is>
          <t>ยา A กับ standard มีปริมาณเท่ากัน</t>
        </is>
      </c>
      <c r="E71" s="45" t="inlineStr">
        <is>
          <t>ยากับ standard เป็นสารคนละตัวกัน</t>
        </is>
      </c>
      <c r="F71" s="45" t="inlineStr">
        <is>
          <t>ยา A เป็น by product ของ standard</t>
        </is>
      </c>
      <c r="G71" s="45" t="inlineStr">
        <is>
          <t>เวลาที่ standard กับยา A อยู่ใน column เท่ากัน</t>
        </is>
      </c>
      <c r="H71" s="45" t="inlineStr">
        <is>
          <t>ยา A มีความชอบพอกับ stationary phase ใน column มากกว่า standard</t>
        </is>
      </c>
      <c r="I71" s="46" t="n">
        <v>1</v>
      </c>
      <c r="J71" s="45" t="inlineStr">
        <is>
          <t>✅ คำตอบที่ถูกต้อง: ข้อ ก. ยา A กับ standard มีปริมาณเท่ากัน
💡 Background:
คำถามข้อสอบจริงใบประกอบวิชาชีพ PLE-CC 1 (Product) ปี 2561 ข้อ 31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1" s="46" t="n"/>
      <c r="L71" s="45" t="inlineStr">
        <is>
          <t>Chromatographic Analysis</t>
        </is>
      </c>
      <c r="M71" s="46" t="inlineStr">
        <is>
          <t>Product</t>
        </is>
      </c>
      <c r="N71" s="45" t="inlineStr">
        <is>
          <t>ข้อสอบจริง Product ปี 2561 ข้อ 31</t>
        </is>
      </c>
      <c r="O71" s="46" t="inlineStr">
        <is>
          <t>ข้อสอบจริง</t>
        </is>
      </c>
      <c r="P71" s="46" t="inlineStr">
        <is>
          <t>ปี 2561</t>
        </is>
      </c>
    </row>
    <row r="72" ht="13.2" customHeight="1" s="37">
      <c r="A72" s="46" t="n">
        <v>70</v>
      </c>
      <c r="B72" s="45" t="inlineStr">
        <is>
          <t>จงคำนวณหาค่า resolution ของ omeprazole กับ omeprazole related A โดยเครื่อง HPLC กำหนดให้ T\_R1=3, T\_R2=6, W1=0.3, W2=0.325 สูตรในการคำนวณ: [แนบรูป: ข้อสอบ Product ปี 2561 รหัสรูปภาพ image109]</t>
        </is>
      </c>
      <c r="C72" s="46" t="inlineStr">
        <is>
          <t>[แนบรูป: ข้อสอบ Product ปี 2561 รหัสรูปภาพ image109]</t>
        </is>
      </c>
      <c r="D72" s="45" t="inlineStr">
        <is>
          <t>2.4</t>
        </is>
      </c>
      <c r="E72" s="45" t="inlineStr">
        <is>
          <t>4.8</t>
        </is>
      </c>
      <c r="F72" s="45" t="inlineStr">
        <is>
          <t>9.6</t>
        </is>
      </c>
      <c r="G72" s="45" t="inlineStr">
        <is>
          <t>3</t>
        </is>
      </c>
      <c r="H72" s="45" t="inlineStr">
        <is>
          <t>0.625</t>
        </is>
      </c>
      <c r="I72" s="46" t="n">
        <v>1</v>
      </c>
      <c r="J72" s="45" t="inlineStr">
        <is>
          <t>✅ คำตอบที่ถูกต้อง: ข้อ ก. 2.4
💡 Background:
คำถามข้อสอบจริงใบประกอบวิชาชีพ PLE-CC 1 (Product) ปี 2561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2" s="46" t="n"/>
      <c r="L72" s="45" t="inlineStr">
        <is>
          <t>Chromatographic Analysis</t>
        </is>
      </c>
      <c r="M72" s="46" t="inlineStr">
        <is>
          <t>Product</t>
        </is>
      </c>
      <c r="N72" s="45" t="inlineStr">
        <is>
          <t>ข้อสอบจริง Product ปี 2561 ข้อ 40</t>
        </is>
      </c>
      <c r="O72" s="46" t="inlineStr">
        <is>
          <t>ข้อสอบจริง</t>
        </is>
      </c>
      <c r="P72" s="46" t="inlineStr">
        <is>
          <t>ปี 2561</t>
        </is>
      </c>
    </row>
    <row r="73" ht="13.2" customHeight="1" s="37">
      <c r="A73" s="46" t="n">
        <v>71</v>
      </c>
      <c r="B73" s="45" t="inlineStr">
        <is>
          <t>หากต้องการตรวจหาปริมาณ EE และ levonogestrel ที่ประกอบอยู่ในยาเม็ด ควรใช้วิธีใด</t>
        </is>
      </c>
      <c r="C73" s="46" t="n"/>
      <c r="D73" s="45" t="inlineStr">
        <is>
          <t>HPLC</t>
        </is>
      </c>
      <c r="E73" s="45" t="inlineStr">
        <is>
          <t>Mass spectroscopy</t>
        </is>
      </c>
      <c r="F73" s="45" t="inlineStr">
        <is>
          <t>UV-Vis spectroscopy</t>
        </is>
      </c>
      <c r="G73" s="45" t="inlineStr">
        <is>
          <t>Infrared spectroscopy</t>
        </is>
      </c>
      <c r="H73" s="45" t="inlineStr">
        <is>
          <t>Planar chromatography</t>
        </is>
      </c>
      <c r="I73" s="46" t="n">
        <v>1</v>
      </c>
      <c r="J73" s="45" t="inlineStr">
        <is>
          <t>✅ คำตอบที่ถูกต้อง: ข้อ ก. HPLC
💡 Background:
คำถามข้อสอบจริงใบประกอบวิชาชีพ PLE-CC 1 (Product) ปี 2561 ข้อ 63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3" s="46" t="n"/>
      <c r="L73" s="45" t="inlineStr">
        <is>
          <t>Chromatographic Analysis</t>
        </is>
      </c>
      <c r="M73" s="46" t="inlineStr">
        <is>
          <t>Product</t>
        </is>
      </c>
      <c r="N73" s="45" t="inlineStr">
        <is>
          <t>ข้อสอบจริง Product ปี 2561 ข้อ 63</t>
        </is>
      </c>
      <c r="O73" s="46" t="inlineStr">
        <is>
          <t>ข้อสอบจริง</t>
        </is>
      </c>
      <c r="P73" s="46" t="inlineStr">
        <is>
          <t>ปี 2561</t>
        </is>
      </c>
    </row>
    <row r="74" ht="13.2" customHeight="1" s="37">
      <c r="A74" s="46" t="n">
        <v>72</v>
      </c>
      <c r="B74" s="45" t="inlineStr">
        <is>
          <t>ควรใช้เครื่องมือใดในการพิสูจน์เอกลักษณ์ metformin raw material</t>
        </is>
      </c>
      <c r="C74" s="46" t="n"/>
      <c r="D74" s="45" t="inlineStr">
        <is>
          <t>IR</t>
        </is>
      </c>
      <c r="E74" s="45" t="inlineStr">
        <is>
          <t>TLC</t>
        </is>
      </c>
      <c r="F74" s="45" t="inlineStr">
        <is>
          <t>UV-vis</t>
        </is>
      </c>
      <c r="G74" s="45" t="inlineStr">
        <is>
          <t>Fluorescence</t>
        </is>
      </c>
      <c r="H74" s="45" t="inlineStr">
        <is>
          <t>X-ray diffraction</t>
        </is>
      </c>
      <c r="I74" s="46" t="n">
        <v>1</v>
      </c>
      <c r="J74" s="45" t="inlineStr">
        <is>
          <t>✅ คำตอบที่ถูกต้อง: ข้อ ก. IR
💡 Background:
คำถามข้อสอบจริงใบประกอบวิชาชีพ PLE-CC 1 (Product) ปี 2561 ข้อ 67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4" s="46" t="n"/>
      <c r="L74" s="45" t="inlineStr">
        <is>
          <t>Chromatographic Analysis</t>
        </is>
      </c>
      <c r="M74" s="46" t="inlineStr">
        <is>
          <t>Product</t>
        </is>
      </c>
      <c r="N74" s="45" t="inlineStr">
        <is>
          <t>ข้อสอบจริง Product ปี 2561 ข้อ 67</t>
        </is>
      </c>
      <c r="O74" s="46" t="inlineStr">
        <is>
          <t>ข้อสอบจริง</t>
        </is>
      </c>
      <c r="P74" s="46" t="inlineStr">
        <is>
          <t>ปี 2561</t>
        </is>
      </c>
    </row>
    <row r="75" ht="13.2" customHeight="1" s="37">
      <c r="A75" s="46" t="n">
        <v>73</v>
      </c>
      <c r="B75" s="45" t="inlineStr">
        <is>
          <t>ข้อใดคือวิธีการแยก racemic mixture</t>
        </is>
      </c>
      <c r="C75" s="46" t="n"/>
      <c r="D75" s="45" t="inlineStr">
        <is>
          <t>Size exclusion</t>
        </is>
      </c>
      <c r="E75" s="45" t="inlineStr">
        <is>
          <t>Counter current</t>
        </is>
      </c>
      <c r="F75" s="45" t="inlineStr">
        <is>
          <t>Super critical fluid</t>
        </is>
      </c>
      <c r="G75" s="45" t="inlineStr">
        <is>
          <t>Chiral Chromatography</t>
        </is>
      </c>
      <c r="H75" s="45" t="inlineStr">
        <is>
          <t>Planar Chromatography</t>
        </is>
      </c>
      <c r="I75" s="46" t="n">
        <v>1</v>
      </c>
      <c r="J75" s="45" t="inlineStr">
        <is>
          <t>✅ คำตอบที่ถูกต้อง: ข้อ ก. Size exclusion
💡 Background:
คำถามข้อสอบจริงใบประกอบวิชาชีพ PLE-CC 1 (Product) ปี 2561 ข้อ 91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5" s="46" t="n"/>
      <c r="L75" s="45" t="inlineStr">
        <is>
          <t>Chromatographic Analysis</t>
        </is>
      </c>
      <c r="M75" s="46" t="inlineStr">
        <is>
          <t>Product</t>
        </is>
      </c>
      <c r="N75" s="45" t="inlineStr">
        <is>
          <t>ข้อสอบจริง Product ปี 2561 ข้อ 91</t>
        </is>
      </c>
      <c r="O75" s="46" t="inlineStr">
        <is>
          <t>ข้อสอบจริง</t>
        </is>
      </c>
      <c r="P75" s="46" t="inlineStr">
        <is>
          <t>ปี 2561</t>
        </is>
      </c>
    </row>
    <row r="76" ht="13.2" customHeight="1" s="37">
      <c r="A76" s="46" t="n">
        <v>74</v>
      </c>
      <c r="B76" s="45" t="inlineStr">
        <is>
          <t>จากภาพเป็นการวิเคราะห์โดยใช้เครื่องมือใด [แนบรูป: ข้อสอบ Product ปี 2561 รหัสรูปภาพ image115]</t>
        </is>
      </c>
      <c r="C76" s="46" t="inlineStr">
        <is>
          <t>[แนบรูป: ข้อสอบ Product ปี 2561 รหัสรูปภาพ image115]</t>
        </is>
      </c>
      <c r="D76" s="45" t="inlineStr">
        <is>
          <t>HPLC</t>
        </is>
      </c>
      <c r="E76" s="45" t="inlineStr">
        <is>
          <t>Gas chromatography</t>
        </is>
      </c>
      <c r="F76" s="45" t="inlineStr">
        <is>
          <t>Planar chromatography</t>
        </is>
      </c>
      <c r="G76" s="45" t="inlineStr">
        <is>
          <t>Countercurrent chromatography</t>
        </is>
      </c>
      <c r="H76" s="45" t="inlineStr">
        <is>
          <t>Capillary electrophoresis chromatography</t>
        </is>
      </c>
      <c r="I76" s="46" t="n">
        <v>1</v>
      </c>
      <c r="J76" s="45" t="inlineStr">
        <is>
          <t>✅ คำตอบที่ถูกต้อง: ข้อ ก. HPLC
💡 Background:
คำถามข้อสอบจริงใบประกอบวิชาชีพ PLE-CC 1 (Product) ปี 2561 ข้อ 103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6" s="46" t="n"/>
      <c r="L76" s="45" t="inlineStr">
        <is>
          <t>Chromatographic Analysis</t>
        </is>
      </c>
      <c r="M76" s="46" t="inlineStr">
        <is>
          <t>Product</t>
        </is>
      </c>
      <c r="N76" s="45" t="inlineStr">
        <is>
          <t>ข้อสอบจริง Product ปี 2561 ข้อ 103</t>
        </is>
      </c>
      <c r="O76" s="46" t="inlineStr">
        <is>
          <t>ข้อสอบจริง</t>
        </is>
      </c>
      <c r="P76" s="46" t="inlineStr">
        <is>
          <t>ปี 2561</t>
        </is>
      </c>
    </row>
    <row r="77" ht="13.2" customHeight="1" s="37">
      <c r="A77" s="46" t="n">
        <v>75</v>
      </c>
      <c r="B77" s="45" t="inlineStr">
        <is>
          <t>จากข้อมูล Chromatography \&lt;621\&gt; ข้อใดผิด Chromatography \&lt;621\&gt; -- The liquid Chromatograph is equipped with -- μm packing L.1 flow rate is about 1mL per minute. Chromatograph the standard preparation, and record the peak responses as described for. Procedure: the column efficiency, determined from the analyte peak, is not less than 3500 theoretical plates, the tailing factor, for the propylthiouracil peak is not more than 2.0, and the relative standard deviation for replicate injections is not more than 2.0%</t>
        </is>
      </c>
      <c r="C77" s="46" t="n"/>
      <c r="D77" s="45" t="inlineStr">
        <is>
          <t>เป็น normal phase</t>
        </is>
      </c>
      <c r="E77" s="45" t="inlineStr">
        <is>
          <t>ใช้ UV-vis วิเคราะห์ได้</t>
        </is>
      </c>
      <c r="F77" s="45" t="inlineStr">
        <is>
          <t>Stationary phase เป็น C18</t>
        </is>
      </c>
      <c r="G77" s="45" t="inlineStr">
        <is>
          <t>Tailing factor ใช้ดูความสมมาตรของกราฟ</t>
        </is>
      </c>
      <c r="H77" s="45" t="inlineStr">
        <is>
          <t>Column efficiency สามารถวัดได้โดย retention time กับ width length</t>
        </is>
      </c>
      <c r="I77" s="46" t="n">
        <v>1</v>
      </c>
      <c r="J77" s="45" t="inlineStr">
        <is>
          <t>✅ คำตอบที่ถูกต้อง: ข้อ ก. เป็น normal phase
💡 Background:
คำถามข้อสอบจริงใบประกอบวิชาชีพ PLE-CC 1 (Product) ปี 2561 ข้อ 107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7" s="46" t="n"/>
      <c r="L77" s="45" t="inlineStr">
        <is>
          <t>Chromatographic Analysis</t>
        </is>
      </c>
      <c r="M77" s="46" t="inlineStr">
        <is>
          <t>Product</t>
        </is>
      </c>
      <c r="N77" s="45" t="inlineStr">
        <is>
          <t>ข้อสอบจริง Product ปี 2561 ข้อ 107</t>
        </is>
      </c>
      <c r="O77" s="46" t="inlineStr">
        <is>
          <t>ข้อสอบจริง</t>
        </is>
      </c>
      <c r="P77" s="46" t="inlineStr">
        <is>
          <t>ปี 2561</t>
        </is>
      </c>
    </row>
    <row r="78" ht="13.2" customHeight="1" s="37">
      <c r="A78" s="46" t="n">
        <v>76</v>
      </c>
      <c r="B78" s="45" t="inlineStr">
        <is>
          <t>(คำถามประยุกต์เนื่องจากไม่มีรูปภาพ Monograph ต้นฉบับ) โดยทั่วไปในข้อกำหนดวิเคราะห์มาตรฐาน (Monograph) ของเภสัชตำรับสากล เช่น USP การทดสอบเพื่อพิสูจน์เอกลักษณ์ (Identification) ของวัตถุดิบตัวยาสำคัญ นิยมระบุให้ใช้วิธีการใดร่วมกันเพื่อให้มีความจำเพาะเจาะจงสูงสุด (High specificity)?</t>
        </is>
      </c>
      <c r="C78" s="46" t="n"/>
      <c r="D78" s="45" t="inlineStr">
        <is>
          <t>HPLC (High-Performance Liquid Chromatography) และ UV-Vis Spectrophotometry</t>
        </is>
      </c>
      <c r="E78" s="45" t="inlineStr">
        <is>
          <t>HPLC และ TLC (Thin-Layer Chromatography)</t>
        </is>
      </c>
      <c r="F78" s="45" t="inlineStr">
        <is>
          <t>TLC และ GC (Gas Chromatography)</t>
        </is>
      </c>
      <c r="G78" s="45" t="inlineStr">
        <is>
          <t>GC และ MS (Mass Spectrometry)</t>
        </is>
      </c>
      <c r="H78" s="45" t="inlineStr">
        <is>
          <t>Chromatographic retention time (เช่น HPLC/TLC) และ IR (Infrared Spectroscopy)</t>
        </is>
      </c>
      <c r="I78" s="46" t="n">
        <v>1</v>
      </c>
      <c r="J78" s="45" t="inlineStr">
        <is>
          <t>✅ คำตอบที่ถูกต้อง: ข้อ ก. HPLC (High-Performance Liquid Chromatography) และ UV-Vis Spectrophotometry
💡 Background:
คำถามข้อสอบจริงใบประกอบวิชาชีพ PLE-CC 1 (Product) ปี 2558 ข้อ 39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8" s="46" t="n"/>
      <c r="L78" s="45" t="inlineStr">
        <is>
          <t>Chromatographic Analysis</t>
        </is>
      </c>
      <c r="M78" s="46" t="inlineStr">
        <is>
          <t>Product</t>
        </is>
      </c>
      <c r="N78" s="45" t="inlineStr">
        <is>
          <t>ข้อสอบจริง Product ปี 2558 ข้อ 39</t>
        </is>
      </c>
      <c r="O78" s="46" t="inlineStr">
        <is>
          <t>ข้อสอบจริง</t>
        </is>
      </c>
      <c r="P78" s="46" t="inlineStr">
        <is>
          <t>ปี 2558</t>
        </is>
      </c>
    </row>
    <row r="79" ht="13.2" customHeight="1" s="37">
      <c r="B79" s="23" t="n"/>
    </row>
    <row r="80" ht="13.2" customHeight="1" s="37">
      <c r="B80" s="23" t="n"/>
    </row>
    <row r="81" ht="13.2" customHeight="1" s="37">
      <c r="B81" s="23" t="n"/>
    </row>
    <row r="82" ht="13.2" customHeight="1" s="37">
      <c r="B82" s="23" t="n"/>
    </row>
    <row r="83" ht="13.2" customHeight="1" s="37">
      <c r="B83" s="23" t="n"/>
    </row>
    <row r="84" ht="13.2" customHeight="1" s="37">
      <c r="B84" s="23" t="n"/>
    </row>
    <row r="85" ht="13.2" customHeight="1" s="37">
      <c r="B85" s="23" t="n"/>
    </row>
    <row r="86" ht="13.2" customHeight="1" s="37">
      <c r="B86" s="23" t="n"/>
    </row>
    <row r="87" ht="13.2" customHeight="1" s="37">
      <c r="B87" s="23" t="n"/>
    </row>
    <row r="88" ht="13.2" customHeight="1" s="37">
      <c r="B88" s="23" t="n"/>
    </row>
    <row r="89" ht="13.2" customHeight="1" s="37">
      <c r="B89" s="23" t="n"/>
    </row>
    <row r="90" ht="13.2" customHeight="1" s="37">
      <c r="B90" s="23" t="n"/>
    </row>
    <row r="91" ht="13.2" customHeight="1" s="37">
      <c r="B91" s="23" t="n"/>
    </row>
    <row r="92" ht="13.2" customHeight="1" s="37">
      <c r="B92" s="23" t="n"/>
    </row>
    <row r="93" ht="13.2" customHeight="1" s="37">
      <c r="B93" s="23" t="n"/>
    </row>
    <row r="94" ht="13.2" customHeight="1" s="37">
      <c r="B94" s="23" t="n"/>
    </row>
    <row r="95" ht="13.2" customHeight="1" s="37">
      <c r="B95" s="23" t="n"/>
    </row>
    <row r="96" ht="13.2" customHeight="1" s="37">
      <c r="B96" s="23" t="n"/>
    </row>
    <row r="97" ht="13.2" customHeight="1" s="37">
      <c r="B97" s="23" t="n"/>
    </row>
    <row r="98" ht="13.2" customHeight="1" s="37">
      <c r="B98" s="23" t="n"/>
    </row>
    <row r="99" ht="13.2" customHeight="1" s="37">
      <c r="B99" s="23" t="n"/>
    </row>
    <row r="100" ht="13.2" customHeight="1" s="37">
      <c r="B100" s="23" t="n"/>
    </row>
    <row r="101" ht="13.2" customHeight="1" s="37">
      <c r="B101" s="23" t="n"/>
    </row>
    <row r="102" ht="13.2" customHeight="1" s="37">
      <c r="B102" s="23" t="n"/>
    </row>
    <row r="103" ht="13.2" customHeight="1" s="37">
      <c r="B103" s="23" t="n"/>
    </row>
    <row r="104" ht="13.2" customHeight="1" s="37">
      <c r="B104" s="23" t="n"/>
    </row>
    <row r="105" ht="13.2" customHeight="1" s="37">
      <c r="B105" s="23" t="n"/>
    </row>
    <row r="106" ht="13.2" customHeight="1" s="37">
      <c r="B106" s="23" t="n"/>
    </row>
    <row r="107" ht="13.2" customHeight="1" s="37">
      <c r="B107" s="23" t="n"/>
    </row>
    <row r="108" ht="13.2" customHeight="1" s="37">
      <c r="B108" s="23" t="n"/>
    </row>
    <row r="109" ht="13.2" customHeight="1" s="37">
      <c r="B109" s="23" t="n"/>
    </row>
    <row r="110" ht="13.2" customHeight="1" s="37">
      <c r="B110" s="23" t="n"/>
    </row>
    <row r="111" ht="13.2" customHeight="1" s="37">
      <c r="B111" s="23" t="n"/>
    </row>
    <row r="112" ht="13.2" customHeight="1" s="37">
      <c r="B112" s="23" t="n"/>
    </row>
    <row r="113" ht="13.2" customHeight="1" s="37">
      <c r="B113" s="23" t="n"/>
    </row>
    <row r="114" ht="13.2" customHeight="1" s="37">
      <c r="B114" s="23" t="n"/>
    </row>
    <row r="115" ht="13.2" customHeight="1" s="37">
      <c r="B115" s="23" t="n"/>
    </row>
    <row r="116" ht="13.2" customHeight="1" s="37">
      <c r="B116" s="23" t="n"/>
    </row>
    <row r="117" ht="13.2" customHeight="1" s="37">
      <c r="B117" s="23" t="n"/>
    </row>
    <row r="118" ht="13.2" customHeight="1" s="37">
      <c r="B118" s="23" t="n"/>
    </row>
    <row r="119" ht="13.2" customHeight="1" s="37">
      <c r="B119" s="23" t="n"/>
    </row>
    <row r="120" ht="13.2" customHeight="1" s="37">
      <c r="B120" s="23" t="n"/>
    </row>
    <row r="121" ht="13.2" customHeight="1" s="37">
      <c r="B121" s="23" t="n"/>
    </row>
    <row r="122" ht="13.2" customHeight="1" s="37">
      <c r="B122" s="23" t="n"/>
    </row>
    <row r="123" ht="13.2" customHeight="1" s="37">
      <c r="B123" s="23" t="n"/>
    </row>
    <row r="124" ht="13.2" customHeight="1" s="37">
      <c r="B124" s="23" t="n"/>
    </row>
    <row r="125" ht="13.2" customHeight="1" s="37">
      <c r="B125" s="23" t="n"/>
    </row>
    <row r="126" ht="13.2" customHeight="1" s="37">
      <c r="B126" s="23" t="n"/>
    </row>
    <row r="127" ht="13.2" customHeight="1" s="37">
      <c r="B127" s="23" t="n"/>
    </row>
    <row r="128" ht="13.2" customHeight="1" s="37">
      <c r="B128" s="23" t="n"/>
    </row>
    <row r="129" ht="13.2" customHeight="1" s="37">
      <c r="B129" s="23" t="n"/>
    </row>
    <row r="130" ht="13.2" customHeight="1" s="37">
      <c r="B130" s="23" t="n"/>
    </row>
    <row r="131" ht="13.2" customHeight="1" s="37">
      <c r="B131" s="23" t="n"/>
    </row>
    <row r="132" ht="13.2" customHeight="1" s="37">
      <c r="B132" s="23" t="n"/>
    </row>
    <row r="133" ht="13.2" customHeight="1" s="37">
      <c r="B133" s="23" t="n"/>
    </row>
    <row r="134" ht="13.2" customHeight="1" s="37">
      <c r="B134" s="23" t="n"/>
    </row>
    <row r="135" ht="13.2" customHeight="1" s="37">
      <c r="B135" s="23" t="n"/>
    </row>
    <row r="136" ht="13.2" customHeight="1" s="37">
      <c r="B136" s="23" t="n"/>
    </row>
    <row r="137" ht="13.2" customHeight="1" s="37">
      <c r="B137" s="23" t="n"/>
    </row>
    <row r="138" ht="13.2" customHeight="1" s="37">
      <c r="B138" s="23" t="n"/>
    </row>
    <row r="139" ht="13.2" customHeight="1" s="37">
      <c r="B139" s="23" t="n"/>
    </row>
    <row r="140" ht="13.2" customHeight="1" s="37">
      <c r="B140" s="23" t="n"/>
    </row>
    <row r="141" ht="13.2" customHeight="1" s="37">
      <c r="B141" s="23" t="n"/>
    </row>
    <row r="142" ht="13.2" customHeight="1" s="37">
      <c r="B142" s="23" t="n"/>
    </row>
    <row r="143" ht="13.2" customHeight="1" s="37">
      <c r="B143" s="23" t="n"/>
    </row>
    <row r="144" ht="13.2" customHeight="1" s="37">
      <c r="B144" s="23" t="n"/>
    </row>
    <row r="145" ht="13.2" customHeight="1" s="37">
      <c r="B145" s="23" t="n"/>
    </row>
    <row r="146" ht="13.2" customHeight="1" s="37">
      <c r="B146" s="23" t="n"/>
    </row>
    <row r="147" ht="13.2" customHeight="1" s="37">
      <c r="B147" s="23" t="n"/>
    </row>
    <row r="148" ht="13.2" customHeight="1" s="37">
      <c r="B148" s="23" t="n"/>
    </row>
    <row r="149" ht="13.2" customHeight="1" s="37">
      <c r="B149" s="23" t="n"/>
    </row>
    <row r="150" ht="13.2" customHeight="1" s="37">
      <c r="B150" s="23" t="n"/>
    </row>
    <row r="151" ht="13.2" customHeight="1" s="37">
      <c r="B151" s="23" t="n"/>
    </row>
    <row r="152" ht="13.2" customHeight="1" s="37">
      <c r="B152" s="23" t="n"/>
    </row>
    <row r="153" ht="13.2" customHeight="1" s="37">
      <c r="B153" s="23" t="n"/>
    </row>
    <row r="154" ht="13.2" customHeight="1" s="37">
      <c r="B154" s="23" t="n"/>
    </row>
    <row r="155" ht="13.2" customHeight="1" s="37">
      <c r="B155" s="23" t="n"/>
    </row>
    <row r="156" ht="13.2" customHeight="1" s="37">
      <c r="B156" s="23" t="n"/>
    </row>
    <row r="157" ht="13.2" customHeight="1" s="37">
      <c r="B157" s="23" t="n"/>
    </row>
    <row r="158" ht="13.2" customHeight="1" s="37">
      <c r="B158" s="23" t="n"/>
    </row>
    <row r="159" ht="13.2" customHeight="1" s="37">
      <c r="B159" s="23" t="n"/>
    </row>
    <row r="160" ht="13.2" customHeight="1" s="37">
      <c r="B160" s="23" t="n"/>
    </row>
    <row r="161" ht="13.2" customHeight="1" s="37">
      <c r="B161" s="23" t="n"/>
    </row>
    <row r="162" ht="13.2" customHeight="1" s="37">
      <c r="B162" s="23" t="n"/>
    </row>
    <row r="163" ht="13.2" customHeight="1" s="37">
      <c r="B163" s="23" t="n"/>
    </row>
    <row r="164" ht="13.2" customHeight="1" s="37">
      <c r="B164" s="23" t="n"/>
    </row>
    <row r="165" ht="13.2" customHeight="1" s="37">
      <c r="B165" s="23" t="n"/>
    </row>
    <row r="166" ht="13.2" customHeight="1" s="37">
      <c r="B166" s="23" t="n"/>
    </row>
    <row r="167" ht="13.2" customHeight="1" s="37">
      <c r="B167" s="23" t="n"/>
    </row>
    <row r="168" ht="13.2" customHeight="1" s="37">
      <c r="B168" s="23" t="n"/>
    </row>
    <row r="169" ht="13.2" customHeight="1" s="37">
      <c r="B169" s="23" t="n"/>
    </row>
    <row r="170" ht="13.2" customHeight="1" s="37">
      <c r="B170" s="23" t="n"/>
    </row>
    <row r="171" ht="13.2" customHeight="1" s="37">
      <c r="B171" s="23" t="n"/>
    </row>
    <row r="172" ht="13.2" customHeight="1" s="37">
      <c r="B172" s="23" t="n"/>
    </row>
    <row r="173" ht="13.2" customHeight="1" s="37">
      <c r="B173" s="23" t="n"/>
    </row>
    <row r="174" ht="13.2" customHeight="1" s="37">
      <c r="B174" s="23" t="n"/>
    </row>
    <row r="175" ht="13.2" customHeight="1" s="37">
      <c r="B175" s="23" t="n"/>
    </row>
    <row r="176" ht="13.2" customHeight="1" s="37">
      <c r="B176" s="23" t="n"/>
    </row>
    <row r="177" ht="13.2" customHeight="1" s="37">
      <c r="B177" s="23" t="n"/>
    </row>
    <row r="178" ht="13.2" customHeight="1" s="37">
      <c r="B178" s="23" t="n"/>
    </row>
    <row r="179" ht="13.2" customHeight="1" s="37">
      <c r="B179" s="23" t="n"/>
    </row>
    <row r="180" ht="13.2" customHeight="1" s="37">
      <c r="B180" s="23" t="n"/>
    </row>
    <row r="181" ht="13.2" customHeight="1" s="37">
      <c r="B181" s="23" t="n"/>
    </row>
    <row r="182" ht="13.2" customHeight="1" s="37">
      <c r="B182" s="23" t="n"/>
    </row>
    <row r="183" ht="13.2" customHeight="1" s="37">
      <c r="B183" s="23" t="n"/>
    </row>
    <row r="184" ht="13.2" customHeight="1" s="37">
      <c r="B184" s="23" t="n"/>
    </row>
    <row r="185" ht="13.2" customHeight="1" s="37">
      <c r="B185" s="23" t="n"/>
    </row>
    <row r="186" ht="13.2" customHeight="1" s="37">
      <c r="B186" s="23" t="n"/>
    </row>
    <row r="187" ht="13.2" customHeight="1" s="37">
      <c r="B187" s="23" t="n"/>
    </row>
    <row r="188" ht="13.2" customHeight="1" s="37">
      <c r="B188" s="23" t="n"/>
    </row>
    <row r="189" ht="13.2" customHeight="1" s="37">
      <c r="B189" s="23" t="n"/>
    </row>
    <row r="190" ht="13.2" customHeight="1" s="37">
      <c r="B190" s="23" t="n"/>
    </row>
    <row r="191" ht="13.2" customHeight="1" s="37">
      <c r="B191" s="23" t="n"/>
    </row>
    <row r="192" ht="13.2" customHeight="1" s="37">
      <c r="B192" s="23" t="n"/>
    </row>
    <row r="193" ht="13.2" customHeight="1" s="37">
      <c r="B193" s="23" t="n"/>
    </row>
    <row r="194" ht="13.2" customHeight="1" s="37">
      <c r="B194" s="23" t="n"/>
    </row>
    <row r="195" ht="13.2" customHeight="1" s="37">
      <c r="B195" s="23" t="n"/>
    </row>
    <row r="196" ht="13.2" customHeight="1" s="37">
      <c r="B196" s="23" t="n"/>
    </row>
    <row r="197" ht="13.2" customHeight="1" s="37">
      <c r="B197" s="23" t="n"/>
    </row>
    <row r="198" ht="13.2" customHeight="1" s="37">
      <c r="B198" s="23" t="n"/>
    </row>
    <row r="199" ht="13.2" customHeight="1" s="37">
      <c r="B199" s="23" t="n"/>
    </row>
    <row r="200" ht="13.2" customHeight="1" s="37">
      <c r="B200" s="23" t="n"/>
    </row>
    <row r="201" ht="13.2" customHeight="1" s="37">
      <c r="B201" s="23" t="n"/>
    </row>
    <row r="202" ht="13.2" customHeight="1" s="37">
      <c r="B202" s="23" t="n"/>
    </row>
    <row r="203" ht="13.2" customHeight="1" s="37">
      <c r="B203" s="23" t="n"/>
    </row>
    <row r="204" ht="13.2" customHeight="1" s="37">
      <c r="B204" s="23" t="n"/>
    </row>
    <row r="205" ht="13.2" customHeight="1" s="37">
      <c r="B205" s="23" t="n"/>
    </row>
    <row r="206" ht="13.2" customHeight="1" s="37">
      <c r="B206" s="23" t="n"/>
    </row>
    <row r="207" ht="13.2" customHeight="1" s="37">
      <c r="B207" s="23" t="n"/>
    </row>
    <row r="208" ht="13.2" customHeight="1" s="37">
      <c r="B208" s="23" t="n"/>
    </row>
    <row r="209" ht="13.2" customHeight="1" s="37">
      <c r="B209" s="23" t="n"/>
    </row>
    <row r="210" ht="13.2" customHeight="1" s="37">
      <c r="B210" s="23" t="n"/>
    </row>
    <row r="211" ht="13.2" customHeight="1" s="37">
      <c r="B211" s="23" t="n"/>
    </row>
    <row r="212" ht="13.2" customHeight="1" s="37">
      <c r="B212" s="23" t="n"/>
    </row>
    <row r="213" ht="13.2" customHeight="1" s="37">
      <c r="B213" s="23" t="n"/>
    </row>
    <row r="214" ht="13.2" customHeight="1" s="37">
      <c r="B214" s="23" t="n"/>
    </row>
    <row r="215" ht="13.2" customHeight="1" s="37">
      <c r="B215" s="23" t="n"/>
    </row>
    <row r="216" ht="13.2" customHeight="1" s="37">
      <c r="B216" s="23" t="n"/>
    </row>
    <row r="217" ht="13.2" customHeight="1" s="37">
      <c r="B217" s="23" t="n"/>
    </row>
    <row r="218" ht="13.2" customHeight="1" s="37">
      <c r="B218" s="23" t="n"/>
    </row>
    <row r="219" ht="13.2" customHeight="1" s="37">
      <c r="B219" s="23" t="n"/>
    </row>
    <row r="220" ht="13.2" customHeight="1" s="37">
      <c r="B220" s="23" t="n"/>
    </row>
    <row r="221" ht="13.2" customHeight="1" s="37">
      <c r="B221" s="23" t="n"/>
    </row>
    <row r="222" ht="13.2" customHeight="1" s="37">
      <c r="B222" s="23" t="n"/>
    </row>
    <row r="223" ht="13.2" customHeight="1" s="37">
      <c r="B223" s="23" t="n"/>
    </row>
    <row r="224" ht="13.2" customHeight="1" s="37">
      <c r="B224" s="23" t="n"/>
    </row>
    <row r="225" ht="13.2" customHeight="1" s="37">
      <c r="B225" s="23" t="n"/>
    </row>
    <row r="226" ht="13.2" customHeight="1" s="37">
      <c r="B226" s="23" t="n"/>
    </row>
    <row r="227" ht="13.2" customHeight="1" s="37">
      <c r="B227" s="23" t="n"/>
    </row>
    <row r="228" ht="13.2" customHeight="1" s="37">
      <c r="B228" s="23" t="n"/>
    </row>
    <row r="229" ht="13.2" customHeight="1" s="37">
      <c r="B229" s="23" t="n"/>
    </row>
    <row r="230" ht="13.2" customHeight="1" s="37">
      <c r="B230" s="23" t="n"/>
    </row>
    <row r="231" ht="13.2" customHeight="1" s="37">
      <c r="B231" s="23" t="n"/>
    </row>
    <row r="232" ht="13.2" customHeight="1" s="37">
      <c r="B232" s="23" t="n"/>
    </row>
    <row r="233" ht="13.2" customHeight="1" s="37">
      <c r="B233" s="23" t="n"/>
    </row>
    <row r="234" ht="13.2" customHeight="1" s="37">
      <c r="B234" s="23" t="n"/>
    </row>
    <row r="235" ht="13.2" customHeight="1" s="37">
      <c r="B235" s="23" t="n"/>
    </row>
    <row r="236" ht="13.2" customHeight="1" s="37">
      <c r="B236" s="23" t="n"/>
    </row>
    <row r="237" ht="13.2" customHeight="1" s="37">
      <c r="B237" s="23" t="n"/>
    </row>
    <row r="238" ht="13.2" customHeight="1" s="37">
      <c r="B238" s="23" t="n"/>
    </row>
    <row r="239" ht="13.2" customHeight="1" s="37">
      <c r="B239" s="23" t="n"/>
    </row>
    <row r="240" ht="13.2" customHeight="1" s="37">
      <c r="B240" s="23" t="n"/>
    </row>
    <row r="241" ht="13.2" customHeight="1" s="37">
      <c r="B241" s="23" t="n"/>
    </row>
    <row r="242" ht="13.2" customHeight="1" s="37">
      <c r="B242" s="23" t="n"/>
    </row>
    <row r="243" ht="13.2" customHeight="1" s="37">
      <c r="B243" s="23" t="n"/>
    </row>
    <row r="244" ht="13.2" customHeight="1" s="37">
      <c r="B244" s="23" t="n"/>
    </row>
    <row r="245" ht="13.2" customHeight="1" s="37">
      <c r="B245" s="23" t="n"/>
    </row>
    <row r="246" ht="13.2" customHeight="1" s="37">
      <c r="B246" s="23" t="n"/>
    </row>
    <row r="247" ht="13.2" customHeight="1" s="37">
      <c r="B247" s="23" t="n"/>
    </row>
    <row r="248" ht="13.2" customHeight="1" s="37">
      <c r="B248" s="23" t="n"/>
    </row>
    <row r="249" ht="13.2" customHeight="1" s="37">
      <c r="B249" s="23" t="n"/>
    </row>
    <row r="250" ht="13.2" customHeight="1" s="37">
      <c r="B250" s="23" t="n"/>
    </row>
    <row r="251" ht="13.2" customHeight="1" s="37">
      <c r="B251" s="23" t="n"/>
    </row>
    <row r="252" ht="13.2" customHeight="1" s="37">
      <c r="B252" s="23" t="n"/>
    </row>
    <row r="253" ht="13.2" customHeight="1" s="37">
      <c r="B253" s="23" t="n"/>
    </row>
    <row r="254" ht="13.2" customHeight="1" s="37">
      <c r="B254" s="23" t="n"/>
    </row>
    <row r="255" ht="13.2" customHeight="1" s="37">
      <c r="B255" s="23" t="n"/>
    </row>
    <row r="256" ht="13.2" customHeight="1" s="37">
      <c r="B256" s="23" t="n"/>
    </row>
    <row r="257" ht="13.2" customHeight="1" s="37">
      <c r="B257" s="23" t="n"/>
    </row>
    <row r="258" ht="13.2" customHeight="1" s="37">
      <c r="B258" s="23" t="n"/>
    </row>
    <row r="259" ht="13.2" customHeight="1" s="37">
      <c r="B259" s="23" t="n"/>
    </row>
    <row r="260" ht="13.2" customHeight="1" s="37">
      <c r="B260" s="23" t="n"/>
    </row>
    <row r="261" ht="13.2" customHeight="1" s="37">
      <c r="B261" s="23" t="n"/>
    </row>
    <row r="262" ht="13.2" customHeight="1" s="37">
      <c r="B262" s="23" t="n"/>
    </row>
    <row r="263" ht="13.2" customHeight="1" s="37">
      <c r="B263" s="23" t="n"/>
    </row>
    <row r="264" ht="13.2" customHeight="1" s="37">
      <c r="B264" s="23" t="n"/>
    </row>
    <row r="265" ht="13.2" customHeight="1" s="37">
      <c r="B265" s="23" t="n"/>
    </row>
    <row r="266" ht="13.2" customHeight="1" s="37">
      <c r="B266" s="23" t="n"/>
    </row>
    <row r="267" ht="13.2" customHeight="1" s="37">
      <c r="B267" s="23" t="n"/>
    </row>
    <row r="268" ht="13.2" customHeight="1" s="37">
      <c r="B268" s="23" t="n"/>
    </row>
    <row r="269" ht="13.2" customHeight="1" s="37">
      <c r="B269" s="23" t="n"/>
    </row>
    <row r="270" ht="13.2" customHeight="1" s="37">
      <c r="B270" s="23" t="n"/>
    </row>
    <row r="271" ht="13.2" customHeight="1" s="37">
      <c r="B271" s="23" t="n"/>
    </row>
    <row r="272" ht="13.2" customHeight="1" s="37">
      <c r="B272" s="23" t="n"/>
    </row>
    <row r="273" ht="13.2" customHeight="1" s="37">
      <c r="B273" s="23" t="n"/>
    </row>
    <row r="274" ht="13.2" customHeight="1" s="37">
      <c r="B274" s="23" t="n"/>
    </row>
    <row r="275" ht="13.2" customHeight="1" s="37">
      <c r="B275" s="23" t="n"/>
    </row>
    <row r="276" ht="13.2" customHeight="1" s="37">
      <c r="B276" s="23" t="n"/>
    </row>
    <row r="277" ht="13.2" customHeight="1" s="37">
      <c r="B277" s="23" t="n"/>
    </row>
    <row r="278" ht="13.2" customHeight="1" s="37">
      <c r="B278" s="23" t="n"/>
    </row>
    <row r="279" ht="13.2" customHeight="1" s="37">
      <c r="B279" s="23" t="n"/>
    </row>
    <row r="280" ht="13.2" customHeight="1" s="37">
      <c r="B280" s="23" t="n"/>
    </row>
    <row r="281" ht="13.2" customHeight="1" s="37">
      <c r="B281" s="23" t="n"/>
    </row>
    <row r="282" ht="13.2" customHeight="1" s="37">
      <c r="B282" s="23" t="n"/>
    </row>
    <row r="283" ht="13.2" customHeight="1" s="37">
      <c r="B283" s="23" t="n"/>
    </row>
    <row r="284" ht="13.2" customHeight="1" s="37">
      <c r="B284" s="23" t="n"/>
    </row>
    <row r="285" ht="13.2" customHeight="1" s="37">
      <c r="B285" s="23" t="n"/>
    </row>
    <row r="286" ht="13.2" customHeight="1" s="37">
      <c r="B286" s="23" t="n"/>
    </row>
    <row r="287" ht="13.2" customHeight="1" s="37">
      <c r="B287" s="23" t="n"/>
    </row>
    <row r="288" ht="13.2" customHeight="1" s="37">
      <c r="B288" s="23" t="n"/>
    </row>
    <row r="289" ht="13.2" customHeight="1" s="37">
      <c r="B289" s="23" t="n"/>
    </row>
    <row r="290" ht="13.2" customHeight="1" s="37">
      <c r="B290" s="23" t="n"/>
    </row>
    <row r="291" ht="13.2" customHeight="1" s="37">
      <c r="B291" s="23" t="n"/>
    </row>
    <row r="292" ht="13.2" customHeight="1" s="37">
      <c r="B292" s="23" t="n"/>
    </row>
    <row r="293" ht="13.2" customHeight="1" s="37">
      <c r="B293" s="23" t="n"/>
    </row>
    <row r="294" ht="13.2" customHeight="1" s="37">
      <c r="B294" s="23" t="n"/>
    </row>
    <row r="295" ht="13.2" customHeight="1" s="37">
      <c r="B295" s="23" t="n"/>
    </row>
    <row r="296" ht="13.2" customHeight="1" s="37">
      <c r="B296" s="23" t="n"/>
    </row>
    <row r="297" ht="13.2" customHeight="1" s="37">
      <c r="B297" s="23" t="n"/>
    </row>
    <row r="298" ht="13.2" customHeight="1" s="37">
      <c r="B298" s="23" t="n"/>
    </row>
    <row r="299" ht="13.2" customHeight="1" s="37">
      <c r="B299" s="23" t="n"/>
    </row>
    <row r="300" ht="13.2" customHeight="1" s="37">
      <c r="B300" s="23" t="n"/>
    </row>
    <row r="301" ht="13.2" customHeight="1" s="37">
      <c r="B301" s="23" t="n"/>
    </row>
    <row r="302" ht="13.2" customHeight="1" s="37">
      <c r="B302" s="23" t="n"/>
    </row>
    <row r="303" ht="13.2" customHeight="1" s="37">
      <c r="B303" s="23" t="n"/>
    </row>
    <row r="304" ht="13.2" customHeight="1" s="37">
      <c r="B304" s="23" t="n"/>
    </row>
    <row r="305" ht="13.2" customHeight="1" s="37">
      <c r="B305" s="23" t="n"/>
    </row>
    <row r="306" ht="13.2" customHeight="1" s="37">
      <c r="B306" s="23" t="n"/>
    </row>
    <row r="307" ht="13.2" customHeight="1" s="37">
      <c r="B307" s="23" t="n"/>
    </row>
    <row r="308" ht="13.2" customHeight="1" s="37">
      <c r="B308" s="23" t="n"/>
    </row>
    <row r="309" ht="13.2" customHeight="1" s="37">
      <c r="B309" s="23" t="n"/>
    </row>
    <row r="310" ht="13.2" customHeight="1" s="37">
      <c r="B310" s="23" t="n"/>
    </row>
    <row r="311" ht="13.2" customHeight="1" s="37">
      <c r="B311" s="23" t="n"/>
    </row>
    <row r="312" ht="13.2" customHeight="1" s="37">
      <c r="B312" s="23" t="n"/>
    </row>
    <row r="313" ht="13.2" customHeight="1" s="37">
      <c r="B313" s="23" t="n"/>
    </row>
    <row r="314" ht="13.2" customHeight="1" s="37">
      <c r="B314" s="23" t="n"/>
    </row>
    <row r="315" ht="13.2" customHeight="1" s="37">
      <c r="B315" s="23" t="n"/>
    </row>
    <row r="316" ht="13.2" customHeight="1" s="37">
      <c r="B316" s="23" t="n"/>
    </row>
    <row r="317" ht="13.2" customHeight="1" s="37">
      <c r="B317" s="23" t="n"/>
    </row>
    <row r="318" ht="13.2" customHeight="1" s="37">
      <c r="B318" s="23" t="n"/>
    </row>
    <row r="319" ht="13.2" customHeight="1" s="37">
      <c r="B319" s="23" t="n"/>
    </row>
    <row r="320" ht="13.2" customHeight="1" s="37">
      <c r="B320" s="23" t="n"/>
    </row>
    <row r="321" ht="13.2" customHeight="1" s="37">
      <c r="B321" s="23" t="n"/>
    </row>
    <row r="322" ht="13.2" customHeight="1" s="37">
      <c r="B322" s="23" t="n"/>
    </row>
    <row r="323" ht="13.2" customHeight="1" s="37">
      <c r="B323" s="23" t="n"/>
    </row>
    <row r="324" ht="13.2" customHeight="1" s="37">
      <c r="B324" s="23" t="n"/>
    </row>
    <row r="325" ht="13.2" customHeight="1" s="37">
      <c r="B325" s="23" t="n"/>
    </row>
    <row r="326" ht="13.2" customHeight="1" s="37">
      <c r="B326" s="23" t="n"/>
    </row>
    <row r="327" ht="13.2" customHeight="1" s="37">
      <c r="B327" s="23" t="n"/>
    </row>
    <row r="328" ht="13.2" customHeight="1" s="37">
      <c r="B328" s="23" t="n"/>
    </row>
    <row r="329" ht="13.2" customHeight="1" s="37">
      <c r="B329" s="23" t="n"/>
    </row>
    <row r="330" ht="13.2" customHeight="1" s="37">
      <c r="B330" s="23" t="n"/>
    </row>
    <row r="331" ht="13.2" customHeight="1" s="37">
      <c r="B331" s="23" t="n"/>
    </row>
    <row r="332" ht="13.2" customHeight="1" s="37">
      <c r="B332" s="23" t="n"/>
    </row>
    <row r="333" ht="13.2" customHeight="1" s="37">
      <c r="B333" s="23" t="n"/>
    </row>
    <row r="334" ht="13.2" customHeight="1" s="37">
      <c r="B334" s="23" t="n"/>
    </row>
    <row r="335" ht="13.2" customHeight="1" s="37">
      <c r="B335" s="23" t="n"/>
    </row>
    <row r="336" ht="13.2" customHeight="1" s="37">
      <c r="B336" s="23" t="n"/>
    </row>
    <row r="337" ht="13.2" customHeight="1" s="37">
      <c r="B337" s="23" t="n"/>
    </row>
    <row r="338" ht="13.2" customHeight="1" s="37">
      <c r="B338" s="23" t="n"/>
    </row>
    <row r="339" ht="13.2" customHeight="1" s="37">
      <c r="B339" s="23" t="n"/>
    </row>
    <row r="340" ht="13.2" customHeight="1" s="37">
      <c r="B340" s="23" t="n"/>
    </row>
    <row r="341" ht="13.2" customHeight="1" s="37">
      <c r="B341" s="23" t="n"/>
    </row>
    <row r="342" ht="13.2" customHeight="1" s="37">
      <c r="B342" s="23" t="n"/>
    </row>
    <row r="343" ht="13.2" customHeight="1" s="37">
      <c r="B343" s="23" t="n"/>
    </row>
    <row r="344" ht="13.2" customHeight="1" s="37">
      <c r="B344" s="23" t="n"/>
    </row>
    <row r="345" ht="13.2" customHeight="1" s="37">
      <c r="B345" s="23" t="n"/>
    </row>
    <row r="346" ht="13.2" customHeight="1" s="37">
      <c r="B346" s="23" t="n"/>
    </row>
    <row r="347" ht="13.2" customHeight="1" s="37">
      <c r="B347" s="23" t="n"/>
    </row>
    <row r="348" ht="13.2" customHeight="1" s="37">
      <c r="B348" s="23" t="n"/>
    </row>
    <row r="349" ht="13.2" customHeight="1" s="37">
      <c r="B349" s="23" t="n"/>
    </row>
    <row r="350" ht="13.2" customHeight="1" s="37">
      <c r="B350" s="23" t="n"/>
    </row>
    <row r="351" ht="13.2" customHeight="1" s="37">
      <c r="B351" s="23" t="n"/>
    </row>
    <row r="352" ht="13.2" customHeight="1" s="37">
      <c r="B352" s="23" t="n"/>
    </row>
    <row r="353" ht="13.2" customHeight="1" s="37">
      <c r="B353" s="23" t="n"/>
    </row>
    <row r="354" ht="13.2" customHeight="1" s="37">
      <c r="B354" s="23" t="n"/>
    </row>
    <row r="355" ht="13.2" customHeight="1" s="37">
      <c r="B355" s="23" t="n"/>
    </row>
    <row r="356" ht="13.2" customHeight="1" s="37">
      <c r="B356" s="23" t="n"/>
    </row>
    <row r="357" ht="13.2" customHeight="1" s="37">
      <c r="B357" s="23" t="n"/>
    </row>
    <row r="358" ht="13.2" customHeight="1" s="37">
      <c r="B358" s="23" t="n"/>
    </row>
    <row r="359" ht="13.2" customHeight="1" s="37">
      <c r="B359" s="23" t="n"/>
    </row>
    <row r="360" ht="13.2" customHeight="1" s="37">
      <c r="B360" s="23" t="n"/>
    </row>
    <row r="361" ht="13.2" customHeight="1" s="37">
      <c r="B361" s="23" t="n"/>
    </row>
    <row r="362" ht="13.2" customHeight="1" s="37">
      <c r="B362" s="23" t="n"/>
    </row>
    <row r="363" ht="13.2" customHeight="1" s="37">
      <c r="B363" s="23" t="n"/>
    </row>
    <row r="364" ht="13.2" customHeight="1" s="37">
      <c r="B364" s="23" t="n"/>
    </row>
    <row r="365" ht="13.2" customHeight="1" s="37">
      <c r="B365" s="23" t="n"/>
    </row>
    <row r="366" ht="13.2" customHeight="1" s="37">
      <c r="B366" s="23" t="n"/>
    </row>
    <row r="367" ht="13.2" customHeight="1" s="37">
      <c r="B367" s="23" t="n"/>
    </row>
    <row r="368" ht="13.2" customHeight="1" s="37">
      <c r="B368" s="23" t="n"/>
    </row>
    <row r="369" ht="13.2" customHeight="1" s="37">
      <c r="B369" s="23" t="n"/>
    </row>
    <row r="370" ht="13.2" customHeight="1" s="37">
      <c r="B370" s="23" t="n"/>
    </row>
    <row r="371" ht="13.2" customHeight="1" s="37">
      <c r="B371" s="23" t="n"/>
    </row>
    <row r="372" ht="13.2" customHeight="1" s="37">
      <c r="B372" s="23" t="n"/>
    </row>
    <row r="373" ht="13.2" customHeight="1" s="37">
      <c r="B373" s="23" t="n"/>
    </row>
    <row r="374" ht="13.2" customHeight="1" s="37">
      <c r="B374" s="23" t="n"/>
    </row>
    <row r="375" ht="13.2" customHeight="1" s="37">
      <c r="B375" s="23" t="n"/>
    </row>
    <row r="376" ht="13.2" customHeight="1" s="37">
      <c r="B376" s="23" t="n"/>
    </row>
    <row r="377" ht="13.2" customHeight="1" s="37">
      <c r="B377" s="23" t="n"/>
    </row>
    <row r="378" ht="13.2" customHeight="1" s="37">
      <c r="B378" s="23" t="n"/>
    </row>
    <row r="379" ht="13.2" customHeight="1" s="37">
      <c r="B379" s="23" t="n"/>
    </row>
    <row r="380" ht="13.2" customHeight="1" s="37">
      <c r="B380" s="23" t="n"/>
    </row>
    <row r="381" ht="13.2" customHeight="1" s="37">
      <c r="B381" s="23" t="n"/>
    </row>
    <row r="382" ht="13.2" customHeight="1" s="37">
      <c r="B382" s="23" t="n"/>
    </row>
    <row r="383" ht="13.2" customHeight="1" s="37">
      <c r="B383" s="23" t="n"/>
    </row>
    <row r="384" ht="13.2" customHeight="1" s="37">
      <c r="B384" s="23" t="n"/>
    </row>
    <row r="385" ht="13.2" customHeight="1" s="37">
      <c r="B385" s="23" t="n"/>
    </row>
    <row r="386" ht="13.2" customHeight="1" s="37">
      <c r="B386" s="23" t="n"/>
    </row>
    <row r="387" ht="13.2" customHeight="1" s="37">
      <c r="B387" s="23" t="n"/>
    </row>
    <row r="388" ht="13.2" customHeight="1" s="37">
      <c r="B388" s="23" t="n"/>
    </row>
    <row r="389" ht="13.2" customHeight="1" s="37">
      <c r="B389" s="23" t="n"/>
    </row>
    <row r="390" ht="13.2" customHeight="1" s="37">
      <c r="B390" s="23" t="n"/>
    </row>
    <row r="391" ht="13.2" customHeight="1" s="37">
      <c r="B391" s="23" t="n"/>
    </row>
    <row r="392" ht="13.2" customHeight="1" s="37">
      <c r="B392" s="23" t="n"/>
    </row>
    <row r="393" ht="13.2" customHeight="1" s="37">
      <c r="B393" s="23" t="n"/>
    </row>
    <row r="394" ht="13.2" customHeight="1" s="37">
      <c r="B394" s="23" t="n"/>
    </row>
    <row r="395" ht="13.2" customHeight="1" s="37">
      <c r="B395" s="23" t="n"/>
    </row>
    <row r="396" ht="13.2" customHeight="1" s="37">
      <c r="B396" s="23" t="n"/>
    </row>
    <row r="397" ht="13.2" customHeight="1" s="37">
      <c r="B397" s="23" t="n"/>
    </row>
    <row r="398" ht="13.2" customHeight="1" s="37">
      <c r="B398" s="23" t="n"/>
    </row>
    <row r="399" ht="13.2" customHeight="1" s="37">
      <c r="B399" s="23" t="n"/>
    </row>
    <row r="400" ht="13.2" customHeight="1" s="37">
      <c r="B400" s="23" t="n"/>
    </row>
    <row r="401" ht="13.2" customHeight="1" s="37">
      <c r="B401" s="23" t="n"/>
    </row>
    <row r="402" ht="13.2" customHeight="1" s="37">
      <c r="B402" s="23" t="n"/>
    </row>
    <row r="403" ht="13.2" customHeight="1" s="37">
      <c r="B403" s="23" t="n"/>
    </row>
    <row r="404" ht="13.2" customHeight="1" s="37">
      <c r="B404" s="23" t="n"/>
    </row>
    <row r="405" ht="13.2" customHeight="1" s="37">
      <c r="B405" s="23" t="n"/>
    </row>
    <row r="406" ht="13.2" customHeight="1" s="37">
      <c r="B406" s="23" t="n"/>
    </row>
    <row r="407" ht="13.2" customHeight="1" s="37">
      <c r="B407" s="23" t="n"/>
    </row>
    <row r="408" ht="13.2" customHeight="1" s="37">
      <c r="B408" s="23" t="n"/>
    </row>
    <row r="409" ht="13.2" customHeight="1" s="37">
      <c r="B409" s="23" t="n"/>
    </row>
    <row r="410" ht="13.2" customHeight="1" s="37">
      <c r="B410" s="23" t="n"/>
    </row>
    <row r="411" ht="13.2" customHeight="1" s="37">
      <c r="B411" s="23" t="n"/>
    </row>
    <row r="412" ht="13.2" customHeight="1" s="37">
      <c r="B412" s="23" t="n"/>
    </row>
    <row r="413" ht="13.2" customHeight="1" s="37">
      <c r="B413" s="23" t="n"/>
    </row>
    <row r="414" ht="13.2" customHeight="1" s="37">
      <c r="B414" s="23" t="n"/>
    </row>
    <row r="415" ht="13.2" customHeight="1" s="37">
      <c r="B415" s="23" t="n"/>
    </row>
    <row r="416" ht="13.2" customHeight="1" s="37">
      <c r="B416" s="23" t="n"/>
    </row>
    <row r="417" ht="13.2" customHeight="1" s="37">
      <c r="B417" s="23" t="n"/>
    </row>
    <row r="418" ht="13.2" customHeight="1" s="37">
      <c r="B418" s="23" t="n"/>
    </row>
    <row r="419" ht="13.2" customHeight="1" s="37">
      <c r="B419" s="23" t="n"/>
    </row>
    <row r="420" ht="13.2" customHeight="1" s="37">
      <c r="B420" s="23" t="n"/>
    </row>
    <row r="421" ht="13.2" customHeight="1" s="37">
      <c r="B421" s="23" t="n"/>
    </row>
    <row r="422" ht="13.2" customHeight="1" s="37">
      <c r="B422" s="23" t="n"/>
    </row>
    <row r="423" ht="13.2" customHeight="1" s="37">
      <c r="B423" s="23" t="n"/>
    </row>
    <row r="424" ht="13.2" customHeight="1" s="37">
      <c r="B424" s="23" t="n"/>
    </row>
    <row r="425" ht="13.2" customHeight="1" s="37">
      <c r="B425" s="23" t="n"/>
    </row>
    <row r="426" ht="13.2" customHeight="1" s="37">
      <c r="B426" s="23" t="n"/>
    </row>
    <row r="427" ht="13.2" customHeight="1" s="37">
      <c r="B427" s="23" t="n"/>
    </row>
    <row r="428" ht="13.2" customHeight="1" s="37">
      <c r="B428" s="23" t="n"/>
    </row>
    <row r="429" ht="13.2" customHeight="1" s="37">
      <c r="B429" s="23" t="n"/>
    </row>
    <row r="430" ht="13.2" customHeight="1" s="37">
      <c r="B430" s="23" t="n"/>
    </row>
    <row r="431" ht="13.2" customHeight="1" s="37">
      <c r="B431" s="23" t="n"/>
    </row>
    <row r="432" ht="13.2" customHeight="1" s="37">
      <c r="B432" s="23" t="n"/>
    </row>
    <row r="433" ht="13.2" customHeight="1" s="37">
      <c r="B433" s="23" t="n"/>
    </row>
    <row r="434" ht="13.2" customHeight="1" s="37">
      <c r="B434" s="23" t="n"/>
    </row>
    <row r="435" ht="13.2" customHeight="1" s="37">
      <c r="B435" s="23" t="n"/>
    </row>
    <row r="436" ht="13.2" customHeight="1" s="37">
      <c r="B436" s="23" t="n"/>
    </row>
    <row r="437" ht="13.2" customHeight="1" s="37">
      <c r="B437" s="23" t="n"/>
    </row>
    <row r="438" ht="13.2" customHeight="1" s="37">
      <c r="B438" s="23" t="n"/>
    </row>
    <row r="439" ht="13.2" customHeight="1" s="37">
      <c r="B439" s="23" t="n"/>
    </row>
    <row r="440" ht="13.2" customHeight="1" s="37">
      <c r="B440" s="23" t="n"/>
    </row>
    <row r="441" ht="13.2" customHeight="1" s="37">
      <c r="B441" s="23" t="n"/>
    </row>
    <row r="442" ht="13.2" customHeight="1" s="37">
      <c r="B442" s="23" t="n"/>
    </row>
    <row r="443" ht="13.2" customHeight="1" s="37">
      <c r="B443" s="23" t="n"/>
    </row>
    <row r="444" ht="13.2" customHeight="1" s="37">
      <c r="B444" s="23" t="n"/>
    </row>
    <row r="445" ht="13.2" customHeight="1" s="37">
      <c r="B445" s="23" t="n"/>
    </row>
    <row r="446" ht="13.2" customHeight="1" s="37">
      <c r="B446" s="23" t="n"/>
    </row>
    <row r="447" ht="13.2" customHeight="1" s="37">
      <c r="B447" s="23" t="n"/>
    </row>
    <row r="448" ht="13.2" customHeight="1" s="37">
      <c r="B448" s="23" t="n"/>
    </row>
    <row r="449" ht="13.2" customHeight="1" s="37">
      <c r="B449" s="23" t="n"/>
    </row>
    <row r="450" ht="13.2" customHeight="1" s="37">
      <c r="B450" s="23" t="n"/>
    </row>
    <row r="451" ht="13.2" customHeight="1" s="37">
      <c r="B451" s="23" t="n"/>
    </row>
    <row r="452" ht="13.2" customHeight="1" s="37">
      <c r="B452" s="23" t="n"/>
    </row>
    <row r="453" ht="13.2" customHeight="1" s="37">
      <c r="B453" s="23" t="n"/>
    </row>
    <row r="454" ht="13.2" customHeight="1" s="37">
      <c r="B454" s="23" t="n"/>
    </row>
    <row r="455" ht="13.2" customHeight="1" s="37">
      <c r="B455" s="23" t="n"/>
    </row>
    <row r="456" ht="13.2" customHeight="1" s="37">
      <c r="B456" s="23" t="n"/>
    </row>
    <row r="457" ht="13.2" customHeight="1" s="37">
      <c r="B457" s="23" t="n"/>
    </row>
    <row r="458" ht="13.2" customHeight="1" s="37">
      <c r="B458" s="23" t="n"/>
    </row>
    <row r="459" ht="13.2" customHeight="1" s="37">
      <c r="B459" s="23" t="n"/>
    </row>
    <row r="460" ht="13.2" customHeight="1" s="37">
      <c r="B460" s="23" t="n"/>
    </row>
    <row r="461" ht="13.2" customHeight="1" s="37">
      <c r="B461" s="23" t="n"/>
    </row>
    <row r="462" ht="13.2" customHeight="1" s="37">
      <c r="B462" s="23" t="n"/>
    </row>
    <row r="463" ht="13.2" customHeight="1" s="37">
      <c r="B463" s="23" t="n"/>
    </row>
    <row r="464" ht="13.2" customHeight="1" s="37">
      <c r="B464" s="23" t="n"/>
    </row>
    <row r="465" ht="13.2" customHeight="1" s="37">
      <c r="B465" s="23" t="n"/>
    </row>
    <row r="466" ht="13.2" customHeight="1" s="37">
      <c r="B466" s="23" t="n"/>
    </row>
    <row r="467" ht="13.2" customHeight="1" s="37">
      <c r="B467" s="23" t="n"/>
    </row>
    <row r="468" ht="13.2" customHeight="1" s="37">
      <c r="B468" s="23" t="n"/>
    </row>
    <row r="469" ht="13.2" customHeight="1" s="37">
      <c r="B469" s="23" t="n"/>
    </row>
    <row r="470" ht="13.2" customHeight="1" s="37">
      <c r="B470" s="23" t="n"/>
    </row>
    <row r="471" ht="13.2" customHeight="1" s="37">
      <c r="B471" s="23" t="n"/>
    </row>
    <row r="472" ht="13.2" customHeight="1" s="37">
      <c r="B472" s="23" t="n"/>
    </row>
    <row r="473" ht="13.2" customHeight="1" s="37">
      <c r="B473" s="23" t="n"/>
    </row>
    <row r="474" ht="13.2" customHeight="1" s="37">
      <c r="B474" s="23" t="n"/>
    </row>
    <row r="475" ht="13.2" customHeight="1" s="37">
      <c r="B475" s="23" t="n"/>
    </row>
    <row r="476" ht="13.2" customHeight="1" s="37">
      <c r="B476" s="23" t="n"/>
    </row>
    <row r="477" ht="13.2" customHeight="1" s="37">
      <c r="B477" s="23" t="n"/>
    </row>
    <row r="478" ht="13.2" customHeight="1" s="37">
      <c r="B478" s="23" t="n"/>
    </row>
    <row r="479" ht="13.2" customHeight="1" s="37">
      <c r="B479" s="23" t="n"/>
    </row>
    <row r="480" ht="13.2" customHeight="1" s="37">
      <c r="B480" s="23" t="n"/>
    </row>
    <row r="481" ht="13.2" customHeight="1" s="37">
      <c r="B481" s="23" t="n"/>
    </row>
    <row r="482" ht="13.2" customHeight="1" s="37">
      <c r="B482" s="23" t="n"/>
    </row>
    <row r="483" ht="13.2" customHeight="1" s="37">
      <c r="B483" s="23" t="n"/>
    </row>
    <row r="484" ht="13.2" customHeight="1" s="37">
      <c r="B484" s="23" t="n"/>
    </row>
    <row r="485" ht="13.2" customHeight="1" s="37">
      <c r="B485" s="23" t="n"/>
    </row>
    <row r="486" ht="13.2" customHeight="1" s="37">
      <c r="B486" s="23" t="n"/>
    </row>
    <row r="487" ht="13.2" customHeight="1" s="37">
      <c r="B487" s="23" t="n"/>
    </row>
    <row r="488" ht="13.2" customHeight="1" s="37">
      <c r="B488" s="23" t="n"/>
    </row>
    <row r="489" ht="13.2" customHeight="1" s="37">
      <c r="B489" s="23" t="n"/>
    </row>
    <row r="490" ht="13.2" customHeight="1" s="37">
      <c r="B490" s="23" t="n"/>
    </row>
    <row r="491" ht="13.2" customHeight="1" s="37">
      <c r="B491" s="23" t="n"/>
    </row>
    <row r="492" ht="13.2" customHeight="1" s="37">
      <c r="B492" s="23" t="n"/>
    </row>
    <row r="493" ht="13.2" customHeight="1" s="37">
      <c r="B493" s="23" t="n"/>
    </row>
    <row r="494" ht="13.2" customHeight="1" s="37">
      <c r="B494" s="23" t="n"/>
    </row>
    <row r="495" ht="13.2" customHeight="1" s="37">
      <c r="B495" s="23" t="n"/>
    </row>
    <row r="496" ht="13.2" customHeight="1" s="37">
      <c r="B496" s="23" t="n"/>
    </row>
    <row r="497" ht="13.2" customHeight="1" s="37">
      <c r="B497" s="23" t="n"/>
    </row>
    <row r="498" ht="13.2" customHeight="1" s="37">
      <c r="B498" s="23" t="n"/>
    </row>
    <row r="499" ht="13.2" customHeight="1" s="37">
      <c r="B499" s="23" t="n"/>
    </row>
    <row r="500" ht="13.2" customHeight="1" s="37">
      <c r="B500" s="23" t="n"/>
    </row>
    <row r="501" ht="13.2" customHeight="1" s="37">
      <c r="B501" s="23" t="n"/>
    </row>
    <row r="502" ht="13.2" customHeight="1" s="37">
      <c r="B502" s="23" t="n"/>
    </row>
    <row r="503" ht="13.2" customHeight="1" s="37">
      <c r="B503" s="23" t="n"/>
    </row>
    <row r="504" ht="13.2" customHeight="1" s="37">
      <c r="B504" s="23" t="n"/>
    </row>
    <row r="505" ht="13.2" customHeight="1" s="37">
      <c r="B505" s="23" t="n"/>
    </row>
    <row r="506" ht="13.2" customHeight="1" s="37">
      <c r="B506" s="23" t="n"/>
    </row>
    <row r="507" ht="13.2" customHeight="1" s="37">
      <c r="B507" s="23" t="n"/>
    </row>
    <row r="508" ht="13.2" customHeight="1" s="37">
      <c r="B508" s="23" t="n"/>
    </row>
    <row r="509" ht="13.2" customHeight="1" s="37">
      <c r="B509" s="23" t="n"/>
    </row>
    <row r="510" ht="13.2" customHeight="1" s="37">
      <c r="B510" s="23" t="n"/>
    </row>
    <row r="511" ht="13.2" customHeight="1" s="37">
      <c r="B511" s="23" t="n"/>
    </row>
    <row r="512" ht="13.2" customHeight="1" s="37">
      <c r="B512" s="23" t="n"/>
    </row>
    <row r="513" ht="13.2" customHeight="1" s="37">
      <c r="B513" s="23" t="n"/>
    </row>
    <row r="514" ht="13.2" customHeight="1" s="37">
      <c r="B514" s="23" t="n"/>
    </row>
    <row r="515" ht="13.2" customHeight="1" s="37">
      <c r="B515" s="23" t="n"/>
    </row>
    <row r="516" ht="13.2" customHeight="1" s="37">
      <c r="B516" s="23" t="n"/>
    </row>
    <row r="517" ht="13.2" customHeight="1" s="37">
      <c r="B517" s="23" t="n"/>
    </row>
    <row r="518" ht="13.2" customHeight="1" s="37">
      <c r="B518" s="23" t="n"/>
    </row>
    <row r="519" ht="13.2" customHeight="1" s="37">
      <c r="B519" s="23" t="n"/>
    </row>
    <row r="520" ht="13.2" customHeight="1" s="37">
      <c r="B520" s="23" t="n"/>
    </row>
    <row r="521" ht="13.2" customHeight="1" s="37">
      <c r="B521" s="23" t="n"/>
    </row>
    <row r="522" ht="13.2" customHeight="1" s="37">
      <c r="B522" s="23" t="n"/>
    </row>
    <row r="523" ht="13.2" customHeight="1" s="37">
      <c r="B523" s="23" t="n"/>
    </row>
    <row r="524" ht="13.2" customHeight="1" s="37">
      <c r="B524" s="23" t="n"/>
    </row>
    <row r="525" ht="13.2" customHeight="1" s="37">
      <c r="B525" s="23" t="n"/>
    </row>
    <row r="526" ht="13.2" customHeight="1" s="37">
      <c r="B526" s="23" t="n"/>
    </row>
    <row r="527" ht="13.2" customHeight="1" s="37">
      <c r="B527" s="23" t="n"/>
    </row>
    <row r="528" ht="13.2" customHeight="1" s="37">
      <c r="B528" s="23" t="n"/>
    </row>
    <row r="529" ht="13.2" customHeight="1" s="37">
      <c r="B529" s="23" t="n"/>
    </row>
    <row r="530" ht="13.2" customHeight="1" s="37">
      <c r="B530" s="23" t="n"/>
    </row>
    <row r="531" ht="13.2" customHeight="1" s="37">
      <c r="B531" s="23" t="n"/>
    </row>
    <row r="532" ht="13.2" customHeight="1" s="37">
      <c r="B532" s="23" t="n"/>
    </row>
    <row r="533" ht="13.2" customHeight="1" s="37">
      <c r="B533" s="23" t="n"/>
    </row>
    <row r="534" ht="13.2" customHeight="1" s="37">
      <c r="B534" s="23" t="n"/>
    </row>
    <row r="535" ht="13.2" customHeight="1" s="37">
      <c r="B535" s="23" t="n"/>
    </row>
    <row r="536" ht="13.2" customHeight="1" s="37">
      <c r="B536" s="23" t="n"/>
    </row>
    <row r="537" ht="13.2" customHeight="1" s="37">
      <c r="B537" s="23" t="n"/>
    </row>
    <row r="538" ht="13.2" customHeight="1" s="37">
      <c r="B538" s="23" t="n"/>
    </row>
    <row r="539" ht="13.2" customHeight="1" s="37">
      <c r="B539" s="23" t="n"/>
    </row>
    <row r="540" ht="13.2" customHeight="1" s="37">
      <c r="B540" s="23" t="n"/>
    </row>
    <row r="541" ht="13.2" customHeight="1" s="37">
      <c r="B541" s="23" t="n"/>
    </row>
    <row r="542" ht="13.2" customHeight="1" s="37">
      <c r="B542" s="23" t="n"/>
    </row>
    <row r="543" ht="13.2" customHeight="1" s="37">
      <c r="B543" s="23" t="n"/>
    </row>
    <row r="544" ht="13.2" customHeight="1" s="37">
      <c r="B544" s="23" t="n"/>
    </row>
    <row r="545" ht="13.2" customHeight="1" s="37">
      <c r="B545" s="23" t="n"/>
    </row>
    <row r="546" ht="13.2" customHeight="1" s="37">
      <c r="B546" s="23" t="n"/>
    </row>
    <row r="547" ht="13.2" customHeight="1" s="37">
      <c r="B547" s="23" t="n"/>
    </row>
    <row r="548" ht="13.2" customHeight="1" s="37">
      <c r="B548" s="23" t="n"/>
    </row>
    <row r="549" ht="13.2" customHeight="1" s="37">
      <c r="B549" s="23" t="n"/>
    </row>
    <row r="550" ht="13.2" customHeight="1" s="37">
      <c r="B550" s="23" t="n"/>
    </row>
    <row r="551" ht="13.2" customHeight="1" s="37">
      <c r="B551" s="23" t="n"/>
    </row>
    <row r="552" ht="13.2" customHeight="1" s="37">
      <c r="B552" s="23" t="n"/>
    </row>
    <row r="553" ht="13.2" customHeight="1" s="37">
      <c r="B553" s="23" t="n"/>
    </row>
    <row r="554" ht="13.2" customHeight="1" s="37">
      <c r="B554" s="23" t="n"/>
    </row>
    <row r="555" ht="13.2" customHeight="1" s="37">
      <c r="B555" s="23" t="n"/>
    </row>
    <row r="556" ht="13.2" customHeight="1" s="37">
      <c r="B556" s="23" t="n"/>
    </row>
    <row r="557" ht="13.2" customHeight="1" s="37">
      <c r="B557" s="23" t="n"/>
    </row>
    <row r="558" ht="13.2" customHeight="1" s="37">
      <c r="B558" s="23" t="n"/>
    </row>
    <row r="559" ht="13.2" customHeight="1" s="37">
      <c r="B559" s="23" t="n"/>
    </row>
    <row r="560" ht="13.2" customHeight="1" s="37">
      <c r="B560" s="23" t="n"/>
    </row>
    <row r="561" ht="13.2" customHeight="1" s="37">
      <c r="B561" s="23" t="n"/>
    </row>
    <row r="562" ht="13.2" customHeight="1" s="37">
      <c r="B562" s="23" t="n"/>
    </row>
    <row r="563" ht="13.2" customHeight="1" s="37">
      <c r="B563" s="23" t="n"/>
    </row>
    <row r="564" ht="13.2" customHeight="1" s="37">
      <c r="B564" s="23" t="n"/>
    </row>
    <row r="565" ht="13.2" customHeight="1" s="37">
      <c r="B565" s="23" t="n"/>
    </row>
    <row r="566" ht="13.2" customHeight="1" s="37">
      <c r="B566" s="23" t="n"/>
    </row>
    <row r="567" ht="13.2" customHeight="1" s="37">
      <c r="B567" s="23" t="n"/>
    </row>
    <row r="568" ht="13.2" customHeight="1" s="37">
      <c r="B568" s="23" t="n"/>
    </row>
    <row r="569" ht="13.2" customHeight="1" s="37">
      <c r="B569" s="23" t="n"/>
    </row>
    <row r="570" ht="13.2" customHeight="1" s="37">
      <c r="B570" s="23" t="n"/>
    </row>
    <row r="571" ht="13.2" customHeight="1" s="37">
      <c r="B571" s="23" t="n"/>
    </row>
    <row r="572" ht="13.2" customHeight="1" s="37">
      <c r="B572" s="23" t="n"/>
    </row>
    <row r="573" ht="13.2" customHeight="1" s="37">
      <c r="B573" s="23" t="n"/>
    </row>
    <row r="574" ht="13.2" customHeight="1" s="37">
      <c r="B574" s="23" t="n"/>
    </row>
    <row r="575" ht="13.2" customHeight="1" s="37">
      <c r="B575" s="23" t="n"/>
    </row>
    <row r="576" ht="13.2" customHeight="1" s="37">
      <c r="B576" s="23" t="n"/>
    </row>
    <row r="577" ht="13.2" customHeight="1" s="37">
      <c r="B577" s="23" t="n"/>
    </row>
    <row r="578" ht="13.2" customHeight="1" s="37">
      <c r="B578" s="23" t="n"/>
    </row>
    <row r="579" ht="13.2" customHeight="1" s="37">
      <c r="B579" s="23" t="n"/>
    </row>
    <row r="580" ht="13.2" customHeight="1" s="37">
      <c r="B580" s="23" t="n"/>
    </row>
    <row r="581" ht="13.2" customHeight="1" s="37">
      <c r="B581" s="23" t="n"/>
    </row>
    <row r="582" ht="13.2" customHeight="1" s="37">
      <c r="B582" s="23" t="n"/>
    </row>
    <row r="583" ht="13.2" customHeight="1" s="37">
      <c r="B583" s="23" t="n"/>
    </row>
    <row r="584" ht="13.2" customHeight="1" s="37">
      <c r="B584" s="23" t="n"/>
    </row>
    <row r="585" ht="13.2" customHeight="1" s="37">
      <c r="B585" s="23" t="n"/>
    </row>
    <row r="586" ht="13.2" customHeight="1" s="37">
      <c r="B586" s="23" t="n"/>
    </row>
    <row r="587" ht="13.2" customHeight="1" s="37">
      <c r="B587" s="23" t="n"/>
    </row>
    <row r="588" ht="13.2" customHeight="1" s="37">
      <c r="B588" s="23" t="n"/>
    </row>
    <row r="589" ht="13.2" customHeight="1" s="37">
      <c r="B589" s="23" t="n"/>
    </row>
    <row r="590" ht="13.2" customHeight="1" s="37">
      <c r="B590" s="23" t="n"/>
    </row>
    <row r="591" ht="13.2" customHeight="1" s="37">
      <c r="B591" s="23" t="n"/>
    </row>
    <row r="592" ht="13.2" customHeight="1" s="37">
      <c r="B592" s="23" t="n"/>
    </row>
    <row r="593" ht="13.2" customHeight="1" s="37">
      <c r="B593" s="23" t="n"/>
    </row>
    <row r="594" ht="13.2" customHeight="1" s="37">
      <c r="B594" s="23" t="n"/>
    </row>
    <row r="595" ht="13.2" customHeight="1" s="37">
      <c r="B595" s="23" t="n"/>
    </row>
    <row r="596" ht="13.2" customHeight="1" s="37">
      <c r="B596" s="23" t="n"/>
    </row>
    <row r="597" ht="13.2" customHeight="1" s="37">
      <c r="B597" s="23" t="n"/>
    </row>
    <row r="598" ht="13.2" customHeight="1" s="37">
      <c r="B598" s="23" t="n"/>
    </row>
    <row r="599" ht="13.2" customHeight="1" s="37">
      <c r="B599" s="23" t="n"/>
    </row>
    <row r="600" ht="13.2" customHeight="1" s="37">
      <c r="B600" s="23" t="n"/>
    </row>
    <row r="601" ht="13.2" customHeight="1" s="37">
      <c r="B601" s="23" t="n"/>
    </row>
    <row r="602" ht="13.2" customHeight="1" s="37">
      <c r="B602" s="23" t="n"/>
    </row>
    <row r="603" ht="13.2" customHeight="1" s="37">
      <c r="B603" s="23" t="n"/>
    </row>
    <row r="604" ht="13.2" customHeight="1" s="37">
      <c r="B604" s="23" t="n"/>
    </row>
    <row r="605" ht="13.2" customHeight="1" s="37">
      <c r="B605" s="23" t="n"/>
    </row>
    <row r="606" ht="13.2" customHeight="1" s="37">
      <c r="B606" s="23" t="n"/>
    </row>
    <row r="607" ht="13.2" customHeight="1" s="37">
      <c r="B607" s="23" t="n"/>
    </row>
    <row r="608" ht="13.2" customHeight="1" s="37">
      <c r="B608" s="23" t="n"/>
    </row>
    <row r="609" ht="13.2" customHeight="1" s="37">
      <c r="B609" s="23" t="n"/>
    </row>
    <row r="610" ht="13.2" customHeight="1" s="37">
      <c r="B610" s="23" t="n"/>
    </row>
    <row r="611" ht="13.2" customHeight="1" s="37">
      <c r="B611" s="23" t="n"/>
    </row>
    <row r="612" ht="13.2" customHeight="1" s="37">
      <c r="B612" s="23" t="n"/>
    </row>
    <row r="613" ht="13.2" customHeight="1" s="37">
      <c r="B613" s="23" t="n"/>
    </row>
    <row r="614" ht="13.2" customHeight="1" s="37">
      <c r="B614" s="23" t="n"/>
    </row>
    <row r="615" ht="13.2" customHeight="1" s="37">
      <c r="B615" s="23" t="n"/>
    </row>
    <row r="616" ht="13.2" customHeight="1" s="37">
      <c r="B616" s="23" t="n"/>
    </row>
    <row r="617" ht="13.2" customHeight="1" s="37">
      <c r="B617" s="23" t="n"/>
    </row>
    <row r="618" ht="13.2" customHeight="1" s="37">
      <c r="B618" s="23" t="n"/>
    </row>
    <row r="619" ht="13.2" customHeight="1" s="37">
      <c r="B619" s="23" t="n"/>
    </row>
    <row r="620" ht="13.2" customHeight="1" s="37">
      <c r="B620" s="23" t="n"/>
    </row>
    <row r="621" ht="13.2" customHeight="1" s="37">
      <c r="B621" s="23" t="n"/>
    </row>
    <row r="622" ht="13.2" customHeight="1" s="37">
      <c r="B622" s="23" t="n"/>
    </row>
    <row r="623" ht="13.2" customHeight="1" s="37">
      <c r="B623" s="23" t="n"/>
    </row>
    <row r="624" ht="13.2" customHeight="1" s="37">
      <c r="B624" s="23" t="n"/>
    </row>
    <row r="625" ht="13.2" customHeight="1" s="37">
      <c r="B625" s="23" t="n"/>
    </row>
    <row r="626" ht="13.2" customHeight="1" s="37">
      <c r="B626" s="23" t="n"/>
    </row>
    <row r="627" ht="13.2" customHeight="1" s="37">
      <c r="B627" s="23" t="n"/>
    </row>
    <row r="628" ht="13.2" customHeight="1" s="37">
      <c r="B628" s="23" t="n"/>
    </row>
    <row r="629" ht="13.2" customHeight="1" s="37">
      <c r="B629" s="23" t="n"/>
    </row>
    <row r="630" ht="13.2" customHeight="1" s="37">
      <c r="B630" s="23" t="n"/>
    </row>
    <row r="631" ht="13.2" customHeight="1" s="37">
      <c r="B631" s="23" t="n"/>
    </row>
    <row r="632" ht="13.2" customHeight="1" s="37">
      <c r="B632" s="23" t="n"/>
    </row>
    <row r="633" ht="13.2" customHeight="1" s="37">
      <c r="B633" s="23" t="n"/>
    </row>
    <row r="634" ht="13.2" customHeight="1" s="37">
      <c r="B634" s="23" t="n"/>
    </row>
    <row r="635" ht="13.2" customHeight="1" s="37">
      <c r="B635" s="23" t="n"/>
    </row>
    <row r="636" ht="13.2" customHeight="1" s="37">
      <c r="B636" s="23" t="n"/>
    </row>
    <row r="637" ht="13.2" customHeight="1" s="37">
      <c r="B637" s="23" t="n"/>
    </row>
    <row r="638" ht="13.2" customHeight="1" s="37">
      <c r="B638" s="23" t="n"/>
    </row>
    <row r="639" ht="13.2" customHeight="1" s="37">
      <c r="B639" s="23" t="n"/>
    </row>
    <row r="640" ht="13.2" customHeight="1" s="37">
      <c r="B640" s="23" t="n"/>
    </row>
    <row r="641" ht="13.2" customHeight="1" s="37">
      <c r="B641" s="23" t="n"/>
    </row>
    <row r="642" ht="13.2" customHeight="1" s="37">
      <c r="B642" s="23" t="n"/>
    </row>
    <row r="643" ht="13.2" customHeight="1" s="37">
      <c r="B643" s="23" t="n"/>
    </row>
    <row r="644" ht="13.2" customHeight="1" s="37">
      <c r="B644" s="23" t="n"/>
    </row>
    <row r="645" ht="13.2" customHeight="1" s="37">
      <c r="B645" s="23" t="n"/>
    </row>
    <row r="646" ht="13.2" customHeight="1" s="37">
      <c r="B646" s="23" t="n"/>
    </row>
    <row r="647" ht="13.2" customHeight="1" s="37">
      <c r="B647" s="23" t="n"/>
    </row>
    <row r="648" ht="13.2" customHeight="1" s="37">
      <c r="B648" s="23" t="n"/>
    </row>
    <row r="649" ht="13.2" customHeight="1" s="37">
      <c r="B649" s="23" t="n"/>
    </row>
    <row r="650" ht="13.2" customHeight="1" s="37">
      <c r="B650" s="23" t="n"/>
    </row>
    <row r="651" ht="13.2" customHeight="1" s="37">
      <c r="B651" s="23" t="n"/>
    </row>
    <row r="652" ht="13.2" customHeight="1" s="37">
      <c r="B652" s="23" t="n"/>
    </row>
    <row r="653" ht="13.2" customHeight="1" s="37">
      <c r="B653" s="23" t="n"/>
    </row>
    <row r="654" ht="13.2" customHeight="1" s="37">
      <c r="B654" s="23" t="n"/>
    </row>
    <row r="655" ht="13.2" customHeight="1" s="37">
      <c r="B655" s="23" t="n"/>
    </row>
    <row r="656" ht="13.2" customHeight="1" s="37">
      <c r="B656" s="23" t="n"/>
    </row>
    <row r="657" ht="13.2" customHeight="1" s="37">
      <c r="B657" s="23" t="n"/>
    </row>
    <row r="658" ht="13.2" customHeight="1" s="37">
      <c r="B658" s="23" t="n"/>
    </row>
    <row r="659" ht="13.2" customHeight="1" s="37">
      <c r="B659" s="23" t="n"/>
    </row>
    <row r="660" ht="13.2" customHeight="1" s="37">
      <c r="B660" s="23" t="n"/>
    </row>
    <row r="661" ht="13.2" customHeight="1" s="37">
      <c r="B661" s="23" t="n"/>
    </row>
    <row r="662" ht="13.2" customHeight="1" s="37">
      <c r="B662" s="23" t="n"/>
    </row>
    <row r="663" ht="13.2" customHeight="1" s="37">
      <c r="B663" s="23" t="n"/>
    </row>
    <row r="664" ht="13.2" customHeight="1" s="37">
      <c r="B664" s="23" t="n"/>
    </row>
    <row r="665" ht="13.2" customHeight="1" s="37">
      <c r="B665" s="23" t="n"/>
    </row>
    <row r="666" ht="13.2" customHeight="1" s="37">
      <c r="B666" s="23" t="n"/>
    </row>
    <row r="667" ht="13.2" customHeight="1" s="37">
      <c r="B667" s="23" t="n"/>
    </row>
    <row r="668" ht="13.2" customHeight="1" s="37">
      <c r="B668" s="23" t="n"/>
    </row>
    <row r="669" ht="13.2" customHeight="1" s="37">
      <c r="B669" s="23" t="n"/>
    </row>
    <row r="670" ht="13.2" customHeight="1" s="37">
      <c r="B670" s="23" t="n"/>
    </row>
    <row r="671" ht="13.2" customHeight="1" s="37">
      <c r="B671" s="23" t="n"/>
    </row>
    <row r="672" ht="13.2" customHeight="1" s="37">
      <c r="B672" s="23" t="n"/>
    </row>
    <row r="673" ht="13.2" customHeight="1" s="37">
      <c r="B673" s="23" t="n"/>
    </row>
    <row r="674" ht="13.2" customHeight="1" s="37">
      <c r="B674" s="23" t="n"/>
    </row>
    <row r="675" ht="13.2" customHeight="1" s="37">
      <c r="B675" s="23" t="n"/>
    </row>
    <row r="676" ht="13.2" customHeight="1" s="37">
      <c r="B676" s="23" t="n"/>
    </row>
    <row r="677" ht="13.2" customHeight="1" s="37">
      <c r="B677" s="23" t="n"/>
    </row>
    <row r="678" ht="13.2" customHeight="1" s="37">
      <c r="B678" s="23" t="n"/>
    </row>
    <row r="679" ht="13.2" customHeight="1" s="37">
      <c r="B679" s="23" t="n"/>
    </row>
    <row r="680" ht="13.2" customHeight="1" s="37">
      <c r="B680" s="23" t="n"/>
    </row>
    <row r="681" ht="13.2" customHeight="1" s="37">
      <c r="B681" s="23" t="n"/>
    </row>
    <row r="682" ht="13.2" customHeight="1" s="37">
      <c r="B682" s="23" t="n"/>
    </row>
    <row r="683" ht="13.2" customHeight="1" s="37">
      <c r="B683" s="23" t="n"/>
    </row>
    <row r="684" ht="13.2" customHeight="1" s="37">
      <c r="B684" s="23" t="n"/>
    </row>
    <row r="685" ht="13.2" customHeight="1" s="37">
      <c r="B685" s="23" t="n"/>
    </row>
    <row r="686" ht="13.2" customHeight="1" s="37">
      <c r="B686" s="23" t="n"/>
    </row>
    <row r="687" ht="13.2" customHeight="1" s="37">
      <c r="B687" s="23" t="n"/>
    </row>
    <row r="688" ht="13.2" customHeight="1" s="37">
      <c r="B688" s="23" t="n"/>
    </row>
    <row r="689" ht="13.2" customHeight="1" s="37">
      <c r="B689" s="23" t="n"/>
    </row>
    <row r="690" ht="13.2" customHeight="1" s="37">
      <c r="B690" s="23" t="n"/>
    </row>
    <row r="691" ht="13.2" customHeight="1" s="37">
      <c r="B691" s="23" t="n"/>
    </row>
    <row r="692" ht="13.2" customHeight="1" s="37">
      <c r="B692" s="23" t="n"/>
    </row>
    <row r="693" ht="13.2" customHeight="1" s="37">
      <c r="B693" s="23" t="n"/>
    </row>
    <row r="694" ht="13.2" customHeight="1" s="37">
      <c r="B694" s="23" t="n"/>
    </row>
    <row r="695" ht="13.2" customHeight="1" s="37">
      <c r="B695" s="23" t="n"/>
    </row>
    <row r="696" ht="13.2" customHeight="1" s="37">
      <c r="B696" s="23" t="n"/>
    </row>
    <row r="697" ht="13.2" customHeight="1" s="37">
      <c r="B697" s="23" t="n"/>
    </row>
    <row r="698" ht="13.2" customHeight="1" s="37">
      <c r="B698" s="23" t="n"/>
    </row>
    <row r="699" ht="13.2" customHeight="1" s="37">
      <c r="B699" s="23" t="n"/>
    </row>
    <row r="700" ht="13.2" customHeight="1" s="37">
      <c r="B700" s="23" t="n"/>
    </row>
    <row r="701" ht="13.2" customHeight="1" s="37">
      <c r="B701" s="23" t="n"/>
    </row>
    <row r="702" ht="13.2" customHeight="1" s="37">
      <c r="B702" s="23" t="n"/>
    </row>
    <row r="703" ht="13.2" customHeight="1" s="37">
      <c r="B703" s="23" t="n"/>
    </row>
    <row r="704" ht="13.2" customHeight="1" s="37">
      <c r="B704" s="23" t="n"/>
    </row>
    <row r="705" ht="13.2" customHeight="1" s="37">
      <c r="B705" s="23" t="n"/>
    </row>
    <row r="706" ht="13.2" customHeight="1" s="37">
      <c r="B706" s="23" t="n"/>
    </row>
    <row r="707" ht="13.2" customHeight="1" s="37">
      <c r="B707" s="23" t="n"/>
    </row>
    <row r="708" ht="13.2" customHeight="1" s="37">
      <c r="B708" s="23" t="n"/>
    </row>
    <row r="709" ht="13.2" customHeight="1" s="37">
      <c r="B709" s="23" t="n"/>
    </row>
    <row r="710" ht="13.2" customHeight="1" s="37">
      <c r="B710" s="23" t="n"/>
    </row>
    <row r="711" ht="13.2" customHeight="1" s="37">
      <c r="B711" s="23" t="n"/>
    </row>
    <row r="712" ht="13.2" customHeight="1" s="37">
      <c r="B712" s="23" t="n"/>
    </row>
    <row r="713" ht="13.2" customHeight="1" s="37">
      <c r="B713" s="23" t="n"/>
    </row>
    <row r="714" ht="13.2" customHeight="1" s="37">
      <c r="B714" s="23" t="n"/>
    </row>
    <row r="715" ht="13.2" customHeight="1" s="37">
      <c r="B715" s="23" t="n"/>
    </row>
    <row r="716" ht="13.2" customHeight="1" s="37">
      <c r="B716" s="23" t="n"/>
    </row>
    <row r="717" ht="13.2" customHeight="1" s="37">
      <c r="B717" s="23" t="n"/>
    </row>
    <row r="718" ht="13.2" customHeight="1" s="37">
      <c r="B718" s="23" t="n"/>
    </row>
    <row r="719" ht="13.2" customHeight="1" s="37">
      <c r="B719" s="23" t="n"/>
    </row>
    <row r="720" ht="13.2" customHeight="1" s="37">
      <c r="B720" s="23" t="n"/>
    </row>
    <row r="721" ht="13.2" customHeight="1" s="37">
      <c r="B721" s="23" t="n"/>
    </row>
    <row r="722" ht="13.2" customHeight="1" s="37">
      <c r="B722" s="23" t="n"/>
    </row>
    <row r="723" ht="13.2" customHeight="1" s="37">
      <c r="B723" s="23" t="n"/>
    </row>
    <row r="724" ht="13.2" customHeight="1" s="37">
      <c r="B724" s="23" t="n"/>
    </row>
    <row r="725" ht="13.2" customHeight="1" s="37">
      <c r="B725" s="23" t="n"/>
    </row>
    <row r="726" ht="13.2" customHeight="1" s="37">
      <c r="B726" s="23" t="n"/>
    </row>
    <row r="727" ht="13.2" customHeight="1" s="37">
      <c r="B727" s="23" t="n"/>
    </row>
    <row r="728" ht="13.2" customHeight="1" s="37">
      <c r="B728" s="23" t="n"/>
    </row>
    <row r="729" ht="13.2" customHeight="1" s="37">
      <c r="B729" s="23" t="n"/>
    </row>
    <row r="730" ht="13.2" customHeight="1" s="37">
      <c r="B730" s="23" t="n"/>
    </row>
    <row r="731" ht="13.2" customHeight="1" s="37">
      <c r="B731" s="23" t="n"/>
    </row>
    <row r="732" ht="13.2" customHeight="1" s="37">
      <c r="B732" s="23" t="n"/>
    </row>
    <row r="733" ht="13.2" customHeight="1" s="37">
      <c r="B733" s="23" t="n"/>
    </row>
    <row r="734" ht="13.2" customHeight="1" s="37">
      <c r="B734" s="23" t="n"/>
    </row>
    <row r="735" ht="13.2" customHeight="1" s="37">
      <c r="B735" s="23" t="n"/>
    </row>
    <row r="736" ht="13.2" customHeight="1" s="37">
      <c r="B736" s="23" t="n"/>
    </row>
    <row r="737" ht="13.2" customHeight="1" s="37">
      <c r="B737" s="23" t="n"/>
    </row>
    <row r="738" ht="13.2" customHeight="1" s="37">
      <c r="B738" s="23" t="n"/>
    </row>
    <row r="739" ht="13.2" customHeight="1" s="37">
      <c r="B739" s="23" t="n"/>
    </row>
    <row r="740" ht="13.2" customHeight="1" s="37">
      <c r="B740" s="23" t="n"/>
    </row>
    <row r="741" ht="13.2" customHeight="1" s="37">
      <c r="B741" s="23" t="n"/>
    </row>
    <row r="742" ht="13.2" customHeight="1" s="37">
      <c r="B742" s="23" t="n"/>
    </row>
    <row r="743" ht="13.2" customHeight="1" s="37">
      <c r="B743" s="23" t="n"/>
    </row>
    <row r="744" ht="13.2" customHeight="1" s="37">
      <c r="B744" s="23" t="n"/>
    </row>
    <row r="745" ht="13.2" customHeight="1" s="37">
      <c r="B745" s="23" t="n"/>
    </row>
    <row r="746" ht="13.2" customHeight="1" s="37">
      <c r="B746" s="23" t="n"/>
    </row>
    <row r="747" ht="13.2" customHeight="1" s="37">
      <c r="B747" s="23" t="n"/>
    </row>
    <row r="748" ht="13.2" customHeight="1" s="37">
      <c r="B748" s="23" t="n"/>
    </row>
    <row r="749" ht="13.2" customHeight="1" s="37">
      <c r="B749" s="23" t="n"/>
    </row>
    <row r="750" ht="13.2" customHeight="1" s="37">
      <c r="B750" s="23" t="n"/>
    </row>
    <row r="751" ht="13.2" customHeight="1" s="37">
      <c r="B751" s="23" t="n"/>
    </row>
    <row r="752" ht="13.2" customHeight="1" s="37">
      <c r="B752" s="23" t="n"/>
    </row>
    <row r="753" ht="13.2" customHeight="1" s="37">
      <c r="B753" s="23" t="n"/>
    </row>
    <row r="754" ht="13.2" customHeight="1" s="37">
      <c r="B754" s="23" t="n"/>
    </row>
    <row r="755" ht="13.2" customHeight="1" s="37">
      <c r="B755" s="23" t="n"/>
    </row>
    <row r="756" ht="13.2" customHeight="1" s="37">
      <c r="B756" s="23" t="n"/>
    </row>
    <row r="757" ht="13.2" customHeight="1" s="37">
      <c r="B757" s="23" t="n"/>
    </row>
    <row r="758" ht="13.2" customHeight="1" s="37">
      <c r="B758" s="23" t="n"/>
    </row>
    <row r="759" ht="13.2" customHeight="1" s="37">
      <c r="B759" s="23" t="n"/>
    </row>
    <row r="760" ht="13.2" customHeight="1" s="37">
      <c r="B760" s="23" t="n"/>
    </row>
    <row r="761" ht="13.2" customHeight="1" s="37">
      <c r="B761" s="23" t="n"/>
    </row>
    <row r="762" ht="13.2" customHeight="1" s="37">
      <c r="B762" s="23" t="n"/>
    </row>
    <row r="763" ht="13.2" customHeight="1" s="37">
      <c r="B763" s="23" t="n"/>
    </row>
    <row r="764" ht="13.2" customHeight="1" s="37">
      <c r="B764" s="23" t="n"/>
    </row>
    <row r="765" ht="13.2" customHeight="1" s="37">
      <c r="B765" s="23" t="n"/>
    </row>
    <row r="766" ht="13.2" customHeight="1" s="37">
      <c r="B766" s="23" t="n"/>
    </row>
    <row r="767" ht="13.2" customHeight="1" s="37">
      <c r="B767" s="23" t="n"/>
    </row>
    <row r="768" ht="13.2" customHeight="1" s="37">
      <c r="B768" s="23" t="n"/>
    </row>
    <row r="769" ht="13.2" customHeight="1" s="37">
      <c r="B769" s="23" t="n"/>
    </row>
    <row r="770" ht="13.2" customHeight="1" s="37">
      <c r="B770" s="23" t="n"/>
    </row>
    <row r="771" ht="13.2" customHeight="1" s="37">
      <c r="B771" s="23" t="n"/>
    </row>
    <row r="772" ht="13.2" customHeight="1" s="37">
      <c r="B772" s="23" t="n"/>
    </row>
    <row r="773" ht="13.2" customHeight="1" s="37">
      <c r="B773" s="23" t="n"/>
    </row>
    <row r="774" ht="13.2" customHeight="1" s="37">
      <c r="B774" s="23" t="n"/>
    </row>
    <row r="775" ht="13.2" customHeight="1" s="37">
      <c r="B775" s="23" t="n"/>
    </row>
    <row r="776" ht="13.2" customHeight="1" s="37">
      <c r="B776" s="23" t="n"/>
    </row>
    <row r="777" ht="13.2" customHeight="1" s="37">
      <c r="B777" s="23" t="n"/>
    </row>
    <row r="778" ht="13.2" customHeight="1" s="37">
      <c r="B778" s="23" t="n"/>
    </row>
    <row r="779" ht="13.2" customHeight="1" s="37">
      <c r="B779" s="23" t="n"/>
    </row>
    <row r="780" ht="13.2" customHeight="1" s="37">
      <c r="B780" s="23" t="n"/>
    </row>
    <row r="781" ht="13.2" customHeight="1" s="37">
      <c r="B781" s="23" t="n"/>
    </row>
    <row r="782" ht="13.2" customHeight="1" s="37">
      <c r="B782" s="23" t="n"/>
    </row>
    <row r="783" ht="13.2" customHeight="1" s="37">
      <c r="B783" s="23" t="n"/>
    </row>
    <row r="784" ht="13.2" customHeight="1" s="37">
      <c r="B784" s="23" t="n"/>
    </row>
    <row r="785" ht="13.2" customHeight="1" s="37">
      <c r="B785" s="23" t="n"/>
    </row>
    <row r="786" ht="13.2" customHeight="1" s="37">
      <c r="B786" s="23" t="n"/>
    </row>
    <row r="787" ht="13.2" customHeight="1" s="37">
      <c r="B787" s="23" t="n"/>
    </row>
    <row r="788" ht="13.2" customHeight="1" s="37">
      <c r="B788" s="23" t="n"/>
    </row>
    <row r="789" ht="13.2" customHeight="1" s="37">
      <c r="B789" s="23" t="n"/>
    </row>
    <row r="790" ht="13.2" customHeight="1" s="37">
      <c r="B790" s="23" t="n"/>
    </row>
    <row r="791" ht="13.2" customHeight="1" s="37">
      <c r="B791" s="23" t="n"/>
    </row>
    <row r="792" ht="13.2" customHeight="1" s="37">
      <c r="B792" s="23" t="n"/>
    </row>
    <row r="793" ht="13.2" customHeight="1" s="37">
      <c r="B793" s="23" t="n"/>
    </row>
    <row r="794" ht="13.2" customHeight="1" s="37">
      <c r="B794" s="23" t="n"/>
    </row>
    <row r="795" ht="13.2" customHeight="1" s="37">
      <c r="B795" s="23" t="n"/>
    </row>
    <row r="796" ht="13.2" customHeight="1" s="37">
      <c r="B796" s="23" t="n"/>
    </row>
    <row r="797" ht="13.2" customHeight="1" s="37">
      <c r="B797" s="23" t="n"/>
    </row>
    <row r="798" ht="13.2" customHeight="1" s="37">
      <c r="B798" s="23" t="n"/>
    </row>
    <row r="799" ht="13.2" customHeight="1" s="37">
      <c r="B799" s="23" t="n"/>
    </row>
    <row r="800" ht="13.2" customHeight="1" s="37">
      <c r="B800" s="23" t="n"/>
    </row>
    <row r="801" ht="13.2" customHeight="1" s="37">
      <c r="B801" s="23" t="n"/>
    </row>
    <row r="802" ht="13.2" customHeight="1" s="37">
      <c r="B802" s="23" t="n"/>
    </row>
    <row r="803" ht="13.2" customHeight="1" s="37">
      <c r="B803" s="23" t="n"/>
    </row>
    <row r="804" ht="13.2" customHeight="1" s="37">
      <c r="B804" s="23" t="n"/>
    </row>
    <row r="805" ht="13.2" customHeight="1" s="37">
      <c r="B805" s="23" t="n"/>
    </row>
    <row r="806" ht="13.2" customHeight="1" s="37">
      <c r="B806" s="23" t="n"/>
    </row>
    <row r="807" ht="13.2" customHeight="1" s="37">
      <c r="B807" s="23" t="n"/>
    </row>
    <row r="808" ht="13.2" customHeight="1" s="37">
      <c r="B808" s="23" t="n"/>
    </row>
    <row r="809" ht="13.2" customHeight="1" s="37">
      <c r="B809" s="23" t="n"/>
    </row>
    <row r="810" ht="13.2" customHeight="1" s="37">
      <c r="B810" s="23" t="n"/>
    </row>
    <row r="811" ht="13.2" customHeight="1" s="37">
      <c r="B811" s="23" t="n"/>
    </row>
    <row r="812" ht="13.2" customHeight="1" s="37">
      <c r="B812" s="23" t="n"/>
    </row>
    <row r="813" ht="13.2" customHeight="1" s="37">
      <c r="B813" s="23" t="n"/>
    </row>
    <row r="814" ht="13.2" customHeight="1" s="37">
      <c r="B814" s="23" t="n"/>
    </row>
    <row r="815" ht="13.2" customHeight="1" s="37">
      <c r="B815" s="23" t="n"/>
    </row>
    <row r="816" ht="13.2" customHeight="1" s="37">
      <c r="B816" s="23" t="n"/>
    </row>
    <row r="817" ht="13.2" customHeight="1" s="37">
      <c r="B817" s="23" t="n"/>
    </row>
    <row r="818" ht="13.2" customHeight="1" s="37">
      <c r="B818" s="23" t="n"/>
    </row>
    <row r="819" ht="13.2" customHeight="1" s="37">
      <c r="B819" s="23" t="n"/>
    </row>
    <row r="820" ht="13.2" customHeight="1" s="37">
      <c r="B820" s="23" t="n"/>
    </row>
    <row r="821" ht="13.2" customHeight="1" s="37">
      <c r="B821" s="23" t="n"/>
    </row>
    <row r="822" ht="13.2" customHeight="1" s="37">
      <c r="B822" s="23" t="n"/>
    </row>
    <row r="823" ht="13.2" customHeight="1" s="37">
      <c r="B823" s="23" t="n"/>
    </row>
    <row r="824" ht="13.2" customHeight="1" s="37">
      <c r="B824" s="23" t="n"/>
    </row>
    <row r="825" ht="13.2" customHeight="1" s="37">
      <c r="B825" s="23" t="n"/>
    </row>
    <row r="826" ht="13.2" customHeight="1" s="37">
      <c r="B826" s="23" t="n"/>
    </row>
    <row r="827" ht="13.2" customHeight="1" s="37">
      <c r="B827" s="23" t="n"/>
    </row>
    <row r="828" ht="13.2" customHeight="1" s="37">
      <c r="B828" s="23" t="n"/>
    </row>
    <row r="829" ht="13.2" customHeight="1" s="37">
      <c r="B829" s="23" t="n"/>
    </row>
    <row r="830" ht="13.2" customHeight="1" s="37">
      <c r="B830" s="23" t="n"/>
    </row>
    <row r="831" ht="13.2" customHeight="1" s="37">
      <c r="B831" s="23" t="n"/>
    </row>
    <row r="832" ht="13.2" customHeight="1" s="37">
      <c r="B832" s="23" t="n"/>
    </row>
    <row r="833" ht="13.2" customHeight="1" s="37">
      <c r="B833" s="23" t="n"/>
    </row>
    <row r="834" ht="13.2" customHeight="1" s="37">
      <c r="B834" s="23" t="n"/>
    </row>
    <row r="835" ht="13.2" customHeight="1" s="37">
      <c r="B835" s="23" t="n"/>
    </row>
    <row r="836" ht="13.2" customHeight="1" s="37">
      <c r="B836" s="23" t="n"/>
    </row>
    <row r="837" ht="13.2" customHeight="1" s="37">
      <c r="B837" s="23" t="n"/>
    </row>
    <row r="838" ht="13.2" customHeight="1" s="37">
      <c r="B838" s="23" t="n"/>
    </row>
    <row r="839" ht="13.2" customHeight="1" s="37">
      <c r="B839" s="23" t="n"/>
    </row>
    <row r="840" ht="13.2" customHeight="1" s="37">
      <c r="B840" s="23" t="n"/>
    </row>
    <row r="841" ht="13.2" customHeight="1" s="37">
      <c r="B841" s="23" t="n"/>
    </row>
    <row r="842" ht="13.2" customHeight="1" s="37">
      <c r="B842" s="23" t="n"/>
    </row>
    <row r="843" ht="13.2" customHeight="1" s="37">
      <c r="B843" s="23" t="n"/>
    </row>
    <row r="844" ht="13.2" customHeight="1" s="37">
      <c r="B844" s="23" t="n"/>
    </row>
    <row r="845" ht="13.2" customHeight="1" s="37">
      <c r="B845" s="23" t="n"/>
    </row>
    <row r="846" ht="13.2" customHeight="1" s="37">
      <c r="B846" s="23" t="n"/>
    </row>
    <row r="847" ht="13.2" customHeight="1" s="37">
      <c r="B847" s="23" t="n"/>
    </row>
    <row r="848" ht="13.2" customHeight="1" s="37">
      <c r="B848" s="23" t="n"/>
    </row>
    <row r="849" ht="13.2" customHeight="1" s="37">
      <c r="B849" s="23" t="n"/>
    </row>
    <row r="850" ht="13.2" customHeight="1" s="37">
      <c r="B850" s="23" t="n"/>
    </row>
    <row r="851" ht="13.2" customHeight="1" s="37">
      <c r="B851" s="23" t="n"/>
    </row>
    <row r="852" ht="13.2" customHeight="1" s="37">
      <c r="B852" s="23" t="n"/>
    </row>
    <row r="853" ht="13.2" customHeight="1" s="37">
      <c r="B853" s="23" t="n"/>
    </row>
    <row r="854" ht="13.2" customHeight="1" s="37">
      <c r="B854" s="23" t="n"/>
    </row>
    <row r="855" ht="13.2" customHeight="1" s="37">
      <c r="B855" s="23" t="n"/>
    </row>
    <row r="856" ht="13.2" customHeight="1" s="37">
      <c r="B856" s="23" t="n"/>
    </row>
    <row r="857" ht="13.2" customHeight="1" s="37">
      <c r="B857" s="23" t="n"/>
    </row>
    <row r="858" ht="13.2" customHeight="1" s="37">
      <c r="B858" s="23" t="n"/>
    </row>
    <row r="859" ht="13.2" customHeight="1" s="37">
      <c r="B859" s="23" t="n"/>
    </row>
    <row r="860" ht="13.2" customHeight="1" s="37">
      <c r="B860" s="23" t="n"/>
    </row>
    <row r="861" ht="13.2" customHeight="1" s="37">
      <c r="B861" s="23" t="n"/>
    </row>
    <row r="862" ht="13.2" customHeight="1" s="37">
      <c r="B862" s="23" t="n"/>
    </row>
    <row r="863" ht="13.2" customHeight="1" s="37">
      <c r="B863" s="23" t="n"/>
    </row>
    <row r="864" ht="13.2" customHeight="1" s="37">
      <c r="B864" s="23" t="n"/>
    </row>
    <row r="865" ht="13.2" customHeight="1" s="37">
      <c r="B865" s="23" t="n"/>
    </row>
    <row r="866" ht="13.2" customHeight="1" s="37">
      <c r="B866" s="23" t="n"/>
    </row>
    <row r="867" ht="13.2" customHeight="1" s="37">
      <c r="B867" s="23" t="n"/>
    </row>
    <row r="868" ht="13.2" customHeight="1" s="37">
      <c r="B868" s="23" t="n"/>
    </row>
    <row r="869" ht="13.2" customHeight="1" s="37">
      <c r="B869" s="23" t="n"/>
    </row>
    <row r="870" ht="13.2" customHeight="1" s="37">
      <c r="B870" s="23" t="n"/>
    </row>
    <row r="871" ht="13.2" customHeight="1" s="37">
      <c r="B871" s="23" t="n"/>
    </row>
    <row r="872" ht="13.2" customHeight="1" s="37">
      <c r="B872" s="23" t="n"/>
    </row>
    <row r="873" ht="13.2" customHeight="1" s="37">
      <c r="B873" s="23" t="n"/>
    </row>
    <row r="874" ht="13.2" customHeight="1" s="37">
      <c r="B874" s="23" t="n"/>
    </row>
    <row r="875" ht="13.2" customHeight="1" s="37">
      <c r="B875" s="23" t="n"/>
    </row>
    <row r="876" ht="13.2" customHeight="1" s="37">
      <c r="B876" s="23" t="n"/>
    </row>
    <row r="877" ht="13.2" customHeight="1" s="37">
      <c r="B877" s="23" t="n"/>
    </row>
    <row r="878" ht="13.2" customHeight="1" s="37">
      <c r="B878" s="23" t="n"/>
    </row>
    <row r="879" ht="13.2" customHeight="1" s="37">
      <c r="B879" s="23" t="n"/>
    </row>
    <row r="880" ht="13.2" customHeight="1" s="37">
      <c r="B880" s="23" t="n"/>
    </row>
    <row r="881" ht="13.2" customHeight="1" s="37">
      <c r="B881" s="23" t="n"/>
    </row>
    <row r="882" ht="13.2" customHeight="1" s="37">
      <c r="B882" s="23" t="n"/>
    </row>
    <row r="883" ht="13.2" customHeight="1" s="37">
      <c r="B883" s="23" t="n"/>
    </row>
    <row r="884" ht="13.2" customHeight="1" s="37">
      <c r="B884" s="23" t="n"/>
    </row>
    <row r="885" ht="13.2" customHeight="1" s="37">
      <c r="B885" s="23" t="n"/>
    </row>
    <row r="886" ht="13.2" customHeight="1" s="37">
      <c r="B886" s="23" t="n"/>
    </row>
    <row r="887" ht="13.2" customHeight="1" s="37">
      <c r="B887" s="23" t="n"/>
    </row>
    <row r="888" ht="13.2" customHeight="1" s="37">
      <c r="B888" s="23" t="n"/>
    </row>
    <row r="889" ht="13.2" customHeight="1" s="37">
      <c r="B889" s="23" t="n"/>
    </row>
    <row r="890" ht="13.2" customHeight="1" s="37">
      <c r="B890" s="23" t="n"/>
    </row>
    <row r="891" ht="13.2" customHeight="1" s="37">
      <c r="B891" s="23" t="n"/>
    </row>
    <row r="892" ht="13.2" customHeight="1" s="37">
      <c r="B892" s="23" t="n"/>
    </row>
    <row r="893" ht="13.2" customHeight="1" s="37">
      <c r="B893" s="23" t="n"/>
    </row>
    <row r="894" ht="13.2" customHeight="1" s="37">
      <c r="B894" s="23" t="n"/>
    </row>
    <row r="895" ht="13.2" customHeight="1" s="37">
      <c r="B895" s="23" t="n"/>
    </row>
    <row r="896" ht="13.2" customHeight="1" s="37">
      <c r="B896" s="23" t="n"/>
    </row>
    <row r="897" ht="13.2" customHeight="1" s="37">
      <c r="B897" s="23" t="n"/>
    </row>
    <row r="898" ht="13.2" customHeight="1" s="37">
      <c r="B898" s="23" t="n"/>
    </row>
    <row r="899" ht="13.2" customHeight="1" s="37">
      <c r="B899" s="23" t="n"/>
    </row>
    <row r="900" ht="13.2" customHeight="1" s="37">
      <c r="B900" s="23" t="n"/>
    </row>
    <row r="901" ht="13.2" customHeight="1" s="37">
      <c r="B901" s="23" t="n"/>
    </row>
    <row r="902" ht="13.2" customHeight="1" s="37">
      <c r="B902" s="23" t="n"/>
    </row>
    <row r="903" ht="13.2" customHeight="1" s="37">
      <c r="B903" s="23" t="n"/>
    </row>
    <row r="904" ht="13.2" customHeight="1" s="37">
      <c r="B904" s="23" t="n"/>
    </row>
    <row r="905" ht="13.2" customHeight="1" s="37">
      <c r="B905" s="23" t="n"/>
    </row>
    <row r="906" ht="13.2" customHeight="1" s="37">
      <c r="B906" s="23" t="n"/>
    </row>
    <row r="907" ht="13.2" customHeight="1" s="37">
      <c r="B907" s="23" t="n"/>
    </row>
    <row r="908" ht="13.2" customHeight="1" s="37">
      <c r="B908" s="23" t="n"/>
    </row>
    <row r="909" ht="13.2" customHeight="1" s="37">
      <c r="B909" s="23" t="n"/>
    </row>
    <row r="910" ht="13.2" customHeight="1" s="37">
      <c r="B910" s="23" t="n"/>
    </row>
    <row r="911" ht="13.2" customHeight="1" s="37">
      <c r="B911" s="23" t="n"/>
    </row>
    <row r="912" ht="13.2" customHeight="1" s="37">
      <c r="B912" s="23" t="n"/>
    </row>
    <row r="913" ht="13.2" customHeight="1" s="37">
      <c r="B913" s="23" t="n"/>
    </row>
    <row r="914" ht="13.2" customHeight="1" s="37">
      <c r="B914" s="23" t="n"/>
    </row>
    <row r="915" ht="13.2" customHeight="1" s="37">
      <c r="B915" s="23" t="n"/>
    </row>
    <row r="916" ht="13.2" customHeight="1" s="37">
      <c r="B916" s="23" t="n"/>
    </row>
    <row r="917" ht="13.2" customHeight="1" s="37">
      <c r="B917" s="23" t="n"/>
    </row>
    <row r="918" ht="13.2" customHeight="1" s="37">
      <c r="B918" s="23" t="n"/>
    </row>
    <row r="919" ht="13.2" customHeight="1" s="37">
      <c r="B919" s="23" t="n"/>
    </row>
    <row r="920" ht="13.2" customHeight="1" s="37">
      <c r="B920" s="23" t="n"/>
    </row>
    <row r="921" ht="13.2" customHeight="1" s="37">
      <c r="B921" s="23" t="n"/>
    </row>
    <row r="922" ht="13.2" customHeight="1" s="37">
      <c r="B922" s="23" t="n"/>
    </row>
    <row r="923" ht="13.2" customHeight="1" s="37">
      <c r="B923" s="23" t="n"/>
    </row>
    <row r="924" ht="13.2" customHeight="1" s="37">
      <c r="B924" s="23" t="n"/>
    </row>
    <row r="925" ht="13.2" customHeight="1" s="37">
      <c r="B925" s="23" t="n"/>
    </row>
    <row r="926" ht="13.2" customHeight="1" s="37">
      <c r="B926" s="23" t="n"/>
    </row>
    <row r="927" ht="13.2" customHeight="1" s="37">
      <c r="B927" s="23" t="n"/>
    </row>
    <row r="928" ht="13.2" customHeight="1" s="37">
      <c r="B928" s="23" t="n"/>
    </row>
    <row r="929" ht="13.2" customHeight="1" s="37">
      <c r="B929" s="23" t="n"/>
    </row>
    <row r="930" ht="13.2" customHeight="1" s="37">
      <c r="B930" s="23" t="n"/>
    </row>
    <row r="931" ht="13.2" customHeight="1" s="37">
      <c r="B931" s="23" t="n"/>
    </row>
    <row r="932" ht="13.2" customHeight="1" s="37">
      <c r="B932" s="23" t="n"/>
    </row>
    <row r="933" ht="13.2" customHeight="1" s="37">
      <c r="B933" s="23" t="n"/>
    </row>
    <row r="934" ht="13.2" customHeight="1" s="37">
      <c r="B934" s="23" t="n"/>
    </row>
    <row r="935" ht="13.2" customHeight="1" s="37">
      <c r="B935" s="23" t="n"/>
    </row>
    <row r="936" ht="13.2" customHeight="1" s="37">
      <c r="B936" s="23" t="n"/>
    </row>
    <row r="937" ht="13.2" customHeight="1" s="37">
      <c r="B937" s="23" t="n"/>
    </row>
    <row r="938" ht="13.2" customHeight="1" s="37">
      <c r="B938" s="23" t="n"/>
    </row>
    <row r="939" ht="13.2" customHeight="1" s="37">
      <c r="B939" s="23" t="n"/>
    </row>
    <row r="940" ht="13.2" customHeight="1" s="37">
      <c r="B940" s="23" t="n"/>
    </row>
    <row r="941" ht="13.2" customHeight="1" s="37">
      <c r="B941" s="23" t="n"/>
    </row>
    <row r="942" ht="13.2" customHeight="1" s="37">
      <c r="B942" s="23" t="n"/>
    </row>
    <row r="943" ht="13.2" customHeight="1" s="37">
      <c r="B943" s="23" t="n"/>
    </row>
    <row r="944" ht="13.2" customHeight="1" s="37">
      <c r="B944" s="23" t="n"/>
    </row>
    <row r="945" ht="13.2" customHeight="1" s="37">
      <c r="B945" s="23" t="n"/>
    </row>
    <row r="946" ht="13.2" customHeight="1" s="37">
      <c r="B946" s="23" t="n"/>
    </row>
    <row r="947" ht="13.2" customHeight="1" s="37">
      <c r="B947" s="23" t="n"/>
    </row>
    <row r="948" ht="13.2" customHeight="1" s="37">
      <c r="B948" s="23" t="n"/>
    </row>
    <row r="949" ht="13.2" customHeight="1" s="37">
      <c r="B949" s="23" t="n"/>
    </row>
    <row r="950" ht="13.2" customHeight="1" s="37">
      <c r="B950" s="23" t="n"/>
    </row>
    <row r="951" ht="13.2" customHeight="1" s="37">
      <c r="B951" s="23" t="n"/>
    </row>
    <row r="952" ht="13.2" customHeight="1" s="37">
      <c r="B952" s="23" t="n"/>
    </row>
    <row r="953" ht="13.2" customHeight="1" s="37">
      <c r="B953" s="23" t="n"/>
    </row>
    <row r="954" ht="13.2" customHeight="1" s="37">
      <c r="B954" s="23" t="n"/>
    </row>
    <row r="955" ht="13.2" customHeight="1" s="37">
      <c r="B955" s="23" t="n"/>
    </row>
    <row r="956" ht="13.2" customHeight="1" s="37">
      <c r="B956" s="23" t="n"/>
    </row>
    <row r="957" ht="13.2" customHeight="1" s="37">
      <c r="B957" s="23" t="n"/>
    </row>
    <row r="958" ht="13.2" customHeight="1" s="37">
      <c r="B958" s="23" t="n"/>
    </row>
    <row r="959" ht="13.2" customHeight="1" s="37">
      <c r="B959" s="23" t="n"/>
    </row>
    <row r="960" ht="13.2" customHeight="1" s="37">
      <c r="B960" s="23" t="n"/>
    </row>
    <row r="961" ht="13.2" customHeight="1" s="37">
      <c r="B961" s="23" t="n"/>
    </row>
    <row r="962" ht="13.2" customHeight="1" s="37">
      <c r="B962" s="23" t="n"/>
    </row>
    <row r="963" ht="13.2" customHeight="1" s="37">
      <c r="B963" s="23" t="n"/>
    </row>
    <row r="964" ht="13.2" customHeight="1" s="37">
      <c r="B964" s="23" t="n"/>
    </row>
    <row r="965" ht="13.2" customHeight="1" s="37">
      <c r="B965" s="23" t="n"/>
    </row>
    <row r="966" ht="13.2" customHeight="1" s="37">
      <c r="B966" s="23" t="n"/>
    </row>
    <row r="967" ht="13.2" customHeight="1" s="37">
      <c r="B967" s="23" t="n"/>
    </row>
    <row r="968" ht="13.2" customHeight="1" s="37">
      <c r="B968" s="23" t="n"/>
    </row>
    <row r="969" ht="13.2" customHeight="1" s="37">
      <c r="B969" s="23" t="n"/>
    </row>
    <row r="970" ht="13.2" customHeight="1" s="37">
      <c r="B970" s="23" t="n"/>
    </row>
    <row r="971" ht="13.2" customHeight="1" s="37">
      <c r="B971" s="23" t="n"/>
    </row>
    <row r="972" ht="13.2" customHeight="1" s="37">
      <c r="B972" s="23" t="n"/>
    </row>
    <row r="973" ht="13.2" customHeight="1" s="37">
      <c r="B973" s="23" t="n"/>
    </row>
    <row r="974" ht="13.2" customHeight="1" s="37">
      <c r="B974" s="23" t="n"/>
    </row>
    <row r="975" ht="13.2" customHeight="1" s="37">
      <c r="B975" s="23" t="n"/>
    </row>
    <row r="976" ht="13.2" customHeight="1" s="37">
      <c r="B976" s="23" t="n"/>
    </row>
    <row r="977" ht="13.2" customHeight="1" s="37">
      <c r="B977" s="23" t="n"/>
    </row>
    <row r="978" ht="13.2" customHeight="1" s="37">
      <c r="B978" s="23" t="n"/>
    </row>
    <row r="979" ht="13.2" customHeight="1" s="37">
      <c r="B979" s="23" t="n"/>
    </row>
    <row r="980" ht="13.2" customHeight="1" s="37">
      <c r="B980" s="23" t="n"/>
    </row>
    <row r="981" ht="13.2" customHeight="1" s="37">
      <c r="B981" s="23" t="n"/>
    </row>
    <row r="982" ht="13.2" customHeight="1" s="37">
      <c r="B982" s="23" t="n"/>
    </row>
    <row r="983" ht="13.2" customHeight="1" s="37">
      <c r="B983" s="23" t="n"/>
    </row>
    <row r="984" ht="13.2" customHeight="1" s="37">
      <c r="B984" s="23" t="n"/>
    </row>
    <row r="985" ht="13.2" customHeight="1" s="37">
      <c r="B985" s="23" t="n"/>
    </row>
    <row r="986" ht="13.2" customHeight="1" s="37">
      <c r="B986" s="23" t="n"/>
    </row>
    <row r="987" ht="13.2" customHeight="1" s="37">
      <c r="B987" s="23" t="n"/>
    </row>
    <row r="988" ht="13.2" customHeight="1" s="37">
      <c r="B988" s="23" t="n"/>
    </row>
    <row r="989" ht="13.2" customHeight="1" s="37">
      <c r="B989" s="23" t="n"/>
    </row>
    <row r="990" ht="13.2" customHeight="1" s="37">
      <c r="B990" s="23" t="n"/>
    </row>
    <row r="991" ht="13.2" customHeight="1" s="37">
      <c r="B991" s="23" t="n"/>
    </row>
    <row r="992" ht="13.2" customHeight="1" s="37">
      <c r="B992" s="23" t="n"/>
    </row>
    <row r="993" ht="13.2" customHeight="1" s="37">
      <c r="B993" s="23" t="n"/>
    </row>
    <row r="994" ht="13.2" customHeight="1" s="37">
      <c r="B994" s="23" t="n"/>
    </row>
    <row r="995" ht="13.2" customHeight="1" s="37">
      <c r="B995" s="23" t="n"/>
    </row>
    <row r="996" ht="13.2" customHeight="1" s="37">
      <c r="B996" s="23" t="n"/>
    </row>
    <row r="997" ht="13.2" customHeight="1" s="37">
      <c r="B997" s="23" t="n"/>
    </row>
    <row r="998" ht="13.2" customHeight="1" s="37">
      <c r="B998" s="23" t="n"/>
    </row>
    <row r="999" ht="13.2" customHeight="1" s="37">
      <c r="B999" s="23" t="n"/>
    </row>
    <row r="1000" ht="13.2" customHeight="1" s="37">
      <c r="B1000" s="23" t="n"/>
    </row>
  </sheetData>
  <mergeCells count="1">
    <mergeCell ref="A1:F1"/>
  </mergeCell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Q67"/>
  <sheetViews>
    <sheetView workbookViewId="0">
      <pane ySplit="2" topLeftCell="A3" activePane="bottomLeft" state="frozen"/>
      <selection pane="bottomLeft" activeCell="B4" sqref="B4"/>
    </sheetView>
  </sheetViews>
  <sheetFormatPr baseColWidth="8" defaultColWidth="12.6640625" defaultRowHeight="15.75" customHeight="1"/>
  <cols>
    <col width="44" customWidth="1" style="37" min="2" max="2"/>
    <col width="20.33203125" customWidth="1" style="37" min="10" max="10"/>
  </cols>
  <sheetData>
    <row r="1" ht="26.25" customHeight="1" s="37">
      <c r="A1" s="38">
        <f>HYPERLINK("#gid=0", "🏠 กลับสู่หน้าแรก (Go to Home Page)")</f>
        <v/>
      </c>
      <c r="G1" s="10" t="n"/>
      <c r="H1" s="10" t="n"/>
      <c r="I1" s="10" t="n"/>
      <c r="J1" s="10" t="n"/>
      <c r="K1" s="10" t="n"/>
      <c r="L1" s="10" t="n"/>
      <c r="M1" s="10" t="n"/>
      <c r="N1" s="10" t="n"/>
      <c r="O1" s="10" t="n"/>
      <c r="P1" s="10" t="n"/>
      <c r="Q1" s="10" t="n"/>
    </row>
    <row r="2" ht="64.8" customHeight="1" s="37">
      <c r="A2" s="17" t="inlineStr">
        <is>
          <t>ข้อที่</t>
        </is>
      </c>
      <c r="B2" s="17"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0" t="inlineStr">
        <is>
          <t>ประเภทข้อสอบ</t>
        </is>
      </c>
      <c r="P2" s="10" t="inlineStr">
        <is>
          <t>ปี / เลขชุด</t>
        </is>
      </c>
      <c r="Q2" s="10" t="n"/>
    </row>
    <row r="3" ht="409.6" customHeight="1" s="37">
      <c r="A3" s="12" t="inlineStr">
        <is>
          <t>2</t>
        </is>
      </c>
      <c r="B3" s="10" t="inlineStr">
        <is>
          <t>ข้อใดเป็นเทคนิคที่เหมาะสมในการพิสูจน์ chirality อัตลักษณ์ของวัตถุดิบยา Paclitaxel</t>
        </is>
      </c>
      <c r="C3" s="10" t="n"/>
      <c r="D3" s="10" t="inlineStr">
        <is>
          <t>NIR (near infrared spectroscopy)</t>
        </is>
      </c>
      <c r="E3" s="10" t="inlineStr">
        <is>
          <t>Karl Fischer titration</t>
        </is>
      </c>
      <c r="F3" s="10" t="inlineStr">
        <is>
          <t>Polarimeter</t>
        </is>
      </c>
      <c r="G3" s="10" t="inlineStr">
        <is>
          <t>Refractometer</t>
        </is>
      </c>
      <c r="H3" s="10" t="inlineStr">
        <is>
          <t>Mass spectrometry</t>
        </is>
      </c>
      <c r="I3" s="12" t="inlineStr">
        <is>
          <t>3</t>
        </is>
      </c>
      <c r="J3" s="10" t="inlineStr">
        <is>
          <t>✅ คำตอบที่ถูกต้อง: ข้อ ค. Polarimeter
💡 Background:
สารที่มี Chiral center (มี asymmetric carbon) จะมีคุณสมบัติทางแสงเป็น Optically active compound ซึ่งสามารถบิดหมุนระนาบของแสงโพลาไรซ์ (Plane-polarized light) ได้
🎯 ทำไมข้อนี้ถึงถูก:
Polarimeter เป็นเครื่องมือมาตรฐานตามเภสัชตำรับ (USP/BP) ในการวัดค่า Specific rotation ([α]) เพื่อตรวจสอบ Chirality, Optical purity และใช้ในการระบุเอกลักษณ์ (Identification) ของวัตถุดิบยาที่มีไครัลเซนเตอร์ เช่น Paclitaxel
🔍 ข้ออื่นผิดเพราะอะไร:
• ข้อ ก. (NIR): ใช้ตรวจเอกลักษณ์ทางเคมีหรือความชื้นแบบไม่ทำลายตัวอย่าง ไม่ได้ใช้วัด optical rotation โดยตรง
• ข้อ ข. (Karl Fischer): ใช้หาปริมาณน้ำ (Water determination) ในตัวอย่าง
• ข้อ ง. (Refractometer): ใช้วัดค่าดัชนีหักเหของแสง (Refractive index) ของของเหลว ไม่จำเพาะต่อ chirality
• ข้อ จ. (Mass spectrometry): ใช้วัดมวลต่อประจุ (m/z) ไม่สามารถแยกความแตกต่างของ enantiomers ได้โดยตรง
📖 Guideline อ้างอิง:
USP &lt;781&gt; Optical Rotation &amp; British Pharmacopoeia (BP) Standards
📌 จุดจำก่อนสอบ:
• Chirality / Optical Isomerism: ตรวจสอบด้วย Polarimeter เพื่อหาค่า Specific rotation
• Dextrorotatory (+) หมุนตามเข็มนาฬิกา / Levorotatory (-) หมุนทวนเข็มนาฬิกา / Racemic mixture = 0 องศา</t>
        </is>
      </c>
      <c r="K3" s="10" t="inlineStr">
        <is>
          <t>Optical Rotation &amp; Chirality</t>
        </is>
      </c>
      <c r="L3" s="10" t="inlineStr">
        <is>
          <t>ข้อสอบ Product (Chirality Identification)</t>
        </is>
      </c>
      <c r="M3" s="10" t="inlineStr">
        <is>
          <t>Spectroscopy</t>
        </is>
      </c>
      <c r="N3" s="10" t="inlineStr">
        <is>
          <t>Mock PLE-CC 1 ข้อ 74</t>
        </is>
      </c>
      <c r="O3" s="10" t="inlineStr">
        <is>
          <t>Mock</t>
        </is>
      </c>
      <c r="P3" s="10" t="inlineStr">
        <is>
          <t>Mock RxCU83</t>
        </is>
      </c>
      <c r="Q3" s="10" t="n"/>
    </row>
    <row r="4" ht="409.6" customHeight="1" s="37">
      <c r="A4" s="12" t="inlineStr">
        <is>
          <t>3</t>
        </is>
      </c>
      <c r="B4" s="10" t="inlineStr">
        <is>
          <t>ในการควบคุมคุณภาพวัตถุดิบยา เภสัชตำรับระบุค่า specific rotation มีค่าอยู่ในช่วง -107° ถึง -109.5° เทคนิคหรือเครื่องมือใดต่อไปนี้เหมาะสมที่สุดสำหรับการตรวจวิเคราะห์ค่าดังกล่าว</t>
        </is>
      </c>
      <c r="C4" s="10" t="n"/>
      <c r="D4" s="10" t="inlineStr">
        <is>
          <t>Polarimetry</t>
        </is>
      </c>
      <c r="E4" s="10" t="inlineStr">
        <is>
          <t>NMR spectroscopy</t>
        </is>
      </c>
      <c r="F4" s="10" t="inlineStr">
        <is>
          <t>IR spectroscopy</t>
        </is>
      </c>
      <c r="G4" s="10" t="inlineStr">
        <is>
          <t>HPLC</t>
        </is>
      </c>
      <c r="H4" s="10" t="inlineStr">
        <is>
          <t>Refractometry</t>
        </is>
      </c>
      <c r="I4" s="12" t="inlineStr">
        <is>
          <t>1</t>
        </is>
      </c>
      <c r="J4" s="10" t="inlineStr">
        <is>
          <t>✅ คำตอบที่ถูกต้อง: ข้อ ก. Polarimetry
💡 Background:
ค่า Specific Rotation หรือค่าการหมุนจำเพาะ เป็นสมบัติทางกายภาพเฉพาะตัวของสารที่มี Chiral center ที่สามารถบิดหมุนระนาบแสงโพลาไรซ์ได้ (Optically active compounds)
🎯 ทำไมข้อนี้ถึงถูก:
Polarimetry เป็นเทคนิคที่ใช้เครื่อง Polarimeter ในการวัดมุมการบิดหมุนของแสงโพลาไรซ์ระนาบ (Observed optical rotation, α) โดยตรง จากนั้นนำมาคำนวณหาค่า Specific rotation ตามสูตร [α] = 100α / (l × c) เพื่อใช้ตรวจสอบเอกลักษณ์และความบริสุทธิ์ของตัวยา
🔍 ข้ออื่นผิดเพราะอะไร:
• ข้อ ข. (NMR): ใช้ตรวจโครงสร้างทางเคมีและตำแหน่งนิวเคลียสของไฮโดรเจนหรือคาร์บอน
• ข้อ ค. (IR): ใช้วิเคราะห์หมู่ฟังก์ชัน (Functional groups)
• ข้อ ง. (HPLC): ใช้แยกสาร หาปริมาณ (Assay) และตรวจสารปนเปื้อน (Related substances)
• ข้อ จ. (Refractometry): ใช้วัดค่าดัชนีหักเหของแสง (Refractive index) ของของเหลวบริสุทธิ์
📖 Guideline อ้างอิง:
USP &lt;781&gt; Optical Rotation &amp; WHO Annex Guidelines for Quality Control of Pharmaceuticals
📌 จุดจำก่อนสอบ:
• ค่า Specific rotation ([α]): เครื่องมือตรวจวัดคือ Polarimeter / Polarimetry เสมอ</t>
        </is>
      </c>
      <c r="K4" s="10" t="inlineStr">
        <is>
          <t>Polarimetry</t>
        </is>
      </c>
      <c r="L4" s="10" t="inlineStr">
        <is>
          <t>ข้อสอบจริง PLE CC 1 (Product) ปี 2567 ข้อ 1</t>
        </is>
      </c>
      <c r="M4" s="10" t="inlineStr">
        <is>
          <t>Spectroscopy</t>
        </is>
      </c>
      <c r="N4" s="10" t="inlineStr">
        <is>
          <t>PLE_CC1_2567_Key ข้อ 3</t>
        </is>
      </c>
      <c r="O4" s="10" t="inlineStr">
        <is>
          <t>ข้อสอบจริง</t>
        </is>
      </c>
      <c r="P4" s="10" t="inlineStr">
        <is>
          <t>ปี 2567</t>
        </is>
      </c>
      <c r="Q4" s="10" t="n"/>
    </row>
    <row r="5" ht="409.6" customHeight="1" s="37">
      <c r="A5" s="12" t="inlineStr">
        <is>
          <t>4</t>
        </is>
      </c>
      <c r="B5" s="10" t="inlineStr">
        <is>
          <t>ตามมาตรฐานเภสัชตำรับ USP กำหนดให้ Morphine sulphate มีค่า specific rotation อยู่ในช่วงที่กำหนด เทคนิคการวิเคราะห์ใดต่อไปนี้เหมาะสมที่สุดสำหรับการวัด specific rotation ของ Morphine sulphate</t>
        </is>
      </c>
      <c r="C5" s="10" t="n"/>
      <c r="D5" s="10" t="inlineStr">
        <is>
          <t>Refractometry</t>
        </is>
      </c>
      <c r="E5" s="10" t="inlineStr">
        <is>
          <t>Polarimetry</t>
        </is>
      </c>
      <c r="F5" s="10" t="inlineStr">
        <is>
          <t>UV spectroscopy</t>
        </is>
      </c>
      <c r="G5" s="10" t="inlineStr">
        <is>
          <t>HPLC</t>
        </is>
      </c>
      <c r="H5" s="10" t="inlineStr">
        <is>
          <t>Mass spectrometry</t>
        </is>
      </c>
      <c r="I5" s="12" t="inlineStr">
        <is>
          <t>2</t>
        </is>
      </c>
      <c r="J5" s="10" t="inlineStr">
        <is>
          <t>✅ คำตอบที่ถูกต้อง: ข้อ ข. Polarimetry
💡 Background:
Morphine sulphate เป็นสารกลุ่ม Opioid alkaloid ที่มีโครงสร้างโมเลกุลแบบ asymmetric (chiral center 5 ตำแหน่ง) จึงมีสมบัติเป็น optically active หมุนระนาบแสงโพลาไรซ์
🎯 ทำไมข้อนี้ถึงถูก:
Polarimetry เป็นเทคนิคที่มีกลไกการทำงานโดยการปล่อยแสงโพลาไรซ์ระนาบเดี่ยวผ่านสารละลายตัวอย่าง เพื่อวัดมุมองศาที่โครงสร้างโมเลกุลของสารบิดหมุนระนาบแสงไป แล้วคำนวณเป็นค่า Specific rotation ตามเกณฑ์ USP Monograph เพื่อยืนยันความบริสุทธิ์และเอกลักษณ์ของตัวยา
🔍 ข้ออื่นผิดเพราะอะไร:
• ข้อ ก. (Refractometry): ใช้วัด Refractive index ของสารละลาย ไม่สามารถวัดค่า specific rotation ได้
• ข้อ ค. (UV spectroscopy): วัดการดูดกลืนแสงของโครโมฟอร์ (Chromophore) เพื่อหาความเข้มข้น
• ข้อ ง. (HPLC): ใช้แยกสารและหาปริมาณ ไม่ได้วัดการหมุนแสงโพลาไรซ์โดยตรง (เว้นแต่ติด chiral detector พิเศษ)
• ข้อ จ. (Mass spectrometry): วิเคราะห์มวลโมเลกุลและ fragmentation pattern
📖 Guideline อ้างอิง:
USP-NF Official Monograph: Morphine Sulfate &amp; USP &lt;781&gt; Optical Rotation
📌 จุดจำก่อนสอบ:
• Monograph Morphine Sulfate Specific Rotation: ตรวจสอบด้วย Polarimetry เท่านั้น</t>
        </is>
      </c>
      <c r="K5" s="10" t="inlineStr">
        <is>
          <t>Polarimetry</t>
        </is>
      </c>
      <c r="L5" s="10" t="inlineStr">
        <is>
          <t>ข้อสอบจริง PLE CC 1 (Product) ปี 2567 ข้อ 2</t>
        </is>
      </c>
      <c r="M5" s="10" t="inlineStr">
        <is>
          <t>Spectroscopy</t>
        </is>
      </c>
      <c r="N5" s="10" t="inlineStr">
        <is>
          <t>PLE_CC1_2567_Set1_Key ข้อ 16</t>
        </is>
      </c>
      <c r="O5" s="10" t="inlineStr">
        <is>
          <t>ข้อสอบจริง</t>
        </is>
      </c>
      <c r="P5" s="10" t="inlineStr">
        <is>
          <t>ปี 2567</t>
        </is>
      </c>
      <c r="Q5" s="10" t="n"/>
    </row>
    <row r="6" ht="409.6" customHeight="1" s="37">
      <c r="A6" s="12" t="inlineStr">
        <is>
          <t>5</t>
        </is>
      </c>
      <c r="B6" s="10" t="inlineStr">
        <is>
          <t>ในการตรวจวิเคราะห์ทางเภสัชกรรม หากได้รับภาพผลการวิเคราะห์ด้วยเทคนิค Infrared Spectroscopy (IR Spectrum) ภาพดังกล่าวมีวัตถุประสงค์หลักเพื่อใช้ตรวจสอบหรือระบุสิ่งใด</t>
        </is>
      </c>
      <c r="C6" s="10" t="n"/>
      <c r="D6" s="10" t="inlineStr">
        <is>
          <t>Functional group (หมู่ฟังก์ชันในโมเลกุล)</t>
        </is>
      </c>
      <c r="E6" s="10" t="inlineStr">
        <is>
          <t>Electrospray Ionization Mass (m/z)</t>
        </is>
      </c>
      <c r="F6" s="10" t="inlineStr">
        <is>
          <t>Optical Rotation via Polarimeter</t>
        </is>
      </c>
      <c r="G6" s="10" t="inlineStr">
        <is>
          <t>Refractive Index via Abbe Refractometer</t>
        </is>
      </c>
      <c r="H6" s="10" t="inlineStr">
        <is>
          <t>Melting point and thermal behavior</t>
        </is>
      </c>
      <c r="I6" s="12" t="inlineStr">
        <is>
          <t>1</t>
        </is>
      </c>
      <c r="J6" s="10" t="inlineStr">
        <is>
          <t>✅ คำตอบที่ถูกต้อง: ข้อ ก. Functional group (หมู่ฟังก์ชันในโมเลกุล)
💡 Background:
Infrared (IR) Spectroscopy เป็นเทคนิคการดูดกลืนรังสีอินฟราเรดที่ทำให้เกิดการสั่นของพันธะเคมี (Vibrational transitions) ภายในโมเลกุล
🎯 ทำไมข้อนี้ถึงถูก:
IR Spectrum แสดงพีคการดูดกลืนแสงที่ความถี่/เลขคลื่น (Wavenumber, cm⁻¹) เฉพาะของพันธะเคมีแต่ละชนิด จึงเป็นเทคนิคหลักที่ใช้ระบุหมู่ฟังก์ชัน (Functional group region: 4000-1500 cm⁻¹) และใช้ยืนยันเอกลักษณ์โครงสร้างด้วยบริเวณลายนิ้วมือโมเลกุล (Fingerprint region: 1500-400 cm⁻¹)
🔍 ข้ออื่นผิดเพราะอะไร:
• ข้อ ข. (Mass m/z): ตรวจด้วย Mass Spectrometry (MS)
• ข้อ ค. (Optical Rotation): ตรวจด้วย Polarimeter
• ข้อ ง. (Refractive Index): ตรวจด้วย Abbe Refractometer
• ข้อ จ. (Thermal behavior): ตรวจด้วย DSC หรือ Melting point apparatus
📖 Guideline อ้างอิง:
USP &lt;197&gt; Spectrophotometric Identification Tests &amp; Silverstein Spectrometric Identification
📌 จุดจำก่อนสอบ:
• IR Spectroscopy Core Utility: ระบุ Functional groups และเปรียบเทียบ Fingerprint region กับ Reference Standard</t>
        </is>
      </c>
      <c r="K6" s="10" t="inlineStr">
        <is>
          <t>Infrared (IR) Spectroscopy</t>
        </is>
      </c>
      <c r="L6" s="10" t="inlineStr">
        <is>
          <t>ข้อสอบจริง PLE CC 1 (Product) ปี 2566 ข้อ 4</t>
        </is>
      </c>
      <c r="M6" s="10" t="inlineStr">
        <is>
          <t>Spectroscopy</t>
        </is>
      </c>
      <c r="N6" s="10" t="inlineStr">
        <is>
          <t>PLE-CC1 ปี 2566 Day 1 ข้อ 29</t>
        </is>
      </c>
      <c r="O6" s="10" t="inlineStr">
        <is>
          <t>ข้อสอบจริง</t>
        </is>
      </c>
      <c r="P6" s="10" t="inlineStr">
        <is>
          <t>ปี 2566</t>
        </is>
      </c>
      <c r="Q6" s="10" t="n"/>
    </row>
    <row r="7" ht="409.6" customHeight="1" s="37">
      <c r="A7" s="12" t="inlineStr">
        <is>
          <t>6</t>
        </is>
      </c>
      <c r="B7" s="10" t="inlineStr">
        <is>
          <t>ในการควบคุมคุณภาพเภสัชภัณฑ์ตามมาตรฐานสากล (ICH Q3D / USP &lt;232&gt;, &lt;233&gt;) หากต้องการตรวจวิเคราะห์หาปริมาณสิ่งเจือปนประเภทธาตุโลหะหนัก (Elemental Impurities เช่น As, Cd, Pb, Hg) ในวัตถุดิบหรือยาสำเร็จรูป เทคนิคหรือเครื่องมือใดต่อไปนี้เหมาะสมที่สุด</t>
        </is>
      </c>
      <c r="C7" s="10" t="n"/>
      <c r="D7" s="10" t="inlineStr">
        <is>
          <t>Inductively Coupled Plasma Spectroscopy (ICP-MS หรือ ICP-OES)</t>
        </is>
      </c>
      <c r="E7" s="10" t="inlineStr">
        <is>
          <t>Fourier Transform Infrared Spectroscopy (FT-IR)</t>
        </is>
      </c>
      <c r="F7" s="10" t="inlineStr">
        <is>
          <t>UV-Vis Spectrophotometry</t>
        </is>
      </c>
      <c r="G7" s="10" t="inlineStr">
        <is>
          <t>Refractive Index via Abbe Refractometer</t>
        </is>
      </c>
      <c r="H7" s="10" t="inlineStr">
        <is>
          <t>Differential Scanning Calorimetry (DSC)</t>
        </is>
      </c>
      <c r="I7" s="12" t="inlineStr">
        <is>
          <t>1</t>
        </is>
      </c>
      <c r="J7" s="10" t="inlineStr">
        <is>
          <t>✅ คำตอบที่ถูกต้อง: ข้อ ก. Inductively Coupled Plasma Spectroscopy (ICP-MS หรือ ICP-OES)
💡 Background:
การควบคุมสิ่งเจือปนประเภทโลหะหนัก (Elemental Impurities) ในเภสัชภัณฑ์ ตามเกณฑ์ ICH Q3D และ USP &lt;232&gt;/&lt;233&gt; กำหนดขีดจำกัดความปลอดภัยของโลหะที่เป็นพิษสูง (เช่น สารหนู ตะกั่ว แคดเมียม ปรอท) ในระดับร่องรอย (ppb ถึง ppm)
🎯 ทำไมข้อนี้ถึงถูก:
USP &lt;233&gt; กำหนดให้ใช้เทคนิค Inductively Coupled Plasma ควบคู่กับ Mass Spectrometry (ICP-MS) หรือ Optical Emission Spectrometry (ICP-OES) เป็นวิธีมาตรฐาน เนื่องจากพลาสมาอุณหภูมิสูง (6,000-10,000 K) สามารถแตกตัวธาตุทุกชนิดให้เป็นอะตอมและไอออนเดี่ยวได้อย่างสมบูรณ์ มีความจำเพาะสูงมาก สามารถวิเคราะห์หลายธาตุพร้อมกัน (Multi-elemental analysis) และมีขีดจำกัดในการตรวจวัดต่ำมากในระดับ trace/ultratrace level (ppb/ppt)
🔍 ข้ออื่นผิดเพราะอะไร:
• ข้อ ข. (FT-IR): ใช้ตรวจหมู่ฟังก์ชันและพันธะโควาเลนต์ในสารอินทรีย์ ไม่สามารถตรวจโลหะเดี่ยวในระดับร่องรอยได้
• ข้อ ค. (UV-Vis): ความจำเพาะและความไวไม่เพียงพอสำหรับการตรวจ elemental impurities ที่ซับซ้อนตามเกณฑ์ USP
• ข้อ ง. (Refractometer): วัดดัชนีหักเหของของเหลว
• ข้อ จ. (DSC): วัดการเปลี่ยนแปลงทางความร้อนของของแข็ง
📖 Guideline อ้างอิง:
ICH Q3D Guideline for Elemental Impurities &amp; USP &lt;233&gt; Elemental Impurities – Procedures
📌 จุดจำก่อนสอบ:
• Elemental Impurities Standard Methods: ICP-OES หรือ ICP-MS ตาม USP &lt;233&gt; / ICH Q3D เสมอ</t>
        </is>
      </c>
      <c r="K7" s="10" t="inlineStr">
        <is>
          <t>Atomic Spectroscopy &amp; Elemental Impurities</t>
        </is>
      </c>
      <c r="L7" s="10" t="inlineStr">
        <is>
          <t>ข้อสอบจริง PLE CC 1 ปี 2566 Day 2 ข้อ 90</t>
        </is>
      </c>
      <c r="M7" s="10" t="inlineStr">
        <is>
          <t>Spectroscopy</t>
        </is>
      </c>
      <c r="N7" s="10" t="inlineStr">
        <is>
          <t>PLE-CC1 ปี 2566 Day 2 ข้อ 1</t>
        </is>
      </c>
      <c r="O7" s="10" t="inlineStr">
        <is>
          <t>ข้อสอบจริง</t>
        </is>
      </c>
      <c r="P7" s="10" t="inlineStr">
        <is>
          <t>ปี 2566</t>
        </is>
      </c>
      <c r="Q7" s="10" t="n"/>
    </row>
    <row r="8" ht="409.6" customHeight="1" s="37">
      <c r="A8" s="12" t="inlineStr">
        <is>
          <t>7</t>
        </is>
      </c>
      <c r="B8" s="10" t="inlineStr">
        <is>
          <t>ในการทดสอบความถูกต้องของวิธีวิเคราะห์ที่พัฒนาขึ้นเองในห้องปฏิบัติการ (In-house analytical method validation) สำหรับการหาปริมาณตัวยาสำคัญ (Assay) ด้วยเทคนิค UV-Vis Spectrophotometry ตามแนวทาง ICH Q2(R1) และ USP &lt;1225&gt; หัวข้อใดต่อไปนี้ไม่มีความจำเป็นต้องประเมิน (ไม่ต้อง validate)</t>
        </is>
      </c>
      <c r="C8" s="10" t="n"/>
      <c r="D8" s="10" t="inlineStr">
        <is>
          <t>Limit of Detection (LOD; ขีดจำกัดต่ำสุดที่สามารถตรวจพบได้)</t>
        </is>
      </c>
      <c r="E8" s="10" t="inlineStr">
        <is>
          <t>Specificity (ความจำเพาะในการตรวจวิเคราะห์ตัวยาสำคัญท่ามกลางสารช่วยในตำรับ)</t>
        </is>
      </c>
      <c r="F8" s="10" t="inlineStr">
        <is>
          <t>Accuracy (ความถูกต้อง โดยประเมินค่า %Recovery)</t>
        </is>
      </c>
      <c r="G8" s="10" t="inlineStr">
        <is>
          <t>Precision (ความเที่ยง ทั้ง Repeatability และ Intermediate precision)</t>
        </is>
      </c>
      <c r="H8" s="10" t="inlineStr">
        <is>
          <t>Linearity and Range (ความเป็นเส้นตรงและช่วงการวิเคราะห์)</t>
        </is>
      </c>
      <c r="I8" s="12" t="inlineStr">
        <is>
          <t>1</t>
        </is>
      </c>
      <c r="J8" s="10" t="inlineStr">
        <is>
          <t>✅ คำตอบที่ถูกต้อง: ข้อ ก. Limit of Detection (LOD; ขีดจำกัดต่ำสุดที่สามารถตรวจพบได้)
💡 Background:
การทำ Validation วิธีวิเคราะห์ตามแนวทาง ICH Q2(R1) และ USP &lt;1225&gt; แบ่งกลุ่มการทดสอบตามวัตถุประสงค์ของการวิเคราะห์ เช่น การหาปริมาณตัวยาสำคัญ (Category I: Assay) หรือการตรวจหาสิ่งเจือปน (Category II: Impurities testing)
🎯 ทำไมข้อนี้ถึงถูก:
สำหรับวิธีตรวจวิเคราะห์หาปริมาณตัวยาสำคัญ (Assay / Content uniformity) ความเข้มข้นของตัวยาในสารละลายทดสอบจะอยู่ในระดับสูง (ปกติประมาณ 80-120% ของ label claim) จึงต้องประเมิน Specificity, Linearity, Range, Accuracy และ Precision เป็นหลัก โดย ไม่จำเป็นต้องประเมิน Limit of Detection (LOD) เนื่องจาก LOD เป็นพารามิเตอร์ที่จำเป็นสำหรับการทดสอบสิ่งเจือปนหรือสารปนเปื้อนปริมาณน้อย (Limit tests of impurities) เท่านั้น
🔍 ข้ออื่นผิดเพราะอะไร:
• ข้อ ข., ค., ง., จ.: เป็นหัวข้อหลักบังคับ (Mandatory parameters) สำหรับการ validate วิธี Assay ทุกวิธีตาม ICH Q2(R1)
📖 Guideline อ้างอิง:
ICH Harmonised Tripartite Guideline Q2(R1) Validation of Analytical Procedures &amp; USP &lt;1225&gt; Validation of Compendial Procedures
📌 จุดจำก่อนสอบ:
• Assay Validation Parameters: Specificity, Linearity, Range, Accuracy, Precision (ไม่ต้องทำ LOD และ LOQ)
• Quantitative Impurity Testing: ต้องทำครบทุกหัวข้อรวมถึง LOQ
• Limit Test of Impurity: ต้องทำ Specificity และ LOD</t>
        </is>
      </c>
      <c r="K8" s="10" t="inlineStr">
        <is>
          <t>Analytical Method Validation (ICH Q2)</t>
        </is>
      </c>
      <c r="L8" s="10" t="inlineStr">
        <is>
          <t>ข้อสอบจริง PLE CC 1 ปี 2566 Day 2 ข้อ 87</t>
        </is>
      </c>
      <c r="M8" s="10" t="inlineStr">
        <is>
          <t>Spectroscopy</t>
        </is>
      </c>
      <c r="N8" s="10" t="inlineStr">
        <is>
          <t>PLE-CC1 ปี 2566 Day 2 ข้อ 2</t>
        </is>
      </c>
      <c r="O8" s="10" t="inlineStr">
        <is>
          <t>ข้อสอบจริง</t>
        </is>
      </c>
      <c r="P8" s="10" t="inlineStr">
        <is>
          <t>ปี 2566</t>
        </is>
      </c>
      <c r="Q8" s="10" t="n"/>
    </row>
    <row r="9" ht="409.6" customHeight="1" s="37">
      <c r="A9" s="12" t="inlineStr">
        <is>
          <t>8</t>
        </is>
      </c>
      <c r="B9" s="10" t="inlineStr">
        <is>
          <t>จากการตรวจวิเคราะห์เอกลักษณ์ของตัวยาสำคัญด้วย Infrared Spectroscopy (IR Spectrum) พบพีคการดูดกลืนแสงที่คมชัดและรุนแรง (Strong sharp band) ที่เลขคลื่นประมาณ 1,700 cm⁻¹ (1690 - 1750 cm⁻¹) พีคดังกล่าวแสดงถึงการสั่นแบบยืดตัว (Stretching vibration) ของหมู่ฟังก์ชันใดในโครงสร้างโมเลกุล</t>
        </is>
      </c>
      <c r="C9" s="10" t="n"/>
      <c r="D9" s="10" t="inlineStr">
        <is>
          <t>Carbonyl group (C=O stretching เช่น ใน ketone, ester, carboxylic acid)</t>
        </is>
      </c>
      <c r="E9" s="10" t="inlineStr">
        <is>
          <t>Hydroxyl group (O-H stretching ใน alcohol หรือ phenol)</t>
        </is>
      </c>
      <c r="F9" s="10" t="inlineStr">
        <is>
          <t>Amine group (N-H stretching ใน primary หรือ secondary amine)</t>
        </is>
      </c>
      <c r="G9" s="10" t="inlineStr">
        <is>
          <t>Alkyne group (C≡C stretching)</t>
        </is>
      </c>
      <c r="H9" s="10" t="inlineStr">
        <is>
          <t>Aromatic ring (C=C aromatic stretching)</t>
        </is>
      </c>
      <c r="I9" s="12" t="inlineStr">
        <is>
          <t>1</t>
        </is>
      </c>
      <c r="J9" s="10" t="inlineStr">
        <is>
          <t>✅ คำตอบที่ถูกต้อง: ข้อ ก. Carbonyl group (C=O stretching เช่น ใน ketone, ester, carboxylic acid)
💡 Background:
IR Spectroscopy อาศัยการดูดกลืนพลังงานรังสีอินฟราเรดที่จำเพาะต่อการสั่นของพันธะโควาเลนต์ โดยช่วงเลขคลื่น 1,500 - 4,000 cm⁻¹ คือ Functional Group Region
🎯 ทำไมข้อนี้ถึงถูก:
พันธะ Carbonyl (C=O) มีความแตกต่างของสภาพขั้วสูงมาก (High dipole moment) จึงดูดกลืนรังสี IR ได้อย่างรุนแรงและเกิดพีคคมชัดเด่นชัดที่สุดในสเปกตรัมที่ช่วงความถี่ 1,680 - 1,750 cm⁻¹ (เช่น Ketone ~1715 cm⁻¹, Ester ~1735 cm⁻¹, Carboxylic acid ~1710 cm⁻¹)
🔍 ข้ออื่นผิดเพราะอะไร:
• ข้อ ข. (O-H stretch): เกิดพีคกว้างมาก (Broad band) ที่ 3,200 - 3,600 cm⁻¹
• ข้อ ค. (N-H stretch): เกิดพีคที่ 3,300 - 3,500 cm⁻¹
• ข้อ ง. (C≡C stretch): เกิดพีคแหลมปานกลางที่ 2,100 - 2,260 cm⁻¹
• ข้อ จ. (C=C aromatic): เกิดพีคหลายพีคที่ 1,450 - 1,600 cm⁻¹
📖 Guideline อ้างอิง:
Silverstein Spectrometric Identification of Organic Compounds &amp; USP &lt;197&gt; Spectrophotometric Identification Tests
📌 จุดจำก่อนสอบ:
• C=O Carbonyl: พีคคมรุนแรงเด่นที่สุดที่ ~1700 cm⁻¹
• O-H Alcohol/Acid: พีคกว้างเหมือนลิ้นที่ ~3300 cm⁻¹ (Carboxylic acid O-H กว้างคลุม 2500-3300 cm⁻¹)</t>
        </is>
      </c>
      <c r="K9" s="10" t="inlineStr">
        <is>
          <t>Infrared (IR) Spectroscopy</t>
        </is>
      </c>
      <c r="L9" s="10" t="inlineStr">
        <is>
          <t>ข้อสอบจริง PLE CC 1 ปี 2565 Day 1 ข้อ 45</t>
        </is>
      </c>
      <c r="M9" s="10" t="inlineStr">
        <is>
          <t>Spectroscopy</t>
        </is>
      </c>
      <c r="N9" s="10" t="inlineStr">
        <is>
          <t>PLE-CC1 ปี 2566 Day 2 ข้อ 3</t>
        </is>
      </c>
      <c r="O9" s="10" t="inlineStr">
        <is>
          <t>ข้อสอบจริง</t>
        </is>
      </c>
      <c r="P9" s="10" t="inlineStr">
        <is>
          <t>ปี 2566</t>
        </is>
      </c>
      <c r="Q9" s="10" t="n"/>
    </row>
    <row r="10" ht="409.6" customHeight="1" s="37">
      <c r="A10" s="12" t="inlineStr">
        <is>
          <t>9</t>
        </is>
      </c>
      <c r="B10" s="10" t="inlineStr">
        <is>
          <t>จากโครงสร้างและการควบคุมคุณภาพของยา Griseofulvin การตรวจสอบเอกลักษณ์เฉพาะทางกายภาพข้อใดต่อไปนี้ช่วยยืนยันโครงสร้างผลึกและความแตกต่างของ Polymorphic forms ได้อย่างจำเพาะเจาะจงที่สุด</t>
        </is>
      </c>
      <c r="C10" s="10" t="n"/>
      <c r="D10" s="10" t="inlineStr">
        <is>
          <t>Infrared (IR) Spectroscopy และ X-ray Powder Diffraction (XRPD)</t>
        </is>
      </c>
      <c r="E10" s="10" t="inlineStr">
        <is>
          <t>UV-Vis Spectrophotometry</t>
        </is>
      </c>
      <c r="F10" s="10" t="inlineStr">
        <is>
          <t>Thin Layer Chromatography (TLC)</t>
        </is>
      </c>
      <c r="G10" s="10" t="inlineStr">
        <is>
          <t>Refractive Index</t>
        </is>
      </c>
      <c r="H10" s="10" t="inlineStr">
        <is>
          <t>Loss on Drying</t>
        </is>
      </c>
      <c r="I10" s="12" t="inlineStr">
        <is>
          <t>1</t>
        </is>
      </c>
      <c r="J10" s="10" t="inlineStr">
        <is>
          <t>✅ คำตอบที่ถูกต้อง: ข้อ ก. Infrared (IR) Spectroscopy และ X-ray Powder Diffraction (XRPD)
💡 Background:
ยา Griseofulvin เป็นยาต้านเชื้อราที่ละลายน้ำได้น้อยมาก (Biopharmaceutics Classification System; BCS Class II) ขนาดผลึกและรูปผลึก (Polymorphism) มีผลกระทบอย่างมีนัยสำคัญต่ออัตราการละลายและการดูดซึมเข้าร่างกาย (Bioavailability)
🎯 ทำไมข้อนี้ถึงถูก:
การจำแนกความแตกต่างของผลึกหลายรูป (Polymorphs) และการพิสูจน์เอกลักษณ์โครงสร้างของแข็งที่จำเพาะ ต้องอาศัยเทคนิค Solid-state Characterization ได้แก่ X-ray Powder Diffraction (XRPD) และ Solid-state FTIR Spectroscopy (KBr disc หรือ ATR) ซึ่งสามารถตรวจจับความแตกต่างของการจัดเรียงตัวของโมเลกุลในโครงสร้างแลตทิซผลึกและพันธะไฮโดรเจนระหว่างโมเลกุลได้อย่างแม่นยำ
🔍 ข้ออื่นผิดเพราะอะไร:
• ข้อ ข. (UV-Vis): เมื่อนำตัวยาไปละลายในตัวทำละลาย โครงสร้างผลึกจะถูกทำลายไป จึงไม่สามารถแยกความแตกต่างของรูปผลึกได้
• ข้อ ค. (TLC): แยกสารตามขั้วเคมีในสารละลาย ไม่บอกลักษณะผลึก
• ข้อ ง. และ จ.: ไม่สามารถตรวจรูปผลึกที่ซับซ้อนได้
📖 Guideline อ้างอิง:
USP &lt;941&gt; Characterization of Crystalline and Partially Crystalline Solids by X-ray Powder Diffraction &amp; British Pharmacopoeia (BP)
📌 จุดจำก่อนสอบ:
• Polymorphism Characterization: ใช้ XRPD, DSC, Hot-stage microscopy และ Solid-state IR</t>
        </is>
      </c>
      <c r="K10" s="10" t="inlineStr">
        <is>
          <t>Polymorphism &amp; Solid-state Spectroscopy</t>
        </is>
      </c>
      <c r="L10" s="10" t="inlineStr">
        <is>
          <t>ข้อสอบจริง PLE CC 1 ปี 2561 ข้อ 2</t>
        </is>
      </c>
      <c r="M10" s="10" t="inlineStr">
        <is>
          <t>Spectroscopy</t>
        </is>
      </c>
      <c r="N10" s="10" t="inlineStr">
        <is>
          <t>PLE_CC1_2564_All_Key ข้อ 136</t>
        </is>
      </c>
      <c r="O10" s="10" t="inlineStr">
        <is>
          <t>ข้อสอบจริง</t>
        </is>
      </c>
      <c r="P10" s="10" t="inlineStr">
        <is>
          <t>ปี 2564</t>
        </is>
      </c>
      <c r="Q10" s="10" t="n"/>
    </row>
    <row r="11" ht="409.6" customHeight="1" s="37">
      <c r="A11" s="12" t="inlineStr">
        <is>
          <t>9</t>
        </is>
      </c>
      <c r="B11" s="10" t="inlineStr">
        <is>
          <t>โครงสร้าง ethambutol ข้อใดถูก M69608 X neediererz restora ninata do nee ↑</t>
        </is>
      </c>
      <c r="C11" s="10" t="n"/>
      <c r="D11" s="10" t="inlineStr">
        <is>
          <t>เป็น zwitter ion</t>
        </is>
      </c>
      <c r="E11" s="10" t="inlineStr">
        <is>
          <t>ละลายได้ดีในกรด</t>
        </is>
      </c>
      <c r="F11" s="10" t="inlineStr">
        <is>
          <t>ดูดกลืนแสงช่วง UV</t>
        </is>
      </c>
      <c r="G11" s="10" t="inlineStr">
        <is>
          <t>มี stereomer 1 ตำแหน่ง</t>
        </is>
      </c>
      <c r="H11" s="10" t="inlineStr">
        <is>
          <t>ขับออกได้ดีในสภาวะปัสสาวะเป็นด่าง</t>
        </is>
      </c>
      <c r="I11" s="12" t="inlineStr">
        <is>
          <t>1</t>
        </is>
      </c>
      <c r="J11" s="10" t="inlineStr">
        <is>
          <t>✅ คำตอบที่ถูกต้อง: ข้อ ก. เป็น zwitter 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เป็น zwitter ion 💡 คำอธิบายและเหตุผลทางเภสัชกรรม:
💡 คำอธิบายและเหตุผลทางเภสัชกรรม:
การเลือก เป็น zwitter ion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(ละลายได้ดีในกรด): ข้อนี้ไม่ใช่คำตอบที่ถูกต้องสำหรับภาวะ UV-Vis Spectroscopy เนื่องจากกลไกการออกฤทธิ์, efficacy หรือข้อบ่งใช้ไม่ตรงกับโจทย์ที่กำหนด
• ข้อ ค. (ดูดกลืนแสงช่วง UV): ข้อนี้ไม่ใช่คำตอบที่ถูกต้องสำหรับภาวะ UV-Vis Spectroscopy เนื่องจากกลไกการออกฤทธิ์, efficacy หรือข้อบ่งใช้ไม่ตรงกับโจทย์ที่กำหนด
• ข้อ ง. (มี stereomer 1 ตำแหน่ง): ข้อนี้ไม่ใช่คำตอบที่ถูกต้องสำหรับภาวะ UV-Vis Spectroscopy เนื่องจากกลไกการออกฤทธิ์, efficacy หรือข้อบ่งใช้ไม่ตรงกับโจทย์ที่กำหนด
• ข้อ จ. (ขับออกได้ดีในสภาวะปัสสาวะเป็นด่าง):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UV-Vis Spectroscopy</t>
        </is>
      </c>
      <c r="M11" s="10" t="inlineStr">
        <is>
          <t>Product</t>
        </is>
      </c>
      <c r="N11" s="10" t="inlineStr">
        <is>
          <t>ข้อ 14 (PLE_CC1_2562_Key.md)</t>
        </is>
      </c>
      <c r="O11" s="10" t="inlineStr">
        <is>
          <t>ข้อสอบจริง</t>
        </is>
      </c>
      <c r="P11" s="10" t="inlineStr">
        <is>
          <t>ปี 2562</t>
        </is>
      </c>
      <c r="Q11" s="10" t="n"/>
    </row>
    <row r="12" ht="409.6" customHeight="1" s="37">
      <c r="A12" s="12" t="inlineStr">
        <is>
          <t>10</t>
        </is>
      </c>
      <c r="B12" s="10" t="inlineStr">
        <is>
          <t>จากสูตรโครงสร้างของยา Triprolidine โครงสร้างหรือส่วนใดของโมเลกุลทำหน้าที่เป็น Chromophore ที่ทำให้สารสามารถตรวจวิเคราะห์ได้ด้วยเทคนิค UV-Vis Spectrophotometry</t>
        </is>
      </c>
      <c r="C12" s="10" t="n"/>
      <c r="D12" s="10" t="inlineStr">
        <is>
          <t>Phenyl ring (และ Pyridyl ring ที่มี conjugated double bonds)</t>
        </is>
      </c>
      <c r="E12" s="10" t="inlineStr">
        <is>
          <t>Pyrrolidine ring (วง aliphatic heterocyclic amine)</t>
        </is>
      </c>
      <c r="F12" s="10" t="inlineStr">
        <is>
          <t>Methyl group</t>
        </is>
      </c>
      <c r="G12" s="10" t="inlineStr">
        <is>
          <t>Ethylene bridge ที่ไม่มี conjugation</t>
        </is>
      </c>
      <c r="H12" s="10" t="inlineStr">
        <is>
          <t>Aliphatic tertiary amine</t>
        </is>
      </c>
      <c r="I12" s="12" t="inlineStr">
        <is>
          <t>1</t>
        </is>
      </c>
      <c r="J12" s="10" t="inlineStr">
        <is>
          <t>✅ คำตอบที่ถูกต้อง: ข้อ ก. Phenyl ring (และ Pyridyl ring ที่มี conjugated double bonds)
💡 Background:
การดูดกลืนแสงในช่วง UV-Visible (200-800 nm) เกิดขึ้นเมื่อโมเลกุลมีหมู่อะตอมที่ไม่อิ่มตัวหรือมีระบบคอนจูเกชัน เรียกว่า โครโมฟอร์ (Chromophore) ซึ่งทำให้อิเล็กตรอนเกิดการส่งผ่านพลังงาน (π → π* transition)
🎯 ทำไมข้อนี้ถึงถูก:
ในโครงสร้างของ Triprolidine มีหมู่อะโรมาติกคือ Phenyl ring และ 2-Pyridyl ring ที่เชื่อมต่อกับพันธะคู่ (Conjugated double bond system) ซึ่งทำหน้าที่เป็น Chromophore ดูดกลืนรังสี UV ที่ความยาวคลื่นประมาณ 230-290 nm ได้อย่างมีประสิทธิภาพ
🔍 ข้ออื่นผิดเพราะอะไร:
• ข้อ ข. (Pyrrolidine ring): เป็นวงแหวนอิ่มตัว (Saturated cyclic amine) มีเฉพาะพันธะเดี่ยว (σ bond) และ n-electron ซึ่งดูดกลืนแสงที่ความยาวคลื่นสั้นมากในระดับ Vacuum UV (&lt; 190 nm) ไม่สามารถตรวจวิเคราะห์ด้วย UV ทั่วไปได้
• ข้อ ค., ง., จ.: เป็นพันธะเดี่ยวอิ่มตัว (Aliphatic single bonds) ไม่ใช่ chromophore
📖 Guideline อ้างอิง:
Silverstein &amp; Webster: Spectrometric Identification of Organic Compounds &amp; Clarke's Analysis of Drugs and Poisons
📌 จุดจำก่อนสอบ:
• UV Absorption Requirement: โมเลกุลต้องมี Conjugated system หรือ Aromatic ring (π → π* transition)
• Auxochrome: หมู่อะตอมที่มี non-bonding electrons (เช่น -OH, -NH2) ที่ช่วยเพิ่มการดูดกลืนแสงและเลื่อนความยาวคลื่นไปทางสีแดง (Bathochromic shift)</t>
        </is>
      </c>
      <c r="K12" s="10" t="inlineStr">
        <is>
          <t>UV-Vis Spectroscopy</t>
        </is>
      </c>
      <c r="L12" s="10" t="inlineStr">
        <is>
          <t>ข้อสอบจริง PLE CC 1 ปี 2560 Set 1</t>
        </is>
      </c>
      <c r="M12" s="10" t="inlineStr">
        <is>
          <t>Product</t>
        </is>
      </c>
      <c r="N12" s="10" t="inlineStr">
        <is>
          <t>ข้อ 6 (PLE_CC1_2560 22 April Set 1.md)</t>
        </is>
      </c>
      <c r="O12" s="10" t="inlineStr">
        <is>
          <t>ข้อสอบจริง</t>
        </is>
      </c>
      <c r="P12" s="10" t="inlineStr">
        <is>
          <t>ปี 2560</t>
        </is>
      </c>
      <c r="Q12" s="10" t="n"/>
    </row>
    <row r="13" ht="409.6" customHeight="1" s="37">
      <c r="A13" s="12" t="inlineStr">
        <is>
          <t>11</t>
        </is>
      </c>
      <c r="B13" s="10" t="inlineStr">
        <is>
          <t>ข้อใดคือเครื่องมือที่ใช้พิสูจน์เอกลักษณ์ในการออกฤทธิ์ของยาในข้อ 60</t>
        </is>
      </c>
      <c r="C13" s="10" t="n"/>
      <c r="D13" s="10" t="inlineStr">
        <is>
          <t>Refractometer</t>
        </is>
      </c>
      <c r="E13" s="10" t="inlineStr">
        <is>
          <t>Polarimeter</t>
        </is>
      </c>
      <c r="F13" s="10" t="inlineStr">
        <is>
          <t>Infrared spectrometer</t>
        </is>
      </c>
      <c r="G13" s="10" t="inlineStr">
        <is>
          <t>Mass spectrometer</t>
        </is>
      </c>
      <c r="H13" s="10" t="inlineStr">
        <is>
          <t>UV-visible spectrometer ห้ามนำไปทำซ้ำทุกกรณี เว้นแต่จะได้รับอนุญาต candidiasis และ trichomonas vaginitis สั่งให้ยา - Tinidazole 500 mg 4x1 - Clotrimazole vaginal tablets 500 mg hs</t>
        </is>
      </c>
      <c r="I13" s="12" t="inlineStr">
        <is>
          <t>1</t>
        </is>
      </c>
      <c r="J13" s="10" t="inlineStr">
        <is>
          <t>✅ คำตอบที่ถูกต้อง: ข้อ ก. Refractometer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Refractometer 💡 คำอธิบายและเหตุผลทางเภสัชกรรม:
💡 คำอธิบายและเหตุผลทางเภสัชกรรม:
กรณีศึกษาที่ 10 หญิง มีอาการคัน ตกขาวเป็นสีเหลือง และมีกลิ่นเหม็นคาวมาก แพทย์วินิจฉัยว่าเป็น vulvovaginal
USP/NF, British Pharmacopoeia (BP) และ Remington: The Science and Practice of Pharmacy (หัวข้อ UV-Vis Spectroscopy)
🔍 ข้ออื่นผิดเพราะอะไร:
• ข้อ ข. (Polarimeter): ข้อนี้ไม่ใช่คำตอบที่ถูกต้องสำหรับภาวะ UV-Vis Spectroscopy เนื่องจากกลไกการออกฤทธิ์, efficacy หรือข้อบ่งใช้ไม่ตรงกับโจทย์ที่กำหนด
• ข้อ ค. (Infrared spectrometer): ข้อนี้ไม่ใช่คำตอบที่ถูกต้องสำหรับภาวะ UV-Vis Spectroscopy เนื่องจากกลไกการออกฤทธิ์, efficacy หรือข้อบ่งใช้ไม่ตรงกับโจทย์ที่กำหนด
• ข้อ ง. (Mass spectrometer): ข้อนี้ไม่ใช่คำตอบที่ถูกต้องสำหรับภาวะ UV-Vis Spectroscopy เนื่องจากกลไกการออกฤทธิ์, efficacy หรือข้อบ่งใช้ไม่ตรงกับโจทย์ที่กำหนด
• ข้อ จ. (UV-visible spectrometer ห้ามนำไปทำซ้ำทุกกรณี เว้นแต่จะได้รับอนุญาต candidiasis และ trichomonas vaginitis สั่งให้ยา - Tinidazole 500 mg 4x1 - Clotrimazole vaginal tablets 500 mg hs):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UV-Vis Spectroscopy</t>
        </is>
      </c>
      <c r="M13" s="10" t="inlineStr">
        <is>
          <t>Product</t>
        </is>
      </c>
      <c r="N13" s="10" t="inlineStr">
        <is>
          <t>ข้อ 61 (PLE_CC1_2559.md)</t>
        </is>
      </c>
      <c r="O13" s="10" t="inlineStr">
        <is>
          <t>ข้อสอบจริง</t>
        </is>
      </c>
      <c r="P13" s="10" t="inlineStr">
        <is>
          <t>ปี 2559</t>
        </is>
      </c>
      <c r="Q13" s="10" t="n"/>
    </row>
    <row r="14" ht="409.6" customHeight="1" s="37">
      <c r="A14" s="12" t="inlineStr">
        <is>
          <t>12</t>
        </is>
      </c>
      <c r="B14" s="10" t="inlineStr">
        <is>
          <t>ข้อใดถูกต้องเกี่ยวกับกระบวนเมแทบอลิซึมของ metformin</t>
        </is>
      </c>
      <c r="C14" s="10" t="n"/>
      <c r="D14" s="10" t="inlineStr">
        <is>
          <t>มีค่าชีวิตยาว เนื่องจากต้องถูกทำลายด้วยเอนไซม์ไซโตรโคมพี 450 หลายไอโซฟอร์ม</t>
        </is>
      </c>
      <c r="E14" s="10" t="inlineStr">
        <is>
          <t>มีค่าชีวิตยาว เนื่องจากต้องถูกทำลายด้วยเอนไซม์ทรานเฟอร์เรสหลายชนิด</t>
        </is>
      </c>
      <c r="F14" s="10" t="inlineStr">
        <is>
          <t>มีค่าชีวิตยาว เนื่องจากไม่สามารถถูกทำลายได้ด้วยกระบวนการเมแทบอลิซึมในร่างกาย</t>
        </is>
      </c>
      <c r="G14" s="10" t="inlineStr">
        <is>
          <t>มีค่าครึ่งยาว เนื่องจากมีใช้เวลาในการดูดซึมนาน</t>
        </is>
      </c>
      <c r="H14" s="10" t="inlineStr">
        <is>
          <t>มีค่าครึ่งยาว เนื่องจากมีการกระจายตัวในร่างกายที่ต่ำ</t>
        </is>
      </c>
      <c r="I14" s="12" t="inlineStr">
        <is>
          <t>1</t>
        </is>
      </c>
      <c r="J14" s="10" t="inlineStr">
        <is>
          <t>✅ คำตอบที่ถูกต้อง: ข้อ ก. มีค่าชีวิตยาว เนื่องจากต้องถูกทำลายด้วยเอนไซม์ไซโตรโคมพี 450 หลายไอโซฟอร์ม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มีค่าชีวิตยาว เนื่องจากต้องถูกทำลายด้วยเอนไซม์ไซโตรโคมพี 450 หลายไอโซฟอร์ม 💡 คำอธิบายและเหตุผลทางเภสัชกรรม:
💡 คำอธิบายและเหตุผลทางเภสัชกรรม:
การเลือก มีค่าชีวิตยาว เนื่องจากต้องถูกทำลายด้วยเอนไซม์ไซโตรโคมพี 450 หลายไอโซฟอร์ม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(มีค่าชีวิตยาว เนื่องจากต้องถูกทำลายด้วยเอนไซม์ทรานเฟอร์เรสหลายชนิด): ข้อนี้ไม่ใช่คำตอบที่ถูกต้องสำหรับภาวะ UV-Vis Spectroscopy เนื่องจากกลไกการออกฤทธิ์, efficacy หรือข้อบ่งใช้ไม่ตรงกับโจทย์ที่กำหนด
• ข้อ ค. (มีค่าชีวิตยาว เนื่องจากไม่สามารถถูกทำลายได้ด้วยกระบวนการเมแทบอลิซึมในร่างกาย): ข้อนี้ไม่ใช่คำตอบที่ถูกต้องสำหรับภาวะ UV-Vis Spectroscopy เนื่องจากกลไกการออกฤทธิ์, efficacy หรือข้อบ่งใช้ไม่ตรงกับโจทย์ที่กำหนด
• ข้อ ง. (มีค่าครึ่งยาว เนื่องจากมีใช้เวลาในการดูดซึมนาน): ข้อนี้ไม่ใช่คำตอบที่ถูกต้องสำหรับภาวะ UV-Vis Spectroscopy เนื่องจากกลไกการออกฤทธิ์, efficacy หรือข้อบ่งใช้ไม่ตรงกับโจทย์ที่กำหนด
• ข้อ จ. (มีค่าครึ่งยาว เนื่องจากมีการกระจายตัวในร่างกายที่ต่ำ):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UV-Vis Spectroscopy</t>
        </is>
      </c>
      <c r="M14" s="10" t="inlineStr">
        <is>
          <t>Product</t>
        </is>
      </c>
      <c r="N14" s="10" t="inlineStr">
        <is>
          <t>ข้อ 93 (Pharmtutor_2024_Set1.md)</t>
        </is>
      </c>
      <c r="O14" s="10" t="inlineStr">
        <is>
          <t>Mock</t>
        </is>
      </c>
      <c r="P14" s="10" t="inlineStr">
        <is>
          <t>Mock Pharmtutor 2024</t>
        </is>
      </c>
      <c r="Q14" s="10" t="n"/>
    </row>
    <row r="15" ht="409.6" customHeight="1" s="37">
      <c r="A15" s="12" t="inlineStr">
        <is>
          <t>13</t>
        </is>
      </c>
      <c r="B15" s="10" t="inlineStr">
        <is>
          <t>ยาสูตรใด มีความเป็นพิษต่อตับน้อยที_x001E_สุด (1) 2RZE / 10RE (2) 2SHE / 10HE (3) 2HRE / 7HR (4) 2SHRE / 6HR (5) 18-24SEO MCQ 12 | 1/2557 | Page 17</t>
        </is>
      </c>
      <c r="C15" s="10" t="n"/>
      <c r="D15" s="10" t="inlineStr">
        <is>
          <t>Differential Scanning Calorimetry (DSC)</t>
        </is>
      </c>
      <c r="E15" s="10" t="inlineStr">
        <is>
          <t>UV-Vis Spectrophotometry at lambda max</t>
        </is>
      </c>
      <c r="F15" s="10" t="inlineStr">
        <is>
          <t>FTIR Spectroscopy (Attenuated Total Reflection)</t>
        </is>
      </c>
      <c r="G15" s="10" t="inlineStr">
        <is>
          <t>Proton NMR (1H-NMR) Spectroscopy</t>
        </is>
      </c>
      <c r="H15" s="10" t="inlineStr">
        <is>
          <t>Carbon-13 NMR (13C-NMR) Spectroscopy</t>
        </is>
      </c>
      <c r="I15" s="12" t="inlineStr">
        <is>
          <t>1</t>
        </is>
      </c>
      <c r="J15" s="10" t="inlineStr">
        <is>
          <t>✅ คำตอบที่ถูกต้อง: ข้อ ก. Differential Scanning Calorimetry (DSC)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Differential Scanning Calorimetry (DSC) 💡 คำอธิบายและเหตุผลทางเภสัชกรรม:
💡 คำอธิบายและเหตุผลทางเภสัชกรรม:
การเลือก Differential Scanning Calorimetry (DSC)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(UV-Vis Spectrophotometry at lambda max): ข้อนี้ไม่ใช่คำตอบที่ถูกต้องสำหรับภาวะ UV-Vis Spectroscopy เนื่องจากกลไกการออกฤทธิ์, efficacy หรือข้อบ่งใช้ไม่ตรงกับโจทย์ที่กำหนด
• ข้อ ค. (FTIR Spectroscopy (Attenuated Total Reflection)): ข้อนี้ไม่ใช่คำตอบที่ถูกต้องสำหรับภาวะ UV-Vis Spectroscopy เนื่องจากกลไกการออกฤทธิ์, efficacy หรือข้อบ่งใช้ไม่ตรงกับโจทย์ที่กำหนด
• ข้อ ง. (Proton NMR (1H-NMR) Spectroscopy): ข้อนี้ไม่ใช่คำตอบที่ถูกต้องสำหรับภาวะ UV-Vis Spectroscopy เนื่องจากกลไกการออกฤทธิ์, efficacy หรือข้อบ่งใช้ไม่ตรงกับโจทย์ที่กำหนด
• ข้อ จ. (Carbon-13 NMR (13C-NMR) Spectroscopy):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UV-Vis Spectroscopy</t>
        </is>
      </c>
      <c r="M15" s="10" t="inlineStr">
        <is>
          <t>Product</t>
        </is>
      </c>
      <c r="N15" s="10" t="inlineStr">
        <is>
          <t>ข้อ 20 (PLE_CC1_2557.md)</t>
        </is>
      </c>
      <c r="O15" s="10" t="inlineStr">
        <is>
          <t>ข้อสอบจริง</t>
        </is>
      </c>
      <c r="P15" s="10" t="inlineStr">
        <is>
          <t>ปี 2557</t>
        </is>
      </c>
      <c r="Q15" s="10" t="n"/>
    </row>
    <row r="16" ht="409.6" customHeight="1" s="37">
      <c r="A16" s="12" t="inlineStr">
        <is>
          <t>14</t>
        </is>
      </c>
      <c r="B16" s="10" t="inlineStr">
        <is>
          <t>โครงสร้างของยาในข้อใด สามารถใช้ specific rotation เพื_x001E_อระบุเอกลักษณ์ของยาได้ (1) (2) (3) (4) (5)</t>
        </is>
      </c>
      <c r="C16" s="10" t="n"/>
      <c r="D16" s="10" t="inlineStr">
        <is>
          <t>Proton NMR (1H-NMR) Spectroscopy</t>
        </is>
      </c>
      <c r="E16" s="10" t="inlineStr">
        <is>
          <t>Carbon-13 NMR (13C-NMR) Spectroscopy</t>
        </is>
      </c>
      <c r="F16" s="10" t="inlineStr">
        <is>
          <t>Electrospray Ionization Mass Spectrometry (ESI-MS)</t>
        </is>
      </c>
      <c r="G16" s="10" t="inlineStr">
        <is>
          <t>Optical Rotation via Polarimeter</t>
        </is>
      </c>
      <c r="H16" s="10" t="inlineStr">
        <is>
          <t>Refractive Index via Abbe Refractometer</t>
        </is>
      </c>
      <c r="I16" s="12" t="inlineStr">
        <is>
          <t>1</t>
        </is>
      </c>
      <c r="J16" s="10" t="inlineStr">
        <is>
          <t>✅ คำตอบที่ถูกต้อง: ข้อ ก. Proton NMR (1H-NMR) Spectroscopy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(Carbon-13 NMR (13C-NMR) Spectroscopy): ข้อนี้ไม่ใช่คำตอบที่ถูกต้องสำหรับภาวะ Polarimetry เนื่องจากกลไกการออกฤทธิ์, efficacy หรือข้อบ่งใช้ไม่ตรงกับโจทย์ที่กำหนด
• ข้อ ค. (Electrospray Ionization Mass Spectrometry (ESI-MS)): ข้อนี้ไม่ใช่คำตอบที่ถูกต้องสำหรับภาวะ Polarimetry เนื่องจากกลไกการออกฤทธิ์, efficacy หรือข้อบ่งใช้ไม่ตรงกับโจทย์ที่กำหนด
• ข้อ ง. (Optical Rotation via Polarimeter): ข้อนี้ไม่ใช่คำตอบที่ถูกต้องสำหรับภาวะ Polarimetry เนื่องจากกลไกการออกฤทธิ์, efficacy หรือข้อบ่งใช้ไม่ตรงกับโจทย์ที่กำหนด
• ข้อ จ. (Refractive Index via Abbe Refractometer): ข้อนี้ไม่ใช่คำตอบที่ถูกต้องสำหรับภาวะ Polarimetry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 t="n"/>
      <c r="L16" s="10" t="inlineStr">
        <is>
          <t>Polarimetry</t>
        </is>
      </c>
      <c r="M16" s="10" t="inlineStr">
        <is>
          <t>Product</t>
        </is>
      </c>
      <c r="N16" s="10" t="inlineStr">
        <is>
          <t>ข้อ 21 (PLE_CC1_2557.md)</t>
        </is>
      </c>
      <c r="O16" s="10" t="inlineStr">
        <is>
          <t>ข้อสอบจริง</t>
        </is>
      </c>
      <c r="P16" s="10" t="inlineStr">
        <is>
          <t>ปี 2557</t>
        </is>
      </c>
      <c r="Q16" s="10" t="n"/>
    </row>
    <row r="17" ht="409.6" customHeight="1" s="37">
      <c r="A17" s="12" t="inlineStr">
        <is>
          <t>15</t>
        </is>
      </c>
      <c r="B17" s="10" t="inlineStr">
        <is>
          <t>ในการวิเคราะห์วัตถุดิบ (raw material) ของ activated charcoal ไม่จำเป็นต้องวิเคราะห์หัวข้อใด (1) Active ingredient (2) Specific rotation (3) Loss on drying (4) Identification (5) Contamination MCQ 12 | 1/2557 | Page 24 สถานการณ์ที_x001E_ 10 หญิงไทย อายุ 26 ปี เข้ามาร้านยา เนื_x0003_องจากมีปัญหาสิว หัวดำ และสิวหัวขาว กระจายทั_x0003_วทั_x001B_งบริเวณใบหน้า ยังไม่มีการ อักเสบ ตุ่มนูนแดง หรือตุ่มหนอง</t>
        </is>
      </c>
      <c r="C17" s="10" t="n"/>
      <c r="D17" s="10" t="inlineStr">
        <is>
          <t>Optical Rotation via Polarimeter</t>
        </is>
      </c>
      <c r="E17" s="10" t="inlineStr">
        <is>
          <t>Refractive Index via Abbe Refractometer</t>
        </is>
      </c>
      <c r="F17" s="10" t="inlineStr">
        <is>
          <t>Fluorescence Spectrophotometry</t>
        </is>
      </c>
      <c r="G17" s="10" t="inlineStr">
        <is>
          <t>Atomic Absorption Spectrophotometry (AAS)</t>
        </is>
      </c>
      <c r="H17" s="10" t="inlineStr">
        <is>
          <t>Differential Scanning Calorimetry (DSC)</t>
        </is>
      </c>
      <c r="I17" s="12" t="inlineStr">
        <is>
          <t>1</t>
        </is>
      </c>
      <c r="J17" s="10" t="inlineStr">
        <is>
          <t>✅ คำตอบที่ถูกต้อง: ข้อ ก. Optical Rotation via Polarimeter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Optical Rotation via Polarimeter 💡 คำอธิบายและเหตุผลทางเภสัชกรรม:
💡 คำอธิบายและเหตุผลทางเภสัชกรรม:
การเลือก Optical Rotation via Polarimeter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(Refractive Index via Abbe Refractometer): ข้อนี้ไม่ใช่คำตอบที่ถูกต้องสำหรับภาวะ Polarimetry เนื่องจากกลไกการออกฤทธิ์, efficacy หรือข้อบ่งใช้ไม่ตรงกับโจทย์ที่กำหนด
• ข้อ ค. (Fluorescence Spectrophotometry): ข้อนี้ไม่ใช่คำตอบที่ถูกต้องสำหรับภาวะ Polarimetry เนื่องจากกลไกการออกฤทธิ์, efficacy หรือข้อบ่งใช้ไม่ตรงกับโจทย์ที่กำหนด
• ข้อ ง. (Atomic Absorption Spectrophotometry (AAS)): ข้อนี้ไม่ใช่คำตอบที่ถูกต้องสำหรับภาวะ Polarimetry เนื่องจากกลไกการออกฤทธิ์, efficacy หรือข้อบ่งใช้ไม่ตรงกับโจทย์ที่กำหนด
• ข้อ จ. (Differential Scanning Calorimetry (DSC)): ข้อนี้ไม่ใช่คำตอบที่ถูกต้องสำหรับภาวะ Polarimetry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 t="n"/>
      <c r="L17" s="10" t="inlineStr">
        <is>
          <t>Polarimetry</t>
        </is>
      </c>
      <c r="M17" s="10" t="inlineStr">
        <is>
          <t>Product</t>
        </is>
      </c>
      <c r="N17" s="10" t="inlineStr">
        <is>
          <t>ข้อ 65 (PLE_CC1_2557.md)</t>
        </is>
      </c>
      <c r="O17" s="10" t="inlineStr">
        <is>
          <t>ข้อสอบจริง</t>
        </is>
      </c>
      <c r="P17" s="10" t="inlineStr">
        <is>
          <t>ปี 2557</t>
        </is>
      </c>
      <c r="Q17" s="10" t="n"/>
    </row>
    <row r="18" ht="409.6" customHeight="1" s="37">
      <c r="A18" s="12" t="inlineStr">
        <is>
          <t>16</t>
        </is>
      </c>
      <c r="B18" s="10" t="inlineStr">
        <is>
          <t>ยาที่มี Polymoph ต่างกันจะมีคุณสมบัติที่แตกต่างกัน ยกเว้น ข้อใด</t>
        </is>
      </c>
      <c r="C18" s="10" t="n"/>
      <c r="D18" s="10" t="inlineStr">
        <is>
          <t>ความคงตัว</t>
        </is>
      </c>
      <c r="E18" s="10" t="inlineStr">
        <is>
          <t>ค่าการละลาย</t>
        </is>
      </c>
      <c r="F18" s="10" t="inlineStr">
        <is>
          <t>ประสิทธิภาพในการรักษา</t>
        </is>
      </c>
      <c r="G18" s="10" t="inlineStr">
        <is>
          <t>ค่าคงที่การดูดกลืนแสง</t>
        </is>
      </c>
      <c r="H18" s="10" t="inlineStr">
        <is>
          <t>การหักเหของแสง คณะเภสัชศาสตร์ มหาวิทยาลัยเชียงใหม่ Rx 44 CMU</t>
        </is>
      </c>
      <c r="I18" s="12" t="inlineStr">
        <is>
          <t>1</t>
        </is>
      </c>
      <c r="J18" s="10" t="inlineStr">
        <is>
          <t>✅ คำตอบที่ถูกต้อง: ข้อ ก. ความคงตัว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ความคงตัว 💡 คำอธิบายและเหตุผลทางเภสัชกรรม:
💡 คำอธิบายและเหตุผลทางเภสัชกรรม:
การเลือก ความคงตัว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(ค่าการละลาย): ข้อนี้ไม่ใช่คำตอบที่ถูกต้องสำหรับภาวะ UV-Vis Spectroscopy เนื่องจากกลไกการออกฤทธิ์, efficacy หรือข้อบ่งใช้ไม่ตรงกับโจทย์ที่กำหนด
• ข้อ ค. (ประสิทธิภาพในการรักษา): ข้อนี้ไม่ใช่คำตอบที่ถูกต้องสำหรับภาวะ UV-Vis Spectroscopy เนื่องจากกลไกการออกฤทธิ์, efficacy หรือข้อบ่งใช้ไม่ตรงกับโจทย์ที่กำหนด
• ข้อ ง. (ค่าคงที่การดูดกลืนแสง): ข้อนี้ไม่ใช่คำตอบที่ถูกต้องสำหรับภาวะ UV-Vis Spectroscopy เนื่องจากกลไกการออกฤทธิ์, efficacy หรือข้อบ่งใช้ไม่ตรงกับโจทย์ที่กำหนด
• ข้อ จ. (การหักเหของแสง คณะเภสัชศาสตร์ มหาวิทยาลัยเชียงใหม่ Rx 44 CMU):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UV-Vis Spectroscopy</t>
        </is>
      </c>
      <c r="M18" s="10" t="inlineStr">
        <is>
          <t>Product</t>
        </is>
      </c>
      <c r="N18" s="10" t="inlineStr">
        <is>
          <t>ข้อ 89 (PLE_CC1_2555 Day 1.md)</t>
        </is>
      </c>
      <c r="O18" s="10" t="inlineStr">
        <is>
          <t>ข้อสอบจริง</t>
        </is>
      </c>
      <c r="P18" s="10" t="inlineStr">
        <is>
          <t>ปี 2555</t>
        </is>
      </c>
      <c r="Q18" s="10" t="n"/>
    </row>
    <row r="19" ht="409.6" customHeight="1" s="37">
      <c r="A19" s="12" t="inlineStr">
        <is>
          <t>17</t>
        </is>
      </c>
      <c r="B19" s="10" t="inlineStr">
        <is>
          <t>Specific rotation by polarimeter</t>
        </is>
      </c>
      <c r="C19" s="10" t="n"/>
      <c r="D19" s="10" t="inlineStr">
        <is>
          <t>FTIR Spectroscopy (Attenuated Total Reflection)</t>
        </is>
      </c>
      <c r="E19" s="10" t="inlineStr">
        <is>
          <t>Proton NMR (1H-NMR) Spectroscopy</t>
        </is>
      </c>
      <c r="F19" s="10" t="inlineStr">
        <is>
          <t>Carbon-13 NMR (13C-NMR) Spectroscopy</t>
        </is>
      </c>
      <c r="G19" s="10" t="inlineStr">
        <is>
          <t>Electrospray Ionization Mass Spectrometry (ESI-MS)</t>
        </is>
      </c>
      <c r="H19" s="10" t="inlineStr">
        <is>
          <t>Optical Rotation via Polarimeter</t>
        </is>
      </c>
      <c r="I19" s="12" t="inlineStr">
        <is>
          <t>1</t>
        </is>
      </c>
      <c r="J19" s="10" t="inlineStr">
        <is>
          <t>✅ คำตอบที่ถูกต้อง: ข้อ ก. FTIR Spectroscopy (Attenuated Total Reflection)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FTIR Spectroscopy (Attenuated Total Reflection) 💡 คำอธิบายและเหตุผลทางเภสัชกรรม:
💡 คำอธิบายและเหตุผลทางเภสัชกรรม:
การเลือก FTIR Spectroscopy (Attenuated Total Reflection)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(Proton NMR (1H-NMR) Spectroscopy): ข้อนี้ไม่ใช่คำตอบที่ถูกต้องสำหรับภาวะ Polarimetry เนื่องจากกลไกการออกฤทธิ์, efficacy หรือข้อบ่งใช้ไม่ตรงกับโจทย์ที่กำหนด
• ข้อ ค. (Carbon-13 NMR (13C-NMR) Spectroscopy): ข้อนี้ไม่ใช่คำตอบที่ถูกต้องสำหรับภาวะ Polarimetry เนื่องจากกลไกการออกฤทธิ์, efficacy หรือข้อบ่งใช้ไม่ตรงกับโจทย์ที่กำหนด
• ข้อ ง. (Electrospray Ionization Mass Spectrometry (ESI-MS)): ข้อนี้ไม่ใช่คำตอบที่ถูกต้องสำหรับภาวะ Polarimetry เนื่องจากกลไกการออกฤทธิ์, efficacy หรือข้อบ่งใช้ไม่ตรงกับโจทย์ที่กำหนด
• ข้อ จ. (Optical Rotation via Polarimeter): ข้อนี้ไม่ใช่คำตอบที่ถูกต้องสำหรับภาวะ Polarimetry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 t="n"/>
      <c r="L19" s="10" t="inlineStr">
        <is>
          <t>Polarimetry</t>
        </is>
      </c>
      <c r="M19" s="10" t="inlineStr">
        <is>
          <t>Product</t>
        </is>
      </c>
      <c r="N19" s="10" t="inlineStr">
        <is>
          <t>ข้อ 3 (PLE_CC1_2555 Day 2.md)</t>
        </is>
      </c>
      <c r="O19" s="10" t="inlineStr">
        <is>
          <t>ข้อสอบจริง</t>
        </is>
      </c>
      <c r="P19" s="10" t="inlineStr">
        <is>
          <t>ปี 2555</t>
        </is>
      </c>
      <c r="Q19" s="10" t="n"/>
    </row>
    <row r="20" ht="409.6" customHeight="1" s="37">
      <c r="A20" s="12" t="inlineStr">
        <is>
          <t>18</t>
        </is>
      </c>
      <c r="B20" s="10" t="inlineStr">
        <is>
          <t>Spectrofluorometry</t>
        </is>
      </c>
      <c r="C20" s="10" t="n"/>
      <c r="D20" s="10" t="inlineStr">
        <is>
          <t>Electrospray Ionization Mass Spectrometry (ESI-MS)</t>
        </is>
      </c>
      <c r="E20" s="10" t="inlineStr">
        <is>
          <t>Optical Rotation via Polarimeter</t>
        </is>
      </c>
      <c r="F20" s="10" t="inlineStr">
        <is>
          <t>Refractive Index via Abbe Refractometer</t>
        </is>
      </c>
      <c r="G20" s="10" t="inlineStr">
        <is>
          <t>Fluorescence Spectrophotometry</t>
        </is>
      </c>
      <c r="H20" s="10" t="inlineStr">
        <is>
          <t>Atomic Absorption Spectrophotometry (AAS)</t>
        </is>
      </c>
      <c r="I20" s="12" t="inlineStr">
        <is>
          <t>1</t>
        </is>
      </c>
      <c r="J20" s="10" t="inlineStr">
        <is>
          <t>✅ คำตอบที่ถูกต้อง: ข้อ ก. Electrospray Ionization Mass Spectrometry (ESI-MS)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Electrospray Ionization Mass Spectrometry (ESI-MS) 💡 คำอธิบายและเหตุผลทางเภสัชกรรม:
💡 คำอธิบายและเหตุผลทางเภสัชกรรม:
การเลือก Electrospray Ionization Mass Spectrometry (ESI-MS)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(Optical Rotation via Polarimeter): ข้อนี้ไม่ใช่คำตอบที่ถูกต้องสำหรับภาวะ UV-Vis Spectroscopy เนื่องจากกลไกการออกฤทธิ์, efficacy หรือข้อบ่งใช้ไม่ตรงกับโจทย์ที่กำหนด
• ข้อ ค. (Refractive Index via Abbe Refractometer): ข้อนี้ไม่ใช่คำตอบที่ถูกต้องสำหรับภาวะ UV-Vis Spectroscopy เนื่องจากกลไกการออกฤทธิ์, efficacy หรือข้อบ่งใช้ไม่ตรงกับโจทย์ที่กำหนด
• ข้อ ง. (Fluorescence Spectrophotometry): ข้อนี้ไม่ใช่คำตอบที่ถูกต้องสำหรับภาวะ UV-Vis Spectroscopy เนื่องจากกลไกการออกฤทธิ์, efficacy หรือข้อบ่งใช้ไม่ตรงกับโจทย์ที่กำหนด
• ข้อ จ. (Atomic Absorption Spectrophotometry (AAS)):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UV-Vis Spectroscopy</t>
        </is>
      </c>
      <c r="M20" s="10" t="inlineStr">
        <is>
          <t>Product</t>
        </is>
      </c>
      <c r="N20" s="10" t="inlineStr">
        <is>
          <t>ข้อ 3 (PLE_CC1_2555 Day 2.md)</t>
        </is>
      </c>
      <c r="O20" s="10" t="inlineStr">
        <is>
          <t>ข้อสอบจริง</t>
        </is>
      </c>
      <c r="P20" s="10" t="inlineStr">
        <is>
          <t>ปี 2555</t>
        </is>
      </c>
      <c r="Q20" s="10" t="n"/>
    </row>
    <row r="21" ht="409.6" customHeight="1" s="37">
      <c r="A21" s="12" t="inlineStr">
        <is>
          <t>19</t>
        </is>
      </c>
      <c r="B21" s="10" t="inlineStr">
        <is>
          <t>เครื่องมือหรือเทคนิคในข้อใดต่อไปนี้ นิยมใช้ในการตรวจสอบและจำแนกความแตกต่างระหว่างรูปผลึก (Crystalline form) และอสัณฐาน (Amorphous form) ของวัตถุดิบยา</t>
        </is>
      </c>
      <c r="C21" s="10" t="n"/>
      <c r="D21" s="10" t="inlineStr">
        <is>
          <t>X-ray Powder Diffraction (XRPD) และ Differential Scanning Calorimetry (DSC)</t>
        </is>
      </c>
      <c r="E21" s="10" t="inlineStr">
        <is>
          <t>Mass Spectrometry (MS)</t>
        </is>
      </c>
      <c r="F21" s="10" t="inlineStr">
        <is>
          <t>Refractometry</t>
        </is>
      </c>
      <c r="G21" s="10" t="inlineStr">
        <is>
          <t>Polarimetry</t>
        </is>
      </c>
      <c r="H21" s="10" t="inlineStr">
        <is>
          <t>Gas Chromatography (GC)</t>
        </is>
      </c>
      <c r="I21" s="12" t="inlineStr">
        <is>
          <t>1</t>
        </is>
      </c>
      <c r="J21" s="10" t="inlineStr">
        <is>
          <t>✅ คำตอบที่ถูกต้อง: ข้อ ก. X-ray Powder Diffraction (XRPD) และ Differential Scanning Calorimetry (DSC)
💡 Background:
สถานะของแข็งของตัวยาสำคัญสามารถอยู่ในรูปผลึก (Crystalline) ซึ่งมีการจัดเรียงตัวของโมเลกุลเป็นระเบียบ หรือรูปอสัณฐาน (Amorphous) ซึ่งโมเลกุลจัดเรียงตัวไม่เป็นระเบียบ มีพลังงานอิสระสูงกว่าและละลายน้ำได้เร็วกว่า
🎯 ทำไมข้อนี้ถึงถูก:
X-ray Powder Diffraction (XRPD) เป็นเทคนิคมาตรฐานระดับ Gold standard ในการตรวจการเลี้ยวเบนของรังสีเอกซ์ (Bragg's Law) ซึ่งรูปผลึกจะแสดงพีคแหลมคมชัดเจน (Sharp diffraction peaks) ส่วนรูปอสัณฐานจะแสดงลักษณะโค้งกว้าง (Halo pattern) ควบคู่กับ Differential Scanning Calorimetry (DSC) ที่ตรวจการเปลี่ยนแปลงทางความร้อน (Melting endotherm ของผลึก vs Glass transition temperature; Tg ของอสัณฐาน)
🔍 ข้ออื่นผิดเพราะอะไร:
• ข้อ ข. (Mass Spectrometry): วัดมวลโมเลกุลในสถานะแก๊สไอออนิก ไม่บอกโครงสร้างผลึกของแข็ง
• ข้อ ค. (Refractometry): วัดดัชนีหักเหของสารละลายของเหลว
• ข้อ ง. (Polarimetry): วัดการหมุนแสงของสารละลายไครัล
• ข้อ จ. (GC): ใช้แยกและวิเคราะห์สารระเหยง่าย
📖 Guideline อ้างอิง:
USP &lt;941&gt; Characterization of Crystalline and Partially Crystalline Solids by X-ray Powder Diffraction (XRPD) &amp; USP &lt;891&gt; Thermal Analysis
📌 จุดจำก่อนสอบ:
• Crystalline vs Amorphous: XRPD ให้ Sharp peaks vs Halo pattern
• Thermal Analysis: Crystalline มีจุดหลอมเหลวที่แน่นอน (Sharp melting peak) ขณะที่ Amorphous มี Glass transition (Tg)</t>
        </is>
      </c>
      <c r="K21" s="10" t="inlineStr">
        <is>
          <t>Solid-State Characterization &amp; Thermal Analysis</t>
        </is>
      </c>
      <c r="L21" s="10" t="inlineStr">
        <is>
          <t>ข้อสอบจริง PLE CC 1 (Polymorphism &amp; Solid-state)</t>
        </is>
      </c>
      <c r="M21" s="10" t="inlineStr">
        <is>
          <t>Product</t>
        </is>
      </c>
      <c r="N21" s="10" t="inlineStr">
        <is>
          <t>ข้อ 19 (PLE_CC1_2554 SET2.md)</t>
        </is>
      </c>
      <c r="O21" s="10" t="inlineStr">
        <is>
          <t>ข้อสอบจริง</t>
        </is>
      </c>
      <c r="P21" s="10" t="inlineStr">
        <is>
          <t>ปี 2554</t>
        </is>
      </c>
      <c r="Q21" s="10" t="n"/>
    </row>
    <row r="22" ht="409.6" customHeight="1" s="37">
      <c r="A22" s="12" t="inlineStr">
        <is>
          <t>20</t>
        </is>
      </c>
      <c r="B22" s="10" t="inlineStr">
        <is>
          <t>ในการวิเคราะห์สารด้วย UV-Vis Spectrophotometer ตามกฎของเบียร์-แลมเบิร์ต (Beer-Lambert Law) กำหนดให้ A คือค่าการดูดกลืนแสง, b คือความกว้างของช่องใส่สารละลาย (Path length ในหน่วย cm) และ c คือความเข้มข้นของสารละลาย ค่าการดูดกลืนจำเพาะ (Absorptivity, a หรือ E) มีความสัมพันธ์ตามสมการใด</t>
        </is>
      </c>
      <c r="C22" s="10" t="n"/>
      <c r="D22" s="10" t="inlineStr">
        <is>
          <t>a = A / (b × c)</t>
        </is>
      </c>
      <c r="E22" s="10" t="inlineStr">
        <is>
          <t>a = (A × b) / c</t>
        </is>
      </c>
      <c r="F22" s="10" t="inlineStr">
        <is>
          <t>a = (A × c) / b</t>
        </is>
      </c>
      <c r="G22" s="10" t="inlineStr">
        <is>
          <t>a = (b × c) / A</t>
        </is>
      </c>
      <c r="H22" s="10" t="inlineStr">
        <is>
          <t>a = A - (b × c)</t>
        </is>
      </c>
      <c r="I22" s="12" t="inlineStr">
        <is>
          <t>1</t>
        </is>
      </c>
      <c r="J22" s="10" t="inlineStr">
        <is>
          <t>✅ คำตอบที่ถูกต้อง: ข้อ ก. a = A / (b × c)
💡 Background:
กฎของเบียร์-แลมเบิร์ต (Beer-Lambert Law) เป็นสมการพื้นฐานสำคัญที่สุดของการวิเคราะห์เชิงปริมาณด้วยสเปกโทรโฟโตเมทรี
🎯 ทำไมข้อนี้ถึงถูก:
สมการ Beer-Lambert Law คือ A = a × b × c (หรือ A = ε × b × c)
โดยที่:
• A = Absorbance (ไม่มีหน่วย)
• a (หรือ ε) = Absorptivity หรือ Molar absorptivity (L·mol⁻¹·cm⁻¹)
• b = Path length (ความหนาของคิวเวตต์ ปกติเท่ากับ 1 cm)
• c = Concentration (ความเข้มข้น)
ดังนั้นเมื่อย้ายข้างสมการหาค่า a จะได้ a = A / (b × c)
🔍 ข้ออื่นผิดเพราะอะไร:
• ข้อ ข., ค., ง., จ.: เป็นการย้ายข้างสมการทางคณิตศาสตร์ที่ไม่ถูกต้องตามกฎ Beer-Lambert Law
📖 Guideline อ้างอิง:
USP &lt;857&gt; Ultraviolet-Visible Spectroscopy &amp; Skoog Fundamentals of Analytical Chemistry
📌 จุดจำก่อนสอบ:
• Beer-Lambert Law: A = abc (หรือ A = εbc หรือ A1% 1cm)
• A1% 1cm: ค่าการดูดกลืนแสงของสารละลายความเข้มข้น 1% w/v (1 g/100 mL) ในหลอดวัดหนา 1 cm: A = A1% 1cm × b × c(%w/v)</t>
        </is>
      </c>
      <c r="K22" s="10" t="inlineStr">
        <is>
          <t>UV-Vis Spectroscopy</t>
        </is>
      </c>
      <c r="L22" s="10" t="inlineStr">
        <is>
          <t>ข้อสอบจริง PLE CC 1 (Beer-Lambert Law)</t>
        </is>
      </c>
      <c r="M22" s="10" t="inlineStr">
        <is>
          <t>Product</t>
        </is>
      </c>
      <c r="N22" s="10" t="inlineStr">
        <is>
          <t>ข้อ 5 (PLE_CC1_2533.md)</t>
        </is>
      </c>
      <c r="O22" s="10" t="inlineStr">
        <is>
          <t>ข้อสอบจริง</t>
        </is>
      </c>
      <c r="P22" s="10" t="inlineStr">
        <is>
          <t>ปี 2533</t>
        </is>
      </c>
      <c r="Q22" s="10" t="n"/>
    </row>
    <row r="23" ht="409.6" customHeight="1" s="37">
      <c r="A23" s="12" t="inlineStr">
        <is>
          <t>21</t>
        </is>
      </c>
      <c r="B23" s="10" t="inlineStr">
        <is>
          <t>UV spectrophotometry</t>
        </is>
      </c>
      <c r="C23" s="10" t="n"/>
      <c r="D23" s="10" t="inlineStr">
        <is>
          <t>Carbon-13 NMR (13C-NMR) Spectroscopy</t>
        </is>
      </c>
      <c r="E23" s="10" t="inlineStr">
        <is>
          <t>Electrospray Ionization Mass Spectrometry (ESI-MS)</t>
        </is>
      </c>
      <c r="F23" s="10" t="inlineStr">
        <is>
          <t>Optical Rotation via Polarimeter</t>
        </is>
      </c>
      <c r="G23" s="10" t="inlineStr">
        <is>
          <t>Refractive Index via Abbe Refractometer</t>
        </is>
      </c>
      <c r="H23" s="10" t="inlineStr">
        <is>
          <t>Fluorescence Spectrophotometry</t>
        </is>
      </c>
      <c r="I23" s="12" t="inlineStr">
        <is>
          <t>1</t>
        </is>
      </c>
      <c r="J23" s="10" t="inlineStr">
        <is>
          <t>✅ คำตอบที่ถูกต้อง: ข้อ ก. Carbon-13 NMR (13C-NMR)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Carbon-13 NMR (13C-NMR) Spectroscopy 💡 คำอธิบายและเหตุผลทางเภสัชกรรม:
💡 คำอธิบายและเหตุผลทางเภสัชกรรม:
การเลือก Carbon-13 NMR (13C-NMR)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(Electrospray Ionization Mass Spectrometry (ESI-MS)): ข้อนี้ไม่ใช่คำตอบที่ถูกต้องสำหรับภาวะ UV-Vis Spectroscopy เนื่องจากกลไกการออกฤทธิ์, efficacy หรือข้อบ่งใช้ไม่ตรงกับโจทย์ที่กำหนด
• ข้อ ค. (Optical Rotation via Polarimeter): ข้อนี้ไม่ใช่คำตอบที่ถูกต้องสำหรับภาวะ UV-Vis Spectroscopy เนื่องจากกลไกการออกฤทธิ์, efficacy หรือข้อบ่งใช้ไม่ตรงกับโจทย์ที่กำหนด
• ข้อ ง. (Refractive Index via Abbe Refractometer): ข้อนี้ไม่ใช่คำตอบที่ถูกต้องสำหรับภาวะ UV-Vis Spectroscopy เนื่องจากกลไกการออกฤทธิ์, efficacy หรือข้อบ่งใช้ไม่ตรงกับโจทย์ที่กำหนด
• ข้อ จ. (Fluorescence Spectrophotometry):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UV-Vis Spectroscopy</t>
        </is>
      </c>
      <c r="M23" s="10" t="inlineStr">
        <is>
          <t>Product</t>
        </is>
      </c>
      <c r="N23" s="10" t="inlineStr">
        <is>
          <t>ข้อ 4 (PLE_CC1_2533.md)</t>
        </is>
      </c>
      <c r="O23" s="10" t="inlineStr">
        <is>
          <t>ข้อสอบจริง</t>
        </is>
      </c>
      <c r="P23" s="10" t="inlineStr">
        <is>
          <t>ปี 2533</t>
        </is>
      </c>
      <c r="Q23" s="10" t="n"/>
    </row>
    <row r="24" ht="409.6" customHeight="1" s="37">
      <c r="A24" s="12" t="inlineStr">
        <is>
          <t>22</t>
        </is>
      </c>
      <c r="B24" s="10" t="inlineStr">
        <is>
          <t>โครงสร้างของยาใด สามารถใช้ specific rotation เพื่อระบุเอกลักษณ์ (identification) ได้</t>
        </is>
      </c>
      <c r="C24" s="10" t="n"/>
      <c r="D24" s="10" t="inlineStr">
        <is>
          <t>Pyrazinamide</t>
        </is>
      </c>
      <c r="E24" s="10" t="inlineStr">
        <is>
          <t>Para-aminosalicylic acid</t>
        </is>
      </c>
      <c r="F24" s="10" t="inlineStr">
        <is>
          <t>Ethionamide</t>
        </is>
      </c>
      <c r="G24" s="10" t="inlineStr">
        <is>
          <t>Streptomycin 69 โรคติดเชื้อ ฝ่ายวิชาการ สโมสรนิสิตเภสัชศาสตร์ จุฬาลงกรณ์มหาวิทยาลัย สหพันธ์นิสิตนักศึกษาเภสัชศาสตร์แห่งประเทศไทย (สนภท.)</t>
        </is>
      </c>
      <c r="H24" s="10" t="inlineStr">
        <is>
          <t>Ethambutol หัวข้อเรื่อง Urinary tract infections ผู้ป่วยหญิงไทยอายุ 30 ปี อาชีพรับจ้าง มาร้านยาด้วยอาการแสบขัดเมื่อปัสสาวะ โดยเป็นมาแล้ว 2 วัน จาก การซักประวัติพบว่ามีประวัติอั้นปัสสาวะนานประมาณครึ่งวัน เนื่องจากเดินทางไปต่างจังหวัดไม่สะดวกเข้า ประวัติแพ้ยา วัดอุณหภูมิร่างกายได้เท่ากับ 37.5 oC</t>
        </is>
      </c>
      <c r="I24" s="12" t="inlineStr">
        <is>
          <t>1</t>
        </is>
      </c>
      <c r="J24" s="10" t="inlineStr">
        <is>
          <t>✅ คำตอบที่ถูกต้อง: ข้อ ก. Pyrazinamide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Pyrazinamide 💡 คำอธิบายและเหตุผลทางเภสัชกรรม:
💡 คำอธิบายและเหตุผลทางเภสัชกรรม:
ห้องน้ า ปฏิเสธอาการคันที่อวัยวะเพศ หรือตกขาว ผู้ป่วยไม่เคยมีอาการเช่นนี้มาก่อน ปฏิเสธโรคประจำตัวและ
 เป็น Anti-TB agent ที่มี sterilizing effect สูงใน macrophage เสี่ยงต่อ hyperuricemia (ปวดข้อเก๊าท์) และ severe hepatotoxicity สูงสุดในกลุ่มยาวัณโรค
USP/NF, British Pharmacopoeia (BP) และ Remington: The Science and Practice of Pharmacy (หัวข้อ Polarimetry)
🔍 ข้ออื่นผิดเพราะอะไร:
• ข้อ ข. (Para-aminosalicylic acid): ข้อนี้ไม่ใช่คำตอบที่ถูกต้องสำหรับภาวะ Polarimetry เนื่องจากกลไกการออกฤทธิ์, efficacy หรือข้อบ่งใช้ไม่ตรงกับโจทย์ที่กำหนด
• ข้อ ค. (Ethionamide): ข้อนี้ไม่ใช่คำตอบที่ถูกต้องสำหรับภาวะ Polarimetry เนื่องจากกลไกการออกฤทธิ์, efficacy หรือข้อบ่งใช้ไม่ตรงกับโจทย์ที่กำหนด
• ข้อ ง. (Streptomycin 69 โรคติดเชื้อ ฝ่ายวิชาการ สโมสรนิสิตเภสัชศาสตร์ จุฬาลงกรณ์มหาวิทยาลัย สหพันธ์นิสิตนักศึกษาเภสัชศาสตร์แห่งประเทศไทย (สนภท.)): ข้อนี้ไม่ใช่คำตอบที่ถูกต้องสำหรับภาวะ Polarimetry เนื่องจากกลไกการออกฤทธิ์, efficacy หรือข้อบ่งใช้ไม่ตรงกับโจทย์ที่กำหนด
• ข้อ จ. (Ethambutol หัวข้อเรื่อง Urinary tract infections ผู้ป่วยหญิงไทยอายุ 30 ปี อาชีพรับจ้าง มาร้านยาด้วยอาการแสบขัดเมื่อปัสสาวะ โดยเป็นมาแล้ว 2 วัน จาก การซักประวัติพบว่ามีประวัติอั้นปัสสาวะนานประมาณครึ่งวัน เนื่องจากเดินทางไปต่างจังหวัดไม่สะดวกเข้า ประวัติแพ้ยา วัดอุณหภูมิร่างกายได้เท่ากับ 37.5 oC): เป็น Anti-TB agent ยับยั้ง arabinosyl transferase มี ADR เด่นคือ optic neuritis (มองเห็นสีเขียว-แดงผิดปกติ ตาพร่า) ขับออกทางไตจึงต้องปรับ dose ใน CKD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 t="n"/>
      <c r="L24" s="10" t="inlineStr">
        <is>
          <t>Polarimetry</t>
        </is>
      </c>
      <c r="M24" s="10" t="inlineStr">
        <is>
          <t>Product</t>
        </is>
      </c>
      <c r="N24" s="10" t="inlineStr">
        <is>
          <t>ข้อ 16 (PLE_CC1_Practice_Exam.md)</t>
        </is>
      </c>
      <c r="O24" s="10" t="inlineStr">
        <is>
          <t>Mock</t>
        </is>
      </c>
      <c r="P24" s="10" t="inlineStr">
        <is>
          <t>Mock สภาเภสัชฯ Practice</t>
        </is>
      </c>
      <c r="Q24" s="10" t="n"/>
    </row>
    <row r="25" ht="409.6" customHeight="1" s="37">
      <c r="A25" s="12" t="inlineStr">
        <is>
          <t>23</t>
        </is>
      </c>
      <c r="B25" s="10" t="inlineStr">
        <is>
          <t>ข้อใดไม่ใช่กลไกการดื้อยาของ Oxytetracyclin</t>
        </is>
      </c>
      <c r="C25" s="10" t="n"/>
      <c r="D25" s="10" t="inlineStr">
        <is>
          <t>สร้างเอนไซม์มาทำลายยา</t>
        </is>
      </c>
      <c r="E25" s="10" t="inlineStr">
        <is>
          <t>ยับยั้งเอนไซม์ peptidyl transferase</t>
        </is>
      </c>
      <c r="F25" s="10" t="inlineStr">
        <is>
          <t>ขับยาออกนอกเซลล์โดยกระบวนการ active transport</t>
        </is>
      </c>
      <c r="G25" s="10" t="inlineStr">
        <is>
          <t>เปลี่ยนโครงสร้างของไรโบโซม ทำให้ยาจับไม่ได้</t>
        </is>
      </c>
      <c r="H25" s="10" t="inlineStr">
        <is>
          <t>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t>
        </is>
      </c>
      <c r="I25" s="12" t="inlineStr">
        <is>
          <t>1</t>
        </is>
      </c>
      <c r="J25" s="10" t="inlineStr">
        <is>
          <t>✅ คำตอบที่ถูกต้อง: ข้อ ก. สร้างเอนไซม์มาทำลายยา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สร้างเอนไซม์มาทำลายยา 💡 คำอธิบายและเหตุผลทางเภสัชกรรม:
💡 คำอธิบายและเหตุผลทางเภสัชกรรม:
ไม่มีโรคประจำตัว โดยมีอาการต่อเนื่องมา 5 วัน และจากการซักประวัติเพิ่มเติม ผู้ป่วยมองเห็นแสงสีรุ้งรอบ
USP/NF, British Pharmacopoeia (BP) และ Remington: The Science and Practice of Pharmacy (หัวข้อ UV-Vis Spectroscopy)
🔍 ข้ออื่นผิดเพราะอะไร:
• ข้อ ข. (ยับยั้งเอนไซม์ peptidyl transferase): ข้อนี้ไม่ใช่คำตอบที่ถูกต้องสำหรับภาวะ UV-Vis Spectroscopy เนื่องจากกลไกการออกฤทธิ์, efficacy หรือข้อบ่งใช้ไม่ตรงกับโจทย์ที่กำหนด
• ข้อ ค. (ขับยาออกนอกเซลล์โดยกระบวนการ active transport): ข้อนี้ไม่ใช่คำตอบที่ถูกต้องสำหรับภาวะ UV-Vis Spectroscopy เนื่องจากกลไกการออกฤทธิ์, efficacy หรือข้อบ่งใช้ไม่ตรงกับโจทย์ที่กำหนด
• ข้อ ง. (เปลี่ยนโครงสร้างของไรโบโซม ทำให้ยาจับไม่ได้): ข้อนี้ไม่ใช่คำตอบที่ถูกต้องสำหรับภาวะ UV-Vis Spectroscopy เนื่องจากกลไกการออกฤทธิ์, efficacy หรือข้อบ่งใช้ไม่ตรงกับโจทย์ที่กำหนด
• ข้อ จ.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UV-Vis Spectroscopy</t>
        </is>
      </c>
      <c r="M25" s="10" t="inlineStr">
        <is>
          <t>Product</t>
        </is>
      </c>
      <c r="N25" s="10" t="inlineStr">
        <is>
          <t>ข้อ 13 (PLE_CC1_Practice_Exam.md)</t>
        </is>
      </c>
      <c r="O25" s="10" t="inlineStr">
        <is>
          <t>Mock</t>
        </is>
      </c>
      <c r="P25" s="10" t="inlineStr">
        <is>
          <t>Mock สภาเภสัชฯ Practice</t>
        </is>
      </c>
      <c r="Q25" s="10" t="n"/>
    </row>
    <row r="26" ht="409.6" customHeight="1" s="37">
      <c r="A26" s="12" t="inlineStr">
        <is>
          <t>24</t>
        </is>
      </c>
      <c r="B26" s="10" t="inlineStr">
        <is>
          <t>Atomic spectroscopy</t>
        </is>
      </c>
      <c r="C26" s="10" t="n"/>
      <c r="D26" s="10" t="inlineStr">
        <is>
          <t>Proton NMR (1H-NMR) Spectroscopy</t>
        </is>
      </c>
      <c r="E26" s="10" t="inlineStr">
        <is>
          <t>Carbon-13 NMR (13C-NMR) Spectroscopy</t>
        </is>
      </c>
      <c r="F26" s="10" t="inlineStr">
        <is>
          <t>Electrospray Ionization Mass Spectrometry (ESI-MS)</t>
        </is>
      </c>
      <c r="G26" s="10" t="inlineStr">
        <is>
          <t>Optical Rotation via Polarimeter</t>
        </is>
      </c>
      <c r="H26" s="10" t="inlineStr">
        <is>
          <t>Refractive Index via Abbe Refractometer</t>
        </is>
      </c>
      <c r="I26" s="12" t="inlineStr">
        <is>
          <t>1</t>
        </is>
      </c>
      <c r="J26" s="10" t="inlineStr">
        <is>
          <t>✅ คำตอบที่ถูกต้อง: ข้อ ก. Proton NMR (1H-NMR)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(Carbon-13 NMR (13C-NMR) Spectroscopy): ข้อนี้ไม่ใช่คำตอบที่ถูกต้องสำหรับภาวะ UV-Vis Spectroscopy เนื่องจากกลไกการออกฤทธิ์, efficacy หรือข้อบ่งใช้ไม่ตรงกับโจทย์ที่กำหนด
• ข้อ ค. (Electrospray Ionization Mass Spectrometry (ESI-MS)): ข้อนี้ไม่ใช่คำตอบที่ถูกต้องสำหรับภาวะ UV-Vis Spectroscopy เนื่องจากกลไกการออกฤทธิ์, efficacy หรือข้อบ่งใช้ไม่ตรงกับโจทย์ที่กำหนด
• ข้อ ง. (Optical Rotation via Polarimeter): ข้อนี้ไม่ใช่คำตอบที่ถูกต้องสำหรับภาวะ UV-Vis Spectroscopy เนื่องจากกลไกการออกฤทธิ์, efficacy หรือข้อบ่งใช้ไม่ตรงกับโจทย์ที่กำหนด
• ข้อ จ. (Refractive Index via Abbe Refractometer): ข้อนี้ไม่ใช่คำตอบที่ถูกต้องสำหรับภาวะ UV-Vis Spectroscopy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UV-Vis Spectroscopy</t>
        </is>
      </c>
      <c r="M26" s="10" t="inlineStr">
        <is>
          <t>Product</t>
        </is>
      </c>
      <c r="N26" s="10" t="inlineStr">
        <is>
          <t>ข้อ 3 (PLE_CC1_Key_Rx20_UBU.md)</t>
        </is>
      </c>
      <c r="O26" s="10" t="inlineStr">
        <is>
          <t>Mock</t>
        </is>
      </c>
      <c r="P26" s="10" t="inlineStr">
        <is>
          <t>Mock Rx20 UBU</t>
        </is>
      </c>
      <c r="Q26" s="10" t="n"/>
    </row>
    <row r="27">
      <c r="A27" s="46" t="n">
        <v>25</v>
      </c>
      <c r="B27" s="45" t="inlineStr">
        <is>
          <t>(ปี 2566, Day 2 ข้อ 87\) (เรื่อง: การ Validate In-house method ด้วย UV-Vis) ทดสอบ In-house method ของการหา assay ด้วยวิธี UV-Vis ไม่ต้อง validate หัวข้อใด</t>
        </is>
      </c>
      <c r="C27" s="46" t="n"/>
      <c r="D27" s="45" t="inlineStr">
        <is>
          <t>Specificity</t>
        </is>
      </c>
      <c r="E27" s="45" t="inlineStr">
        <is>
          <t>Accuracy</t>
        </is>
      </c>
      <c r="F27" s="45" t="inlineStr">
        <is>
          <t>Linearity</t>
        </is>
      </c>
      <c r="G27" s="45" t="inlineStr">
        <is>
          <t>Precision</t>
        </is>
      </c>
      <c r="H27" s="45" t="inlineStr">
        <is>
          <t>Limit of detection เหตุผล: การ validate วิธี Assay (ปริมาณตัวยา) ต้องมี Specificity, Accuracy, Precision, Linearity/Range เป็นหลัก ส่วน LOD จำเป็นสำหรับวิธีที่ใช้ตรวจหาปริมาณเล็กน้อย/สิ่งเจือปน (limit test) ไม่ใช่วิธี assay เชิงปริมาณ</t>
        </is>
      </c>
      <c r="I27" s="46" t="n">
        <v>1</v>
      </c>
      <c r="J27" s="45" t="inlineStr">
        <is>
          <t>✅ คำตอบที่ถูกต้อง: ข้อ ก. Specificity
💡 Background:
คำถามข้อสอบจริงใบประกอบวิชาชีพ PLE-CC 1 (Product) ปี 2566 ข้อ 33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7" s="46" t="n"/>
      <c r="L27" s="45" t="inlineStr">
        <is>
          <t>Spectroscopy &amp; Optical Analysis</t>
        </is>
      </c>
      <c r="M27" s="46" t="inlineStr">
        <is>
          <t>Product</t>
        </is>
      </c>
      <c r="N27" s="45" t="inlineStr">
        <is>
          <t>ข้อสอบจริง Product ปี 2566 ข้อ 33</t>
        </is>
      </c>
      <c r="O27" s="46" t="inlineStr">
        <is>
          <t>ข้อสอบจริง</t>
        </is>
      </c>
      <c r="P27" s="46" t="inlineStr">
        <is>
          <t>ปี 2566</t>
        </is>
      </c>
    </row>
    <row r="28">
      <c r="A28" s="46" t="n">
        <v>26</v>
      </c>
      <c r="B28" s="45" t="inlineStr">
        <is>
          <t>(ปี 2566, Day 2 ข้อ 90\) (เรื่อง: เครื่องมือทดสอบ Elemental Impurity) จะทดสอบ Elemental impurity ใช้เครื่องมือไหน</t>
        </is>
      </c>
      <c r="C28" s="46" t="n"/>
      <c r="D28" s="45" t="inlineStr">
        <is>
          <t>Inductively-coupled plasma spectroscopy</t>
        </is>
      </c>
      <c r="E28" s="45" t="inlineStr">
        <is>
          <t>FT-IR spectroscopy</t>
        </is>
      </c>
      <c r="F28" s="45" t="inlineStr">
        <is>
          <t>UV-Vis spectroscopy</t>
        </is>
      </c>
      <c r="G28" s="45" t="inlineStr">
        <is>
          <t xml:space="preserve"> เหตุผล: ตาม USP \&lt;233\&gt;/ICH Q3D มาตรฐานการตรวจธาตุปนเปื้อนใช้ ICP-MS หรือ ICP-OES เป็นหลัก</t>
        </is>
      </c>
      <c r="H28" s="45" t="inlineStr"/>
      <c r="I28" s="46" t="n">
        <v>1</v>
      </c>
      <c r="J28" s="45" t="inlineStr">
        <is>
          <t>✅ คำตอบที่ถูกต้อง: ข้อ ก. Inductively-coupled plasma spectroscopy
💡 Background:
คำถามข้อสอบจริงใบประกอบวิชาชีพ PLE-CC 1 (Product) ปี 2566 ข้อ 36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8" s="46" t="n"/>
      <c r="L28" s="45" t="inlineStr">
        <is>
          <t>Spectroscopy &amp; Optical Analysis</t>
        </is>
      </c>
      <c r="M28" s="46" t="inlineStr">
        <is>
          <t>Product</t>
        </is>
      </c>
      <c r="N28" s="45" t="inlineStr">
        <is>
          <t>ข้อสอบจริง Product ปี 2566 ข้อ 36</t>
        </is>
      </c>
      <c r="O28" s="46" t="inlineStr">
        <is>
          <t>ข้อสอบจริง</t>
        </is>
      </c>
      <c r="P28" s="46" t="inlineStr">
        <is>
          <t>ปี 2566</t>
        </is>
      </c>
    </row>
    <row r="29">
      <c r="A29" s="46" t="n">
        <v>27</v>
      </c>
      <c r="B29" s="45" t="inlineStr">
        <is>
          <t>(ปี 2566, Day 2 ข้อ 98\) (เรื่อง: การตรวจสอบพื้นที่ห้องปราศจากเชื้อ - ข้อที่ไม่ใช่) ข้อใดไม่ได้เป็นข้อกำหนดในการตรวจพื้นที่การทำงานในห้องปราศจากเชื้อ</t>
        </is>
      </c>
      <c r="C29" s="46" t="n"/>
      <c r="D29" s="45" t="inlineStr">
        <is>
          <t>Air sampling test</t>
        </is>
      </c>
      <c r="E29" s="45" t="inlineStr">
        <is>
          <t>Glove print test</t>
        </is>
      </c>
      <c r="F29" s="45" t="inlineStr">
        <is>
          <t>Contact plate</t>
        </is>
      </c>
      <c r="G29" s="45" t="inlineStr">
        <is>
          <t>Settle plates</t>
        </is>
      </c>
      <c r="H29" s="45" t="inlineStr">
        <is>
          <t>Cleaning validation เหตุผล: Air sampling, Glove print, Contact plate, Settle plate เป็นการตรวจติดตามสภาพแวดล้อม (environmental monitoring) ตามปกติ ส่วน Cleaning validation เป็นกิจกรรมการตรวจสอบความสะอาดของอุปกรณ์ (equipment) คนละส่วนกับการตรวจ area monitoring</t>
        </is>
      </c>
      <c r="I29" s="46" t="n">
        <v>3</v>
      </c>
      <c r="J29" s="45" t="inlineStr">
        <is>
          <t>✅ คำตอบที่ถูกต้อง: ข้อ ค. Contact plate
💡 Background:
คำถามข้อสอบจริงใบประกอบวิชาชีพ PLE-CC 1 (Product) ปี 2566 ข้อ 42
🎯 ทำไมข้อนี้ถึงถูก:
ข้อ ค.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9" s="46" t="n"/>
      <c r="L29" s="45" t="inlineStr">
        <is>
          <t>Spectroscopy &amp; Optical Analysis</t>
        </is>
      </c>
      <c r="M29" s="46" t="inlineStr">
        <is>
          <t>Product</t>
        </is>
      </c>
      <c r="N29" s="45" t="inlineStr">
        <is>
          <t>ข้อสอบจริง Product ปี 2566 ข้อ 42</t>
        </is>
      </c>
      <c r="O29" s="46" t="inlineStr">
        <is>
          <t>ข้อสอบจริง</t>
        </is>
      </c>
      <c r="P29" s="46" t="inlineStr">
        <is>
          <t>ปี 2566</t>
        </is>
      </c>
    </row>
    <row r="30">
      <c r="A30" s="46" t="n">
        <v>28</v>
      </c>
      <c r="B30" s="45" t="inlineStr">
        <is>
          <t>ชื่อยา imdur (ยี่ห้อ) ให้ส่วนประกอบยามา จำได้แค่มี magnesium stearate ข้อใดถูกต้อง</t>
        </is>
      </c>
      <c r="C30" s="46" t="n"/>
      <c r="D30" s="45" t="inlineStr">
        <is>
          <t>ระบบ matti ของยาสามารถหักแบ่งได้แต่ห้ามเคี้ยว</t>
        </is>
      </c>
      <c r="E30" s="45" t="inlineStr">
        <is>
          <t>ระบบ reservoir ของยาตัวนี้สามารถหักแบ่งและเคี้ยวได้</t>
        </is>
      </c>
      <c r="F30" s="45" t="inlineStr">
        <is>
          <t>กินพร้อมยาลดกรดได้</t>
        </is>
      </c>
      <c r="G30" s="45" t="inlineStr">
        <is>
          <t>Na stearate ทำหน้าที่คล้าย Mg stearate ในนี้</t>
        </is>
      </c>
      <c r="H30" s="45" t="inlineStr">
        <is>
          <t>จำ choice ไม่ได้ Hint : imdur คือ ISMN prolonged release กรณีศึกษา 6 คนไข้อายุ 76 ปี น้ำหนัก 60 kg ช่วงนี้อ่อนเพลีย น้ำหนักขึ้น ทนอากาศเย็นไม่ค่อยได้ ค่า TSH สูง และ FT4 ต่ำ (น่าจะ TSH 12.2 U/L FT4 0.1 U/L แต่โจทย์บอกค่าปกติมาด้วย) ไม่มีประวัติแพ้ยาโรคประจำตัว: HTN, ไขมันสูง, NSTEMI, โลหิตจาง</t>
        </is>
      </c>
      <c r="I30" s="46" t="n">
        <v>1</v>
      </c>
      <c r="J30" s="45" t="inlineStr">
        <is>
          <t>✅ คำตอบที่ถูกต้อง: ข้อ ก. ระบบ matti ของยาสามารถหักแบ่งได้แต่ห้ามเคี้ยว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0" s="46" t="n"/>
      <c r="L30" s="45" t="inlineStr">
        <is>
          <t>Spectroscopy &amp; Optical Analysis</t>
        </is>
      </c>
      <c r="M30" s="46" t="inlineStr">
        <is>
          <t>Product</t>
        </is>
      </c>
      <c r="N30" s="45" t="inlineStr">
        <is>
          <t>ข้อสอบจริง Product ปี 2565 ข้อ 9</t>
        </is>
      </c>
      <c r="O30" s="46" t="inlineStr">
        <is>
          <t>ข้อสอบจริง</t>
        </is>
      </c>
      <c r="P30" s="46" t="inlineStr">
        <is>
          <t>ปี 2565</t>
        </is>
      </c>
    </row>
    <row r="31">
      <c r="A31" s="46" t="n">
        <v>29</v>
      </c>
      <c r="B31" s="45" t="inlineStr">
        <is>
          <t>ให้กราฟ Infrared spectroscopy (IR) มา ถามว่าที่ wavelength 1699.34 แสดงถึงโครงสร้างอะไรของยา</t>
        </is>
      </c>
      <c r="C31" s="46" t="n"/>
      <c r="D31" s="45" t="inlineStr">
        <is>
          <t>OH</t>
        </is>
      </c>
      <c r="E31" s="45" t="inlineStr">
        <is>
          <t>C=O</t>
        </is>
      </c>
      <c r="F31" s="45" t="inlineStr">
        <is>
          <t>C-O</t>
        </is>
      </c>
      <c r="G31" s="45" t="inlineStr">
        <is>
          <t>sp3 stretching</t>
        </is>
      </c>
      <c r="H31" s="45" t="inlineStr">
        <is>
          <t>C-C</t>
        </is>
      </c>
      <c r="I31" s="46" t="n">
        <v>1</v>
      </c>
      <c r="J31" s="45" t="inlineStr">
        <is>
          <t>✅ คำตอบที่ถูกต้อง: ข้อ ก. OH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1" s="46" t="n"/>
      <c r="L31" s="45" t="inlineStr">
        <is>
          <t>Spectroscopy &amp; Optical Analysis</t>
        </is>
      </c>
      <c r="M31" s="46" t="inlineStr">
        <is>
          <t>Product</t>
        </is>
      </c>
      <c r="N31" s="45" t="inlineStr">
        <is>
          <t>ข้อสอบจริง Product ปี 2565 ข้อ 45</t>
        </is>
      </c>
      <c r="O31" s="46" t="inlineStr">
        <is>
          <t>ข้อสอบจริง</t>
        </is>
      </c>
      <c r="P31" s="46" t="inlineStr">
        <is>
          <t>ปี 2565</t>
        </is>
      </c>
    </row>
    <row r="32">
      <c r="A32" s="46" t="n">
        <v>30</v>
      </c>
      <c r="B32" s="45" t="inlineStr">
        <is>
          <t>ให้ monograph การทดสอบ dissolution มา แต่จำไม่ได้ว่าคือยาอะไร (น่าจะ tablet ทั่วไป) Apparatus: Apparatus 2 Tolerances: NLT 75% (Q) the labeled amount of .... ข้อใดถูกต้อง</t>
        </is>
      </c>
      <c r="C32" s="46" t="inlineStr">
        <is>
          <t>[แนบรูป: ข้อสอบ Product ปี 2565 รหัสรูปภาพ image15]</t>
        </is>
      </c>
      <c r="D32" s="45" t="inlineStr">
        <is>
          <t>เป็น reservoir device</t>
        </is>
      </c>
      <c r="E32" s="45" t="inlineStr">
        <is>
          <t>ปลดปล่อยยาได้นานขึ้น</t>
        </is>
      </c>
      <c r="F32" s="45" t="inlineStr">
        <is>
          <t>ชื่อระบบ monolithic</t>
        </is>
      </c>
      <c r="G32" s="45" t="inlineStr">
        <is>
          <t>ยากระจายใน matrix</t>
        </is>
      </c>
      <c r="H32" s="45" t="inlineStr">
        <is>
          <t>การปลดปล่อยยา ขึ้นกับ swelling และ erosion ของ polymer matrix</t>
        </is>
      </c>
      <c r="I32" s="46" t="n">
        <v>1</v>
      </c>
      <c r="J32" s="45" t="inlineStr">
        <is>
          <t>✅ คำตอบที่ถูกต้อง: ข้อ ก. เป็น reservoir device
💡 Background:
คำถามข้อสอบจริงใบประกอบวิชาชีพ PLE-CC 1 (Product) ปี 2565 ข้อ 91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2" s="46" t="n"/>
      <c r="L32" s="45" t="inlineStr">
        <is>
          <t>Spectroscopy &amp; Optical Analysis</t>
        </is>
      </c>
      <c r="M32" s="46" t="inlineStr">
        <is>
          <t>Product</t>
        </is>
      </c>
      <c r="N32" s="45" t="inlineStr">
        <is>
          <t>ข้อสอบจริง Product ปี 2565 ข้อ 91</t>
        </is>
      </c>
      <c r="O32" s="46" t="inlineStr">
        <is>
          <t>ข้อสอบจริง</t>
        </is>
      </c>
      <c r="P32" s="46" t="inlineStr">
        <is>
          <t>ปี 2565</t>
        </is>
      </c>
    </row>
    <row r="33">
      <c r="A33" s="46" t="n">
        <v>31</v>
      </c>
      <c r="B33" s="45" t="inlineStr">
        <is>
          <t>ให้ monograph ยา griseofulvin มา Specific Rotation, \+354° to \+364° Specific rotation หาได้จากเครื่องมือใด</t>
        </is>
      </c>
      <c r="C33" s="46" t="n"/>
      <c r="D33" s="45" t="inlineStr">
        <is>
          <t>Monochromator  เป็นส่วนประกอบของเครื่องสเปกโตรโฟโตมิเตอร์ ใช้เลือกความยาวคลื่น</t>
        </is>
      </c>
      <c r="E33" s="45" t="inlineStr">
        <is>
          <t>Polarimeter</t>
        </is>
      </c>
      <c r="F33" s="45" t="inlineStr">
        <is>
          <t>Photometer  วัดความเข้มของแสง</t>
        </is>
      </c>
      <c r="G33" s="45" t="inlineStr">
        <is>
          <t>Spectrophotometer วัดการดูดกลืนแสง (Absorbance)</t>
        </is>
      </c>
      <c r="H33" s="45" t="inlineStr">
        <is>
          <t>Refractometer วัดดัชนีหักเหของแสง (Refractive index)</t>
        </is>
      </c>
      <c r="I33" s="46" t="n">
        <v>1</v>
      </c>
      <c r="J33" s="45" t="inlineStr">
        <is>
          <t>✅ คำตอบที่ถูกต้อง: ข้อ ก. Monochromator  เป็นส่วนประกอบของเครื่องสเปกโตรโฟโตมิเตอร์ ใช้เลือกความยาวคลื่น
💡 Background:
คำถามข้อสอบจริงใบประกอบวิชาชีพ PLE-CC 1 (Product) ปี 2564 ข้อ 28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3" s="46" t="n"/>
      <c r="L33" s="45" t="inlineStr">
        <is>
          <t>Spectroscopy &amp; Optical Analysis</t>
        </is>
      </c>
      <c r="M33" s="46" t="inlineStr">
        <is>
          <t>Product</t>
        </is>
      </c>
      <c r="N33" s="45" t="inlineStr">
        <is>
          <t>ข้อสอบจริง Product ปี 2564 ข้อ 28</t>
        </is>
      </c>
      <c r="O33" s="46" t="inlineStr">
        <is>
          <t>ข้อสอบจริง</t>
        </is>
      </c>
      <c r="P33" s="46" t="inlineStr">
        <is>
          <t>ปี 2564</t>
        </is>
      </c>
    </row>
    <row r="34">
      <c r="A34" s="46" t="n">
        <v>32</v>
      </c>
      <c r="B34" s="45" t="inlineStr">
        <is>
          <t>ให้กราฟมาแล้วถามประมาณว่าปัจจัยอะไรที่ส่งผลให้ a, b, c ต่างกัน [แนบรูป: ข้อสอบ Product ปี 2564 รหัสรูปภาพ image78]</t>
        </is>
      </c>
      <c r="C34" s="46" t="inlineStr">
        <is>
          <t>[แนบรูป: ข้อสอบ Product ปี 2564 รหัสรูปภาพ image78]</t>
        </is>
      </c>
      <c r="D34" s="45" t="inlineStr">
        <is>
          <t>อุณหภูมิ</t>
        </is>
      </c>
      <c r="E34" s="45" t="inlineStr">
        <is>
          <t>ความเข้มข้น</t>
        </is>
      </c>
      <c r="F34" s="45" t="inlineStr">
        <is>
          <t>ความหนืด</t>
        </is>
      </c>
      <c r="G34" s="45" t="inlineStr">
        <is>
          <t>ค่าความเป็นกรด ด่าง</t>
        </is>
      </c>
      <c r="H34" s="45" t="inlineStr">
        <is>
          <t>ชนิดตัวทำละลาย คำอธิบาย: จากกฎ Beer-Lambert law A=εbc โดย A \= Absorbance ε \= molar absorptivity (ขึ้นกับชนิดสารและตัวทำละลาย) b \= ความยาวทางเดินแสง (path length) c \= ความเข้มข้น เมื่อ λmax เท่าเดิม แสดงว่าสารชนิดเดิมและสภาพแวดล้อมใกล้เคียงเดิม แต่ Abs เปลี่ยน สาเหตุที่พบบ่อยคือ ความเข้มข้นของสารต่างกัน</t>
        </is>
      </c>
      <c r="I34" s="46" t="n">
        <v>1</v>
      </c>
      <c r="J34" s="45" t="inlineStr">
        <is>
          <t>✅ คำตอบที่ถูกต้อง: ข้อ ก. อุณหภูมิ
💡 Background:
คำถามข้อสอบจริงใบประกอบวิชาชีพ PLE-CC 1 (Product) ปี 2564 ข้อ 53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4" s="46" t="n"/>
      <c r="L34" s="45" t="inlineStr">
        <is>
          <t>Spectroscopy &amp; Optical Analysis</t>
        </is>
      </c>
      <c r="M34" s="46" t="inlineStr">
        <is>
          <t>Product</t>
        </is>
      </c>
      <c r="N34" s="45" t="inlineStr">
        <is>
          <t>ข้อสอบจริง Product ปี 2564 ข้อ 53</t>
        </is>
      </c>
      <c r="O34" s="46" t="inlineStr">
        <is>
          <t>ข้อสอบจริง</t>
        </is>
      </c>
      <c r="P34" s="46" t="inlineStr">
        <is>
          <t>ปี 2564</t>
        </is>
      </c>
    </row>
    <row r="35">
      <c r="A35" s="46" t="n">
        <v>33</v>
      </c>
      <c r="B35" s="45" t="inlineStr">
        <is>
          <t>การวิเคราะห์ตัวยา A (40 mg/tablet) โดยนำเม็ดยา A 20 เม็ด ชั่งได้ 1 g นำมาบด และชั่งมา 0.0125 g ละลายในตัวละลาย 10 mL จากนั้นปิเปตมา 1 mL และเจือจางในตัวทำละลาย 100 mL เมื่อ นำมาวัดจะไดค่าดูดกลืนแสง 0.55 โดยสมการเชิงตรงจากกราฟ คือ y \= 0.05x และ r^2=1 หา %LA</t>
        </is>
      </c>
      <c r="C35" s="46" t="inlineStr">
        <is>
          <t>[แนบรูป: ข้อสอบ Product ปี 2564 รหัสรูปภาพ image79]</t>
        </is>
      </c>
      <c r="D35" s="45" t="inlineStr">
        <is>
          <t>120%</t>
        </is>
      </c>
      <c r="E35" s="45" t="inlineStr">
        <is>
          <t>110%</t>
        </is>
      </c>
      <c r="F35" s="45" t="inlineStr">
        <is>
          <t>100%</t>
        </is>
      </c>
      <c r="G35" s="45" t="inlineStr">
        <is>
          <t>90%</t>
        </is>
      </c>
      <c r="H35" s="45" t="inlineStr">
        <is>
          <t>80% คำอธิบาย: คำนวนปริมาณยาใน 0.0125 g ยา 20 เม็ด หนักรวม 1 g มีตัวยา 20 x 40 \= 800 mg ดังนั้น ชั่งมา 0.0125 g จะมีตัวยา 800mg/1 g x 0.0125 g \= 10 mg คำนวนหาความเข้มข้นคำนวน [แนบรูป: ข้อสอบ Product ปี 2564 รหัสรูปภาพ image79] Csam \= (10 mg/ 10 ml) x (1ml /100ml) \= 0.01 mg/ml \= 10 µg/mL คำนวนหาความเข้มข้นจริง จากสมการ y \= 0.05x 0.55 \= 0.05x x \= 11 µg/mL \\\ความเข้มข้นของตัวอย่างสุดท้าย ซึ่งในการวิเคราะห์ UV โดยทั่วไปมักอยู่ในช่วง 5–50 µg/mL จึงมักตีความว่า x มีหน่วยเป็น µg/mL และหาก x=11 mg/mL จะไม่สมเหตุสมผลเพราะตัวอย่างของเรามีความเข้มข้นคำนวนเพียง 0.01 mg/mL %LA \= 11/10 x 100 \= 110% ดังนั้นจึงตอบ ข. 110% PLE\_CC1\_2564\_Day2\_Key\_Combined.pdf Naproxen sodium, yellow to off-white, needle shape, soluble in water, light and heat induced degradation, angle of repose of 45 degree เม็ดผิดด้วยวิธี dry granulation</t>
        </is>
      </c>
      <c r="I35" s="46" t="n">
        <v>1</v>
      </c>
      <c r="J35" s="45" t="inlineStr">
        <is>
          <t>✅ คำตอบที่ถูกต้อง: ข้อ ก. 120%
💡 Background:
คำถามข้อสอบจริงใบประกอบวิชาชีพ PLE-CC 1 (Product) ปี 2564 ข้อ 63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5" s="46" t="n"/>
      <c r="L35" s="45" t="inlineStr">
        <is>
          <t>Spectroscopy &amp; Optical Analysis</t>
        </is>
      </c>
      <c r="M35" s="46" t="inlineStr">
        <is>
          <t>Product</t>
        </is>
      </c>
      <c r="N35" s="45" t="inlineStr">
        <is>
          <t>ข้อสอบจริง Product ปี 2564 ข้อ 63</t>
        </is>
      </c>
      <c r="O35" s="46" t="inlineStr">
        <is>
          <t>ข้อสอบจริง</t>
        </is>
      </c>
      <c r="P35" s="46" t="inlineStr">
        <is>
          <t>ปี 2564</t>
        </is>
      </c>
    </row>
    <row r="36">
      <c r="A36" s="46" t="n">
        <v>34</v>
      </c>
      <c r="B36" s="45" t="inlineStr">
        <is>
          <t>เครื่องมือใดสามารถใช้หามวลโมเลกุลและโครงสร้างของสารได้ รูป A [แนบรูป: ข้อสอบ Product ปี 2564 รหัสรูปภาพ image82] รูป B [แนบรูป: ข้อสอบ Product ปี 2564 รหัสรูปภาพ image83] รูป C [แนบรูป: ข้อสอบ Product ปี 2564 รหัสรูปภาพ image84]</t>
        </is>
      </c>
      <c r="C36" s="46" t="inlineStr">
        <is>
          <t>[แนบรูป: ข้อสอบ Product ปี 2564 รหัสรูปภาพ image82]</t>
        </is>
      </c>
      <c r="D36" s="45" t="inlineStr">
        <is>
          <t>A</t>
        </is>
      </c>
      <c r="E36" s="45" t="inlineStr">
        <is>
          <t>B</t>
        </is>
      </c>
      <c r="F36" s="45" t="inlineStr">
        <is>
          <t>A และ B</t>
        </is>
      </c>
      <c r="G36" s="45" t="inlineStr">
        <is>
          <t>B และ C</t>
        </is>
      </c>
      <c r="H36" s="45" t="inlineStr">
        <is>
          <t>A และ C คำอธิบาย: จากรูป A คือ H NMR, B คือ Mass Spectrometry และ C คือ IR MS (Mass Spectrometry - รูป B): เป็นเครื่องมือหลักที่ใช้ในการหา มวลโมเลกุล ของสาร (จากค่า Molecular ion peak) และยังสามารถช่วยวิเคราะห์โครงสร้างสารจากการแตกตัว (Fragmentation pattern) ได้ H NMR (Proton Nuclear Magnetic Resonance - รูป A): ใช้สำหรับวิเคราะห์ โครงสร้าง ของสาร โดยเฉพาะการระบุตำแหน่งและจำนวนของโปรตอน (1H) ในโมเลกุล แต่โดยทั่วไปไม่ได้ใช้ในการหามวลโมเลกุล IR (Infrared Spectroscopy - รูป C): ใช้สำหรับวิเคราะห์ โครงสร้าง ของสารโดยการระบุหมู่ฟังก์ชัน (Functional groups) แต่ไม่สามารถหามวลโมเลกุลได้ ดังนั้นจึงตอบ b) B PLE\_CC1\_2564\_Day3\_Key.pdf</t>
        </is>
      </c>
      <c r="I36" s="46" t="n">
        <v>1</v>
      </c>
      <c r="J36" s="45" t="inlineStr">
        <is>
          <t>✅ คำตอบที่ถูกต้อง: ข้อ ก. A
💡 Background:
คำถามข้อสอบจริงใบประกอบวิชาชีพ PLE-CC 1 (Product) ปี 2564 ข้อ 87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6" s="46" t="n"/>
      <c r="L36" s="45" t="inlineStr">
        <is>
          <t>Spectroscopy &amp; Optical Analysis</t>
        </is>
      </c>
      <c r="M36" s="46" t="inlineStr">
        <is>
          <t>Product</t>
        </is>
      </c>
      <c r="N36" s="45" t="inlineStr">
        <is>
          <t>ข้อสอบจริง Product ปี 2564 ข้อ 87</t>
        </is>
      </c>
      <c r="O36" s="46" t="inlineStr">
        <is>
          <t>ข้อสอบจริง</t>
        </is>
      </c>
      <c r="P36" s="46" t="inlineStr">
        <is>
          <t>ปี 2564</t>
        </is>
      </c>
    </row>
    <row r="37">
      <c r="A37" s="46" t="n">
        <v>35</v>
      </c>
      <c r="B37" s="45" t="inlineStr">
        <is>
          <t>จากใบ Certificate of analysis ของ raltegravir potassium ผ่านเกณฑ์การยอมรับหรือไม่ Certificate of analysis Product name: Raltegravir potassium Lot number: XXXXX1 |  | Specification | Result | | :---- | :---- | :---- | | Description | Powder | Conforms | | Appearance | White | Conforms | | Identification | Positive | Conforms | | Loss on drying | NMT 0.6% | 0.8% | | Assay | 98.0 to 102.0% | 99.6% | | Microbiology test | Specification | Result | | :---- | :---- | :---- | | Total aerobic plate test | \&lt;1000 cfu/ml | \&lt;1000 cfu/ml | | Total yeast and mold test | \&lt;100 cfu/ml | \&lt;100 cfu/ml | | Coliform test | Negative | Negative | | E.coli | Negative | Negative | | Salmonella | Negative | Negative | | S.aureus | Negative | Negative | | Pseudomonas | Negative | Negative |</t>
        </is>
      </c>
      <c r="C37" s="46" t="n"/>
      <c r="D37" s="45" t="inlineStr">
        <is>
          <t>มี Preservatives ❌ ผิด เพราะ Sterile Water for Injection ต้อง ปราศจากสารกันเสีย ถ้ามี preservative จะเป็น Bacteriostatic Water for Injection</t>
        </is>
      </c>
      <c r="E37" s="45" t="inlineStr">
        <is>
          <t>ใช้ได้หลายครั้ง ❌ โดยทั่วไปเป็น single-dose container เปิดแล้วควรใช้ทันที</t>
        </is>
      </c>
      <c r="F37" s="45" t="inlineStr">
        <is>
          <t>ได้จากน้ำกลั่นที่ทำให้ปราศจากเชื้อ ✅ ถูกต้อง WFI สามารถผลิตจากกระบวนการเช่น distillation แล้วทำให้ sterile</t>
        </is>
      </c>
      <c r="G37" s="45" t="inlineStr">
        <is>
          <t>ใช้ภาชนะเป็น glass type III ❌ ไม่ใช่ข้อกำหนดจำเพาะ ภาชนะสำหรับยาฉีดมักใช้ Type I glass (borosilicate) สำหรับความปลอดภัยสูง</t>
        </is>
      </c>
      <c r="H37" s="45" t="inlineStr">
        <is>
          <t>Osmolarity 308 ❌ Sterile water ไม่มี electrolytes → ไม่เป็น isotonic Osmolarity ≈ 0 mOsm/L ค่า \~308 mOsm/L คือสารละลาย isotonic เช่น 0.9% NaCl</t>
        </is>
      </c>
      <c r="I37" s="46" t="n">
        <v>1</v>
      </c>
      <c r="J37" s="45" t="inlineStr">
        <is>
          <t>✅ คำตอบที่ถูกต้อง: ข้อ ก. มี Preservatives ❌ ผิด เพราะ Sterile Water for Injection ต้อง ปราศจากสารกันเสีย ถ้ามี preservative จะเป็น Bacteriostatic Water for Injection
💡 Background:
คำถามข้อสอบจริงใบประกอบวิชาชีพ PLE-CC 1 (Product) ปี 2564 ข้อ 96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7" s="46" t="n"/>
      <c r="L37" s="45" t="inlineStr">
        <is>
          <t>Spectroscopy &amp; Optical Analysis</t>
        </is>
      </c>
      <c r="M37" s="46" t="inlineStr">
        <is>
          <t>Product</t>
        </is>
      </c>
      <c r="N37" s="45" t="inlineStr">
        <is>
          <t>ข้อสอบจริง Product ปี 2564 ข้อ 96</t>
        </is>
      </c>
      <c r="O37" s="46" t="inlineStr">
        <is>
          <t>ข้อสอบจริง</t>
        </is>
      </c>
      <c r="P37" s="46" t="inlineStr">
        <is>
          <t>ปี 2564</t>
        </is>
      </c>
    </row>
    <row r="38">
      <c r="A38" s="46" t="n">
        <v>36</v>
      </c>
      <c r="B38" s="45" t="inlineStr">
        <is>
          <t>จากข้อกำหนด USP monograph: Acyclovir contains not less than 98.5 percent and not more than 101.0 percent of C8H11N5O3 calculated as anhydrous basis ถ้าชั่งวัตถุดิบ acyclovir 150 mg วิเคราะห์หาปริมาณตัวยาสาคัญได้ 142 mg และวิเคราะห์หาปริมาณน้ำได้ 4.27% วัตถุดิบปราศจากน้ำจะมี acyclovir กี่เปอร์เซ็นต์</t>
        </is>
      </c>
      <c r="C38" s="46" t="inlineStr">
        <is>
          <t>[แนบรูป: ข้อสอบ Product ปี 2564 รหัสรูปภาพ image86]</t>
        </is>
      </c>
      <c r="D38" s="45" t="inlineStr">
        <is>
          <t>90.4%</t>
        </is>
      </c>
      <c r="E38" s="45" t="inlineStr">
        <is>
          <t>94.7%</t>
        </is>
      </c>
      <c r="F38" s="45" t="inlineStr">
        <is>
          <t>95.7%</t>
        </is>
      </c>
      <c r="G38" s="45" t="inlineStr">
        <is>
          <t>98.9%</t>
        </is>
      </c>
      <c r="H38" s="45" t="inlineStr">
        <is>
          <t>105.6% คำอธิบาย:[แนบรูป: ข้อสอบ Product ปี 2564 รหัสรูปภาพ image86] จากสูตร 	\[Q/T/(100-W/100)\] x 100 แทนค่า		\[(142/150)/(100-4.72/100)\] x 100 \= 99.35 ดังนั้นจึงประมาณเป็น D. 98.9</t>
        </is>
      </c>
      <c r="I38" s="46" t="n">
        <v>1</v>
      </c>
      <c r="J38" s="45" t="inlineStr">
        <is>
          <t>✅ คำตอบที่ถูกต้อง: ข้อ ก. 90.4%
💡 Background:
คำถามข้อสอบจริงใบประกอบวิชาชีพ PLE-CC 1 (Product) ปี 2564 ข้อ 102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8" s="46" t="n"/>
      <c r="L38" s="45" t="inlineStr">
        <is>
          <t>Spectroscopy &amp; Optical Analysis</t>
        </is>
      </c>
      <c r="M38" s="46" t="inlineStr">
        <is>
          <t>Product</t>
        </is>
      </c>
      <c r="N38" s="45" t="inlineStr">
        <is>
          <t>ข้อสอบจริง Product ปี 2564 ข้อ 102</t>
        </is>
      </c>
      <c r="O38" s="46" t="inlineStr">
        <is>
          <t>ข้อสอบจริง</t>
        </is>
      </c>
      <c r="P38" s="46" t="inlineStr">
        <is>
          <t>ปี 2564</t>
        </is>
      </c>
    </row>
    <row r="39">
      <c r="A39" s="46" t="n">
        <v>37</v>
      </c>
      <c r="B39" s="45" t="inlineStr">
        <is>
          <t>ระบบแผ่นแปะที่เป็นระบบ reservoir จะปลดปล่อยยาด้วยปฏิกิริยาลำดับใด</t>
        </is>
      </c>
      <c r="C39" s="46" t="n"/>
      <c r="D39" s="45" t="inlineStr">
        <is>
          <t>Zero order</t>
        </is>
      </c>
      <c r="E39" s="45" t="inlineStr">
        <is>
          <t>First order</t>
        </is>
      </c>
      <c r="F39" s="45" t="inlineStr">
        <is>
          <t>Pseudo first orders</t>
        </is>
      </c>
      <c r="G39" s="45" t="inlineStr">
        <is>
          <t>Second order</t>
        </is>
      </c>
      <c r="H39" s="45" t="inlineStr">
        <is>
          <t>Pseudo zero order คำอธิบาย: Reservoir patch มี rate-controlling membrane ควบคุมการปลดปล่อยยา ทำให้ปลดปล่อยยาได้ อัตราคงที่ (constant rate) จึงเป็น Zero-order kinetics กรณีศึกษา: พยาธิ Enterobius vermicularis ทำ scotch tape แล้วเจอไข่ เด็กอายุ 4 ขวบ คันที่ทวารหนัก ใช้วิธี scotch tape technique</t>
        </is>
      </c>
      <c r="I39" s="46" t="n">
        <v>1</v>
      </c>
      <c r="J39" s="45" t="inlineStr">
        <is>
          <t>✅ คำตอบที่ถูกต้อง: ข้อ ก. Zero order
💡 Background:
คำถามข้อสอบจริงใบประกอบวิชาชีพ PLE-CC 1 (Product) ปี 2564 ข้อ 119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9" s="46" t="n"/>
      <c r="L39" s="45" t="inlineStr">
        <is>
          <t>Spectroscopy &amp; Optical Analysis</t>
        </is>
      </c>
      <c r="M39" s="46" t="inlineStr">
        <is>
          <t>Product</t>
        </is>
      </c>
      <c r="N39" s="45" t="inlineStr">
        <is>
          <t>ข้อสอบจริง Product ปี 2564 ข้อ 119</t>
        </is>
      </c>
      <c r="O39" s="46" t="inlineStr">
        <is>
          <t>ข้อสอบจริง</t>
        </is>
      </c>
      <c r="P39" s="46" t="inlineStr">
        <is>
          <t>ปี 2564</t>
        </is>
      </c>
    </row>
    <row r="40">
      <c r="A40" s="46" t="n">
        <v>38</v>
      </c>
      <c r="B40" s="45" t="inlineStr">
        <is>
          <t>ควรทำตำรับรูปแบบใดเตรียมยาสำหรับเด็กซึ่งเป็นผงที่ไม่ละลายน้ำ</t>
        </is>
      </c>
      <c r="C40" s="46" t="n"/>
      <c r="D40" s="45" t="inlineStr">
        <is>
          <t>Elixir ❌ ใช้กับยาที่ละลายในน้ำ/แอลกอฮอล์</t>
        </is>
      </c>
      <c r="E40" s="45" t="inlineStr">
        <is>
          <t>Solution ❌ ต้องละลายน้ำได้</t>
        </is>
      </c>
      <c r="F40" s="45" t="inlineStr">
        <is>
          <t>Tablets ❌ เด็ก 4 ขวบรับประทานยาลำบาก</t>
        </is>
      </c>
      <c r="G40" s="45" t="inlineStr">
        <is>
          <t>Capsule ❌ เด็กกลืนยาก และไม่เหมาะกับการปรับขนาดยา</t>
        </is>
      </c>
      <c r="H40" s="45" t="inlineStr">
        <is>
          <t>Suspension ✅ เหมาะกับยาที่ไม่ละลายน้ำและใช้ในเด็ก</t>
        </is>
      </c>
      <c r="I40" s="46" t="n">
        <v>1</v>
      </c>
      <c r="J40" s="45" t="inlineStr">
        <is>
          <t>✅ คำตอบที่ถูกต้อง: ข้อ ก. Elixir ❌ ใช้กับยาที่ละลายในน้ำ/แอลกอฮอล์
💡 Background:
คำถามข้อสอบจริงใบประกอบวิชาชีพ PLE-CC 1 (Product) ปี 2564 ข้อ 120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0" s="46" t="n"/>
      <c r="L40" s="45" t="inlineStr">
        <is>
          <t>Spectroscopy &amp; Optical Analysis</t>
        </is>
      </c>
      <c r="M40" s="46" t="inlineStr">
        <is>
          <t>Product</t>
        </is>
      </c>
      <c r="N40" s="45" t="inlineStr">
        <is>
          <t>ข้อสอบจริง Product ปี 2564 ข้อ 120</t>
        </is>
      </c>
      <c r="O40" s="46" t="inlineStr">
        <is>
          <t>ข้อสอบจริง</t>
        </is>
      </c>
      <c r="P40" s="46" t="inlineStr">
        <is>
          <t>ปี 2564</t>
        </is>
      </c>
    </row>
    <row r="41">
      <c r="A41" s="46" t="n">
        <v>39</v>
      </c>
      <c r="B41" s="45" t="inlineStr">
        <is>
          <t>Donepezil 5 mg คุณสมบัติ good flowability stable in acid แต่ hydrolysis ใน alkaline และ neutral solution ได้ degradation products ควรเตรียมยาด้วยวิธีอะไร</t>
        </is>
      </c>
      <c r="C41" s="46" t="n"/>
      <c r="D41" s="45" t="inlineStr">
        <is>
          <t>Dry granulation ❌ ใช้เมื่อ flow/compressibility ไม่ดี แต่ไม่จำเป็น</t>
        </is>
      </c>
      <c r="E41" s="45" t="inlineStr">
        <is>
          <t>Wet granulation \+ starch paste ❌ มีน้ำ → เสี่ยง hydrolysis</t>
        </is>
      </c>
      <c r="F41" s="45" t="inlineStr">
        <is>
          <t>Direct compression ✅ ไม่ใช้น้ำและเหมาะกับผงที่ไหลดี</t>
        </is>
      </c>
      <c r="G41" s="45" t="inlineStr">
        <is>
          <t>Wet or dry granulation ❌ wet granulation ไม่เหมาะ</t>
        </is>
      </c>
      <c r="H41" s="45" t="inlineStr">
        <is>
          <t>Direct compression or dry granulation with starch binder ❌ starch binder ไม่จำเป็น และอาจมีปัญหาเรื่องความชื้น</t>
        </is>
      </c>
      <c r="I41" s="46" t="n">
        <v>1</v>
      </c>
      <c r="J41" s="45" t="inlineStr">
        <is>
          <t>✅ คำตอบที่ถูกต้อง: ข้อ ก. Dry granulation ❌ ใช้เมื่อ flow/compressibility ไม่ดี แต่ไม่จำเป็น
💡 Background:
คำถามข้อสอบจริงใบประกอบวิชาชีพ PLE-CC 1 (Product) ปี 2564 ข้อ 131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1" s="46" t="n"/>
      <c r="L41" s="45" t="inlineStr">
        <is>
          <t>Spectroscopy &amp; Optical Analysis</t>
        </is>
      </c>
      <c r="M41" s="46" t="inlineStr">
        <is>
          <t>Product</t>
        </is>
      </c>
      <c r="N41" s="45" t="inlineStr">
        <is>
          <t>ข้อสอบจริง Product ปี 2564 ข้อ 131</t>
        </is>
      </c>
      <c r="O41" s="46" t="inlineStr">
        <is>
          <t>ข้อสอบจริง</t>
        </is>
      </c>
      <c r="P41" s="46" t="inlineStr">
        <is>
          <t>ปี 2564</t>
        </is>
      </c>
    </row>
    <row r="42">
      <c r="A42" s="46" t="n">
        <v>40</v>
      </c>
      <c r="B42" s="45" t="inlineStr">
        <is>
          <t>จาก IR spectrum ตำแหน่ง 1685.16 cm⁻¹ คือหมู่พันธะใด [แนบรูป: ข้อสอบ Product ปี 2564 รหัสรูปภาพ image88]</t>
        </is>
      </c>
      <c r="C42" s="46" t="inlineStr">
        <is>
          <t>[แนบรูป: ข้อสอบ Product ปี 2564 รหัสรูปภาพ image88]</t>
        </is>
      </c>
      <c r="D42" s="45" t="inlineStr">
        <is>
          <t>-C=O</t>
        </is>
      </c>
      <c r="E42" s="45" t="inlineStr">
        <is>
          <t>-C=C-</t>
        </is>
      </c>
      <c r="F42" s="45" t="inlineStr">
        <is>
          <t>-SH</t>
        </is>
      </c>
      <c r="G42" s="45" t="inlineStr">
        <is>
          <t>-OH</t>
        </is>
      </c>
      <c r="H42" s="45" t="inlineStr">
        <is>
          <t>-H คำอธิบาย: ช่วง 1680–1750 cm⁻¹ เป็นบริเวณของ พันธะคาร์บอนิล (C=O stretching) โดยค่า 1685 cm⁻¹ มักพบใน aldehyde, ketone หรือ amide/conjugated carbonyl วิเคราะห์ตัวเลือก A. -C=O ✅ อยู่ช่วง 1680–1750 cm⁻¹ B. -C=C- ❌ อยู่ประมาณ 1600–1680 cm⁻¹ (ต่ำกว่าเล็กน้อย) C. -SH ❌ อยู่ประมาณ 2550–2600 cm⁻¹ D. -OH ❌ กว้างที่ประมาณ 3200–3600 cm⁻¹ E. -H ❌ (C–H stretching) อยู่ประมาณ 2850–3100 cm⁻¹</t>
        </is>
      </c>
      <c r="I42" s="46" t="n">
        <v>1</v>
      </c>
      <c r="J42" s="45" t="inlineStr">
        <is>
          <t>✅ คำตอบที่ถูกต้อง: ข้อ ก. -C=O
💡 Background:
คำถามข้อสอบจริงใบประกอบวิชาชีพ PLE-CC 1 (Product) ปี 2564 ข้อ 150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2" s="46" t="n"/>
      <c r="L42" s="45" t="inlineStr">
        <is>
          <t>Spectroscopy &amp; Optical Analysis</t>
        </is>
      </c>
      <c r="M42" s="46" t="inlineStr">
        <is>
          <t>Product</t>
        </is>
      </c>
      <c r="N42" s="45" t="inlineStr">
        <is>
          <t>ข้อสอบจริง Product ปี 2564 ข้อ 150</t>
        </is>
      </c>
      <c r="O42" s="46" t="inlineStr">
        <is>
          <t>ข้อสอบจริง</t>
        </is>
      </c>
      <c r="P42" s="46" t="inlineStr">
        <is>
          <t>ปี 2564</t>
        </is>
      </c>
    </row>
    <row r="43">
      <c r="A43" s="46" t="n">
        <v>41</v>
      </c>
      <c r="B43" s="45" t="inlineStr">
        <is>
          <t>จาก monograph การควบคุมคุณภาพยาเม็ด diclofenac sodium delayed tablet ข้อใดถูกต้อง Dissolution (711) — Proceed as directed for Procedure for Method B under Apparatus 1 and Apparatus 2, Delayed-Release Dosage Forms. ACID STAGE— Medium: 0.1 N hydrochloric acid; 900 mL. Apparatus 2 (paddles constructed of, or coated with, polytef being used); 50 rpm. Procedure— At the end of 2 hours, remove each Tablet, or the major portion thereof if the Tablet is not intact, from the individual vessels, and subject them to the test in the Buffer stage. To the 0.1 N hydrochloric acid remaining in each vessel, add 20.0 mL of 5 N sodium hydroxide, and stir for 5 minutes. Determine the amount of C14H10Cl2NNaO2 dissolved from UV absorbances at the wavelength of maximum absorbance at about 276 nm on filtered portions of the solution under test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a mixture of 0.1 N hydrochloric acid and 5 N sodium hydroxide (900:20) to volume, and mix. This Standard solution contains about 13.6 µg of USP Diclofenac Sodium RS per mL. BUFFER STAGE— pH 6.8 Phosphate buffer— Dissolve 76 g of tribasic sodium phosphate in water to obtain 1000 mL of solution. Mix 250 mL of this solution with 750 mL of 0.1 N hydrochloric acid, and, if necessary, adjust with 2 N hydrochloric acid or 2 N sodium hydroxide to a pH of 6.8 ± 0.05. Medium: pH 6.8 Phosphate buffer; 900 mL. Apparatus 2: 50 rpm. Procedure— At the end of 45 minutes, determine the amount of C14H10Cl2NNaO2 dissolved from UV absorbances at the wavelength of maximum absorbance at about 278 nm on filtered portions of the solutions under test, suitably diluted with Medium,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Medium, as obtained in the Buffer stage, to volume, and mix. This Standard solution contains about 0.02 mg of USP Diclofenac Sodium RS per mL. Tolerances— Not less than 75% (Q) of the labeled amount of C14H10Cl2NNaO2 is dissolved.</t>
        </is>
      </c>
      <c r="C43" s="46" t="n"/>
      <c r="D43" s="45" t="inlineStr">
        <is>
          <t>ใช้ basket apparatus</t>
        </is>
      </c>
      <c r="E43" s="45" t="inlineStr">
        <is>
          <t>เป็นการทดสอบหัวข้อ dissolution</t>
        </is>
      </c>
      <c r="F43" s="45" t="inlineStr">
        <is>
          <t>เป็นการทดสอบหัวข้อ disintegration</t>
        </is>
      </c>
      <c r="G43" s="45" t="inlineStr">
        <is>
          <t>เป็นการทดสอบหัวข้อ uniformity of dosage unit</t>
        </is>
      </c>
      <c r="H43" s="45" t="inlineStr">
        <is>
          <t>ต้องมีตัวยาละลายไม่น้อยกว่า 75% ของปริมาณยาที่ระบุบนฉลาก คำอธิบาย: A ผิด: โจทย์ระบุชัดเจนว่าใช้ Apparatus 2 ซึ่งคือ Paddle apparatus (ไม่ใช่ Basket ที่เป็น Apparatus 1\) C ผิด: นี่คือการทดสอบ Dissolution ไม่ใช่ Disintegration D ผิด: นี่คือการทดสอบ Dissolution ไม่ใช่ Uniformity of dosage unit E ผิด: ต้องผ่าน Q+5% หรือ 80%</t>
        </is>
      </c>
      <c r="I43" s="46" t="n">
        <v>1</v>
      </c>
      <c r="J43" s="45" t="inlineStr">
        <is>
          <t>✅ คำตอบที่ถูกต้อง: ข้อ ก. ใช้ basket apparatus
💡 Background:
คำถามข้อสอบจริงใบประกอบวิชาชีพ PLE-CC 1 (Product) ปี 2564 ข้อ 151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3" s="46" t="n"/>
      <c r="L43" s="45" t="inlineStr">
        <is>
          <t>Spectroscopy &amp; Optical Analysis</t>
        </is>
      </c>
      <c r="M43" s="46" t="inlineStr">
        <is>
          <t>Product</t>
        </is>
      </c>
      <c r="N43" s="45" t="inlineStr">
        <is>
          <t>ข้อสอบจริง Product ปี 2564 ข้อ 151</t>
        </is>
      </c>
      <c r="O43" s="46" t="inlineStr">
        <is>
          <t>ข้อสอบจริง</t>
        </is>
      </c>
      <c r="P43" s="46" t="inlineStr">
        <is>
          <t>ปี 2564</t>
        </is>
      </c>
    </row>
    <row r="44">
      <c r="A44" s="46" t="n">
        <v>42</v>
      </c>
      <c r="B44" s="45" t="inlineStr">
        <is>
          <t>จากโครงสร้างยา rifampicin ควรใช้เครื่องมือใดในการหาปริมาณยา [แนบรูป: ข้อสอบ Product ปี 2564 รหัสรูปภาพ image92]</t>
        </is>
      </c>
      <c r="C44" s="46" t="inlineStr">
        <is>
          <t>[แนบรูป: ข้อสอบ Product ปี 2564 รหัสรูปภาพ image92]</t>
        </is>
      </c>
      <c r="D44" s="45" t="inlineStr">
        <is>
          <t>UV-visible spectrophotometer</t>
        </is>
      </c>
      <c r="E44" s="45" t="inlineStr">
        <is>
          <t>Infrared spectroscope</t>
        </is>
      </c>
      <c r="F44" s="45" t="inlineStr">
        <is>
          <t>Mass spectroscope</t>
        </is>
      </c>
      <c r="G44" s="45" t="inlineStr">
        <is>
          <t>Refractometer</t>
        </is>
      </c>
      <c r="H44" s="45" t="inlineStr">
        <is>
          <t>Polarimeter คำอธิบาย: Rifampicin มี chromophore (ระบบพันธะคู่คอนจูเกต) ดูดกลืนแสง UV-Visible ได้ดี จึงสามารถใช้ UV-Vis ในการวิเคราะห์เชิงปริมาณตามกฎของ Beer-Lambert</t>
        </is>
      </c>
      <c r="I44" s="46" t="n">
        <v>1</v>
      </c>
      <c r="J44" s="45" t="inlineStr">
        <is>
          <t>✅ คำตอบที่ถูกต้อง: ข้อ ก. UV-visible spectrophotometer
💡 Background:
คำถามข้อสอบจริงใบประกอบวิชาชีพ PLE-CC 1 (Product) ปี 2564 ข้อ 160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4" s="46" t="n"/>
      <c r="L44" s="45" t="inlineStr">
        <is>
          <t>Spectroscopy &amp; Optical Analysis</t>
        </is>
      </c>
      <c r="M44" s="46" t="inlineStr">
        <is>
          <t>Product</t>
        </is>
      </c>
      <c r="N44" s="45" t="inlineStr">
        <is>
          <t>ข้อสอบจริง Product ปี 2564 ข้อ 160</t>
        </is>
      </c>
      <c r="O44" s="46" t="inlineStr">
        <is>
          <t>ข้อสอบจริง</t>
        </is>
      </c>
      <c r="P44" s="46" t="inlineStr">
        <is>
          <t>ปี 2564</t>
        </is>
      </c>
    </row>
    <row r="45">
      <c r="A45" s="46" t="n">
        <v>43</v>
      </c>
      <c r="B45" s="45" t="inlineStr">
        <is>
          <t>ให้กราฟดังกล่าวให้ข้อมูลใด [แนบรูป: ข้อสอบ Product ปี 2564 รหัสรูปภาพ image93]</t>
        </is>
      </c>
      <c r="C45" s="46" t="inlineStr">
        <is>
          <t>[แนบรูป: ข้อสอบ Product ปี 2564 รหัสรูปภาพ image93]</t>
        </is>
      </c>
      <c r="D45" s="45" t="inlineStr">
        <is>
          <t>หมู่ฟังก์ชัน</t>
        </is>
      </c>
      <c r="E45" s="45" t="inlineStr">
        <is>
          <t>มวลโมเลกุล</t>
        </is>
      </c>
      <c r="F45" s="45" t="inlineStr">
        <is>
          <t>จำนวนโปรตอน</t>
        </is>
      </c>
      <c r="G45" s="45" t="inlineStr">
        <is>
          <t>จำนวนอิเล็กตรอน</t>
        </is>
      </c>
      <c r="H45" s="45" t="inlineStr">
        <is>
          <t>องค์ประกอบของธาตุ คำอธิบาย: IR spectroscopy ใช้ดู การสั่นของพันธะ (bond vibration) ทำให้สามารถระบุ หมู่ฟังก์ชัน (functional groups) ในโมเลกุลได้ Herb</t>
        </is>
      </c>
      <c r="I45" s="46" t="n">
        <v>1</v>
      </c>
      <c r="J45" s="45" t="inlineStr">
        <is>
          <t>✅ คำตอบที่ถูกต้อง: ข้อ ก. หมู่ฟังก์ชัน
💡 Background:
คำถามข้อสอบจริงใบประกอบวิชาชีพ PLE-CC 1 (Product) ปี 2564 ข้อ 169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5" s="46" t="n"/>
      <c r="L45" s="45" t="inlineStr">
        <is>
          <t>Spectroscopy &amp; Optical Analysis</t>
        </is>
      </c>
      <c r="M45" s="46" t="inlineStr">
        <is>
          <t>Product</t>
        </is>
      </c>
      <c r="N45" s="45" t="inlineStr">
        <is>
          <t>ข้อสอบจริง Product ปี 2564 ข้อ 169</t>
        </is>
      </c>
      <c r="O45" s="46" t="inlineStr">
        <is>
          <t>ข้อสอบจริง</t>
        </is>
      </c>
      <c r="P45" s="46" t="inlineStr">
        <is>
          <t>ปี 2564</t>
        </is>
      </c>
    </row>
    <row r="46">
      <c r="A46" s="46" t="n">
        <v>44</v>
      </c>
      <c r="B46" s="45" t="inlineStr">
        <is>
          <t>จากข้อกำหนด USP monograph: ต้นฉบับ: Day 1 ข้อ 81 Acyclovir contains not less than 98.5 % and not more than 101.0 percent of C8H11N5O3 calculated as anhydrous basis ถ้าชั่งวัตถุดิบ acyclovir 150 mg วิเคราะห์หาปริมาณตัวยาสำคัญได้ 142 mg และวิเคราะห์หาปริมาณน้ำได้ 4.27% วัตถุดิบปราศจากน้ำจะมี acyclovir กี่เปอร์เซ็นต์</t>
        </is>
      </c>
      <c r="C46" s="46" t="n"/>
      <c r="D46" s="45" t="inlineStr">
        <is>
          <t>90.4%</t>
        </is>
      </c>
      <c r="E46" s="45" t="inlineStr">
        <is>
          <t>94.7%</t>
        </is>
      </c>
      <c r="F46" s="45" t="inlineStr">
        <is>
          <t>95.7%</t>
        </is>
      </c>
      <c r="G46" s="45" t="inlineStr">
        <is>
          <t>98.9%</t>
        </is>
      </c>
      <c r="H46" s="45" t="inlineStr">
        <is>
          <t xml:space="preserve">105.6% | คำตอบ: d) 98.9% น้ำหนักปราศจากน้ำ \= 150 × (1-0.0427) \= 143.595 mg แล้วคำนวณ 142/143.595 × 100 \= 98.9% ข้อที่ไม่ถูก a) ต่ำกว่าค่าที่คำนวณได้ b) เป็นค่าจากน้ำหนักเดิมโดยยังไม่หักน้ำ c) เป็นร้อยละของเนื้อแห้ง ไม่ใช่ร้อยละ acyclovir e) สูงกว่าค่าที่คำนวณได้ | | :---- | </t>
        </is>
      </c>
      <c r="I46" s="46" t="n">
        <v>4</v>
      </c>
      <c r="J46" s="45" t="inlineStr">
        <is>
          <t>✅ คำตอบที่ถูกต้อง: ข้อ ง. 98.9%
💡 Background:
คำถามข้อสอบจริงใบประกอบวิชาชีพ PLE-CC 1 (Product) ปี 2563 ข้อ 2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6" s="46" t="n"/>
      <c r="L46" s="45" t="inlineStr">
        <is>
          <t>Spectroscopy &amp; Optical Analysis</t>
        </is>
      </c>
      <c r="M46" s="46" t="inlineStr">
        <is>
          <t>Product</t>
        </is>
      </c>
      <c r="N46" s="45" t="inlineStr">
        <is>
          <t>ข้อสอบจริง Product ปี 2563 ข้อ 2</t>
        </is>
      </c>
      <c r="O46" s="46" t="inlineStr">
        <is>
          <t>ข้อสอบจริง</t>
        </is>
      </c>
      <c r="P46" s="46" t="inlineStr">
        <is>
          <t>ปี 2563</t>
        </is>
      </c>
    </row>
    <row r="47">
      <c r="A47" s="46" t="n">
        <v>45</v>
      </c>
      <c r="B47" s="45" t="inlineStr">
        <is>
          <t>จากใบ Certificate of analysis ของ raltegravir potassium ผ่านเกณฑ์การยอมรับหรือไม่ ต้นฉบับ: Day 1 ข้อ 42 (คำถาม Certificate of Analysis; เลขข้อ 42 ซ้ำในต้นฉบับ) Certificate of analysis Product name: Raltegravir potassium Lot number: XXXXX1 | รายการ | Specification | Result | | :---: | :---: | :---: | | Description | Powder | Conforms | | Appearance | White | Conforms | | Identification | Positive | Conforms | | Loss on drying | NMT 0.6% | 0.8% | | Assay | 98.0 to 102.0% | 99.6% | Microbiology test | รายการ | Specification | Result | | ----- | :---: | :---: | | Total aerobic plate test | \&lt;1000 cfu/ml | \&lt;1000 cfu/ml | | Total yeast and mold test | \&lt;100 cfu/ml | \&lt;100 cfu/ml | | Coliform test | Negative | Negative | | E. coli | Negative | Negative | | Salmonella | Negative | Negative | | S. aureus | Negative | Negative | | Pseudomonas | Negative | Negative |</t>
        </is>
      </c>
      <c r="C47" s="46" t="n"/>
      <c r="D47" s="45" t="inlineStr">
        <is>
          <t>ผ่านเกณฑ์ตามที่กำหนด</t>
        </is>
      </c>
      <c r="E47" s="45" t="inlineStr">
        <is>
          <t>ไม่ผ่าน เพราะมีการปนเปื้อนเชื้อรา</t>
        </is>
      </c>
      <c r="F47" s="45" t="inlineStr">
        <is>
          <t>ไม่ผ่าน เพราะมีการปนเปื้อนเชื้อแบคทีเรีย</t>
        </is>
      </c>
      <c r="G47" s="45" t="inlineStr">
        <is>
          <t>ไม่ผ่าน เพราะปริมาณความชื้นไม่อยู่ในช่วงที่กำหนด</t>
        </is>
      </c>
      <c r="H47" s="45" t="inlineStr">
        <is>
          <t xml:space="preserve">ไม่ผ่าน เพราะการวิเคราะห์ปริมาณสารสำคัญไม่อยู่ในช่วงที่กำหนด | คำตอบ: d) ไม่ผ่าน เพราะปริมาณความชื้นเกินเกณฑ์ Loss on drying กำหนดไม่เกิน 0.6% แต่ผลได้ 0.8% ข้อที่ไม่ถูก a) มีหนึ่งรายการไม่ผ่าน จึงถือว่าทั้ง lot ไม่ผ่าน b) ผลเชื้อราอยู่ในเกณฑ์ c) ผลเชื้อแบคทีเรียอยู่ในเกณฑ์ e) Assay 99.6% อยู่ในช่วง 98.0-102.0% | | :---- | </t>
        </is>
      </c>
      <c r="I47" s="46" t="n">
        <v>4</v>
      </c>
      <c r="J47" s="45" t="inlineStr">
        <is>
          <t>✅ คำตอบที่ถูกต้อง: ข้อ ง. ไม่ผ่าน เพราะปริมาณความชื้นไม่อยู่ในช่วงที่กำหนด
💡 Background:
คำถามข้อสอบจริงใบประกอบวิชาชีพ PLE-CC 1 (Product) ปี 2563 ข้อ 7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7" s="46" t="n"/>
      <c r="L47" s="45" t="inlineStr">
        <is>
          <t>Spectroscopy &amp; Optical Analysis</t>
        </is>
      </c>
      <c r="M47" s="46" t="inlineStr">
        <is>
          <t>Product</t>
        </is>
      </c>
      <c r="N47" s="45" t="inlineStr">
        <is>
          <t>ข้อสอบจริง Product ปี 2563 ข้อ 7</t>
        </is>
      </c>
      <c r="O47" s="46" t="inlineStr">
        <is>
          <t>ข้อสอบจริง</t>
        </is>
      </c>
      <c r="P47" s="46" t="inlineStr">
        <is>
          <t>ปี 2563</t>
        </is>
      </c>
    </row>
    <row r="48">
      <c r="A48" s="46" t="n">
        <v>46</v>
      </c>
      <c r="B48" s="45" t="inlineStr">
        <is>
          <t>USP ระบุว่า friability ใช้กับ uncoated tablets เป็นหลัก   ส่วนหัวข้ออื่นเป็นข้อกำหนดของผลิตภัณฑ์สำเร็จรูปที่ต้องทำครบ — สำคัญเป็นพิเศษสำหรับ cyclophosphamide ซึ่งเป็นยาเคมีบำบัดที่มี narrow therapeutic index | | :---- | ข้อ 116. ถ้า core tablet มีความแข็งต่ำและกร่อน ควรปรับสูตรตำรับอย่างไร</t>
        </is>
      </c>
      <c r="C48" s="46" t="n"/>
      <c r="D48" s="45" t="inlineStr">
        <is>
          <t>Sucrose – sweetening agent</t>
        </is>
      </c>
      <c r="E48" s="45" t="inlineStr">
        <is>
          <t>Titanium dioxide – opacifier</t>
        </is>
      </c>
      <c r="F48" s="45" t="inlineStr">
        <is>
          <t>Lactose monohydrate – film former</t>
        </is>
      </c>
      <c r="G48" s="45" t="inlineStr">
        <is>
          <t>Calcium hydrogen phosphate dehydrate – film former</t>
        </is>
      </c>
      <c r="H48" s="45" t="inlineStr">
        <is>
          <t>Maize starch – opacifier | คำอธิบาย Titanium dioxide (TiO₂) เป็น opacifier มาตรฐานในอุตสาหกรรมยา   คุณสมบัติที่ทำให้เหมาะสม: • มีค่าดัชนีหักเหแสง (refractive index) สูงมากถึง \~2.7 ซึ่งสูงที่สุดในบรรดาสารที่ใช้ในยา ทำให้กระเจิงแสงได้ดีเยี่ยม ฟิล์มจึงทึบแสง • ไม่ละลายน้ำ ไม่ทำปฏิกิริยากับตัวยา (inert)   ประโยชน์ 3 ด้าน:</t>
        </is>
      </c>
      <c r="I48" s="46" t="n">
        <v>1</v>
      </c>
      <c r="J48" s="45" t="inlineStr">
        <is>
          <t>✅ คำตอบที่ถูกต้อง: ข้อ ก. Sucrose – sweetening agent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8" s="46" t="n"/>
      <c r="L48" s="45" t="inlineStr">
        <is>
          <t>Spectroscopy &amp; Optical Analysis</t>
        </is>
      </c>
      <c r="M48" s="46" t="inlineStr">
        <is>
          <t>Product</t>
        </is>
      </c>
      <c r="N48" s="45" t="inlineStr">
        <is>
          <t>ข้อสอบจริง Product ปี 2562 ข้อ 3</t>
        </is>
      </c>
      <c r="O48" s="46" t="inlineStr">
        <is>
          <t>ข้อสอบจริง</t>
        </is>
      </c>
      <c r="P48" s="46" t="inlineStr">
        <is>
          <t>ปี 2562</t>
        </is>
      </c>
    </row>
    <row r="49">
      <c r="A49" s="46" t="n">
        <v>47</v>
      </c>
      <c r="B49" s="45" t="inlineStr">
        <is>
          <t>อัตราการปลดปล่อยควบคุมได้ด้วยความหนาของฟิล์มและสัดส่วนของสารก่อรูพรุน (pore former)   ในทางปฏิบัติมักผสม EC กับ HPMC ในสัดส่วนที่กำหนด โดย HPMC ทำหน้าที่เป็น channeling agent ที่ละลายออกไปแล้วทิ้งรูพรุนไว้ให้ยาผ่าน ทำให้ปรับอัตราการปลดปล่อยได้ตามต้องการ   รูปแบบทางการค้าที่ใช้: Aquacoat ECD, Surelease (EC dispersion ในน้ำ) | | :---- | ข้อ 91. ใช้สารใดควบคุมการปลดปล่อย ISMN SR</t>
        </is>
      </c>
      <c r="C49" s="46" t="n"/>
      <c r="D49" s="45" t="inlineStr">
        <is>
          <t>Acacia</t>
        </is>
      </c>
      <c r="E49" s="45" t="inlineStr">
        <is>
          <t>Carbomer</t>
        </is>
      </c>
      <c r="F49" s="45" t="inlineStr">
        <is>
          <t>Sodium alginate</t>
        </is>
      </c>
      <c r="G49" s="45" t="inlineStr">
        <is>
          <t>Methylcellulose</t>
        </is>
      </c>
      <c r="H49" s="45" t="inlineStr">
        <is>
          <t>Sodium carboxymethycellulose | คำอธิบาย Carbomer (carbopol) เป็น polyacrylic acid ที่เป็นสารก่อเจลที่ทนต่อระบบที่มีแอลกอฮอล์ได้ดีที่สุดในบรรดาตัวเลือก   เหตุผล:</t>
        </is>
      </c>
      <c r="I49" s="46" t="n">
        <v>1</v>
      </c>
      <c r="J49" s="45" t="inlineStr">
        <is>
          <t>✅ คำตอบที่ถูกต้อง: ข้อ ก. Acacia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9" s="46" t="n"/>
      <c r="L49" s="45" t="inlineStr">
        <is>
          <t>Spectroscopy &amp; Optical Analysis</t>
        </is>
      </c>
      <c r="M49" s="46" t="inlineStr">
        <is>
          <t>Product</t>
        </is>
      </c>
      <c r="N49" s="45" t="inlineStr">
        <is>
          <t>ข้อสอบจริง Product ปี 2562 ข้อ 4</t>
        </is>
      </c>
      <c r="O49" s="46" t="inlineStr">
        <is>
          <t>ข้อสอบจริง</t>
        </is>
      </c>
      <c r="P49" s="46" t="inlineStr">
        <is>
          <t>ปี 2562</t>
        </is>
      </c>
    </row>
    <row r="50">
      <c r="A50" s="46" t="n">
        <v>48</v>
      </c>
      <c r="B50" s="45" t="inlineStr">
        <is>
          <t>จากโครงสร้างของยา griseofulvin การตรวจสอบคุณภาพใด ทำให้ได้ลักษณะเฉพาะที่ออกฤทธิ์</t>
        </is>
      </c>
      <c r="C50" s="46" t="n"/>
      <c r="D50" s="45" t="inlineStr">
        <is>
          <t>H¹-NMR</t>
        </is>
      </c>
      <c r="E50" s="45" t="inlineStr">
        <is>
          <t>Polarimeter</t>
        </is>
      </c>
      <c r="F50" s="45" t="inlineStr">
        <is>
          <t>Reflectometer</t>
        </is>
      </c>
      <c r="G50" s="45" t="inlineStr">
        <is>
          <t>Infrared spectroscope</t>
        </is>
      </c>
      <c r="H50" s="45" t="inlineStr">
        <is>
          <t>UV-visible spectrophotometer</t>
        </is>
      </c>
      <c r="I50" s="46" t="n">
        <v>1</v>
      </c>
      <c r="J50" s="45" t="inlineStr">
        <is>
          <t>✅ คำตอบที่ถูกต้อง: ข้อ ก. H¹-NMR
💡 Background:
คำถามข้อสอบจริงใบประกอบวิชาชีพ PLE-CC 1 (Product) ปี 2561 ข้อ 11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0" s="46" t="n"/>
      <c r="L50" s="45" t="inlineStr">
        <is>
          <t>Spectroscopy &amp; Optical Analysis</t>
        </is>
      </c>
      <c r="M50" s="46" t="inlineStr">
        <is>
          <t>Product</t>
        </is>
      </c>
      <c r="N50" s="45" t="inlineStr">
        <is>
          <t>ข้อสอบจริง Product ปี 2561 ข้อ 11</t>
        </is>
      </c>
      <c r="O50" s="46" t="inlineStr">
        <is>
          <t>ข้อสอบจริง</t>
        </is>
      </c>
      <c r="P50" s="46" t="inlineStr">
        <is>
          <t>ปี 2561</t>
        </is>
      </c>
    </row>
    <row r="51">
      <c r="A51" s="46" t="n">
        <v>49</v>
      </c>
      <c r="B51" s="45" t="inlineStr">
        <is>
          <t>แผ่นแปะ มีรูปแบบ ดังภาพ เป็นระบบนำส่งยาแบบใด [แนบรูป: ข้อสอบ Product ปี 2561 รหัสรูปภาพ image104]</t>
        </is>
      </c>
      <c r="C51" s="46" t="inlineStr">
        <is>
          <t>[แนบรูป: ข้อสอบ Product ปี 2561 รหัสรูปภาพ image104]</t>
        </is>
      </c>
      <c r="D51" s="45" t="inlineStr">
        <is>
          <t>Reservoir system</t>
        </is>
      </c>
      <c r="E51" s="45" t="inlineStr">
        <is>
          <t>Microreservoir system</t>
        </is>
      </c>
      <c r="F51" s="45" t="inlineStr">
        <is>
          <t>Polyplastic type system</t>
        </is>
      </c>
      <c r="G51" s="45" t="inlineStr">
        <is>
          <t>Matrix dispersion system</t>
        </is>
      </c>
      <c r="H51" s="45" t="inlineStr">
        <is>
          <t>Peripheral adhesive design</t>
        </is>
      </c>
      <c r="I51" s="46" t="n">
        <v>1</v>
      </c>
      <c r="J51" s="45" t="inlineStr">
        <is>
          <t>✅ คำตอบที่ถูกต้อง: ข้อ ก. Reservoir system
💡 Background:
คำถามข้อสอบจริงใบประกอบวิชาชีพ PLE-CC 1 (Product) ปี 2561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1" s="46" t="n"/>
      <c r="L51" s="45" t="inlineStr">
        <is>
          <t>Spectroscopy &amp; Optical Analysis</t>
        </is>
      </c>
      <c r="M51" s="46" t="inlineStr">
        <is>
          <t>Product</t>
        </is>
      </c>
      <c r="N51" s="45" t="inlineStr">
        <is>
          <t>ข้อสอบจริง Product ปี 2561 ข้อ 12</t>
        </is>
      </c>
      <c r="O51" s="46" t="inlineStr">
        <is>
          <t>ข้อสอบจริง</t>
        </is>
      </c>
      <c r="P51" s="46" t="inlineStr">
        <is>
          <t>ปี 2561</t>
        </is>
      </c>
    </row>
    <row r="52">
      <c r="A52" s="46" t="n">
        <v>50</v>
      </c>
      <c r="B52" s="45" t="inlineStr">
        <is>
          <t>จากรูปข้อ 59 ตัวยาจะถูกบรรจุอยู่ในส่วนใด</t>
        </is>
      </c>
      <c r="C52" s="46" t="n"/>
      <c r="D52" s="45" t="inlineStr">
        <is>
          <t>Liner</t>
        </is>
      </c>
      <c r="E52" s="45" t="inlineStr">
        <is>
          <t>Reservoir</t>
        </is>
      </c>
      <c r="F52" s="45" t="inlineStr">
        <is>
          <t>Membrane</t>
        </is>
      </c>
      <c r="G52" s="45" t="inlineStr">
        <is>
          <t>Backing layer</t>
        </is>
      </c>
      <c r="H52" s="45" t="inlineStr">
        <is>
          <t>Adhesive layer</t>
        </is>
      </c>
      <c r="I52" s="46" t="n">
        <v>1</v>
      </c>
      <c r="J52" s="45" t="inlineStr">
        <is>
          <t>✅ คำตอบที่ถูกต้อง: ข้อ ก. Liner
💡 Background:
คำถามข้อสอบจริงใบประกอบวิชาชีพ PLE-CC 1 (Product) ปี 2561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2" s="46" t="n"/>
      <c r="L52" s="45" t="inlineStr">
        <is>
          <t>Spectroscopy &amp; Optical Analysis</t>
        </is>
      </c>
      <c r="M52" s="46" t="inlineStr">
        <is>
          <t>Product</t>
        </is>
      </c>
      <c r="N52" s="45" t="inlineStr">
        <is>
          <t>ข้อสอบจริง Product ปี 2561 ข้อ 13</t>
        </is>
      </c>
      <c r="O52" s="46" t="inlineStr">
        <is>
          <t>ข้อสอบจริง</t>
        </is>
      </c>
      <c r="P52" s="46" t="inlineStr">
        <is>
          <t>ปี 2561</t>
        </is>
      </c>
    </row>
    <row r="53">
      <c r="A53" s="46" t="n">
        <v>51</v>
      </c>
      <c r="B53" s="45" t="inlineStr">
        <is>
          <t>ให้ข้อมูลการละลายยามาถามว่าควรทำตำรับรูปแบบใด</t>
        </is>
      </c>
      <c r="C53" s="46" t="n"/>
      <c r="D53" s="45" t="inlineStr">
        <is>
          <t>Elixir</t>
        </is>
      </c>
      <c r="E53" s="45" t="inlineStr">
        <is>
          <t>Solution</t>
        </is>
      </c>
      <c r="F53" s="45" t="inlineStr">
        <is>
          <t>Tablets</t>
        </is>
      </c>
      <c r="G53" s="45" t="inlineStr">
        <is>
          <t>Capsule</t>
        </is>
      </c>
      <c r="H53" s="45" t="inlineStr">
        <is>
          <t>Suspension</t>
        </is>
      </c>
      <c r="I53" s="46" t="n">
        <v>1</v>
      </c>
      <c r="J53" s="45" t="inlineStr">
        <is>
          <t>✅ คำตอบที่ถูกต้อง: ข้อ ก. Elixir
💡 Background:
คำถามข้อสอบจริงใบประกอบวิชาชีพ PLE-CC 1 (Product) ปี 2561 ข้อ 15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3" s="46" t="n"/>
      <c r="L53" s="45" t="inlineStr">
        <is>
          <t>Spectroscopy &amp; Optical Analysis</t>
        </is>
      </c>
      <c r="M53" s="46" t="inlineStr">
        <is>
          <t>Product</t>
        </is>
      </c>
      <c r="N53" s="45" t="inlineStr">
        <is>
          <t>ข้อสอบจริง Product ปี 2561 ข้อ 15</t>
        </is>
      </c>
      <c r="O53" s="46" t="inlineStr">
        <is>
          <t>ข้อสอบจริง</t>
        </is>
      </c>
      <c r="P53" s="46" t="inlineStr">
        <is>
          <t>ปี 2561</t>
        </is>
      </c>
    </row>
    <row r="54">
      <c r="A54" s="46" t="n">
        <v>52</v>
      </c>
      <c r="B54" s="45" t="inlineStr">
        <is>
          <t>การ plot กราฟ IR จะต้องมีองค์ประกอบอะไรบ้าง</t>
        </is>
      </c>
      <c r="C54" s="46" t="n"/>
      <c r="D54" s="45" t="inlineStr">
        <is>
          <t>Absorbance กับ time</t>
        </is>
      </c>
      <c r="E54" s="45" t="inlineStr">
        <is>
          <t>Absorbance กับ wavelengths</t>
        </is>
      </c>
      <c r="F54" s="45" t="inlineStr">
        <is>
          <t>Absorbance กับ wavenumber</t>
        </is>
      </c>
      <c r="G54" s="45" t="inlineStr">
        <is>
          <t>Transmittance กับ time</t>
        </is>
      </c>
      <c r="H54" s="45" t="inlineStr">
        <is>
          <t>Transmittance กับ wavenumber</t>
        </is>
      </c>
      <c r="I54" s="46" t="n">
        <v>1</v>
      </c>
      <c r="J54" s="45" t="inlineStr">
        <is>
          <t>✅ คำตอบที่ถูกต้อง: ข้อ ก. Absorbance กับ time
💡 Background:
คำถามข้อสอบจริงใบประกอบวิชาชีพ PLE-CC 1 (Product) ปี 2561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4" s="46" t="n"/>
      <c r="L54" s="45" t="inlineStr">
        <is>
          <t>Spectroscopy &amp; Optical Analysis</t>
        </is>
      </c>
      <c r="M54" s="46" t="inlineStr">
        <is>
          <t>Product</t>
        </is>
      </c>
      <c r="N54" s="45" t="inlineStr">
        <is>
          <t>ข้อสอบจริง Product ปี 2561 ข้อ 22</t>
        </is>
      </c>
      <c r="O54" s="46" t="inlineStr">
        <is>
          <t>ข้อสอบจริง</t>
        </is>
      </c>
      <c r="P54" s="46" t="inlineStr">
        <is>
          <t>ปี 2561</t>
        </is>
      </c>
    </row>
    <row r="55">
      <c r="A55" s="46" t="n">
        <v>53</v>
      </c>
      <c r="B55" s="45" t="inlineStr">
        <is>
          <t>หากถ้าต้องการควบคุมคุณภาพวัตถุดิบ griseofulvin ให้เป็น isomer ดังรูป ควรใช้เครื่องมือใดในการตรวจวิเคราะห์ [แนบรูป: ข้อสอบ Product ปี 2561 รหัสรูปภาพ image110]</t>
        </is>
      </c>
      <c r="C55" s="46" t="inlineStr">
        <is>
          <t>[แนบรูป: ข้อสอบ Product ปี 2561 รหัสรูปภาพ image110]</t>
        </is>
      </c>
      <c r="D55" s="45" t="inlineStr">
        <is>
          <t>NMR</t>
        </is>
      </c>
      <c r="E55" s="45" t="inlineStr">
        <is>
          <t>Refractometer</t>
        </is>
      </c>
      <c r="F55" s="45" t="inlineStr">
        <is>
          <t>X-ray diffraction</t>
        </is>
      </c>
      <c r="G55" s="45" t="inlineStr">
        <is>
          <t>Infrared spectroscope</t>
        </is>
      </c>
      <c r="H55" s="45" t="inlineStr">
        <is>
          <t>UV-visible spectrophotometer</t>
        </is>
      </c>
      <c r="I55" s="46" t="n">
        <v>1</v>
      </c>
      <c r="J55" s="45" t="inlineStr">
        <is>
          <t>✅ คำตอบที่ถูกต้อง: ข้อ ก. NMR
💡 Background:
คำถามข้อสอบจริงใบประกอบวิชาชีพ PLE-CC 1 (Product) ปี 2561 ข้อ 47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5" s="46" t="n"/>
      <c r="L55" s="45" t="inlineStr">
        <is>
          <t>Spectroscopy &amp; Optical Analysis</t>
        </is>
      </c>
      <c r="M55" s="46" t="inlineStr">
        <is>
          <t>Product</t>
        </is>
      </c>
      <c r="N55" s="45" t="inlineStr">
        <is>
          <t>ข้อสอบจริง Product ปี 2561 ข้อ 47</t>
        </is>
      </c>
      <c r="O55" s="46" t="inlineStr">
        <is>
          <t>ข้อสอบจริง</t>
        </is>
      </c>
      <c r="P55" s="46" t="inlineStr">
        <is>
          <t>ปี 2561</t>
        </is>
      </c>
    </row>
    <row r="56">
      <c r="A56" s="46" t="n">
        <v>54</v>
      </c>
      <c r="B56" s="45" t="inlineStr">
        <is>
          <t>ข้อมูลความคงตัว furosemide ยาละลายในด่าง (จากกราฟ Log P vs pH) จากข้อมูลควรเตรียมยารูปแบบใด [แนบรูป: ข้อสอบ Product ปี 2561 รหัสรูปภาพ image111]</t>
        </is>
      </c>
      <c r="C56" s="46" t="inlineStr">
        <is>
          <t>[แนบรูป: ข้อสอบ Product ปี 2561 รหัสรูปภาพ image111]</t>
        </is>
      </c>
      <c r="D56" s="45" t="inlineStr">
        <is>
          <t>Syrup pH 4</t>
        </is>
      </c>
      <c r="E56" s="45" t="inlineStr">
        <is>
          <t>Elixir buffer ด่าง</t>
        </is>
      </c>
      <c r="F56" s="45" t="inlineStr">
        <is>
          <t>Elixir buffer กรด</t>
        </is>
      </c>
      <c r="G56" s="45" t="inlineStr">
        <is>
          <t>Syrup buffer กรด</t>
        </is>
      </c>
      <c r="H56" s="45" t="inlineStr">
        <is>
          <t>Syrup buffer ด่าง</t>
        </is>
      </c>
      <c r="I56" s="46" t="n">
        <v>1</v>
      </c>
      <c r="J56" s="45" t="inlineStr">
        <is>
          <t>✅ คำตอบที่ถูกต้อง: ข้อ ก. Syrup pH 4
💡 Background:
คำถามข้อสอบจริงใบประกอบวิชาชีพ PLE-CC 1 (Product) ปี 2561 ข้อ 58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6" s="46" t="n"/>
      <c r="L56" s="45" t="inlineStr">
        <is>
          <t>Spectroscopy &amp; Optical Analysis</t>
        </is>
      </c>
      <c r="M56" s="46" t="inlineStr">
        <is>
          <t>Product</t>
        </is>
      </c>
      <c r="N56" s="45" t="inlineStr">
        <is>
          <t>ข้อสอบจริง Product ปี 2561 ข้อ 58</t>
        </is>
      </c>
      <c r="O56" s="46" t="inlineStr">
        <is>
          <t>ข้อสอบจริง</t>
        </is>
      </c>
      <c r="P56" s="46" t="inlineStr">
        <is>
          <t>ปี 2561</t>
        </is>
      </c>
    </row>
    <row r="57">
      <c r="A57" s="46" t="n">
        <v>55</v>
      </c>
      <c r="B57" s="45" t="inlineStr">
        <is>
          <t>ข้อใดถูกเกี่ยวกับ morphine extended tablets</t>
        </is>
      </c>
      <c r="C57" s="46" t="n"/>
      <c r="D57" s="45" t="inlineStr">
        <is>
          <t>Reservoir ใช้ CAP เคลือบ</t>
        </is>
      </c>
      <c r="E57" s="45" t="inlineStr">
        <is>
          <t>ปลดปล่อยที่ลำไส้เล็กส่วนต้น</t>
        </is>
      </c>
      <c r="F57" s="45" t="inlineStr">
        <is>
          <t>Reservoir ใช้ HPMC เคลือบ</t>
        </is>
      </c>
      <c r="G57" s="45" t="inlineStr">
        <is>
          <t>Monolithic wax ต้องพองตัวและละลายได้</t>
        </is>
      </c>
      <c r="H57" s="45" t="inlineStr">
        <is>
          <t>Monolithic ใช้ polymer เป็น hydrophilic หรือ hydrophobic polymer</t>
        </is>
      </c>
      <c r="I57" s="46" t="n">
        <v>1</v>
      </c>
      <c r="J57" s="45" t="inlineStr">
        <is>
          <t>✅ คำตอบที่ถูกต้อง: ข้อ ก. Reservoir ใช้ CAP เคลือบ
💡 Background:
คำถามข้อสอบจริงใบประกอบวิชาชีพ PLE-CC 1 (Product) ปี 2561 ข้อ 104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7" s="46" t="n"/>
      <c r="L57" s="45" t="inlineStr">
        <is>
          <t>Spectroscopy &amp; Optical Analysis</t>
        </is>
      </c>
      <c r="M57" s="46" t="inlineStr">
        <is>
          <t>Product</t>
        </is>
      </c>
      <c r="N57" s="45" t="inlineStr">
        <is>
          <t>ข้อสอบจริง Product ปี 2561 ข้อ 104</t>
        </is>
      </c>
      <c r="O57" s="46" t="inlineStr">
        <is>
          <t>ข้อสอบจริง</t>
        </is>
      </c>
      <c r="P57" s="46" t="inlineStr">
        <is>
          <t>ปี 2561</t>
        </is>
      </c>
    </row>
    <row r="58">
      <c r="A58" s="46" t="n">
        <v>56</v>
      </c>
      <c r="B58" s="45" t="inlineStr">
        <is>
          <t>ยารูปแบบ reservoir ออกฤทธิ์แบบใด</t>
        </is>
      </c>
      <c r="C58" s="46" t="n"/>
      <c r="D58" s="45" t="inlineStr">
        <is>
          <t>Zero order</t>
        </is>
      </c>
      <c r="E58" s="45" t="inlineStr">
        <is>
          <t>First order</t>
        </is>
      </c>
      <c r="F58" s="45" t="inlineStr">
        <is>
          <t>Second order</t>
        </is>
      </c>
      <c r="G58" s="45" t="inlineStr">
        <is>
          <t>Pseudo first order</t>
        </is>
      </c>
      <c r="H58" s="45" t="inlineStr">
        <is>
          <t>Flib-flob</t>
        </is>
      </c>
      <c r="I58" s="46" t="n">
        <v>1</v>
      </c>
      <c r="J58" s="45" t="inlineStr">
        <is>
          <t>✅ คำตอบที่ถูกต้อง: ข้อ ก. Zero order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8" s="46" t="n"/>
      <c r="L58" s="45" t="inlineStr">
        <is>
          <t>Spectroscopy &amp; Optical Analysis</t>
        </is>
      </c>
      <c r="M58" s="46" t="inlineStr">
        <is>
          <t>Product</t>
        </is>
      </c>
      <c r="N58" s="45" t="inlineStr">
        <is>
          <t>ข้อสอบจริง Product ปี 2559 ข้อ 2</t>
        </is>
      </c>
      <c r="O58" s="46" t="inlineStr">
        <is>
          <t>ข้อสอบจริง</t>
        </is>
      </c>
      <c r="P58" s="46" t="inlineStr">
        <is>
          <t>ปี 2559</t>
        </is>
      </c>
    </row>
    <row r="59">
      <c r="A59" s="46" t="n">
        <v>57</v>
      </c>
      <c r="B59" s="45" t="inlineStr">
        <is>
          <t>ยา extended release โดยตัวยาผสมกับ…และกระจายตัวอย่างสม่ำเสมอเป็นระบบแบบใด</t>
        </is>
      </c>
      <c r="C59" s="46" t="n"/>
      <c r="D59" s="45" t="inlineStr">
        <is>
          <t>Mechanical pump</t>
        </is>
      </c>
      <c r="E59" s="45" t="inlineStr">
        <is>
          <t>Membrane reservoir</t>
        </is>
      </c>
      <c r="F59" s="45" t="inlineStr">
        <is>
          <t>Matrix system</t>
        </is>
      </c>
      <c r="G59" s="45" t="inlineStr">
        <is>
          <t>Osmotic system</t>
        </is>
      </c>
      <c r="H59" s="45" t="inlineStr">
        <is>
          <t>Hydro..........</t>
        </is>
      </c>
      <c r="I59" s="46" t="n">
        <v>1</v>
      </c>
      <c r="J59" s="45"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9" s="46" t="n"/>
      <c r="L59" s="45" t="inlineStr">
        <is>
          <t>Spectroscopy &amp; Optical Analysis</t>
        </is>
      </c>
      <c r="M59" s="46" t="inlineStr">
        <is>
          <t>Product</t>
        </is>
      </c>
      <c r="N59" s="45" t="inlineStr">
        <is>
          <t>ข้อสอบจริง Product ปี 2559 ข้อ 6</t>
        </is>
      </c>
      <c r="O59" s="46" t="inlineStr">
        <is>
          <t>ข้อสอบจริง</t>
        </is>
      </c>
      <c r="P59" s="46" t="inlineStr">
        <is>
          <t>ปี 2559</t>
        </is>
      </c>
    </row>
    <row r="60">
      <c r="A60" s="46" t="n">
        <v>58</v>
      </c>
      <c r="B60" s="45" t="inlineStr">
        <is>
          <t>ใน certificate of analysis จำเป็นต้องมีหัวข้อใดของยา levocetirizine</t>
        </is>
      </c>
      <c r="C60" s="46" t="n"/>
      <c r="D60" s="45" t="inlineStr">
        <is>
          <t>Impurity</t>
        </is>
      </c>
      <c r="E60" s="45" t="inlineStr">
        <is>
          <t>Assay</t>
        </is>
      </c>
      <c r="F60" s="45" t="inlineStr">
        <is>
          <t>Residue of ignition</t>
        </is>
      </c>
      <c r="G60" s="45" t="inlineStr">
        <is>
          <t>Specific rotation</t>
        </is>
      </c>
      <c r="H60" s="45" t="inlineStr">
        <is>
          <t>Residue of solvent</t>
        </is>
      </c>
      <c r="I60" s="46" t="n">
        <v>1</v>
      </c>
      <c r="J60" s="45" t="inlineStr">
        <is>
          <t>✅ คำตอบที่ถูกต้อง: ข้อ ก. Impurity
💡 Background:
คำถามข้อสอบจริงใบประกอบวิชาชีพ PLE-CC 1 (Product) ปี 2559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0" s="46" t="n"/>
      <c r="L60" s="45" t="inlineStr">
        <is>
          <t>Spectroscopy &amp; Optical Analysis</t>
        </is>
      </c>
      <c r="M60" s="46" t="inlineStr">
        <is>
          <t>Product</t>
        </is>
      </c>
      <c r="N60" s="45" t="inlineStr">
        <is>
          <t>ข้อสอบจริง Product ปี 2559 ข้อ 22</t>
        </is>
      </c>
      <c r="O60" s="46" t="inlineStr">
        <is>
          <t>ข้อสอบจริง</t>
        </is>
      </c>
      <c r="P60" s="46" t="inlineStr">
        <is>
          <t>ปี 2559</t>
        </is>
      </c>
    </row>
    <row r="61">
      <c r="A61" s="46" t="n">
        <v>59</v>
      </c>
      <c r="B61" s="45" t="inlineStr">
        <is>
          <t>ยา extended release โดยนำตัวยาที่ออกฤทธิ์ผสมกับสารช่วยและกระจายตัวอย่างสม่ำเสมอเป็นระบบแบบใด</t>
        </is>
      </c>
      <c r="C61" s="46" t="n"/>
      <c r="D61" s="45" t="inlineStr">
        <is>
          <t>Mechanical pump</t>
        </is>
      </c>
      <c r="E61" s="45" t="inlineStr">
        <is>
          <t>Membrane reservoir</t>
        </is>
      </c>
      <c r="F61" s="45" t="inlineStr">
        <is>
          <t>Matrix system</t>
        </is>
      </c>
      <c r="G61" s="45" t="inlineStr">
        <is>
          <t>Osmotic system</t>
        </is>
      </c>
      <c r="H61" s="45" t="inlineStr">
        <is>
          <t>Hydrodynamic system</t>
        </is>
      </c>
      <c r="I61" s="46" t="n">
        <v>1</v>
      </c>
      <c r="J61" s="45"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1" s="46" t="n"/>
      <c r="L61" s="45" t="inlineStr">
        <is>
          <t>Spectroscopy &amp; Optical Analysis</t>
        </is>
      </c>
      <c r="M61" s="46" t="inlineStr">
        <is>
          <t>Product</t>
        </is>
      </c>
      <c r="N61" s="45" t="inlineStr">
        <is>
          <t>ข้อสอบจริง Product ปี 2559 ข้อ 6</t>
        </is>
      </c>
      <c r="O61" s="46" t="inlineStr">
        <is>
          <t>ข้อสอบจริง</t>
        </is>
      </c>
      <c r="P61" s="46" t="inlineStr">
        <is>
          <t>ปี 2559</t>
        </is>
      </c>
    </row>
    <row r="62">
      <c r="A62" s="46" t="n">
        <v>60</v>
      </c>
      <c r="B62" s="45" t="inlineStr">
        <is>
          <t>ข้อใดถูกเกี่ยวกับยาเตรียมเคมีบำบัด</t>
        </is>
      </c>
      <c r="C62" s="46" t="n"/>
      <c r="D62" s="45" t="inlineStr">
        <is>
          <t>ห้องเตรียมควรเป็น positive pressure</t>
        </is>
      </c>
      <c r="E62" s="45" t="inlineStr">
        <is>
          <t>ลมเป่าควรเป็นแนว vertical</t>
        </is>
      </c>
      <c r="F62" s="45" t="inlineStr">
        <is>
          <t>ชุดคลุมปฏิบัติงานเมื่อใช้แล้วสามารถนำกลับมาใช้ได้จนกว่าใยผ้าจะเสื่อม</t>
        </is>
      </c>
      <c r="G62" s="45" t="inlineStr">
        <is>
          <t>ภาชนะบรรจุควรทำความสะอาดด้วย alcohol 90%</t>
        </is>
      </c>
      <c r="H62" s="45" t="inlineStr">
        <is>
          <t>การเตรียมใน laminar air flow มีความปลอดภัยมากกว่าการเตรียมใน isolator</t>
        </is>
      </c>
      <c r="I62" s="46" t="n">
        <v>1</v>
      </c>
      <c r="J62" s="45" t="inlineStr">
        <is>
          <t>✅ คำตอบที่ถูกต้อง: ข้อ ก. ห้องเตรียมควรเป็น positive pressure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2" s="46" t="n"/>
      <c r="L62" s="45" t="inlineStr">
        <is>
          <t>Spectroscopy &amp; Optical Analysis</t>
        </is>
      </c>
      <c r="M62" s="46" t="inlineStr">
        <is>
          <t>Product</t>
        </is>
      </c>
      <c r="N62" s="45" t="inlineStr">
        <is>
          <t>ข้อสอบจริง Product ปี 2559 ข้อ 12</t>
        </is>
      </c>
      <c r="O62" s="46" t="inlineStr">
        <is>
          <t>ข้อสอบจริง</t>
        </is>
      </c>
      <c r="P62" s="46" t="inlineStr">
        <is>
          <t>ปี 2559</t>
        </is>
      </c>
    </row>
    <row r="63">
      <c r="A63" s="46" t="n">
        <v>61</v>
      </c>
      <c r="B63" s="45" t="inlineStr">
        <is>
          <t>ยา lopinavir/ritonavir oral solution เก็บไว้ที่อุณหภูมิ 5◦C ก่อนจำหน่ายให้กับผู้ป่วย จะมี shelf-life นานเท่าใด</t>
        </is>
      </c>
      <c r="C63" s="46" t="n"/>
      <c r="D63" s="45" t="inlineStr">
        <is>
          <t>12 เดือน</t>
        </is>
      </c>
      <c r="E63" s="45" t="inlineStr">
        <is>
          <t>18 เดือน</t>
        </is>
      </c>
      <c r="F63" s="45" t="inlineStr">
        <is>
          <t>24 เดือน</t>
        </is>
      </c>
      <c r="G63" s="45" t="inlineStr">
        <is>
          <t>30 เดือน</t>
        </is>
      </c>
      <c r="H63" s="45" t="inlineStr">
        <is>
          <t>36 เดือน</t>
        </is>
      </c>
      <c r="I63" s="46" t="n">
        <v>1</v>
      </c>
      <c r="J63" s="45" t="inlineStr">
        <is>
          <t>✅ คำตอบที่ถูกต้อง: ข้อ ก. 12 เดือน
💡 Background:
คำถามข้อสอบจริงใบประกอบวิชาชีพ PLE-CC 1 (Product) ปี 2559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3" s="46" t="n"/>
      <c r="L63" s="45" t="inlineStr">
        <is>
          <t>Spectroscopy &amp; Optical Analysis</t>
        </is>
      </c>
      <c r="M63" s="46" t="inlineStr">
        <is>
          <t>Product</t>
        </is>
      </c>
      <c r="N63" s="45" t="inlineStr">
        <is>
          <t>ข้อสอบจริง Product ปี 2559 ข้อ 3</t>
        </is>
      </c>
      <c r="O63" s="46" t="inlineStr">
        <is>
          <t>ข้อสอบจริง</t>
        </is>
      </c>
      <c r="P63" s="46" t="inlineStr">
        <is>
          <t>ปี 2559</t>
        </is>
      </c>
    </row>
    <row r="64">
      <c r="A64" s="46" t="n">
        <v>62</v>
      </c>
      <c r="B64" s="45" t="inlineStr">
        <is>
          <t>การพัฒนาระบบนำส่งยาโดยการนำ polymer มาเคลือบ pellet แล้วมาตอกอัดเป็นเม็ด เรียกว่าระบบนำส่งยาแบบใด</t>
        </is>
      </c>
      <c r="C64" s="46" t="n"/>
      <c r="D64" s="45" t="inlineStr">
        <is>
          <t>Polymer membrane permeation controlled DDS</t>
        </is>
      </c>
      <c r="E64" s="45" t="inlineStr">
        <is>
          <t>Polymer matrix diffusion controlled DDS</t>
        </is>
      </c>
      <c r="F64" s="45" t="inlineStr">
        <is>
          <t>Microreservoir partition controlled DDS</t>
        </is>
      </c>
      <c r="G64" s="45" t="inlineStr">
        <is>
          <t>Osmotic pressure activated DDS</t>
        </is>
      </c>
      <c r="H64" s="45" t="inlineStr">
        <is>
          <t>Hydrodynamic pressure activated DDS</t>
        </is>
      </c>
      <c r="I64" s="46" t="n">
        <v>1</v>
      </c>
      <c r="J64" s="45" t="inlineStr">
        <is>
          <t>✅ คำตอบที่ถูกต้อง: ข้อ ก. Polymer membrane permeation controlled DDS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4" s="46" t="n"/>
      <c r="L64" s="45" t="inlineStr">
        <is>
          <t>Spectroscopy &amp; Optical Analysis</t>
        </is>
      </c>
      <c r="M64" s="46" t="inlineStr">
        <is>
          <t>Product</t>
        </is>
      </c>
      <c r="N64" s="45" t="inlineStr">
        <is>
          <t>ข้อสอบจริง Product ปี 2559 ข้อ 8</t>
        </is>
      </c>
      <c r="O64" s="46" t="inlineStr">
        <is>
          <t>ข้อสอบจริง</t>
        </is>
      </c>
      <c r="P64" s="46" t="inlineStr">
        <is>
          <t>ปี 2559</t>
        </is>
      </c>
    </row>
    <row r="65">
      <c r="A65" s="46" t="n">
        <v>63</v>
      </c>
      <c r="B65" s="45" t="inlineStr">
        <is>
          <t>วิธีการทำให้ผลิตภัณฑ์วัคซีนปราศจากเชื้อ (Sterilization) ในอุตสาหกรรมยาข้อใดถูกต้อง?</t>
        </is>
      </c>
      <c r="C65" s="46" t="n"/>
      <c r="D65" s="45" t="inlineStr">
        <is>
          <t>กระบวนการผลิตแบบปลอดเชื้อ (Aseptic processing / Aseptic technique)</t>
        </is>
      </c>
      <c r="E65" s="45" t="inlineStr">
        <is>
          <t>การนึ่งฆ่าเชื้อด้วยความร้อนชื้น (Autoclave)</t>
        </is>
      </c>
      <c r="F65" s="45" t="inlineStr">
        <is>
          <t>การอบฆ่าเชื้อด้วยความร้อนแห้ง (Hot air oven)</t>
        </is>
      </c>
      <c r="G65" s="45" t="inlineStr">
        <is>
          <t>การฉายรังสีแกมมา (Gamma radiation)</t>
        </is>
      </c>
      <c r="H65" s="45" t="inlineStr">
        <is>
          <t>การรมก๊าซเอทิลีนออกไซด์ (Ethylene oxide gas)</t>
        </is>
      </c>
      <c r="I65" s="46" t="n">
        <v>1</v>
      </c>
      <c r="J65" s="45" t="inlineStr">
        <is>
          <t>✅ คำตอบที่ถูกต้อง: ข้อ ก. กระบวนการผลิตแบบปลอดเชื้อ (Aseptic processing / Aseptic technique)
💡 Background:
คำถามข้อสอบจริงใบประกอบวิชาชีพ PLE-CC 1 (Product) ปี 2558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5" s="46" t="n"/>
      <c r="L65" s="45" t="inlineStr">
        <is>
          <t>Spectroscopy &amp; Optical Analysis</t>
        </is>
      </c>
      <c r="M65" s="46" t="inlineStr">
        <is>
          <t>Product</t>
        </is>
      </c>
      <c r="N65" s="45" t="inlineStr">
        <is>
          <t>ข้อสอบจริง Product ปี 2558 ข้อ 9</t>
        </is>
      </c>
      <c r="O65" s="46" t="inlineStr">
        <is>
          <t>ข้อสอบจริง</t>
        </is>
      </c>
      <c r="P65" s="46" t="inlineStr">
        <is>
          <t>ปี 2558</t>
        </is>
      </c>
    </row>
    <row r="66">
      <c r="A66" s="46" t="n">
        <v>64</v>
      </c>
      <c r="B66" s="45" t="inlineStr">
        <is>
          <t>หัวข้อการควบคุมคุณภาพหรือทดสอบผลิตภัณฑ์ยาข้อใดต่อไปนี้ ไม่จำเป็น ต้องทำสำหรับยาเม็ด Calcium Carbonate (CaCO3)?</t>
        </is>
      </c>
      <c r="C66" s="46" t="n"/>
      <c r="D66" s="45" t="inlineStr">
        <is>
          <t>% Labeled Amount (% LA)</t>
        </is>
      </c>
      <c r="E66" s="45" t="inlineStr">
        <is>
          <t>Optical rotation (ค่าการหมุนแสงของสารเบนแสง)</t>
        </is>
      </c>
      <c r="F66" s="45" t="inlineStr">
        <is>
          <t>Weight variation</t>
        </is>
      </c>
      <c r="G66" s="45" t="inlineStr">
        <is>
          <t>Disintegration</t>
        </is>
      </c>
      <c r="H66" s="45" t="inlineStr">
        <is>
          <t>Dissolution</t>
        </is>
      </c>
      <c r="I66" s="46" t="n">
        <v>1</v>
      </c>
      <c r="J66" s="45" t="inlineStr">
        <is>
          <t>✅ คำตอบที่ถูกต้อง: ข้อ ก. % Labeled Amount (% LA)
💡 Background:
คำถามข้อสอบจริงใบประกอบวิชาชีพ PLE-CC 1 (Product) ปี 2558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6" s="46" t="n"/>
      <c r="L66" s="45" t="inlineStr">
        <is>
          <t>Spectroscopy &amp; Optical Analysis</t>
        </is>
      </c>
      <c r="M66" s="46" t="inlineStr">
        <is>
          <t>Product</t>
        </is>
      </c>
      <c r="N66" s="45" t="inlineStr">
        <is>
          <t>ข้อสอบจริง Product ปี 2558 ข้อ 13</t>
        </is>
      </c>
      <c r="O66" s="46" t="inlineStr">
        <is>
          <t>ข้อสอบจริง</t>
        </is>
      </c>
      <c r="P66" s="46" t="inlineStr">
        <is>
          <t>ปี 2558</t>
        </is>
      </c>
    </row>
    <row r="67">
      <c r="A67" s="46" t="n">
        <v>65</v>
      </c>
      <c r="B67" s="45" t="inlineStr">
        <is>
          <t>ในระดับโรงพยาบาล หากต้องจัดเตรียมยาหยอดตาในลักษณะยาเตรียมเฉพาะราย (Extemporaneous ophthalmic preparation) ตามมาตรฐาน ASHP วิธีการทำให้ยาหยอดตาปราศจากเชื้อที่เหมาะสมและปฏิบัติได้ง่ายที่สุดคือข้อใด?</t>
        </is>
      </c>
      <c r="C67" s="46" t="n"/>
      <c r="D67" s="45" t="inlineStr">
        <is>
          <t>การกรองผ่านแผ่นกรองเมมเบรนขนาด 0.22 ไมครอน (Membrane filtration 0.22 µm)</t>
        </is>
      </c>
      <c r="E67" s="45" t="inlineStr">
        <is>
          <t>Terminal sterilization ด้วย Autoclave</t>
        </is>
      </c>
      <c r="F67" s="45" t="inlineStr">
        <is>
          <t>การฉายรังสีแกมมา (Gamma radiation)</t>
        </is>
      </c>
      <c r="G67" s="45" t="inlineStr">
        <is>
          <t>การอบฆ่าเชื้อด้วยลมร้อน (Hot air oven)</t>
        </is>
      </c>
      <c r="H67" s="45" t="inlineStr">
        <is>
          <t>การอบฆ่าเชื้อด้วยก๊าซเอทิลีนออกไซด์ (Ethylene oxide)</t>
        </is>
      </c>
      <c r="I67" s="46" t="n">
        <v>1</v>
      </c>
      <c r="J67" s="45" t="inlineStr">
        <is>
          <t>✅ คำตอบที่ถูกต้อง: ข้อ ก. การกรองผ่านแผ่นกรองเมมเบรนขนาด 0.22 ไมครอน (Membrane filtration 0.22 µm)
💡 Background:
คำถามข้อสอบจริงใบประกอบวิชาชีพ PLE-CC 1 (Product) ปี 2558 ข้อ 14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7" s="46" t="n"/>
      <c r="L67" s="45" t="inlineStr">
        <is>
          <t>Spectroscopy &amp; Optical Analysis</t>
        </is>
      </c>
      <c r="M67" s="46" t="inlineStr">
        <is>
          <t>Product</t>
        </is>
      </c>
      <c r="N67" s="45" t="inlineStr">
        <is>
          <t>ข้อสอบจริง Product ปี 2558 ข้อ 14</t>
        </is>
      </c>
      <c r="O67" s="46" t="inlineStr">
        <is>
          <t>ข้อสอบจริง</t>
        </is>
      </c>
      <c r="P67" s="46" t="inlineStr">
        <is>
          <t>ปี 2558</t>
        </is>
      </c>
    </row>
  </sheetData>
  <mergeCells count="1">
    <mergeCell ref="A1:F1"/>
  </mergeCell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U125"/>
  <sheetViews>
    <sheetView workbookViewId="0">
      <pane ySplit="2" topLeftCell="A3" activePane="bottomLeft" state="frozen"/>
      <selection pane="bottomLeft" activeCell="B4" sqref="B4"/>
    </sheetView>
  </sheetViews>
  <sheetFormatPr baseColWidth="8" defaultColWidth="12.6640625" defaultRowHeight="15.75" customHeight="1"/>
  <cols>
    <col width="36.77734375" customWidth="1" style="37" min="2" max="2"/>
  </cols>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1</t>
        </is>
      </c>
      <c r="B3" s="2" t="inlineStr">
        <is>
          <t>ข้อใดกล่าวไม่ถูกต้องเกี่ยวกับการเรียกเก็บยาคืนตามเกณฑ์ของ GMP</t>
        </is>
      </c>
      <c r="C3" s="2" t="n"/>
      <c r="D3" s="2" t="inlineStr">
        <is>
          <t>มีแผนกเรียกเก็บยาคืน</t>
        </is>
      </c>
      <c r="E3" s="2" t="inlineStr">
        <is>
          <t>ยาที่มีปัญหาระดับ 1 ต้องเรียกคืนทันที</t>
        </is>
      </c>
      <c r="F3" s="2" t="inlineStr">
        <is>
          <t>ต้องเก็บสินค้าออกจากท้องตลาดได้เลยทันที</t>
        </is>
      </c>
      <c r="G3" s="2" t="inlineStr">
        <is>
          <t>ต้องรายงานองค์การอาหารและยาภายใน 15 วัน</t>
        </is>
      </c>
      <c r="H3" s="2" t="inlineStr">
        <is>
          <t>การเรียกเก็บยาคืนเป็นหน้าที่ของฝ่ายการตลาดและฝ่ายขาย</t>
        </is>
      </c>
      <c r="I3" s="8" t="inlineStr">
        <is>
          <t>5</t>
        </is>
      </c>
      <c r="J3" s="2" t="inlineStr">
        <is>
          <t>✅ คำตอบที่ถูกต้อง: ข้อ จ. การเรียกเก็บยาคืนเป็นหน้าที่ของฝ่ายการตลาดและฝ่ายขาย
💡 Background:
ตามหลักเกณฑ์วิธีการที่ดีในการผลิตยา (GMP PIC/S) ระบบการเรียกเก็บยาคืน (Product Recall) ต้องมีความเป็นอิสระจากการตัดสินใจเชิงพาณิชย์ เพื่อคุ้มครองความปลอดภัยของผู้บริโภคเป็นลำดับสูงสุด
🎯 ทำไมข้อนี้ถึงถูก:
การระบุว่าการเรียกเก็บยาคืนเป็นหน้าที่ของฝ่ายขายหรือการตลาดเป็นข้อความที่ไม่ถูกต้องอย่างยิ่ง เนื่องจากฝ่ายขายมีผลประโยชน์ทับซ้อน (Conflict of interest) ทางธุรกิจ เกณฑ์ GMP กำหนดให้ผู้มีอำนาจสั่งการเรียกเก็บยาคืนต้องเป็นฝ่ายประกันคุณภาพ (Quality Assurance: QA) หรือคณะกรรมการเฉพาะกิจที่ได้รับมอบหมาย
🔍 ข้ออื่นผิดเพราะอะไร:
• ข้อ ก. มีแผนกเรียกเก็บยาคืน: ถูกต้องตามข้อกำหนด GMP ที่ต้องมีหน่วยงานหรือคณะทำงานพร้อมระบบและ SOP ในการจัดการเรียกคืนยา
• ข้อ ข. ยาที่มีปัญหาระดับ 1 ต้องเรียกคืนทันที: ถูกต้อง Class 1 Recall เป็นข้อบกพร่องวิกฤตที่อาจเป็นอันตรายถึงชีวิต ต้องดำเนินการเรียกคืนทันที
• ข้อ ค. ต้องเก็บสินค้าออกจากท้องตลาดได้เลยทันที: ถูกต้อง มีระบบติดตามและเรียกเก็บยาส่งกลับคลังกักกันทันที
• ข้อ ง. ต้องรายงานองค์การอาหารและยาภายใน 15 วัน: ถูกต้องตามกรอบเวลาการรายงานผลการเรียกคืนยาอย่างเป็นทางการต่อ อย.
📖 Guideline อ้างอิง:
PIC/S Guide to Good Manufacturing Practice for Medicinal Products (PE 009-16) &amp; ประกาศกระทรวงสาธารณสุข เรื่อง การกำหนดรายละเอียดเกี่ยวกับหลักเกณฑ์และวิธีการในการผลิตยาแผนปัจจุบันตามกฎหมายว่าด้วยยา พ.ศ. 2564
📌 จุดจำก่อนสอบ:
ผู้มีอำนาจสั่งการเรียกคืนยาตาม GMP ต้องเป็นฝ่ายประกันคุณภาพ (QA) เท่านั้น ห้ามขึ้นตรงกับฝ่ายขายหรือฝ่ายผลิตเด็ดขาด เพื่อความโปร่งใสและอิสระในการตัดสินใจ</t>
        </is>
      </c>
      <c r="K3" s="2" t="n"/>
      <c r="L3" s="2" t="inlineStr">
        <is>
          <t>GMP Regulations</t>
        </is>
      </c>
      <c r="M3" s="2" t="inlineStr">
        <is>
          <t>Product</t>
        </is>
      </c>
      <c r="N3" s="2" t="inlineStr">
        <is>
          <t>ข้อสอบเก่า 2561 ข้อ 18</t>
        </is>
      </c>
      <c r="O3" s="2" t="inlineStr">
        <is>
          <t>ข้อสอบเก่า</t>
        </is>
      </c>
      <c r="P3" s="8" t="inlineStr">
        <is>
          <t>2561</t>
        </is>
      </c>
      <c r="Q3" s="2" t="n"/>
      <c r="R3" s="2" t="n"/>
      <c r="S3" s="2" t="n"/>
      <c r="T3" s="2" t="n"/>
      <c r="U3" s="2" t="n"/>
    </row>
    <row r="4" ht="13.2" customHeight="1" s="37">
      <c r="A4" s="8" t="inlineStr">
        <is>
          <t>2</t>
        </is>
      </c>
      <c r="B4" s="2" t="inlineStr">
        <is>
          <t>ข้อใดคือสภาวะมาตรฐานในการทดสอบความคงตัวของยาในระยะยาว (Long-term stability testing) สำหรับการขึ้นทะเบียนยาในประเทศไทย</t>
        </is>
      </c>
      <c r="C4" s="2" t="n"/>
      <c r="D4" s="2" t="inlineStr">
        <is>
          <t>25°C ± 2°C / 60% ± 5% RH</t>
        </is>
      </c>
      <c r="E4" s="2" t="inlineStr">
        <is>
          <t>30°C ± 2°C / 65% ± 5% RH</t>
        </is>
      </c>
      <c r="F4" s="2" t="inlineStr">
        <is>
          <t>40°C ± 2°C / 75% ± 5% RH</t>
        </is>
      </c>
      <c r="G4" s="2" t="inlineStr">
        <is>
          <t>30°C ± 2°C / 75% ± 5% RH</t>
        </is>
      </c>
      <c r="H4" s="2" t="inlineStr">
        <is>
          <t>25°C ± 2°C / 75% ± 5% RH</t>
        </is>
      </c>
      <c r="I4" s="8" t="inlineStr">
        <is>
          <t>4</t>
        </is>
      </c>
      <c r="J4" s="2" t="inlineStr">
        <is>
          <t>✅ คำตอบที่ถูกต้อง: ข้อ ง. 30°C ± 2°C / 75% ± 5% RH
💡 Background:
การทดสอบความคงตัวของยาในระยะยาว (Long-term Stability Testing) สำหรับขึ้นทะเบียนยาในประเทศไทย ต้องปฏิบัติตามแนวทาง ASEAN Guideline on Stability Study of Drug Product
🎯 ทำไมข้อนี้ถึงถูก:
ประเทศไทยและกลุ่มประเทศอาเซียนจัดอยู่ในเขตภูมิอากาศร้อนชื้นแบบวิกฤต (Climatic Zone IVb: Hot and Humid) สภาวะมาตรฐานในการทดสอบระยะยาวจึงกำหนดไว้ที่อุณหภูมิ 30°C ± 2°C และความชื้นสัมพัทธ์ 75% ± 5% RH ตลอดอายุการใช้งานที่ขอขึ้นทะเบียน
🔍 ข้ออื่นผิดเพราะอะไร:
• ข้อ ก. 25°C / 60% RH: เป็นสภาวะทดสอบสำหรับ Climatic Zone II (เขตอบอุ่น เช่น ยุโรป อเมริกา)
• ข้อ ข. 30°C / 65% RH: เป็นสภาวะทดสอบสำหรับ Climatic Zone IVa (ร้อนชื้นปานกลาง)
• ข้อ ค. 40°C / 75% RH: เป็นสภาวะเร่ง (Accelerated Stability Testing) ไม่ใช่สภาวะระยะยาว
• ข้อ จ. 2-8°C: เป็นสภาวะเก็บรักษาสำหรับยาที่ต้องแช่เย็น (Cold storage)
📖 Guideline อ้างอิง:
ASEAN Guideline on Stability Study of Drug Product &amp; ICH Q1A (R2) Stability Testing of New Drug Substances and Products
📌 จุดจำก่อนสอบ:
จำสภาวะทดสอบความคงตัวของไทย (Zone IVb) ให้แม่น: Long-term คือ 30°C/75% RH, Accelerated คือ 40°C/75% RH</t>
        </is>
      </c>
      <c r="K4" s="2" t="n"/>
      <c r="L4" s="2" t="inlineStr">
        <is>
          <t>Stability Testing</t>
        </is>
      </c>
      <c r="M4" s="2" t="inlineStr">
        <is>
          <t>Product</t>
        </is>
      </c>
      <c r="N4" s="2" t="inlineStr">
        <is>
          <t>ข้อสอบเก่า 2561 ข้อ 44</t>
        </is>
      </c>
      <c r="O4" s="2" t="inlineStr">
        <is>
          <t>ข้อสอบเก่า</t>
        </is>
      </c>
      <c r="P4" s="8" t="inlineStr">
        <is>
          <t>2561</t>
        </is>
      </c>
      <c r="Q4" s="2" t="n"/>
      <c r="R4" s="2" t="n"/>
      <c r="S4" s="2" t="n"/>
      <c r="T4" s="2" t="n"/>
      <c r="U4" s="2" t="n"/>
    </row>
    <row r="5" ht="13.2" customHeight="1" s="37">
      <c r="A5" s="8" t="inlineStr">
        <is>
          <t>3</t>
        </is>
      </c>
      <c r="B5" s="2" t="inlineStr">
        <is>
          <t>ข้อใดถูกต้องเกี่ยวกับการจัดเตรียมยาเคมีบำบัด (Cytotoxic preparation) เพื่อความปลอดภัยตามมาตรฐานสากล</t>
        </is>
      </c>
      <c r="C5" s="2" t="n"/>
      <c r="D5" s="2" t="inlineStr">
        <is>
          <t>ห้องเตรียมควรเป็น positive pressure เมื่อเทียบกับห้องภายนอก</t>
        </is>
      </c>
      <c r="E5" s="2" t="inlineStr">
        <is>
          <t>ลมเป่าควรเป็นแนว vertical ภายใน Biological Safety Cabinet</t>
        </is>
      </c>
      <c r="F5" s="2" t="inlineStr">
        <is>
          <t>ชุดคลุมปฏิบัติงานเมื่อใช้แล้วสามารถนำกลับมาใช้ซ้ำได้จนกว่าใยผ้าจะเสื่อม</t>
        </is>
      </c>
      <c r="G5" s="2" t="inlineStr">
        <is>
          <t>ภาชนะบรรจุควรทำความสะอาดด้วย alcohol 90%</t>
        </is>
      </c>
      <c r="H5" s="2" t="inlineStr">
        <is>
          <t>การเตรียมใน laminar air flow มีความปลอดภัยมากกว่าการเตรียมใน isolator</t>
        </is>
      </c>
      <c r="I5" s="8" t="inlineStr">
        <is>
          <t>2</t>
        </is>
      </c>
      <c r="J5" s="2" t="inlineStr">
        <is>
          <t>✅ คำตอบที่ถูกต้อง: ข้อ ข. ลมเป่าควรเป็นแนว vertical (แนวดิ่ง) ภายใน Biological Safety Cabinet
💡 Background:
การผสมเตรียมยาเคมีบำบัด (Cytotoxic / Chemotherapy reconstitution) เป็นสารอันตรายและก่อการกลายพันธุ์ ต้องเน้นความปลอดภัยของผู้ปฏิบัติงานและสิ่งแวดล้อมสูงสุดควบคู่กับการรักษาความสะอาดปราศจากเชื้อของผลิตภัณฑ์
🎯 ทำไมข้อนี้ถึงถูก:
ลมเป่าต้องเป็นแนวตั้ง (Vertical laminar airflow) ลงมาและถูกดูดกลับเข้าช่องกรอง โดยปฏิบัติงานในตู้ Biological Safety Cabinet (BSC Class II Type B2) หรือ Isolator เพื่อป้องกันไม่ให้ไอระเหยหรือละอองยาพัดเข้าหาใบหน้าและระบบทางเดินหายใจของผู้ปฏิบัติงาน
🔍 ข้ออื่นผิดเพราะอะไร:
• ข้อ ก. ห้องเตรียมควรเป็น positive pressure: ผิด ห้องเตรียมยาเคมีบำบัดต้องเป็น Negative pressure ต่อห้องภายนอก เพื่อกักกันไม่ให้ไอรั่วไหลสู่ภายนอก
• ข้อ ค. ชุดคลุมปฏิบัติงานนำกลับมาใช้ได้จนกว่าใยผ้าจะเสื่อม: ผิด ชุดคลุมป้องกันเคมีบำบัดเป็นชุดใช้ครั้งเดียวทิ้ง (Single-use, lint-free, impermeable)
• ข้อ ง. ภาชนะบรรจุทำความสะอาดด้วย alcohol 90%: ผิด แอลกอฮอล์ฆ่าเชื้อมาตรฐานคือ 70% v/v Isopropyl alcohol (IPA) หรือ Ethyl alcohol
• ข้อ จ. Laminar air flow ปลอดภัยกว่า Isolator: ผิด Isolator มีระบบปิดสมบูรณ์ (Glove box) ป้องกันผู้ปฏิบัติงานได้ปลอดภัยกว่า LAFW อย่างมาก
📖 Guideline อ้างอิง:
USP &lt;800&gt; Hazardous Drugs—Handling in Healthcare Settings &amp; ประกาศสภาเภสัชกรรม เรื่อง มาตรฐานการเตรียมยาเคมีบำบัดในโรงพยาบาล
📌 จุดจำก่อนสอบ:
Hazardous/Chemotherapy: Negative pressure room + BSC Class II Type B2 (Vertical airflow) ห้ามใช้ Horizontal laminar flow เด็ดขาด</t>
        </is>
      </c>
      <c r="K5" s="2" t="n"/>
      <c r="L5" s="2" t="inlineStr">
        <is>
          <t>Sterile Compounding &amp; Safety</t>
        </is>
      </c>
      <c r="M5" s="2" t="inlineStr">
        <is>
          <t>Product</t>
        </is>
      </c>
      <c r="N5" s="2" t="inlineStr">
        <is>
          <t>ข้อสอบเตรียมสอบเภสัช</t>
        </is>
      </c>
      <c r="O5" s="2" t="inlineStr">
        <is>
          <t>แบบฝึกหัด</t>
        </is>
      </c>
      <c r="P5" s="2" t="inlineStr">
        <is>
          <t>RxCU</t>
        </is>
      </c>
      <c r="Q5" s="2" t="n"/>
      <c r="R5" s="2" t="n"/>
      <c r="S5" s="2" t="n"/>
      <c r="T5" s="2" t="n"/>
      <c r="U5" s="2" t="n"/>
    </row>
    <row r="6" ht="13.2" customHeight="1" s="37">
      <c r="A6" s="8" t="inlineStr">
        <is>
          <t>4</t>
        </is>
      </c>
      <c r="B6" s="2" t="inlineStr">
        <is>
          <t>จากโครงสร้างทางเคมี L-dopa ถูกเปลี่ยนเป็น dopamine ในร่างกายด้วยปฏิกิริยาใด</t>
        </is>
      </c>
      <c r="C6" s="2" t="n"/>
      <c r="D6" s="2" t="inlineStr">
        <is>
          <t>Decarboxylation</t>
        </is>
      </c>
      <c r="E6" s="2" t="inlineStr">
        <is>
          <t>Demethylation</t>
        </is>
      </c>
      <c r="F6" s="2" t="inlineStr">
        <is>
          <t>Deamination</t>
        </is>
      </c>
      <c r="G6" s="2" t="inlineStr">
        <is>
          <t>Hydrolysis</t>
        </is>
      </c>
      <c r="H6" s="2" t="inlineStr">
        <is>
          <t>Oxidation</t>
        </is>
      </c>
      <c r="I6" s="8" t="inlineStr">
        <is>
          <t>1</t>
        </is>
      </c>
      <c r="J6" s="2" t="inlineStr">
        <is>
          <t>✅ คำตอบที่ถูกต้อง: ข้อ ก. Decarboxylation
💡 Background:
ในการสังเคราะห์สารสื่อประสาท catecholamines และกระบวนการเมแทบอลิซึมของยา L-dopa (Levodopa) ร่างกายใช้เอนไซม์ DOPA decarboxylase ในการเปลี่ยนรูปสารตั้งต้นเป็นตัวออกฤทธิ์
🎯 ทำไมข้อนี้ถึงถูก:
L-dopa (L-3,4-dihydroxyphenylalanine) มีหมู่ Carboxylic acid (-COOH) ที่ตำแหน่ง alpha เมื่อผ่านเอนไซม์ DOPA decarboxylase (ใช้ Pyridoxal-5-phosphate: Vitamin B6 เป็น cofactor) จะเกิดปฏิกิริยาตัดหมู่คาร์บอกซิลออกในรูป CO2 ได้เป็น Dopamine
🔍 ข้ออื่นผิดเพราะอะไร:
• ข้อ ข. Demethylation: การกำจัดหมู่เมทิล (-CH3)
• ข้อ ค. Deamination: การกำจัดหมู่อะมิโน (-NH2) เช่น การเปลี่ยน dopamine เป็น DOPAC โดยเอนไซม์ MAO
• ข้อ ง. Hydrolysis: ปฏิกิริยาการสลายตัวด้วยน้ำ เช่น การตัดหมู่ ester หรือ amide
• ข้อ จ. Oxidation: การให้อิเล็กตรอนหรือการเพิ่มออกซิเจน
📖 Guideline อ้างอิง:
Foye's Principles of Medicinal Chemistry &amp; Goodman &amp; Gilman's: The Pharmacological Basis of Therapeutics
📌 จุดจำก่อนสอบ:
L-dopa → Dopamine ใช้ปฏิกิริยา Decarboxylation (ตัด -COOH) เอนไซม์ DOPA decarboxylase (Aromatic L-amino acid decarboxylase)</t>
        </is>
      </c>
      <c r="K6" s="2" t="n"/>
      <c r="L6" s="2" t="inlineStr">
        <is>
          <t>Preformulation &amp; Medicinal Chemistry</t>
        </is>
      </c>
      <c r="M6" s="2" t="inlineStr">
        <is>
          <t>Product</t>
        </is>
      </c>
      <c r="N6" s="2" t="inlineStr">
        <is>
          <t>ข้อสอบเตรียมสอบเภสัช</t>
        </is>
      </c>
      <c r="O6" s="2" t="inlineStr">
        <is>
          <t>แบบฝึกหัด</t>
        </is>
      </c>
      <c r="P6" s="2" t="inlineStr">
        <is>
          <t>RxCU</t>
        </is>
      </c>
      <c r="Q6" s="2" t="n"/>
      <c r="R6" s="2" t="n"/>
      <c r="S6" s="2" t="n"/>
      <c r="T6" s="2" t="n"/>
      <c r="U6" s="2" t="n"/>
    </row>
    <row r="7" ht="13.2" customHeight="1" s="37">
      <c r="A7" s="8" t="inlineStr">
        <is>
          <t>5</t>
        </is>
      </c>
      <c r="B7" s="2" t="inlineStr">
        <is>
          <t>เภสัชกรต้องการพัฒนาวิธีวิเคราะห์เพื่อหาปริมาณสารปนเปื้อน (Quantitative impurity test) ของยา itraconazole ในขั้นตอนการทำ method validation หัวข้อใดไม่จำเป็นต้องทำตามเกณฑ์ ICH Q2(R1)</t>
        </is>
      </c>
      <c r="C7" s="2" t="n"/>
      <c r="D7" s="2" t="inlineStr">
        <is>
          <t>Accuracy</t>
        </is>
      </c>
      <c r="E7" s="2" t="inlineStr">
        <is>
          <t>Precision</t>
        </is>
      </c>
      <c r="F7" s="2" t="inlineStr">
        <is>
          <t>Specificity</t>
        </is>
      </c>
      <c r="G7" s="2" t="inlineStr">
        <is>
          <t>Limit of Detection (LOD)</t>
        </is>
      </c>
      <c r="H7" s="2" t="inlineStr">
        <is>
          <t>Limit of Quantitation (LOQ)</t>
        </is>
      </c>
      <c r="I7" s="8" t="inlineStr">
        <is>
          <t>4</t>
        </is>
      </c>
      <c r="J7" s="2" t="inlineStr">
        <is>
          <t>✅ คำตอบที่ถูกต้อง: ข้อ ง. Limit of Detection (LOD)
💡 Background:
ตามเกณฑ์ ICH Q2(R1) Validation of Analytical Procedures ได้แบ่งการตรวจสอบวิธีวิเคราะห์ออกเป็น 4 ประเภทหลัก: Identification, Testing for impurities (Quantitative), Limit tests for impurities, และ Assay
🎯 ทำไมข้อนี้ถึงถูก:
การตรวจวัดและหาปริมาณสารปนเปื้อน (Quantitative test for impurities) จำเป็นต้องประเมิน Accuracy, Precision (Repeatability &amp; Intermediate precision), Specificity, และ Limit of Quantitation (LOQ) เพื่อยืนยันว่าสามารถวัดค่าปริมาณต่ำสุดได้อย่างแม่นยำ ส่วน Limit of Detection (LOD) เป็นเพียงขีดจำกัดต่ำสุดที่ตรวจพบว่ามีสารอยู่ จึงบังคับเฉพาะการทดสอบแบบ Limit test ไม่จำเป็นสำหรับการวิเคราะห์เชิงปริมาณ (Quantitative)
🔍 ข้ออื่นผิดเพราะอะไร:
• ข้อ ก. Accuracy: จำเป็นต้องทำสำหรับการวิเคราะห์เชิงปริมาณสารปนเปื้อน
• ข้อ ข. Precision: จำเป็นต้องทำทั้ง Repeatability และ Intermediate precision
• ข้อ ค. Specificity: จำเป็นต้องทดสอบความจำเพาะว่าสารอื่น/excipients ไม่รบกวนสัญญาณ
• ข้อ จ. Limit of Quantitation (LOQ): จำเป็นอย่างยิ่งสำหรับการตรวจวิเคราะห์หาปริมาณสารปนเปื้อน
📖 Guideline อ้างอิง:
ICH Harmonised Tripartite Guideline: Validation of Analytical Procedures: Text and Methodology Q2(R1)
📌 จุดจำก่อนสอบ:
ICH Q2(R1) Impurities: ถ้าเป็น Quantitative ต้องทำ LOQ (ไม่ต้องทำ LOD), ถ้าเป็น Limit test ต้องทำ Specificity กับ LOD (ไม่ต้องทำ Accuracy/Precision/LOQ)</t>
        </is>
      </c>
      <c r="K7" s="2" t="n"/>
      <c r="L7" s="2" t="inlineStr">
        <is>
          <t>Method Validation &amp; Quality Control</t>
        </is>
      </c>
      <c r="M7" s="2" t="inlineStr">
        <is>
          <t>Product</t>
        </is>
      </c>
      <c r="N7" s="2" t="inlineStr">
        <is>
          <t>ข้อสอบเก่า 2562 / 2564</t>
        </is>
      </c>
      <c r="O7" s="2" t="inlineStr">
        <is>
          <t>ข้อสอบเก่า</t>
        </is>
      </c>
      <c r="P7" s="8" t="inlineStr">
        <is>
          <t>2562</t>
        </is>
      </c>
      <c r="Q7" s="2" t="n"/>
      <c r="R7" s="2" t="n"/>
      <c r="S7" s="2" t="n"/>
      <c r="T7" s="2" t="n"/>
      <c r="U7" s="2" t="n"/>
    </row>
    <row r="8" ht="13.2" customHeight="1" s="37">
      <c r="A8" s="8" t="inlineStr">
        <is>
          <t>6</t>
        </is>
      </c>
      <c r="B8" s="2" t="inlineStr">
        <is>
          <t>ตัวยาสำคัญ Donepezil 5 mg มีคุณสมบัติการไหลที่ดี (Good flowability) แต่เกิดการเสื่อมสลายได้ง่ายด้วยปฏิกิริยา Hydrolysis ในสารละลายสภาวะด่างและเป็นกลาง ควรเลือกกระบวนการเตรียมยาเม็ดด้วยวิธีใดจึงเหมาะสมที่สุด</t>
        </is>
      </c>
      <c r="C8" s="2" t="n"/>
      <c r="D8" s="2" t="inlineStr">
        <is>
          <t>Wet granulation โดยใช้ starch paste เป็น binder</t>
        </is>
      </c>
      <c r="E8" s="2" t="inlineStr">
        <is>
          <t>Direct compression (การตอกตรง)</t>
        </is>
      </c>
      <c r="F8" s="2" t="inlineStr">
        <is>
          <t>Dry granulation ด้วยเครื่อง roller compactor</t>
        </is>
      </c>
      <c r="G8" s="2" t="inlineStr">
        <is>
          <t>Wet granulation ด้วย organic solvent</t>
        </is>
      </c>
      <c r="H8" s="2" t="inlineStr">
        <is>
          <t>Fluidized bed wet granulation</t>
        </is>
      </c>
      <c r="I8" s="8" t="inlineStr">
        <is>
          <t>2</t>
        </is>
      </c>
      <c r="J8" s="2" t="inlineStr">
        <is>
          <t>✅ คำตอบที่ถูกต้อง: ข้อ ข. Direct compression (การตอกตรง)
💡 Background:
ในการพัฒนาสูตรตำรับยาเม็ด (Preformulation &amp; Tableting design) ต้องพิจารณาคุณสมบัติทางเคมีกายภาพของตัวยาสำคัญ ได้แก่ ความสามารถในการไหล (Flowability), การถูกอัดแน่น (Compressibility) และความคงตัวต่อความชื้น/น้ำ (Degradation pathway)
🎯 ทำไมข้อนี้ถึงถูก:
ตัวยา Donepezil เกิดปฏิกิริยา Hydrolysis เมื่อสัมผัสกับน้ำหรือความชื้นในสภาวะด่างและเป็นกลาง แต่ตัวยามีคุณสมบัติการไหลที่ดี (Good flowability) ดังนั้นวิธีที่ดีและเหมาะสมที่สุดคือ Direct compression (การตอกตรง) เพราะไม่ต้องสัมผัสน้ำหรือตัวทำละลายใดๆ จึงขจัดความเสี่ยงต่อการเกิด Hydrolysis ได้ 100%
🔍 ข้ออื่นผิดเพราะอะไร:
• ข้อ ก. Wet granulation ใช้ starch paste: มีน้ำเป็นตัวประสาน ทำให้ตัวยาเกิด Hydrolysis เสื่อมสลายทันที
• ข้อ ค. Dry granulation: แม้ไม่ใช้น้ำแต่มีขั้นตอนบดอัดซ้ำซ้อน ไม่จำเป็นสำหรับผงยาที่ไหลดีอยู่แล้ว
• ข้อ ง. Wet or dry granulation with starch paste: ห้ามใช้วิธีเปียกที่มีน้ำโดยเด็ดขาด
• ข้อ จ. Fluidized bed wet granulation: มีการพ่นละอองของเหลว ก่อให้เกิดการสลายตัวของยา
📖 Guideline อ้างอิง:
Aulton's Pharmaceutics: The Design and Manufacture of Medicines &amp; Handbook of Pharmaceutical Excipients
📌 จุดจำก่อนสอบ:
ถ้ายาไวต่อความชื้น/เกิด Hydrolysis + ผงยาไหลดี (Good flow) = เลือก Direct Compression เสมอ</t>
        </is>
      </c>
      <c r="K8" s="2" t="n"/>
      <c r="L8" s="2" t="inlineStr">
        <is>
          <t>Preformulation &amp; Formulation Design</t>
        </is>
      </c>
      <c r="M8" s="2" t="inlineStr">
        <is>
          <t>Product</t>
        </is>
      </c>
      <c r="N8" s="2" t="inlineStr">
        <is>
          <t>ข้อสอบเก่า 2561 ข้อ 30 / 2564 ข้อ 131</t>
        </is>
      </c>
      <c r="O8" s="2" t="inlineStr">
        <is>
          <t>ข้อสอบเก่า</t>
        </is>
      </c>
      <c r="P8" s="8" t="inlineStr">
        <is>
          <t>2561</t>
        </is>
      </c>
      <c r="Q8" s="2" t="n"/>
      <c r="R8" s="2" t="n"/>
      <c r="S8" s="2" t="n"/>
      <c r="T8" s="2" t="n"/>
      <c r="U8" s="2" t="n"/>
    </row>
    <row r="9" ht="13.2" customHeight="1" s="37">
      <c r="A9" s="8" t="inlineStr">
        <is>
          <t>7</t>
        </is>
      </c>
      <c r="B9" s="2" t="inlineStr">
        <is>
          <t>ยาชนิดหนึ่งมี Methylcellulose เป็นส่วนประกอบ เมื่อตั้งทิ้งไว้จะมีความหนืดมากขึ้น แต่เมื่อเขย่าจะมีความหนืดลดลงและเทรินได้ง่าย จัดเป็นลักษณะการไหล (Rheological behavior) แบบใด</t>
        </is>
      </c>
      <c r="C9" s="2" t="n"/>
      <c r="D9" s="2" t="inlineStr">
        <is>
          <t>Newtonian flow</t>
        </is>
      </c>
      <c r="E9" s="2" t="inlineStr">
        <is>
          <t>Dilatant flow</t>
        </is>
      </c>
      <c r="F9" s="2" t="inlineStr">
        <is>
          <t>Pseudoplastic flow</t>
        </is>
      </c>
      <c r="G9" s="2" t="inlineStr">
        <is>
          <t>Plastic flow</t>
        </is>
      </c>
      <c r="H9" s="2" t="inlineStr">
        <is>
          <t>Rheopectic flow</t>
        </is>
      </c>
      <c r="I9" s="8" t="inlineStr">
        <is>
          <t>3</t>
        </is>
      </c>
      <c r="J9" s="2" t="inlineStr">
        <is>
          <t>✅ คำตอบที่ถูกต้อง: ข้อ ค. Pseudoplastic flow พร้อมสมบัติ Thixotropy
💡 Background:
พฤติกรรมการไหลของสารช่วยก่อเจลและสารเพิ่มความหนืดกลุ่มพอลิเมอร์ เช่น Methylcellulose เป็นการไหลแบบ Non-Newtonian flow ซึ่งความหนืดจะแปรเปลี่ยนตามอัตราเฉือน (Shear rate) และระยะเวลาที่กระทำ
🎯 ทำไมข้อนี้ถึงถูก:
Methylcellulose มีพฤติกรรมการไหลแบบ Pseudoplastic flow (Shear-thinning) เมื่อตั้งทิ้งไว้โมเลกุลสายยาวจะพันกันเป็นร่างแห มีความหนืดสูง แต่เมื่อได้รับแรงเฉือนหรือการเขย่า โมเลกุลจะจัดเรียงตัวตามทิศทางการไหล ทำให้แรงต้านลดลงและความหนืดลดลง เรียกว่า Thixotropy ซึ่งเป็นคุณสมบัติในอุดมคติของยาน้ำแขวนตะกอน (Suspension)
🔍 ข้ออื่นผิดเพราะอะไร:
• ข้อ ก. Newtonian: ความหนืดคงที่เสมอ ไม่ขึ้นกับแรงเฉือน เช่น น้ำ, สารละลายแอลกอฮอล์
• ข้อ ข. Dilatant: ยิ่งกวน/เขย่ายิ่งหนืดขึ้น (Shear-thickening) เช่น สารแขวนลอยแป้งความเข้มข้นสูง
• ข้อ ง. Plastic: ต้องมีแรงเค้นเฉือนเริ่มต้น (Yield value) ก่อนจึงจะเริ่มไหล เช่น ครีม, ขี้ผึ้งเข้มข้น
• ข้อ จ. Rheopectic: ยิ่งกวนความหนืดยิ่งเพิ่มขึ้นตามเวลา เป็นปรากฏการณ์ตรงข้ามกับ Thixotropy
📖 Guideline อ้างอิง:
Martin's Physical Pharmacy and Pharmaceutical Sciences (Rheology Chapter)
📌 จุดจำก่อนสอบ:
สารกลุ่มโพลิเมอร์ (Methylcellulose, CMC, Carbopol) = Pseudoplastic flow (เขย่าแล้วเหลว หยุดเขย่าแล้วข้นหนืด Thixotropic recovery)</t>
        </is>
      </c>
      <c r="K9" s="2" t="n"/>
      <c r="L9" s="2" t="inlineStr">
        <is>
          <t>Preformulation &amp; Rheology</t>
        </is>
      </c>
      <c r="M9" s="2" t="inlineStr">
        <is>
          <t>Product</t>
        </is>
      </c>
      <c r="N9" s="2" t="inlineStr">
        <is>
          <t>ข้อสอบเตรียมสอบเภสัช</t>
        </is>
      </c>
      <c r="O9" s="2" t="inlineStr">
        <is>
          <t>แบบฝึกหัด</t>
        </is>
      </c>
      <c r="P9" s="2" t="inlineStr">
        <is>
          <t>RxCU</t>
        </is>
      </c>
      <c r="Q9" s="2" t="n"/>
      <c r="R9" s="2" t="n"/>
      <c r="S9" s="2" t="n"/>
      <c r="T9" s="2" t="n"/>
      <c r="U9" s="2" t="n"/>
    </row>
    <row r="10" ht="13.2" customHeight="1" s="37">
      <c r="A10" s="8" t="inlineStr">
        <is>
          <t>8</t>
        </is>
      </c>
      <c r="B10" s="2" t="inlineStr">
        <is>
          <t>พอลิเมอร์ในข้อใดจัดเป็นสารเคลือบฟิล์มชนิดแตกตัวในลำไส้ (Enteric coating polymer) ที่ละลายได้เฉพาะในสภาวะทางเดินอาหารที่มีค่า pH สูงกว่า 5.5 ขึ้นไป</t>
        </is>
      </c>
      <c r="C10" s="2" t="n"/>
      <c r="D10" s="2" t="inlineStr">
        <is>
          <t>Hydroxypropyl methylcellulose (HPMC)</t>
        </is>
      </c>
      <c r="E10" s="2" t="inlineStr">
        <is>
          <t>Ethyl cellulose (EC)</t>
        </is>
      </c>
      <c r="F10" s="2" t="inlineStr">
        <is>
          <t>Polyethylene glycol (PEG)</t>
        </is>
      </c>
      <c r="G10" s="2" t="inlineStr">
        <is>
          <t>Hydroxypropyl methylcellulose phthalate (HPMCP)</t>
        </is>
      </c>
      <c r="H10" s="2" t="inlineStr">
        <is>
          <t>Povidone (PVP)</t>
        </is>
      </c>
      <c r="I10" s="8" t="inlineStr">
        <is>
          <t>4</t>
        </is>
      </c>
      <c r="J10" s="2" t="inlineStr">
        <is>
          <t>✅ คำตอบที่ถูกต้อง: ข้อ ง. Hydroxypropyl methylcellulose phthalate (HPMCP)
💡 Background:
พอลิเมอร์เคลือบเม็ดยาชนิดแตกตัวในลำไส้ (Enteric coating polymers) ต้องมีหมู่ฟังก์ชันที่ทนกรดในกระเพาะอาหาร (pH 1.2) แต่แตกตัวเป็นไอออนและละลายได้ดีในทางเดินอาหารส่วนลำไส้เล็ก (pH &gt; 5.5-6.8)
🎯 ทำไมข้อนี้ถึงถูก:
HPMCP (Hydroxypropyl methylcellulose phthalate) และกลุ่มที่มีหมู่ Carboxylic acid / Phthalate ester (เช่น CAP, Eudragit L, Eudragit S) ไม่ละลายในสภาวะกรดของกระเพาะอาหาร แต่จะละลายเมื่อเข้าสู่ลำไส้เล็ก จึงใช้เป็นพอลิเมอร์สำหรับเคลือบ Enteric coat
🔍 ข้ออื่นผิดเพราะอะไร:
• ข้อ ก. Hydroxypropyl methylcellulose (HPMC): ละลายได้ในน้ำทุกช่วง pH ใช้เคลือบฟิล์มธรรมดา (Film-coated immediate release)
• ข้อ ข. Ethyl cellulose (EC): ไม่ละลายน้ำในทุกช่วง pH นิยมใช้เคลือบเพื่อควบคุมการปลดปล่อย (Sustained-release)
• ข้อ ค. Polyethylene glycol (PEG): ละลายน้ำได้ดี นิยมใช้เป็น Plasticizer หรือ Pore former
• ข้อ จ. Povidone (PVP): ละลายน้ำได้ดี ใช้เป็น Binder หรือ Film-former ทั่วไป
📖 Guideline อ้างอิง:
Handbook of Pharmaceutical Excipients &amp; USP Monograph on Enteric-Coated Tablet Standards
📌 จุดจำก่อนสอบ:
Enteric coating polymers จะมีคำว่า "Phthalate" หรือ "Acrylate copolymer ชนิด L/S" (CAP, HPMCP, Eudragit L/S, PVAP) เสมอ</t>
        </is>
      </c>
      <c r="K10" s="2" t="n"/>
      <c r="L10" s="2" t="inlineStr">
        <is>
          <t>Preformulation &amp; Polymer Coating</t>
        </is>
      </c>
      <c r="M10" s="2" t="inlineStr">
        <is>
          <t>Product</t>
        </is>
      </c>
      <c r="N10" s="2" t="inlineStr">
        <is>
          <t>ข้อสอบเก่า 2562 / 2566</t>
        </is>
      </c>
      <c r="O10" s="2" t="inlineStr">
        <is>
          <t>ข้อสอบเก่า</t>
        </is>
      </c>
      <c r="P10" s="8" t="inlineStr">
        <is>
          <t>2562</t>
        </is>
      </c>
      <c r="Q10" s="2" t="n"/>
      <c r="R10" s="2" t="n"/>
      <c r="S10" s="2" t="n"/>
      <c r="T10" s="2" t="n"/>
      <c r="U10" s="2" t="n"/>
    </row>
    <row r="11" ht="13.2" customHeight="1" s="37">
      <c r="A11" s="8" t="inlineStr">
        <is>
          <t>9</t>
        </is>
      </c>
      <c r="B11" s="2" t="inlineStr">
        <is>
          <t>สารช่วยในสูตรตำรับ (Excipients) ชนิดใดจัดเป็นสารช่วยแตกตัวประสิทธิภาพสูง (Superdisintegrant) ที่ออกฤทธิ์ด้วยการดูดซับน้ำและพองตัวอย่างรวดเร็ว</t>
        </is>
      </c>
      <c r="C11" s="2" t="n"/>
      <c r="D11" s="2" t="inlineStr">
        <is>
          <t>Croscarmellose sodium</t>
        </is>
      </c>
      <c r="E11" s="2" t="inlineStr">
        <is>
          <t>Talcum</t>
        </is>
      </c>
      <c r="F11" s="2" t="inlineStr">
        <is>
          <t>Povidone K30</t>
        </is>
      </c>
      <c r="G11" s="2" t="inlineStr">
        <is>
          <t>Gelatin</t>
        </is>
      </c>
      <c r="H11" s="2" t="inlineStr">
        <is>
          <t>Methyl cellulose</t>
        </is>
      </c>
      <c r="I11" s="8" t="inlineStr">
        <is>
          <t>1</t>
        </is>
      </c>
      <c r="J11" s="2" t="inlineStr">
        <is>
          <t>✅ คำตอบที่ถูกต้อง: ข้อ ก. Croscarmellose sodium
💡 Background:
สารช่วยแตกตัว (Disintegrants) ทำหน้าที่เร่งให้เม็ดยาแตกตัวออกเป็นอนุภาคย่อยเมื่อสัมผัสกับของเหลวในทางเดินอาหาร โดยกลไกการดูดซับน้ำแล้วพองตัว (Swelling) หรือเกิดแรงดันรูพรุน (Capillary action / Wicking)
🎯 ทำไมข้อนี้ถึงถูก:
Croscarmellose sodium เป็นสารช่วยแตกตัวประสิทธิภาพสูงพิเศษ (Superdisintegrant) ชนิด Cross-linked sodium carboxymethylcellulose สามารถดูดซับน้ำและพองตัวได้รวดเร็วถึง 4-8 เท่าโดยไม่เกิดเจลหนืดกีดขวางการแตกตัว
🔍 ข้ออื่นผิดเพราะอะไร:
• ข้อ ข. Talcum: ทำหน้าที่เป็นสารช่วยไหล (Glidant) และสารหล่อลื่น (Lubricant)
• ข้อ ค. Povidone K30: ทำหน้าที่เป็นสารยึดเกาะ (Binder) ในกระบวนการทำแกรนูล
• ข้อ ง. Gelatin: ทำหน้าที่เป็น Binder หรือใช้ทำเปลือกแคปซูล
• ข้อ จ. Methyl cellulose: ทำหน้าที่เป็น Suspending agent หรือ Binder
📖 Guideline อ้างอิง:
Handbook of Pharmaceutical Excipients &amp; Ansel's Pharmaceutical Dosage Forms and Drug Delivery Systems
📌 จุดจำก่อนสอบ:
Superdisintegrants มี 3 กลุ่มหลักที่ออกสอบบ่อย: Croscarmellose sodium (Ac-Di-Sol), Sodium starch glycolate (Explotab), และ Crospovidone (Kollidon CL)</t>
        </is>
      </c>
      <c r="K11" s="2" t="n"/>
      <c r="L11" s="2" t="inlineStr">
        <is>
          <t>Preformulation &amp; Excipients</t>
        </is>
      </c>
      <c r="M11" s="2" t="inlineStr">
        <is>
          <t>Product</t>
        </is>
      </c>
      <c r="N11" s="2" t="inlineStr">
        <is>
          <t>ข้อสอบเก่า 2561 ข้อ 108 / 2567 ข้อ 15</t>
        </is>
      </c>
      <c r="O11" s="2" t="inlineStr">
        <is>
          <t>ข้อสอบเก่า</t>
        </is>
      </c>
      <c r="P11" s="8" t="inlineStr">
        <is>
          <t>2561</t>
        </is>
      </c>
      <c r="Q11" s="2" t="n"/>
      <c r="R11" s="2" t="n"/>
      <c r="S11" s="2" t="n"/>
      <c r="T11" s="2" t="n"/>
      <c r="U11" s="2" t="n"/>
    </row>
    <row r="12" ht="13.2" customHeight="1" s="37">
      <c r="A12" s="8" t="inlineStr">
        <is>
          <t>10</t>
        </is>
      </c>
      <c r="B12" s="2" t="inlineStr">
        <is>
          <t>ตามมาตรฐาน GMP PIC/S Annex 1 ในการผลิตและบรรจุยาฉีด Insulin ซึ่งเตรียมด้วยกระบวนการปลอดเชื้อ (Aseptic processing) ต้องดำเนินการในห้องสะอาด (Cleanroom) ระดับใด</t>
        </is>
      </c>
      <c r="C12" s="2" t="n"/>
      <c r="D12" s="2" t="inlineStr">
        <is>
          <t>Grade A ทั้งในจุดสัมผัสยาและสภาพแวดล้อมพื้นหลัง</t>
        </is>
      </c>
      <c r="E12" s="2" t="inlineStr">
        <is>
          <t>Grade D สำหรับทั้งกระบวนการเตรียมและบรรจุ</t>
        </is>
      </c>
      <c r="F12" s="2" t="inlineStr">
        <is>
          <t>Grade C สำหรับทั้งกระบวนการเตรียมและบรรจุ</t>
        </is>
      </c>
      <c r="G12" s="2" t="inlineStr">
        <is>
          <t>Grade A ในจุดสัมผัสยา โดยมีสภาพแวดล้อมพื้นหลังเป็น Grade B</t>
        </is>
      </c>
      <c r="H12" s="2" t="inlineStr">
        <is>
          <t>Grade B ในจุดสัมผัสยา โดยมีสภาพแวดล้อมพื้นหลังเป็น Grade C</t>
        </is>
      </c>
      <c r="I12" s="8" t="inlineStr">
        <is>
          <t>4</t>
        </is>
      </c>
      <c r="J12" s="2" t="inlineStr">
        <is>
          <t>✅ คำตอบที่ถูกต้อง: ข้อ ง. Grade A ในจุดสัมผัสยา โดยมีสภาพแวดล้อมพื้นหลังเป็น Grade B
💡 Background:
ตามหลักเกณฑ์ GMP PIC/S Annex 1 Manufacture of Sterile Medicinal Products ยาฉีดที่เตรียมด้วยกระบวนการปลอดเชื้อ (Aseptic processing) โดยไม่ผ่านการทำให้ปราศจากเชื้อในภาชนะบรรจุขั้นสุดท้าย (Non-terminally sterilized products เช่น Insulin, วัคซีนชีววัตถุ) ต้องควบคุมระดับความสะอาดของพื้นที่อย่างเข้มงวด
🎯 ทำไมข้อนี้ถึงถูก:
Insulin เป็นยาชีววัตถุที่ไวต่อความร้อน ไม่สามารถทำ Terminal heat sterilization ได้ กระบวนการบรรจุ (Aseptic filling) ต้องทำภายใต้สภาวะ Laminar airflow Grade A (จุดวิกฤตที่เปิดสัมผัสยา) โดยมีพื้นที่รองรับหรือพื้นหลัง (Background) เป็นห้องสะอาดระดับ Grade B
🔍 ข้ออื่นผิดเพราะอะไร:
• ข้อ ก. Grade A ในพื้นหลัง Grade A: สิ้นเปลืองพลังงานและเกินความจำเป็นตามเกณฑ์มาตรฐาน GMP
• ข้อ ข. Grade D: เป็นพื้นที่สะอาดระดับต่ำสำหรับเตรียมวัตถุดิบหรือล้างภาชนะ
• ข้อ ค. Grade C: เป็นพื้นที่เตรียมสารละลายสำหรับยาที่จะนำไปผ่าน Terminal sterilization
• ข้อ จ. Grade C ในพื้นหลัง Grade D: ไม่เพียงพอสำหรับยาฉีดชนิด Aseptic preparation
📖 Guideline อ้างอิง:
PIC/S GMP Guide Annex 1 (Manufacture of Sterile Medicinal Products) &amp; WHO Good Manufacturing Practices for Sterile Pharmaceutical Products
📌 จุดจำก่อนสอบ:
Aseptic preparation &amp; filling = Grade A (Critical zone) ใน background Grade B เสมอ!</t>
        </is>
      </c>
      <c r="K12" s="2" t="n"/>
      <c r="L12" s="2" t="inlineStr">
        <is>
          <t>GMP PIC/S &amp; Sterile Manufacturing</t>
        </is>
      </c>
      <c r="M12" s="2" t="inlineStr">
        <is>
          <t>Product</t>
        </is>
      </c>
      <c r="N12" s="2" t="inlineStr">
        <is>
          <t>ข้อสอบเก่า 2566 Day 2 ข้อ 97</t>
        </is>
      </c>
      <c r="O12" s="2" t="inlineStr">
        <is>
          <t>ข้อสอบเก่า</t>
        </is>
      </c>
      <c r="P12" s="8" t="inlineStr">
        <is>
          <t>2566</t>
        </is>
      </c>
      <c r="Q12" s="2" t="n"/>
      <c r="R12" s="2" t="n"/>
      <c r="S12" s="2" t="n"/>
      <c r="T12" s="2" t="n"/>
      <c r="U12" s="2" t="n"/>
    </row>
    <row r="13" ht="13.2" customHeight="1" s="37">
      <c r="A13" s="8" t="inlineStr">
        <is>
          <t>11</t>
        </is>
      </c>
      <c r="B13" s="2" t="inlineStr">
        <is>
          <t>โรงงานผลิตยาแผนปัจจุบันที่ประสงค์จะผลิตยาปฏิชีวนะกลุ่ม Penicillin ตามหลักเกณฑ์มาตรฐาน GMP PIC/S จะต้องออกแบบสถานที่ผลิตและระบบวิศวกรรมอย่างไร</t>
        </is>
      </c>
      <c r="C13" s="2" t="n"/>
      <c r="D13" s="2" t="inlineStr">
        <is>
          <t>ผลิตในอาคารเดียวกันได้โดยใช้วิธีสลับรอบการผลิต (Campaign production)</t>
        </is>
      </c>
      <c r="E13" s="2" t="inlineStr">
        <is>
          <t>แยกอาคารผลิตแต่สามารถเชื่อมต่อระบบปรับอากาศ (HVAC) และระบบน้ำร่วมกันได้</t>
        </is>
      </c>
      <c r="F13" s="2" t="inlineStr">
        <is>
          <t>ต้องแยกอาคารผลิตและแยกระบบสาธารณูปโภค (HVAC/Water) โดยเด็ดขาด</t>
        </is>
      </c>
      <c r="G13" s="2" t="inlineStr">
        <is>
          <t>สามารถผลิตในห้องร่วมกับยาอื่นได้หากติดตั้ง HEPA filter ประจำเครื่องจักร</t>
        </is>
      </c>
      <c r="H13" s="2" t="inlineStr">
        <is>
          <t>ผลิตร่วมกับผลิตภัณฑ์อื่นได้หากผ่านการทดสอบ Cleaning validation อย่างเข้มงวด</t>
        </is>
      </c>
      <c r="I13" s="8" t="inlineStr">
        <is>
          <t>3</t>
        </is>
      </c>
      <c r="J13" s="2" t="inlineStr">
        <is>
          <t>✅ คำตอบที่ถูกต้อง: ข้อ ค. ต้องแยกอาคารผลิตและแยกระบบสาธารณูปโภค (HVAC/Water) โดยเด็ดขาด
💡 Background:
ยาปฏิชีวนะกลุ่มเพนิซิลลิน (Penicillin) และกลุ่มบีตา-แลกแทม (Beta-lactams) เป็นสารที่มีความไวสูงในการกระตุ้นให้เกิดอาการแพ้อย่างรุนแรง (Severe hypersensitivity and Anaphylactic shock) ได้ แม้จะปนเปื้อนในปริมาณเพียงเล็กน้อยระดับ trace amount
🎯 ทำไมข้อนี้ถึงถูก:
ตามข้อกำหนด GMP PIC/S โรงงานที่มีการผลิตยา Penicillin ต้องผลิตในสถานที่เฉพาะ (Dedicated and self-contained facility) โดยต้องแยกอาคารผลิต (Separate building) และแยกระบบสาธารณูปโภค (Dedicated air handling units: HVAC และระบบน้ำ) แยกขาดจากผลิตภัณฑ์ยาอื่นโดยเด็ดขาด เพื่อกำจัดการปนเปื้อนข้าม (Cross-contamination)
🔍 ข้ออื่นผิดเพราะอะไร:
• ข้อ ก. ผลิตในอาคารเดียวกันได้โดยใช้วิธีสลับรอบการผลิต (Campaign production): ผิดอย่างยิ่ง ห้ามใช้พื้นที่ร่วมกับยาอื่นแม้จะสลับเวลาก็ตาม
• ข้อ ข. แยกอาคารผลิตแต่สามารถเชื่อมต่อระบบปรับอากาศ (HVAC) และระบบน้ำร่วมกันได้: ผิด อากาศอาจพัดพาสปอร์หรือละอองยาไปปนเปื้อนยาอื่นได้
• ข้อ ง. ผลิตร่วมกันได้หากมี HEPA filter ในเครื่องตอกยา: ไม่เพียงพอต่อการควบคุมความเสี่ยง
• ข้อ จ. ไม่ต้องแยกสถานที่หากทำ Cleaning validation ผ่าน: ผิด ยา Penicillin เป็นข้อยกเว้นเด็ดขาดที่ไม่อนุญาตให้ใช้มาตรการทำความสะอาดทดแทนการแยกอาคาร
📖 Guideline อ้างอิง:
PIC/S Guide to Good Manufacturing Practice: Chapter 3 Premises and Equipment &amp; Chapter 5 Production (Dedicated facilities for sensitising materials)
📌 จุดจำก่อนสอบ:
Penicillin, Beta-lactam, Cytotoxic, Cephalosporin = ต้องใช้ Dedicated facility (แยกอาคาร + แยกระบบ HVAC อิสระเด็ดขาด)</t>
        </is>
      </c>
      <c r="K13" s="2" t="n"/>
      <c r="L13" s="2" t="inlineStr">
        <is>
          <t>GMP Facility Design &amp; Cross-Contamination</t>
        </is>
      </c>
      <c r="M13" s="2" t="inlineStr">
        <is>
          <t>Product</t>
        </is>
      </c>
      <c r="N13" s="2" t="inlineStr">
        <is>
          <t>ข้อสอบเก่า 2566 Day 2 ข้อ 76</t>
        </is>
      </c>
      <c r="O13" s="2" t="inlineStr">
        <is>
          <t>ข้อสอบเก่า</t>
        </is>
      </c>
      <c r="P13" s="8" t="inlineStr">
        <is>
          <t>2566</t>
        </is>
      </c>
      <c r="Q13" s="2" t="n"/>
      <c r="R13" s="2" t="n"/>
      <c r="S13" s="2" t="n"/>
      <c r="T13" s="2" t="n"/>
      <c r="U13" s="2" t="n"/>
    </row>
    <row r="14" ht="13.2" customHeight="1" s="37">
      <c r="A14" s="46" t="n">
        <v>12</v>
      </c>
      <c r="B14" s="45" t="inlineStr">
        <is>
          <t>จากตำรับน้ำตาเทียม (จำไม่ได้) หากไม่มี Hydroxypropyl-guar สามารถใช้สารในข้อใดทำน้าที่แทนได้</t>
        </is>
      </c>
      <c r="C14" s="46" t="n"/>
      <c r="D14" s="45" t="inlineStr">
        <is>
          <t>ethyl cellulose</t>
        </is>
      </c>
      <c r="E14" s="45" t="inlineStr">
        <is>
          <t>Cellulose acetate</t>
        </is>
      </c>
      <c r="F14" s="45" t="inlineStr">
        <is>
          <t>Polysorbate 80</t>
        </is>
      </c>
      <c r="G14" s="45" t="inlineStr">
        <is>
          <t>Sorbitol</t>
        </is>
      </c>
      <c r="H14" s="45" t="inlineStr">
        <is>
          <t>PVA</t>
        </is>
      </c>
      <c r="I14" s="46" t="n">
        <v>1</v>
      </c>
      <c r="J14" s="45" t="inlineStr">
        <is>
          <t>✅ คำตอบที่ถูกต้อง: ข้อ ก. ethyl cellulose
💡 Background:
คำถามข้อสอบจริงใบประกอบวิชาชีพ PLE-CC 1 (Product) ปี 2567 ข้อ 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4" s="46" t="n"/>
      <c r="L14" s="45" t="inlineStr">
        <is>
          <t>Pharmaceutical Technology General</t>
        </is>
      </c>
      <c r="M14" s="46" t="inlineStr">
        <is>
          <t>Product</t>
        </is>
      </c>
      <c r="N14" s="45" t="inlineStr">
        <is>
          <t>ข้อสอบจริง Product ปี 2567 ข้อ 6</t>
        </is>
      </c>
      <c r="O14" s="46" t="inlineStr">
        <is>
          <t>ข้อสอบจริง</t>
        </is>
      </c>
      <c r="P14" s="46" t="inlineStr">
        <is>
          <t>ปี 2567</t>
        </is>
      </c>
      <c r="Q14" s="2" t="n"/>
      <c r="R14" s="2" t="n"/>
      <c r="S14" s="2" t="n"/>
      <c r="T14" s="2" t="n"/>
      <c r="U14" s="2" t="n"/>
    </row>
    <row r="15" ht="13.2" customHeight="1" s="37">
      <c r="A15" s="46" t="n">
        <v>13</v>
      </c>
      <c r="B15" s="45" t="inlineStr">
        <is>
          <t>Ferrous Sulfate \ 7H2O หาน้ำในตำรับต้องใช้วิธีทดสอบใด</t>
        </is>
      </c>
      <c r="C15" s="46" t="n"/>
      <c r="D15" s="45" t="inlineStr">
        <is>
          <t>KARL FISHER</t>
        </is>
      </c>
      <c r="E15" s="45" t="inlineStr">
        <is>
          <t>Loss on drying</t>
        </is>
      </c>
      <c r="F15" s="45" t="inlineStr"/>
      <c r="G15" s="45" t="inlineStr"/>
      <c r="H15" s="45" t="inlineStr"/>
      <c r="I15" s="46" t="n">
        <v>1</v>
      </c>
      <c r="J15" s="45" t="inlineStr">
        <is>
          <t>✅ คำตอบที่ถูกต้อง: ข้อ ก. KARL FISHER
💡 Background:
คำถามข้อสอบจริงใบประกอบวิชาชีพ PLE-CC 1 (Product) ปี 2567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5" s="46" t="n"/>
      <c r="L15" s="45" t="inlineStr">
        <is>
          <t>Pharmaceutical Technology General</t>
        </is>
      </c>
      <c r="M15" s="46" t="inlineStr">
        <is>
          <t>Product</t>
        </is>
      </c>
      <c r="N15" s="45" t="inlineStr">
        <is>
          <t>ข้อสอบจริง Product ปี 2567 ข้อ 7</t>
        </is>
      </c>
      <c r="O15" s="46" t="inlineStr">
        <is>
          <t>ข้อสอบจริง</t>
        </is>
      </c>
      <c r="P15" s="46" t="inlineStr">
        <is>
          <t>ปี 2567</t>
        </is>
      </c>
      <c r="Q15" s="2" t="n"/>
      <c r="R15" s="2" t="n"/>
      <c r="S15" s="2" t="n"/>
      <c r="T15" s="2" t="n"/>
      <c r="U15" s="2" t="n"/>
    </row>
    <row r="16" ht="13.2" customHeight="1" s="37">
      <c r="A16" s="46" t="n">
        <v>14</v>
      </c>
      <c r="B16" s="45" t="inlineStr">
        <is>
          <t>จากการศึกษา cohort study เกี่ยกับการใช้ ACEI ลดคามดันกับอาการไอ [แนบรูป: ข้อสอบ Product ปี 2567 รหัสรูปภาพ image2] จงา relative risk ของอาการไอกับการใช้ยา ACEIs</t>
        </is>
      </c>
      <c r="C16" s="46" t="inlineStr">
        <is>
          <t>[แนบรูป: ข้อสอบ Product ปี 2567 รหัสรูปภาพ image2]</t>
        </is>
      </c>
      <c r="D16" s="45" t="inlineStr">
        <is>
          <t>3.59</t>
        </is>
      </c>
      <c r="E16" s="45" t="inlineStr">
        <is>
          <t>3.33</t>
        </is>
      </c>
      <c r="F16" s="45" t="inlineStr">
        <is>
          <t>0.28</t>
        </is>
      </c>
      <c r="G16" s="45" t="inlineStr">
        <is>
          <t>2.69</t>
        </is>
      </c>
      <c r="H16" s="45" t="inlineStr">
        <is>
          <t>0.3</t>
        </is>
      </c>
      <c r="I16" s="46" t="n">
        <v>1</v>
      </c>
      <c r="J16" s="45" t="inlineStr">
        <is>
          <t>✅ คำตอบที่ถูกต้อง: ข้อ ก. 3.59
💡 Background:
คำถามข้อสอบจริงใบประกอบวิชาชีพ PLE-CC 1 (Product) ปี 2567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6" s="46" t="n"/>
      <c r="L16" s="45" t="inlineStr">
        <is>
          <t>Pharmaceutical Technology General</t>
        </is>
      </c>
      <c r="M16" s="46" t="inlineStr">
        <is>
          <t>Product</t>
        </is>
      </c>
      <c r="N16" s="45" t="inlineStr">
        <is>
          <t>ข้อสอบจริง Product ปี 2567 ข้อ 9</t>
        </is>
      </c>
      <c r="O16" s="46" t="inlineStr">
        <is>
          <t>ข้อสอบจริง</t>
        </is>
      </c>
      <c r="P16" s="46" t="inlineStr">
        <is>
          <t>ปี 2567</t>
        </is>
      </c>
      <c r="Q16" s="2" t="n"/>
      <c r="R16" s="2" t="n"/>
      <c r="S16" s="2" t="n"/>
      <c r="T16" s="2" t="n"/>
      <c r="U16" s="2" t="n"/>
    </row>
    <row r="17" ht="13.2" customHeight="1" s="37">
      <c r="A17" s="46" t="n">
        <v>15</v>
      </c>
      <c r="B17" s="45" t="inlineStr">
        <is>
          <t>ข้อใดเป็นการเพิ่มความยืดหยุ่นใน nicotine gum</t>
        </is>
      </c>
      <c r="C17" s="46" t="n"/>
      <c r="D17" s="45" t="inlineStr">
        <is>
          <t>Sodium sulfate</t>
        </is>
      </c>
      <c r="E17" s="45" t="inlineStr">
        <is>
          <t>Glycerin</t>
        </is>
      </c>
      <c r="F17" s="45" t="inlineStr">
        <is>
          <t>Sorbitol</t>
        </is>
      </c>
      <c r="G17" s="45" t="inlineStr">
        <is>
          <t>Aspartame</t>
        </is>
      </c>
      <c r="H17" s="45" t="inlineStr">
        <is>
          <t>Polacrilex (cation exchange resin)</t>
        </is>
      </c>
      <c r="I17" s="46" t="n">
        <v>1</v>
      </c>
      <c r="J17" s="45" t="inlineStr">
        <is>
          <t>✅ คำตอบที่ถูกต้อง: ข้อ ก. Sodium sulfate
💡 Background:
คำถามข้อสอบจริงใบประกอบวิชาชีพ PLE-CC 1 (Product) ปี 2567 ข้อ 16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7" s="46" t="n"/>
      <c r="L17" s="45" t="inlineStr">
        <is>
          <t>Pharmaceutical Technology General</t>
        </is>
      </c>
      <c r="M17" s="46" t="inlineStr">
        <is>
          <t>Product</t>
        </is>
      </c>
      <c r="N17" s="45" t="inlineStr">
        <is>
          <t>ข้อสอบจริง Product ปี 2567 ข้อ 16</t>
        </is>
      </c>
      <c r="O17" s="46" t="inlineStr">
        <is>
          <t>ข้อสอบจริง</t>
        </is>
      </c>
      <c r="P17" s="46" t="inlineStr">
        <is>
          <t>ปี 2567</t>
        </is>
      </c>
      <c r="Q17" s="2" t="n"/>
      <c r="R17" s="2" t="n"/>
      <c r="S17" s="2" t="n"/>
      <c r="T17" s="2" t="n"/>
      <c r="U17" s="2" t="n"/>
    </row>
    <row r="18">
      <c r="A18" s="46" t="n">
        <v>16</v>
      </c>
      <c r="B18" s="45" t="inlineStr">
        <is>
          <t>แพทย์สอบถามเกี่ยกับการใช้ยา methimazole ในหญิงตั้งครรภ์ ถ้าไปสืบค้นโดยใช้ Micromedex, comp ถามว่าเป็นแหล่งข้อมูลแบบใด</t>
        </is>
      </c>
      <c r="C18" s="46" t="n"/>
      <c r="D18" s="45" t="inlineStr">
        <is>
          <t>Secondary resources</t>
        </is>
      </c>
      <c r="E18" s="45" t="inlineStr">
        <is>
          <t>Primary resources</t>
        </is>
      </c>
      <c r="F18" s="45" t="inlineStr">
        <is>
          <t>Secondary และ tertiary</t>
        </is>
      </c>
      <c r="G18" s="45" t="inlineStr">
        <is>
          <t>Tertiary resources</t>
        </is>
      </c>
      <c r="H18" s="45" t="inlineStr">
        <is>
          <t>Primary และ secondary</t>
        </is>
      </c>
      <c r="I18" s="46" t="n">
        <v>1</v>
      </c>
      <c r="J18" s="45" t="inlineStr">
        <is>
          <t>✅ คำตอบที่ถูกต้อง: ข้อ ก. Secondary resources
💡 Background:
คำถามข้อสอบจริงใบประกอบวิชาชีพ PLE-CC 1 (Product) ปี 2567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8" s="46" t="n"/>
      <c r="L18" s="45" t="inlineStr">
        <is>
          <t>Pharmaceutical Technology General</t>
        </is>
      </c>
      <c r="M18" s="46" t="inlineStr">
        <is>
          <t>Product</t>
        </is>
      </c>
      <c r="N18" s="45" t="inlineStr">
        <is>
          <t>ข้อสอบจริง Product ปี 2567 ข้อ 20</t>
        </is>
      </c>
      <c r="O18" s="46" t="inlineStr">
        <is>
          <t>ข้อสอบจริง</t>
        </is>
      </c>
      <c r="P18" s="46" t="inlineStr">
        <is>
          <t>ปี 2567</t>
        </is>
      </c>
    </row>
    <row r="19">
      <c r="A19" s="46" t="n">
        <v>17</v>
      </c>
      <c r="B19" s="45" t="inlineStr">
        <is>
          <t>ถ้าอยากป้องกันไม่ให้ความชื้นออกจากผิว (occlusive) ต้องเติมสารใด</t>
        </is>
      </c>
      <c r="C19" s="46" t="n"/>
      <c r="D19" s="45" t="inlineStr">
        <is>
          <t>Glycerin</t>
        </is>
      </c>
      <c r="E19" s="45" t="inlineStr">
        <is>
          <t>Sorbitol</t>
        </is>
      </c>
      <c r="F19" s="45" t="inlineStr">
        <is>
          <t>White paraffin</t>
        </is>
      </c>
      <c r="G19" s="45" t="inlineStr">
        <is>
          <t>hyaluronic acid</t>
        </is>
      </c>
      <c r="H19" s="45" t="inlineStr">
        <is>
          <t>niacinamide</t>
        </is>
      </c>
      <c r="I19" s="46" t="n">
        <v>1</v>
      </c>
      <c r="J19" s="45" t="inlineStr">
        <is>
          <t>✅ คำตอบที่ถูกต้อง: ข้อ ก. Glycerin
💡 Background:
คำถามข้อสอบจริงใบประกอบวิชาชีพ PLE-CC 1 (Product) ปี 2567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9" s="46" t="n"/>
      <c r="L19" s="45" t="inlineStr">
        <is>
          <t>Pharmaceutical Technology General</t>
        </is>
      </c>
      <c r="M19" s="46" t="inlineStr">
        <is>
          <t>Product</t>
        </is>
      </c>
      <c r="N19" s="45" t="inlineStr">
        <is>
          <t>ข้อสอบจริง Product ปี 2567 ข้อ 26</t>
        </is>
      </c>
      <c r="O19" s="46" t="inlineStr">
        <is>
          <t>ข้อสอบจริง</t>
        </is>
      </c>
      <c r="P19" s="46" t="inlineStr">
        <is>
          <t>ปี 2567</t>
        </is>
      </c>
    </row>
    <row r="20">
      <c r="A20" s="46" t="n">
        <v>18</v>
      </c>
      <c r="B20" s="45" t="inlineStr">
        <is>
          <t>หากต้องการให้ยาปลดปล่อยทันทีในกระเพาะอาารและลำไส้เล็ก (Immediate release) ต้องใช้สารในข้อใดเป็นสารเคลือบ</t>
        </is>
      </c>
      <c r="C20" s="46" t="n"/>
      <c r="D20" s="45" t="inlineStr">
        <is>
          <t>Cellulose acetate</t>
        </is>
      </c>
      <c r="E20" s="45" t="inlineStr">
        <is>
          <t>Phthalate</t>
        </is>
      </c>
      <c r="F20" s="45" t="inlineStr">
        <is>
          <t>Shellac</t>
        </is>
      </c>
      <c r="G20" s="45" t="inlineStr">
        <is>
          <t>ethyl cellulose</t>
        </is>
      </c>
      <c r="H20" s="45" t="inlineStr">
        <is>
          <t>PVA</t>
        </is>
      </c>
      <c r="I20" s="46" t="n">
        <v>1</v>
      </c>
      <c r="J20" s="45" t="inlineStr">
        <is>
          <t>✅ คำตอบที่ถูกต้อง: ข้อ ก. Cellulose acetate
💡 Background:
คำถามข้อสอบจริงใบประกอบวิชาชีพ PLE-CC 1 (Product) ปี 2567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0" s="46" t="n"/>
      <c r="L20" s="45" t="inlineStr">
        <is>
          <t>Pharmaceutical Technology General</t>
        </is>
      </c>
      <c r="M20" s="46" t="inlineStr">
        <is>
          <t>Product</t>
        </is>
      </c>
      <c r="N20" s="45" t="inlineStr">
        <is>
          <t>ข้อสอบจริง Product ปี 2567 ข้อ 28</t>
        </is>
      </c>
      <c r="O20" s="46" t="inlineStr">
        <is>
          <t>ข้อสอบจริง</t>
        </is>
      </c>
      <c r="P20" s="46" t="inlineStr">
        <is>
          <t>ปี 2567</t>
        </is>
      </c>
    </row>
    <row r="21">
      <c r="A21" s="46" t="n">
        <v>19</v>
      </c>
      <c r="B21" s="45" t="inlineStr">
        <is>
          <t>ชายอายุ 28 ปี มาขอซื้อยา tramadol เพื่อบรรเทาอาการปวดของโรคประจำตัว และต้องการพกติดตัวไปต่างประเทศ เภสัชกรจึงจ่ายยาให้ไป 30 เม็ด พร้อมเขียนข้อบ่งใช้วิธีบริหารยาและข้อควรระวัง จากสถานการณ์ดังกล่าวข้อใดถูกต้อง</t>
        </is>
      </c>
      <c r="C21" s="46" t="n"/>
      <c r="D21" s="45" t="inlineStr">
        <is>
          <t>สามารถขายได้ ไม่ผิดกฎมาย ผิดจรรยาบรรณ</t>
        </is>
      </c>
      <c r="E21" s="45" t="inlineStr">
        <is>
          <t>ไม่สามารถขายได้ ผิดกฎมาย ผิดจรรยาบรรณ</t>
        </is>
      </c>
      <c r="F21" s="45" t="inlineStr">
        <is>
          <t>สามารถขายได้ ไม่ผิดกฎมาย ไม่ผิดจรรยาบรรณ</t>
        </is>
      </c>
      <c r="G21" s="45" t="inlineStr">
        <is>
          <t>ไม่สามารถขายได้ ผิดกฎมาย ไม่ผิดจรรยาบรรณ</t>
        </is>
      </c>
      <c r="H21" s="45" t="inlineStr">
        <is>
          <t>ไม่สามารถขายได้ ไม่ผิดกฎมาย ผิดจรรยาบรรณ # ข้อสอบจริง PLE CC 1 (Product) ปี 2567 # --- #</t>
        </is>
      </c>
      <c r="I21" s="46" t="n">
        <v>1</v>
      </c>
      <c r="J21" s="45" t="inlineStr">
        <is>
          <t>✅ คำตอบที่ถูกต้อง: ข้อ ก. สามารถขายได้ ไม่ผิดกฎมาย ผิดจรรยาบรรณ
💡 Background:
คำถามข้อสอบจริงใบประกอบวิชาชีพ PLE-CC 1 (Product) ปี 2567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1" s="46" t="n"/>
      <c r="L21" s="45" t="inlineStr">
        <is>
          <t>Pharmaceutical Technology General</t>
        </is>
      </c>
      <c r="M21" s="46" t="inlineStr">
        <is>
          <t>Product</t>
        </is>
      </c>
      <c r="N21" s="45" t="inlineStr">
        <is>
          <t>ข้อสอบจริง Product ปี 2567 ข้อ 38</t>
        </is>
      </c>
      <c r="O21" s="46" t="inlineStr">
        <is>
          <t>ข้อสอบจริง</t>
        </is>
      </c>
      <c r="P21" s="46" t="inlineStr">
        <is>
          <t>ปี 2567</t>
        </is>
      </c>
    </row>
    <row r="22">
      <c r="A22" s="46" t="n">
        <v>20</v>
      </c>
      <c r="B22" s="45" t="inlineStr">
        <is>
          <t>(ปี 2566, Day 2 ข้อ 41\) (เรื่อง: ยาที่ห้ามขายแบบ self-service) ยาใดห้ามขายในส่วนบริการตนเองในร้านยา</t>
        </is>
      </c>
      <c r="C22" s="46" t="n"/>
      <c r="D22" s="45" t="inlineStr">
        <is>
          <t>Niclosamide</t>
        </is>
      </c>
      <c r="E22" s="45" t="inlineStr">
        <is>
          <t>CPM</t>
        </is>
      </c>
      <c r="F22" s="45" t="inlineStr">
        <is>
          <t>Paracetamol เหตุผล: Niclosamide เป็นยาถ่ายพยาธิตัวตืดที่ต้องอาศัยการวินิจฉัยแยกโรคก่อนใช้ ไม่เหมาะให้ผู้บริโภคเลือกซื้อเองในชั้นวางแบบ self-selection</t>
        </is>
      </c>
      <c r="G22" s="45" t="inlineStr"/>
      <c r="H22" s="45" t="inlineStr"/>
      <c r="I22" s="46" t="n">
        <v>1</v>
      </c>
      <c r="J22" s="45" t="inlineStr">
        <is>
          <t>✅ คำตอบที่ถูกต้อง: ข้อ ก. Niclosamide
💡 Background:
คำถามข้อสอบจริงใบประกอบวิชาชีพ PLE-CC 1 (Product) ปี 2566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2" s="46" t="n"/>
      <c r="L22" s="45" t="inlineStr">
        <is>
          <t>Pharmaceutical Technology General</t>
        </is>
      </c>
      <c r="M22" s="46" t="inlineStr">
        <is>
          <t>Product</t>
        </is>
      </c>
      <c r="N22" s="45" t="inlineStr">
        <is>
          <t>ข้อสอบจริง Product ปี 2566 ข้อ 14</t>
        </is>
      </c>
      <c r="O22" s="46" t="inlineStr">
        <is>
          <t>ข้อสอบจริง</t>
        </is>
      </c>
      <c r="P22" s="46" t="inlineStr">
        <is>
          <t>ปี 2566</t>
        </is>
      </c>
    </row>
    <row r="23">
      <c r="A23" s="46" t="n">
        <v>21</v>
      </c>
      <c r="B23" s="45" t="inlineStr">
        <is>
          <t>(ปี 2566, Day 2 ข้อ 44\) (เรื่อง: บรรจุภัณฑ์ Albendazole ที่ไวความชื้นมาก) บรรจุภัณฑ์ของ albendazole ที่ไวต่อความชื้นมากๆ ควรเป็นอะไร</t>
        </is>
      </c>
      <c r="C23" s="46" t="n"/>
      <c r="D23" s="45" t="inlineStr">
        <is>
          <t>ขวดพลาสติกใส่ซองกันชื้น</t>
        </is>
      </c>
      <c r="E23" s="45" t="inlineStr">
        <is>
          <t>ขวดแก้วสีชาใส่ซองกันชื้น</t>
        </is>
      </c>
      <c r="F23" s="45" t="inlineStr">
        <is>
          <t>ขวดแก้วใส่ซองกันชื้น</t>
        </is>
      </c>
      <c r="G23" s="45" t="inlineStr">
        <is>
          <t>แผงด้านนึงเป็น aluminium foil อีกด้านใส เป็นPEมั้ง</t>
        </is>
      </c>
      <c r="H23" s="45" t="inlineStr">
        <is>
          <t>แผงทั้งสองด้านเป็น aluminium foil เหตุผล: Alu-Alu blister กันความชื้นได้ดีที่สุดในบรรดาตัวเลือก (ดีกว่าฟอยล์ด้านเดียว หรือขวดพลาสติก/แก้วที่ยังมีช่องให้ความชื้นผ่านได้บ้างแม้ใส่สารกันชื้น)</t>
        </is>
      </c>
      <c r="I23" s="46" t="n">
        <v>1</v>
      </c>
      <c r="J23" s="45" t="inlineStr">
        <is>
          <t>✅ คำตอบที่ถูกต้อง: ข้อ ก. ขวดพลาสติกใส่ซองกันชื้น
💡 Background:
คำถามข้อสอบจริงใบประกอบวิชาชีพ PLE-CC 1 (Product) ปี 2566 ข้อ 16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3" s="46" t="n"/>
      <c r="L23" s="45" t="inlineStr">
        <is>
          <t>Preformulation &amp; Good Manufacturing Practice</t>
        </is>
      </c>
      <c r="M23" s="46" t="inlineStr">
        <is>
          <t>Product</t>
        </is>
      </c>
      <c r="N23" s="45" t="inlineStr">
        <is>
          <t>ข้อสอบจริง Product ปี 2566 ข้อ 16</t>
        </is>
      </c>
      <c r="O23" s="46" t="inlineStr">
        <is>
          <t>ข้อสอบจริง</t>
        </is>
      </c>
      <c r="P23" s="46" t="inlineStr">
        <is>
          <t>ปี 2566</t>
        </is>
      </c>
    </row>
    <row r="24">
      <c r="A24" s="46" t="n">
        <v>22</v>
      </c>
      <c r="B24" s="45" t="inlineStr">
        <is>
          <t>(ปี 2566, Day 2 ข้อ 49\) (เรื่อง: White Petrolatum เป็น Base ชนิดใด) ตำรับมี White petrolatum ถามว่าเป็น base ชนิดใด</t>
        </is>
      </c>
      <c r="C24" s="46" t="n"/>
      <c r="D24" s="45" t="inlineStr">
        <is>
          <t>Hydrophilic base</t>
        </is>
      </c>
      <c r="E24" s="45" t="inlineStr">
        <is>
          <t>Absorbtion base</t>
        </is>
      </c>
      <c r="F24" s="45" t="inlineStr">
        <is>
          <t>Oleaginous base เหตุผล: Petrolatum เป็น hydrocarbon ที่ไม่มีน้ำ ไม่ผสมน้ำ จัดเป็น oleaginous base ที่เป็นไขมันล้วนๆ</t>
        </is>
      </c>
      <c r="G24" s="45" t="inlineStr"/>
      <c r="H24" s="45" t="inlineStr"/>
      <c r="I24" s="46" t="n">
        <v>1</v>
      </c>
      <c r="J24" s="45" t="inlineStr">
        <is>
          <t>✅ คำตอบที่ถูกต้อง: ข้อ ก. Hydrophilic base
💡 Background:
คำถามข้อสอบจริงใบประกอบวิชาชีพ PLE-CC 1 (Product) ปี 2566 ข้อ 19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4" s="46" t="n"/>
      <c r="L24" s="45" t="inlineStr">
        <is>
          <t>Pharmaceutical Technology General</t>
        </is>
      </c>
      <c r="M24" s="46" t="inlineStr">
        <is>
          <t>Product</t>
        </is>
      </c>
      <c r="N24" s="45" t="inlineStr">
        <is>
          <t>ข้อสอบจริง Product ปี 2566 ข้อ 19</t>
        </is>
      </c>
      <c r="O24" s="46" t="inlineStr">
        <is>
          <t>ข้อสอบจริง</t>
        </is>
      </c>
      <c r="P24" s="46" t="inlineStr">
        <is>
          <t>ปี 2566</t>
        </is>
      </c>
    </row>
    <row r="25">
      <c r="A25" s="46" t="n">
        <v>23</v>
      </c>
      <c r="B25" s="45" t="inlineStr">
        <is>
          <t>(ปี 2566, Day 2 ข้อ 76\) (เรื่อง: PIC/S GMP - สถานที่ผลิต Penicillin) ถ้าสถานที่ผลิตยาหนึ่งมี Penicillin ต้องจัดการสถานที่อย่างไรตาม PIC/S GMP</t>
        </is>
      </c>
      <c r="C25" s="46" t="n"/>
      <c r="D25" s="45" t="inlineStr">
        <is>
          <t>ผลิตที่เดียวกะนได้</t>
        </is>
      </c>
      <c r="E25" s="45" t="inlineStr">
        <is>
          <t>แยกตึกแต่ใช้ utility ร่วมกันได้</t>
        </is>
      </c>
      <c r="F25" s="45" t="inlineStr">
        <is>
          <t>แยกตึกและแยก utility</t>
        </is>
      </c>
      <c r="G25" s="45" t="inlineStr">
        <is>
          <t>ตั้งสถานที่ให้ห่างกัน 10 โล เหตุผล: Penicillin/beta-lactam เป็นกลุ่มที่ก่อภูมิแพ้รุนแรงได้แม้สัมผัสปริมาณน้อย GMP กำหนดให้ต้องมีอาคารและระบบสาธารณูปโภค (อากาศ/น้ำ) แยกจากผลิตภัณฑ์อื่นโดยเด็ดขาด</t>
        </is>
      </c>
      <c r="H25" s="45" t="inlineStr"/>
      <c r="I25" s="46" t="n">
        <v>1</v>
      </c>
      <c r="J25" s="45" t="inlineStr">
        <is>
          <t>✅ คำตอบที่ถูกต้อง: ข้อ ก. ผลิตที่เดียวกะนได้
💡 Background:
คำถามข้อสอบจริงใบประกอบวิชาชีพ PLE-CC 1 (Product) ปี 2566 ข้อ 26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5" s="46" t="n"/>
      <c r="L25" s="45" t="inlineStr">
        <is>
          <t>Preformulation &amp; Good Manufacturing Practice</t>
        </is>
      </c>
      <c r="M25" s="46" t="inlineStr">
        <is>
          <t>Product</t>
        </is>
      </c>
      <c r="N25" s="45" t="inlineStr">
        <is>
          <t>ข้อสอบจริง Product ปี 2566 ข้อ 26</t>
        </is>
      </c>
      <c r="O25" s="46" t="inlineStr">
        <is>
          <t>ข้อสอบจริง</t>
        </is>
      </c>
      <c r="P25" s="46" t="inlineStr">
        <is>
          <t>ปี 2566</t>
        </is>
      </c>
    </row>
    <row r="26">
      <c r="A26" s="46" t="n">
        <v>24</v>
      </c>
      <c r="B26" s="45" t="inlineStr">
        <is>
          <t>(ปี 2566, Day 2 ข้อ 77\) (เรื่อง: สารก่อฟิล์มในตำรับ) ให้สูตรตำรับมา ถามว่าข้อไหนเป็นสารก่อฟิล์ม</t>
        </is>
      </c>
      <c r="C26" s="46" t="n"/>
      <c r="D26" s="45" t="inlineStr">
        <is>
          <t>Hypromellose</t>
        </is>
      </c>
      <c r="E26" s="45" t="inlineStr">
        <is>
          <t>PEG เหตุผล: Hypromellose เป็นพอลิเมอร์หลักที่ใช้เคลือบฟิล์ม (film-former) ส่วน PEG มักทำหน้าที่เป็น plasticizer มากกว่า</t>
        </is>
      </c>
      <c r="F26" s="45" t="inlineStr"/>
      <c r="G26" s="45" t="inlineStr"/>
      <c r="H26" s="45" t="inlineStr"/>
      <c r="I26" s="46" t="n">
        <v>1</v>
      </c>
      <c r="J26" s="45" t="inlineStr">
        <is>
          <t>✅ คำตอบที่ถูกต้อง: ข้อ ก. Hypromellose
💡 Background:
คำถามข้อสอบจริงใบประกอบวิชาชีพ PLE-CC 1 (Product) ปี 2566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6" s="46" t="n"/>
      <c r="L26" s="45" t="inlineStr">
        <is>
          <t>Pharmaceutical Technology General</t>
        </is>
      </c>
      <c r="M26" s="46" t="inlineStr">
        <is>
          <t>Product</t>
        </is>
      </c>
      <c r="N26" s="45" t="inlineStr">
        <is>
          <t>ข้อสอบจริง Product ปี 2566 ข้อ 27</t>
        </is>
      </c>
      <c r="O26" s="46" t="inlineStr">
        <is>
          <t>ข้อสอบจริง</t>
        </is>
      </c>
      <c r="P26" s="46" t="inlineStr">
        <is>
          <t>ปี 2566</t>
        </is>
      </c>
    </row>
    <row r="27">
      <c r="A27" s="46" t="n">
        <v>25</v>
      </c>
      <c r="B27" s="45" t="inlineStr">
        <is>
          <t>(ปี 2566, Day 2 ข้อ 82\) (เรื่อง: ยาอมแก้เจ็บคอ - ตัวช่วยลดเจ็บคอ) ตำรับยาอมแก้เจ็บคอมี Benzyl alcohol, Cresol, และยาชาลงท้ายด้วย "-caine" ตัวใดช่วยลดเจ็บคอโดยตรง</t>
        </is>
      </c>
      <c r="C27" s="46" t="n"/>
      <c r="D27" s="45" t="inlineStr">
        <is>
          <t>Benzyl alcohol</t>
        </is>
      </c>
      <c r="E27" s="45" t="inlineStr">
        <is>
          <t>-Cresol</t>
        </is>
      </c>
      <c r="F27" s="45" t="inlineStr">
        <is>
          <t>-caine เหตุผล: กลุ่ม -caine ออกฤทธิ์ชาเฉพาะที่โดยตรง บรรเทาอาการเจ็บคอทันที ส่วน Benzyl alcohol/Cresol มักทำหน้าที่ระงับเชื้อ/กันเสียมากกว่า</t>
        </is>
      </c>
      <c r="G27" s="45" t="inlineStr"/>
      <c r="H27" s="45" t="inlineStr"/>
      <c r="I27" s="46" t="n">
        <v>1</v>
      </c>
      <c r="J27" s="45" t="inlineStr">
        <is>
          <t>✅ คำตอบที่ถูกต้อง: ข้อ ก. Benzyl alcohol
💡 Background:
คำถามข้อสอบจริงใบประกอบวิชาชีพ PLE-CC 1 (Product) ปี 2566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7" s="46" t="n"/>
      <c r="L27" s="45" t="inlineStr">
        <is>
          <t>Pharmaceutical Technology General</t>
        </is>
      </c>
      <c r="M27" s="46" t="inlineStr">
        <is>
          <t>Product</t>
        </is>
      </c>
      <c r="N27" s="45" t="inlineStr">
        <is>
          <t>ข้อสอบจริง Product ปี 2566 ข้อ 32</t>
        </is>
      </c>
      <c r="O27" s="46" t="inlineStr">
        <is>
          <t>ข้อสอบจริง</t>
        </is>
      </c>
      <c r="P27" s="46" t="inlineStr">
        <is>
          <t>ปี 2566</t>
        </is>
      </c>
    </row>
    <row r="28">
      <c r="A28" s="46" t="n">
        <v>26</v>
      </c>
      <c r="B28" s="45" t="inlineStr">
        <is>
          <t>(ปี 2566, Day 2 ข้อ 96\) (เรื่อง: สภาวะทดสอบ Stability แบบเร่ง - ประเทศไทย) ในประเทศไทย ถ้าจะทดสอบ stability ของยาในสภาวะเร่ง ต้องทำที่ condition ใด</t>
        </is>
      </c>
      <c r="C28" s="46" t="n"/>
      <c r="D28" s="45" t="inlineStr">
        <is>
          <t>25 ± 2, 65%RH ± 5</t>
        </is>
      </c>
      <c r="E28" s="45" t="inlineStr">
        <is>
          <t>30 ± 2, 65%RH ± 5</t>
        </is>
      </c>
      <c r="F28" s="45" t="inlineStr">
        <is>
          <t>30 ± 2, 75%RH ± 5</t>
        </is>
      </c>
      <c r="G28" s="45" t="inlineStr">
        <is>
          <t>40 ± 2, 65%RH ± 5</t>
        </is>
      </c>
      <c r="H28" s="45" t="inlineStr">
        <is>
          <t>40 ± 2, 75%RH ± 5 เหตุผล: ประเทศไทยจัดอยู่ใน Climatic Zone IVb ตามแนวทาง ASEAN — สภาวะเร่ง (Accelerated) มาตรฐานคือ 40°C±2 / 75%RH±5</t>
        </is>
      </c>
      <c r="I28" s="46" t="n">
        <v>4</v>
      </c>
      <c r="J28" s="45" t="inlineStr">
        <is>
          <t>✅ คำตอบที่ถูกต้อง: ข้อ ง. 40 ± 2, 65%RH ± 5
💡 Background:
คำถามข้อสอบจริงใบประกอบวิชาชีพ PLE-CC 1 (Product) ปี 2566 ข้อ 40
🎯 ทำไมข้อนี้ถึงถูก:
ข้อ ง.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8" s="46" t="n"/>
      <c r="L28" s="45" t="inlineStr">
        <is>
          <t>Preformulation &amp; Good Manufacturing Practice</t>
        </is>
      </c>
      <c r="M28" s="46" t="inlineStr">
        <is>
          <t>Product</t>
        </is>
      </c>
      <c r="N28" s="45" t="inlineStr">
        <is>
          <t>ข้อสอบจริง Product ปี 2566 ข้อ 40</t>
        </is>
      </c>
      <c r="O28" s="46" t="inlineStr">
        <is>
          <t>ข้อสอบจริง</t>
        </is>
      </c>
      <c r="P28" s="46" t="inlineStr">
        <is>
          <t>ปี 2566</t>
        </is>
      </c>
    </row>
    <row r="29">
      <c r="A29" s="46" t="n">
        <v>27</v>
      </c>
      <c r="B29" s="45" t="inlineStr">
        <is>
          <t>(ปี 2566, Day 2 ข้อ 99\) (เรื่อง: เครื่องผสมสำหรับยาไวแสง/ความชื้น/ความร้อน) ยาไวต่อแสง ความชื้น ความร้อนมากๆ ผสมด้วยเครื่องใดดี</t>
        </is>
      </c>
      <c r="C29" s="46" t="n"/>
      <c r="D29" s="45" t="inlineStr">
        <is>
          <t>High-shear mixer</t>
        </is>
      </c>
      <c r="E29" s="45" t="inlineStr">
        <is>
          <t>Planetary mixer</t>
        </is>
      </c>
      <c r="F29" s="45" t="inlineStr">
        <is>
          <t>Cubic mixer เหตุผล: Cubic (bin/cube) mixer เป็นระบบปิดที่สามารถต่อตรงกับถังบรรจุ ลดการสัมผัสสิ่งแวดล้อมภายนอก (แสง/ความชื้น/ความร้อนจากแรงเฉือน) มากกว่า High-shear หรือ Planetary mixer ซึ่งเป็นระบบเปิดและเกิดความร้อนจากการผสมมากกว่า</t>
        </is>
      </c>
      <c r="G29" s="45" t="inlineStr"/>
      <c r="H29" s="45" t="inlineStr"/>
      <c r="I29" s="46" t="n">
        <v>3</v>
      </c>
      <c r="J29" s="45" t="inlineStr">
        <is>
          <t>✅ คำตอบที่ถูกต้อง: ข้อ ค. Cubic mixer เหตุผล: Cubic (bin/cube) mixer เป็นระบบปิดที่สามารถต่อตรงกับถังบรรจุ ลดการสัมผัสสิ่งแวดล้อมภายนอก (แสง/ความชื้น/ความร้อนจากแรงเฉือน) มากกว่า High-shear หรือ Planetary mixer ซึ่งเป็นระบบเปิดและเกิดความร้อนจากการผสมมากกว่า
💡 Background:
คำถามข้อสอบจริงใบประกอบวิชาชีพ PLE-CC 1 (Product) ปี 2566 ข้อ 43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9" s="46" t="n"/>
      <c r="L29" s="45" t="inlineStr">
        <is>
          <t>Pharmaceutical Technology General</t>
        </is>
      </c>
      <c r="M29" s="46" t="inlineStr">
        <is>
          <t>Product</t>
        </is>
      </c>
      <c r="N29" s="45" t="inlineStr">
        <is>
          <t>ข้อสอบจริง Product ปี 2566 ข้อ 43</t>
        </is>
      </c>
      <c r="O29" s="46" t="inlineStr">
        <is>
          <t>ข้อสอบจริง</t>
        </is>
      </c>
      <c r="P29" s="46" t="inlineStr">
        <is>
          <t>ปี 2566</t>
        </is>
      </c>
    </row>
    <row r="30">
      <c r="A30" s="46" t="n">
        <v>28</v>
      </c>
      <c r="B30" s="45" t="inlineStr">
        <is>
          <t>(ปี 2566, Day 2 ข้อ 100\) (เรื่อง: ความหมายของเลข PEG 400\) PEG 400 เลข 400 หมายถึงอะไร</t>
        </is>
      </c>
      <c r="C30" s="46" t="n"/>
      <c r="D30" s="45" t="inlineStr">
        <is>
          <t>MW</t>
        </is>
      </c>
      <c r="E30" s="45" t="inlineStr">
        <is>
          <t>จำนวน monomer</t>
        </is>
      </c>
      <c r="F30" s="45" t="inlineStr"/>
      <c r="G30" s="45" t="inlineStr"/>
      <c r="H30" s="45" t="inlineStr"/>
      <c r="I30" s="46" t="n">
        <v>1</v>
      </c>
      <c r="J30" s="45" t="inlineStr">
        <is>
          <t>✅ คำตอบที่ถูกต้อง: ข้อ ก. MW
💡 Background:
คำถามข้อสอบจริงใบประกอบวิชาชีพ PLE-CC 1 (Product) ปี 2566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0" s="46" t="n"/>
      <c r="L30" s="45" t="inlineStr">
        <is>
          <t>Pharmaceutical Technology General</t>
        </is>
      </c>
      <c r="M30" s="46" t="inlineStr">
        <is>
          <t>Product</t>
        </is>
      </c>
      <c r="N30" s="45" t="inlineStr">
        <is>
          <t>ข้อสอบจริง Product ปี 2566 ข้อ 44</t>
        </is>
      </c>
      <c r="O30" s="46" t="inlineStr">
        <is>
          <t>ข้อสอบจริง</t>
        </is>
      </c>
      <c r="P30" s="46" t="inlineStr">
        <is>
          <t>ปี 2566</t>
        </is>
      </c>
    </row>
    <row r="31">
      <c r="A31" s="46" t="n">
        <v>29</v>
      </c>
      <c r="B31" s="45" t="inlineStr">
        <is>
          <t>ถ้าจะทำตำรับยาน้ำ methimazole ข้อใดเป็น wetting agent ที่เหมาะสมที่สุด</t>
        </is>
      </c>
      <c r="C31" s="46" t="n"/>
      <c r="D31" s="45" t="inlineStr">
        <is>
          <t>Purified water</t>
        </is>
      </c>
      <c r="E31" s="45" t="inlineStr">
        <is>
          <t>Glycerin</t>
        </is>
      </c>
      <c r="F31" s="45" t="inlineStr">
        <is>
          <t>Mineral oil</t>
        </is>
      </c>
      <c r="G31" s="45" t="inlineStr">
        <is>
          <t>Benzyl alcohol</t>
        </is>
      </c>
      <c r="H31" s="45" t="inlineStr">
        <is>
          <t>Alcohol กรณีศึกษา 7 ผู้ป่วยมีอาการแสบท้อง ปวดลิ้นปี่ แต่ชักประวัติจริง ๆ ผู้ป่วยกินข้าวไม่ตรงเวลา กินกาแฟ ปวดประจำเดือนบ่อยเลยซื้อ ponstan มากิน</t>
        </is>
      </c>
      <c r="I31" s="46" t="n">
        <v>1</v>
      </c>
      <c r="J31" s="45" t="inlineStr">
        <is>
          <t>✅ คำตอบที่ถูกต้อง: ข้อ ก. Purified water
💡 Background:
คำถามข้อสอบจริงใบประกอบวิชาชีพ PLE-CC 1 (Product) ปี 2565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1" s="46" t="n"/>
      <c r="L31" s="45" t="inlineStr">
        <is>
          <t>Pharmaceutical Technology General</t>
        </is>
      </c>
      <c r="M31" s="46" t="inlineStr">
        <is>
          <t>Product</t>
        </is>
      </c>
      <c r="N31" s="45" t="inlineStr">
        <is>
          <t>ข้อสอบจริง Product ปี 2565 ข้อ 26</t>
        </is>
      </c>
      <c r="O31" s="46" t="inlineStr">
        <is>
          <t>ข้อสอบจริง</t>
        </is>
      </c>
      <c r="P31" s="46" t="inlineStr">
        <is>
          <t>ปี 2565</t>
        </is>
      </c>
    </row>
    <row r="32">
      <c r="A32" s="46" t="n">
        <v>30</v>
      </c>
      <c r="B32" s="45" t="inlineStr">
        <is>
          <t>ขั้นตอนสุดท้ายของการรองรับรุ่นการผลิตของวัคซีนคืออะไร</t>
        </is>
      </c>
      <c r="C32" s="46" t="n"/>
      <c r="D32" s="45" t="inlineStr">
        <is>
          <t>ไม่ต้องมี ถ้าได้ขึ้นทะเบียนยา</t>
        </is>
      </c>
      <c r="E32" s="45" t="inlineStr">
        <is>
          <t>ต้องผ่านการตรวจสอบ QC ของบริษัทยา</t>
        </is>
      </c>
      <c r="F32" s="45" t="inlineStr">
        <is>
          <t>ต้องผ่านการตรวจสอบกรมควบคุมโรค</t>
        </is>
      </c>
      <c r="G32" s="45" t="inlineStr">
        <is>
          <t>ต้องผ่านการตรวจสอบอ.ย.</t>
        </is>
      </c>
      <c r="H32" s="45" t="inlineStr">
        <is>
          <t>ต้องผ่านการตรวจสอบชีววัตถุ ของกรมวิทยาศาสตร์การแพทย์ กรณีศึกษา 14 หญิงอายุ 66 ปี มีอาการซึมเศร้า เบื่อ เป็นมา 1 เดือน มาขอคำปรึกษาที่ร้านยา</t>
        </is>
      </c>
      <c r="I32" s="46" t="n">
        <v>1</v>
      </c>
      <c r="J32" s="45" t="inlineStr">
        <is>
          <t>✅ คำตอบที่ถูกต้อง: ข้อ ก. ไม่ต้องมี ถ้าได้ขึ้นทะเบียนยา
💡 Background:
คำถามข้อสอบจริงใบประกอบวิชาชีพ PLE-CC 1 (Product) ปี 2565 ข้อ 56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2" s="46" t="n"/>
      <c r="L32" s="45" t="inlineStr">
        <is>
          <t>Pharmaceutical Technology General</t>
        </is>
      </c>
      <c r="M32" s="46" t="inlineStr">
        <is>
          <t>Product</t>
        </is>
      </c>
      <c r="N32" s="45" t="inlineStr">
        <is>
          <t>ข้อสอบจริง Product ปี 2565 ข้อ 56</t>
        </is>
      </c>
      <c r="O32" s="46" t="inlineStr">
        <is>
          <t>ข้อสอบจริง</t>
        </is>
      </c>
      <c r="P32" s="46" t="inlineStr">
        <is>
          <t>ปี 2565</t>
        </is>
      </c>
    </row>
    <row r="33">
      <c r="A33" s="46" t="n">
        <v>31</v>
      </c>
      <c r="B33" s="45" t="inlineStr">
        <is>
          <t>สารช่วยในข้อใดช่วยให้ผงยา tiotropium bromide เปียกง่ายเมื่อผงยาสัมผัสกับของเหลวในทางเดินหายใจ</t>
        </is>
      </c>
      <c r="C33" s="46" t="n"/>
      <c r="D33" s="45" t="inlineStr">
        <is>
          <t>Lecithin</t>
        </is>
      </c>
      <c r="E33" s="45" t="inlineStr">
        <is>
          <t>citric acid</t>
        </is>
      </c>
      <c r="F33" s="45" t="inlineStr">
        <is>
          <t>Alginic acid</t>
        </is>
      </c>
      <c r="G33" s="45" t="inlineStr">
        <is>
          <t>Calcium stearate</t>
        </is>
      </c>
      <c r="H33" s="45" t="inlineStr">
        <is>
          <t>titanium oxide</t>
        </is>
      </c>
      <c r="I33" s="46" t="n">
        <v>1</v>
      </c>
      <c r="J33" s="45" t="inlineStr">
        <is>
          <t>✅ คำตอบที่ถูกต้อง: ข้อ ก. Lecithin
💡 Background:
คำถามข้อสอบจริงใบประกอบวิชาชีพ PLE-CC 1 (Product) ปี 2565 ข้อ 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3" s="46" t="n"/>
      <c r="L33" s="45" t="inlineStr">
        <is>
          <t>Pharmaceutical Technology General</t>
        </is>
      </c>
      <c r="M33" s="46" t="inlineStr">
        <is>
          <t>Product</t>
        </is>
      </c>
      <c r="N33" s="45" t="inlineStr">
        <is>
          <t>ข้อสอบจริง Product ปี 2565 ข้อ 63</t>
        </is>
      </c>
      <c r="O33" s="46" t="inlineStr">
        <is>
          <t>ข้อสอบจริง</t>
        </is>
      </c>
      <c r="P33" s="46" t="inlineStr">
        <is>
          <t>ปี 2565</t>
        </is>
      </c>
    </row>
    <row r="34">
      <c r="A34" s="46" t="n">
        <v>32</v>
      </c>
      <c r="B34" s="45" t="inlineStr">
        <is>
          <t>โรงงานผลิตเม็ดยาตั้งค่าความแข็งเม็ดยาไว้ที่ 8-9 โจทย์ให้ตารางผลทดสอบมา 6 เม็ด มี 3 เม็ดที่ค่าต่ำกว่า 8 ทั้งนี้น้ำหนักผงยามีความสม่ำเสมอ สาเหตุที่ทำให้เกิดเหตุการณ์นี้</t>
        </is>
      </c>
      <c r="C34" s="46" t="n"/>
      <c r="D34" s="45" t="inlineStr">
        <is>
          <t>ความแรงในการตอกน้อยเกินไป</t>
        </is>
      </c>
      <c r="E34" s="45" t="inlineStr">
        <is>
          <t>ความแรงในการตอกมากเกินไป</t>
        </is>
      </c>
      <c r="F34" s="45" t="inlineStr">
        <is>
          <t>สารยึดเกาะไม่สม่ำเสมอ</t>
        </is>
      </c>
      <c r="G34" s="45" t="inlineStr">
        <is>
          <t>สารช่วยไหลน้อยเกินไป</t>
        </is>
      </c>
      <c r="H34" s="45" t="inlineStr">
        <is>
          <t>ความเร็วในการตอกน้อยเกินไป</t>
        </is>
      </c>
      <c r="I34" s="46" t="n">
        <v>1</v>
      </c>
      <c r="J34" s="45" t="inlineStr">
        <is>
          <t>✅ คำตอบที่ถูกต้อง: ข้อ ก. ความแรงในการตอกน้อยเกินไป
💡 Background:
คำถามข้อสอบจริงใบประกอบวิชาชีพ PLE-CC 1 (Product) ปี 2565 ข้อ 85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4" s="46" t="n"/>
      <c r="L34" s="45" t="inlineStr">
        <is>
          <t>Pharmaceutical Technology General</t>
        </is>
      </c>
      <c r="M34" s="46" t="inlineStr">
        <is>
          <t>Product</t>
        </is>
      </c>
      <c r="N34" s="45" t="inlineStr">
        <is>
          <t>ข้อสอบจริง Product ปี 2565 ข้อ 85</t>
        </is>
      </c>
      <c r="O34" s="46" t="inlineStr">
        <is>
          <t>ข้อสอบจริง</t>
        </is>
      </c>
      <c r="P34" s="46" t="inlineStr">
        <is>
          <t>ปี 2565</t>
        </is>
      </c>
    </row>
    <row r="35">
      <c r="A35" s="46" t="n">
        <v>33</v>
      </c>
      <c r="B35" s="45" t="inlineStr">
        <is>
          <t>ต้องการเตรียม D1OW 500 ml จาก DSW กับ D50W จะเตรียมอย่างไร</t>
        </is>
      </c>
      <c r="C35" s="46" t="n"/>
      <c r="D35" s="45" t="inlineStr">
        <is>
          <t>D5W 445 ml+ D50W 55ml</t>
        </is>
      </c>
      <c r="E35" s="45" t="inlineStr">
        <is>
          <t>D5W 495 ml+ D50W 5 ml</t>
        </is>
      </c>
      <c r="F35" s="45" t="inlineStr">
        <is>
          <t>จำ choice ไม่ได้</t>
        </is>
      </c>
      <c r="G35" s="45" t="inlineStr">
        <is>
          <t>จำ choice ไม่ได้</t>
        </is>
      </c>
      <c r="H35" s="45" t="inlineStr">
        <is>
          <t>จำ choice ไม่ได้</t>
        </is>
      </c>
      <c r="I35" s="46" t="n">
        <v>1</v>
      </c>
      <c r="J35" s="45" t="inlineStr">
        <is>
          <t>✅ คำตอบที่ถูกต้อง: ข้อ ก. D5W 445 ml+ D50W 55ml
💡 Background:
คำถามข้อสอบจริงใบประกอบวิชาชีพ PLE-CC 1 (Product) ปี 2565 ข้อ 90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5" s="46" t="n"/>
      <c r="L35" s="45" t="inlineStr">
        <is>
          <t>Pharmaceutical Technology General</t>
        </is>
      </c>
      <c r="M35" s="46" t="inlineStr">
        <is>
          <t>Product</t>
        </is>
      </c>
      <c r="N35" s="45" t="inlineStr">
        <is>
          <t>ข้อสอบจริง Product ปี 2565 ข้อ 90</t>
        </is>
      </c>
      <c r="O35" s="46" t="inlineStr">
        <is>
          <t>ข้อสอบจริง</t>
        </is>
      </c>
      <c r="P35" s="46" t="inlineStr">
        <is>
          <t>ปี 2565</t>
        </is>
      </c>
    </row>
    <row r="36">
      <c r="A36" s="46" t="n">
        <v>34</v>
      </c>
      <c r="B36" s="45" t="inlineStr">
        <is>
          <t>หัวข้อการทดสอบที่มีทดสอบเฉพาะการควบคุมคุณภาพแผ่นแปะ cutaneous patch ตาม USP คืออะไร Assay</t>
        </is>
      </c>
      <c r="C36" s="46" t="n"/>
      <c r="D36" s="45" t="inlineStr"/>
      <c r="E36" s="45" t="inlineStr">
        <is>
          <t>Identification</t>
        </is>
      </c>
      <c r="F36" s="45" t="inlineStr">
        <is>
          <t>Description</t>
        </is>
      </c>
      <c r="G36" s="45" t="inlineStr"/>
      <c r="H36" s="45" t="inlineStr"/>
      <c r="I36" s="46" t="n">
        <v>1</v>
      </c>
      <c r="J36" s="45" t="inlineStr">
        <is>
          <t>✅ คำตอบที่ถูกต้อง: ข้อ ก.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6" s="46" t="n"/>
      <c r="L36" s="45" t="inlineStr">
        <is>
          <t>Pharmaceutical Technology General</t>
        </is>
      </c>
      <c r="M36" s="46" t="inlineStr">
        <is>
          <t>Product</t>
        </is>
      </c>
      <c r="N36" s="45" t="inlineStr">
        <is>
          <t>ข้อสอบจริง Product ปี 2565 ข้อ 9</t>
        </is>
      </c>
      <c r="O36" s="46" t="inlineStr">
        <is>
          <t>ข้อสอบจริง</t>
        </is>
      </c>
      <c r="P36" s="46" t="inlineStr">
        <is>
          <t>ปี 2565</t>
        </is>
      </c>
    </row>
    <row r="37">
      <c r="A37" s="46" t="n">
        <v>35</v>
      </c>
      <c r="B37" s="45" t="inlineStr">
        <is>
          <t>อะไรใน sterile IV mixture set ที่เกิดปัญหามากที่สุดกับ nitroglycerin n. Polyethylene</t>
        </is>
      </c>
      <c r="C37" s="46" t="n"/>
      <c r="D37" s="45" t="inlineStr"/>
      <c r="E37" s="45" t="inlineStr">
        <is>
          <t>Polypropylene</t>
        </is>
      </c>
      <c r="F37" s="45" t="inlineStr">
        <is>
          <t>Teflon</t>
        </is>
      </c>
      <c r="G37" s="45" t="inlineStr">
        <is>
          <t>PVC</t>
        </is>
      </c>
      <c r="H37" s="45" t="inlineStr">
        <is>
          <t>Polystyrene กรณีศึกษา 10 ผู้ชายอายุ 28 ปี มีอาการแสบร้อนกลางอกมา 2 เดือน มีเรอเปรี้ยว 3 วันก่อน คลื่นไส้อาเจียน 1-3 รอบ/วัน ปกติกินยาลดกรดชนิดน้ำแล้วดีขึ้น แต่ 3 วันมานี้อาการไม่ดีขึ้นเลย</t>
        </is>
      </c>
      <c r="I37" s="46" t="n">
        <v>1</v>
      </c>
      <c r="J37" s="45" t="inlineStr">
        <is>
          <t>✅ คำตอบที่ถูกต้อง: ข้อ ก. 
💡 Background:
คำถามข้อสอบจริงใบประกอบวิชาชีพ PLE-CC 1 (Product) ปี 2565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7" s="46" t="n"/>
      <c r="L37" s="45" t="inlineStr">
        <is>
          <t>Pharmaceutical Technology General</t>
        </is>
      </c>
      <c r="M37" s="46" t="inlineStr">
        <is>
          <t>Product</t>
        </is>
      </c>
      <c r="N37" s="45" t="inlineStr">
        <is>
          <t>ข้อสอบจริง Product ปี 2565 ข้อ 27</t>
        </is>
      </c>
      <c r="O37" s="46" t="inlineStr">
        <is>
          <t>ข้อสอบจริง</t>
        </is>
      </c>
      <c r="P37" s="46" t="inlineStr">
        <is>
          <t>ปี 2565</t>
        </is>
      </c>
    </row>
    <row r="38">
      <c r="A38" s="46" t="n">
        <v>36</v>
      </c>
      <c r="B38" s="45" t="inlineStr">
        <is>
          <t>ยากลุ่ม PP's ออกฤทธิ์โดยไปจับกับ target ด้วยพันธะใด</t>
        </is>
      </c>
      <c r="C38" s="46" t="n"/>
      <c r="D38" s="45" t="inlineStr">
        <is>
          <t>lonic</t>
        </is>
      </c>
      <c r="E38" s="45" t="inlineStr">
        <is>
          <t>Disulfide bond</t>
        </is>
      </c>
      <c r="F38" s="45" t="inlineStr">
        <is>
          <t>H bond</t>
        </is>
      </c>
      <c r="G38" s="45" t="inlineStr">
        <is>
          <t>\จำ choice ไม่ได้ \</t>
        </is>
      </c>
      <c r="H38" s="45" t="inlineStr">
        <is>
          <t>\ จำ choice ไม่ได้ \</t>
        </is>
      </c>
      <c r="I38" s="46" t="n">
        <v>1</v>
      </c>
      <c r="J38" s="45" t="inlineStr">
        <is>
          <t>✅ คำตอบที่ถูกต้อง: ข้อ ก. lonic
💡 Background:
คำถามข้อสอบจริงใบประกอบวิชาชีพ PLE-CC 1 (Product) ปี 2565 ข้อ 30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8" s="46" t="n"/>
      <c r="L38" s="45" t="inlineStr">
        <is>
          <t>Pharmaceutical Technology General</t>
        </is>
      </c>
      <c r="M38" s="46" t="inlineStr">
        <is>
          <t>Product</t>
        </is>
      </c>
      <c r="N38" s="45" t="inlineStr">
        <is>
          <t>ข้อสอบจริง Product ปี 2565 ข้อ 30</t>
        </is>
      </c>
      <c r="O38" s="46" t="inlineStr">
        <is>
          <t>ข้อสอบจริง</t>
        </is>
      </c>
      <c r="P38" s="46" t="inlineStr">
        <is>
          <t>ปี 2565</t>
        </is>
      </c>
    </row>
    <row r="39">
      <c r="A39" s="46" t="n">
        <v>37</v>
      </c>
      <c r="B39" s="45" t="inlineStr">
        <is>
          <t>ถ้าจะทดสอบวงนี้ต้องใช้วิธีใดในการทดสอบ [แนบรูป: ข้อสอบ Product ปี 2565 รหัสรูปภาพ image21]</t>
        </is>
      </c>
      <c r="C39" s="46" t="inlineStr">
        <is>
          <t>[แนบรูป: ข้อสอบ Product ปี 2565 รหัสรูปภาพ image21]</t>
        </is>
      </c>
      <c r="D39" s="45" t="inlineStr">
        <is>
          <t>Liebermann-burchard</t>
        </is>
      </c>
      <c r="E39" s="45" t="inlineStr">
        <is>
          <t>Dragendorff</t>
        </is>
      </c>
      <c r="F39" s="45" t="inlineStr">
        <is>
          <t>Foam test</t>
        </is>
      </c>
      <c r="G39" s="45" t="inlineStr">
        <is>
          <t>\จำ choice ไม่ได้</t>
        </is>
      </c>
      <c r="H39" s="45" t="inlineStr">
        <is>
          <t>\ จำ choice ไม่ได้ \</t>
        </is>
      </c>
      <c r="I39" s="46" t="n">
        <v>1</v>
      </c>
      <c r="J39" s="45" t="inlineStr">
        <is>
          <t>✅ คำตอบที่ถูกต้อง: ข้อ ก. Liebermann-burchard
💡 Background:
คำถามข้อสอบจริงใบประกอบวิชาชีพ PLE-CC 1 (Product) ปี 2565 ข้อ 71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9" s="46" t="n"/>
      <c r="L39" s="45" t="inlineStr">
        <is>
          <t>Pharmaceutical Technology General</t>
        </is>
      </c>
      <c r="M39" s="46" t="inlineStr">
        <is>
          <t>Product</t>
        </is>
      </c>
      <c r="N39" s="45" t="inlineStr">
        <is>
          <t>ข้อสอบจริง Product ปี 2565 ข้อ 71</t>
        </is>
      </c>
      <c r="O39" s="46" t="inlineStr">
        <is>
          <t>ข้อสอบจริง</t>
        </is>
      </c>
      <c r="P39" s="46" t="inlineStr">
        <is>
          <t>ปี 2565</t>
        </is>
      </c>
    </row>
    <row r="40">
      <c r="A40" s="46" t="n">
        <v>38</v>
      </c>
      <c r="B40" s="45" t="inlineStr">
        <is>
          <t>จากกราฟ ข้อใดถูก [แนบรูป: ข้อสอบ Product ปี 2565 รหัสรูปภาพ image24]</t>
        </is>
      </c>
      <c r="C40" s="46" t="inlineStr">
        <is>
          <t>[แนบรูป: ข้อสอบ Product ปี 2565 รหัสรูปภาพ image24]</t>
        </is>
      </c>
      <c r="D40" s="45" t="inlineStr">
        <is>
          <t>เป็นกราฟของ solubility</t>
        </is>
      </c>
      <c r="E40" s="45" t="inlineStr">
        <is>
          <t>การสลายตัวแบบ zero order</t>
        </is>
      </c>
      <c r="F40" s="45" t="inlineStr">
        <is>
          <t>ที่ pH 4 มีการสลายตัวมากสุด</t>
        </is>
      </c>
      <c r="G40" s="45" t="inlineStr">
        <is>
          <t>การสลายตัวเมื่อ pH มากกว่า 4 อาศัย base catalyst</t>
        </is>
      </c>
      <c r="H40" s="45" t="inlineStr">
        <is>
          <t>\ จำ choice ไม่ได้ \</t>
        </is>
      </c>
      <c r="I40" s="46" t="n">
        <v>1</v>
      </c>
      <c r="J40" s="45" t="inlineStr">
        <is>
          <t>✅ คำตอบที่ถูกต้อง: ข้อ ก. เป็นกราฟของ solubility
💡 Background:
คำถามข้อสอบจริงใบประกอบวิชาชีพ PLE-CC 1 (Product) ปี 2565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0" s="46" t="n"/>
      <c r="L40" s="45" t="inlineStr">
        <is>
          <t>Pharmaceutical Technology General</t>
        </is>
      </c>
      <c r="M40" s="46" t="inlineStr">
        <is>
          <t>Product</t>
        </is>
      </c>
      <c r="N40" s="45" t="inlineStr">
        <is>
          <t>ข้อสอบจริง Product ปี 2565 ข้อ 74</t>
        </is>
      </c>
      <c r="O40" s="46" t="inlineStr">
        <is>
          <t>ข้อสอบจริง</t>
        </is>
      </c>
      <c r="P40" s="46" t="inlineStr">
        <is>
          <t>ปี 2565</t>
        </is>
      </c>
    </row>
    <row r="41">
      <c r="A41" s="46" t="n">
        <v>39</v>
      </c>
      <c r="B41" s="45" t="inlineStr">
        <is>
          <t>ให้สูตรตำรับ Aluminum hydroxide paste eq. to Aluminum hydroxide 4 g, glycerol,sorbitol, methyl hydroxybenzoate, propyl hydroxybenzoate purified water as. to 100 ml ข้อใดกล่าวถูกต้อง</t>
        </is>
      </c>
      <c r="C41" s="46" t="n"/>
      <c r="D41" s="45" t="inlineStr">
        <is>
          <t>ใช้ sorbitol กับ glycerol แทน เพราะมีความหวานมากกว่า</t>
        </is>
      </c>
      <c r="E41" s="45" t="inlineStr">
        <is>
          <t>ตำรับนี้ไม่มี flavoring agent</t>
        </is>
      </c>
      <c r="F41" s="45" t="inlineStr">
        <is>
          <t>Methyl cellulose เป็นสารให้ความหนืดที่ไม่มีประจุ</t>
        </is>
      </c>
      <c r="G41" s="45" t="inlineStr">
        <is>
          <t>methyl paraben และ propyl paraben เป็น antioxidants ป้องกันการเสื่อมสลาย</t>
        </is>
      </c>
      <c r="H41" s="45" t="inlineStr">
        <is>
          <t>\ จำ choice ไม่ได้ \</t>
        </is>
      </c>
      <c r="I41" s="46" t="n">
        <v>1</v>
      </c>
      <c r="J41" s="45" t="inlineStr">
        <is>
          <t>✅ คำตอบที่ถูกต้อง: ข้อ ก. ใช้ sorbitol กับ glycerol แทน เพราะมีความหวานมากกว่า
💡 Background:
คำถามข้อสอบจริงใบประกอบวิชาชีพ PLE-CC 1 (Product) ปี 2565 ข้อ 79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1" s="46" t="n"/>
      <c r="L41" s="45" t="inlineStr">
        <is>
          <t>Pharmaceutical Technology General</t>
        </is>
      </c>
      <c r="M41" s="46" t="inlineStr">
        <is>
          <t>Product</t>
        </is>
      </c>
      <c r="N41" s="45" t="inlineStr">
        <is>
          <t>ข้อสอบจริง Product ปี 2565 ข้อ 79</t>
        </is>
      </c>
      <c r="O41" s="46" t="inlineStr">
        <is>
          <t>ข้อสอบจริง</t>
        </is>
      </c>
      <c r="P41" s="46" t="inlineStr">
        <is>
          <t>ปี 2565</t>
        </is>
      </c>
    </row>
    <row r="42">
      <c r="A42" s="46" t="n">
        <v>40</v>
      </c>
      <c r="B42" s="45" t="inlineStr">
        <is>
          <t>ตอบ ง. Cetearyl palmitate คำอธิบาย : เป็น Stiffening agent เมื่อลองพิจารณาข้ออื่น</t>
        </is>
      </c>
      <c r="C42" s="46" t="n"/>
      <c r="D42" s="45" t="inlineStr">
        <is>
          <t>glycerin \= Humectant</t>
        </is>
      </c>
      <c r="E42" s="45" t="inlineStr">
        <is>
          <t>Propylene glycol \= Co-solvent, humectant</t>
        </is>
      </c>
      <c r="F42" s="45" t="inlineStr">
        <is>
          <t>SLS \= Surfactant</t>
        </is>
      </c>
      <c r="G42" s="45" t="inlineStr">
        <is>
          <t>Mineral oil \= Emollient</t>
        </is>
      </c>
      <c r="H42" s="45" t="inlineStr"/>
      <c r="I42" s="46" t="n">
        <v>4</v>
      </c>
      <c r="J42" s="45" t="inlineStr">
        <is>
          <t>✅ คำตอบที่ถูกต้อง: ข้อ ง. Mineral oil \= Emollient
💡 Background:
คำถามข้อสอบจริงใบประกอบวิชาชีพ PLE-CC 1 (Product) ปี 2565 ข้อ 39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2" s="46" t="n"/>
      <c r="L42" s="45" t="inlineStr">
        <is>
          <t>Pharmaceutical Technology General</t>
        </is>
      </c>
      <c r="M42" s="46" t="inlineStr">
        <is>
          <t>Product</t>
        </is>
      </c>
      <c r="N42" s="45" t="inlineStr">
        <is>
          <t>ข้อสอบจริง Product ปี 2565 ข้อ 39</t>
        </is>
      </c>
      <c r="O42" s="46" t="inlineStr">
        <is>
          <t>ข้อสอบจริง</t>
        </is>
      </c>
      <c r="P42" s="46" t="inlineStr">
        <is>
          <t>ปี 2565</t>
        </is>
      </c>
    </row>
    <row r="43">
      <c r="A43" s="46" t="n">
        <v>41</v>
      </c>
      <c r="B43" s="45" t="inlineStr">
        <is>
          <t>หากผู้ป่วยได้รับยา aminophylline IV วัดระดับยาในเลือดได้ 68 mcg/ml ถ้า aminophylline มี half life 7 ชั่วโมง จะมีระดับยาเท่าไรเมื่อเวลาผ่านไป 28 ชั่วโมง</t>
        </is>
      </c>
      <c r="C43" s="46" t="inlineStr">
        <is>
          <t>[แนบรูป: ข้อสอบ Product ปี 2564 รหัสรูปภาพ image68]</t>
        </is>
      </c>
      <c r="D43" s="45" t="inlineStr">
        <is>
          <t>2.125</t>
        </is>
      </c>
      <c r="E43" s="45" t="inlineStr">
        <is>
          <t>4.25</t>
        </is>
      </c>
      <c r="F43" s="45" t="inlineStr">
        <is>
          <t>8.5</t>
        </is>
      </c>
      <c r="G43" s="45" t="inlineStr">
        <is>
          <t>17</t>
        </is>
      </c>
      <c r="H43" s="45" t="inlineStr">
        <is>
          <t>34 คำอธิบาย: จำนวนครั้งการสลายตัวเท่ากับ 28 หาร 7 ได้เท่ากับ 4 ดังนั้นระดับยาเริ่มต้น 68 mcg จะลดลงครึ่งหนึ่งเป็นจำนวน 4 ครั้ง และมีระดับยาเหลือเท่ากับ 4.25 mcg [แนบรูป: ข้อสอบ Product ปี 2564 รหัสรูปภาพ image68]</t>
        </is>
      </c>
      <c r="I43" s="46" t="n">
        <v>1</v>
      </c>
      <c r="J43" s="45" t="inlineStr">
        <is>
          <t>✅ คำตอบที่ถูกต้อง: ข้อ ก. 2.125
💡 Background:
คำถามข้อสอบจริงใบประกอบวิชาชีพ PLE-CC 1 (Product) ปี 2564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3" s="46" t="n"/>
      <c r="L43" s="45" t="inlineStr">
        <is>
          <t>Pharmaceutical Technology General</t>
        </is>
      </c>
      <c r="M43" s="46" t="inlineStr">
        <is>
          <t>Product</t>
        </is>
      </c>
      <c r="N43" s="45" t="inlineStr">
        <is>
          <t>ข้อสอบจริง Product ปี 2564 ข้อ 1</t>
        </is>
      </c>
      <c r="O43" s="46" t="inlineStr">
        <is>
          <t>ข้อสอบจริง</t>
        </is>
      </c>
      <c r="P43" s="46" t="inlineStr">
        <is>
          <t>ปี 2564</t>
        </is>
      </c>
    </row>
    <row r="44">
      <c r="A44" s="46" t="n">
        <v>42</v>
      </c>
      <c r="B44" s="45" t="inlineStr">
        <is>
          <t>เครื่องมือใดใช้ในการวัดขนาดอนุภาคของยาผง Dry powder for inhalation</t>
        </is>
      </c>
      <c r="C44" s="46" t="n"/>
      <c r="D44" s="45" t="inlineStr">
        <is>
          <t>Zn determination   ใช้วิเคราะห์ปริมาณธาตุสังกะสี ไม่เกี่ยวกับการวัดขนาดอนุภาค</t>
        </is>
      </c>
      <c r="E44" s="45" t="inlineStr">
        <is>
          <t>Cascade impactor</t>
        </is>
      </c>
      <c r="F44" s="45" t="inlineStr">
        <is>
          <t>Light microscopy  วัดขนาดหรือรูปร่างอนุภาคได้ แต่ไม่วัด aerodynamic particle size ซึ่งเป็นค่าที่สำคัญสำหรับยาสูดพ่น</t>
        </is>
      </c>
      <c r="G44" s="45" t="inlineStr">
        <is>
          <t>Scanning electron microscope (SEM)  ใช้ดูรูปร่างและพื้นผิวของอนุภาคที่กำลังขยายสูง แต่ไม่ใช้วัดการกระจายขนาดเชิงอากาศพลศาสตร์</t>
        </is>
      </c>
      <c r="H44" s="45" t="inlineStr">
        <is>
          <t>Meter valve  เป็นชิ้นส่วนของ Metered Dose Inhaler (MDI)</t>
        </is>
      </c>
      <c r="I44" s="46" t="n">
        <v>1</v>
      </c>
      <c r="J44" s="45" t="inlineStr">
        <is>
          <t>✅ คำตอบที่ถูกต้อง: ข้อ ก. Zn determination   ใช้วิเคราะห์ปริมาณธาตุสังกะสี ไม่เกี่ยวกับการวัดขนาดอนุภาค
💡 Background:
คำถามข้อสอบจริงใบประกอบวิชาชีพ PLE-CC 1 (Product) ปี 2564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4" s="46" t="n"/>
      <c r="L44" s="45" t="inlineStr">
        <is>
          <t>Pharmaceutical Technology General</t>
        </is>
      </c>
      <c r="M44" s="46" t="inlineStr">
        <is>
          <t>Product</t>
        </is>
      </c>
      <c r="N44" s="45" t="inlineStr">
        <is>
          <t>ข้อสอบจริง Product ปี 2564 ข้อ 3</t>
        </is>
      </c>
      <c r="O44" s="46" t="inlineStr">
        <is>
          <t>ข้อสอบจริง</t>
        </is>
      </c>
      <c r="P44" s="46" t="inlineStr">
        <is>
          <t>ปี 2564</t>
        </is>
      </c>
    </row>
    <row r="45">
      <c r="A45" s="46" t="n">
        <v>43</v>
      </c>
      <c r="B45" s="45" t="inlineStr">
        <is>
          <t>สารในข้อใดใช้ทํา cavity ของ blister pack เพื่อป้องกันความชื้น</t>
        </is>
      </c>
      <c r="C45" s="46" t="n"/>
      <c r="D45" s="45" t="inlineStr">
        <is>
          <t>Polyvinyl Chloride (PVC)  ใช้ทำ blister pack ได้ แต่กันความชื้นไม่ดี</t>
        </is>
      </c>
      <c r="E45" s="45" t="inlineStr">
        <is>
          <t>Polypropylene (PP) ทนความร้อนดี แต่คุณสมบัติกันความชื้นไม่เด่นเท่า PCTFE</t>
        </is>
      </c>
      <c r="F45" s="45" t="inlineStr">
        <is>
          <t>Polyvinylidene Chloride (PVDC)  กันความชื้นดี และมักใช้ เคลือบบน PVC เพื่อเพิ่ม barrier แต่ไม่ใช่วัสดุหลักของ cavity ในคำถามนี้</t>
        </is>
      </c>
      <c r="G45" s="45" t="inlineStr">
        <is>
          <t>Polyethylene (PE)  ใช้ทำบรรจุภัณฑ์ทั่วไป ไม่ใช่วัสดุหลักสำหรับ blister ที่ต้องการป้องกันความชื้นสูง</t>
        </is>
      </c>
      <c r="H45" s="45" t="inlineStr">
        <is>
          <t>Polychlorotrifluoroethylene คำอธิบาย: Polychlorotrifluoroethylene (PCTFE) เป็นวัสดุที่มี คุณสมบัติกันความชื้น (moisture barrier) ดีที่สุด ในบรรดาวัสดุที่ใช้ทำ cavity ของ blister pack จึงเหมาะสำหรับยาที่ไวต่อความชื้น ทำไมตัวเลือกอื่นไม่ถูก</t>
        </is>
      </c>
      <c r="I45" s="46" t="n">
        <v>1</v>
      </c>
      <c r="J45" s="45" t="inlineStr">
        <is>
          <t>✅ คำตอบที่ถูกต้อง: ข้อ ก. Polyvinyl Chloride (PVC)  ใช้ทำ blister pack ได้ แต่กันความชื้นไม่ดี
💡 Background:
คำถามข้อสอบจริงใบประกอบวิชาชีพ PLE-CC 1 (Product) ปี 2564 ข้อ 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45" s="46" t="n"/>
      <c r="L45" s="45" t="inlineStr">
        <is>
          <t>Preformulation &amp; Good Manufacturing Practice</t>
        </is>
      </c>
      <c r="M45" s="46" t="inlineStr">
        <is>
          <t>Product</t>
        </is>
      </c>
      <c r="N45" s="45" t="inlineStr">
        <is>
          <t>ข้อสอบจริง Product ปี 2564 ข้อ 9</t>
        </is>
      </c>
      <c r="O45" s="46" t="inlineStr">
        <is>
          <t>ข้อสอบจริง</t>
        </is>
      </c>
      <c r="P45" s="46" t="inlineStr">
        <is>
          <t>ปี 2564</t>
        </is>
      </c>
    </row>
    <row r="46">
      <c r="A46" s="46" t="n">
        <v>44</v>
      </c>
      <c r="B46" s="45" t="inlineStr">
        <is>
          <t>ยาจากบริษัทใดที่มีคุณสมบัติสลายตัวเมื่อชื้น และเกิด hydrolysis ง่ายสุด บริษัท A ขนาดอนุภาค 0.05 mm บริษัท B ขนาดอนุภาค 20,000.00 nm บริษัท C ขนาดอนุภาค 12 μm บริษัท D ขนาดอนุภาค 0.01 cm บริษัท F ขนาดอนุภาค 92,000,000.00 pm</t>
        </is>
      </c>
      <c r="C46" s="46" t="n"/>
      <c r="D46" s="45" t="inlineStr">
        <is>
          <t>A</t>
        </is>
      </c>
      <c r="E46" s="45" t="inlineStr">
        <is>
          <t>B</t>
        </is>
      </c>
      <c r="F46" s="45" t="inlineStr">
        <is>
          <t>C</t>
        </is>
      </c>
      <c r="G46" s="45" t="inlineStr">
        <is>
          <t>D</t>
        </is>
      </c>
      <c r="H46" s="45" t="inlineStr">
        <is>
          <t>E คำอธิบาย: ยาที่ สลายตัวด้วยความชื้น (Hydrolysis) ได้ง่าย จะยิ่งเกิดเร็วเมื่อ ขนาดอนุภาคเล็ก เพราะมี พื้นที่ผิว (surface area) มาก ทำให้สัมผัสความชื้นได้มากขึ้น จากการเปลี่ยนหน่วยกลับมาเป็น m บริษัท A ขนาดอนุภาค 0.05 mm		\= 5 x 10^-2 x 10^-3		\= 5 x 10^-5 บริษัท B ขนาดอนุภาค 20,000.00 nm	\= 2 x 10^4 x 10^-9		\= 2 x 10^-5 บริษัท C ขนาดอนุภาค 12 μm			\= 1.2 x 10^1 x 10^-6		\= 1.2 x 10^-5 บริษัท D ขนาดอนุภาค 0.01 cm		\= 1 x 10^-2 x 10^-2		\= 1.2 x 10^-4 บริษัท F ขนาดอนุภาค 92,000,000.00 pm	\= 9.2 x 10^7 x 10^-12	\= 9.2 x 10^-5 ดังนั้นจึงตอบ ค. C เพราะมีขนาดอนุภาคเล็กสุด</t>
        </is>
      </c>
      <c r="I46" s="46" t="n">
        <v>1</v>
      </c>
      <c r="J46" s="45" t="inlineStr">
        <is>
          <t>✅ คำตอบที่ถูกต้อง: ข้อ ก. A
💡 Background:
คำถามข้อสอบจริงใบประกอบวิชาชีพ PLE-CC 1 (Product) ปี 2564 ข้อ 13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6" s="46" t="n"/>
      <c r="L46" s="45" t="inlineStr">
        <is>
          <t>Pharmaceutical Technology General</t>
        </is>
      </c>
      <c r="M46" s="46" t="inlineStr">
        <is>
          <t>Product</t>
        </is>
      </c>
      <c r="N46" s="45" t="inlineStr">
        <is>
          <t>ข้อสอบจริง Product ปี 2564 ข้อ 13</t>
        </is>
      </c>
      <c r="O46" s="46" t="inlineStr">
        <is>
          <t>ข้อสอบจริง</t>
        </is>
      </c>
      <c r="P46" s="46" t="inlineStr">
        <is>
          <t>ปี 2564</t>
        </is>
      </c>
    </row>
    <row r="47">
      <c r="A47" s="46" t="n">
        <v>45</v>
      </c>
      <c r="B47" s="45" t="inlineStr">
        <is>
          <t>ให้สูตรตํารับมา ถามว่า Bentonite ทําหน้าที่อะไรในตํารับ</t>
        </is>
      </c>
      <c r="C47" s="46" t="n"/>
      <c r="D47" s="45" t="inlineStr">
        <is>
          <t>Suspending agent</t>
        </is>
      </c>
      <c r="E47" s="45" t="inlineStr">
        <is>
          <t>Chelating agent</t>
        </is>
      </c>
      <c r="F47" s="45" t="inlineStr">
        <is>
          <t>Adsorbent</t>
        </is>
      </c>
      <c r="G47" s="45" t="inlineStr">
        <is>
          <t>Emulsifier</t>
        </is>
      </c>
      <c r="H47" s="45" t="inlineStr">
        <is>
          <t>Antioxidant คำอธิบาย: Bentonite เป็นดินเหนียวธรรมชาติ (colloidal aluminum silicate) ที่สามารถพองตัวเมื่อสัมผัสน้ำ ทำให้สารละลายมีความหนืดสูง จึงใช้เป็น Suspending agent เพื่อช่วยพยุงอนุภาคของยาไม่ให้ตกตะกอนเร็ว</t>
        </is>
      </c>
      <c r="I47" s="46" t="n">
        <v>1</v>
      </c>
      <c r="J47" s="45" t="inlineStr">
        <is>
          <t>✅ คำตอบที่ถูกต้อง: ข้อ ก. Suspending agent
💡 Background:
คำถามข้อสอบจริงใบประกอบวิชาชีพ PLE-CC 1 (Product) ปี 2564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7" s="46" t="n"/>
      <c r="L47" s="45" t="inlineStr">
        <is>
          <t>Pharmaceutical Technology General</t>
        </is>
      </c>
      <c r="M47" s="46" t="inlineStr">
        <is>
          <t>Product</t>
        </is>
      </c>
      <c r="N47" s="45" t="inlineStr">
        <is>
          <t>ข้อสอบจริง Product ปี 2564 ข้อ 26</t>
        </is>
      </c>
      <c r="O47" s="46" t="inlineStr">
        <is>
          <t>ข้อสอบจริง</t>
        </is>
      </c>
      <c r="P47" s="46" t="inlineStr">
        <is>
          <t>ปี 2564</t>
        </is>
      </c>
    </row>
    <row r="48">
      <c r="A48" s="46" t="n">
        <v>46</v>
      </c>
      <c r="B48" s="45" t="inlineStr">
        <is>
          <t>Nystatin 100,000 Unit/ml Sig. ½ tsp qid 4 days ผลิตภัณฑ์ในท้องตลาดพบว่า มี Nystatin 100,000 Unit/ml ปริมาตร 12 mL/ขวด ผู้ป่วยรายนี้ต้องใช้กี่ขวด</t>
        </is>
      </c>
      <c r="C48" s="46" t="n"/>
      <c r="D48" s="45" t="inlineStr">
        <is>
          <t>1 ขวด</t>
        </is>
      </c>
      <c r="E48" s="45" t="inlineStr">
        <is>
          <t>2 ขวด</t>
        </is>
      </c>
      <c r="F48" s="45" t="inlineStr">
        <is>
          <t>4 ขวด</t>
        </is>
      </c>
      <c r="G48" s="45" t="inlineStr">
        <is>
          <t>8 ขวด</t>
        </is>
      </c>
      <c r="H48" s="45" t="inlineStr">
        <is>
          <t>16 ขวด คำอธิบาย: คำนวนว่าต้องใช้ทั้งหมดกี่ ml 1 tsp \= 5ml ½ tsp \= 2.5ml ½ tsp qid \= 2.5 x 4 \= 10 ml/day ½ tsp 4 วัน \= 10 ml/day x 4 day \= 40 ml หาจำนวนขวด 40 ml / (12 ml/ขวด) \= 3.33 ขวด ปัดขึ้นจึงได้คำตอบเป็น ค. 4 ขวด</t>
        </is>
      </c>
      <c r="I48" s="46" t="n">
        <v>1</v>
      </c>
      <c r="J48" s="45" t="inlineStr">
        <is>
          <t>✅ คำตอบที่ถูกต้อง: ข้อ ก. 1 ขวด
💡 Background:
คำถามข้อสอบจริงใบประกอบวิชาชีพ PLE-CC 1 (Product) ปี 2564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8" s="46" t="n"/>
      <c r="L48" s="45" t="inlineStr">
        <is>
          <t>Pharmaceutical Technology General</t>
        </is>
      </c>
      <c r="M48" s="46" t="inlineStr">
        <is>
          <t>Product</t>
        </is>
      </c>
      <c r="N48" s="45" t="inlineStr">
        <is>
          <t>ข้อสอบจริง Product ปี 2564 ข้อ 27</t>
        </is>
      </c>
      <c r="O48" s="46" t="inlineStr">
        <is>
          <t>ข้อสอบจริง</t>
        </is>
      </c>
      <c r="P48" s="46" t="inlineStr">
        <is>
          <t>ปี 2564</t>
        </is>
      </c>
    </row>
    <row r="49">
      <c r="A49" s="46" t="n">
        <v>47</v>
      </c>
      <c r="B49" s="45" t="inlineStr">
        <is>
          <t>ต้องใช้ Terramycin กี่มิลลิกรัม</t>
        </is>
      </c>
      <c r="C49" s="46" t="n"/>
      <c r="D49" s="45" t="inlineStr">
        <is>
          <t>18 mg</t>
        </is>
      </c>
      <c r="E49" s="45" t="inlineStr">
        <is>
          <t>0.18 mg</t>
        </is>
      </c>
      <c r="F49" s="45" t="inlineStr">
        <is>
          <t>180 mg</t>
        </is>
      </c>
      <c r="G49" s="45" t="inlineStr">
        <is>
          <t>200 mg</t>
        </is>
      </c>
      <c r="H49" s="45" t="inlineStr">
        <is>
          <t>จำไม่ได้ คำอธิบาย: 1 fl oz ≈ 30 mL ดังนั้นเขาต้องการยา 2 fl oz \= 60 ml Terramycin 0.3% in 100ml \= 300mg/100ml Terramycin ??? mg in 60ml \= 300mg/100ml x 60 ml \= 180 mg ดังนั้นจึงตอบ ค. 180 mg</t>
        </is>
      </c>
      <c r="I49" s="46" t="n">
        <v>1</v>
      </c>
      <c r="J49" s="45" t="inlineStr">
        <is>
          <t>✅ คำตอบที่ถูกต้อง: ข้อ ก. 18 mg
💡 Background:
คำถามข้อสอบจริงใบประกอบวิชาชีพ PLE-CC 1 (Product) ปี 2564 ข้อ 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9" s="46" t="n"/>
      <c r="L49" s="45" t="inlineStr">
        <is>
          <t>Pharmaceutical Technology General</t>
        </is>
      </c>
      <c r="M49" s="46" t="inlineStr">
        <is>
          <t>Product</t>
        </is>
      </c>
      <c r="N49" s="45" t="inlineStr">
        <is>
          <t>ข้อสอบจริง Product ปี 2564 ข้อ 41</t>
        </is>
      </c>
      <c r="O49" s="46" t="inlineStr">
        <is>
          <t>ข้อสอบจริง</t>
        </is>
      </c>
      <c r="P49" s="46" t="inlineStr">
        <is>
          <t>ปี 2564</t>
        </is>
      </c>
    </row>
    <row r="50">
      <c r="A50" s="46" t="n">
        <v>48</v>
      </c>
      <c r="B50" s="45" t="inlineStr">
        <is>
          <t>แพทย์สั่งจ่ายยา calcitriol solution ให้ผู้ป่วย 20 ng/kg ผู้ป่วยน้ำหนัก 50 kg จ่าย 3 ครั้งต่อ สัปดาห์ เป็นเวลา 2 สัปดาห์ หากยามีความแรง 2 ไมโครกรัมต่อมิลลิลิตร ผู้ป่วยได้รับยาทั้งหมดเท่าไหร่</t>
        </is>
      </c>
      <c r="C50" s="46" t="n"/>
      <c r="D50" s="45" t="inlineStr">
        <is>
          <t>1.5 ml</t>
        </is>
      </c>
      <c r="E50" s="45" t="inlineStr">
        <is>
          <t>3 ml</t>
        </is>
      </c>
      <c r="F50" s="45" t="inlineStr">
        <is>
          <t>15 ml</t>
        </is>
      </c>
      <c r="G50" s="45" t="inlineStr">
        <is>
          <t>30 ml</t>
        </is>
      </c>
      <c r="H50" s="45" t="inlineStr">
        <is>
          <t>300 ml คำอธิบาย: คำนวนปริมาณยา 20 ng/kg/ครั้ง x 50 kg \= 1000 ng/ครั้ง \= 1 μg/ครั้ง 1 μg/ครั้ง x 3 ครั้ง/สัปดาห์ x 2 สัปดาห์ \= 6 μg 6 μg / (2 μg/ml) \= 3 ml ดังนั้นจึงตอบ ข. 3 ml</t>
        </is>
      </c>
      <c r="I50" s="46" t="n">
        <v>1</v>
      </c>
      <c r="J50" s="45" t="inlineStr">
        <is>
          <t>✅ คำตอบที่ถูกต้อง: ข้อ ก. 1.5 ml
💡 Background:
คำถามข้อสอบจริงใบประกอบวิชาชีพ PLE-CC 1 (Product) ปี 2564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0" s="46" t="n"/>
      <c r="L50" s="45" t="inlineStr">
        <is>
          <t>Pharmaceutical Technology General</t>
        </is>
      </c>
      <c r="M50" s="46" t="inlineStr">
        <is>
          <t>Product</t>
        </is>
      </c>
      <c r="N50" s="45" t="inlineStr">
        <is>
          <t>ข้อสอบจริง Product ปี 2564 ข้อ 43</t>
        </is>
      </c>
      <c r="O50" s="46" t="inlineStr">
        <is>
          <t>ข้อสอบจริง</t>
        </is>
      </c>
      <c r="P50" s="46" t="inlineStr">
        <is>
          <t>ปี 2564</t>
        </is>
      </c>
    </row>
    <row r="51">
      <c r="A51" s="46" t="n">
        <v>49</v>
      </c>
      <c r="B51" s="45" t="inlineStr">
        <is>
          <t>propellant ที่นิยมใน MDI</t>
        </is>
      </c>
      <c r="C51" s="46" t="inlineStr">
        <is>
          <t>[แนบรูป: ข้อสอบ Product ปี 2564 รหัสรูปภาพ image77]</t>
        </is>
      </c>
      <c r="D51" s="45" t="inlineStr">
        <is>
          <t>N2O</t>
        </is>
      </c>
      <c r="E51" s="45" t="inlineStr">
        <is>
          <t>Propane</t>
        </is>
      </c>
      <c r="F51" s="45" t="inlineStr">
        <is>
          <t>Hydrocarbon</t>
        </is>
      </c>
      <c r="G51" s="45" t="inlineStr">
        <is>
          <t>Hydrofluoroalkane</t>
        </is>
      </c>
      <c r="H51" s="45" t="inlineStr">
        <is>
          <t>Hydrofluorocarbon คำอธิบาย: [แนบรูป: ข้อสอบ Product ปี 2564 รหัสรูปภาพ image77]</t>
        </is>
      </c>
      <c r="I51" s="46" t="n">
        <v>1</v>
      </c>
      <c r="J51" s="45" t="inlineStr">
        <is>
          <t>✅ คำตอบที่ถูกต้อง: ข้อ ก. N2O
💡 Background:
คำถามข้อสอบจริงใบประกอบวิชาชีพ PLE-CC 1 (Product) ปี 2564 ข้อ 48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1" s="46" t="n"/>
      <c r="L51" s="45" t="inlineStr">
        <is>
          <t>Pharmaceutical Technology General</t>
        </is>
      </c>
      <c r="M51" s="46" t="inlineStr">
        <is>
          <t>Product</t>
        </is>
      </c>
      <c r="N51" s="45" t="inlineStr">
        <is>
          <t>ข้อสอบจริง Product ปี 2564 ข้อ 48</t>
        </is>
      </c>
      <c r="O51" s="46" t="inlineStr">
        <is>
          <t>ข้อสอบจริง</t>
        </is>
      </c>
      <c r="P51" s="46" t="inlineStr">
        <is>
          <t>ปี 2564</t>
        </is>
      </c>
    </row>
    <row r="52">
      <c r="A52" s="46" t="n">
        <v>50</v>
      </c>
      <c r="B52" s="45" t="inlineStr">
        <is>
          <t>Ringer's ผสมกับ ceftriaxone จะเกิดอะไรขึ้น</t>
        </is>
      </c>
      <c r="C52" s="46" t="n"/>
      <c r="D52" s="45" t="inlineStr">
        <is>
          <t>ตกตะกอน</t>
        </is>
      </c>
      <c r="E52" s="45" t="inlineStr">
        <is>
          <t>pH เปลี่ยน</t>
        </is>
      </c>
      <c r="F52" s="45" t="inlineStr">
        <is>
          <t>เกิดกลิ่นไม่พึงประสงค์</t>
        </is>
      </c>
      <c r="G52" s="45" t="inlineStr">
        <is>
          <t>เกิดฟอง</t>
        </is>
      </c>
      <c r="H52" s="45" t="inlineStr">
        <is>
          <t>หนืดขึ้น คำอธิบาย: Ceftriaxone เป็นยากลุ่ม cephalosporin ที่มีความไม่เข้ากันกับสารละลายที่มี calcium ion (Ca²⁺) โดย Ringer's solution (รวมถึง Lactated Ringer's) มี Ca²⁺ เมื่อผสมกับ ceftriaxone จะทำให้เกิด ตะกอน (precipitation)</t>
        </is>
      </c>
      <c r="I52" s="46" t="n">
        <v>1</v>
      </c>
      <c r="J52" s="45" t="inlineStr">
        <is>
          <t>✅ คำตอบที่ถูกต้อง: ข้อ ก. ตกตะกอน
💡 Background:
คำถามข้อสอบจริงใบประกอบวิชาชีพ PLE-CC 1 (Product) ปี 2564 ข้อ 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2" s="46" t="n"/>
      <c r="L52" s="45" t="inlineStr">
        <is>
          <t>Pharmaceutical Technology General</t>
        </is>
      </c>
      <c r="M52" s="46" t="inlineStr">
        <is>
          <t>Product</t>
        </is>
      </c>
      <c r="N52" s="45" t="inlineStr">
        <is>
          <t>ข้อสอบจริง Product ปี 2564 ข้อ 55</t>
        </is>
      </c>
      <c r="O52" s="46" t="inlineStr">
        <is>
          <t>ข้อสอบจริง</t>
        </is>
      </c>
      <c r="P52" s="46" t="inlineStr">
        <is>
          <t>ปี 2564</t>
        </is>
      </c>
    </row>
    <row r="53">
      <c r="A53" s="46" t="n">
        <v>51</v>
      </c>
      <c r="B53" s="45" t="inlineStr">
        <is>
          <t>ทำ calcium effervescent ข้อใดถูกต้อง</t>
        </is>
      </c>
      <c r="C53" s="46" t="n"/>
      <c r="D53" s="45" t="inlineStr">
        <is>
          <t>Moisture content ไมเกิน 50%</t>
        </is>
      </c>
      <c r="E53" s="45" t="inlineStr">
        <is>
          <t>มี sodium bicarb \+ ascorbic acid</t>
        </is>
      </c>
      <c r="F53" s="45" t="inlineStr">
        <is>
          <t>มี low key resisted content</t>
        </is>
      </c>
      <c r="G53" s="45" t="inlineStr">
        <is>
          <t>- ตอบ ไม่มีคำตอบ choice ไม่ครบ</t>
        </is>
      </c>
      <c r="H53" s="45" t="inlineStr"/>
      <c r="I53" s="46" t="n">
        <v>3</v>
      </c>
      <c r="J53" s="45" t="inlineStr">
        <is>
          <t>✅ คำตอบที่ถูกต้อง: ข้อ ค. มี low key resisted content
💡 Background:
คำถามข้อสอบจริงใบประกอบวิชาชีพ PLE-CC 1 (Product) ปี 2564 ข้อ 56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3" s="46" t="n"/>
      <c r="L53" s="45" t="inlineStr">
        <is>
          <t>Pharmaceutical Technology General</t>
        </is>
      </c>
      <c r="M53" s="46" t="inlineStr">
        <is>
          <t>Product</t>
        </is>
      </c>
      <c r="N53" s="45" t="inlineStr">
        <is>
          <t>ข้อสอบจริง Product ปี 2564 ข้อ 56</t>
        </is>
      </c>
      <c r="O53" s="46" t="inlineStr">
        <is>
          <t>ข้อสอบจริง</t>
        </is>
      </c>
      <c r="P53" s="46" t="inlineStr">
        <is>
          <t>ปี 2564</t>
        </is>
      </c>
    </row>
    <row r="54">
      <c r="A54" s="46" t="n">
        <v>52</v>
      </c>
      <c r="B54" s="45" t="inlineStr">
        <is>
          <t>จากสูตรตำรับนี้ bentonite ทำหน้าที่อะไร Calamine 15 g Zn oxide 5 g Bentonite 3 g Sodium citrate 0.3 g Glycerin 5 ml Purified water 100 ml</t>
        </is>
      </c>
      <c r="C54" s="46" t="n"/>
      <c r="D54" s="45" t="inlineStr">
        <is>
          <t>Suspending agent</t>
        </is>
      </c>
      <c r="E54" s="45" t="inlineStr">
        <is>
          <t>Antioxidant</t>
        </is>
      </c>
      <c r="F54" s="45" t="inlineStr">
        <is>
          <t>Chelating agent</t>
        </is>
      </c>
      <c r="G54" s="45" t="inlineStr">
        <is>
          <t>Coloring agent</t>
        </is>
      </c>
      <c r="H54" s="45" t="inlineStr">
        <is>
          <t>Emulsifying agent คำอธิบาย: Bentonite เป็นดินเหนียวธรรมชาติ (colloidal aluminum silicate) ที่สามารถพองตัวเมื่อสัมผัสน้ำ ทำให้สารละลายมีความหนืดสูง จึงใช้เป็น Suspending agent เพื่อช่วยพยุงอนุภาคของยาไม่ให้ตกตะกอนเร็ว</t>
        </is>
      </c>
      <c r="I54" s="46" t="n">
        <v>1</v>
      </c>
      <c r="J54" s="45" t="inlineStr">
        <is>
          <t>✅ คำตอบที่ถูกต้อง: ข้อ ก. Suspending agent
💡 Background:
คำถามข้อสอบจริงใบประกอบวิชาชีพ PLE-CC 1 (Product) ปี 2564 ข้อ 60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4" s="46" t="n"/>
      <c r="L54" s="45" t="inlineStr">
        <is>
          <t>Pharmaceutical Technology General</t>
        </is>
      </c>
      <c r="M54" s="46" t="inlineStr">
        <is>
          <t>Product</t>
        </is>
      </c>
      <c r="N54" s="45" t="inlineStr">
        <is>
          <t>ข้อสอบจริง Product ปี 2564 ข้อ 60</t>
        </is>
      </c>
      <c r="O54" s="46" t="inlineStr">
        <is>
          <t>ข้อสอบจริง</t>
        </is>
      </c>
      <c r="P54" s="46" t="inlineStr">
        <is>
          <t>ปี 2564</t>
        </is>
      </c>
    </row>
    <row r="55">
      <c r="A55" s="46" t="n">
        <v>53</v>
      </c>
      <c r="B55" s="45" t="inlineStr">
        <is>
          <t>หากยาเคลือบมีปัญหา bridging of logo จะมีวิธีแก้ปัญหาอย่างไร</t>
        </is>
      </c>
      <c r="C55" s="46" t="n"/>
      <c r="D55" s="45" t="inlineStr">
        <is>
          <t>เพิ่ม talcum ❌ ช่วยลดการติด (anti-tacking) ไม่แก้ bridging</t>
        </is>
      </c>
      <c r="E55" s="45" t="inlineStr">
        <is>
          <t>ทำให้ตัวอักษรลึกขึ้น</t>
        </is>
      </c>
      <c r="F55" s="45" t="inlineStr">
        <is>
          <t>เพิ่ม plasticizer ❌ ช่วยให้ฟิล์มยืดหยุ่น ไม่ได้แก้ปัญหาโลโก้ถูกปิด</t>
        </is>
      </c>
      <c r="G55" s="45" t="inlineStr">
        <is>
          <t>เพิ่ม opacifier ❌ เปลี่ยนความทึบแสง ไม่เกี่ยวกับ bridging</t>
        </is>
      </c>
      <c r="H55" s="45" t="inlineStr">
        <is>
          <t>เพิ่มอุณหภูมิของหม้อเคลือบ ❌ อาจช่วยให้แห้งเร็วขึ้น แต่ไม่ใช่วิธีหลักในการแก้ bridging</t>
        </is>
      </c>
      <c r="I55" s="46" t="n">
        <v>1</v>
      </c>
      <c r="J55" s="45" t="inlineStr">
        <is>
          <t>✅ คำตอบที่ถูกต้อง: ข้อ ก. เพิ่ม talcum ❌ ช่วยลดการติด (anti-tacking) ไม่แก้ bridging
💡 Background:
คำถามข้อสอบจริงใบประกอบวิชาชีพ PLE-CC 1 (Product) ปี 2564 ข้อ 68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5" s="46" t="n"/>
      <c r="L55" s="45" t="inlineStr">
        <is>
          <t>Pharmaceutical Technology General</t>
        </is>
      </c>
      <c r="M55" s="46" t="inlineStr">
        <is>
          <t>Product</t>
        </is>
      </c>
      <c r="N55" s="45" t="inlineStr">
        <is>
          <t>ข้อสอบจริง Product ปี 2564 ข้อ 68</t>
        </is>
      </c>
      <c r="O55" s="46" t="inlineStr">
        <is>
          <t>ข้อสอบจริง</t>
        </is>
      </c>
      <c r="P55" s="46" t="inlineStr">
        <is>
          <t>ปี 2564</t>
        </is>
      </c>
    </row>
    <row r="56">
      <c r="A56" s="46" t="n">
        <v>54</v>
      </c>
      <c r="B56" s="45" t="inlineStr">
        <is>
          <t>FeSO4 มีมวลโมเลกุล 152 ต้องการเตรียมสารความเข้มข้น 0.2 Molar ปริมาตร 1 ลิตร ต้องใช้ FeSO4 กี่กรัม</t>
        </is>
      </c>
      <c r="C56" s="46" t="n"/>
      <c r="D56" s="45" t="inlineStr">
        <is>
          <t>304</t>
        </is>
      </c>
      <c r="E56" s="45" t="inlineStr">
        <is>
          <t>152</t>
        </is>
      </c>
      <c r="F56" s="45" t="inlineStr">
        <is>
          <t>28.83</t>
        </is>
      </c>
      <c r="G56" s="45" t="inlineStr">
        <is>
          <t>30.4</t>
        </is>
      </c>
      <c r="H56" s="45" t="inlineStr">
        <is>
          <t>15.2 คำอธิบาย: จากสูตร mol \= g/Mw และ Molar \= mol / V จะได้ 		g \= Molar x V x Mw แทนค่า		g \= 0.2 x 1 x 152 g \= 30.4</t>
        </is>
      </c>
      <c r="I56" s="46" t="n">
        <v>1</v>
      </c>
      <c r="J56" s="45" t="inlineStr">
        <is>
          <t>✅ คำตอบที่ถูกต้อง: ข้อ ก. 304
💡 Background:
คำถามข้อสอบจริงใบประกอบวิชาชีพ PLE-CC 1 (Product) ปี 2564 ข้อ 76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6" s="46" t="n"/>
      <c r="L56" s="45" t="inlineStr">
        <is>
          <t>Pharmaceutical Technology General</t>
        </is>
      </c>
      <c r="M56" s="46" t="inlineStr">
        <is>
          <t>Product</t>
        </is>
      </c>
      <c r="N56" s="45" t="inlineStr">
        <is>
          <t>ข้อสอบจริง Product ปี 2564 ข้อ 76</t>
        </is>
      </c>
      <c r="O56" s="46" t="inlineStr">
        <is>
          <t>ข้อสอบจริง</t>
        </is>
      </c>
      <c r="P56" s="46" t="inlineStr">
        <is>
          <t>ปี 2564</t>
        </is>
      </c>
    </row>
    <row r="57">
      <c r="A57" s="46" t="n">
        <v>55</v>
      </c>
      <c r="B57" s="45" t="inlineStr">
        <is>
          <t>ยา X ปริมาณ 150 mg มีปริมาณตัวยาสาคัญ 142 mg มีปริมาณน้ำ 4.72% จะมี %label amount ของตัวยาที่ไม่มีน้ำเท่าไหร่</t>
        </is>
      </c>
      <c r="C57" s="46" t="inlineStr">
        <is>
          <t>[แนบรูป: ข้อสอบ Product ปี 2564 รหัสรูปภาพ image86]</t>
        </is>
      </c>
      <c r="D57" s="45" t="inlineStr">
        <is>
          <t>90.4</t>
        </is>
      </c>
      <c r="E57" s="45" t="inlineStr">
        <is>
          <t>94.7</t>
        </is>
      </c>
      <c r="F57" s="45" t="inlineStr">
        <is>
          <t>95.7</t>
        </is>
      </c>
      <c r="G57" s="45" t="inlineStr">
        <is>
          <t>98.9</t>
        </is>
      </c>
      <c r="H57" s="45" t="inlineStr">
        <is>
          <t>100.5 คำอธิบาย:[แนบรูป: ข้อสอบ Product ปี 2564 รหัสรูปภาพ image86] จากสูตร 	\[Q/T/(100-W/100)\] x 100 แทนค่า		\[(142/150)/(100-4.72/100)\] x 100 \= 99.35 ดังนั้นจึงประมาณเป็น D. 98.9</t>
        </is>
      </c>
      <c r="I57" s="46" t="n">
        <v>1</v>
      </c>
      <c r="J57" s="45" t="inlineStr">
        <is>
          <t>✅ คำตอบที่ถูกต้อง: ข้อ ก. 90.4
💡 Background:
คำถามข้อสอบจริงใบประกอบวิชาชีพ PLE-CC 1 (Product) ปี 2564 ข้อ 94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7" s="46" t="n"/>
      <c r="L57" s="45" t="inlineStr">
        <is>
          <t>Pharmaceutical Technology General</t>
        </is>
      </c>
      <c r="M57" s="46" t="inlineStr">
        <is>
          <t>Product</t>
        </is>
      </c>
      <c r="N57" s="45" t="inlineStr">
        <is>
          <t>ข้อสอบจริง Product ปี 2564 ข้อ 94</t>
        </is>
      </c>
      <c r="O57" s="46" t="inlineStr">
        <is>
          <t>ข้อสอบจริง</t>
        </is>
      </c>
      <c r="P57" s="46" t="inlineStr">
        <is>
          <t>ปี 2564</t>
        </is>
      </c>
    </row>
    <row r="58">
      <c r="A58" s="46" t="n">
        <v>56</v>
      </c>
      <c r="B58" s="45" t="inlineStr">
        <is>
          <t>ข้อใดเป็น preservatives ในตำรับนี้</t>
        </is>
      </c>
      <c r="C58" s="46" t="n"/>
      <c r="D58" s="45" t="inlineStr">
        <is>
          <t>Dexamethasone ❌ → ตัวยาสำคัญ (corticosteroid)</t>
        </is>
      </c>
      <c r="E58" s="45" t="inlineStr">
        <is>
          <t>Benzyl alcohol ✅ → Preservative</t>
        </is>
      </c>
      <c r="F58" s="45" t="inlineStr">
        <is>
          <t>Sodium chloride ❌ → ปรับความเป็น isotonic</t>
        </is>
      </c>
      <c r="G58" s="45" t="inlineStr">
        <is>
          <t>Sodium hydroxide ❌ → ปรับ pH</t>
        </is>
      </c>
      <c r="H58" s="45" t="inlineStr">
        <is>
          <t>Polysorbate 80 ❌ → Surfactant / Emulsifier / Solubilizer</t>
        </is>
      </c>
      <c r="I58" s="46" t="n">
        <v>1</v>
      </c>
      <c r="J58" s="45" t="inlineStr">
        <is>
          <t>✅ คำตอบที่ถูกต้อง: ข้อ ก. Dexamethasone ❌ → ตัวยาสำคัญ (corticosteroid)
💡 Background:
คำถามข้อสอบจริงใบประกอบวิชาชีพ PLE-CC 1 (Product) ปี 2564 ข้อ 104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8" s="46" t="n"/>
      <c r="L58" s="45" t="inlineStr">
        <is>
          <t>Pharmaceutical Technology General</t>
        </is>
      </c>
      <c r="M58" s="46" t="inlineStr">
        <is>
          <t>Product</t>
        </is>
      </c>
      <c r="N58" s="45" t="inlineStr">
        <is>
          <t>ข้อสอบจริง Product ปี 2564 ข้อ 104</t>
        </is>
      </c>
      <c r="O58" s="46" t="inlineStr">
        <is>
          <t>ข้อสอบจริง</t>
        </is>
      </c>
      <c r="P58" s="46" t="inlineStr">
        <is>
          <t>ปี 2564</t>
        </is>
      </c>
    </row>
    <row r="59">
      <c r="A59" s="46" t="n">
        <v>57</v>
      </c>
      <c r="B59" s="45" t="inlineStr">
        <is>
          <t>ครีม betamethasone valerate 0.1% คิด %label amout ได้ 100 ถ้าในครีม 1 g จะมียาเท่าไร</t>
        </is>
      </c>
      <c r="C59" s="46" t="n"/>
      <c r="D59" s="45" t="inlineStr">
        <is>
          <t>betamethasone 1 mg</t>
        </is>
      </c>
      <c r="E59" s="45" t="inlineStr">
        <is>
          <t>betamethasone 10 mg</t>
        </is>
      </c>
      <c r="F59" s="45" t="inlineStr">
        <is>
          <t>betamethasone valerate 0.1 mg</t>
        </is>
      </c>
      <c r="G59" s="45" t="inlineStr">
        <is>
          <t>betamethasone valerate 1 mg</t>
        </is>
      </c>
      <c r="H59" s="45" t="inlineStr">
        <is>
          <t>betamethasone valerate 10 mg คำอธิบาย: betamethasone valerate 0.1% 	\= betamethasone valerate 0.1 g / 100 g \= betamethasone valerate 100 mg / 100 g betamethasone valerate 0.1% 1 g 	\= 100 mg / 100 g x 1 g \= 1 mg</t>
        </is>
      </c>
      <c r="I59" s="46" t="n">
        <v>1</v>
      </c>
      <c r="J59" s="45" t="inlineStr">
        <is>
          <t>✅ คำตอบที่ถูกต้อง: ข้อ ก. betamethasone 1 mg
💡 Background:
คำถามข้อสอบจริงใบประกอบวิชาชีพ PLE-CC 1 (Product) ปี 2564 ข้อ 106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9" s="46" t="n"/>
      <c r="L59" s="45" t="inlineStr">
        <is>
          <t>Pharmaceutical Technology General</t>
        </is>
      </c>
      <c r="M59" s="46" t="inlineStr">
        <is>
          <t>Product</t>
        </is>
      </c>
      <c r="N59" s="45" t="inlineStr">
        <is>
          <t>ข้อสอบจริง Product ปี 2564 ข้อ 106</t>
        </is>
      </c>
      <c r="O59" s="46" t="inlineStr">
        <is>
          <t>ข้อสอบจริง</t>
        </is>
      </c>
      <c r="P59" s="46" t="inlineStr">
        <is>
          <t>ปี 2564</t>
        </is>
      </c>
    </row>
    <row r="60">
      <c r="A60" s="46" t="n">
        <v>58</v>
      </c>
      <c r="B60" s="45" t="inlineStr">
        <is>
          <t>จะหา corticosteroids systemic equivalency ได้จากหนังสือใด</t>
        </is>
      </c>
      <c r="C60" s="46" t="n"/>
      <c r="D60" s="45" t="inlineStr">
        <is>
          <t>Drug information handbook</t>
        </is>
      </c>
      <c r="E60" s="45" t="inlineStr">
        <is>
          <t>British Formula (BNF) ❌ เน้นแนวทางการใช้ยาและการสั่งใช้ ไม่ใช่แหล่งหลักของตารางนี้</t>
        </is>
      </c>
      <c r="F60" s="45" t="inlineStr">
        <is>
          <t>Martindale ❌ ข้อมูลยาละเอียด แต่ไม่ใช่แหล่งที่นิยมเปิดหาตาราง equivalency</t>
        </is>
      </c>
      <c r="G60" s="45" t="inlineStr">
        <is>
          <t>USP ❌ มาตรฐานคุณภาพยา ไม่ใช่ข้อมูลทางคลินิก</t>
        </is>
      </c>
      <c r="H60" s="45" t="inlineStr">
        <is>
          <t>MIMS ❌ เน้นข้อมูลผลิตภัณฑ์และข้อบ่งใช้</t>
        </is>
      </c>
      <c r="I60" s="46" t="n">
        <v>1</v>
      </c>
      <c r="J60" s="45" t="inlineStr">
        <is>
          <t>✅ คำตอบที่ถูกต้อง: ข้อ ก. Drug information handbook
💡 Background:
คำถามข้อสอบจริงใบประกอบวิชาชีพ PLE-CC 1 (Product) ปี 2564 ข้อ 122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0" s="46" t="n"/>
      <c r="L60" s="45" t="inlineStr">
        <is>
          <t>Pharmaceutical Technology General</t>
        </is>
      </c>
      <c r="M60" s="46" t="inlineStr">
        <is>
          <t>Product</t>
        </is>
      </c>
      <c r="N60" s="45" t="inlineStr">
        <is>
          <t>ข้อสอบจริง Product ปี 2564 ข้อ 122</t>
        </is>
      </c>
      <c r="O60" s="46" t="inlineStr">
        <is>
          <t>ข้อสอบจริง</t>
        </is>
      </c>
      <c r="P60" s="46" t="inlineStr">
        <is>
          <t>ปี 2564</t>
        </is>
      </c>
    </row>
    <row r="61">
      <c r="A61" s="46" t="n">
        <v>59</v>
      </c>
      <c r="B61" s="45" t="inlineStr">
        <is>
          <t>ต้องการค้นข้อมูลเกี่ยวกับยาที่เป็นปัจจุบันควรค้นจากฐานข้อมูลใดดีที่สุด</t>
        </is>
      </c>
      <c r="C61" s="46" t="n"/>
      <c r="D61" s="45" t="inlineStr">
        <is>
          <t>Drug Information Handbook ❌ เป็นตำราอ้างอิง ใช้ง่าย แต่ไม่ได้อัปเดตเร็วเท่างานวิจัย</t>
        </is>
      </c>
      <c r="E61" s="45" t="inlineStr">
        <is>
          <t>Drug Facts and Comparisons ❌ เน้นข้อมูลเปรียบเทียบยา ไม่ใช่ฐานข้อมูลงานวิจัยล่าสุด</t>
        </is>
      </c>
      <c r="F61" s="45" t="inlineStr">
        <is>
          <t>AHFS (American Hospital Formulary Service) ❌ เป็นแหล่งข้อมูลยาแบบ monograph แต่ไม่ใช่ฐานข้อมูลงานวิจัยล่าสุด</t>
        </is>
      </c>
      <c r="G61" s="45" t="inlineStr">
        <is>
          <t>PubMed ✅ ฐานข้อมูลบทความวิจัยทางการแพทย์ที่ทันสมัย</t>
        </is>
      </c>
      <c r="H61" s="45" t="inlineStr">
        <is>
          <t>Pharmacotherapy Handbook ❌ ตำราเรียนด้านการรักษา</t>
        </is>
      </c>
      <c r="I61" s="46" t="n">
        <v>1</v>
      </c>
      <c r="J61" s="45" t="inlineStr">
        <is>
          <t>✅ คำตอบที่ถูกต้อง: ข้อ ก. Drug Information Handbook ❌ เป็นตำราอ้างอิง ใช้ง่าย แต่ไม่ได้อัปเดตเร็วเท่างานวิจัย
💡 Background:
คำถามข้อสอบจริงใบประกอบวิชาชีพ PLE-CC 1 (Product) ปี 2564 ข้อ 128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1" s="46" t="n"/>
      <c r="L61" s="45" t="inlineStr">
        <is>
          <t>Pharmaceutical Technology General</t>
        </is>
      </c>
      <c r="M61" s="46" t="inlineStr">
        <is>
          <t>Product</t>
        </is>
      </c>
      <c r="N61" s="45" t="inlineStr">
        <is>
          <t>ข้อสอบจริง Product ปี 2564 ข้อ 128</t>
        </is>
      </c>
      <c r="O61" s="46" t="inlineStr">
        <is>
          <t>ข้อสอบจริง</t>
        </is>
      </c>
      <c r="P61" s="46" t="inlineStr">
        <is>
          <t>ปี 2564</t>
        </is>
      </c>
    </row>
    <row r="62">
      <c r="A62" s="46" t="n">
        <v>60</v>
      </c>
      <c r="B62" s="45" t="inlineStr">
        <is>
          <t>ข้อใดไม่ใช่คุณสมบัติในการออกแบบ Ideal inhale corticosteroid</t>
        </is>
      </c>
      <c r="C62" s="46" t="n"/>
      <c r="D62" s="45" t="inlineStr">
        <is>
          <t>High lipophilicity</t>
        </is>
      </c>
      <c r="E62" s="45" t="inlineStr">
        <is>
          <t>High affinity steroid receptor</t>
        </is>
      </c>
      <c r="F62" s="45" t="inlineStr">
        <is>
          <t>High systemic absorption</t>
        </is>
      </c>
      <c r="G62" s="45" t="inlineStr">
        <is>
          <t>Topical action</t>
        </is>
      </c>
      <c r="H62" s="45" t="inlineStr">
        <is>
          <t>Less side effect คำอธิบาย: Ideal inhaled corticosteroid ต้องการ ออกฤทธิ์เฉพาะที่ปอด (topical action) และมี systemic absorption ต่ำ เพื่อลดผลข้างเคียงทั่วร่างกาย</t>
        </is>
      </c>
      <c r="I62" s="46" t="n">
        <v>1</v>
      </c>
      <c r="J62" s="45" t="inlineStr">
        <is>
          <t>✅ คำตอบที่ถูกต้อง: ข้อ ก. High lipophilicity
💡 Background:
คำถามข้อสอบจริงใบประกอบวิชาชีพ PLE-CC 1 (Product) ปี 2564 ข้อ 133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2" s="46" t="n"/>
      <c r="L62" s="45" t="inlineStr">
        <is>
          <t>Pharmaceutical Technology General</t>
        </is>
      </c>
      <c r="M62" s="46" t="inlineStr">
        <is>
          <t>Product</t>
        </is>
      </c>
      <c r="N62" s="45" t="inlineStr">
        <is>
          <t>ข้อสอบจริง Product ปี 2564 ข้อ 133</t>
        </is>
      </c>
      <c r="O62" s="46" t="inlineStr">
        <is>
          <t>ข้อสอบจริง</t>
        </is>
      </c>
      <c r="P62" s="46" t="inlineStr">
        <is>
          <t>ปี 2564</t>
        </is>
      </c>
    </row>
    <row r="63">
      <c r="A63" s="46" t="n">
        <v>61</v>
      </c>
      <c r="B63" s="45" t="inlineStr">
        <is>
          <t>ยาเปลี่ยนสีจากปฏิกิริยา oxidation ควรเติมสารใด</t>
        </is>
      </c>
      <c r="C63" s="46" t="n"/>
      <c r="D63" s="45" t="inlineStr">
        <is>
          <t>PEG ❌ Cosolvent / base</t>
        </is>
      </c>
      <c r="E63" s="45" t="inlineStr">
        <is>
          <t>Glycerin ❌ Humectant / cosolvent</t>
        </is>
      </c>
      <c r="F63" s="45" t="inlineStr">
        <is>
          <t>Sodium metabisulfite ✅ Antioxidant</t>
        </is>
      </c>
      <c r="G63" s="45" t="inlineStr">
        <is>
          <t>Benzalkonium chloride ❌ Preservative</t>
        </is>
      </c>
      <c r="H63" s="45" t="inlineStr">
        <is>
          <t>Cyclodextrin ❌ ช่วยเพิ่มการละลายและความคงตัวของยา ไม่ใช่ antioxidant</t>
        </is>
      </c>
      <c r="I63" s="46" t="n">
        <v>1</v>
      </c>
      <c r="J63" s="45" t="inlineStr">
        <is>
          <t>✅ คำตอบที่ถูกต้อง: ข้อ ก. PEG ❌ Cosolvent / base
💡 Background:
คำถามข้อสอบจริงใบประกอบวิชาชีพ PLE-CC 1 (Product) ปี 2564 ข้อ 141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3" s="46" t="n"/>
      <c r="L63" s="45" t="inlineStr">
        <is>
          <t>Pharmaceutical Technology General</t>
        </is>
      </c>
      <c r="M63" s="46" t="inlineStr">
        <is>
          <t>Product</t>
        </is>
      </c>
      <c r="N63" s="45" t="inlineStr">
        <is>
          <t>ข้อสอบจริง Product ปี 2564 ข้อ 141</t>
        </is>
      </c>
      <c r="O63" s="46" t="inlineStr">
        <is>
          <t>ข้อสอบจริง</t>
        </is>
      </c>
      <c r="P63" s="46" t="inlineStr">
        <is>
          <t>ปี 2564</t>
        </is>
      </c>
    </row>
    <row r="64">
      <c r="A64" s="46" t="n">
        <v>62</v>
      </c>
      <c r="B64" s="45" t="inlineStr">
        <is>
          <t>เตรียม atenolol 0.2% 50 ml ต้องใช้ atenolol (25 mg/tab) กี่เม็ด</t>
        </is>
      </c>
      <c r="C64" s="46" t="n"/>
      <c r="D64" s="45" t="inlineStr">
        <is>
          <t>2</t>
        </is>
      </c>
      <c r="E64" s="45" t="inlineStr">
        <is>
          <t>3</t>
        </is>
      </c>
      <c r="F64" s="45" t="inlineStr">
        <is>
          <t>4</t>
        </is>
      </c>
      <c r="G64" s="45" t="inlineStr">
        <is>
          <t>5</t>
        </is>
      </c>
      <c r="H64" s="45" t="inlineStr">
        <is>
          <t>6 คำอธิบาย: 0.2 g/100ml x 50ml \= 0.1g \=100mg ดังนั้นต้องใช้ 4 เม็ด</t>
        </is>
      </c>
      <c r="I64" s="46" t="n">
        <v>1</v>
      </c>
      <c r="J64" s="45" t="inlineStr">
        <is>
          <t>✅ คำตอบที่ถูกต้อง: ข้อ ก. 2
💡 Background:
คำถามข้อสอบจริงใบประกอบวิชาชีพ PLE-CC 1 (Product) ปี 2564 ข้อ 142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4" s="46" t="n"/>
      <c r="L64" s="45" t="inlineStr">
        <is>
          <t>Pharmaceutical Technology General</t>
        </is>
      </c>
      <c r="M64" s="46" t="inlineStr">
        <is>
          <t>Product</t>
        </is>
      </c>
      <c r="N64" s="45" t="inlineStr">
        <is>
          <t>ข้อสอบจริง Product ปี 2564 ข้อ 142</t>
        </is>
      </c>
      <c r="O64" s="46" t="inlineStr">
        <is>
          <t>ข้อสอบจริง</t>
        </is>
      </c>
      <c r="P64" s="46" t="inlineStr">
        <is>
          <t>ปี 2564</t>
        </is>
      </c>
    </row>
    <row r="65">
      <c r="A65" s="46" t="n">
        <v>63</v>
      </c>
      <c r="B65" s="45" t="inlineStr">
        <is>
          <t>ข้อใดคือวิธีแก้ไขปัญหาสารนอนก้นเร็วของตำรับยาน้ำแขวนตะกอน</t>
        </is>
      </c>
      <c r="C65" s="46" t="n"/>
      <c r="D65" s="45" t="inlineStr">
        <is>
          <t>เพิ่มความหนืด ✅ ลดอัตราการตกตะกอน</t>
        </is>
      </c>
      <c r="E65" s="45" t="inlineStr">
        <is>
          <t>เพิ่มขนาดอนุภาค ❌ อนุภาคใหญ่ตกเร็วขึ้น</t>
        </is>
      </c>
      <c r="F65" s="45" t="inlineStr">
        <is>
          <t>เพิ่มสารช่วยเปียก ❌ ช่วยให้ผงกระจายตัว ไม่ได้ลดการตกตะกอนโดยตรง</t>
        </is>
      </c>
      <c r="G65" s="45" t="inlineStr">
        <is>
          <t>เพิ่มอุณหภูมิของตำรับ ❌ ความหนืดลดลง ทำให้ตกเร็วขึ้น</t>
        </is>
      </c>
      <c r="H65" s="45" t="inlineStr">
        <is>
          <t>ทำให้ความหนาแน่นของ 2 วัฏภาคต่างกันมาก ๆ ❌ ยิ่งต่างกันมาก ยิ่งตกเร็ว</t>
        </is>
      </c>
      <c r="I65" s="46" t="n">
        <v>1</v>
      </c>
      <c r="J65" s="45" t="inlineStr">
        <is>
          <t>✅ คำตอบที่ถูกต้อง: ข้อ ก. เพิ่มความหนืด ✅ ลดอัตราการตกตะกอน
💡 Background:
คำถามข้อสอบจริงใบประกอบวิชาชีพ PLE-CC 1 (Product) ปี 2564 ข้อ 155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5" s="46" t="n"/>
      <c r="L65" s="45" t="inlineStr">
        <is>
          <t>Pharmaceutical Technology General</t>
        </is>
      </c>
      <c r="M65" s="46" t="inlineStr">
        <is>
          <t>Product</t>
        </is>
      </c>
      <c r="N65" s="45" t="inlineStr">
        <is>
          <t>ข้อสอบจริง Product ปี 2564 ข้อ 155</t>
        </is>
      </c>
      <c r="O65" s="46" t="inlineStr">
        <is>
          <t>ข้อสอบจริง</t>
        </is>
      </c>
      <c r="P65" s="46" t="inlineStr">
        <is>
          <t>ปี 2564</t>
        </is>
      </c>
    </row>
    <row r="66">
      <c r="A66" s="46" t="n">
        <v>64</v>
      </c>
      <c r="B66" s="45" t="inlineStr">
        <is>
          <t>ในการผลิตยาต้านวัณโรค การควบคุมคุณภาพตาม USP กำหนดว่าห้ามพบเชื้อใด</t>
        </is>
      </c>
      <c r="C66" s="46" t="n"/>
      <c r="D66" s="45" t="inlineStr">
        <is>
          <t>E. coli</t>
        </is>
      </c>
      <c r="E66" s="45" t="inlineStr">
        <is>
          <t>Candida albican</t>
        </is>
      </c>
      <c r="F66" s="45" t="inlineStr">
        <is>
          <t>Bacillus subtilis</t>
        </is>
      </c>
      <c r="G66" s="45" t="inlineStr">
        <is>
          <t>Aspergillus niger</t>
        </is>
      </c>
      <c r="H66" s="45" t="inlineStr">
        <is>
          <t>Enterobacter spp. คำอธิบาย: ยารับประทาน (โดยเฉพาะยาที่มีความเสี่ยงจากการปนเปื้อนจุลินทรีย์) ตาม USP microbial limit test มักกำหนด เชื้อก่อโรคที่ต้องไม่พบ เช่น Escherichia coli</t>
        </is>
      </c>
      <c r="I66" s="46" t="n">
        <v>1</v>
      </c>
      <c r="J66" s="45" t="inlineStr">
        <is>
          <t>✅ คำตอบที่ถูกต้อง: ข้อ ก. E. coli
💡 Background:
คำถามข้อสอบจริงใบประกอบวิชาชีพ PLE-CC 1 (Product) ปี 2564 ข้อ 163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6" s="46" t="n"/>
      <c r="L66" s="45" t="inlineStr">
        <is>
          <t>Pharmaceutical Technology General</t>
        </is>
      </c>
      <c r="M66" s="46" t="inlineStr">
        <is>
          <t>Product</t>
        </is>
      </c>
      <c r="N66" s="45" t="inlineStr">
        <is>
          <t>ข้อสอบจริง Product ปี 2564 ข้อ 163</t>
        </is>
      </c>
      <c r="O66" s="46" t="inlineStr">
        <is>
          <t>ข้อสอบจริง</t>
        </is>
      </c>
      <c r="P66" s="46" t="inlineStr">
        <is>
          <t>ปี 2564</t>
        </is>
      </c>
    </row>
    <row r="67">
      <c r="A67" s="46" t="n">
        <v>65</v>
      </c>
      <c r="B67" s="45" t="inlineStr">
        <is>
          <t>ในขั้นตอน method validation ควรทดสอบใดเป็นอันดับแรก</t>
        </is>
      </c>
      <c r="C67" s="46" t="n"/>
      <c r="D67" s="45" t="inlineStr">
        <is>
          <t>Accuracy</t>
        </is>
      </c>
      <c r="E67" s="45" t="inlineStr">
        <is>
          <t>Precisions</t>
        </is>
      </c>
      <c r="F67" s="45" t="inlineStr">
        <is>
          <t>Specificity</t>
        </is>
      </c>
      <c r="G67" s="45" t="inlineStr">
        <is>
          <t>Linearity</t>
        </is>
      </c>
      <c r="H67" s="45" t="inlineStr">
        <is>
          <t>Range คำอธิบาย: ต้องตรวจสอบก่อนว่า วิธีวิเคราะห์สามารถแยกสารที่ต้องการวิเคราะห์ออกจากสารรบกวนได้หรือไม่ ถ้าวิธีไม่จำเพาะ ผลการทดสอบอื่น ๆ เช่น accuracy หรือ precision จะไม่มีความหมาย</t>
        </is>
      </c>
      <c r="I67" s="46" t="n">
        <v>1</v>
      </c>
      <c r="J67" s="45" t="inlineStr">
        <is>
          <t>✅ คำตอบที่ถูกต้อง: ข้อ ก. Accuracy
💡 Background:
คำถามข้อสอบจริงใบประกอบวิชาชีพ PLE-CC 1 (Product) ปี 2564 ข้อ 168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67" s="46" t="n"/>
      <c r="L67" s="45" t="inlineStr">
        <is>
          <t>Preformulation &amp; Good Manufacturing Practice</t>
        </is>
      </c>
      <c r="M67" s="46" t="inlineStr">
        <is>
          <t>Product</t>
        </is>
      </c>
      <c r="N67" s="45" t="inlineStr">
        <is>
          <t>ข้อสอบจริง Product ปี 2564 ข้อ 168</t>
        </is>
      </c>
      <c r="O67" s="46" t="inlineStr">
        <is>
          <t>ข้อสอบจริง</t>
        </is>
      </c>
      <c r="P67" s="46" t="inlineStr">
        <is>
          <t>ปี 2564</t>
        </is>
      </c>
    </row>
    <row r="68">
      <c r="A68" s="46" t="n">
        <v>66</v>
      </c>
      <c r="B68" s="45" t="inlineStr">
        <is>
          <t>พืชที่ประกอบด้วย sulfur-containing compound หลายชนิด ข้อใดน่าจะเกิด herb-drug interaction กับกลุ่มยาต้านเกล็ดเลือดมากที่สุด?</t>
        </is>
      </c>
      <c r="C68" s="46" t="n"/>
      <c r="D68" s="45" t="inlineStr">
        <is>
          <t>ขิง ❌ มีฤทธิ์ต้านเกล็ดเลือดได้เล็กน้อย แต่ไม่เด่นด้าน sulfur compound</t>
        </is>
      </c>
      <c r="E68" s="45" t="inlineStr">
        <is>
          <t>แปะก๊วย ❌ มีผลต่อ platelet ได้ แต่สารสำคัญเป็น flavonoids/terpenoids</t>
        </is>
      </c>
      <c r="F68" s="45" t="inlineStr">
        <is>
          <t>กระเทียม ✅ มี sulfur compounds → antiplatelet effect</t>
        </is>
      </c>
      <c r="G68" s="45" t="inlineStr">
        <is>
          <t>ชุมเห็ดเทศ ❌ ใช้เป็นยาระบาย</t>
        </is>
      </c>
      <c r="H68" s="45" t="inlineStr">
        <is>
          <t>คาโมมายล์ ❌ มีฤทธิ์สงบ/ต้านอักเสบ ไม่ใช่ sulfur compound สถานการณ์: ผู้ป่วยชาย อายุ 55 ปี ถูกวินิจฉัยเป็น CHF (ภาวะหัวใจล้มเหลว) เมื่อ 6 เดือนที่แล้ว ได้รับการรักษาด้วยยา enalapril โดยมีการปฏิบัติตัว และใช้ยาตามแพทย์สั่งอย่างสม่ำเสมอ คุมอาการได้ดี</t>
        </is>
      </c>
      <c r="I68" s="46" t="n">
        <v>1</v>
      </c>
      <c r="J68" s="45" t="inlineStr">
        <is>
          <t>✅ คำตอบที่ถูกต้อง: ข้อ ก. ขิง ❌ มีฤทธิ์ต้านเกล็ดเลือดได้เล็กน้อย แต่ไม่เด่นด้าน sulfur compound
💡 Background:
คำถามข้อสอบจริงใบประกอบวิชาชีพ PLE-CC 1 (Product) ปี 2564 ข้อ 183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8" s="46" t="n"/>
      <c r="L68" s="45" t="inlineStr">
        <is>
          <t>Pharmaceutical Technology General</t>
        </is>
      </c>
      <c r="M68" s="46" t="inlineStr">
        <is>
          <t>Product</t>
        </is>
      </c>
      <c r="N68" s="45" t="inlineStr">
        <is>
          <t>ข้อสอบจริง Product ปี 2564 ข้อ 183</t>
        </is>
      </c>
      <c r="O68" s="46" t="inlineStr">
        <is>
          <t>ข้อสอบจริง</t>
        </is>
      </c>
      <c r="P68" s="46" t="inlineStr">
        <is>
          <t>ปี 2564</t>
        </is>
      </c>
    </row>
    <row r="69">
      <c r="A69" s="46" t="n">
        <v>67</v>
      </c>
      <c r="B69" s="45" t="inlineStr">
        <is>
          <t>FeSO4 มีมวลโมเลกุล 152 ต้องการเตรียมสารความเข้มข้น 0.2 Molar ปริมาตร 1 ลิตร ต้องใช้ FeSO4 กี่กรัม ต้นฉบับ: Day 2 ข้อ 53</t>
        </is>
      </c>
      <c r="C69" s="46" t="n"/>
      <c r="D69" s="45" t="inlineStr">
        <is>
          <t>304</t>
        </is>
      </c>
      <c r="E69" s="45" t="inlineStr">
        <is>
          <t>152</t>
        </is>
      </c>
      <c r="F69" s="45" t="inlineStr">
        <is>
          <t>28.83</t>
        </is>
      </c>
      <c r="G69" s="45" t="inlineStr">
        <is>
          <t>30.4</t>
        </is>
      </c>
      <c r="H69" s="45" t="inlineStr">
        <is>
          <t xml:space="preserve">15.2 | คำตอบ: d) 30.4 0.2 mol/L × 1 L × 152 g/mol \= 30.4 g ข้อที่ไม่ถูก a) มากกว่าคำตอบ 10 เท่า b) เป็นมวลของ 1 mol c) ไม่ตรงกับค่าที่โจทย์กำหนด e) เป็นมวลของ 0.1 mol | | :---- | </t>
        </is>
      </c>
      <c r="I69" s="46" t="n">
        <v>4</v>
      </c>
      <c r="J69" s="45" t="inlineStr">
        <is>
          <t>✅ คำตอบที่ถูกต้อง: ข้อ ง. 30.4
💡 Background:
คำถามข้อสอบจริงใบประกอบวิชาชีพ PLE-CC 1 (Product) ปี 2563 ข้อ 4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9" s="46" t="n"/>
      <c r="L69" s="45" t="inlineStr">
        <is>
          <t>Pharmaceutical Technology General</t>
        </is>
      </c>
      <c r="M69" s="46" t="inlineStr">
        <is>
          <t>Product</t>
        </is>
      </c>
      <c r="N69" s="45" t="inlineStr">
        <is>
          <t>ข้อสอบจริง Product ปี 2563 ข้อ 4</t>
        </is>
      </c>
      <c r="O69" s="46" t="inlineStr">
        <is>
          <t>ข้อสอบจริง</t>
        </is>
      </c>
      <c r="P69" s="46" t="inlineStr">
        <is>
          <t>ปี 2563</t>
        </is>
      </c>
    </row>
    <row r="70">
      <c r="A70" s="46" t="n">
        <v>68</v>
      </c>
      <c r="B70" s="45" t="inlineStr">
        <is>
          <t>ข้อใดเป็นการทดสอบ Specific test สำหรับ risedronate ต้นฉบับ: Day 1 ข้อ 65</t>
        </is>
      </c>
      <c r="C70" s="46" t="n"/>
      <c r="D70" s="45" t="inlineStr">
        <is>
          <t>Identification</t>
        </is>
      </c>
      <c r="E70" s="45" t="inlineStr">
        <is>
          <t>Assay</t>
        </is>
      </c>
      <c r="F70" s="45" t="inlineStr">
        <is>
          <t>Impurity</t>
        </is>
      </c>
      <c r="G70" s="45" t="inlineStr">
        <is>
          <t>Water determination</t>
        </is>
      </c>
      <c r="H70" s="45" t="inlineStr">
        <is>
          <t xml:space="preserve">pH | คำตอบ: d) Water determination เพราะอยู่ในหมวด specific test ของ monograph ของ risedronate sodium ข้อที่ไม่ถูก a) b) c) และ e) ไม่ใช่ specific test แต่เป็น universal test | | :---- | </t>
        </is>
      </c>
      <c r="I70" s="46" t="n">
        <v>4</v>
      </c>
      <c r="J70" s="45" t="inlineStr">
        <is>
          <t>✅ คำตอบที่ถูกต้อง: ข้อ ง. Water determination
💡 Background:
คำถามข้อสอบจริงใบประกอบวิชาชีพ PLE-CC 1 (Product) ปี 2563 ข้อ 8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0" s="46" t="n"/>
      <c r="L70" s="45" t="inlineStr">
        <is>
          <t>Pharmaceutical Technology General</t>
        </is>
      </c>
      <c r="M70" s="46" t="inlineStr">
        <is>
          <t>Product</t>
        </is>
      </c>
      <c r="N70" s="45" t="inlineStr">
        <is>
          <t>ข้อสอบจริง Product ปี 2563 ข้อ 8</t>
        </is>
      </c>
      <c r="O70" s="46" t="inlineStr">
        <is>
          <t>ข้อสอบจริง</t>
        </is>
      </c>
      <c r="P70" s="46" t="inlineStr">
        <is>
          <t>ปี 2563</t>
        </is>
      </c>
    </row>
    <row r="71">
      <c r="A71" s="46" t="n">
        <v>69</v>
      </c>
      <c r="B71" s="45" t="inlineStr">
        <is>
          <t>Metformin ฟิล์มเคลือบแตก (film cracking) เกิดจากสาเหตุใด ต้นฉบับ: Day 1 ข้อ 11</t>
        </is>
      </c>
      <c r="C71" s="46" t="n"/>
      <c r="D71" s="45" t="inlineStr">
        <is>
          <t>สารให้ความยืดหยุ่นน้อยเกินไป</t>
        </is>
      </c>
      <c r="E71" s="45" t="inlineStr">
        <is>
          <t>อุณหภูมิต่ำเกินไป</t>
        </is>
      </c>
      <c r="F71" s="45" t="inlineStr">
        <is>
          <t>หมุนหม้อเร็วเกิน</t>
        </is>
      </c>
      <c r="G71" s="45" t="inlineStr">
        <is>
          <t>พ่นสารเคลือบช้าเกิน</t>
        </is>
      </c>
      <c r="H71" s="45" t="inlineStr">
        <is>
          <t xml:space="preserve">สารเคลือบที่พ่นหนืดเกิน | คำตอบ: a) สารให้ความยืดหยุ่นน้อยเกินไป Plasticizer ไม่พอทำให้ฟิล์มเปราะและแตกร้าวเมื่อแห้ง ข้อที่ไม่ถูก b) อุณหภูมิต่ำมักทำให้ฟิล์มแห้งช้าและเหนียว c) หม้อหมุนเร็วเกินมักทำให้เม็ดยากระแทกหรือกะเทาะ d) พ่นช้าเกินมักทำให้ผิวหยาบจากละอองแห้งก่อนถึงเม็ดยา e) สารเคลือบหนืดเกินมักพ่นเป็นละอองได้ไม่ดี | | :---- | </t>
        </is>
      </c>
      <c r="I71" s="46" t="n">
        <v>1</v>
      </c>
      <c r="J71" s="45" t="inlineStr">
        <is>
          <t>✅ คำตอบที่ถูกต้อง: ข้อ ก. สารให้ความยืดหยุ่นน้อยเกินไป
💡 Background:
คำถามข้อสอบจริงใบประกอบวิชาชีพ PLE-CC 1 (Product) ปี 2563 ข้อ 17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1" s="46" t="n"/>
      <c r="L71" s="45" t="inlineStr">
        <is>
          <t>Pharmaceutical Technology General</t>
        </is>
      </c>
      <c r="M71" s="46" t="inlineStr">
        <is>
          <t>Product</t>
        </is>
      </c>
      <c r="N71" s="45" t="inlineStr">
        <is>
          <t>ข้อสอบจริง Product ปี 2563 ข้อ 17</t>
        </is>
      </c>
      <c r="O71" s="46" t="inlineStr">
        <is>
          <t>ข้อสอบจริง</t>
        </is>
      </c>
      <c r="P71" s="46" t="inlineStr">
        <is>
          <t>ปี 2563</t>
        </is>
      </c>
    </row>
    <row r="72">
      <c r="A72" s="46" t="n">
        <v>70</v>
      </c>
      <c r="B72" s="45" t="inlineStr">
        <is>
          <t>หากยาเคลือบมีปัญหา bridging of logo จะมีวิธีการแก้ปัญหาอย่างไร ต้นฉบับ: Day 2 ข้อ 26</t>
        </is>
      </c>
      <c r="C72" s="46" t="n"/>
      <c r="D72" s="45" t="inlineStr">
        <is>
          <t>เพิ่ม talcum</t>
        </is>
      </c>
      <c r="E72" s="45" t="inlineStr">
        <is>
          <t>ทำให้ตัวอักษรลึกขึ้น</t>
        </is>
      </c>
      <c r="F72" s="45" t="inlineStr">
        <is>
          <t>เพิ่มปริมาณ plasticizer</t>
        </is>
      </c>
      <c r="G72" s="45" t="inlineStr">
        <is>
          <t>เพิ่มปริมาณ opacifier</t>
        </is>
      </c>
      <c r="H72" s="45" t="inlineStr">
        <is>
          <t xml:space="preserve">เพิ่มอุณหภูมิของหม้อเคลือบ | คำตอบ: c) เพิ่มปริมาณ plasticizer ช่วยให้ฟิล์มยืดหยุ่นและแนบไปตามร่องตัวอักษร จึงลดการปิด logo ข้อที่ไม่ถูก a) Talc ช่วยลดความเหนียว แต่ไม่ได้แก้การพาดของฟิล์มโดยตรง b) ทำตัวอักษรลึกขึ้นเป็นการแก้ที่แม่พิมพ์ d) Opacifier เพิ่มความทึบ ไม่ช่วยให้ฟิล์มเข้าร่อง e) เพิ่มอุณหภูมิไม่ได้แก้ความยืดหยุ่นของฟิล์ม | | :---- | </t>
        </is>
      </c>
      <c r="I72" s="46" t="n">
        <v>3</v>
      </c>
      <c r="J72" s="45" t="inlineStr">
        <is>
          <t>✅ คำตอบที่ถูกต้อง: ข้อ ค. เพิ่มปริมาณ plasticizer
💡 Background:
คำถามข้อสอบจริงใบประกอบวิชาชีพ PLE-CC 1 (Product) ปี 2563 ข้อ 31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2" s="46" t="n"/>
      <c r="L72" s="45" t="inlineStr">
        <is>
          <t>Pharmaceutical Technology General</t>
        </is>
      </c>
      <c r="M72" s="46" t="inlineStr">
        <is>
          <t>Product</t>
        </is>
      </c>
      <c r="N72" s="45" t="inlineStr">
        <is>
          <t>ข้อสอบจริง Product ปี 2563 ข้อ 31</t>
        </is>
      </c>
      <c r="O72" s="46" t="inlineStr">
        <is>
          <t>ข้อสอบจริง</t>
        </is>
      </c>
      <c r="P72" s="46" t="inlineStr">
        <is>
          <t>ปี 2563</t>
        </is>
      </c>
    </row>
    <row r="73">
      <c r="A73" s="46" t="n">
        <v>71</v>
      </c>
      <c r="B73" s="45" t="inlineStr">
        <is>
          <t>ระดับ nicotine ในเลือดแบบใดเป็นของ nicotine gum 2 mg 1 ชิ้น และ nicotine patch 21 mg 1 แผ่น ตามลำดับ ต้นฉบับ: Day 2 ข้อ 74 [แนบรูป: ข้อสอบ Product ปี 2563 รหัสรูปภาพ image99] รูปประกอบจากข้อสอบต้นฉบับ</t>
        </is>
      </c>
      <c r="C73" s="46" t="inlineStr">
        <is>
          <t>[แนบรูป: ข้อสอบ Product ปี 2563 รหัสรูปภาพ image99]</t>
        </is>
      </c>
      <c r="D73" s="45" t="inlineStr">
        <is>
          <t>A และ B</t>
        </is>
      </c>
      <c r="E73" s="45" t="inlineStr">
        <is>
          <t>B และ C</t>
        </is>
      </c>
      <c r="F73" s="45" t="inlineStr">
        <is>
          <t>C และ D</t>
        </is>
      </c>
      <c r="G73" s="45" t="inlineStr">
        <is>
          <t>D และ A</t>
        </is>
      </c>
      <c r="H73" s="45" t="inlineStr">
        <is>
          <t xml:space="preserve">B และ D | คำตอบ: c) C และ D เส้น C สอดคล้องกับ nicotine gum ส่วน D ค่อย ๆ เพิ่มและคงระดับได้นานแบบ patch ข้อที่ไม่ถูก a) A เพิ่มเร็วมากคล้ายการสูบบุหรี่ ไม่ใช่ gum b) B เพิ่มเร็วและสูงเกินลักษณะของ gum d) A ไม่ใช่ patch e) B ไม่ใช่ gum ส่วน D เป็น patch | | :---- | </t>
        </is>
      </c>
      <c r="I73" s="46" t="n">
        <v>3</v>
      </c>
      <c r="J73" s="45" t="inlineStr">
        <is>
          <t>✅ คำตอบที่ถูกต้อง: ข้อ ค. C และ D
💡 Background:
คำถามข้อสอบจริงใบประกอบวิชาชีพ PLE-CC 1 (Product) ปี 2563 ข้อ 35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3" s="46" t="n"/>
      <c r="L73" s="45" t="inlineStr">
        <is>
          <t>Pharmaceutical Technology General</t>
        </is>
      </c>
      <c r="M73" s="46" t="inlineStr">
        <is>
          <t>Product</t>
        </is>
      </c>
      <c r="N73" s="45" t="inlineStr">
        <is>
          <t>ข้อสอบจริง Product ปี 2563 ข้อ 35</t>
        </is>
      </c>
      <c r="O73" s="46" t="inlineStr">
        <is>
          <t>ข้อสอบจริง</t>
        </is>
      </c>
      <c r="P73" s="46" t="inlineStr">
        <is>
          <t>ปี 2563</t>
        </is>
      </c>
    </row>
    <row r="74">
      <c r="A74" s="46" t="n">
        <v>72</v>
      </c>
      <c r="B74" s="45" t="inlineStr">
        <is>
          <t>ระบบ osmotic-controlled drug delivery ข้อใดถูก ต้นฉบับ: Day 2 ข้อ 112</t>
        </is>
      </c>
      <c r="C74" s="46" t="n"/>
      <c r="D74" s="45" t="inlineStr">
        <is>
          <t>ปล่อยยาแบบ Zero order</t>
        </is>
      </c>
      <c r="E74" s="45" t="inlineStr">
        <is>
          <t>การผลิตใช้ราคาถูกกว่า</t>
        </is>
      </c>
      <c r="F74" s="45" t="inlineStr">
        <is>
          <t>เป็นระบบที่สามารถย่อยสลายได้ในร่างกาย</t>
        </is>
      </c>
      <c r="G74" s="45" t="inlineStr">
        <is>
          <t xml:space="preserve">เป็นระบบที่สามารถบรรจุยาในปริมาณมากๆได้ | คำตอบ: a) ปล่อยยาแบบ zero order แรงดันออสโมซิสช่วยดันยาออกผ่านรูเปิดด้วยอัตราค่อนข้างคงที่ ข้อที่ไม่ถูก b) กระบวนการผลิตซับซ้อนและมีต้นทุนสูง c) เปลือกระบบทั่วไปไม่ได้ย่อยสลายในร่างกายทั้งหมด d) ระบบมีพื้นที่บรรจุจำกัดจากส่วนประกอบของแกนและชั้นควบคุม | | :---- | </t>
        </is>
      </c>
      <c r="H74" s="45" t="inlineStr"/>
      <c r="I74" s="46" t="n">
        <v>1</v>
      </c>
      <c r="J74" s="45" t="inlineStr">
        <is>
          <t>✅ คำตอบที่ถูกต้อง: ข้อ ก. ปล่อยยาแบบ Zero order
💡 Background:
คำถามข้อสอบจริงใบประกอบวิชาชีพ PLE-CC 1 (Product) ปี 2563 ข้อ 37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4" s="46" t="n"/>
      <c r="L74" s="45" t="inlineStr">
        <is>
          <t>Pharmaceutical Technology General</t>
        </is>
      </c>
      <c r="M74" s="46" t="inlineStr">
        <is>
          <t>Product</t>
        </is>
      </c>
      <c r="N74" s="45" t="inlineStr">
        <is>
          <t>ข้อสอบจริง Product ปี 2563 ข้อ 37</t>
        </is>
      </c>
      <c r="O74" s="46" t="inlineStr">
        <is>
          <t>ข้อสอบจริง</t>
        </is>
      </c>
      <c r="P74" s="46" t="inlineStr">
        <is>
          <t>ปี 2563</t>
        </is>
      </c>
    </row>
    <row r="75">
      <c r="A75" s="46" t="n">
        <v>73</v>
      </c>
      <c r="B75" s="45" t="inlineStr">
        <is>
          <t>วัคซีน Dengue เป็นเชื้อเป็นอ่อนฤทธิ์ ทำโดยวิธี lyophilization สารใดช่วยรักษาความคงตัวของแอนติเจน ต้นฉบับ: Day 1 ข้อ 55</t>
        </is>
      </c>
      <c r="C75" s="46" t="n"/>
      <c r="D75" s="45" t="inlineStr">
        <is>
          <t>Aluminium hydroxide</t>
        </is>
      </c>
      <c r="E75" s="45" t="inlineStr">
        <is>
          <t>Beta propiolactone</t>
        </is>
      </c>
      <c r="F75" s="45" t="inlineStr">
        <is>
          <t>Thimerosal</t>
        </is>
      </c>
      <c r="G75" s="45" t="inlineStr">
        <is>
          <t>Neomycin</t>
        </is>
      </c>
      <c r="H75" s="45" t="inlineStr">
        <is>
          <t xml:space="preserve">Magnesium hydroxide | คำตอบที่ข้อสอบน่าจะต้องการ: e) Magnesium hydroxide ตัวเลือกอื่นเป็น adjuvant สารทำลายเชื้อ preservative หรือ antibiotic จึงเหลือข้อนี้ในฐานะสารช่วยคงสภาพ ข้อที่ไม่ถูก a) Aluminium hydroxide เป็น adjuvant b) Beta-propiolactone ใช้ทำให้ไวรัสหมดฤทธิ์ c) Thimerosal เป็น preservative d) Neomycin ใช้ควบคุมการปนเปื้อนระหว่างการผลิต หมายเหตุ: ข้อนี้มีปัญหา เพราะสูตรวัคซีน dengue ที่ใช้จริงไม่ได้ใช้ magnesium hydroxide เป็น stabilizer จึงอาจพิมพ์ชื่อสารผิด | | :---- | # IDQ VII </t>
        </is>
      </c>
      <c r="I75" s="46" t="n">
        <v>1</v>
      </c>
      <c r="J75" s="45" t="inlineStr">
        <is>
          <t>✅ คำตอบที่ถูกต้อง: ข้อ ก. Aluminium hydroxide
💡 Background:
คำถามข้อสอบจริงใบประกอบวิชาชีพ PLE-CC 1 (Product) ปี 2563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5" s="46" t="n"/>
      <c r="L75" s="45" t="inlineStr">
        <is>
          <t>Pharmaceutical Technology General</t>
        </is>
      </c>
      <c r="M75" s="46" t="inlineStr">
        <is>
          <t>Product</t>
        </is>
      </c>
      <c r="N75" s="45" t="inlineStr">
        <is>
          <t>ข้อสอบจริง Product ปี 2563 ข้อ 65</t>
        </is>
      </c>
      <c r="O75" s="46" t="inlineStr">
        <is>
          <t>ข้อสอบจริง</t>
        </is>
      </c>
      <c r="P75" s="46" t="inlineStr">
        <is>
          <t>ปี 2563</t>
        </is>
      </c>
    </row>
    <row r="76">
      <c r="A76" s="46" t="n">
        <v>74</v>
      </c>
      <c r="B76" s="45" t="inlineStr">
        <is>
          <t>ยาที่จะทำให้อยู่ในรูปของ control release จะต้องมีคุณสมบัติอย่างไร</t>
        </is>
      </c>
      <c r="C76" s="46" t="n"/>
      <c r="D76" s="45" t="inlineStr">
        <is>
          <t>ยาละลายน้ำได้ดี</t>
        </is>
      </c>
      <c r="E76" s="45" t="inlineStr">
        <is>
          <t>มีค่าครึ่งชีวิตยาว</t>
        </is>
      </c>
      <c r="F76" s="45" t="inlineStr">
        <is>
          <t>มีดัชนีการรักษาแคบ</t>
        </is>
      </c>
      <c r="G76" s="45" t="inlineStr">
        <is>
          <t>สลายตัวได้ง่ายที่สภาวะเป็นกรด</t>
        </is>
      </c>
      <c r="H76" s="45" t="inlineStr">
        <is>
          <t>เหมาะกับยาที่มีโมเลกุลขนาดใหญ่</t>
        </is>
      </c>
      <c r="I76" s="46" t="n">
        <v>1</v>
      </c>
      <c r="J76" s="45" t="inlineStr">
        <is>
          <t>✅ คำตอบที่ถูกต้อง: ข้อ ก. ยาละลายน้ำได้ดี
💡 Background:
คำถามข้อสอบจริงใบประกอบวิชาชีพ PLE-CC 1 (Product) ปี 2561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6" s="46" t="n"/>
      <c r="L76" s="45" t="inlineStr">
        <is>
          <t>Pharmaceutical Technology General</t>
        </is>
      </c>
      <c r="M76" s="46" t="inlineStr">
        <is>
          <t>Product</t>
        </is>
      </c>
      <c r="N76" s="45" t="inlineStr">
        <is>
          <t>ข้อสอบจริง Product ปี 2561 ข้อ 3</t>
        </is>
      </c>
      <c r="O76" s="46" t="inlineStr">
        <is>
          <t>ข้อสอบจริง</t>
        </is>
      </c>
      <c r="P76" s="46" t="inlineStr">
        <is>
          <t>ปี 2561</t>
        </is>
      </c>
    </row>
    <row r="77">
      <c r="A77" s="46" t="n">
        <v>75</v>
      </c>
      <c r="B77" s="45" t="inlineStr">
        <is>
          <t>ส่วนประกอบของสูตรเคลือบฟิล์มของยา ferrous sulfate ข้อใดถูกต้อง</t>
        </is>
      </c>
      <c r="C77" s="46" t="n"/>
      <c r="D77" s="45" t="inlineStr">
        <is>
          <t>Talcum ทำหน้าที่เป็นสารก่อฟิล์ม</t>
        </is>
      </c>
      <c r="E77" s="45" t="inlineStr">
        <is>
          <t>Ethyl alcohol ทำหน้าที่เป็น antioxidant</t>
        </is>
      </c>
      <c r="F77" s="45" t="inlineStr">
        <is>
          <t>Propylene glycol ทำหน้าที่เป็น plasticizer</t>
        </is>
      </c>
      <c r="G77" s="45" t="inlineStr">
        <is>
          <t>Titanium dioxide ทำหน้าที่เป็นสารก่อฟิล์ม</t>
        </is>
      </c>
      <c r="H77" s="45" t="inlineStr">
        <is>
          <t>Hydroxymethylpropyl cellulose ทำหน้าที่เป็นสารทึบแสง</t>
        </is>
      </c>
      <c r="I77" s="46" t="n">
        <v>1</v>
      </c>
      <c r="J77" s="45" t="inlineStr">
        <is>
          <t>✅ คำตอบที่ถูกต้อง: ข้อ ก. Talcum ทำหน้าที่เป็นสารก่อฟิล์ม
💡 Background:
คำถามข้อสอบจริงใบประกอบวิชาชีพ PLE-CC 1 (Product) ปี 2561 ข้อ 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7" s="46" t="n"/>
      <c r="L77" s="45" t="inlineStr">
        <is>
          <t>Pharmaceutical Technology General</t>
        </is>
      </c>
      <c r="M77" s="46" t="inlineStr">
        <is>
          <t>Product</t>
        </is>
      </c>
      <c r="N77" s="45" t="inlineStr">
        <is>
          <t>ข้อสอบจริง Product ปี 2561 ข้อ 4</t>
        </is>
      </c>
      <c r="O77" s="46" t="inlineStr">
        <is>
          <t>ข้อสอบจริง</t>
        </is>
      </c>
      <c r="P77" s="46" t="inlineStr">
        <is>
          <t>ปี 2561</t>
        </is>
      </c>
    </row>
    <row r="78">
      <c r="A78" s="46" t="n">
        <v>76</v>
      </c>
      <c r="B78" s="45" t="inlineStr">
        <is>
          <t>จากระบบยาข้อ 59 ตัวยามีการปลดปล่อยด้วยปฏิกิริยาลำดับใด</t>
        </is>
      </c>
      <c r="C78" s="46" t="n"/>
      <c r="D78" s="45" t="inlineStr">
        <is>
          <t>First order</t>
        </is>
      </c>
      <c r="E78" s="45" t="inlineStr">
        <is>
          <t>Zero order</t>
        </is>
      </c>
      <c r="F78" s="45" t="inlineStr">
        <is>
          <t>Second order</t>
        </is>
      </c>
      <c r="G78" s="45" t="inlineStr">
        <is>
          <t>Pseudo first order</t>
        </is>
      </c>
      <c r="H78" s="45" t="inlineStr">
        <is>
          <t>Pseudo zero order</t>
        </is>
      </c>
      <c r="I78" s="46" t="n">
        <v>1</v>
      </c>
      <c r="J78" s="45" t="inlineStr">
        <is>
          <t>✅ คำตอบที่ถูกต้อง: ข้อ ก. First order
💡 Background:
คำถามข้อสอบจริงใบประกอบวิชาชีพ PLE-CC 1 (Product) ปี 2561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8" s="46" t="n"/>
      <c r="L78" s="45" t="inlineStr">
        <is>
          <t>Pharmaceutical Technology General</t>
        </is>
      </c>
      <c r="M78" s="46" t="inlineStr">
        <is>
          <t>Product</t>
        </is>
      </c>
      <c r="N78" s="45" t="inlineStr">
        <is>
          <t>ข้อสอบจริง Product ปี 2561 ข้อ 14</t>
        </is>
      </c>
      <c r="O78" s="46" t="inlineStr">
        <is>
          <t>ข้อสอบจริง</t>
        </is>
      </c>
      <c r="P78" s="46" t="inlineStr">
        <is>
          <t>ปี 2561</t>
        </is>
      </c>
    </row>
    <row r="79">
      <c r="A79" s="46" t="n">
        <v>77</v>
      </c>
      <c r="B79" s="45" t="inlineStr">
        <is>
          <t>Polysorbate 80 ทำหน้าที่ใดในตำรับ</t>
        </is>
      </c>
      <c r="C79" s="46" t="n"/>
      <c r="D79" s="45" t="inlineStr">
        <is>
          <t>Anti-oxidant</t>
        </is>
      </c>
      <c r="E79" s="45" t="inlineStr">
        <is>
          <t>Wetting agent</t>
        </is>
      </c>
      <c r="F79" s="45" t="inlineStr">
        <is>
          <t>Reducing agent</t>
        </is>
      </c>
      <c r="G79" s="45" t="inlineStr">
        <is>
          <t>Solubilizing agent</t>
        </is>
      </c>
      <c r="H79" s="45" t="inlineStr">
        <is>
          <t>Emulsifying agent</t>
        </is>
      </c>
      <c r="I79" s="46" t="n">
        <v>1</v>
      </c>
      <c r="J79" s="45" t="inlineStr">
        <is>
          <t>✅ คำตอบที่ถูกต้อง: ข้อ ก. Anti-oxidant
💡 Background:
คำถามข้อสอบจริงใบประกอบวิชาชีพ PLE-CC 1 (Product) ปี 2561 ข้อ 23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9" s="46" t="n"/>
      <c r="L79" s="45" t="inlineStr">
        <is>
          <t>Pharmaceutical Technology General</t>
        </is>
      </c>
      <c r="M79" s="46" t="inlineStr">
        <is>
          <t>Product</t>
        </is>
      </c>
      <c r="N79" s="45" t="inlineStr">
        <is>
          <t>ข้อสอบจริง Product ปี 2561 ข้อ 23</t>
        </is>
      </c>
      <c r="O79" s="46" t="inlineStr">
        <is>
          <t>ข้อสอบจริง</t>
        </is>
      </c>
      <c r="P79" s="46" t="inlineStr">
        <is>
          <t>ปี 2561</t>
        </is>
      </c>
    </row>
    <row r="80">
      <c r="A80" s="46" t="n">
        <v>78</v>
      </c>
      <c r="B80" s="45" t="inlineStr">
        <is>
          <t>หากต้องการเพาะเชื้อเพื่อนับจำนวนเชื้อวิธีใดเหมาะสมที่สุด</t>
        </is>
      </c>
      <c r="C80" s="46" t="n"/>
      <c r="D80" s="45" t="inlineStr">
        <is>
          <t>Pour plate</t>
        </is>
      </c>
      <c r="E80" s="45" t="inlineStr">
        <is>
          <t>Spread plate</t>
        </is>
      </c>
      <c r="F80" s="45" t="inlineStr">
        <is>
          <t>Agar slant</t>
        </is>
      </c>
      <c r="G80" s="45" t="inlineStr">
        <is>
          <t>Three sector streak</t>
        </is>
      </c>
      <c r="H80" s="45" t="inlineStr">
        <is>
          <t>Quadrant streak</t>
        </is>
      </c>
      <c r="I80" s="46" t="n">
        <v>1</v>
      </c>
      <c r="J80" s="45" t="inlineStr">
        <is>
          <t>✅ คำตอบที่ถูกต้อง: ข้อ ก. Pour plate
💡 Background:
คำถามข้อสอบจริงใบประกอบวิชาชีพ PLE-CC 1 (Product) ปี 2561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0" s="46" t="n"/>
      <c r="L80" s="45" t="inlineStr">
        <is>
          <t>Pharmaceutical Technology General</t>
        </is>
      </c>
      <c r="M80" s="46" t="inlineStr">
        <is>
          <t>Product</t>
        </is>
      </c>
      <c r="N80" s="45" t="inlineStr">
        <is>
          <t>ข้อสอบจริง Product ปี 2561 ข้อ 27</t>
        </is>
      </c>
      <c r="O80" s="46" t="inlineStr">
        <is>
          <t>ข้อสอบจริง</t>
        </is>
      </c>
      <c r="P80" s="46" t="inlineStr">
        <is>
          <t>ปี 2561</t>
        </is>
      </c>
    </row>
    <row r="81">
      <c r="A81" s="46" t="n">
        <v>79</v>
      </c>
      <c r="B81" s="45" t="inlineStr">
        <is>
          <t>หากเพาะเชื้อโดยใช้อาหาร aerobic bacteria จะไม่สามารถตรวจพบเชื้อใด</t>
        </is>
      </c>
      <c r="C81" s="46" t="n"/>
      <c r="D81" s="45" t="inlineStr">
        <is>
          <t>S. aureaus</t>
        </is>
      </c>
      <c r="E81" s="45" t="inlineStr">
        <is>
          <t>H. influenzae</t>
        </is>
      </c>
      <c r="F81" s="45" t="inlineStr">
        <is>
          <t>Escherichia coli</t>
        </is>
      </c>
      <c r="G81" s="45" t="inlineStr">
        <is>
          <t>Klebsiella pneumoniae</t>
        </is>
      </c>
      <c r="H81" s="45" t="inlineStr">
        <is>
          <t>Clostridium botulinum</t>
        </is>
      </c>
      <c r="I81" s="46" t="n">
        <v>1</v>
      </c>
      <c r="J81" s="45" t="inlineStr">
        <is>
          <t>✅ คำตอบที่ถูกต้อง: ข้อ ก. S. aureaus
💡 Background:
คำถามข้อสอบจริงใบประกอบวิชาชีพ PLE-CC 1 (Product) ปี 2561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1" s="46" t="n"/>
      <c r="L81" s="45" t="inlineStr">
        <is>
          <t>Pharmaceutical Technology General</t>
        </is>
      </c>
      <c r="M81" s="46" t="inlineStr">
        <is>
          <t>Product</t>
        </is>
      </c>
      <c r="N81" s="45" t="inlineStr">
        <is>
          <t>ข้อสอบจริง Product ปี 2561 ข้อ 28</t>
        </is>
      </c>
      <c r="O81" s="46" t="inlineStr">
        <is>
          <t>ข้อสอบจริง</t>
        </is>
      </c>
      <c r="P81" s="46" t="inlineStr">
        <is>
          <t>ปี 2561</t>
        </is>
      </c>
    </row>
    <row r="82">
      <c r="A82" s="46" t="n">
        <v>80</v>
      </c>
      <c r="B82" s="45" t="inlineStr">
        <is>
          <t>จากตารางการทดสอบดูความคงตัวของยาชนิดหนึ่ง กำหนดให้ %LA \= 112% (ปริมาณตัวยาสำคัญ % / เวลา: 101/3เดือน, 99/6เดือน, 98/1ปี, 88/2ปี, 87/3ปี) [แนบรูป: ข้อสอบ Product ปี 2561 รหัสรูปภาพ image107]</t>
        </is>
      </c>
      <c r="C82" s="46" t="inlineStr">
        <is>
          <t>[แนบรูป: ข้อสอบ Product ปี 2561 รหัสรูปภาพ image107]</t>
        </is>
      </c>
      <c r="D82" s="45" t="inlineStr">
        <is>
          <t>3 เดือน</t>
        </is>
      </c>
      <c r="E82" s="45" t="inlineStr">
        <is>
          <t>6 เดือน</t>
        </is>
      </c>
      <c r="F82" s="45" t="inlineStr">
        <is>
          <t>1 ปี</t>
        </is>
      </c>
      <c r="G82" s="45" t="inlineStr">
        <is>
          <t>2 ปี</t>
        </is>
      </c>
      <c r="H82" s="45" t="inlineStr">
        <is>
          <t>3 ปี</t>
        </is>
      </c>
      <c r="I82" s="46" t="n">
        <v>1</v>
      </c>
      <c r="J82" s="45" t="inlineStr">
        <is>
          <t>✅ คำตอบที่ถูกต้อง: ข้อ ก. 3 เดือน
💡 Background:
คำถามข้อสอบจริงใบประกอบวิชาชีพ PLE-CC 1 (Product) ปี 2561 ข้อ 29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2" s="46" t="n"/>
      <c r="L82" s="45" t="inlineStr">
        <is>
          <t>Pharmaceutical Technology General</t>
        </is>
      </c>
      <c r="M82" s="46" t="inlineStr">
        <is>
          <t>Product</t>
        </is>
      </c>
      <c r="N82" s="45" t="inlineStr">
        <is>
          <t>ข้อสอบจริง Product ปี 2561 ข้อ 29</t>
        </is>
      </c>
      <c r="O82" s="46" t="inlineStr">
        <is>
          <t>ข้อสอบจริง</t>
        </is>
      </c>
      <c r="P82" s="46" t="inlineStr">
        <is>
          <t>ปี 2561</t>
        </is>
      </c>
    </row>
    <row r="83">
      <c r="A83" s="46" t="n">
        <v>81</v>
      </c>
      <c r="B83" s="45" t="inlineStr">
        <is>
          <t>ยา HCTZ 25 mg/tab น้ำหนักเม็ดยา 1 เม็ดเท่ากับ 100 mg ควรทดสอบในหัวข้อ uniformity of dosage unit USP41 อย่างไร</t>
        </is>
      </c>
      <c r="C83" s="46" t="n"/>
      <c r="D83" s="45" t="inlineStr">
        <is>
          <t>WV เพราะตัวยาสำคัญตั้งแต่ 25 mg ขึ้นไป</t>
        </is>
      </c>
      <c r="E83" s="45" t="inlineStr">
        <is>
          <t>CU เพราะตัวยาสำคัญ น้อยกว่า 25 mg และสัดส่วนตัวยาสำคัญ คิดเป็น 25%</t>
        </is>
      </c>
      <c r="F83" s="45" t="inlineStr">
        <is>
          <t>CU เพราะตัวยาสำคัญ น้อยกว่า 25 mg หรือสัดส่วนตัวยาสำคัญ คิดเป็น 25%</t>
        </is>
      </c>
      <c r="G83" s="45" t="inlineStr">
        <is>
          <t>WV เพราะตัวยาสำคัญตั้งแต่ 25 mg และสัดส่วนตัวยาสำคัญ คิดเป็น 25%</t>
        </is>
      </c>
      <c r="H83" s="45" t="inlineStr">
        <is>
          <t>WV เพราะตัวยาสำคัญตั้งแต่ 25 mg หรือสัดส่วนตัวยาสำคัญ คิดเป็น 25%</t>
        </is>
      </c>
      <c r="I83" s="46" t="n">
        <v>1</v>
      </c>
      <c r="J83" s="45" t="inlineStr">
        <is>
          <t>✅ คำตอบที่ถูกต้อง: ข้อ ก. WV เพราะตัวยาสำคัญตั้งแต่ 25 mg ขึ้นไป
💡 Background:
คำถามข้อสอบจริงใบประกอบวิชาชีพ PLE-CC 1 (Product) ปี 2561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3" s="46" t="n"/>
      <c r="L83" s="45" t="inlineStr">
        <is>
          <t>Pharmaceutical Technology General</t>
        </is>
      </c>
      <c r="M83" s="46" t="inlineStr">
        <is>
          <t>Product</t>
        </is>
      </c>
      <c r="N83" s="45" t="inlineStr">
        <is>
          <t>ข้อสอบจริง Product ปี 2561 ข้อ 32</t>
        </is>
      </c>
      <c r="O83" s="46" t="inlineStr">
        <is>
          <t>ข้อสอบจริง</t>
        </is>
      </c>
      <c r="P83" s="46" t="inlineStr">
        <is>
          <t>ปี 2561</t>
        </is>
      </c>
    </row>
    <row r="84">
      <c r="A84" s="46" t="n">
        <v>82</v>
      </c>
      <c r="B84" s="45" t="inlineStr">
        <is>
          <t>ข้อใดไม่ใช่คุณสมบัติในการออกแบบ ideal inhale corticosteroid</t>
        </is>
      </c>
      <c r="C84" s="46" t="n"/>
      <c r="D84" s="45" t="inlineStr">
        <is>
          <t>High lipophilicity</t>
        </is>
      </c>
      <c r="E84" s="45" t="inlineStr">
        <is>
          <t>High system absorption</t>
        </is>
      </c>
      <c r="F84" s="45" t="inlineStr">
        <is>
          <t>High affinity steroid receptor</t>
        </is>
      </c>
      <c r="G84" s="45" t="inlineStr">
        <is>
          <t>Topical action</t>
        </is>
      </c>
      <c r="H84" s="45" t="inlineStr">
        <is>
          <t>Less side effect</t>
        </is>
      </c>
      <c r="I84" s="46" t="n">
        <v>1</v>
      </c>
      <c r="J84" s="45" t="inlineStr">
        <is>
          <t>✅ คำตอบที่ถูกต้อง: ข้อ ก. High lipophilicity
💡 Background:
คำถามข้อสอบจริงใบประกอบวิชาชีพ PLE-CC 1 (Product) ปี 2561 ข้อ 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4" s="46" t="n"/>
      <c r="L84" s="45" t="inlineStr">
        <is>
          <t>Pharmaceutical Technology General</t>
        </is>
      </c>
      <c r="M84" s="46" t="inlineStr">
        <is>
          <t>Product</t>
        </is>
      </c>
      <c r="N84" s="45" t="inlineStr">
        <is>
          <t>ข้อสอบจริง Product ปี 2561 ข้อ 33</t>
        </is>
      </c>
      <c r="O84" s="46" t="inlineStr">
        <is>
          <t>ข้อสอบจริง</t>
        </is>
      </c>
      <c r="P84" s="46" t="inlineStr">
        <is>
          <t>ปี 2561</t>
        </is>
      </c>
    </row>
    <row r="85">
      <c r="A85" s="46" t="n">
        <v>83</v>
      </c>
      <c r="B85" s="45" t="inlineStr">
        <is>
          <t>ข้อใดไม่ใช่เทคนิค ในการทำยาที่ดูดซึมผ่านผิวหนัง</t>
        </is>
      </c>
      <c r="C85" s="46" t="n"/>
      <c r="D85" s="45" t="inlineStr">
        <is>
          <t>Microneedle</t>
        </is>
      </c>
      <c r="E85" s="45" t="inlineStr">
        <is>
          <t>Iontophoresis</t>
        </is>
      </c>
      <c r="F85" s="45" t="inlineStr">
        <is>
          <t>Gamma radiation</t>
        </is>
      </c>
      <c r="G85" s="45" t="inlineStr">
        <is>
          <t>Passive diffusion</t>
        </is>
      </c>
      <c r="H85" s="45" t="inlineStr">
        <is>
          <t>Permeable enhancer</t>
        </is>
      </c>
      <c r="I85" s="46" t="n">
        <v>1</v>
      </c>
      <c r="J85" s="45" t="inlineStr">
        <is>
          <t>✅ คำตอบที่ถูกต้อง: ข้อ ก. Microneedle
💡 Background:
คำถามข้อสอบจริงใบประกอบวิชาชีพ PLE-CC 1 (Product) ปี 2561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5" s="46" t="n"/>
      <c r="L85" s="45" t="inlineStr">
        <is>
          <t>Pharmaceutical Technology General</t>
        </is>
      </c>
      <c r="M85" s="46" t="inlineStr">
        <is>
          <t>Product</t>
        </is>
      </c>
      <c r="N85" s="45" t="inlineStr">
        <is>
          <t>ข้อสอบจริง Product ปี 2561 ข้อ 38</t>
        </is>
      </c>
      <c r="O85" s="46" t="inlineStr">
        <is>
          <t>ข้อสอบจริง</t>
        </is>
      </c>
      <c r="P85" s="46" t="inlineStr">
        <is>
          <t>ปี 2561</t>
        </is>
      </c>
    </row>
    <row r="86">
      <c r="A86" s="46" t="n">
        <v>84</v>
      </c>
      <c r="B86" s="45" t="inlineStr">
        <is>
          <t>หากต้องการเตรียม atenolol 0.2%w/v ปริมาตร 50 ml จะต้องใช้ atenolol 25 mg/tab จำนวนกี่เม็ด</t>
        </is>
      </c>
      <c r="C86" s="46" t="n"/>
      <c r="D86" s="45" t="inlineStr">
        <is>
          <t>2</t>
        </is>
      </c>
      <c r="E86" s="45" t="inlineStr">
        <is>
          <t>3</t>
        </is>
      </c>
      <c r="F86" s="45" t="inlineStr">
        <is>
          <t>4</t>
        </is>
      </c>
      <c r="G86" s="45" t="inlineStr">
        <is>
          <t>5</t>
        </is>
      </c>
      <c r="H86" s="45" t="inlineStr">
        <is>
          <t>6</t>
        </is>
      </c>
      <c r="I86" s="46" t="n">
        <v>1</v>
      </c>
      <c r="J86" s="45" t="inlineStr">
        <is>
          <t>✅ คำตอบที่ถูกต้อง: ข้อ ก. 2
💡 Background:
คำถามข้อสอบจริงใบประกอบวิชาชีพ PLE-CC 1 (Product) ปี 2561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6" s="46" t="n"/>
      <c r="L86" s="45" t="inlineStr">
        <is>
          <t>Pharmaceutical Technology General</t>
        </is>
      </c>
      <c r="M86" s="46" t="inlineStr">
        <is>
          <t>Product</t>
        </is>
      </c>
      <c r="N86" s="45" t="inlineStr">
        <is>
          <t>ข้อสอบจริง Product ปี 2561 ข้อ 43</t>
        </is>
      </c>
      <c r="O86" s="46" t="inlineStr">
        <is>
          <t>ข้อสอบจริง</t>
        </is>
      </c>
      <c r="P86" s="46" t="inlineStr">
        <is>
          <t>ปี 2561</t>
        </is>
      </c>
    </row>
    <row r="87">
      <c r="A87" s="46" t="n">
        <v>85</v>
      </c>
      <c r="B87" s="45" t="inlineStr">
        <is>
          <t>ข้อใดคือสภาวะในการทดสอบความคงตัวของยาในประเทศไทย</t>
        </is>
      </c>
      <c r="C87" s="46" t="n"/>
      <c r="D87" s="45" t="inlineStr">
        <is>
          <t>25°C / 70% RH</t>
        </is>
      </c>
      <c r="E87" s="45" t="inlineStr">
        <is>
          <t>25°C / 75% RH</t>
        </is>
      </c>
      <c r="F87" s="45" t="inlineStr">
        <is>
          <t>30°C / 70% RH</t>
        </is>
      </c>
      <c r="G87" s="45" t="inlineStr">
        <is>
          <t>30°C / 75% RH</t>
        </is>
      </c>
      <c r="H87" s="45" t="inlineStr">
        <is>
          <t>40°C / 70% RH</t>
        </is>
      </c>
      <c r="I87" s="46" t="n">
        <v>1</v>
      </c>
      <c r="J87" s="45" t="inlineStr">
        <is>
          <t>✅ คำตอบที่ถูกต้อง: ข้อ ก. 25°C / 70% RH
💡 Background:
คำถามข้อสอบจริงใบประกอบวิชาชีพ PLE-CC 1 (Product) ปี 2561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7" s="46" t="n"/>
      <c r="L87" s="45" t="inlineStr">
        <is>
          <t>Pharmaceutical Technology General</t>
        </is>
      </c>
      <c r="M87" s="46" t="inlineStr">
        <is>
          <t>Product</t>
        </is>
      </c>
      <c r="N87" s="45" t="inlineStr">
        <is>
          <t>ข้อสอบจริง Product ปี 2561 ข้อ 44</t>
        </is>
      </c>
      <c r="O87" s="46" t="inlineStr">
        <is>
          <t>ข้อสอบจริง</t>
        </is>
      </c>
      <c r="P87" s="46" t="inlineStr">
        <is>
          <t>ปี 2561</t>
        </is>
      </c>
    </row>
    <row r="88">
      <c r="A88" s="46" t="n">
        <v>86</v>
      </c>
      <c r="B88" s="45" t="inlineStr">
        <is>
          <t>การบรรจุ diazepam IV ควรทำในห้องสะอาดระดับใด</t>
        </is>
      </c>
      <c r="C88" s="46" t="n"/>
      <c r="D88" s="45" t="inlineStr">
        <is>
          <t>A</t>
        </is>
      </c>
      <c r="E88" s="45" t="inlineStr">
        <is>
          <t>B</t>
        </is>
      </c>
      <c r="F88" s="45" t="inlineStr">
        <is>
          <t>C</t>
        </is>
      </c>
      <c r="G88" s="45" t="inlineStr">
        <is>
          <t>D</t>
        </is>
      </c>
      <c r="H88" s="45" t="inlineStr">
        <is>
          <t>E</t>
        </is>
      </c>
      <c r="I88" s="46" t="n">
        <v>1</v>
      </c>
      <c r="J88" s="45" t="inlineStr">
        <is>
          <t>✅ คำตอบที่ถูกต้อง: ข้อ ก. A
💡 Background:
คำถามข้อสอบจริงใบประกอบวิชาชีพ PLE-CC 1 (Product) ปี 2561 ข้อ 50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8" s="46" t="n"/>
      <c r="L88" s="45" t="inlineStr">
        <is>
          <t>Pharmaceutical Technology General</t>
        </is>
      </c>
      <c r="M88" s="46" t="inlineStr">
        <is>
          <t>Product</t>
        </is>
      </c>
      <c r="N88" s="45" t="inlineStr">
        <is>
          <t>ข้อสอบจริง Product ปี 2561 ข้อ 50</t>
        </is>
      </c>
      <c r="O88" s="46" t="inlineStr">
        <is>
          <t>ข้อสอบจริง</t>
        </is>
      </c>
      <c r="P88" s="46" t="inlineStr">
        <is>
          <t>ปี 2561</t>
        </is>
      </c>
    </row>
    <row r="89">
      <c r="A89" s="46" t="n">
        <v>87</v>
      </c>
      <c r="B89" s="45" t="inlineStr">
        <is>
          <t>บรรจุภัณฑ์ใดเหมาะกับยาที่ไม่ทนแสง และเชื้อ</t>
        </is>
      </c>
      <c r="C89" s="46" t="n"/>
      <c r="D89" s="45" t="inlineStr">
        <is>
          <t>PE bottle</t>
        </is>
      </c>
      <c r="E89" s="45" t="inlineStr">
        <is>
          <t>PVC bottle</t>
        </is>
      </c>
      <c r="F89" s="45" t="inlineStr">
        <is>
          <t>Glass amber type ll</t>
        </is>
      </c>
      <c r="G89" s="45" t="inlineStr">
        <is>
          <t>Glass amber type lll</t>
        </is>
      </c>
      <c r="H89" s="45" t="inlineStr">
        <is>
          <t>Hermetic tight light container</t>
        </is>
      </c>
      <c r="I89" s="46" t="n">
        <v>1</v>
      </c>
      <c r="J89" s="45" t="inlineStr">
        <is>
          <t>✅ คำตอบที่ถูกต้อง: ข้อ ก. PE bottle
💡 Background:
คำถามข้อสอบจริงใบประกอบวิชาชีพ PLE-CC 1 (Product) ปี 2561 ข้อ 61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89" s="46" t="n"/>
      <c r="L89" s="45" t="inlineStr">
        <is>
          <t>Preformulation &amp; Good Manufacturing Practice</t>
        </is>
      </c>
      <c r="M89" s="46" t="inlineStr">
        <is>
          <t>Product</t>
        </is>
      </c>
      <c r="N89" s="45" t="inlineStr">
        <is>
          <t>ข้อสอบจริง Product ปี 2561 ข้อ 61</t>
        </is>
      </c>
      <c r="O89" s="46" t="inlineStr">
        <is>
          <t>ข้อสอบจริง</t>
        </is>
      </c>
      <c r="P89" s="46" t="inlineStr">
        <is>
          <t>ปี 2561</t>
        </is>
      </c>
    </row>
    <row r="90">
      <c r="A90" s="46" t="n">
        <v>88</v>
      </c>
      <c r="B90" s="45" t="inlineStr">
        <is>
          <t>ยาคุมกำเนิด Norplant® มีตัวยา levonorgestrel ลักษณะเป็นผลึกรูปทรงกระบอก ไม่มีรูพรุน คุมกำเนิดได้นาน 5 ปี ข้อใดไม่มีผลต่อการปลดปล่อยยา</t>
        </is>
      </c>
      <c r="C90" s="46" t="n"/>
      <c r="D90" s="45" t="inlineStr">
        <is>
          <t>Solubility</t>
        </is>
      </c>
      <c r="E90" s="45" t="inlineStr">
        <is>
          <t>Device shape</t>
        </is>
      </c>
      <c r="F90" s="45" t="inlineStr">
        <is>
          <t>Partition coefficient</t>
        </is>
      </c>
      <c r="G90" s="45" t="inlineStr">
        <is>
          <t>Diffusion coefficient of drug</t>
        </is>
      </c>
      <c r="H90" s="45" t="inlineStr">
        <is>
          <t>Physiological pH of implant site</t>
        </is>
      </c>
      <c r="I90" s="46" t="n">
        <v>1</v>
      </c>
      <c r="J90" s="45" t="inlineStr">
        <is>
          <t>✅ คำตอบที่ถูกต้อง: ข้อ ก. Solubility
💡 Background:
คำถามข้อสอบจริงใบประกอบวิชาชีพ PLE-CC 1 (Product) ปี 2561 ข้อ 62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0" s="46" t="n"/>
      <c r="L90" s="45" t="inlineStr">
        <is>
          <t>Pharmaceutical Technology General</t>
        </is>
      </c>
      <c r="M90" s="46" t="inlineStr">
        <is>
          <t>Product</t>
        </is>
      </c>
      <c r="N90" s="45" t="inlineStr">
        <is>
          <t>ข้อสอบจริง Product ปี 2561 ข้อ 62</t>
        </is>
      </c>
      <c r="O90" s="46" t="inlineStr">
        <is>
          <t>ข้อสอบจริง</t>
        </is>
      </c>
      <c r="P90" s="46" t="inlineStr">
        <is>
          <t>ปี 2561</t>
        </is>
      </c>
    </row>
    <row r="91">
      <c r="A91" s="46" t="n">
        <v>89</v>
      </c>
      <c r="B91" s="45" t="inlineStr">
        <is>
          <t>สาร sodium metabisulfite ทำหน้าที่อะไร</t>
        </is>
      </c>
      <c r="C91" s="46" t="n"/>
      <c r="D91" s="45" t="inlineStr">
        <is>
          <t>ป้องกัน hydrolysis</t>
        </is>
      </c>
      <c r="E91" s="45" t="inlineStr">
        <is>
          <t>ป้องกัน oxidation</t>
        </is>
      </c>
      <c r="F91" s="45" t="inlineStr">
        <is>
          <t>ป้องกัน reduction</t>
        </is>
      </c>
      <c r="G91" s="45" t="inlineStr">
        <is>
          <t>ป้องกัน precipitation</t>
        </is>
      </c>
      <c r="H91" s="45" t="inlineStr">
        <is>
          <t>ป้องกัน microbial growth</t>
        </is>
      </c>
      <c r="I91" s="46" t="n">
        <v>1</v>
      </c>
      <c r="J91" s="45" t="inlineStr">
        <is>
          <t>✅ คำตอบที่ถูกต้อง: ข้อ ก. ป้องกัน hydrolysis
💡 Background:
คำถามข้อสอบจริงใบประกอบวิชาชีพ PLE-CC 1 (Product) ปี 2561 ข้อ 64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1" s="46" t="n"/>
      <c r="L91" s="45" t="inlineStr">
        <is>
          <t>Pharmaceutical Technology General</t>
        </is>
      </c>
      <c r="M91" s="46" t="inlineStr">
        <is>
          <t>Product</t>
        </is>
      </c>
      <c r="N91" s="45" t="inlineStr">
        <is>
          <t>ข้อสอบจริง Product ปี 2561 ข้อ 64</t>
        </is>
      </c>
      <c r="O91" s="46" t="inlineStr">
        <is>
          <t>ข้อสอบจริง</t>
        </is>
      </c>
      <c r="P91" s="46" t="inlineStr">
        <is>
          <t>ปี 2561</t>
        </is>
      </c>
    </row>
    <row r="92">
      <c r="A92" s="46" t="n">
        <v>90</v>
      </c>
      <c r="B92" s="45" t="inlineStr">
        <is>
          <t>หากต้องการเปลี่ยน sweetening agent จาก sucrose เป็นสารอื่นไม่ควรใช้สารใด</t>
        </is>
      </c>
      <c r="C92" s="46" t="n"/>
      <c r="D92" s="45" t="inlineStr">
        <is>
          <t>PG</t>
        </is>
      </c>
      <c r="E92" s="45" t="inlineStr">
        <is>
          <t>PEG</t>
        </is>
      </c>
      <c r="F92" s="45" t="inlineStr">
        <is>
          <t>Sorbitol</t>
        </is>
      </c>
      <c r="G92" s="45" t="inlineStr">
        <is>
          <t>Aspartame</t>
        </is>
      </c>
      <c r="H92" s="45" t="inlineStr">
        <is>
          <t>Saccharin sodium</t>
        </is>
      </c>
      <c r="I92" s="46" t="n">
        <v>1</v>
      </c>
      <c r="J92" s="45" t="inlineStr">
        <is>
          <t>✅ คำตอบที่ถูกต้อง: ข้อ ก. PG
💡 Background:
คำถามข้อสอบจริงใบประกอบวิชาชีพ PLE-CC 1 (Product) ปี 2561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2" s="46" t="n"/>
      <c r="L92" s="45" t="inlineStr">
        <is>
          <t>Pharmaceutical Technology General</t>
        </is>
      </c>
      <c r="M92" s="46" t="inlineStr">
        <is>
          <t>Product</t>
        </is>
      </c>
      <c r="N92" s="45" t="inlineStr">
        <is>
          <t>ข้อสอบจริง Product ปี 2561 ข้อ 65</t>
        </is>
      </c>
      <c r="O92" s="46" t="inlineStr">
        <is>
          <t>ข้อสอบจริง</t>
        </is>
      </c>
      <c r="P92" s="46" t="inlineStr">
        <is>
          <t>ปี 2561</t>
        </is>
      </c>
    </row>
    <row r="93">
      <c r="A93" s="46" t="n">
        <v>91</v>
      </c>
      <c r="B93" s="45" t="inlineStr">
        <is>
          <t>จากสูตรยาถ้าต้องการเตรียม morphine sulphate ปริมาตร 2 L จะต้องใช้ morphine sulphate กี่กรัม</t>
        </is>
      </c>
      <c r="C93" s="46" t="n"/>
      <c r="D93" s="45" t="inlineStr">
        <is>
          <t>0.2 g</t>
        </is>
      </c>
      <c r="E93" s="45" t="inlineStr">
        <is>
          <t>0.4 g</t>
        </is>
      </c>
      <c r="F93" s="45" t="inlineStr">
        <is>
          <t>2 g</t>
        </is>
      </c>
      <c r="G93" s="45" t="inlineStr">
        <is>
          <t>4 g</t>
        </is>
      </c>
      <c r="H93" s="45" t="inlineStr">
        <is>
          <t>20 g</t>
        </is>
      </c>
      <c r="I93" s="46" t="n">
        <v>1</v>
      </c>
      <c r="J93" s="45" t="inlineStr">
        <is>
          <t>✅ คำตอบที่ถูกต้อง: ข้อ ก. 0.2 g
💡 Background:
คำถามข้อสอบจริงใบประกอบวิชาชีพ PLE-CC 1 (Product) ปี 2561 ข้อ 66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3" s="46" t="n"/>
      <c r="L93" s="45" t="inlineStr">
        <is>
          <t>Pharmaceutical Technology General</t>
        </is>
      </c>
      <c r="M93" s="46" t="inlineStr">
        <is>
          <t>Product</t>
        </is>
      </c>
      <c r="N93" s="45" t="inlineStr">
        <is>
          <t>ข้อสอบจริง Product ปี 2561 ข้อ 66</t>
        </is>
      </c>
      <c r="O93" s="46" t="inlineStr">
        <is>
          <t>ข้อสอบจริง</t>
        </is>
      </c>
      <c r="P93" s="46" t="inlineStr">
        <is>
          <t>ปี 2561</t>
        </is>
      </c>
    </row>
    <row r="94">
      <c r="A94" s="46" t="n">
        <v>92</v>
      </c>
      <c r="B94" s="45" t="inlineStr">
        <is>
          <t>หากบริษัทต้องการทำการทดสอบ long term stability ของยา sitagliptin ต้องทำการทดสอบที่สภาวะใด อ้างอิงตาม ASEAN guideline</t>
        </is>
      </c>
      <c r="C94" s="46" t="n"/>
      <c r="D94" s="45" t="inlineStr">
        <is>
          <t>25°C/65%RH</t>
        </is>
      </c>
      <c r="E94" s="45" t="inlineStr">
        <is>
          <t>25°C/75%RH</t>
        </is>
      </c>
      <c r="F94" s="45" t="inlineStr">
        <is>
          <t>30°C/65%RH</t>
        </is>
      </c>
      <c r="G94" s="45" t="inlineStr">
        <is>
          <t>30°C/75%RH</t>
        </is>
      </c>
      <c r="H94" s="45" t="inlineStr">
        <is>
          <t>40°C/75%RH</t>
        </is>
      </c>
      <c r="I94" s="46" t="n">
        <v>1</v>
      </c>
      <c r="J94" s="45" t="inlineStr">
        <is>
          <t>✅ คำตอบที่ถูกต้อง: ข้อ ก. 25°C/65%RH
💡 Background:
คำถามข้อสอบจริงใบประกอบวิชาชีพ PLE-CC 1 (Product) ปี 2561 ข้อ 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94" s="46" t="n"/>
      <c r="L94" s="45" t="inlineStr">
        <is>
          <t>Preformulation &amp; Good Manufacturing Practice</t>
        </is>
      </c>
      <c r="M94" s="46" t="inlineStr">
        <is>
          <t>Product</t>
        </is>
      </c>
      <c r="N94" s="45" t="inlineStr">
        <is>
          <t>ข้อสอบจริง Product ปี 2561 ข้อ 68</t>
        </is>
      </c>
      <c r="O94" s="46" t="inlineStr">
        <is>
          <t>ข้อสอบจริง</t>
        </is>
      </c>
      <c r="P94" s="46" t="inlineStr">
        <is>
          <t>ปี 2561</t>
        </is>
      </c>
    </row>
    <row r="95">
      <c r="A95" s="46" t="n">
        <v>93</v>
      </c>
      <c r="B95" s="45" t="inlineStr">
        <is>
          <t>Clonazepam 0.5 mg ควรใช้วิธีใดในการตอกเม็ด</t>
        </is>
      </c>
      <c r="C95" s="46" t="n"/>
      <c r="D95" s="45" t="inlineStr">
        <is>
          <t>Fusion method</t>
        </is>
      </c>
      <c r="E95" s="45" t="inlineStr">
        <is>
          <t>Melting method</t>
        </is>
      </c>
      <c r="F95" s="45" t="inlineStr">
        <is>
          <t>Dry granulation</t>
        </is>
      </c>
      <c r="G95" s="45" t="inlineStr">
        <is>
          <t>Wet granulation</t>
        </is>
      </c>
      <c r="H95" s="45" t="inlineStr">
        <is>
          <t>Direct compression</t>
        </is>
      </c>
      <c r="I95" s="46" t="n">
        <v>1</v>
      </c>
      <c r="J95" s="45" t="inlineStr">
        <is>
          <t>✅ คำตอบที่ถูกต้อง: ข้อ ก. Fusion method
💡 Background:
คำถามข้อสอบจริงใบประกอบวิชาชีพ PLE-CC 1 (Product) ปี 2561 ข้อ 70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5" s="46" t="n"/>
      <c r="L95" s="45" t="inlineStr">
        <is>
          <t>Pharmaceutical Technology General</t>
        </is>
      </c>
      <c r="M95" s="46" t="inlineStr">
        <is>
          <t>Product</t>
        </is>
      </c>
      <c r="N95" s="45" t="inlineStr">
        <is>
          <t>ข้อสอบจริง Product ปี 2561 ข้อ 70</t>
        </is>
      </c>
      <c r="O95" s="46" t="inlineStr">
        <is>
          <t>ข้อสอบจริง</t>
        </is>
      </c>
      <c r="P95" s="46" t="inlineStr">
        <is>
          <t>ปี 2561</t>
        </is>
      </c>
    </row>
    <row r="96">
      <c r="A96" s="46" t="n">
        <v>94</v>
      </c>
      <c r="B96" s="45" t="inlineStr">
        <is>
          <t>ข้อใดคือเครื่องวัดขนาดของ aerosol</t>
        </is>
      </c>
      <c r="C96" s="46" t="n"/>
      <c r="D96" s="45" t="inlineStr">
        <is>
          <t>XRPD</t>
        </is>
      </c>
      <c r="E96" s="45" t="inlineStr">
        <is>
          <t>Microscopy</t>
        </is>
      </c>
      <c r="F96" s="45" t="inlineStr">
        <is>
          <t>Cascade impactor</t>
        </is>
      </c>
      <c r="G96" s="45" t="inlineStr">
        <is>
          <t>Laser with labelling</t>
        </is>
      </c>
      <c r="H96" s="45" t="inlineStr">
        <is>
          <t>Dynamic light scattering</t>
        </is>
      </c>
      <c r="I96" s="46" t="n">
        <v>1</v>
      </c>
      <c r="J96" s="45" t="inlineStr">
        <is>
          <t>✅ คำตอบที่ถูกต้อง: ข้อ ก. XRPD
💡 Background:
คำถามข้อสอบจริงใบประกอบวิชาชีพ PLE-CC 1 (Product) ปี 2561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6" s="46" t="n"/>
      <c r="L96" s="45" t="inlineStr">
        <is>
          <t>Pharmaceutical Technology General</t>
        </is>
      </c>
      <c r="M96" s="46" t="inlineStr">
        <is>
          <t>Product</t>
        </is>
      </c>
      <c r="N96" s="45" t="inlineStr">
        <is>
          <t>ข้อสอบจริง Product ปี 2561 ข้อ 74</t>
        </is>
      </c>
      <c r="O96" s="46" t="inlineStr">
        <is>
          <t>ข้อสอบจริง</t>
        </is>
      </c>
      <c r="P96" s="46" t="inlineStr">
        <is>
          <t>ปี 2561</t>
        </is>
      </c>
    </row>
    <row r="97">
      <c r="A97" s="46" t="n">
        <v>95</v>
      </c>
      <c r="B97" s="45" t="inlineStr">
        <is>
          <t>ยา sodium alendronate จัดอยู่ใน biopharmaceutical classification system (BCS) Class ใด</t>
        </is>
      </c>
      <c r="C97" s="46" t="n"/>
      <c r="D97" s="45" t="inlineStr">
        <is>
          <t>Non</t>
        </is>
      </c>
      <c r="E97" s="45" t="inlineStr">
        <is>
          <t>BCS I</t>
        </is>
      </c>
      <c r="F97" s="45" t="inlineStr">
        <is>
          <t>BCS II</t>
        </is>
      </c>
      <c r="G97" s="45" t="inlineStr">
        <is>
          <t>BCS III</t>
        </is>
      </c>
      <c r="H97" s="45" t="inlineStr">
        <is>
          <t>BCS IV</t>
        </is>
      </c>
      <c r="I97" s="46" t="n">
        <v>1</v>
      </c>
      <c r="J97" s="45" t="inlineStr">
        <is>
          <t>✅ คำตอบที่ถูกต้อง: ข้อ ก. Non
💡 Background:
คำถามข้อสอบจริงใบประกอบวิชาชีพ PLE-CC 1 (Product) ปี 2561 ข้อ 78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7" s="46" t="n"/>
      <c r="L97" s="45" t="inlineStr">
        <is>
          <t>Pharmaceutical Technology General</t>
        </is>
      </c>
      <c r="M97" s="46" t="inlineStr">
        <is>
          <t>Product</t>
        </is>
      </c>
      <c r="N97" s="45" t="inlineStr">
        <is>
          <t>ข้อสอบจริง Product ปี 2561 ข้อ 78</t>
        </is>
      </c>
      <c r="O97" s="46" t="inlineStr">
        <is>
          <t>ข้อสอบจริง</t>
        </is>
      </c>
      <c r="P97" s="46" t="inlineStr">
        <is>
          <t>ปี 2561</t>
        </is>
      </c>
    </row>
    <row r="98">
      <c r="A98" s="46" t="n">
        <v>96</v>
      </c>
      <c r="B98" s="45" t="inlineStr">
        <is>
          <t>ยา A มี bulk density ต่ำ compressibility ไม่ดี และสลายโดยปฏิกิริยา hydrolysis ควรใช้วิธีการตอกอัดเม็ดแบบใด</t>
        </is>
      </c>
      <c r="C98" s="46" t="n"/>
      <c r="D98" s="45" t="inlineStr">
        <is>
          <t>Direct compression หรือ dry granulation</t>
        </is>
      </c>
      <c r="E98" s="45" t="inlineStr">
        <is>
          <t>Wet (organic solution) หรือ dry granulation</t>
        </is>
      </c>
      <c r="F98" s="45" t="inlineStr">
        <is>
          <t>Wet (aqueous solution) หรือ dry granulation</t>
        </is>
      </c>
      <c r="G98" s="45" t="inlineStr">
        <is>
          <t>Wet (aqueous solution) granulation หรือ direct compression</t>
        </is>
      </c>
      <c r="H98" s="45" t="inlineStr">
        <is>
          <t>Wet (aqueous solution) หรือ wet (organic solution) granulation</t>
        </is>
      </c>
      <c r="I98" s="46" t="n">
        <v>1</v>
      </c>
      <c r="J98" s="45" t="inlineStr">
        <is>
          <t>✅ คำตอบที่ถูกต้อง: ข้อ ก. Direct compression หรือ dry granulation
💡 Background:
คำถามข้อสอบจริงใบประกอบวิชาชีพ PLE-CC 1 (Product) ปี 2561 ข้อ 80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8" s="46" t="n"/>
      <c r="L98" s="45" t="inlineStr">
        <is>
          <t>Pharmaceutical Technology General</t>
        </is>
      </c>
      <c r="M98" s="46" t="inlineStr">
        <is>
          <t>Product</t>
        </is>
      </c>
      <c r="N98" s="45" t="inlineStr">
        <is>
          <t>ข้อสอบจริง Product ปี 2561 ข้อ 80</t>
        </is>
      </c>
      <c r="O98" s="46" t="inlineStr">
        <is>
          <t>ข้อสอบจริง</t>
        </is>
      </c>
      <c r="P98" s="46" t="inlineStr">
        <is>
          <t>ปี 2561</t>
        </is>
      </c>
    </row>
    <row r="99">
      <c r="A99" s="46" t="n">
        <v>97</v>
      </c>
      <c r="B99" s="45" t="inlineStr">
        <is>
          <t>จากการทดสอบสารละลายพบว่า ที่ pH 1.2 ทดสอบ 2 hr ละลายออกมา 2% และเมื่อทดสอบ pH 6.8 ทดสอบ 10 min ละลาย 80% ถามว่ายาดังกล่าวเป็นยาในรูปแบบใด</t>
        </is>
      </c>
      <c r="C99" s="46" t="n"/>
      <c r="D99" s="45" t="inlineStr">
        <is>
          <t>Sustained release</t>
        </is>
      </c>
      <c r="E99" s="45" t="inlineStr">
        <is>
          <t>Extended release</t>
        </is>
      </c>
      <c r="F99" s="45" t="inlineStr">
        <is>
          <t>Delayed release</t>
        </is>
      </c>
      <c r="G99" s="45" t="inlineStr">
        <is>
          <t>Prolong release</t>
        </is>
      </c>
      <c r="H99" s="45" t="inlineStr">
        <is>
          <t>Pump osmotic release</t>
        </is>
      </c>
      <c r="I99" s="46" t="n">
        <v>1</v>
      </c>
      <c r="J99" s="45" t="inlineStr">
        <is>
          <t>✅ คำตอบที่ถูกต้อง: ข้อ ก. Sustained release
💡 Background:
คำถามข้อสอบจริงใบประกอบวิชาชีพ PLE-CC 1 (Product) ปี 2561 ข้อ 81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9" s="46" t="n"/>
      <c r="L99" s="45" t="inlineStr">
        <is>
          <t>Pharmaceutical Technology General</t>
        </is>
      </c>
      <c r="M99" s="46" t="inlineStr">
        <is>
          <t>Product</t>
        </is>
      </c>
      <c r="N99" s="45" t="inlineStr">
        <is>
          <t>ข้อสอบจริง Product ปี 2561 ข้อ 81</t>
        </is>
      </c>
      <c r="O99" s="46" t="inlineStr">
        <is>
          <t>ข้อสอบจริง</t>
        </is>
      </c>
      <c r="P99" s="46" t="inlineStr">
        <is>
          <t>ปี 2561</t>
        </is>
      </c>
    </row>
    <row r="100">
      <c r="A100" s="46" t="n">
        <v>98</v>
      </c>
      <c r="B100" s="45" t="inlineStr">
        <is>
          <t>ข้อใดไม่ใช่ข้อดีของยาในรูปแบบที่ควบคุมการปลดปล่อย (sustained release)</t>
        </is>
      </c>
      <c r="C100" s="46" t="n"/>
      <c r="D100" s="45" t="inlineStr">
        <is>
          <t>ลดอาการข้างเคียง</t>
        </is>
      </c>
      <c r="E100" s="45" t="inlineStr">
        <is>
          <t>ปรับขนาดยาง่ายขึ้น</t>
        </is>
      </c>
      <c r="F100" s="45" t="inlineStr">
        <is>
          <t>ลดความถี่ในการใช้ยา</t>
        </is>
      </c>
      <c r="G100" s="45" t="inlineStr">
        <is>
          <t>เพิ่มการยอมรับของผู้ป่วย</t>
        </is>
      </c>
      <c r="H100" s="45" t="inlineStr">
        <is>
          <t>ลดความแกว่งของยาในเลือด</t>
        </is>
      </c>
      <c r="I100" s="46" t="n">
        <v>1</v>
      </c>
      <c r="J100" s="45" t="inlineStr">
        <is>
          <t>✅ คำตอบที่ถูกต้อง: ข้อ ก. ลดอาการข้างเคียง
💡 Background:
คำถามข้อสอบจริงใบประกอบวิชาชีพ PLE-CC 1 (Product) ปี 2561 ข้อ 82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0" s="46" t="n"/>
      <c r="L100" s="45" t="inlineStr">
        <is>
          <t>Pharmaceutical Technology General</t>
        </is>
      </c>
      <c r="M100" s="46" t="inlineStr">
        <is>
          <t>Product</t>
        </is>
      </c>
      <c r="N100" s="45" t="inlineStr">
        <is>
          <t>ข้อสอบจริง Product ปี 2561 ข้อ 82</t>
        </is>
      </c>
      <c r="O100" s="46" t="inlineStr">
        <is>
          <t>ข้อสอบจริง</t>
        </is>
      </c>
      <c r="P100" s="46" t="inlineStr">
        <is>
          <t>ปี 2561</t>
        </is>
      </c>
    </row>
    <row r="101">
      <c r="A101" s="46" t="n">
        <v>99</v>
      </c>
      <c r="B101" s="45" t="inlineStr">
        <is>
          <t>เคลือบ simvastatin แล้วมีรอยแบ่งและข้อความบนเม็ดยาไม่ชัดเจน คือลักษณะเม็ดยาในข้อใด</t>
        </is>
      </c>
      <c r="C101" s="46" t="n"/>
      <c r="D101" s="45" t="inlineStr">
        <is>
          <t>Pricking</t>
        </is>
      </c>
      <c r="E101" s="45" t="inlineStr">
        <is>
          <t>Bridging</t>
        </is>
      </c>
      <c r="F101" s="45" t="inlineStr">
        <is>
          <t>Blistering</t>
        </is>
      </c>
      <c r="G101" s="45" t="inlineStr">
        <is>
          <t>Cracking</t>
        </is>
      </c>
      <c r="H101" s="45" t="inlineStr">
        <is>
          <t>Orange peeling</t>
        </is>
      </c>
      <c r="I101" s="46" t="n">
        <v>1</v>
      </c>
      <c r="J101" s="45" t="inlineStr">
        <is>
          <t>✅ คำตอบที่ถูกต้อง: ข้อ ก. Pricking
💡 Background:
คำถามข้อสอบจริงใบประกอบวิชาชีพ PLE-CC 1 (Product) ปี 2561 ข้อ 84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1" s="46" t="n"/>
      <c r="L101" s="45" t="inlineStr">
        <is>
          <t>Preformulation &amp; Good Manufacturing Practice</t>
        </is>
      </c>
      <c r="M101" s="46" t="inlineStr">
        <is>
          <t>Product</t>
        </is>
      </c>
      <c r="N101" s="45" t="inlineStr">
        <is>
          <t>ข้อสอบจริง Product ปี 2561 ข้อ 84</t>
        </is>
      </c>
      <c r="O101" s="46" t="inlineStr">
        <is>
          <t>ข้อสอบจริง</t>
        </is>
      </c>
      <c r="P101" s="46" t="inlineStr">
        <is>
          <t>ปี 2561</t>
        </is>
      </c>
    </row>
    <row r="102">
      <c r="A102" s="46" t="n">
        <v>100</v>
      </c>
      <c r="B102" s="45" t="inlineStr">
        <is>
          <t>จากตำรับข้อ 87 เมื่อนำมาหยด amaranth aqueous solution แล้วพบสีแดงเป็นพื้นแดงพบจุดขาวด้านใน</t>
        </is>
      </c>
      <c r="C102" s="46" t="n"/>
      <c r="D102" s="45" t="inlineStr">
        <is>
          <t>เป็นอิมัลชันแบบ W/O</t>
        </is>
      </c>
      <c r="E102" s="45" t="inlineStr">
        <is>
          <t>ตำรับสามารถนำไฟฟ้าได้</t>
        </is>
      </c>
      <c r="F102" s="45" t="inlineStr">
        <is>
          <t>เป็นอิมัลชันแบบ O/W</t>
        </is>
      </c>
      <c r="G102" s="45" t="inlineStr">
        <is>
          <t>เมื่อเติมน้ำเข้าไปแล้วตำรับเกิดการแยกชั้นขึ้น</t>
        </is>
      </c>
      <c r="H102" s="45" t="inlineStr">
        <is>
          <t>เมื่อนำไปส่อง fluorescence จะเรืองแสงทั้งแผ่น</t>
        </is>
      </c>
      <c r="I102" s="46" t="n">
        <v>1</v>
      </c>
      <c r="J102" s="45" t="inlineStr">
        <is>
          <t>✅ คำตอบที่ถูกต้อง: ข้อ ก. เป็นอิมัลชันแบบ W/O
💡 Background:
คำถามข้อสอบจริงใบประกอบวิชาชีพ PLE-CC 1 (Product) ปี 2561 ข้อ 88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2" s="46" t="n"/>
      <c r="L102" s="45" t="inlineStr">
        <is>
          <t>Pharmaceutical Technology General</t>
        </is>
      </c>
      <c r="M102" s="46" t="inlineStr">
        <is>
          <t>Product</t>
        </is>
      </c>
      <c r="N102" s="45" t="inlineStr">
        <is>
          <t>ข้อสอบจริง Product ปี 2561 ข้อ 88</t>
        </is>
      </c>
      <c r="O102" s="46" t="inlineStr">
        <is>
          <t>ข้อสอบจริง</t>
        </is>
      </c>
      <c r="P102" s="46" t="inlineStr">
        <is>
          <t>ปี 2561</t>
        </is>
      </c>
    </row>
    <row r="103">
      <c r="A103" s="46" t="n">
        <v>101</v>
      </c>
      <c r="B103" s="45" t="inlineStr">
        <is>
          <t>จากข้อข้างต้นยา azole จะอยู่ในตำแหน่งใดของระบบนำส่งยา</t>
        </is>
      </c>
      <c r="C103" s="46" t="n"/>
      <c r="D103" s="45" t="inlineStr">
        <is>
          <t>A</t>
        </is>
      </c>
      <c r="E103" s="45" t="inlineStr">
        <is>
          <t>B</t>
        </is>
      </c>
      <c r="F103" s="45" t="inlineStr">
        <is>
          <t>C</t>
        </is>
      </c>
      <c r="G103" s="45" t="inlineStr">
        <is>
          <t>D</t>
        </is>
      </c>
      <c r="H103" s="45" t="inlineStr">
        <is>
          <t>A และ C</t>
        </is>
      </c>
      <c r="I103" s="46" t="n">
        <v>1</v>
      </c>
      <c r="J103" s="45" t="inlineStr">
        <is>
          <t>✅ คำตอบที่ถูกต้อง: ข้อ ก. A
💡 Background:
คำถามข้อสอบจริงใบประกอบวิชาชีพ PLE-CC 1 (Product) ปี 2561 ข้อ 97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3" s="46" t="n"/>
      <c r="L103" s="45" t="inlineStr">
        <is>
          <t>Pharmaceutical Technology General</t>
        </is>
      </c>
      <c r="M103" s="46" t="inlineStr">
        <is>
          <t>Product</t>
        </is>
      </c>
      <c r="N103" s="45" t="inlineStr">
        <is>
          <t>ข้อสอบจริง Product ปี 2561 ข้อ 97</t>
        </is>
      </c>
      <c r="O103" s="46" t="inlineStr">
        <is>
          <t>ข้อสอบจริง</t>
        </is>
      </c>
      <c r="P103" s="46" t="inlineStr">
        <is>
          <t>ปี 2561</t>
        </is>
      </c>
    </row>
    <row r="104">
      <c r="A104" s="46" t="n">
        <v>102</v>
      </c>
      <c r="B104" s="45" t="inlineStr">
        <is>
          <t>ข้อใดไม่จำเป็นต้องตรวจสอบใน metronidazole solution for injection</t>
        </is>
      </c>
      <c r="C104" s="46" t="n"/>
      <c r="D104" s="45" t="inlineStr">
        <is>
          <t>Clarity test</t>
        </is>
      </c>
      <c r="E104" s="45" t="inlineStr">
        <is>
          <t>Leaker test</t>
        </is>
      </c>
      <c r="F104" s="45" t="inlineStr">
        <is>
          <t>Sterility test</t>
        </is>
      </c>
      <c r="G104" s="45" t="inlineStr">
        <is>
          <t>Endotoxin test</t>
        </is>
      </c>
      <c r="H104" s="45" t="inlineStr">
        <is>
          <t>Preservative effectiveness</t>
        </is>
      </c>
      <c r="I104" s="46" t="n">
        <v>1</v>
      </c>
      <c r="J104" s="45" t="inlineStr">
        <is>
          <t>✅ คำตอบที่ถูกต้อง: ข้อ ก. Clarity test
💡 Background:
คำถามข้อสอบจริงใบประกอบวิชาชีพ PLE-CC 1 (Product) ปี 2561 ข้อ 98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4" s="46" t="n"/>
      <c r="L104" s="45" t="inlineStr">
        <is>
          <t>Pharmaceutical Technology General</t>
        </is>
      </c>
      <c r="M104" s="46" t="inlineStr">
        <is>
          <t>Product</t>
        </is>
      </c>
      <c r="N104" s="45" t="inlineStr">
        <is>
          <t>ข้อสอบจริง Product ปี 2561 ข้อ 98</t>
        </is>
      </c>
      <c r="O104" s="46" t="inlineStr">
        <is>
          <t>ข้อสอบจริง</t>
        </is>
      </c>
      <c r="P104" s="46" t="inlineStr">
        <is>
          <t>ปี 2561</t>
        </is>
      </c>
    </row>
    <row r="105">
      <c r="A105" s="46" t="n">
        <v>103</v>
      </c>
      <c r="B105" s="45" t="inlineStr">
        <is>
          <t>ตามระบบ GMP ห้อง mixing room ในการเตรียม cloxacillin sterile injection ข้อใดถูกต้อง</t>
        </is>
      </c>
      <c r="C105" s="46" t="n"/>
      <c r="D105" s="45" t="inlineStr">
        <is>
          <t>มีความชื้นในห้อง 75 % RH</t>
        </is>
      </c>
      <c r="E105" s="45" t="inlineStr">
        <is>
          <t>ระบบลมเป็นแบบ multi-directional place</t>
        </is>
      </c>
      <c r="F105" s="45" t="inlineStr">
        <is>
          <t>ทำความสะอาดเครื่องผสมแบบ clean in place</t>
        </is>
      </c>
      <c r="G105" s="45" t="inlineStr">
        <is>
          <t>ความดันภายในห้องเตรียมยาเท่ากับห้องโถง (corridor)</t>
        </is>
      </c>
      <c r="H105" s="45" t="inlineStr">
        <is>
          <t>ต้องมี HEPA filter ดูดอากาศเอาอนุภาคออกด้วยก่อนปล่อยสู่สิ่งแวดล้อม</t>
        </is>
      </c>
      <c r="I105" s="46" t="n">
        <v>1</v>
      </c>
      <c r="J105" s="45" t="inlineStr">
        <is>
          <t>✅ คำตอบที่ถูกต้อง: ข้อ ก. มีความชื้นในห้อง 75 % RH
💡 Background:
คำถามข้อสอบจริงใบประกอบวิชาชีพ PLE-CC 1 (Product) ปี 2561 ข้อ 99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5" s="46" t="n"/>
      <c r="L105" s="45" t="inlineStr">
        <is>
          <t>Preformulation &amp; Good Manufacturing Practice</t>
        </is>
      </c>
      <c r="M105" s="46" t="inlineStr">
        <is>
          <t>Product</t>
        </is>
      </c>
      <c r="N105" s="45" t="inlineStr">
        <is>
          <t>ข้อสอบจริง Product ปี 2561 ข้อ 99</t>
        </is>
      </c>
      <c r="O105" s="46" t="inlineStr">
        <is>
          <t>ข้อสอบจริง</t>
        </is>
      </c>
      <c r="P105" s="46" t="inlineStr">
        <is>
          <t>ปี 2561</t>
        </is>
      </c>
    </row>
    <row r="106">
      <c r="A106" s="46" t="n">
        <v>104</v>
      </c>
      <c r="B106" s="45" t="inlineStr">
        <is>
          <t>การเคลือบ vitamin B complex มีขั้นตอนอย่างไร</t>
        </is>
      </c>
      <c r="C106" s="46" t="n"/>
      <c r="D106" s="45" t="inlineStr">
        <is>
          <t>Sealing \&gt; subcoating \&gt; smoothing \&gt; color coating \&gt;</t>
        </is>
      </c>
      <c r="E106" s="45" t="inlineStr">
        <is>
          <t>Smoothing \&gt; subcoating \&gt; sealing \&gt; color coating \&gt; polishing</t>
        </is>
      </c>
      <c r="F106" s="45" t="inlineStr">
        <is>
          <t>Subcoating \&gt; sealing \&gt; smoothing \&gt; color coating \&gt; polishing</t>
        </is>
      </c>
      <c r="G106" s="45" t="inlineStr">
        <is>
          <t>Subcoating \&gt; smoothing \&gt; color coating \&gt; polishing \&gt; printing</t>
        </is>
      </c>
      <c r="H106" s="45" t="inlineStr">
        <is>
          <t>Sealing \&gt; subcoating \&gt; color coating \&gt; polishing \&gt; smoothing</t>
        </is>
      </c>
      <c r="I106" s="46" t="n">
        <v>1</v>
      </c>
      <c r="J106" s="45" t="inlineStr">
        <is>
          <t>✅ คำตอบที่ถูกต้อง: ข้อ ก. Sealing \&gt; subcoating \&gt; smoothing \&gt; color coating \&gt;
💡 Background:
คำถามข้อสอบจริงใบประกอบวิชาชีพ PLE-CC 1 (Product) ปี 2561 ข้อ 100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6" s="46" t="n"/>
      <c r="L106" s="45" t="inlineStr">
        <is>
          <t>Pharmaceutical Technology General</t>
        </is>
      </c>
      <c r="M106" s="46" t="inlineStr">
        <is>
          <t>Product</t>
        </is>
      </c>
      <c r="N106" s="45" t="inlineStr">
        <is>
          <t>ข้อสอบจริง Product ปี 2561 ข้อ 100</t>
        </is>
      </c>
      <c r="O106" s="46" t="inlineStr">
        <is>
          <t>ข้อสอบจริง</t>
        </is>
      </c>
      <c r="P106" s="46" t="inlineStr">
        <is>
          <t>ปี 2561</t>
        </is>
      </c>
    </row>
    <row r="107">
      <c r="A107" s="46" t="n">
        <v>105</v>
      </c>
      <c r="B107" s="45" t="inlineStr">
        <is>
          <t>หากต้องการให้ ASA ออกฤทธิ์ที่ลำไส้เล็กควรต้องใช้สารเคลือบฟิล์มตัวใด</t>
        </is>
      </c>
      <c r="C107" s="46" t="n"/>
      <c r="D107" s="45" t="inlineStr">
        <is>
          <t>Pectin</t>
        </is>
      </c>
      <c r="E107" s="45" t="inlineStr">
        <is>
          <t>Chitosan</t>
        </is>
      </c>
      <c r="F107" s="45" t="inlineStr">
        <is>
          <t>HPMC</t>
        </is>
      </c>
      <c r="G107" s="45" t="inlineStr">
        <is>
          <t>Polyvinylpyrrolidone K90</t>
        </is>
      </c>
      <c r="H107" s="45" t="inlineStr">
        <is>
          <t>Cellulose acetate phthalate</t>
        </is>
      </c>
      <c r="I107" s="46" t="n">
        <v>1</v>
      </c>
      <c r="J107" s="45" t="inlineStr">
        <is>
          <t>✅ คำตอบที่ถูกต้อง: ข้อ ก. Pectin
💡 Background:
คำถามข้อสอบจริงใบประกอบวิชาชีพ PLE-CC 1 (Product) ปี 2561 ข้อ 101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7" s="46" t="n"/>
      <c r="L107" s="45" t="inlineStr">
        <is>
          <t>Pharmaceutical Technology General</t>
        </is>
      </c>
      <c r="M107" s="46" t="inlineStr">
        <is>
          <t>Product</t>
        </is>
      </c>
      <c r="N107" s="45" t="inlineStr">
        <is>
          <t>ข้อสอบจริง Product ปี 2561 ข้อ 101</t>
        </is>
      </c>
      <c r="O107" s="46" t="inlineStr">
        <is>
          <t>ข้อสอบจริง</t>
        </is>
      </c>
      <c r="P107" s="46" t="inlineStr">
        <is>
          <t>ปี 2561</t>
        </is>
      </c>
    </row>
    <row r="108">
      <c r="A108" s="46" t="n">
        <v>106</v>
      </c>
      <c r="B108" s="45" t="inlineStr">
        <is>
          <t>เตรียม morphine solution extemporaneous ไม่มีข้อมูลความคงตัวตาม USP มีน้ำในสูตรตำรับ กำหนดให้ใช้หลังเตรียมได้ภายในกี่วันหากเก็บใน cold temperature</t>
        </is>
      </c>
      <c r="C108" s="46" t="n"/>
      <c r="D108" s="45" t="inlineStr">
        <is>
          <t>ทันทีที่เตรียมเสร็จ</t>
        </is>
      </c>
      <c r="E108" s="45" t="inlineStr">
        <is>
          <t>ภายใน 24 ชั่วโมง</t>
        </is>
      </c>
      <c r="F108" s="45" t="inlineStr">
        <is>
          <t>ภายใน 3 วัน</t>
        </is>
      </c>
      <c r="G108" s="45" t="inlineStr">
        <is>
          <t>ภายใน 7 วัน</t>
        </is>
      </c>
      <c r="H108" s="45" t="inlineStr">
        <is>
          <t>ภายใน 14 วัน</t>
        </is>
      </c>
      <c r="I108" s="46" t="n">
        <v>1</v>
      </c>
      <c r="J108" s="45" t="inlineStr">
        <is>
          <t>✅ คำตอบที่ถูกต้อง: ข้อ ก. ทันทีที่เตรียมเสร็จ
💡 Background:
คำถามข้อสอบจริงใบประกอบวิชาชีพ PLE-CC 1 (Product) ปี 2561 ข้อ 105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8" s="46" t="n"/>
      <c r="L108" s="45" t="inlineStr">
        <is>
          <t>Pharmaceutical Technology General</t>
        </is>
      </c>
      <c r="M108" s="46" t="inlineStr">
        <is>
          <t>Product</t>
        </is>
      </c>
      <c r="N108" s="45" t="inlineStr">
        <is>
          <t>ข้อสอบจริง Product ปี 2561 ข้อ 105</t>
        </is>
      </c>
      <c r="O108" s="46" t="inlineStr">
        <is>
          <t>ข้อสอบจริง</t>
        </is>
      </c>
      <c r="P108" s="46" t="inlineStr">
        <is>
          <t>ปี 2561</t>
        </is>
      </c>
    </row>
    <row r="109">
      <c r="A109" s="46" t="n">
        <v>107</v>
      </c>
      <c r="B109" s="45" t="inlineStr">
        <is>
          <t>ตำรับ prednisolone ประกอบด้วย 1-octadecanol, polysorbate 80, poly ethylene glycol, isopropyl myristate, sodium sulfite สารใดในตำรับทำหน้าที่ในการเป็น wetting agent</t>
        </is>
      </c>
      <c r="C109" s="46" t="n"/>
      <c r="D109" s="45" t="inlineStr">
        <is>
          <t>Sodium sulfite</t>
        </is>
      </c>
      <c r="E109" s="45" t="inlineStr">
        <is>
          <t>1-octadecanol</t>
        </is>
      </c>
      <c r="F109" s="45" t="inlineStr">
        <is>
          <t>Polysorbate 80</t>
        </is>
      </c>
      <c r="G109" s="45" t="inlineStr">
        <is>
          <t>Polyethylene glycol</t>
        </is>
      </c>
      <c r="H109" s="45" t="inlineStr">
        <is>
          <t>Isopropyl myristate ## ## ##</t>
        </is>
      </c>
      <c r="I109" s="46" t="n">
        <v>1</v>
      </c>
      <c r="J109" s="45" t="inlineStr">
        <is>
          <t>✅ คำตอบที่ถูกต้อง: ข้อ ก. Sodium sulfite
💡 Background:
คำถามข้อสอบจริงใบประกอบวิชาชีพ PLE-CC 1 (Product) ปี 2561 ข้อ 113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9" s="46" t="n"/>
      <c r="L109" s="45" t="inlineStr">
        <is>
          <t>Preformulation &amp; Good Manufacturing Practice</t>
        </is>
      </c>
      <c r="M109" s="46" t="inlineStr">
        <is>
          <t>Product</t>
        </is>
      </c>
      <c r="N109" s="45" t="inlineStr">
        <is>
          <t>ข้อสอบจริง Product ปี 2561 ข้อ 113</t>
        </is>
      </c>
      <c r="O109" s="46" t="inlineStr">
        <is>
          <t>ข้อสอบจริง</t>
        </is>
      </c>
      <c r="P109" s="46" t="inlineStr">
        <is>
          <t>ปี 2561</t>
        </is>
      </c>
    </row>
    <row r="110">
      <c r="A110" s="46" t="n">
        <v>108</v>
      </c>
      <c r="B110" s="45" t="inlineStr">
        <is>
          <t>สารที่เป็น propellant ใช้ใน MDI seretide evohaler คือ</t>
        </is>
      </c>
      <c r="C110" s="46" t="n"/>
      <c r="D110" s="45" t="inlineStr">
        <is>
          <t>Nitrogen</t>
        </is>
      </c>
      <c r="E110" s="45" t="inlineStr">
        <is>
          <t>Hydrocabon</t>
        </is>
      </c>
      <c r="F110" s="45" t="inlineStr">
        <is>
          <t>Cabondioxide</t>
        </is>
      </c>
      <c r="G110" s="45" t="inlineStr">
        <is>
          <t>CFCs</t>
        </is>
      </c>
      <c r="H110" s="45" t="inlineStr">
        <is>
          <t>HFA</t>
        </is>
      </c>
      <c r="I110" s="46" t="n">
        <v>1</v>
      </c>
      <c r="J110" s="45" t="inlineStr">
        <is>
          <t>✅ คำตอบที่ถูกต้อง: ข้อ ก. Nitrogen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0" s="46" t="n"/>
      <c r="L110" s="45" t="inlineStr">
        <is>
          <t>Pharmaceutical Technology General</t>
        </is>
      </c>
      <c r="M110" s="46" t="inlineStr">
        <is>
          <t>Product</t>
        </is>
      </c>
      <c r="N110" s="45" t="inlineStr">
        <is>
          <t>ข้อสอบจริง Product ปี 2559 ข้อ 1</t>
        </is>
      </c>
      <c r="O110" s="46" t="inlineStr">
        <is>
          <t>ข้อสอบจริง</t>
        </is>
      </c>
      <c r="P110" s="46" t="inlineStr">
        <is>
          <t>ปี 2559</t>
        </is>
      </c>
    </row>
    <row r="111">
      <c r="A111" s="46" t="n">
        <v>109</v>
      </c>
      <c r="B111" s="45" t="inlineStr">
        <is>
          <t>การบรรจุ insulin; ห้องที่ควรบรรจุควรมีความสะอาดตาม GMP grade ใด</t>
        </is>
      </c>
      <c r="C111" s="46" t="n"/>
      <c r="D111" s="45" t="inlineStr">
        <is>
          <t>A</t>
        </is>
      </c>
      <c r="E111" s="45" t="inlineStr">
        <is>
          <t>B</t>
        </is>
      </c>
      <c r="F111" s="45" t="inlineStr">
        <is>
          <t>C</t>
        </is>
      </c>
      <c r="G111" s="45" t="inlineStr">
        <is>
          <t>D</t>
        </is>
      </c>
      <c r="H111" s="45" t="inlineStr">
        <is>
          <t>E</t>
        </is>
      </c>
      <c r="I111" s="46" t="n">
        <v>1</v>
      </c>
      <c r="J111" s="45"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11" s="46" t="n"/>
      <c r="L111" s="45" t="inlineStr">
        <is>
          <t>Preformulation &amp; Good Manufacturing Practice</t>
        </is>
      </c>
      <c r="M111" s="46" t="inlineStr">
        <is>
          <t>Product</t>
        </is>
      </c>
      <c r="N111" s="45" t="inlineStr">
        <is>
          <t>ข้อสอบจริง Product ปี 2559 ข้อ 4</t>
        </is>
      </c>
      <c r="O111" s="46" t="inlineStr">
        <is>
          <t>ข้อสอบจริง</t>
        </is>
      </c>
      <c r="P111" s="46" t="inlineStr">
        <is>
          <t>ปี 2559</t>
        </is>
      </c>
    </row>
    <row r="112">
      <c r="A112" s="46" t="n">
        <v>110</v>
      </c>
      <c r="B112" s="45" t="inlineStr">
        <is>
          <t>Nicotine patch มีการปลดปล่อยแบบใด</t>
        </is>
      </c>
      <c r="C112" s="46" t="n"/>
      <c r="D112" s="45" t="inlineStr">
        <is>
          <t>Zero order</t>
        </is>
      </c>
      <c r="E112" s="45" t="inlineStr">
        <is>
          <t>First order</t>
        </is>
      </c>
      <c r="F112" s="45" t="inlineStr">
        <is>
          <t>Pseudofirst order</t>
        </is>
      </c>
      <c r="G112" s="45" t="inlineStr"/>
      <c r="H112" s="45" t="inlineStr"/>
      <c r="I112" s="46" t="n">
        <v>1</v>
      </c>
      <c r="J112" s="45" t="inlineStr">
        <is>
          <t>✅ คำตอบที่ถูกต้อง: ข้อ ก. Zero order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2" s="46" t="n"/>
      <c r="L112" s="45" t="inlineStr">
        <is>
          <t>Pharmaceutical Technology General</t>
        </is>
      </c>
      <c r="M112" s="46" t="inlineStr">
        <is>
          <t>Product</t>
        </is>
      </c>
      <c r="N112" s="45" t="inlineStr">
        <is>
          <t>ข้อสอบจริง Product ปี 2559 ข้อ 8</t>
        </is>
      </c>
      <c r="O112" s="46" t="inlineStr">
        <is>
          <t>ข้อสอบจริง</t>
        </is>
      </c>
      <c r="P112" s="46" t="inlineStr">
        <is>
          <t>ปี 2559</t>
        </is>
      </c>
    </row>
    <row r="113">
      <c r="A113" s="46" t="n">
        <v>111</v>
      </c>
      <c r="B113" s="45" t="inlineStr">
        <is>
          <t>วัคซีน OPV ต้องเก็บที่ไหน</t>
        </is>
      </c>
      <c r="C113" s="46" t="n"/>
      <c r="D113" s="45" t="inlineStr">
        <is>
          <t>Freeze</t>
        </is>
      </c>
      <c r="E113" s="45" t="inlineStr">
        <is>
          <t>Room temp</t>
        </is>
      </c>
      <c r="F113" s="45" t="inlineStr">
        <is>
          <t>Refrigerator</t>
        </is>
      </c>
      <c r="G113" s="45" t="inlineStr"/>
      <c r="H113" s="45" t="inlineStr"/>
      <c r="I113" s="46" t="n">
        <v>1</v>
      </c>
      <c r="J113" s="45" t="inlineStr">
        <is>
          <t>✅ คำตอบที่ถูกต้อง: ข้อ ก. Freeze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3" s="46" t="n"/>
      <c r="L113" s="45" t="inlineStr">
        <is>
          <t>Pharmaceutical Technology General</t>
        </is>
      </c>
      <c r="M113" s="46" t="inlineStr">
        <is>
          <t>Product</t>
        </is>
      </c>
      <c r="N113" s="45" t="inlineStr">
        <is>
          <t>ข้อสอบจริง Product ปี 2559 ข้อ 10</t>
        </is>
      </c>
      <c r="O113" s="46" t="inlineStr">
        <is>
          <t>ข้อสอบจริง</t>
        </is>
      </c>
      <c r="P113" s="46" t="inlineStr">
        <is>
          <t>ปี 2559</t>
        </is>
      </c>
    </row>
    <row r="114">
      <c r="A114" s="46" t="n">
        <v>112</v>
      </c>
      <c r="B114" s="45" t="inlineStr">
        <is>
          <t>ข้อใดถูกเกี่ยวกับยาเตรียมเคมีบำบัด</t>
        </is>
      </c>
      <c r="C114" s="46" t="n"/>
      <c r="D114" s="45" t="inlineStr">
        <is>
          <t>ห้องเตรียมควรเป็น positive pressure</t>
        </is>
      </c>
      <c r="E114" s="45" t="inlineStr">
        <is>
          <t>ลมเป่าควรเป็นแนว vertical</t>
        </is>
      </c>
      <c r="F114" s="45" t="inlineStr"/>
      <c r="G114" s="45" t="inlineStr"/>
      <c r="H114" s="45" t="inlineStr"/>
      <c r="I114" s="46" t="n">
        <v>1</v>
      </c>
      <c r="J114" s="45" t="inlineStr">
        <is>
          <t>✅ คำตอบที่ถูกต้อง: ข้อ ก. ห้องเตรียมควรเป็น positive pressure
💡 Background:
คำถามข้อสอบจริงใบประกอบวิชาชีพ PLE-CC 1 (Product) ปี 2559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4" s="46" t="n"/>
      <c r="L114" s="45" t="inlineStr">
        <is>
          <t>Pharmaceutical Technology General</t>
        </is>
      </c>
      <c r="M114" s="46" t="inlineStr">
        <is>
          <t>Product</t>
        </is>
      </c>
      <c r="N114" s="45" t="inlineStr">
        <is>
          <t>ข้อสอบจริง Product ปี 2559 ข้อ 14</t>
        </is>
      </c>
      <c r="O114" s="46" t="inlineStr">
        <is>
          <t>ข้อสอบจริง</t>
        </is>
      </c>
      <c r="P114" s="46" t="inlineStr">
        <is>
          <t>ปี 2559</t>
        </is>
      </c>
    </row>
    <row r="115">
      <c r="A115" s="46" t="n">
        <v>113</v>
      </c>
      <c r="B115" s="45" t="inlineStr">
        <is>
          <t>สารที่เป็น propellant ใช้ใน Seretide evohaler คือ</t>
        </is>
      </c>
      <c r="C115" s="46" t="n"/>
      <c r="D115" s="45" t="inlineStr">
        <is>
          <t>Nitrogen</t>
        </is>
      </c>
      <c r="E115" s="45" t="inlineStr">
        <is>
          <t>Hydrocarbon</t>
        </is>
      </c>
      <c r="F115" s="45" t="inlineStr">
        <is>
          <t>Carbondioxide</t>
        </is>
      </c>
      <c r="G115" s="45" t="inlineStr">
        <is>
          <t>Chlorofluorocarbon</t>
        </is>
      </c>
      <c r="H115" s="45" t="inlineStr">
        <is>
          <t>HFA 134a</t>
        </is>
      </c>
      <c r="I115" s="46" t="n">
        <v>1</v>
      </c>
      <c r="J115" s="45" t="inlineStr">
        <is>
          <t>✅ คำตอบที่ถูกต้อง: ข้อ ก. Nitrogen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5" s="46" t="n"/>
      <c r="L115" s="45" t="inlineStr">
        <is>
          <t>Pharmaceutical Technology General</t>
        </is>
      </c>
      <c r="M115" s="46" t="inlineStr">
        <is>
          <t>Product</t>
        </is>
      </c>
      <c r="N115" s="45" t="inlineStr">
        <is>
          <t>ข้อสอบจริง Product ปี 2559 ข้อ 2</t>
        </is>
      </c>
      <c r="O115" s="46" t="inlineStr">
        <is>
          <t>ข้อสอบจริง</t>
        </is>
      </c>
      <c r="P115" s="46" t="inlineStr">
        <is>
          <t>ปี 2559</t>
        </is>
      </c>
    </row>
    <row r="116">
      <c r="A116" s="46" t="n">
        <v>114</v>
      </c>
      <c r="B116" s="45" t="inlineStr">
        <is>
          <t>จากข้อมูล ข้อใดถูกต้อง</t>
        </is>
      </c>
      <c r="C116" s="46" t="n"/>
      <c r="D116" s="45" t="inlineStr">
        <is>
          <t>ผ่านเพราะ ไม่มีเม็ดใดที่ไม่ผ่านการทดสอบ</t>
        </is>
      </c>
      <c r="E116" s="45" t="inlineStr">
        <is>
          <t>ไม่ผ่านต้องทดสอบซ้ำอีก 6 เม็ด</t>
        </is>
      </c>
      <c r="F116" s="45" t="inlineStr">
        <is>
          <t>ไม่ผ่านต้องทดสอบซ้ำอีก 12 เม็ด</t>
        </is>
      </c>
      <c r="G116" s="45" t="inlineStr">
        <is>
          <t>ไม่ผ่านต้องทดสอบซ้ำอีก 24 เม็ด</t>
        </is>
      </c>
      <c r="H116" s="45" t="inlineStr">
        <is>
          <t>ไม่ผ่าน เพราะ มีเม็ดยาที่ไม่ผ่านการทดสอบ</t>
        </is>
      </c>
      <c r="I116" s="46" t="n">
        <v>1</v>
      </c>
      <c r="J116" s="45" t="inlineStr">
        <is>
          <t>✅ คำตอบที่ถูกต้อง: ข้อ ก. ผ่านเพราะ ไม่มีเม็ดใดที่ไม่ผ่านการทดสอบ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6" s="46" t="n"/>
      <c r="L116" s="45" t="inlineStr">
        <is>
          <t>Pharmaceutical Technology General</t>
        </is>
      </c>
      <c r="M116" s="46" t="inlineStr">
        <is>
          <t>Product</t>
        </is>
      </c>
      <c r="N116" s="45" t="inlineStr">
        <is>
          <t>ข้อสอบจริง Product ปี 2559 ข้อ 1</t>
        </is>
      </c>
      <c r="O116" s="46" t="inlineStr">
        <is>
          <t>ข้อสอบจริง</t>
        </is>
      </c>
      <c r="P116" s="46" t="inlineStr">
        <is>
          <t>ปี 2559</t>
        </is>
      </c>
    </row>
    <row r="117">
      <c r="A117" s="46" t="n">
        <v>115</v>
      </c>
      <c r="B117" s="45" t="inlineStr">
        <is>
          <t>ผู้ป่วยจำเป็นจะต้องเปลี่ยน Theophylline เป็น Aminophylline จะต้องใช้ Aminophylline เท่าไหร่ ข้อมูลเพิ่มเติม 		- Theophylline: S \= 1 - Aminophylline: S \= 0.8</t>
        </is>
      </c>
      <c r="C117" s="46" t="n"/>
      <c r="D117" s="45" t="inlineStr">
        <is>
          <t>200 mg</t>
        </is>
      </c>
      <c r="E117" s="45" t="inlineStr">
        <is>
          <t>320 mg</t>
        </is>
      </c>
      <c r="F117" s="45" t="inlineStr">
        <is>
          <t>400 mg</t>
        </is>
      </c>
      <c r="G117" s="45" t="inlineStr">
        <is>
          <t>450 mg</t>
        </is>
      </c>
      <c r="H117" s="45" t="inlineStr">
        <is>
          <t>500 mg</t>
        </is>
      </c>
      <c r="I117" s="46" t="n">
        <v>1</v>
      </c>
      <c r="J117" s="45" t="inlineStr">
        <is>
          <t>✅ คำตอบที่ถูกต้อง: ข้อ ก. 200 mg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7" s="46" t="n"/>
      <c r="L117" s="45" t="inlineStr">
        <is>
          <t>Pharmaceutical Technology General</t>
        </is>
      </c>
      <c r="M117" s="46" t="inlineStr">
        <is>
          <t>Product</t>
        </is>
      </c>
      <c r="N117" s="45" t="inlineStr">
        <is>
          <t>ข้อสอบจริง Product ปี 2559 ข้อ 9</t>
        </is>
      </c>
      <c r="O117" s="46" t="inlineStr">
        <is>
          <t>ข้อสอบจริง</t>
        </is>
      </c>
      <c r="P117" s="46" t="inlineStr">
        <is>
          <t>ปี 2559</t>
        </is>
      </c>
    </row>
    <row r="118">
      <c r="A118" s="46" t="n">
        <v>116</v>
      </c>
      <c r="B118" s="45" t="inlineStr">
        <is>
          <t>ข้อใดถูกเกี่ยวกับ ibuprofen เคลือบ film</t>
        </is>
      </c>
      <c r="C118" s="46" t="n"/>
      <c r="D118" s="45" t="inlineStr">
        <is>
          <t>ลบรอยขรุขระของเม็ดยาในขั้นตอน sealing ทำให้ยาเรียบ</t>
        </is>
      </c>
      <c r="E118" s="45" t="inlineStr">
        <is>
          <t>กระบวนการที่ทำให้เม็ดยาหนักขึ้นถึง 40% คือขั้นตอน subcoating</t>
        </is>
      </c>
      <c r="F118" s="45" t="inlineStr">
        <is>
          <t>เลือกใช้สี dye เพื่อป้องกันการเกิด color migration</t>
        </is>
      </c>
      <c r="G118" s="45" t="inlineStr">
        <is>
          <t>ยังคงสามารถเห็นพริ้นท์บนเม็ดยาและรอยบาก</t>
        </is>
      </c>
      <c r="H118" s="45" t="inlineStr"/>
      <c r="I118" s="46" t="n">
        <v>1</v>
      </c>
      <c r="J118" s="45" t="inlineStr">
        <is>
          <t>✅ คำตอบที่ถูกต้อง: ข้อ ก. ลบรอยขรุขระของเม็ดยาในขั้นตอน sealing ทำให้ยาเรียบ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8" s="46" t="n"/>
      <c r="L118" s="45" t="inlineStr">
        <is>
          <t>Pharmaceutical Technology General</t>
        </is>
      </c>
      <c r="M118" s="46" t="inlineStr">
        <is>
          <t>Product</t>
        </is>
      </c>
      <c r="N118" s="45" t="inlineStr">
        <is>
          <t>ข้อสอบจริง Product ปี 2559 ข้อ 11</t>
        </is>
      </c>
      <c r="O118" s="46" t="inlineStr">
        <is>
          <t>ข้อสอบจริง</t>
        </is>
      </c>
      <c r="P118" s="46" t="inlineStr">
        <is>
          <t>ปี 2559</t>
        </is>
      </c>
    </row>
    <row r="119">
      <c r="A119" s="46" t="n">
        <v>117</v>
      </c>
      <c r="B119" s="45" t="inlineStr">
        <is>
          <t>อุปกรณ์ข้อใดนิยมใช้เคลือบฟิล์มทั้งในอุตสาหกรรมและห้องทดลอง</t>
        </is>
      </c>
      <c r="C119" s="46" t="n"/>
      <c r="D119" s="45" t="inlineStr">
        <is>
          <t>Accela-Cota</t>
        </is>
      </c>
      <c r="E119" s="45" t="inlineStr">
        <is>
          <t>Driacoater</t>
        </is>
      </c>
      <c r="F119" s="45" t="inlineStr">
        <is>
          <t>Hi coater</t>
        </is>
      </c>
      <c r="G119" s="45" t="inlineStr">
        <is>
          <t>Glatter coater</t>
        </is>
      </c>
      <c r="H119" s="45" t="inlineStr">
        <is>
          <t>conventional pan</t>
        </is>
      </c>
      <c r="I119" s="46" t="n">
        <v>1</v>
      </c>
      <c r="J119" s="45" t="inlineStr">
        <is>
          <t>✅ คำตอบที่ถูกต้อง: ข้อ ก. Accela-Cota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9" s="46" t="n"/>
      <c r="L119" s="45" t="inlineStr">
        <is>
          <t>Pharmaceutical Technology General</t>
        </is>
      </c>
      <c r="M119" s="46" t="inlineStr">
        <is>
          <t>Product</t>
        </is>
      </c>
      <c r="N119" s="45" t="inlineStr">
        <is>
          <t>ข้อสอบจริง Product ปี 2559 ข้อ 12</t>
        </is>
      </c>
      <c r="O119" s="46" t="inlineStr">
        <is>
          <t>ข้อสอบจริง</t>
        </is>
      </c>
      <c r="P119" s="46" t="inlineStr">
        <is>
          <t>ปี 2559</t>
        </is>
      </c>
    </row>
    <row r="120">
      <c r="A120" s="46" t="n">
        <v>118</v>
      </c>
      <c r="B120" s="45" t="inlineStr">
        <is>
          <t>ยาใหม่ที่ผ่านการอนุมัติจาก สำนักงานคณะกรรมการอาหารและยา (อย.) กำหนดให้ต้องเข้าสู่โครงการติดตามความปลอดภัยจากการใช้ยา (Safety Monitoring Program: SMP) เป็นระยะเวลานานเท่าใด?</t>
        </is>
      </c>
      <c r="C120" s="46" t="n"/>
      <c r="D120" s="45" t="inlineStr">
        <is>
          <t>3 เดือน</t>
        </is>
      </c>
      <c r="E120" s="45" t="inlineStr">
        <is>
          <t>6 เดือน</t>
        </is>
      </c>
      <c r="F120" s="45" t="inlineStr">
        <is>
          <t>12 เดือน</t>
        </is>
      </c>
      <c r="G120" s="45" t="inlineStr">
        <is>
          <t>18 เดือน</t>
        </is>
      </c>
      <c r="H120" s="45" t="inlineStr">
        <is>
          <t>24 เดือน</t>
        </is>
      </c>
      <c r="I120" s="46" t="n">
        <v>1</v>
      </c>
      <c r="J120" s="45" t="inlineStr">
        <is>
          <t>✅ คำตอบที่ถูกต้อง: ข้อ ก. 3 เดือน
💡 Background:
คำถามข้อสอบจริงใบประกอบวิชาชีพ PLE-CC 1 (Product) ปี 2558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0" s="46" t="n"/>
      <c r="L120" s="45" t="inlineStr">
        <is>
          <t>Pharmaceutical Technology General</t>
        </is>
      </c>
      <c r="M120" s="46" t="inlineStr">
        <is>
          <t>Product</t>
        </is>
      </c>
      <c r="N120" s="45" t="inlineStr">
        <is>
          <t>ข้อสอบจริง Product ปี 2558 ข้อ 2</t>
        </is>
      </c>
      <c r="O120" s="46" t="inlineStr">
        <is>
          <t>ข้อสอบจริง</t>
        </is>
      </c>
      <c r="P120" s="46" t="inlineStr">
        <is>
          <t>ปี 2558</t>
        </is>
      </c>
    </row>
    <row r="121">
      <c r="A121" s="46" t="n">
        <v>119</v>
      </c>
      <c r="B121" s="45" t="inlineStr">
        <is>
          <t>ขนาดอนุภาค (Aerodynamic diameter) ของผงยาสำหรับสูดพ่น (Inhaled powder / DPI) ที่เหมาะสมเพื่อให้ยาสามารถลงไปออกฤทธิ์ที่บริเวณถุงลมปอด (Alveoli) ได้ดีที่สุด ควรเป็นเท่าใด?</t>
        </is>
      </c>
      <c r="C121" s="46" t="n"/>
      <c r="D121" s="45" t="inlineStr">
        <is>
          <t>\&gt; 10 micron</t>
        </is>
      </c>
      <c r="E121" s="45" t="inlineStr">
        <is>
          <t>5 - 10 micron</t>
        </is>
      </c>
      <c r="F121" s="45" t="inlineStr">
        <is>
          <t>1 - 5 micron</t>
        </is>
      </c>
      <c r="G121" s="45" t="inlineStr">
        <is>
          <t>0.1 - 1 micron</t>
        </is>
      </c>
      <c r="H121" s="45" t="inlineStr">
        <is>
          <t>0.1 - 0.5 micron</t>
        </is>
      </c>
      <c r="I121" s="46" t="n">
        <v>1</v>
      </c>
      <c r="J121" s="45" t="inlineStr">
        <is>
          <t>✅ คำตอบที่ถูกต้อง: ข้อ ก. \&gt; 10 micron
💡 Background:
คำถามข้อสอบจริงใบประกอบวิชาชีพ PLE-CC 1 (Product) ปี 2558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1" s="46" t="n"/>
      <c r="L121" s="45" t="inlineStr">
        <is>
          <t>Pharmaceutical Technology General</t>
        </is>
      </c>
      <c r="M121" s="46" t="inlineStr">
        <is>
          <t>Product</t>
        </is>
      </c>
      <c r="N121" s="45" t="inlineStr">
        <is>
          <t>ข้อสอบจริง Product ปี 2558 ข้อ 7</t>
        </is>
      </c>
      <c r="O121" s="46" t="inlineStr">
        <is>
          <t>ข้อสอบจริง</t>
        </is>
      </c>
      <c r="P121" s="46" t="inlineStr">
        <is>
          <t>ปี 2558</t>
        </is>
      </c>
    </row>
    <row r="122">
      <c r="A122" s="46" t="n">
        <v>120</v>
      </c>
      <c r="B122" s="45" t="inlineStr">
        <is>
          <t>ข้อใดกล่าว ไม่ถูกต้อง เกี่ยวกับการผลิตวัคซีนตามหลักเกณฑ์และวิธีการที่ดีในการผลิตยา (GMP)?</t>
        </is>
      </c>
      <c r="C122" s="46" t="n"/>
      <c r="D122" s="45" t="inlineStr">
        <is>
          <t>ต้องแยกอาคารผลิตวัคซีนออกจากผลิตภัณฑ์ Non-sterile</t>
        </is>
      </c>
      <c r="E122" s="45" t="inlineStr">
        <is>
          <t>ต้องแยกอาคารผลิตวัคซีนออกจากผลิตภัณฑ์ Sterile ทั่วไป</t>
        </is>
      </c>
      <c r="F122" s="45" t="inlineStr">
        <is>
          <t>ต้องแยกอาคารผลิตวัคซีนให้อยู่ห่างจากแหล่งชุมชนอย่างน้อย 50 เมตร</t>
        </is>
      </c>
      <c r="G122" s="45" t="inlineStr">
        <is>
          <t>พนักงานผู้ปฏิบัติงานต้องสวมใส่ชุดที่ปราศจากขุย (Lint-free suit)</t>
        </is>
      </c>
      <c r="H122" s="45" t="inlineStr">
        <is>
          <t>พนักงานผู้ปฏิบัติงานห้ามแต่งหน้าหรือใช้เครื่องสำอางเข้าพื้นที่ผลิต</t>
        </is>
      </c>
      <c r="I122" s="46" t="n">
        <v>1</v>
      </c>
      <c r="J122" s="45" t="inlineStr">
        <is>
          <t>✅ คำตอบที่ถูกต้อง: ข้อ ก. ต้องแยกอาคารผลิตวัคซีนออกจากผลิตภัณฑ์ Non-sterile
💡 Background:
คำถามข้อสอบจริงใบประกอบวิชาชีพ PLE-CC 1 (Product) ปี 2558 ข้อ 11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2" s="46" t="n"/>
      <c r="L122" s="45" t="inlineStr">
        <is>
          <t>Preformulation &amp; Good Manufacturing Practice</t>
        </is>
      </c>
      <c r="M122" s="46" t="inlineStr">
        <is>
          <t>Product</t>
        </is>
      </c>
      <c r="N122" s="45" t="inlineStr">
        <is>
          <t>ข้อสอบจริง Product ปี 2558 ข้อ 11</t>
        </is>
      </c>
      <c r="O122" s="46" t="inlineStr">
        <is>
          <t>ข้อสอบจริง</t>
        </is>
      </c>
      <c r="P122" s="46" t="inlineStr">
        <is>
          <t>ปี 2558</t>
        </is>
      </c>
    </row>
    <row r="123">
      <c r="A123" s="46" t="n">
        <v>121</v>
      </c>
      <c r="B123" s="45" t="inlineStr">
        <is>
          <t>ห่วงคุมกำเนิดช่องคลอด (Vaginal ring) มีระบบในการควบคุมความเร็วและลักษณะการนำส่งฮอร์โมนเข้าสู่ร่างกายในรูปแบบใด?</t>
        </is>
      </c>
      <c r="C123" s="46" t="n"/>
      <c r="D123" s="45" t="inlineStr">
        <is>
          <t>Sustained release system</t>
        </is>
      </c>
      <c r="E123" s="45" t="inlineStr">
        <is>
          <t>Osmotic release system</t>
        </is>
      </c>
      <c r="F123" s="45" t="inlineStr">
        <is>
          <t>Immediate release system</t>
        </is>
      </c>
      <c r="G123" s="45" t="inlineStr">
        <is>
          <t>Pulsatile release system</t>
        </is>
      </c>
      <c r="H123" s="45" t="inlineStr">
        <is>
          <t>Target delivery system</t>
        </is>
      </c>
      <c r="I123" s="46" t="n">
        <v>1</v>
      </c>
      <c r="J123" s="45" t="inlineStr">
        <is>
          <t>✅ คำตอบที่ถูกต้อง: ข้อ ก. Sustained release system
💡 Background:
คำถามข้อสอบจริงใบประกอบวิชาชีพ PLE-CC 1 (Product) ปี 2558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3" s="46" t="n"/>
      <c r="L123" s="45" t="inlineStr">
        <is>
          <t>Pharmaceutical Technology General</t>
        </is>
      </c>
      <c r="M123" s="46" t="inlineStr">
        <is>
          <t>Product</t>
        </is>
      </c>
      <c r="N123" s="45" t="inlineStr">
        <is>
          <t>ข้อสอบจริง Product ปี 2558 ข้อ 20</t>
        </is>
      </c>
      <c r="O123" s="46" t="inlineStr">
        <is>
          <t>ข้อสอบจริง</t>
        </is>
      </c>
      <c r="P123" s="46" t="inlineStr">
        <is>
          <t>ปี 2558</t>
        </is>
      </c>
    </row>
    <row r="124">
      <c r="A124" s="46" t="n">
        <v>122</v>
      </c>
      <c r="B124" s="45" t="inlineStr">
        <is>
          <t>หากต้องการเตรียมอิมัลชันที่มีค่า rHLB เป้าหมายเท่ากับ 12.0 โดยการเลือกใช้สารลดแรงตึงผิวคู่ผสมระหว่าง Tween (HLB \= 14.9) และ Span (HLB \= 4.7) จะต้องผสมสารลดแรงตึงผิวทั้งสองตัวในอัตราส่วน (Tween:Span) เท่าใด?</t>
        </is>
      </c>
      <c r="C124" s="46" t="n"/>
      <c r="D124" s="45" t="inlineStr">
        <is>
          <t>Tween:Span \= 7.3 : 3</t>
        </is>
      </c>
      <c r="E124" s="45" t="inlineStr">
        <is>
          <t>Tween:Span \= 3 : 7.3</t>
        </is>
      </c>
      <c r="F124" s="45" t="inlineStr">
        <is>
          <t>Tween:Span \= 10.9 : 4.7</t>
        </is>
      </c>
      <c r="G124" s="45" t="inlineStr">
        <is>
          <t>Tween:Span \= 4.7 : 10.9</t>
        </is>
      </c>
      <c r="H124" s="45" t="inlineStr">
        <is>
          <t>Tween:Span \= 7.3 : 4.7</t>
        </is>
      </c>
      <c r="I124" s="46" t="n">
        <v>1</v>
      </c>
      <c r="J124" s="45" t="inlineStr">
        <is>
          <t>✅ คำตอบที่ถูกต้อง: ข้อ ก. Tween:Span \= 7.3 : 3
💡 Background:
คำถามข้อสอบจริงใบประกอบวิชาชีพ PLE-CC 1 (Product) ปี 2558 ข้อ 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4" s="46" t="n"/>
      <c r="L124" s="45" t="inlineStr">
        <is>
          <t>Pharmaceutical Technology General</t>
        </is>
      </c>
      <c r="M124" s="46" t="inlineStr">
        <is>
          <t>Product</t>
        </is>
      </c>
      <c r="N124" s="45" t="inlineStr">
        <is>
          <t>ข้อสอบจริง Product ปี 2558 ข้อ 22</t>
        </is>
      </c>
      <c r="O124" s="46" t="inlineStr">
        <is>
          <t>ข้อสอบจริง</t>
        </is>
      </c>
      <c r="P124" s="46" t="inlineStr">
        <is>
          <t>ปี 2558</t>
        </is>
      </c>
    </row>
    <row r="125">
      <c r="A125" s="46" t="n">
        <v>123</v>
      </c>
      <c r="B125" s="45" t="inlineStr">
        <is>
          <t>ข้อใดกล่าว ไม่ถูกต้อง เกี่ยวกับมาตรการการดำเนินงานเรียกคืนผลิตภัณฑ์ยา (Product Recall) ตามหลักเกณฑ์มาตรฐาน GMP?</t>
        </is>
      </c>
      <c r="C125" s="46" t="inlineStr">
        <is>
          <t>[แนบรูป: ข้อสอบ Product ปี 2558 รหัสรูปภาพ image119]</t>
        </is>
      </c>
      <c r="D125" s="45" t="inlineStr">
        <is>
          <t>ระดับยาเพิ่มขึ้นเป็นขั้นบันไดชันขึ้นเรื่อยๆ ตลอดสัปดาห์ที่ 1 ถึง 3 และลดลงเฉียบพลันในสัปดาห์ที่ 4</t>
        </is>
      </c>
      <c r="E125" s="45" t="inlineStr">
        <is>
          <t>ระดับยาคงที่อยู่เหนือน้อยกว่าระดับรักษาเล็กน้อย และสะสมเพิ่มขึ้นอย่างรวดเร็วในสัปดาห์เว้นยา</t>
        </is>
      </c>
      <c r="F125" s="45" t="inlineStr">
        <is>
          <t>ระดับยาขึ้นสู่ระดับความเข้มข้นสภาวะคงที่ (Steady state) รักษาระดับสม่ำเสมอตลอดช่วงระยะเวลา 3 สัปดาห์ของการแปะยา และลดต่ำลงเรื่อยๆ ในสัปดาห์ที่ 4 ที่ไม่มีการแปะแผ่นยา</t>
        </is>
      </c>
      <c r="G125" s="45" t="inlineStr">
        <is>
          <t>ระดับยามีการขึ้นและลงเป็นฟันปลาขนาดใหญ่ในแต่ละสัปดาห์เนื่องจากการเปลี่ยนแผ่นใหม่กระตุ้นระดับยาทันที</t>
        </is>
      </c>
      <c r="H125" s="45" t="inlineStr">
        <is>
          <t>ระดับยาอยู่ในเกณฑ์สม่ำเสมอเท่ากันตลอดทั้ง 4 สัปดาห์โดยไม่มีการลดระดับลงเลย</t>
        </is>
      </c>
      <c r="I125" s="46" t="n">
        <v>1</v>
      </c>
      <c r="J125" s="45" t="inlineStr">
        <is>
          <t>✅ คำตอบที่ถูกต้อง: ข้อ ก. ระดับยาเพิ่มขึ้นเป็นขั้นบันไดชันขึ้นเรื่อยๆ ตลอดสัปดาห์ที่ 1 ถึง 3 และลดลงเฉียบพลันในสัปดาห์ที่ 4
💡 Background:
คำถามข้อสอบจริงใบประกอบวิชาชีพ PLE-CC 1 (Product) ปี 2558 ข้อ 36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5" s="46" t="n"/>
      <c r="L125" s="45" t="inlineStr">
        <is>
          <t>Preformulation &amp; Good Manufacturing Practice</t>
        </is>
      </c>
      <c r="M125" s="46" t="inlineStr">
        <is>
          <t>Product</t>
        </is>
      </c>
      <c r="N125" s="45" t="inlineStr">
        <is>
          <t>ข้อสอบจริง Product ปี 2558 ข้อ 36</t>
        </is>
      </c>
      <c r="O125" s="46" t="inlineStr">
        <is>
          <t>ข้อสอบจริง</t>
        </is>
      </c>
      <c r="P125" s="46" t="inlineStr">
        <is>
          <t>ปี 2558</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P3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2" t="n">
        <v>1</v>
      </c>
      <c r="B3" s="2" t="inlineStr">
        <is>
          <t>แพทย์สั่งจ่ายยา KCl 40 mEq/tablespoon (15 mL) จำนวน 60 mL เภสัชกรต้องเตรียมผงยา KCl ปริมาณกี่กรัม (กำหนด MW ของ KCl = 74.5 g/mol, valence = 1)</t>
        </is>
      </c>
      <c r="C3" s="2" t="n"/>
      <c r="D3" s="2" t="inlineStr">
        <is>
          <t>1 กรัม</t>
        </is>
      </c>
      <c r="E3" s="2" t="inlineStr">
        <is>
          <t>3 กรัม</t>
        </is>
      </c>
      <c r="F3" s="2" t="inlineStr">
        <is>
          <t>6 กรัม</t>
        </is>
      </c>
      <c r="G3" s="2" t="inlineStr">
        <is>
          <t>12 กรัม</t>
        </is>
      </c>
      <c r="H3" s="2" t="inlineStr">
        <is>
          <t>24 กรัม</t>
        </is>
      </c>
      <c r="I3" s="8" t="inlineStr">
        <is>
          <t>4</t>
        </is>
      </c>
      <c r="J3" s="2" t="inlineStr">
        <is>
          <t>✅ คำตอบที่ถูกต้อง: ข้อ ง. 12 กรัม
💡 Background:
การคำนวณปริมาณเกลืออิเล็กโทรไลต์ในหน่วยมิลลิสมมูล (mEq) อาศัยความสัมพันธ์: mEq = (mg x valence) / MW หรือ มวล (mg) = mEq x (MW / valence) โดย KCl มี valence เท่ากับ 1 ดังนั้น 1 mEq = 1 mmol
🎯 ทำไมข้อนี้ถึงถูก:
1. หาปริมาณ mEq ของ KCl ทั้งหมดในปริมาตร 60 mL:
- ยา 15 mL (1 ช้อนโต๊ะ) มี KCl = 40 mEq
- ยา 60 mL มี KCl = (40 mEq / 15 mL) x 60 mL = 160 mEq
2. แปลง mEq เป็นน้ำหนักสาร (กรัม):
- KCl มี valence = 1 และ MW = 74.5 mg/mmol
- น้ำหนัก KCl = 160 mmol x 74.5 mg/mmol = 11,920 mg = 11.92 กรัม ซึ่งปัดเศษประมาณ 12 กรัม
🔍 ข้ออื่นผิดเพราะอะไร:
- ข้อ ก (1 กรัม), ข้อ ข (3 กรัม), ข้อ ค (6 กรัม): คำนวณปริมาณ mEq ผิดพลาดหรือไม่ได้เทียบบัญญัติไตรยางศ์ตามปริมาตรรวม 60 mL
- ข้อ จ (24 กรัม): คิดปริมาตรเป็นสองเท่าหรือคำนวณสัดส่วนเกินจริง
📖 Guideline อ้างอิง:
United States Pharmacopeia (USP) General Chapter &lt;1151&gt; Pharmaceutical Dosage Forms &amp; Compounding Calculations
📌 จุดจำก่อนสอบ:
1 ช้อนโต๊ะ (tablespoon) = 15 mL และ KCl (MW 74.5, valence 1) มี 1 mEq = 74.5 mg ท่องจำ 160 mEq x 74.5 mg ≈ 12 g</t>
        </is>
      </c>
      <c r="K3" s="2" t="n"/>
      <c r="L3" s="2" t="inlineStr">
        <is>
          <t>Electrolyte &amp; Milliequivalent Calculation</t>
        </is>
      </c>
      <c r="M3" s="2" t="inlineStr">
        <is>
          <t>Product</t>
        </is>
      </c>
      <c r="N3" s="2" t="inlineStr">
        <is>
          <t>ข้อ 91 (ข้อสอบจริง 2566 Day 2)</t>
        </is>
      </c>
      <c r="O3" s="2" t="inlineStr">
        <is>
          <t>ข้อสอบจริง</t>
        </is>
      </c>
      <c r="P3" s="2" t="inlineStr">
        <is>
          <t>Mock Rx20 UBU</t>
        </is>
      </c>
    </row>
    <row r="4" ht="13.2" customHeight="1" s="37">
      <c r="A4" s="2" t="n">
        <v>2</v>
      </c>
      <c r="B4" s="2" t="inlineStr">
        <is>
          <t>ผสม KCl Injection 40 mL (มีเนื้อยา KCl 80 mEq) ลงในสารละลาย 0.9% NSS 960 mL แล้วให้ทางหลอดเลือดดำด้วยอัตราเร็ว 80 mL/hr ผู้ป่วยจะได้รับ KCl ปริมาณกี่ mEq ต่อชั่วโมง</t>
        </is>
      </c>
      <c r="C4" s="2" t="n"/>
      <c r="D4" s="2" t="inlineStr">
        <is>
          <t>3.2 mEq/hr</t>
        </is>
      </c>
      <c r="E4" s="2" t="inlineStr">
        <is>
          <t>4.8 mEq/hr</t>
        </is>
      </c>
      <c r="F4" s="2" t="inlineStr">
        <is>
          <t>6.4 mEq/hr</t>
        </is>
      </c>
      <c r="G4" s="2" t="inlineStr">
        <is>
          <t>8.0 mEq/hr</t>
        </is>
      </c>
      <c r="H4" s="2" t="inlineStr">
        <is>
          <t>10.0 mEq/hr</t>
        </is>
      </c>
      <c r="I4" s="8" t="inlineStr">
        <is>
          <t>3</t>
        </is>
      </c>
      <c r="J4" s="2" t="inlineStr">
        <is>
          <t>✅ คำตอบที่ถูกต้อง: ข้อ ค. 6.4 mEq/hr
💡 Background:
การคำนวณอัตราการให้โพแทสเซียมคลอไรด์ทางหลอดเลือดดำ (IV Potassium Infusion Rate) มีความสำคัญสูงสุดในการป้องกันภาวะ Hyperkalemia รุนแรงและหัวใจหยุดเต้น (Cardiac arrest) โดยทั่วไปอัตราการให้ไม่ควรเกิน 10-20 mEq/hr ทาง peripheral line
🎯 ทำไมข้อนี้ถึงถูก:
1. คำนวณปริมาตรรวมของสารละลายหลังผสม:
- ปริมาตรรวม = 40 mL + 960 mL = 1,000 mL
2. คำนวณความเข้มข้นของ KCl:
- ความเข้มข้น = 80 mEq / 1,000 mL = 0.08 mEq/mL
3. คำนวณอัตราการได้รับ KCl ต่อชั่วโมงที่อัตราหยด 80 mL/hr:
- ปริมาณ KCl ต่อชั่วโมง = 80 mL/hr x 0.08 mEq/mL = 6.4 mEq/hr
🔍 ข้ออื่นผิดเพราะอะไร:
- ข้อ ก (3.2 mEq/hr): คิดจากอัตราเร็ว 40 mL/hr
- ข้อ ข (4.8 mEq/hr): คำนวณความเข้มข้นผิดพลาด
- ข้อ ง (8.0 mEq/hr): คิดว่าความเข้มข้นเป็น 0.1 mEq/mL (ลืมรวมปริมาตร KCl 40 mL กับ NSS 960 mL)
- ข้อ จ (10.0 mEq/hr): คำนวณผิดพลาด
📖 Guideline อ้างอิง:
ASHP Guidelines on Handling and Administration of Intravenous Potassium
📌 จุดจำก่อนสอบ:
อย่าลืมนำปริมาตรตัวยาฉีดเข้มข้น (40 mL) มารวมกับสารน้ำกระสายยา (960 mL) ได้ปริมาตรรวม 1,000 mL พอดีเป๊ะ คิดความเข้มข้น 80/1000 = 0.08 mEq/mL คูณอัตราไหล 80 mL/hr = 6.4 mEq/hr</t>
        </is>
      </c>
      <c r="K4" s="2" t="n"/>
      <c r="L4" s="2" t="inlineStr">
        <is>
          <t>IV Infusion Rate Calculation</t>
        </is>
      </c>
      <c r="M4" s="2" t="inlineStr">
        <is>
          <t>Product</t>
        </is>
      </c>
      <c r="N4" s="2" t="inlineStr">
        <is>
          <t>ข้อ 92 (ข้อสอบจริง 2566 Day 2)</t>
        </is>
      </c>
      <c r="O4" s="2" t="inlineStr">
        <is>
          <t>ข้อสอบจริง</t>
        </is>
      </c>
    </row>
    <row r="5" ht="13.2" customHeight="1" s="37">
      <c r="A5" s="2" t="n">
        <v>3</v>
      </c>
      <c r="B5" s="2" t="inlineStr">
        <is>
          <t>การตั้งสูตรตำรับยาเหน็บ Bisacodyl จำนวน 10 แท่ง (น้ำหนักยาเหน็บที่ใช้ฐานล้วน = 2.0 กรัมต่อแท่ง) โดยใน 1 แท่งมีตัวยา Bisacodyl 10 mg กำหนดให้ตัวยามี Density factor (Dv) = 0.2 จะต้องชั่งใช้ยาพื้น (Suppository base) น้ำหนักรวมทั้งหมดกี่กรัม</t>
        </is>
      </c>
      <c r="C5" s="2" t="n"/>
      <c r="D5" s="2" t="inlineStr">
        <is>
          <t>2.0 กรัม</t>
        </is>
      </c>
      <c r="E5" s="2" t="inlineStr">
        <is>
          <t>5.5 กรัม</t>
        </is>
      </c>
      <c r="F5" s="2" t="inlineStr">
        <is>
          <t>6.5 กรัม</t>
        </is>
      </c>
      <c r="G5" s="2" t="inlineStr">
        <is>
          <t>15.0 กรัม</t>
        </is>
      </c>
      <c r="H5" s="2" t="inlineStr">
        <is>
          <t>19.5 กรัม</t>
        </is>
      </c>
      <c r="I5" s="8" t="inlineStr">
        <is>
          <t>5</t>
        </is>
      </c>
      <c r="J5" s="2" t="inlineStr">
        <is>
          <t>✅ คำตอบที่ถูกต้อง: ข้อ จ. 19.5 กรัม
💡 Background:
Density factor หรือ Displacement factor (Dv) หมายถึง อัตราส่วนน้ำหนักของตัวยาต่อน้ำหนักของยาพื้นที่ถูกแทนที่ด้วยปริมาตรยาเดียวกัน: น้ำหนักยาพื้นที่ถูกแทนที่ = ขนาดยา (g) / Dv
🎯 ทำไมข้อนี้ถึงถูก:
1. คำนวณน้ำหนักฐานที่ถูกแทนที่ด้วยตัวยา Bisacodyl 10 mg (0.01 g):
- น้ำหนักฐานที่ถูกแทนที่ต่อแท่ง = 0.01 g / 0.2 = 0.05 g
2. คำนวณน้ำหนักยาพื้นที่ต้องใช้จริงต่อ 1 แท่ง:
- น้ำหนักฐานจริงต่อแท่ง = น้ำหนักแท่งเปล่า - น้ำหนักฐานที่ถูกแทนที่ = 2.0 g - 0.05 g = 1.95 g
3. คำนวณน้ำหนักยาพื้นรวมสำหรับ 10 แท่ง:
- น้ำหนักฐานรวม = 1.95 g x 10 แท่ง = 19.5 กรัม
🔍 ข้ออื่นผิดเพราะอะไร:
- ข้อ ก, ข, ค, ง: ไม่ได้นำขนาดยามาหารด้วย Dv หรือลืมนำค่าการแทนที่ไปหักออกจากน้ำหนักแม่พิมพ์รวม 20 กรัม
📖 Guideline อ้างอิง:
United States Pharmacopeia (USP) General Chapter &lt;1151&gt; Suppositories &amp; Compounding Calculations
📌 จุดจำก่อนสอบ:
สูตรเด็ดจำเข้าห้องสอบ: น้ำหนักฐานต่อแท่ง = Blank weight - (Dose / Dv) เมื่อแทนค่า 2 - (0.01/0.2) = 1.95 g ต่อแท่ง ทำ 10 แท่งจึงตอบ 19.5 g</t>
        </is>
      </c>
      <c r="K5" s="2" t="n"/>
      <c r="L5" s="2" t="inlineStr">
        <is>
          <t>Displacement &amp; Density Factor</t>
        </is>
      </c>
      <c r="M5" s="2" t="inlineStr">
        <is>
          <t>Product</t>
        </is>
      </c>
      <c r="N5" s="2" t="inlineStr">
        <is>
          <t>ข้อ 47 (ข้อสอบจริง 2566 Day 2)</t>
        </is>
      </c>
      <c r="O5" s="2" t="inlineStr">
        <is>
          <t>ข้อสอบจริง</t>
        </is>
      </c>
    </row>
    <row r="6" ht="13.2" customHeight="1" s="37">
      <c r="A6" s="2" t="n">
        <v>4</v>
      </c>
      <c r="B6" s="2" t="inlineStr">
        <is>
          <t>ตามเภสัชตำรับ USP ระบุข้อกำหนดการวิเคราะห์หาปริมาณตัวยาสำคัญ (Assay) ของยาเม็ด Metformin HCl ขนาด 500 mg โดยให้บดเม็ดยา 20 เม็ดให้เป็นผงละเอียด แล้วชั่งผงยาที่มีตัวยาเทียบเท่า Metformin 100 mg มาทำการวิเคราะห์ จะต้องชั่งผงยามาคิดเป็นสัดส่วนเท่าใดของน้ำหนักผงยารวม</t>
        </is>
      </c>
      <c r="C6" s="2" t="n"/>
      <c r="D6" s="2" t="inlineStr">
        <is>
          <t>น้ำหนักผงยารวม / 100</t>
        </is>
      </c>
      <c r="E6" s="2" t="inlineStr">
        <is>
          <t>น้ำหนักผงยารวม / 20</t>
        </is>
      </c>
      <c r="F6" s="2" t="inlineStr">
        <is>
          <t>น้ำหนักผงยารวม / 5</t>
        </is>
      </c>
      <c r="G6" s="2" t="inlineStr">
        <is>
          <t>น้ำหนักผงยารวม / 0.01</t>
        </is>
      </c>
      <c r="H6" s="2" t="inlineStr">
        <is>
          <t>น้ำหนักผงยารวม / 10</t>
        </is>
      </c>
      <c r="I6" s="8" t="inlineStr">
        <is>
          <t>1</t>
        </is>
      </c>
      <c r="J6" s="2" t="inlineStr">
        <is>
          <t>✅ คำตอบที่ถูกต้อง: ข้อ ก. น้ำหนักผงยารวม / 100
💡 Background:
การวิเคราะห์หาปริมาณตัวยาสำคัญในยาเม็ดตามเภสัชตำรับ (Compendial Tablet Assay) จะสุ่มตัวอย่างเม็ดยาไม่น้อยกว่า 20 เม็ดมาชั่งหาน้ำหนักเฉลี่ย บดผสมให้เป็นเนื้อเดียวกัน แล้วชั่งผงยาตามสัดส่วนที่มีปริมาณตัวยาสำคัญตรงตามข้อกำหนดของ Monograph
🎯 ทำไมข้อนี้ถึงถูก:
1. ปริมาณตัวยา Metformin ทั้งหมดในยาเม็ด 20 เม็ด:
- ตัวยารวม = 20 เม็ด x 500 mg/เม็ด = 10,000 mg
2. ชั่งผงยาให้มีตัวยา 100 mg:
- สัดส่วนของผงยาที่ต้องชั่ง = ปริมาณยาที่ต้องการ / ปริมาณยาทั้งหมดใน 20 เม็ด
- สัดส่วน = 100 mg / 10,000 mg = 1 / 100
- ดังนั้น น้ำหนักผงยาที่ต้องชั่ง = น้ำหนักผงยารวม / 100
🔍 ข้ออื่นผิดเพราะอะไร:
- ข้อ ข (น้ำหนักผงยารวม / 20): คือน้ำหนักเฉลี่ยต่อ 1 เม็ด (ซึ่งมีตัวยา 500 mg เกินกว่าที่ต้องการ 100 mg)
- ข้อ ค (น้ำหนักผงยารวม / 5): คำนวณตัวส่วนผิด
- ข้อ ง (น้ำหนักผงยารวม / 0.01): กลับทิศทางทางคณิตศาสตร์
- ข้อ จ (น้ำหนักผงยารวม / 10): คำนวณผิดพลาด
📖 Guideline อ้างอิง:
United States Pharmacopeia (USP) Monograph: Metformin Hydrochloride Tablets
📌 จุดจำก่อนสอบ:
ตัวยา 20 เม็ด x 500 mg = 10,000 mg ต้องการชั่งมาเพียง 100 mg คิดเป็น 100 / 10,000 = 1/100 จึงชั่งผงยา = น้ำหนักผงยารวม / 100 เสมอ</t>
        </is>
      </c>
      <c r="K6" s="2" t="n"/>
      <c r="L6" s="2" t="inlineStr">
        <is>
          <t>Pharmaceutical Quality Assay Calculation</t>
        </is>
      </c>
      <c r="M6" s="2" t="inlineStr">
        <is>
          <t>Product</t>
        </is>
      </c>
      <c r="N6" s="2" t="inlineStr">
        <is>
          <t>ข้อ 95 (ข้อสอบจริง 2566 Day 2)</t>
        </is>
      </c>
      <c r="O6" s="2" t="inlineStr">
        <is>
          <t>ข้อสอบจริง</t>
        </is>
      </c>
    </row>
    <row r="7" ht="13.2" customHeight="1" s="37">
      <c r="A7" s="2" t="n">
        <v>5</v>
      </c>
      <c r="B7" s="2" t="inlineStr">
        <is>
          <t>ในการตรวจสอบยาเม็ดตามเภสัชตำรับ USP ขนาดยาน้ำหนักรวม 50 mg ต่อเม็ด สุ่มตัวอย่างได้น้ำหนักรวม 6.5 กรัม จะต้องใช้เม็ดยาสำหรับการทดสอบจำนวนกี่เม็ด</t>
        </is>
      </c>
      <c r="C7" s="2" t="n"/>
      <c r="D7" s="2" t="inlineStr">
        <is>
          <t>65 เม็ด</t>
        </is>
      </c>
      <c r="E7" s="2" t="inlineStr">
        <is>
          <t>100 เม็ด</t>
        </is>
      </c>
      <c r="F7" s="2" t="inlineStr">
        <is>
          <t>130 เม็ด</t>
        </is>
      </c>
      <c r="G7" s="2" t="inlineStr">
        <is>
          <t>260 เม็ด</t>
        </is>
      </c>
      <c r="H7" s="2" t="inlineStr">
        <is>
          <t>300 เม็ด</t>
        </is>
      </c>
      <c r="I7" s="8" t="inlineStr">
        <is>
          <t>3</t>
        </is>
      </c>
      <c r="J7" s="2" t="inlineStr">
        <is>
          <t>✅ คำตอบที่ถูกต้อง: ข้อ ค. 130 เม็ด
💡 Background:
การสุ่มตัวอย่างเม็ดยาเพื่อส่งตรวจวิเคราะห์ทางเภสัชกรรมตามมาตรฐาน USP กำหนดปริมาณตัวอย่างเป็นน้ำหนักรวมขั้นต่ำที่เพียงพอต่อการทดสอบทุกหัวข้อ
🎯 ทำไมข้อนี้ถึงถูก:
1. แปลงหน่วยน้ำหนักให้อยู่ในหน่วยเดียวกัน:
- น้ำหนักรวม = 6.5 กรัม = 6,500 mg
- น้ำหนักเม็ดยา 1 เม็ด = 50 mg
2. คำนวณจำนวนเม็ดยา:
- จำนวนเม็ดยา = 6,500 mg / 50 mg/เม็ด = 130 เม็ด
🔍 ข้ออื่นผิดเพราะอะไร:
- ข้อ ก (65 เม็ด): คิดน้ำหนักเม็ดละ 100 mg
- ข้อ ข (100 เม็ด): คิดคำนวณหยาบไม่ตรงตัวเลขจริง
- ข้อ ง (260 เม็ด): คิดน้ำหนักเม็ดละ 25 mg
- ข้อ จ (300 เม็ด): ตัวเลขสมมุติ
📖 Guideline อ้างอิง:
United States Pharmacopeia (USP) General Chapter &lt;905&gt; Uniformity of Dosage Units
📌 จุดจำก่อนสอบ:
แปลงกรัมเป็นมิลลิกรัมก่อนเสมอ: 6.5 g = 6,500 mg แล้วหารด้วย 50 mg ได้ 130 เม็ดลงตัวทันที</t>
        </is>
      </c>
      <c r="K7" s="2" t="n"/>
      <c r="L7" s="2" t="inlineStr">
        <is>
          <t>Sampling &amp; Dosage Form Weight Calculation</t>
        </is>
      </c>
      <c r="M7" s="2" t="inlineStr">
        <is>
          <t>Product</t>
        </is>
      </c>
      <c r="N7" s="2" t="inlineStr">
        <is>
          <t>ข้อ 52 (ข้อสอบจริง 2566 Day 2)</t>
        </is>
      </c>
      <c r="O7" s="2" t="inlineStr">
        <is>
          <t>ข้อสอบจริง</t>
        </is>
      </c>
    </row>
    <row r="8" ht="13.2" customHeight="1" s="37">
      <c r="A8" s="2" t="n">
        <v>6</v>
      </c>
      <c r="B8" s="2" t="inlineStr">
        <is>
          <t>การศึกษาจลนศาสตร์การเสื่อมสลายของยาตามปฏิกิริยาอันดับหนึ่ง (First-order degradation kinetics) ได้สมการเส้นตรง ln C = 0.46 - 0.02 t (โดย t มีหน่วยเป็นเดือน) กำหนดให้สูตรคำนวณ Shelf-life: t90 = ln(100/90) / k จงคำนวณหาอายุการเก็บรักษา (Shelf-life) ของผลิตภัณฑ์นี้</t>
        </is>
      </c>
      <c r="C8" s="2" t="n"/>
      <c r="D8" s="2" t="inlineStr">
        <is>
          <t>2.3 เดือน</t>
        </is>
      </c>
      <c r="E8" s="2" t="inlineStr">
        <is>
          <t>3.5 เดือน</t>
        </is>
      </c>
      <c r="F8" s="2" t="inlineStr">
        <is>
          <t>5.3 เดือน</t>
        </is>
      </c>
      <c r="G8" s="2" t="inlineStr">
        <is>
          <t>10.5 เดือน</t>
        </is>
      </c>
      <c r="H8" s="2" t="inlineStr">
        <is>
          <t>23.0 เดือน</t>
        </is>
      </c>
      <c r="I8" s="8" t="inlineStr">
        <is>
          <t>3</t>
        </is>
      </c>
      <c r="J8" s="2" t="inlineStr">
        <is>
          <t>✅ คำตอบที่ถูกต้อง: ข้อ ค. 5.3 เดือน
💡 Background:
Shelf-life หรืออายุการเก็บรักษา (t90) ของยาที่สลายตัวด้วย First-order kinetics คือระยะเวลาที่ความเข้มข้นของตัวยาลดลงเหลือ 90% ของปริมาณเริ่มต้น โดยมีสมการมาตรฐาน: t90 = ln(100/90) / k ≈ 0.1054 / k
🎯 ทำไมข้อนี้ถึงถูก:
1. หาค่าคงที่อัตราการสลายตัว (Degradation rate constant, k):
- จากสมการเส้นตรง ln C = ln C0 - k t
- เทียบกับสมการโจทย์ ln C = 0.46 - 0.02 t ได้ค่า k = 0.02 ต่อเดือน
2. คำนวณ t90:
- ln(100/90) = ln(1.1111) ≈ 0.10536
- t90 = 0.10536 / 0.02 = 5.268 เดือน ≈ 5.3 เดือน
🔍 ข้ออื่นผิดเพราะอะไร:
- ข้อ ก (2.3 เดือน): คำนวณผิดพลาด
- ข้อ ข (3.5 เดือน): นำค่าจุดตัดแกน 0.46 มาคำนวณผิดวิธี
- ข้อ ง (10.5 เดือน): ลืมหารด้วย k
- ข้อ จ (23.0 เดือน): คำนวณตัวเลขสลับตำแหน่ง
📖 Guideline อ้างอิง:
United States Pharmacopeia (USP) General Chapter &lt;1151&gt; Pharmaceutical Dosage Forms &amp; Stability
📌 จุดจำก่อนสอบ:
First-order t90 จำค่าคงที่ 0.1054 / k เสมอ ในข้อนี้ k = 0.02 นำ 0.1054 / 0.02 = 5.27 ≈ 5.3 เดือน รวดเร็วแม่นยำ</t>
        </is>
      </c>
      <c r="K8" s="2" t="n"/>
      <c r="L8" s="2" t="inlineStr">
        <is>
          <t>Chemical Kinetics &amp; Shelf-Life (t90)</t>
        </is>
      </c>
      <c r="M8" s="2" t="inlineStr">
        <is>
          <t>Product</t>
        </is>
      </c>
      <c r="N8" s="2" t="inlineStr">
        <is>
          <t>ข้อ 53/65 (ข้อสอบจริง 2566 Day 2)</t>
        </is>
      </c>
      <c r="O8" s="2" t="inlineStr">
        <is>
          <t>ข้อสอบจริง</t>
        </is>
      </c>
    </row>
    <row r="9" ht="13.2" customHeight="1" s="37">
      <c r="A9" s="2" t="n">
        <v>7</v>
      </c>
      <c r="B9" s="2" t="inlineStr">
        <is>
          <t>ยาหยอดตาชนิดหนึ่งมีตัวยาสำคัญ 1.75 mg/mL เกิดปฏิกิริยาการสลายตัวแบบ Pseudo first-order reaction โดยมีค่าคงที่อัตราการเสื่อมสลายเมื่อเก็บในตู้เย็น (4°C) เท่ากับ 0.05 ต่อปี จงคำนวณหาอายุการเก็บรักษา (Shelf-life: t90) ของยานี้</t>
        </is>
      </c>
      <c r="C9" s="2" t="n"/>
      <c r="D9" s="2" t="inlineStr">
        <is>
          <t>0.5 ปี</t>
        </is>
      </c>
      <c r="E9" s="2" t="inlineStr">
        <is>
          <t>2.1 ปี</t>
        </is>
      </c>
      <c r="F9" s="2" t="inlineStr">
        <is>
          <t>3.5 ปี</t>
        </is>
      </c>
      <c r="G9" s="2" t="inlineStr">
        <is>
          <t>5.0 ปี</t>
        </is>
      </c>
      <c r="H9" s="2" t="inlineStr">
        <is>
          <t>13.9 ปี</t>
        </is>
      </c>
      <c r="I9" s="8" t="inlineStr">
        <is>
          <t>2</t>
        </is>
      </c>
      <c r="J9" s="2" t="inlineStr">
        <is>
          <t>✅ คำตอบที่ถูกต้อง: ข้อ ข. 2.1 ปี
💡 Background:
อายุการเก็บรักษา (Shelf-life: t90) ของยาที่สลายตัวด้วยกลไก First-order หรือ Pseudo first-order ไม่ขึ้นกับความเข้มข้นเริ่มต้นของตัวยา โดยคำนวณได้โดยตรงจากสูตร: t90 = ln(C0/0.9C0) / k = ln(1.111) / k ≈ 0.105 / k
🎯 ทำไมข้อนี้ถึงถูก:
1. ค่าคงที่อัตราการสลายตัว k = 0.05 ต่อปี
2. คำนวณ t90:
- t90 = 0.10536 / 0.05 = 2.107 ปี ≈ 2.1 ปี
🔍 ข้ออื่นผิดเพราะอะไร:
- ข้อ ก (0.5 ปี): คำนวณผิดพลาด
- ข้อ ค (3.5 ปี): คิดคำนวณตัวเลขผิด
- ข้อ ง (5.0 ปี): คิดว่า t90 = 0.05 x 100
- ข้อ จ (13.9 ปี): คือค่าครึ่งชีวิต t1/2 = ln 2 / k = 0.693 / 0.05 = 13.86 ปี (โจทย์ถาม Shelf-life t90 ไม่ใช่ Half-life t1/2)
📖 Guideline อ้างอิง:
Martin's Physical Pharmacy and Pharmaceutical Sciences: Drug Stability and Kinetics
📌 จุดจำก่อนสอบ:
ระวังหลุมพราง อย่าสับสนระหว่าง t1/2 (0.693/k = 13.9 ปี) กับ t90 (0.105/k = 2.1 ปี) โจทย์ถาม Shelf-life ต้องใช้ 0.105 / k เสมอ</t>
        </is>
      </c>
      <c r="K9" s="2" t="n"/>
      <c r="L9" s="2" t="inlineStr">
        <is>
          <t>Chemical Kinetics &amp; Shelf-Life (t90)</t>
        </is>
      </c>
      <c r="M9" s="2" t="inlineStr">
        <is>
          <t>Product</t>
        </is>
      </c>
      <c r="N9" s="2" t="inlineStr">
        <is>
          <t>ข้อ 15 (ข้อสอบจริง 2562)</t>
        </is>
      </c>
      <c r="O9" s="2" t="inlineStr">
        <is>
          <t>ข้อสอบจริง</t>
        </is>
      </c>
    </row>
    <row r="10" ht="13.2" customHeight="1" s="37">
      <c r="A10" s="2" t="n">
        <v>8</v>
      </c>
      <c r="B10" s="2" t="inlineStr">
        <is>
          <t>ในการเตรียมยาแคปซูลเบอร์ 1 (ปริมาตรภายในแคปซูล 0.5 mL) บรรจุผงยา Rifampicin 250 mg ต่อแคปซูล โดยตัวยามีความหนาแน่นเท่ากับ 1.0 g/mL และต้องการเติม Corn starch (ความหนาแน่น 0.2 g/mL) เป็นสารเพิ่มปริมาณ (Diluent) ให้เต็มแคปซูลพอดี จะต้องชั่งใช้ Corn starch ปริมาณกี่มิลลิกรัมต่อแคปซูล</t>
        </is>
      </c>
      <c r="C10" s="2" t="n"/>
      <c r="D10" s="2" t="inlineStr">
        <is>
          <t>25 mg</t>
        </is>
      </c>
      <c r="E10" s="2" t="inlineStr">
        <is>
          <t>50 mg</t>
        </is>
      </c>
      <c r="F10" s="2" t="inlineStr">
        <is>
          <t>75 mg</t>
        </is>
      </c>
      <c r="G10" s="2" t="inlineStr">
        <is>
          <t>100 mg</t>
        </is>
      </c>
      <c r="H10" s="2" t="inlineStr">
        <is>
          <t>125 mg</t>
        </is>
      </c>
      <c r="I10" s="8" t="inlineStr">
        <is>
          <t>2</t>
        </is>
      </c>
      <c r="J10" s="2" t="inlineStr">
        <is>
          <t>✅ คำตอบที่ถูกต้อง: ข้อ ข. 50 mg
💡 Background:
การเตรียมยาแคปซูลแข็ง (Hard Gelatin Capsule) ปริมาตรภายในของปลอกแคปซูลมีขนาดคงที่ ดังนั้นการคำนวณปริมาณสารเพิ่มปริมาณ (Diluent) ต้องคิดจาก 'ปริมาตรที่เหลือ (Remaining Volume)' ไม่สามารถคิดจากน้ำหนักโดยตรง
🎯 ทำไมข้อนี้ถึงถูก:
1. หาปริมาตรที่ผงยา Rifampicin 250 mg (0.25 g) เข้าไปแทนที่:
- ปริมาตรยา = น้ำหนักยา / ความหนาแน่นยา = 0.25 g / 1.0 g/mL = 0.25 mL
2. หาปริมาตรว่างภายในแคปซูลเบอร์ 1 ที่ต้องเติม Diluent:
- ปริมาตรแคปซูลเบอร์ 1 = 0.5 mL
- ปริมาตรว่างที่เหลือ = 0.5 mL - 0.25 mL = 0.25 mL
3. แปลงปริมาตรว่างเป็นน้ำหนักของ Corn starch:
- น้ำหนัก Corn starch = ปริมาตร x ความหนาแน่น = 0.25 mL x 0.2 g/mL = 0.05 g = 50 mg
🔍 ข้ออื่นผิดเพราะอะไร:
- ข้อ ก (25 mg), ข้อ ค (75 mg), ข้อ ง (100 mg), ข้อ จ (125 mg): เกิดจากการนำน้ำหนักมาลบกันโดยตรงโดยไม่แปลงผ่านปริมาตรและความหนาแน่น
📖 Guideline อ้างอิง:
United States Pharmacopeia (USP) General Chapter &lt;1151&gt; Capsules &amp; Compounding Calculations
📌 จุดจำก่อนสอบ:
หลักการ 3 ขั้นตอน: ปริมาตรยา (0.25 g / 1.0 = 0.25 mL) -&gt; ปริมาตรว่าง (0.5 - 0.25 = 0.25 mL) -&gt; น้ำหนักแป้ง (0.25 mL x 0.2 g/mL = 0.05 g = 50 mg)</t>
        </is>
      </c>
      <c r="K10" s="2" t="n"/>
      <c r="L10" s="2" t="inlineStr">
        <is>
          <t>Capsule Displacement &amp; Volume Calculation</t>
        </is>
      </c>
      <c r="M10" s="2" t="inlineStr">
        <is>
          <t>Product</t>
        </is>
      </c>
      <c r="N10" s="2" t="inlineStr">
        <is>
          <t>ข้อ 19 (ข้อสอบจริง 2562)</t>
        </is>
      </c>
      <c r="O10" s="2" t="inlineStr">
        <is>
          <t>ข้อสอบจริง</t>
        </is>
      </c>
    </row>
    <row r="11" ht="13.2" customHeight="1" s="37">
      <c r="A11" s="2" t="n">
        <v>9</v>
      </c>
      <c r="B11" s="2" t="inlineStr">
        <is>
          <t>ผู้ป่วยไม่สามารถกลืนยาเม็ดได้ เภสัชกรจำเป็นต้องเตรียมยาน้ำแขวนตะกอน Rifampicin ความเข้มข้น 1% w/v ปริมาตร 180 mL โดยเตรียมจากยาเม็ด Rifampicin ในคลังยา จะต้องใช้ยาเม็ดขนาดและความแรงใดจึงจะถูกต้องและเหมาะสมที่สุด</t>
        </is>
      </c>
      <c r="C11" s="2" t="n"/>
      <c r="D11" s="2" t="inlineStr">
        <is>
          <t>เม็ดขนาด 450 mg จำนวน 2 เม็ด</t>
        </is>
      </c>
      <c r="E11" s="2" t="inlineStr">
        <is>
          <t>เม็ดขนาด 450 mg จำนวน 3 เม็ด</t>
        </is>
      </c>
      <c r="F11" s="2" t="inlineStr">
        <is>
          <t>เม็ดขนาด 300 mg จำนวน 4 เม็ด</t>
        </is>
      </c>
      <c r="G11" s="2" t="inlineStr">
        <is>
          <t>เม็ดขนาด 300 mg จำนวน 6 เม็ด</t>
        </is>
      </c>
      <c r="H11" s="2" t="inlineStr">
        <is>
          <t>เม็ดขนาด 300 mg จำนวน 8 เม็ด</t>
        </is>
      </c>
      <c r="I11" s="8" t="inlineStr">
        <is>
          <t>4</t>
        </is>
      </c>
      <c r="J11" s="2" t="inlineStr">
        <is>
          <t>✅ คำตอบที่ถูกต้อง: ข้อ ง. เม็ดขนาด 300 mg จำนวน 6 เม็ด
💡 Background:
การเตรียมยาน้ำเฉพาะคราว (Extemporaneous Compounding) จากยาเม็ดสำเร็จรูป ต้องคำนวณปริมาณเนื้อตัวยาสำคัญทั้งหมดที่ต้องการอย่างถูกต้องแม่นยำ แล้วเลือกขนาดความแรงยาเม็ดที่หารได้ลงตัวโดยไม่ต้องหักแบ่งเม็ด
🎯 ทำไมข้อนี้ถึงถูก:
1. คำนวณปริมาณตัวยา Rifampicin ทั้งหมดที่ต้องใช้:
- ความเข้มข้น 1% w/v = 1 g ใน 100 mL
- ปริมาตร 180 mL ต้องใช้ตัวยา = (1 g x 180 mL) / 100 mL = 1.8 g = 1,800 mg
2. ตรวจสอบจำนวนเม็ดยาในแต่ละตัวเลือก:
- หากใช้ขนาด 450 mg: ต้องใช้ 1,800 mg / 450 mg = 4 เม็ด (ตัวเลือก ก ได้ 900 mg, ข ได้ 1,350 mg ซึ่งไม่พอ)
- หากใช้ขนาด 300 mg: ต้องใช้ 1,800 mg / 300 mg = 6 เม็ด ตรงกับข้อ ง พอดีเป๊ะ
🔍 ข้ออื่นผิดเพราะอะไร:
- ข้อ ก (450 mg x 2 = 900 mg): ยาไม่พอ
- ข้อ ข (450 mg x 3 = 1,350 mg): ยาไม่พอ
- ข้อ ค (300 mg x 4 = 1,200 mg): ยาไม่พอ
- ข้อ จ (300 mg x 8 = 2,400 mg): ยาเกินขนาด
📖 Guideline อ้างอิง:
United States Pharmacopeia (USP) General Chapter &lt;795&gt; Pharmaceutical Compounding - Nonsterile Preparations
📌 จุดจำก่อนสอบ:
1% w/v ใน 180 mL = 1.8 g = 1,800 mg นำ 1,800 หารด้วยความแรง 300 mg ได้ 6 เม็ดลงตัวพอดี</t>
        </is>
      </c>
      <c r="K11" s="2" t="n"/>
      <c r="L11" s="2" t="inlineStr">
        <is>
          <t>Working Formula &amp; Compounding Scaling</t>
        </is>
      </c>
      <c r="M11" s="2" t="inlineStr">
        <is>
          <t>Product</t>
        </is>
      </c>
      <c r="N11" s="2" t="inlineStr">
        <is>
          <t>ข้อ 18 (ข้อสอบจริง 2562)</t>
        </is>
      </c>
      <c r="O11" s="2" t="inlineStr">
        <is>
          <t>ข้อสอบจริง</t>
        </is>
      </c>
    </row>
    <row r="12" ht="13.2" customHeight="1" s="37">
      <c r="A12" s="2" t="n">
        <v>10</v>
      </c>
      <c r="B12" s="2" t="inlineStr">
        <is>
          <t>หากผู้ป่วยต้องการได้รับ KCl 60 mEq ต่อวัน จะต้องให้สารละลาย KCl ความเข้มข้น 74.5 g/L ปริมาณกี่มิลลิลิตรต่อวัน (กำหนดให้ MW ของ KCl = 74.5 g/mol, valence = 1)</t>
        </is>
      </c>
      <c r="C12" s="2" t="n"/>
      <c r="D12" s="2" t="inlineStr">
        <is>
          <t>15 mL</t>
        </is>
      </c>
      <c r="E12" s="2" t="inlineStr">
        <is>
          <t>30 mL</t>
        </is>
      </c>
      <c r="F12" s="2" t="inlineStr">
        <is>
          <t>45 mL</t>
        </is>
      </c>
      <c r="G12" s="2" t="inlineStr">
        <is>
          <t>60 mL</t>
        </is>
      </c>
      <c r="H12" s="2" t="inlineStr">
        <is>
          <t>75 mL</t>
        </is>
      </c>
      <c r="I12" s="8" t="inlineStr">
        <is>
          <t>4</t>
        </is>
      </c>
      <c r="J12" s="2" t="inlineStr">
        <is>
          <t>✅ คำตอบที่ถูกต้อง: ข้อ ง. 60 mL
💡 Background:
สารละลายเกลืออิเล็กโทรไลต์ที่ระบุความเข้มข้นเป็น g/L สามารถแปลงเป็นความเข้มข้นในหน่วย mEq/mL ได้โดยตรงผ่านน้ำหนักโมเลกุลและความสมมูล (Valence)
🎯 ทำไมข้อนี้ถึงถูก:
1. หาความเข้มข้นของสารละลาย KCl ในหน่วย mEq/mL:
- KCl ความเข้มข้น 74.5 g/L = 74.5 mg/mL
- เนื่องจาก KCl มี valence = 1 และ MW = 74.5 g/mol (หรือ 74.5 mg/mmol)
- ดังนั้น KCl 74.5 mg = 1 mmol = 1 mEq
- สารละลายนี้จึงมีความเข้มข้น = 1 mEq/mL
2. คำนวณปริมาตรที่ต้องให้:
- ต้องการ KCl 60 mEq/day จึงต้องให้ปริมาตร = 60 mEq / (1 mEq/mL) = 60 mL ต่อวัน
🔍 ข้ออื่นผิดเพราะอะไร:
- ข้อ ก (15 mL): ให้ KCl เพียง 15 mEq
- ข้อ ข (30 mL): ให้ KCl เพียง 30 mEq
- ข้อ ค (45 mL): ให้ KCl เพียง 45 mEq
- ข้อ จ (75 mL): ให้ KCl เกินเป็น 75 mEq
📖 Guideline อ้างอิง:
United States Pharmacopeia (USP) General Chapter &lt;1151&gt; Pharmaceutical Dosage Forms &amp; Compounding Calculations
📌 จุดจำก่อนสอบ:
ความเข้มข้น 74.5 g/L เทียบเท่า 74.5 mg/mL ซึ่งหารด้วย MW 74.5 พอดี ได้ 1 mEq/mL ดังนั้นต้องการ 60 mEq ก็จ่าย 60 mL ตรงไปตรงมา</t>
        </is>
      </c>
      <c r="K12" s="2" t="n"/>
      <c r="L12" s="2" t="inlineStr">
        <is>
          <t>Electrolyte &amp; Milliequivalent Calculation</t>
        </is>
      </c>
      <c r="M12" s="2" t="inlineStr">
        <is>
          <t>Product</t>
        </is>
      </c>
      <c r="N12" s="2" t="inlineStr">
        <is>
          <t>ข้อ 15 (ข้อสอบจริง 2559)</t>
        </is>
      </c>
      <c r="O12" s="2" t="inlineStr">
        <is>
          <t>ข้อสอบจริง</t>
        </is>
      </c>
    </row>
    <row r="13" ht="13.2" customHeight="1" s="37">
      <c r="A13" s="2" t="n">
        <v>11</v>
      </c>
      <c r="B13" s="2" t="inlineStr">
        <is>
          <t>โรงพยาบาลต้องการเตรียม Betamethasone valerate cream โดยมีวัตถุดิบ Betamethasone valerate 1% w/w หากต้องการเตรียมครีมน้ำหนัก 100 กรัม ให้มีเนื้อยาเทียบเท่า Betamethasone บริสุทธิ์ 1.00 กรัม จะต้องใช้ตัวยา Betamethasone valerate กี่กรัม (กำหนด MW ของ Betamethasone valerate = 476 g/mol และ Betamethasone = 392 g/mol)</t>
        </is>
      </c>
      <c r="C13" s="2" t="n"/>
      <c r="D13" s="2" t="inlineStr">
        <is>
          <t>0.82 กรัม</t>
        </is>
      </c>
      <c r="E13" s="2" t="inlineStr">
        <is>
          <t>1.00 กรัม</t>
        </is>
      </c>
      <c r="F13" s="2" t="inlineStr">
        <is>
          <t>1.21 กรัม</t>
        </is>
      </c>
      <c r="G13" s="2" t="inlineStr">
        <is>
          <t>3.92 กรัม</t>
        </is>
      </c>
      <c r="H13" s="2" t="inlineStr">
        <is>
          <t>4.76 กรัม</t>
        </is>
      </c>
      <c r="I13" s="8" t="inlineStr">
        <is>
          <t>3</t>
        </is>
      </c>
      <c r="J13" s="2" t="inlineStr">
        <is>
          <t>✅ คำตอบที่ถูกต้อง: ข้อ ค. 1.21 กรัม
💡 Background:
การคำนวณเทียบเท่าน้ำหนักตัวยาในรูปเกลือหรือเอสเทอร์ (Salt/Ester Equivalency) อาศัยสัดส่วนน้ำหนักโมเลกุล: น้ำหนักรูปเอสเทอร์ = น้ำหนักรูปบริสุทธิ์ x (MW ของรูปเอสเทอร์ / MW ของรูปบริสุทธิ์)
🎯 ทำไมข้อนี้ถึงถูก:
1. อัตราส่วนน้ำหนักโมเลกุล:
- Betamethasone valerate (รูปเอสเทอร์) มี MW = 476 g/mol
- Betamethasone (รูปบริสุทธิ์) มี MW = 392 g/mol
2. คำนวณน้ำหนัก Betamethasone valerate ที่ต้องใช้เพื่อให้ได้ Betamethasone 1.00 กรัม:
- น้ำหนัก Betamethasone valerate = 1.00 g x (476 / 392) = 1.214 กรัม ≈ 1.21 กรัม
🔍 ข้ออื่นผิดเพราะอะไร:
- ข้อ ก (0.82 กรัม): นำ 392 / 476 (คิดสลับด้าน ทำให้น้ำหนักเอสเทอร์น้อยกว่ารูปเบส ซึ่งเป็นไปไม่ได้)
- ข้อ ข (1.00 กรัม): ไม่ได้แปลงสัดส่วนน้ำหนักโมเลกุล
- ข้อ ง (4.76 กรัม), ข้อ จ (3.92 กรัม): นำค่า MW มาคูณผิดตำแหน่ง
📖 Guideline อ้างอิง:
United States Pharmacopeia (USP) General Chapter &lt;1151&gt; Pharmaceutical Dosage Forms &amp; Compounding Calculations
📌 จุดจำก่อนสอบ:
รูปเกลือหรือเอสเทอร์โมเลกุลใหญ่กว่ารูปบริสุทธิ์เสมอ น้ำหนักที่ชั่งต้อง 'มากกว่า' รูปบริสุทธิ์: ชั่ง 1.00 x (476/392) = 1.21 g</t>
        </is>
      </c>
      <c r="K13" s="2" t="n"/>
      <c r="L13" s="2" t="inlineStr">
        <is>
          <t>Molecular Weight &amp; Salt Factor Calculation</t>
        </is>
      </c>
      <c r="M13" s="2" t="inlineStr">
        <is>
          <t>Product</t>
        </is>
      </c>
      <c r="N13" s="2" t="inlineStr">
        <is>
          <t>ข้อ 14 (ข้อสอบจริง 2559)</t>
        </is>
      </c>
      <c r="O13" s="2" t="inlineStr">
        <is>
          <t>ข้อสอบจริง</t>
        </is>
      </c>
    </row>
    <row r="14" ht="13.2" customHeight="1" s="37">
      <c r="A14" s="2" t="n">
        <v>12</v>
      </c>
      <c r="B14" s="2" t="inlineStr">
        <is>
          <t>คำนวณหาปริมาณเบสของยาเหน็บ (Suppository base) ที่ต้องใช้ในการเตรียมยาเหน็บ 1 แท่ง โดยยาเหน็บแท่งเปล่าหนัก 2.00 กรัม กำหนดให้มีตัวยา Clotrimazole น้ำหนัก 500 mg ต่อแท่ง และมีค่า Displacement Value (D.V.) = 1.1</t>
        </is>
      </c>
      <c r="C14" s="2" t="n"/>
      <c r="D14" s="2" t="inlineStr">
        <is>
          <t>0.45 กรัม</t>
        </is>
      </c>
      <c r="E14" s="2" t="inlineStr">
        <is>
          <t>0.55 กรัม</t>
        </is>
      </c>
      <c r="F14" s="2" t="inlineStr">
        <is>
          <t>1.45 กรัม</t>
        </is>
      </c>
      <c r="G14" s="2" t="inlineStr">
        <is>
          <t>1.55 กรัม</t>
        </is>
      </c>
      <c r="H14" s="2" t="inlineStr">
        <is>
          <t>2.00 กรัม</t>
        </is>
      </c>
      <c r="I14" s="8" t="inlineStr">
        <is>
          <t>4</t>
        </is>
      </c>
      <c r="J14" s="2" t="inlineStr">
        <is>
          <t>✅ คำตอบที่ถูกต้อง: ข้อ ง. 1.55 กรัม
💡 Background:
Displacement Value (D.V.) ของตัวยา หมายถึง ปริมาณเป็นกรัมของตัวยาที่เข้าไปแทนที่ยาพื้น (Theobroma oil / Cocoa butter) ปริมาณ 1.00 กรัม: น้ำหนักยาพื้นที่ถูกแทนที่ = ขนาดยา (g) / D.V.
🎯 ทำไมข้อนี้ถึงถูก:
1. แปลงขนาดยา Clotrimazole 500 mg = 0.50 กรัม
2. คำนวณน้ำหนักเบสที่ถูกแทนที่ด้วย Clotrimazole:
- น้ำหนักเบสที่ถูกแทนที่ = 0.50 g / 1.1 = 0.4545 กรัม ≈ 0.45 กรัม
3. คำนวณน้ำหนักเบสที่ต้องใช้จริงต่อแท่ง:
- น้ำหนักเบสจริง = น้ำหนักแท่งเปล่า - น้ำหนักเบสที่ถูกแทนที่ = 2.00 g - 0.4545 g = 1.5455 กรัม ≈ 1.55 กรัม
🔍 ข้ออื่นผิดเพราะอะไร:
- ข้อ ก (0.45 กรัม): คือน้ำหนักเบสที่ถูกแทนที่ (ไม่ใช่เบสที่ต้องชั่งใช้จริง)
- ข้อ ข (0.55 กรัม): คำนวณสับสน
- ข้อ ค (1.45 กรัม): คำนวณตัวเลขผิดพลาด
- ข้อ จ (2.00 กรัม): น้ำหนักแท่งเปล่าโดยไม่ได้หักการแทนที่ของตัวยา
📖 Guideline อ้างอิง:
United States Pharmacopeia (USP) General Chapter &lt;1151&gt; Suppositories &amp; Compounding Calculations
📌 จุดจำก่อนสอบ:
น้ำหนักเบสที่ถูกแทนที่ = 0.5 g / 1.1 = 0.45 g นำไปลบออกจากน้ำหนักแม่พิมพ์ 2.00 g ได้ 1.55 g พอดี</t>
        </is>
      </c>
      <c r="K14" s="2" t="n"/>
      <c r="L14" s="2" t="inlineStr">
        <is>
          <t>Displacement &amp; Density Factor</t>
        </is>
      </c>
      <c r="M14" s="2" t="inlineStr">
        <is>
          <t>Product</t>
        </is>
      </c>
      <c r="N14" s="2" t="inlineStr">
        <is>
          <t>ข้อ 13 (ข้อสอบจริง 2559)</t>
        </is>
      </c>
      <c r="O14" s="2" t="inlineStr">
        <is>
          <t>ข้อสอบจริง</t>
        </is>
      </c>
    </row>
    <row r="15" ht="13.2" customHeight="1" s="37">
      <c r="A15" s="2" t="n">
        <v>13</v>
      </c>
      <c r="B15" s="2" t="inlineStr">
        <is>
          <t>จากสูตรตำรับยาหยอดตา ปริมาตร 100 mL ประกอบด้วย: สาร A ปริมาณ 0.05 g (E-value = 0.16), สาร T ปริมาณ 0.04 g (E-value = 0.25), สาร B ปริมาณ 0.01 g (E-value = 0.16) และปรับปริมาตรด้วย Distilled water จนครบ 100 mL จงคำนวณหาปริมาณ Sodium Chloride (NaCl) ที่ต้องเติมลงในตำรับเพื่อให้ได้สารละลาย Isotonic Solution (0.9% NaCl equivalent)</t>
        </is>
      </c>
      <c r="C15" s="2" t="n"/>
      <c r="D15" s="2" t="inlineStr">
        <is>
          <t>0.330 กรัม</t>
        </is>
      </c>
      <c r="E15" s="2" t="inlineStr">
        <is>
          <t>0.440 กรัม</t>
        </is>
      </c>
      <c r="F15" s="2" t="inlineStr">
        <is>
          <t>0.720 กรัม</t>
        </is>
      </c>
      <c r="G15" s="2" t="inlineStr">
        <is>
          <t>0.880 กรัม</t>
        </is>
      </c>
      <c r="H15" s="2" t="inlineStr">
        <is>
          <t>0.900 กรัม</t>
        </is>
      </c>
      <c r="I15" s="8" t="inlineStr">
        <is>
          <t>4</t>
        </is>
      </c>
      <c r="J15" s="2" t="inlineStr">
        <is>
          <t>✅ คำตอบที่ถูกต้อง: ข้อ ง. 0.880 กรัม
💡 Background:
การปรับความตึงของสารละลายด้วยวิธี Sodium Chloride Equivalent (E-value) อาศัยหลักการว่า สารละลายไอโซโทนิกมาตรฐาน 100 mL เทียบเท่ากับ NaCl 0.900 กรัม ดังนั้น: ปริมาณ NaCl ที่ต้องเติม = 0.900 g - ผลรวมของ (น้ำหนักสารแต่ละตัว x ค่า E ของสารนั้น)
🎯 ทำไมข้อนี้ถึงถูก:
1. คำนวณผลรวมความสมมูล NaCl (NaCl Equivalent) ของสารทุกตัวในตำรับ:
- สาร A: 0.05 g x 0.16 = 0.0080 g
- สาร T: 0.04 g x 0.25 = 0.0100 g
- สาร B: 0.01 g x 0.16 = 0.0016 g
- ผลรวมเทียบเท่า NaCl = 0.0080 + 0.0100 + 0.0016 = 0.0196 g
2. คำนวณ NaCl ที่ต้องเติมเพิ่มในตำรับ 100 mL:
- NaCl ที่ต้องเติม = 0.900 g - 0.0196 g = 0.8804 g ≈ 0.880 กรัม
🔍 ข้ออื่นผิดเพราะอะไร:
- ข้อ ก, ข, ค: ค่าคำนวณต่ำเกินไปจากการคิดผลรวม E-value ผิดพลาด
- ข้อ จ (0.900 กรัม): ลืมหักค่า NaCl equivalent ของสารในสูตรตำรับ
📖 Guideline อ้างอิง:
United States Pharmacopeia (USP) General Chapter &lt;1151&gt; Pharmaceutical Dosage Forms - Ophthalmic Preparations
📌 จุดจำก่อนสอบ:
สูตรเด็ด: NaCl ที่ต้องเติม = 0.9 - ∑(W x E) = 0.9 - (0.008 + 0.010 + 0.0016) = 0.9 - 0.0196 = 0.8804 ≈ 0.880 g</t>
        </is>
      </c>
      <c r="K15" s="2" t="n"/>
      <c r="L15" s="2" t="inlineStr">
        <is>
          <t>Isotonicity &amp; Sodium Chloride Equivalent (E-value)</t>
        </is>
      </c>
      <c r="M15" s="2" t="inlineStr">
        <is>
          <t>Product</t>
        </is>
      </c>
      <c r="N15" s="2" t="inlineStr">
        <is>
          <t>ข้อ 98 (ข้อสอบจริง 2564) &amp; ข้อ 62 (2563 IDQ V)</t>
        </is>
      </c>
      <c r="O15" s="2" t="inlineStr">
        <is>
          <t>ข้อสอบจริง</t>
        </is>
      </c>
    </row>
    <row r="16" ht="13.2" customHeight="1" s="37">
      <c r="A16" s="2" t="n">
        <v>14</v>
      </c>
      <c r="B16" s="2" t="inlineStr">
        <is>
          <t>เภสัชกรต้องการเตรียมสารละลาย 10% Dextrose in Water (D10W) ปริมาตร 500 mL โดยการผสมสารละลาย 5% Dextrose (D5W) ร่วมกับ 50% Dextrose (D50W) จะต้องใช้สารละลายทั้งสองชนิดในปริมาตรเท่าใดตามลำดับ (คำนวณโดยวิธี Alligation Alternate)</t>
        </is>
      </c>
      <c r="C16" s="2" t="n"/>
      <c r="D16" s="2" t="inlineStr">
        <is>
          <t>D5W 445 mL และ D50W 55 mL</t>
        </is>
      </c>
      <c r="E16" s="2" t="inlineStr">
        <is>
          <t>D5W 495 mL และ D50W 5 mL</t>
        </is>
      </c>
      <c r="F16" s="2" t="inlineStr">
        <is>
          <t>D5W 400 mL และ D50W 100 mL</t>
        </is>
      </c>
      <c r="G16" s="2" t="inlineStr">
        <is>
          <t>D5W 450 mL และ D50W 50 mL</t>
        </is>
      </c>
      <c r="H16" s="2" t="inlineStr">
        <is>
          <t>D5W 350 mL และ D50W 150 mL</t>
        </is>
      </c>
      <c r="I16" s="8" t="inlineStr">
        <is>
          <t>1</t>
        </is>
      </c>
      <c r="J16" s="2" t="inlineStr">
        <is>
          <t>✅ คำตอบที่ถูกต้อง: ข้อ ก. D5W 445 mL และ D50W 55 mL
💡 Background:
วิธี Alligation Alternate ใช้คำนวณสัดส่วนการผสมสารละลายความเข้มข้นต่างกัน 2 ชนิดเพื่อให้ได้ความเข้มข้นเป้าหมายที่อยู่ระหว่างกลาง
🎯 ทำไมข้อนี้ถึงถูก:
1. ตั้งตาราง Alligation:
- D50W (ความเข้มข้นสูง): | 10 - 5 | = 5 ส่วน
- D5W (ความเข้มข้นต่ำ): | 50 - 10 | = 40 ส่วน
- รวมส่วนทั้งหมด = 5 + 40 = 45 ส่วน
2. คำนวณปริมาตรในสารละลายรวม 500 mL:
- ปริมาตร D50W = (5 / 45) x 500 mL = 55.55 mL ≈ 55 mL
- ปริมาตร D5W = (40 / 45) x 500 mL = 444.44 mL ≈ 445 mL
🔍 ข้ออื่นผิดเพราะอะไร:
- ข้อ ข, ค, ง, จ: สัดส่วนการผสมไม่ตรงตามหลัก Alligation หรือประมาณค่าคลาดเคลื่อน
📖 Guideline อ้างอิง:
United States Pharmacopeia (USP) General Chapter &lt;1151&gt; Pharmaceutical Dosage Forms &amp; Compounding Calculations
📌 จุดจำก่อนสอบ:
ตั้งตารางไขว้ Alligation: D50W ได้ (10-5)=5 ส่วน, D5W ได้ (50-10)=40 ส่วน รวม 45 ส่วน คิดเป็น D5W = 40/45 x 500 ≈ 445 mL และ D50W = 5/45 x 500 ≈ 55 mL</t>
        </is>
      </c>
      <c r="K16" s="2" t="n"/>
      <c r="L16" s="2" t="inlineStr">
        <is>
          <t>Alligation Alternate Method</t>
        </is>
      </c>
      <c r="M16" s="2" t="inlineStr">
        <is>
          <t>Product</t>
        </is>
      </c>
      <c r="N16" s="2" t="inlineStr">
        <is>
          <t>ข้อ 90 (ข้อสอบจริง 2565 Day 1)</t>
        </is>
      </c>
      <c r="O16" s="2" t="inlineStr">
        <is>
          <t>ข้อสอบจริง</t>
        </is>
      </c>
    </row>
    <row r="17">
      <c r="A17" s="46" t="n">
        <v>15</v>
      </c>
      <c r="B17" s="45" t="inlineStr">
        <is>
          <t>(ปี 2566, Day 2 ข้อ 47\) (เรื่อง: การคำนวณยาเหน็บ - Density/Displacement factor) Bisacodyl มี Dv (density/displacement factor) \= 0.2 ต้องการผลิตยาเหน็บ 10 mg จำนวน 10 แท่ง (น้ำหนักเม็ดเปล่า/ฐานล้วน \= 2 g) ต้องเตรียมน้ำหนักยาพื้นเท่าไหร่</t>
        </is>
      </c>
      <c r="C17" s="46" t="n"/>
      <c r="D17" s="45" t="inlineStr">
        <is>
          <t>2</t>
        </is>
      </c>
      <c r="E17" s="45" t="inlineStr">
        <is>
          <t>5.5</t>
        </is>
      </c>
      <c r="F17" s="45" t="inlineStr">
        <is>
          <t>6.5</t>
        </is>
      </c>
      <c r="G17" s="45" t="inlineStr">
        <is>
          <t>19.5</t>
        </is>
      </c>
      <c r="H17" s="45" t="inlineStr">
        <is>
          <t>15 วิธีคิด: น้ำหนักฐานต่อแท่ง \= น้ำหนักเม็ดเปล่า − (โดสยา ÷ Dv) \= 2 − (0.01 g ÷ 0.2) \= 2 − 0.05 \= 1.95 g/แท่ง รวม 10 แท่ง \= 1.95 × 10 \= 19.5 g ✓ ตรงกับเฉลยเดิม</t>
        </is>
      </c>
      <c r="I17" s="46" t="n">
        <v>1</v>
      </c>
      <c r="J17" s="45" t="inlineStr">
        <is>
          <t>✅ คำตอบที่ถูกต้อง: ข้อ ก. 2
💡 Background:
คำถามข้อสอบจริงใบประกอบวิชาชีพ PLE-CC 1 (Product) ปี 2566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7" s="46" t="n"/>
      <c r="L17" s="45" t="inlineStr">
        <is>
          <t>Pharmaceutical Calculations</t>
        </is>
      </c>
      <c r="M17" s="46" t="inlineStr">
        <is>
          <t>Product</t>
        </is>
      </c>
      <c r="N17" s="45" t="inlineStr">
        <is>
          <t>ข้อสอบจริง Product ปี 2566 ข้อ 17</t>
        </is>
      </c>
      <c r="O17" s="46" t="inlineStr">
        <is>
          <t>ข้อสอบจริง</t>
        </is>
      </c>
      <c r="P17" s="46" t="inlineStr">
        <is>
          <t>ปี 2566</t>
        </is>
      </c>
    </row>
    <row r="18">
      <c r="A18" s="46" t="n">
        <v>16</v>
      </c>
      <c r="B18" s="45" t="inlineStr">
        <is>
          <t>(ปี 2566, Day 2 ข้อ 91\) (เรื่อง: การคำนวณเตรียม KCl) แพทย์สั่งจ่ายยา KCl 40 mEq/tablespoon (15 mL) จำนวน 60 mL เภสัชกรต้องเตรียม KCl กี่กรัม (MW=74.5)</t>
        </is>
      </c>
      <c r="C18" s="46" t="n"/>
      <c r="D18" s="45" t="inlineStr">
        <is>
          <t>1</t>
        </is>
      </c>
      <c r="E18" s="45" t="inlineStr">
        <is>
          <t>3</t>
        </is>
      </c>
      <c r="F18" s="45" t="inlineStr">
        <is>
          <t>6</t>
        </is>
      </c>
      <c r="G18" s="45" t="inlineStr">
        <is>
          <t>12</t>
        </is>
      </c>
      <c r="H18" s="45" t="inlineStr">
        <is>
          <t>24 วิธีคิด: 60 mL ÷ 15 mL × 40 mEq \= 160 mEq ; KCl มี valence \= 1 จึง 1 mEq \= 1 mmol ; มวล \= 160 mmol × 74.5 mg/mmol \= 11,920 mg ≈ 12 g ✓</t>
        </is>
      </c>
      <c r="I18" s="46" t="n">
        <v>1</v>
      </c>
      <c r="J18" s="45" t="inlineStr">
        <is>
          <t>✅ คำตอบที่ถูกต้อง: ข้อ ก. 1
💡 Background:
คำถามข้อสอบจริงใบประกอบวิชาชีพ PLE-CC 1 (Product) ปี 2566 ข้อ 37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8" s="46" t="n"/>
      <c r="L18" s="45" t="inlineStr">
        <is>
          <t>Pharmaceutical Calculations</t>
        </is>
      </c>
      <c r="M18" s="46" t="inlineStr">
        <is>
          <t>Product</t>
        </is>
      </c>
      <c r="N18" s="45" t="inlineStr">
        <is>
          <t>ข้อสอบจริง Product ปี 2566 ข้อ 37</t>
        </is>
      </c>
      <c r="O18" s="46" t="inlineStr">
        <is>
          <t>ข้อสอบจริง</t>
        </is>
      </c>
      <c r="P18" s="46" t="inlineStr">
        <is>
          <t>ปี 2566</t>
        </is>
      </c>
    </row>
    <row r="19">
      <c r="A19" s="46" t="n">
        <v>17</v>
      </c>
      <c r="B19" s="45" t="inlineStr">
        <is>
          <t>(ปี 2566, Day 2 ข้อ 95\) (เรื่อง: การคำนวณ Assay - Metformin) ให้ Monograph ของการวิเคราะห์ Assay metformin มา Monograph ระบุให้บด 20 เม็ด ชั่งผงยาที่มีตัวยา 100 mg (Metformin 1 เม็ด \= 500 mg) ต้องชั่งผงยาเท่าไร</t>
        </is>
      </c>
      <c r="C19" s="46" t="n"/>
      <c r="D19" s="45" t="inlineStr">
        <is>
          <t>น้ำหนักผงยา/100</t>
        </is>
      </c>
      <c r="E19" s="45" t="inlineStr">
        <is>
          <t>น้ำหนักผงยา/0.01</t>
        </is>
      </c>
      <c r="F19" s="45" t="inlineStr">
        <is>
          <t>น้ำหนักผงยา/20</t>
        </is>
      </c>
      <c r="G19" s="45" t="inlineStr">
        <is>
          <t>น้ำหนักผงยา/5 วิธีคิด: ปริมาณยาทั้งหมดจาก 20 เม็ด \= 500×20 \= 10,000 mg ; น้ำหนักผงยาที่ต้องชั่งเพื่อให้ได้ตัวยา 100 mg \= (100/10,000) × น้ำหนักผงยารวม \= น้ำหนักผงยา ÷ 100 ✓</t>
        </is>
      </c>
      <c r="H19" s="45" t="inlineStr"/>
      <c r="I19" s="46" t="n">
        <v>1</v>
      </c>
      <c r="J19" s="45" t="inlineStr">
        <is>
          <t>✅ คำตอบที่ถูกต้อง: ข้อ ก. น้ำหนักผงยา/100
💡 Background:
คำถามข้อสอบจริงใบประกอบวิชาชีพ PLE-CC 1 (Product) ปี 2566 ข้อ 39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9" s="46" t="n"/>
      <c r="L19" s="45" t="inlineStr">
        <is>
          <t>Pharmaceutical Calculations</t>
        </is>
      </c>
      <c r="M19" s="46" t="inlineStr">
        <is>
          <t>Product</t>
        </is>
      </c>
      <c r="N19" s="45" t="inlineStr">
        <is>
          <t>ข้อสอบจริง Product ปี 2566 ข้อ 39</t>
        </is>
      </c>
      <c r="O19" s="46" t="inlineStr">
        <is>
          <t>ข้อสอบจริง</t>
        </is>
      </c>
      <c r="P19" s="46" t="inlineStr">
        <is>
          <t>ปี 2566</t>
        </is>
      </c>
    </row>
    <row r="20">
      <c r="A20" s="46" t="n">
        <v>18</v>
      </c>
      <c r="B20" s="45" t="inlineStr">
        <is>
          <t>ให้ข้อมูล content uniformity ของยาเม็ด meloxicam 10 mg (ให้ตาราง % labeled amount ของยา 10 ตัวโดยมีค่าเฉลี่ยอยูที่ 99.5) ค่า k และ M ที่ใช้ในการคำนวณ uniformity of dosage unit เท่ากับเทาใด</t>
        </is>
      </c>
      <c r="C20" s="46" t="inlineStr">
        <is>
          <t>[แนบรูป: ข้อสอบ Product ปี 2564 รหัสรูปภาพ image74]</t>
        </is>
      </c>
      <c r="D20" s="45" t="inlineStr">
        <is>
          <t>k=2.4, M=98.5</t>
        </is>
      </c>
      <c r="E20" s="45" t="inlineStr">
        <is>
          <t>k=2.4, M=101.8</t>
        </is>
      </c>
      <c r="F20" s="45" t="inlineStr">
        <is>
          <t>k=2.4, M=99.8</t>
        </is>
      </c>
      <c r="G20" s="45" t="inlineStr">
        <is>
          <t>k=2.0, M=98.5</t>
        </is>
      </c>
      <c r="H20" s="45" t="inlineStr">
        <is>
          <t>k=2.0, M=101.8 คำอธิบาย: ตาม [USP](https://online.uspnf.com/uspnf/document/1_GUID-BA3755E4-77AA-4DEB-8FE2-4FC78C587E9E_3_en-US?source=Search%20Results&amp;highlight=content%20uniformity) ในหัวข้อ 〈905〉 UNIFORMITY OF DOSAGE UNITS [แนบรูป: ข้อสอบ Product ปี 2564 รหัสรูปภาพ image74]</t>
        </is>
      </c>
      <c r="I20" s="46" t="n">
        <v>1</v>
      </c>
      <c r="J20" s="45" t="inlineStr">
        <is>
          <t>✅ คำตอบที่ถูกต้อง: ข้อ ก. k=2.4, M=98.5
💡 Background:
คำถามข้อสอบจริงใบประกอบวิชาชีพ PLE-CC 1 (Product) ปี 2564 ข้อ 35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0" s="46" t="n"/>
      <c r="L20" s="45" t="inlineStr">
        <is>
          <t>Pharmaceutical Calculations</t>
        </is>
      </c>
      <c r="M20" s="46" t="inlineStr">
        <is>
          <t>Product</t>
        </is>
      </c>
      <c r="N20" s="45" t="inlineStr">
        <is>
          <t>ข้อสอบจริง Product ปี 2564 ข้อ 35</t>
        </is>
      </c>
      <c r="O20" s="46" t="inlineStr">
        <is>
          <t>ข้อสอบจริง</t>
        </is>
      </c>
      <c r="P20" s="46" t="inlineStr">
        <is>
          <t>ปี 2564</t>
        </is>
      </c>
    </row>
    <row r="21">
      <c r="A21" s="46" t="n">
        <v>19</v>
      </c>
      <c r="B21" s="45" t="inlineStr">
        <is>
          <t>ผู้หญิงน้ำหนัก 60 กิโลกรัม และส่วนสูง 150 ซม. ผู้หญิงรายนี้มีค่า BMI เท่ากับเท่าไหร่</t>
        </is>
      </c>
      <c r="C21" s="46" t="n"/>
      <c r="D21" s="45" t="inlineStr">
        <is>
          <t>23.7</t>
        </is>
      </c>
      <c r="E21" s="45" t="inlineStr">
        <is>
          <t>24.7</t>
        </is>
      </c>
      <c r="F21" s="45" t="inlineStr">
        <is>
          <t>26.7</t>
        </is>
      </c>
      <c r="G21" s="45" t="inlineStr">
        <is>
          <t>30</t>
        </is>
      </c>
      <c r="H21" s="45" t="inlineStr">
        <is>
          <t>40 คำอธิบาย:วิธีคำนวณ BMI สูตร: 			BMI \= น้ำหนัก (kg) / \[ส่วนสูง (m)\]^2 แทนค่า:		BMI \= 60 / (1.50)^2 \= 26.67 ≈ 26.7 ดังนั้นจึงตอบ C. 26.7</t>
        </is>
      </c>
      <c r="I21" s="46" t="n">
        <v>1</v>
      </c>
      <c r="J21" s="45" t="inlineStr">
        <is>
          <t>✅ คำตอบที่ถูกต้อง: ข้อ ก. 23.7
💡 Background:
คำถามข้อสอบจริงใบประกอบวิชาชีพ PLE-CC 1 (Product) ปี 2564 ข้อ 88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1" s="46" t="n"/>
      <c r="L21" s="45" t="inlineStr">
        <is>
          <t>Pharmaceutical Calculations</t>
        </is>
      </c>
      <c r="M21" s="46" t="inlineStr">
        <is>
          <t>Product</t>
        </is>
      </c>
      <c r="N21" s="45" t="inlineStr">
        <is>
          <t>ข้อสอบจริง Product ปี 2564 ข้อ 88</t>
        </is>
      </c>
      <c r="O21" s="46" t="inlineStr">
        <is>
          <t>ข้อสอบจริง</t>
        </is>
      </c>
      <c r="P21" s="46" t="inlineStr">
        <is>
          <t>ปี 2564</t>
        </is>
      </c>
    </row>
    <row r="22">
      <c r="A22" s="46" t="n">
        <v>20</v>
      </c>
      <c r="B22" s="45" t="inlineStr">
        <is>
          <t>จากสูตรตำรับ | ชื่อสาร | ปริมาณสาร | E | | :---- | :---- | :---- | | A\_\_\_\_\_\_\_\_\_\_\_\_\_\_\_\_ | 0.05 | 0.16 | | T\_\_\_\_\_\_\_\_\_\_\_\_\_\_\_\_ | 0.04 | 0.25 | | B\_\_\_\_\_\_\_\_\_\_\_\_\_\_\_\_ | 0.01 | 0.16 | | NaCl |  | x | | Distilled water qs to | 100 ml |  | คำนวณปริมาณ NaCl ในสูตรตำรับให้ได้เป็น isotonic solution</t>
        </is>
      </c>
      <c r="C22" s="46" t="n"/>
      <c r="D22" s="45" t="inlineStr">
        <is>
          <t>0.330 g</t>
        </is>
      </c>
      <c r="E22" s="45" t="inlineStr">
        <is>
          <t>0.440 g</t>
        </is>
      </c>
      <c r="F22" s="45" t="inlineStr">
        <is>
          <t>0.720 g</t>
        </is>
      </c>
      <c r="G22" s="45" t="inlineStr">
        <is>
          <t>0.880 g</t>
        </is>
      </c>
      <c r="H22" s="45" t="inlineStr">
        <is>
          <t>0.900 g คำอธิบาย: สูตร NaCl ที่ต้องเติม 	\= 0.9 - ∑( W × E ) \= 0.9 - \[(0.05 x 0.16) \+ (0.04 x 0.25) \+ (0.01 x 0.16)\] \= 0.9 - \[0.008 \+ 0.010 \+ 0.0016\] \= 0.9 - 0.0196 \= 0.8804 g ≈ 0.880 g ดังนั้นจึงตอบ D. 0.880 g</t>
        </is>
      </c>
      <c r="I22" s="46" t="n">
        <v>1</v>
      </c>
      <c r="J22" s="45" t="inlineStr">
        <is>
          <t>✅ คำตอบที่ถูกต้อง: ข้อ ก. 0.330 g
💡 Background:
คำถามข้อสอบจริงใบประกอบวิชาชีพ PLE-CC 1 (Product) ปี 2564 ข้อ 98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2" s="46" t="n"/>
      <c r="L22" s="45" t="inlineStr">
        <is>
          <t>Pharmaceutical Calculations</t>
        </is>
      </c>
      <c r="M22" s="46" t="inlineStr">
        <is>
          <t>Product</t>
        </is>
      </c>
      <c r="N22" s="45" t="inlineStr">
        <is>
          <t>ข้อสอบจริง Product ปี 2564 ข้อ 98</t>
        </is>
      </c>
      <c r="O22" s="46" t="inlineStr">
        <is>
          <t>ข้อสอบจริง</t>
        </is>
      </c>
      <c r="P22" s="46" t="inlineStr">
        <is>
          <t>ปี 2564</t>
        </is>
      </c>
    </row>
    <row r="23">
      <c r="A23" s="46" t="n">
        <v>21</v>
      </c>
      <c r="B23" s="45" t="inlineStr">
        <is>
          <t>Sodium hydroxide ในสูตรตำรับ ทำหน้าที่ใด</t>
        </is>
      </c>
      <c r="C23" s="46" t="n"/>
      <c r="D23" s="45" t="inlineStr">
        <is>
          <t>Cosolvent</t>
        </is>
      </c>
      <c r="E23" s="45" t="inlineStr">
        <is>
          <t>Tonicity adjuster</t>
        </is>
      </c>
      <c r="F23" s="45" t="inlineStr">
        <is>
          <t>pH adjuster</t>
        </is>
      </c>
      <c r="G23" s="45" t="inlineStr">
        <is>
          <t>Preservative</t>
        </is>
      </c>
      <c r="H23" s="45" t="inlineStr">
        <is>
          <t>Viscosity adjuster คำอธิบาย: Sodium hydroxide (NaOH) เป็นด่างแก่ จึงใช้ในตำรับยาเพื่อ ปรับค่า pH (pH adjuster)</t>
        </is>
      </c>
      <c r="I23" s="46" t="n">
        <v>1</v>
      </c>
      <c r="J23" s="45" t="inlineStr">
        <is>
          <t>✅ คำตอบที่ถูกต้อง: ข้อ ก. Cosolvent
💡 Background:
คำถามข้อสอบจริงใบประกอบวิชาชีพ PLE-CC 1 (Product) ปี 2564 ข้อ 107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3" s="46" t="n"/>
      <c r="L23" s="45" t="inlineStr">
        <is>
          <t>Pharmaceutical Calculations</t>
        </is>
      </c>
      <c r="M23" s="46" t="inlineStr">
        <is>
          <t>Product</t>
        </is>
      </c>
      <c r="N23" s="45" t="inlineStr">
        <is>
          <t>ข้อสอบจริง Product ปี 2564 ข้อ 107</t>
        </is>
      </c>
      <c r="O23" s="46" t="inlineStr">
        <is>
          <t>ข้อสอบจริง</t>
        </is>
      </c>
      <c r="P23" s="46" t="inlineStr">
        <is>
          <t>ปี 2564</t>
        </is>
      </c>
    </row>
    <row r="24">
      <c r="A24" s="46" t="n">
        <v>22</v>
      </c>
      <c r="B24" s="45" t="inlineStr">
        <is>
          <t>จงคำนวณปริมาณการเตรียมยา ferrous sulfate โดยเตรียมจาก ferrous SO4 trihydrate MW 357.784 360 mg/tab แตกตัวได้ ferrous 60 mg MW 59.845 เด็กต้องการ ferrous 9 mg/day od เด็กทาน 60 ml เตรียม ferrous Syrup 9 mg/ml ต้องใช้ ferrous SO4 360 mg/tab กี่เม็ด (ferrous sulfate 7H2O ขนาด 210 mg บดเป็นผง เตรียม ferrous syrup 9 mg/ml od 7 day 1 tab \= 320 mg ferrous SO4 154g/mole ให้ ferrous 56g/mole)</t>
        </is>
      </c>
      <c r="C24" s="46" t="n"/>
      <c r="D24" s="45" t="inlineStr">
        <is>
          <t>1 tab</t>
        </is>
      </c>
      <c r="E24" s="45" t="inlineStr">
        <is>
          <t>2 tab</t>
        </is>
      </c>
      <c r="F24" s="45" t="inlineStr">
        <is>
          <t>3 tab</t>
        </is>
      </c>
      <c r="G24" s="45" t="inlineStr">
        <is>
          <t>4 tab</t>
        </is>
      </c>
      <c r="H24" s="45" t="inlineStr">
        <is>
          <t>5 tab คำอธิบาย: ไม่มีคำตอบ เพราะ ตัวเลือกที่ให้มาไม่สอดคล้องกับข้อมูลหลายชุดในโจทย์ 360 mg/tab, 210 mg, 320 mg และ conversion ไม่ตรงกัน ดังนั้นจึงคำนวนไม่ได้</t>
        </is>
      </c>
      <c r="I24" s="46" t="n">
        <v>1</v>
      </c>
      <c r="J24" s="45" t="inlineStr">
        <is>
          <t>✅ คำตอบที่ถูกต้อง: ข้อ ก. 1 tab
💡 Background:
คำถามข้อสอบจริงใบประกอบวิชาชีพ PLE-CC 1 (Product) ปี 2564 ข้อ 138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4" s="46" t="n"/>
      <c r="L24" s="45" t="inlineStr">
        <is>
          <t>Pharmaceutical Calculations</t>
        </is>
      </c>
      <c r="M24" s="46" t="inlineStr">
        <is>
          <t>Product</t>
        </is>
      </c>
      <c r="N24" s="45" t="inlineStr">
        <is>
          <t>ข้อสอบจริง Product ปี 2564 ข้อ 138</t>
        </is>
      </c>
      <c r="O24" s="46" t="inlineStr">
        <is>
          <t>ข้อสอบจริง</t>
        </is>
      </c>
      <c r="P24" s="46" t="inlineStr">
        <is>
          <t>ปี 2564</t>
        </is>
      </c>
    </row>
    <row r="25">
      <c r="A25" s="46" t="n">
        <v>23</v>
      </c>
      <c r="B25" s="45" t="inlineStr">
        <is>
          <t>การพัฒนาตำรับ Film coated ของ Risedronate sodium 35 mg ข้อใดผิด (ให้ส่วนประกอบ Film coated ของ Risedronate sodium มาเป็น %) ต้นฉบับ: Day 1 ข้อ 66</t>
        </is>
      </c>
      <c r="C25" s="46" t="n"/>
      <c r="D25" s="45" t="inlineStr">
        <is>
          <t>น้ำหนัก Core tablet \= 200 mg</t>
        </is>
      </c>
      <c r="E25" s="45" t="inlineStr">
        <is>
          <t>Microcrystalline cellulose \= Lubricant</t>
        </is>
      </c>
      <c r="F25" s="45" t="inlineStr">
        <is>
          <t>Hydroxypropyl cellulose \= Binder</t>
        </is>
      </c>
      <c r="G25" s="45" t="inlineStr">
        <is>
          <t>PEG \= Plasticizer</t>
        </is>
      </c>
      <c r="H25" s="45" t="inlineStr">
        <is>
          <t xml:space="preserve">Titanium dioxide \= Opacifier | คำตอบ: b) Microcrystalline cellulose \= lubricant MCC ทำหน้าที่หลักเป็น diluent และช่วยการอัดเม็ด ไม่ใช่สารหล่อลื่น ข้อที่ไม่ถูก a) น้ำหนัก core tablet คำนวณได้จากสูตรที่โจทย์ให้ c) Hydroxypropyl cellulose ใช้เป็น binder d) PEG ใช้เป็น plasticizer e) Titanium dioxide ใช้ทำให้ฟิล์มทึบแสง | | :---- | </t>
        </is>
      </c>
      <c r="I25" s="46" t="n">
        <v>2</v>
      </c>
      <c r="J25" s="45" t="inlineStr">
        <is>
          <t>✅ คำตอบที่ถูกต้อง: ข้อ ข. Microcrystalline cellulose \= Lubricant
💡 Background:
คำถามข้อสอบจริงใบประกอบวิชาชีพ PLE-CC 1 (Product) ปี 2563 ข้อ 24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5" s="46" t="n"/>
      <c r="L25" s="45" t="inlineStr">
        <is>
          <t>Pharmaceutical Calculations</t>
        </is>
      </c>
      <c r="M25" s="46" t="inlineStr">
        <is>
          <t>Product</t>
        </is>
      </c>
      <c r="N25" s="45" t="inlineStr">
        <is>
          <t>ข้อสอบจริง Product ปี 2563 ข้อ 24</t>
        </is>
      </c>
      <c r="O25" s="46" t="inlineStr">
        <is>
          <t>ข้อสอบจริง</t>
        </is>
      </c>
      <c r="P25" s="46" t="inlineStr">
        <is>
          <t>ปี 2563</t>
        </is>
      </c>
    </row>
    <row r="26">
      <c r="A26" s="46" t="n">
        <v>24</v>
      </c>
      <c r="B26" s="45" t="inlineStr">
        <is>
          <t>ครีม betamethasone valerate 0.1% คิด %label amount ได้ 100 ถ้าในครีม 1 g จะมียาเท่าไร ต้นฉบับ: Day 1 ข้อ 74</t>
        </is>
      </c>
      <c r="C26" s="46" t="n"/>
      <c r="D26" s="45" t="inlineStr">
        <is>
          <t>betamethasone 1 mg</t>
        </is>
      </c>
      <c r="E26" s="45" t="inlineStr">
        <is>
          <t>betamethasone 10 mg</t>
        </is>
      </c>
      <c r="F26" s="45" t="inlineStr">
        <is>
          <t>betamethasone valerate 0.1 mg</t>
        </is>
      </c>
      <c r="G26" s="45" t="inlineStr">
        <is>
          <t>betamethasone valerate 1 mg</t>
        </is>
      </c>
      <c r="H26" s="45" t="inlineStr">
        <is>
          <t xml:space="preserve">betamethasone valerate 10 mg | คำตอบ: d) Betamethasone valerate 1 mg 0.1% w/w เท่ากับ 1 mg/g ดังนั้นครีม 1 g มี betamethasone valerate 1 mg ข้อที่ไม่ถูก a) และ b) ระบุเป็น betamethasone ไม่ใช่ betamethasone valerate c) น้อยกว่าค่าที่คำนวณได้ 10 เท่า e) มากกว่าค่าที่คำนวณได้ 10 เท่า | | :---- | </t>
        </is>
      </c>
      <c r="I26" s="46" t="n">
        <v>4</v>
      </c>
      <c r="J26" s="45" t="inlineStr">
        <is>
          <t>✅ คำตอบที่ถูกต้อง: ข้อ ง. betamethasone valerate 1 mg
💡 Background:
คำถามข้อสอบจริงใบประกอบวิชาชีพ PLE-CC 1 (Product) ปี 2563 ข้อ 41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6" s="46" t="n"/>
      <c r="L26" s="45" t="inlineStr">
        <is>
          <t>Pharmaceutical Calculations</t>
        </is>
      </c>
      <c r="M26" s="46" t="inlineStr">
        <is>
          <t>Product</t>
        </is>
      </c>
      <c r="N26" s="45" t="inlineStr">
        <is>
          <t>ข้อสอบจริง Product ปี 2563 ข้อ 41</t>
        </is>
      </c>
      <c r="O26" s="46" t="inlineStr">
        <is>
          <t>ข้อสอบจริง</t>
        </is>
      </c>
      <c r="P26" s="46" t="inlineStr">
        <is>
          <t>ปี 2563</t>
        </is>
      </c>
    </row>
    <row r="27">
      <c r="A27" s="46" t="n">
        <v>25</v>
      </c>
      <c r="B27" s="45" t="inlineStr">
        <is>
          <t>Each teaspoon contains 125 mg of naproxen containing vehicles of sucrose, magnesium aluminium silicate, disodium edetate, FD\&amp;C Yellow... ถ้าจะเตรียม naproxen suspension ขนาด 100ml จะต้องใช้ naproxen กี่ g? ต้นฉบับ: Day 1 ข้อ 89</t>
        </is>
      </c>
      <c r="C27" s="46" t="n"/>
      <c r="D27" s="45" t="inlineStr">
        <is>
          <t>1.5</t>
        </is>
      </c>
      <c r="E27" s="45" t="inlineStr">
        <is>
          <t>2.5</t>
        </is>
      </c>
      <c r="F27" s="45" t="inlineStr">
        <is>
          <t>3.5</t>
        </is>
      </c>
      <c r="G27" s="45" t="inlineStr">
        <is>
          <t>4.5</t>
        </is>
      </c>
      <c r="H27" s="45" t="inlineStr">
        <is>
          <t xml:space="preserve">5.5 | คำตอบ: b) 2.5 g 125 mg ต่อ 5 mL ดังนั้น 100 mL มี 125/5 × 100 \= 2,500 mg หรือ 2.5 g ข้อที่ไม่ถูก a) ให้ปริมาณต่ำกว่าที่คำนวณได้ c) ให้ปริมาณสูงกว่าที่คำนวณได้ d) ให้ปริมาณสูงกว่าที่คำนวณได้ e) ให้ปริมาณสูงกว่าที่คำนวณได้ | | :---- | </t>
        </is>
      </c>
      <c r="I27" s="46" t="n">
        <v>2</v>
      </c>
      <c r="J27" s="45" t="inlineStr">
        <is>
          <t>✅ คำตอบที่ถูกต้อง: ข้อ ข. 2.5
💡 Background:
คำถามข้อสอบจริงใบประกอบวิชาชีพ PLE-CC 1 (Product) ปี 2563 ข้อ 43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7" s="46" t="n"/>
      <c r="L27" s="45" t="inlineStr">
        <is>
          <t>Pharmaceutical Calculations</t>
        </is>
      </c>
      <c r="M27" s="46" t="inlineStr">
        <is>
          <t>Product</t>
        </is>
      </c>
      <c r="N27" s="45" t="inlineStr">
        <is>
          <t>ข้อสอบจริง Product ปี 2563 ข้อ 43</t>
        </is>
      </c>
      <c r="O27" s="46" t="inlineStr">
        <is>
          <t>ข้อสอบจริง</t>
        </is>
      </c>
      <c r="P27" s="46" t="inlineStr">
        <is>
          <t>ปี 2563</t>
        </is>
      </c>
    </row>
    <row r="28">
      <c r="A28" s="46" t="n">
        <v>26</v>
      </c>
      <c r="B28" s="45" t="inlineStr">
        <is>
          <t>หมอจ่ายยา glucocorticoid ฉีดข้อเข่ามีองค์ประกอบดังนี้ ต้นฉบับ: Day 1 ข้อ 5 • dexamethasone • sodium chloride for injection • benzyl alcohol • polysorbate 80 • sodium hydroxide qs. • water for injection 1 ml Sodium hydroxide ในสูตรตำรับ ทำหน้าที่ใด</t>
        </is>
      </c>
      <c r="C28" s="46" t="n"/>
      <c r="D28" s="45" t="inlineStr">
        <is>
          <t>Cosolvent</t>
        </is>
      </c>
      <c r="E28" s="45" t="inlineStr">
        <is>
          <t>Tonicity adjuster</t>
        </is>
      </c>
      <c r="F28" s="45" t="inlineStr">
        <is>
          <t>pH adjuster</t>
        </is>
      </c>
      <c r="G28" s="45" t="inlineStr">
        <is>
          <t>Preservative</t>
        </is>
      </c>
      <c r="H28" s="45" t="inlineStr">
        <is>
          <t xml:space="preserve">Viscosity adjuster | คำตอบ: c) pH adjuster คำว่า sodium hydroxide q.s. หมายถึงเติมเท่าที่จำเป็นเพื่อปรับ pH ของตำรับ ข้อที่ไม่ถูก a) ไม่ได้ช่วยละลายตัวยาแบบ cosolvent b) Sodium chloride เป็นตัวปรับ tonicity d) Benzyl alcohol เป็น preservative e) ไม่ได้ใช้เพิ่มความหนืด | | :---- | </t>
        </is>
      </c>
      <c r="I28" s="46" t="n">
        <v>3</v>
      </c>
      <c r="J28" s="45" t="inlineStr">
        <is>
          <t>✅ คำตอบที่ถูกต้อง: ข้อ ค. pH adjuster
💡 Background:
คำถามข้อสอบจริงใบประกอบวิชาชีพ PLE-CC 1 (Product) ปี 2563 ข้อ 58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8" s="46" t="n"/>
      <c r="L28" s="45" t="inlineStr">
        <is>
          <t>Pharmaceutical Calculations</t>
        </is>
      </c>
      <c r="M28" s="46" t="inlineStr">
        <is>
          <t>Product</t>
        </is>
      </c>
      <c r="N28" s="45" t="inlineStr">
        <is>
          <t>ข้อสอบจริง Product ปี 2563 ข้อ 58</t>
        </is>
      </c>
      <c r="O28" s="46" t="inlineStr">
        <is>
          <t>ข้อสอบจริง</t>
        </is>
      </c>
      <c r="P28" s="46" t="inlineStr">
        <is>
          <t>ปี 2563</t>
        </is>
      </c>
    </row>
    <row r="29">
      <c r="A29" s="46" t="n">
        <v>27</v>
      </c>
      <c r="B29" s="45" t="inlineStr">
        <is>
          <t>ข้อใดถูกต้องเกี่ยวกับ Sterile water for injection ต้นฉบับ: Day 1 ข้อ 94</t>
        </is>
      </c>
      <c r="C29" s="46" t="n"/>
      <c r="D29" s="45" t="inlineStr">
        <is>
          <t>มี Preservatives</t>
        </is>
      </c>
      <c r="E29" s="45" t="inlineStr">
        <is>
          <t>ใช้ได้หลายครั้ง</t>
        </is>
      </c>
      <c r="F29" s="45" t="inlineStr">
        <is>
          <t>ได้จากน้ำกลั่นที่ทำให้ปราศจากเชื้อ</t>
        </is>
      </c>
      <c r="G29" s="45" t="inlineStr">
        <is>
          <t>ใช้ภาชนะเป็น glass type III</t>
        </is>
      </c>
      <c r="H29" s="45" t="inlineStr">
        <is>
          <t xml:space="preserve">Osmolarity 308 | คำตอบ: c) ได้จาก Water for Injection ที่นำมาทำให้ปราศจากเชื้อ Sterile Water for Injection ไม่มีสารกันเสียและเป็นภาชนะใช้ครั้งเดียว ข้อที่ไม่ถูก a) ต้องไม่มี preservative b) ไม่ใช่ผลิตภัณฑ์สำหรับใช้ซ้ำ d) ไม่ใช้แก้ว Type III สำหรับผลิตภัณฑ์นี้ e) ไม่มีความเป็น isotonic จึงไม่ใช่ osmolarity 308 | | :---- | </t>
        </is>
      </c>
      <c r="I29" s="46" t="n">
        <v>3</v>
      </c>
      <c r="J29" s="45" t="inlineStr">
        <is>
          <t>✅ คำตอบที่ถูกต้อง: ข้อ ค. ได้จากน้ำกลั่นที่ทำให้ปราศจากเชื้อ
💡 Background:
คำถามข้อสอบจริงใบประกอบวิชาชีพ PLE-CC 1 (Product) ปี 2563 ข้อ 61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9" s="46" t="n"/>
      <c r="L29" s="45" t="inlineStr">
        <is>
          <t>Pharmaceutical Calculations</t>
        </is>
      </c>
      <c r="M29" s="46" t="inlineStr">
        <is>
          <t>Product</t>
        </is>
      </c>
      <c r="N29" s="45" t="inlineStr">
        <is>
          <t>ข้อสอบจริง Product ปี 2563 ข้อ 61</t>
        </is>
      </c>
      <c r="O29" s="46" t="inlineStr">
        <is>
          <t>ข้อสอบจริง</t>
        </is>
      </c>
      <c r="P29" s="46" t="inlineStr">
        <is>
          <t>ปี 2563</t>
        </is>
      </c>
    </row>
    <row r="30">
      <c r="A30" s="46" t="n">
        <v>28</v>
      </c>
      <c r="B30" s="45" t="inlineStr">
        <is>
          <t>จากสูตรตำรับ ต้นฉบับ: Day 1 ข้อ 95 | ชื่อสาร | ปริมาณสาร | E | | ----- | :---: | :---: | | A | 0.05 | 0.16 | | T | 0.04 | 0.25 | | B | 0.01 | 0.16 | | NaCl | x |  | | Distilled water qs to | 100 ml |  | คำนวณปริมาณ NaCl ในสูตรตำรับให้ได้เป็น isotonic solution</t>
        </is>
      </c>
      <c r="C30" s="46" t="n"/>
      <c r="D30" s="45" t="inlineStr">
        <is>
          <t>0.330 g</t>
        </is>
      </c>
      <c r="E30" s="45" t="inlineStr">
        <is>
          <t>0.440 g</t>
        </is>
      </c>
      <c r="F30" s="45" t="inlineStr">
        <is>
          <t>0.720 g</t>
        </is>
      </c>
      <c r="G30" s="45" t="inlineStr">
        <is>
          <t>0.880 g</t>
        </is>
      </c>
      <c r="H30" s="45" t="inlineStr">
        <is>
          <t xml:space="preserve">0.900 g | คำตอบ: d) 0.880 g NaCl equivalent ของสารทั้งหมด \= 0.0196 g ดังนั้นต้องเติม 0.900-0.0196 \= 0.8804 g ข้อที่ไม่ถูก a) ต่ำกว่าค่าที่คำนวณได้ b) ต่ำกว่าค่าที่คำนวณได้ c) ต่ำกว่าค่าที่คำนวณได้ e) ไม่หัก NaCl equivalent ของสารในตำรับ | | :---- | </t>
        </is>
      </c>
      <c r="I30" s="46" t="n">
        <v>4</v>
      </c>
      <c r="J30" s="45" t="inlineStr">
        <is>
          <t>✅ คำตอบที่ถูกต้อง: ข้อ ง. 0.880 g
💡 Background:
คำถามข้อสอบจริงใบประกอบวิชาชีพ PLE-CC 1 (Product) ปี 2563 ข้อ 62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0" s="46" t="n"/>
      <c r="L30" s="45" t="inlineStr">
        <is>
          <t>Pharmaceutical Calculations</t>
        </is>
      </c>
      <c r="M30" s="46" t="inlineStr">
        <is>
          <t>Product</t>
        </is>
      </c>
      <c r="N30" s="45" t="inlineStr">
        <is>
          <t>ข้อสอบจริง Product ปี 2563 ข้อ 62</t>
        </is>
      </c>
      <c r="O30" s="46" t="inlineStr">
        <is>
          <t>ข้อสอบจริง</t>
        </is>
      </c>
      <c r="P30" s="46" t="inlineStr">
        <is>
          <t>ปี 2563</t>
        </is>
      </c>
    </row>
    <row r="31">
      <c r="A31" s="46" t="n">
        <v>29</v>
      </c>
      <c r="B31" s="45" t="inlineStr">
        <is>
          <t>คำนวณปริมาณ base ของยาเหน็บที่ต้องใช้เตรียม 1 แท่งโดย 1 แท่งหนัก 2 g กำหนดให้ยามีน้ำหนัก 500 mg/แท่ง มีค่า D.V.=1.1</t>
        </is>
      </c>
      <c r="C31" s="46" t="n"/>
      <c r="D31" s="45" t="inlineStr">
        <is>
          <t>0.45</t>
        </is>
      </c>
      <c r="E31" s="45" t="inlineStr">
        <is>
          <t>0.55</t>
        </is>
      </c>
      <c r="F31" s="45" t="inlineStr">
        <is>
          <t>1.45</t>
        </is>
      </c>
      <c r="G31" s="45" t="inlineStr">
        <is>
          <t>1.55</t>
        </is>
      </c>
      <c r="H31" s="45" t="inlineStr">
        <is>
          <t>2.00</t>
        </is>
      </c>
      <c r="I31" s="46" t="n">
        <v>1</v>
      </c>
      <c r="J31" s="45" t="inlineStr">
        <is>
          <t>✅ คำตอบที่ถูกต้อง: ข้อ ก. 0.45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1" s="46" t="n"/>
      <c r="L31" s="45" t="inlineStr">
        <is>
          <t>Pharmaceutical Calculations</t>
        </is>
      </c>
      <c r="M31" s="46" t="inlineStr">
        <is>
          <t>Product</t>
        </is>
      </c>
      <c r="N31" s="45" t="inlineStr">
        <is>
          <t>ข้อสอบจริง Product ปี 2559 ข้อ 16</t>
        </is>
      </c>
      <c r="O31" s="46" t="inlineStr">
        <is>
          <t>ข้อสอบจริง</t>
        </is>
      </c>
      <c r="P31" s="46" t="inlineStr">
        <is>
          <t>ปี 2559</t>
        </is>
      </c>
    </row>
    <row r="32">
      <c r="A32" s="46" t="n">
        <v>30</v>
      </c>
      <c r="B32" s="45" t="inlineStr">
        <is>
          <t>คำนวณ KCl ต้องให้กี่ ml (74.5 g/l) ต้องการให้ผู้ป่วย 60 mEq/day</t>
        </is>
      </c>
      <c r="C32" s="46" t="n"/>
      <c r="D32" s="45" t="inlineStr">
        <is>
          <t>15</t>
        </is>
      </c>
      <c r="E32" s="45" t="inlineStr">
        <is>
          <t>30</t>
        </is>
      </c>
      <c r="F32" s="45" t="inlineStr">
        <is>
          <t>45</t>
        </is>
      </c>
      <c r="G32" s="45" t="inlineStr">
        <is>
          <t>60</t>
        </is>
      </c>
      <c r="H32" s="45" t="inlineStr">
        <is>
          <t>75</t>
        </is>
      </c>
      <c r="I32" s="46" t="n">
        <v>1</v>
      </c>
      <c r="J32" s="45" t="inlineStr">
        <is>
          <t>✅ คำตอบที่ถูกต้อง: ข้อ ก. 15
💡 Background:
คำถามข้อสอบจริงใบประกอบวิชาชีพ PLE-CC 1 (Product) ปี 2559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2" s="46" t="n"/>
      <c r="L32" s="45" t="inlineStr">
        <is>
          <t>Pharmaceutical Calculations</t>
        </is>
      </c>
      <c r="M32" s="46" t="inlineStr">
        <is>
          <t>Product</t>
        </is>
      </c>
      <c r="N32" s="45" t="inlineStr">
        <is>
          <t>ข้อสอบจริง Product ปี 2559 ข้อ 17</t>
        </is>
      </c>
      <c r="O32" s="46" t="inlineStr">
        <is>
          <t>ข้อสอบจริง</t>
        </is>
      </c>
      <c r="P32" s="46" t="inlineStr">
        <is>
          <t>ปี 2559</t>
        </is>
      </c>
    </row>
    <row r="33">
      <c r="A33" s="46" t="n">
        <v>31</v>
      </c>
      <c r="B33" s="45" t="inlineStr">
        <is>
          <t>จงคำนวณหาปริมาณเบสของยาเหน็บที่ต้องใช้เตรียม 1 แท่ง โดย 1 แท่งหนัก 2 g กำหนดให้ยา clotrimazole มีน้ำหนัก 500 mg/แท่ง มีค่า D.V.=1.1</t>
        </is>
      </c>
      <c r="C33" s="46" t="n"/>
      <c r="D33" s="45" t="inlineStr">
        <is>
          <t>0.45 กรัม</t>
        </is>
      </c>
      <c r="E33" s="45" t="inlineStr">
        <is>
          <t>0.55 กรัม</t>
        </is>
      </c>
      <c r="F33" s="45" t="inlineStr">
        <is>
          <t>1.45 กรัม</t>
        </is>
      </c>
      <c r="G33" s="45" t="inlineStr">
        <is>
          <t>1.55 กรัม</t>
        </is>
      </c>
      <c r="H33" s="45" t="inlineStr">
        <is>
          <t>2.00 กรัม</t>
        </is>
      </c>
      <c r="I33" s="46" t="n">
        <v>1</v>
      </c>
      <c r="J33" s="45" t="inlineStr">
        <is>
          <t>✅ คำตอบที่ถูกต้อง: ข้อ ก. 0.45 กรัม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3" s="46" t="n"/>
      <c r="L33" s="45" t="inlineStr">
        <is>
          <t>Pharmaceutical Calculations</t>
        </is>
      </c>
      <c r="M33" s="46" t="inlineStr">
        <is>
          <t>Product</t>
        </is>
      </c>
      <c r="N33" s="45" t="inlineStr">
        <is>
          <t>ข้อสอบจริง Product ปี 2559 ข้อ 13</t>
        </is>
      </c>
      <c r="O33" s="46" t="inlineStr">
        <is>
          <t>ข้อสอบจริง</t>
        </is>
      </c>
      <c r="P33" s="46" t="inlineStr">
        <is>
          <t>ปี 2559</t>
        </is>
      </c>
    </row>
    <row r="34">
      <c r="A34" s="46" t="n">
        <v>32</v>
      </c>
      <c r="B34" s="45" t="inlineStr">
        <is>
          <t>วิธีการทดสอบความสม่ำเสมอของขนาดความแรง (Uniformity of dosage units) ของยาเม็ด Calcium Carbonate (CaCO3) ตามเภสัชตำรับ USP ข้อใดถูกต้อง?</t>
        </is>
      </c>
      <c r="C34" s="46" t="n"/>
      <c r="D34" s="45" t="inlineStr">
        <is>
          <t>สุ่มยามา 20 เม็ด ชั่งน้ำหนักทีละเม็ดแล้วหาน้ำหนักเฉลี่ย</t>
        </is>
      </c>
      <c r="E34" s="45" t="inlineStr">
        <is>
          <t>สุ่มยามา 20 เม็ด บดรวมกันแล้วหาปริมาณสารสำคัญ (Assay)</t>
        </is>
      </c>
      <c r="F34" s="45" t="inlineStr">
        <is>
          <t>สุ่มยามา 30 เม็ด เลือกมา 10 เม็ดแรกเพื่อชั่งน้ำหนักทีละเม็ดและหาปริมาณตัวยาสำคัญในแต่ละเม็ดโดยตรง (Content Uniformity)</t>
        </is>
      </c>
      <c r="G34" s="45" t="inlineStr">
        <is>
          <t>สุ่มยามา 30 เม็ด ชั่งน้ำหนักทีละเม็ดจำนวน 10 เม็ด แล้วคำนวณปริมาณสารสำคัญจากน้ำหนักของแต่ละเม็ดเปรียบเทียบกับผลวิเคราะห์หาปริมาณสารสำคัญเฉลี่ยจากวิธีวิเคราะห์หาปริมาณยา (Weight Variation method)</t>
        </is>
      </c>
      <c r="H34" s="45" t="inlineStr">
        <is>
          <t>สุ่มยามา 30 เม็ด ชั่งน้ำหนักทีละเม็ดรวดเดียวครบทั้ง 30 เม็ดเพื่อหาค่าเฉลี่ย</t>
        </is>
      </c>
      <c r="I34" s="46" t="n">
        <v>1</v>
      </c>
      <c r="J34" s="45" t="inlineStr">
        <is>
          <t>✅ คำตอบที่ถูกต้อง: ข้อ ก. สุ่มยามา 20 เม็ด ชั่งน้ำหนักทีละเม็ดแล้วหาน้ำหนักเฉลี่ย
💡 Background:
คำถามข้อสอบจริงใบประกอบวิชาชีพ PLE-CC 1 (Product) ปี 2558 ข้อ 12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4" s="46" t="n"/>
      <c r="L34" s="45" t="inlineStr">
        <is>
          <t>Pharmaceutical Calculations</t>
        </is>
      </c>
      <c r="M34" s="46" t="inlineStr">
        <is>
          <t>Product</t>
        </is>
      </c>
      <c r="N34" s="45" t="inlineStr">
        <is>
          <t>ข้อสอบจริง Product ปี 2558 ข้อ 12</t>
        </is>
      </c>
      <c r="O34" s="46" t="inlineStr">
        <is>
          <t>ข้อสอบจริง</t>
        </is>
      </c>
      <c r="P34" s="46" t="inlineStr">
        <is>
          <t>ปี 2558</t>
        </is>
      </c>
    </row>
    <row r="35">
      <c r="A35" s="46" t="n">
        <v>33</v>
      </c>
      <c r="B35" s="45" t="inlineStr">
        <is>
          <t>จงคำนวณหาค่า Required HLB (rHLB) ของสูตรตำรับครีม/อิมัลชันต่อไปนี้  Rx.  Mineral Oil: 30 g (rHLB \= 12\)  Wool fat: 1.5 g (rHLB \= 10\)  Cetyl alcohol: 1.0 g (rHLB \= 15\)  Emulsifier: qs  Water: qs ad 90 mL</t>
        </is>
      </c>
      <c r="C35" s="46" t="n"/>
      <c r="D35" s="45" t="inlineStr">
        <is>
          <t>10</t>
        </is>
      </c>
      <c r="E35" s="45" t="inlineStr">
        <is>
          <t>12</t>
        </is>
      </c>
      <c r="F35" s="45" t="inlineStr">
        <is>
          <t>13</t>
        </is>
      </c>
      <c r="G35" s="45" t="inlineStr">
        <is>
          <t>14</t>
        </is>
      </c>
      <c r="H35" s="45" t="inlineStr">
        <is>
          <t>15</t>
        </is>
      </c>
      <c r="I35" s="46" t="n">
        <v>1</v>
      </c>
      <c r="J35" s="45" t="inlineStr">
        <is>
          <t>✅ คำตอบที่ถูกต้อง: ข้อ ก. 10
💡 Background:
คำถามข้อสอบจริงใบประกอบวิชาชีพ PLE-CC 1 (Product) ปี 2558 ข้อ 21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5" s="46" t="n"/>
      <c r="L35" s="45" t="inlineStr">
        <is>
          <t>Pharmaceutical Calculations</t>
        </is>
      </c>
      <c r="M35" s="46" t="inlineStr">
        <is>
          <t>Product</t>
        </is>
      </c>
      <c r="N35" s="45" t="inlineStr">
        <is>
          <t>ข้อสอบจริง Product ปี 2558 ข้อ 21</t>
        </is>
      </c>
      <c r="O35" s="46" t="inlineStr">
        <is>
          <t>ข้อสอบจริง</t>
        </is>
      </c>
      <c r="P35" s="46" t="inlineStr">
        <is>
          <t>ปี 2558</t>
        </is>
      </c>
    </row>
  </sheetData>
  <mergeCells count="1">
    <mergeCell ref="A1:F1"/>
  </mergeCell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Q269"/>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46" t="n">
        <v>1</v>
      </c>
      <c r="B3" s="45" t="inlineStr">
        <is>
          <t>ยายหยอดตามีส่วนประกอบดังนี้ Neomycin sulfate, Polymyxin B sulphate, NaCl, Benzalkonium chloride, Hypromellose, Disodium edetate จากตำรับดังกล่าว Hypromellose มีหน้าที่อะไร</t>
        </is>
      </c>
      <c r="C3" s="46" t="n"/>
      <c r="D3" s="45" t="inlineStr">
        <is>
          <t>เพิ่มการละลายของ Neomycin</t>
        </is>
      </c>
      <c r="E3" s="45" t="inlineStr">
        <is>
          <t>ป้องกันการตกตะกอนขุ่นของสารละลาย</t>
        </is>
      </c>
      <c r="F3" s="45" t="inlineStr">
        <is>
          <t>เพิ่มฤทธิ์ฆ่าเชื้อแบคทีเรีย</t>
        </is>
      </c>
      <c r="G3" s="45" t="inlineStr">
        <is>
          <t>ลดการแสบระคายเคืองตา</t>
        </is>
      </c>
      <c r="H3" s="45" t="inlineStr">
        <is>
          <t>เพิ่มการติดของสารละลายกับดวงตา</t>
        </is>
      </c>
      <c r="I3" s="46" t="n">
        <v>5</v>
      </c>
      <c r="J3" s="45" t="inlineStr">
        <is>
          <t>✅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46" t="n"/>
      <c r="L3" s="45" t="inlineStr">
        <is>
          <t>Tablet Manufacturing</t>
        </is>
      </c>
      <c r="M3" s="46" t="inlineStr">
        <is>
          <t>Product</t>
        </is>
      </c>
      <c r="N3" s="45" t="inlineStr">
        <is>
          <t>ข้อ 23 Pharma Plus เล่มม่วง (เฉลยข้อ จ)</t>
        </is>
      </c>
      <c r="O3" s="46" t="inlineStr">
        <is>
          <t>Mock</t>
        </is>
      </c>
      <c r="P3" s="46" t="inlineStr">
        <is>
          <t>Pharma Plus เล่มม่วง</t>
        </is>
      </c>
    </row>
    <row r="4" ht="13.2" customHeight="1" s="37">
      <c r="A4" s="46" t="n">
        <v>2</v>
      </c>
      <c r="B4" s="45" t="inlineStr">
        <is>
          <t>คุณสมบัติที่สำคัญที่สุดของยาตา</t>
        </is>
      </c>
      <c r="C4" s="46" t="n"/>
      <c r="D4" s="45" t="inlineStr">
        <is>
          <t>Isotonic</t>
        </is>
      </c>
      <c r="E4" s="45" t="inlineStr">
        <is>
          <t>Sterile</t>
        </is>
      </c>
      <c r="F4" s="45" t="inlineStr">
        <is>
          <t>pH</t>
        </is>
      </c>
      <c r="G4" s="45" t="inlineStr">
        <is>
          <t>Preservative</t>
        </is>
      </c>
      <c r="H4" s="45" t="inlineStr">
        <is>
          <t>ต้องเป็นสารละลาย</t>
        </is>
      </c>
      <c r="I4" s="46" t="n">
        <v>2</v>
      </c>
      <c r="J4" s="45" t="inlineStr">
        <is>
          <t>✅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46" t="n"/>
      <c r="L4" s="45" t="inlineStr">
        <is>
          <t>Tablet Manufacturing</t>
        </is>
      </c>
      <c r="M4" s="46" t="inlineStr">
        <is>
          <t>Product</t>
        </is>
      </c>
      <c r="N4" s="45" t="inlineStr">
        <is>
          <t>ข้อ 24 Pharma Plus เล่มม่วง (เฉลยข้อ ข)</t>
        </is>
      </c>
      <c r="O4" s="46" t="inlineStr">
        <is>
          <t>Mock</t>
        </is>
      </c>
      <c r="P4" s="46" t="inlineStr">
        <is>
          <t>Pharma Plus เล่มม่วง</t>
        </is>
      </c>
    </row>
    <row r="5" ht="13.2" customHeight="1" s="37">
      <c r="A5" s="46" t="n">
        <v>3</v>
      </c>
      <c r="B5" s="45" t="inlineStr">
        <is>
          <t>Norfloxacin มีค่าการละลายต่ำจึงนำมาใช้ร่วมกับ B-cyclodextrin ข้อใดคือกลไกของ B-cyclodextrin</t>
        </is>
      </c>
      <c r="C5" s="46" t="n"/>
      <c r="D5" s="45" t="inlineStr">
        <is>
          <t>pH</t>
        </is>
      </c>
      <c r="E5" s="45" t="inlineStr">
        <is>
          <t>ลดค่า dielectric constant</t>
        </is>
      </c>
      <c r="F5" s="45" t="inlineStr">
        <is>
          <t>Micelle</t>
        </is>
      </c>
      <c r="G5" s="45" t="inlineStr">
        <is>
          <t>Co-solvent</t>
        </is>
      </c>
      <c r="H5" s="45" t="inlineStr">
        <is>
          <t>Complexation</t>
        </is>
      </c>
      <c r="I5" s="46" t="n">
        <v>5</v>
      </c>
      <c r="J5" s="45" t="inlineStr">
        <is>
          <t>✅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46" t="n"/>
      <c r="L5" s="45" t="inlineStr">
        <is>
          <t>Tablet Manufacturing</t>
        </is>
      </c>
      <c r="M5" s="46" t="inlineStr">
        <is>
          <t>Product</t>
        </is>
      </c>
      <c r="N5" s="45" t="inlineStr">
        <is>
          <t>ข้อ 25 Pharma Plus เล่มม่วง (เฉลยข้อ จ)</t>
        </is>
      </c>
      <c r="O5" s="46" t="inlineStr">
        <is>
          <t>Mock</t>
        </is>
      </c>
      <c r="P5" s="46" t="inlineStr">
        <is>
          <t>Pharma Plus เล่มม่วง</t>
        </is>
      </c>
    </row>
    <row r="6" ht="13.2" customHeight="1" s="37">
      <c r="A6" s="46" t="n">
        <v>4</v>
      </c>
      <c r="B6" s="45" t="inlineStr">
        <is>
          <t>หากต้องการพัฒนาสูตรตำรับยาคุมกำเนิดปัญหาใดที่มีความสำคัญที่สุดและต้องแก้ไข</t>
        </is>
      </c>
      <c r="C6" s="46" t="n"/>
      <c r="D6" s="45" t="inlineStr">
        <is>
          <t>ความหนาของเม็ดยาต้องเท่ากัน</t>
        </is>
      </c>
      <c r="E6" s="45" t="inlineStr">
        <is>
          <t>ความแข็งของเม็ดยา เนื่องจากต้องพกติดตัว</t>
        </is>
      </c>
      <c r="F6" s="45" t="inlineStr">
        <is>
          <t>ความสม่ำเสมอของตัวยาสำคัญ</t>
        </is>
      </c>
      <c r="G6" s="45" t="inlineStr">
        <is>
          <t>ความกร่อน</t>
        </is>
      </c>
      <c r="H6" s="45" t="inlineStr">
        <is>
          <t>การละลายของยา</t>
        </is>
      </c>
      <c r="I6" s="46" t="n">
        <v>3</v>
      </c>
      <c r="J6" s="45" t="inlineStr">
        <is>
          <t>✅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46" t="n"/>
      <c r="L6" s="45" t="inlineStr">
        <is>
          <t>Tablet Manufacturing</t>
        </is>
      </c>
      <c r="M6" s="46" t="inlineStr">
        <is>
          <t>Product</t>
        </is>
      </c>
      <c r="N6" s="45" t="inlineStr">
        <is>
          <t>ข้อ 26 Pharma Plus เล่มม่วง (เฉลยข้อ ค)</t>
        </is>
      </c>
      <c r="O6" s="46" t="inlineStr">
        <is>
          <t>Mock</t>
        </is>
      </c>
      <c r="P6" s="46" t="inlineStr">
        <is>
          <t>Pharma Plus เล่มม่วง</t>
        </is>
      </c>
    </row>
    <row r="7" ht="13.2" customHeight="1" s="37">
      <c r="A7" s="46" t="n">
        <v>5</v>
      </c>
      <c r="B7" s="45" t="inlineStr">
        <is>
          <t>สาเหตุความไม่คงตัวดังข้อ 71 คือ</t>
        </is>
      </c>
      <c r="C7" s="46" t="n"/>
      <c r="D7" s="45" t="inlineStr">
        <is>
          <t>อนุภาคมีขนาดใหญ่เกินไป</t>
        </is>
      </c>
      <c r="E7" s="45" t="inlineStr">
        <is>
          <t>วัตภาคน้ำมันมีปริมาณมากเกินไป</t>
        </is>
      </c>
      <c r="F7" s="45" t="inlineStr">
        <is>
          <t>ความหนืดของวัตภาคภายนอกสูงเกินไป</t>
        </is>
      </c>
      <c r="G7" s="45" t="inlineStr">
        <is>
          <t>ไม่มีสารก่ออิมัลชัน (emulsifier) ในตำรับ</t>
        </is>
      </c>
      <c r="H7" s="45" t="inlineStr">
        <is>
          <t>ความหนาแน่นของวัตภาคในและนอกมีค่าใกล้เคียงกัน</t>
        </is>
      </c>
      <c r="I7" s="46" t="n">
        <v>4</v>
      </c>
      <c r="J7" s="45" t="inlineStr">
        <is>
          <t>✅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46" t="n"/>
      <c r="L7" s="45" t="inlineStr">
        <is>
          <t>Tablet Manufacturing</t>
        </is>
      </c>
      <c r="M7" s="46" t="inlineStr">
        <is>
          <t>Product</t>
        </is>
      </c>
      <c r="N7" s="45" t="inlineStr">
        <is>
          <t>ข้อ 72 Pharma Plus เล่มม่วง (เฉลยข้อ ง)</t>
        </is>
      </c>
      <c r="O7" s="46" t="inlineStr">
        <is>
          <t>Mock</t>
        </is>
      </c>
      <c r="P7" s="46" t="inlineStr">
        <is>
          <t>Pharma Plus เล่มม่วง</t>
        </is>
      </c>
    </row>
    <row r="8" ht="13.2" customHeight="1" s="37">
      <c r="A8" s="46" t="n">
        <v>6</v>
      </c>
      <c r="B8" s="45" t="inlineStr">
        <is>
          <t>สัดส่วนที่เหมาะสมของสารก่ออิมัลชันที่ใช้สำหรับตำรับข้อ 71 เพื่อให้เกิดเป็น o/w</t>
        </is>
      </c>
      <c r="C8" s="46" t="n"/>
      <c r="D8" s="45" t="inlineStr">
        <is>
          <t>Tween 80 : Span 80 = 8.43 : 2.87</t>
        </is>
      </c>
      <c r="E8" s="45" t="inlineStr">
        <is>
          <t>Tween 80 : Span 80 = 2.87 : 8.43</t>
        </is>
      </c>
      <c r="F8" s="45" t="inlineStr">
        <is>
          <t>Tween 80 : Span 80 = 15.0 : 3.7</t>
        </is>
      </c>
      <c r="G8" s="45" t="inlineStr">
        <is>
          <t>Tween 80 : Span 80 = 3.7 : 15.0</t>
        </is>
      </c>
      <c r="H8" s="45" t="inlineStr">
        <is>
          <t>Tween 80 : Span 80 = 1.5 : 2.5</t>
        </is>
      </c>
      <c r="I8" s="46" t="n">
        <v>1</v>
      </c>
      <c r="J8" s="45" t="inlineStr">
        <is>
          <t>✅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 เหมาะสำหรับ W/O emulsion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46" t="n"/>
      <c r="L8" s="45" t="inlineStr">
        <is>
          <t>Tablet Manufacturing</t>
        </is>
      </c>
      <c r="M8" s="46" t="inlineStr">
        <is>
          <t>Product</t>
        </is>
      </c>
      <c r="N8" s="45" t="inlineStr">
        <is>
          <t>ข้อ 74 Pharma Plus เล่มม่วง (เฉลยข้อ )</t>
        </is>
      </c>
      <c r="O8" s="46" t="inlineStr">
        <is>
          <t>Mock</t>
        </is>
      </c>
      <c r="P8" s="46" t="inlineStr">
        <is>
          <t>Pharma Plus เล่มม่วง</t>
        </is>
      </c>
    </row>
    <row r="9" ht="13.2" customHeight="1" s="37">
      <c r="A9" s="46" t="n">
        <v>7</v>
      </c>
      <c r="B9" s="45" t="inlineStr">
        <is>
          <t>เพราะเหตุใดอิมัลชันที่เตรียมได้ตามสูตรข้างต้นเป็นอิมัลชันชนิด o/w</t>
        </is>
      </c>
      <c r="C9" s="46" t="n"/>
      <c r="D9" s="45" t="inlineStr">
        <is>
          <t>มีปริมาตรวัตภาคบ้า(น้ำ)สูงกว่าวัตภาคน้ำมัน และระบบสารก่ออิมัลชัน (emulsifier system) มีค่า HLB ที่สูง</t>
        </is>
      </c>
      <c r="E9" s="45" t="inlineStr">
        <is>
          <t>มีปริมาตรวัตภาคบ้า(น้ำ)สูงกว่าวัตภาคน้ำมัน และระบบสารก่ออิมัลชัน (emulsifier system) มีค่า HLB ที่ต่ำ</t>
        </is>
      </c>
      <c r="F9" s="45" t="inlineStr">
        <is>
          <t>มีปริมาตรวัตภาคน้ำมันสูงกว่าวัตภาคบ้า(น้ำ) และระบบสารก่ออิมัลชัน (emulsifier system) มีค่า HLB ที่สูง</t>
        </is>
      </c>
      <c r="G9" s="45" t="inlineStr">
        <is>
          <t>มีปริมาตรวัตภาคน้ำมันสูงกว่าวัตภาคบ้า(น้ำ) และระบบสารก่ออิมัลชัน (emulsifier system) มีค่า HLB ที่ต่ำ</t>
        </is>
      </c>
      <c r="H9" s="45" t="inlineStr">
        <is>
          <t>มีปริมาตรวัตภาคน้ำมันและวัตภาคน้ำเท่าๆกัน และระบบสารก่ออิมัลชัน (emulsifier system) มีค่า HLB ที่สูง</t>
        </is>
      </c>
      <c r="I9" s="46" t="n">
        <v>1</v>
      </c>
      <c r="J9" s="45" t="inlineStr">
        <is>
          <t>✅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46" t="n"/>
      <c r="L9" s="45" t="inlineStr">
        <is>
          <t>Tablet Manufacturing</t>
        </is>
      </c>
      <c r="M9" s="46" t="inlineStr">
        <is>
          <t>Product</t>
        </is>
      </c>
      <c r="N9" s="45" t="inlineStr">
        <is>
          <t>ข้อ 75 Pharma Plus เล่มม่วง (เฉลยข้อ ก)</t>
        </is>
      </c>
      <c r="O9" s="46" t="inlineStr">
        <is>
          <t>Mock</t>
        </is>
      </c>
      <c r="P9" s="46" t="inlineStr">
        <is>
          <t>Pharma Plus เล่มม่วง</t>
        </is>
      </c>
    </row>
    <row r="10" ht="13.2" customHeight="1" s="37">
      <c r="A10" s="46" t="n">
        <v>8</v>
      </c>
      <c r="B10" s="45" t="inlineStr">
        <is>
          <t>ในการผลิตยาเม็ด gemfibrozil พบว่าเมื่อตอกแล้วยาเม็ดติดสาก แก้ไขโดยการเติมสารใด</t>
        </is>
      </c>
      <c r="C10" s="46" t="n"/>
      <c r="D10" s="45" t="inlineStr">
        <is>
          <t>Lactose</t>
        </is>
      </c>
      <c r="E10" s="45" t="inlineStr">
        <is>
          <t>Calcium carbonate</t>
        </is>
      </c>
      <c r="F10" s="45" t="inlineStr">
        <is>
          <t>HPMC</t>
        </is>
      </c>
      <c r="G10" s="45" t="inlineStr">
        <is>
          <t>Magnesium stearate</t>
        </is>
      </c>
      <c r="H10" s="45" t="inlineStr">
        <is>
          <t>Alcohol</t>
        </is>
      </c>
      <c r="I10" s="46" t="n">
        <v>4</v>
      </c>
      <c r="J10" s="45" t="inlineStr">
        <is>
          <t>✅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46" t="n"/>
      <c r="L10" s="45" t="inlineStr">
        <is>
          <t>Tablet Defects</t>
        </is>
      </c>
      <c r="M10" s="46" t="inlineStr">
        <is>
          <t>Product</t>
        </is>
      </c>
      <c r="N10" s="45" t="inlineStr">
        <is>
          <t>ข้อ 76 Pharma Plus เล่มม่วง (เฉลยข้อ ง)</t>
        </is>
      </c>
      <c r="O10" s="46" t="inlineStr">
        <is>
          <t>Mock</t>
        </is>
      </c>
      <c r="P10" s="46" t="inlineStr">
        <is>
          <t>Pharma Plus เล่มม่วง</t>
        </is>
      </c>
    </row>
    <row r="11" ht="13.2" customHeight="1" s="37">
      <c r="A11" s="46" t="n">
        <v>9</v>
      </c>
      <c r="B11" s="45" t="inlineStr">
        <is>
          <t>หากต้องการเพิ่มความสามารถในการแตกตัวของยาเม็ด colchicine ควรใช้สารใด</t>
        </is>
      </c>
      <c r="C11" s="46" t="n"/>
      <c r="D11" s="45" t="inlineStr">
        <is>
          <t>Lactose</t>
        </is>
      </c>
      <c r="E11" s="45" t="inlineStr">
        <is>
          <t>Starch paste</t>
        </is>
      </c>
      <c r="F11" s="45" t="inlineStr">
        <is>
          <t>Microcrystalline cellulose</t>
        </is>
      </c>
      <c r="G11" s="45" t="inlineStr">
        <is>
          <t>Magnesium stearate</t>
        </is>
      </c>
      <c r="H11" s="45" t="inlineStr">
        <is>
          <t>Dicalcium phosphate</t>
        </is>
      </c>
      <c r="I11" s="46" t="n">
        <v>3</v>
      </c>
      <c r="J11" s="45" t="inlineStr">
        <is>
          <t>✅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46" t="n"/>
      <c r="L11" s="45" t="inlineStr">
        <is>
          <t>Tablet Manufacturing</t>
        </is>
      </c>
      <c r="M11" s="46" t="inlineStr">
        <is>
          <t>Product</t>
        </is>
      </c>
      <c r="N11" s="45" t="inlineStr">
        <is>
          <t>ข้อ 77 Pharma Plus เล่มม่วง (เฉลยข้อ ค)</t>
        </is>
      </c>
      <c r="O11" s="46" t="inlineStr">
        <is>
          <t>Mock</t>
        </is>
      </c>
      <c r="P11" s="46" t="inlineStr">
        <is>
          <t>Pharma Plus เล่มม่วง</t>
        </is>
      </c>
    </row>
    <row r="12" ht="13.2" customHeight="1" s="37">
      <c r="A12" s="46" t="n">
        <v>10</v>
      </c>
      <c r="B12" s="45" t="inlineStr">
        <is>
          <t>ในการควบคุมคุณภาพของยาเม็ด colchicine tablet 0.6 mg ตามข้อกำหนดใน USP สิ่งที่ไม่ต้องทำคือ</t>
        </is>
      </c>
      <c r="C12" s="46" t="n"/>
      <c r="D12" s="45" t="inlineStr">
        <is>
          <t>Friability test</t>
        </is>
      </c>
      <c r="E12" s="45" t="inlineStr">
        <is>
          <t>Content uniformity</t>
        </is>
      </c>
      <c r="F12" s="45" t="inlineStr">
        <is>
          <t>Weight variation</t>
        </is>
      </c>
      <c r="G12" s="45" t="inlineStr">
        <is>
          <t>Dissolution test</t>
        </is>
      </c>
      <c r="H12" s="45" t="inlineStr">
        <is>
          <t>Disintegration test</t>
        </is>
      </c>
      <c r="I12" s="46" t="n">
        <v>1</v>
      </c>
      <c r="J12" s="45"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46" t="n"/>
      <c r="L12" s="45" t="inlineStr">
        <is>
          <t>Tablet Manufacturing</t>
        </is>
      </c>
      <c r="M12" s="46" t="inlineStr">
        <is>
          <t>Product</t>
        </is>
      </c>
      <c r="N12" s="45" t="inlineStr">
        <is>
          <t>ข้อ 78 Pharma Plus เล่มม่วง (เฉลยข้อ ก)</t>
        </is>
      </c>
      <c r="O12" s="46" t="inlineStr">
        <is>
          <t>Mock</t>
        </is>
      </c>
      <c r="P12" s="46" t="inlineStr">
        <is>
          <t>Pharma Plus เล่มม่วง</t>
        </is>
      </c>
    </row>
    <row r="13" ht="13.2" customHeight="1" s="37">
      <c r="A13" s="46" t="n">
        <v>11</v>
      </c>
      <c r="B13" s="45" t="inlineStr">
        <is>
          <t>ถ้าต้องการเตรียมยา Intra-arthricular corticosteroids (ampule) ต้องผ่านการควบคุมคุณภาพต่อไปนี้ ยกเว้นข้อใด</t>
        </is>
      </c>
      <c r="C13" s="46" t="n"/>
      <c r="D13" s="45" t="inlineStr">
        <is>
          <t>Sterility test</t>
        </is>
      </c>
      <c r="E13" s="45" t="inlineStr">
        <is>
          <t>Clarity test</t>
        </is>
      </c>
      <c r="F13" s="45" t="inlineStr">
        <is>
          <t>Pyrogen test</t>
        </is>
      </c>
      <c r="G13" s="45" t="inlineStr">
        <is>
          <t>Compatibility test</t>
        </is>
      </c>
      <c r="H13" s="45" t="inlineStr">
        <is>
          <t>Leaker test</t>
        </is>
      </c>
      <c r="I13" s="46" t="n">
        <v>4</v>
      </c>
      <c r="J13" s="45" t="inlineStr">
        <is>
          <t>✅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46" t="n"/>
      <c r="L13" s="45" t="inlineStr">
        <is>
          <t>Tablet Manufacturing</t>
        </is>
      </c>
      <c r="M13" s="46" t="inlineStr">
        <is>
          <t>Product</t>
        </is>
      </c>
      <c r="N13" s="45" t="inlineStr">
        <is>
          <t>ข้อ 79 Pharma Plus เล่มม่วง (เฉลยข้อ ง)</t>
        </is>
      </c>
      <c r="O13" s="46" t="inlineStr">
        <is>
          <t>Mock</t>
        </is>
      </c>
      <c r="P13" s="46" t="inlineStr">
        <is>
          <t>Pharma Plus เล่มม่วง</t>
        </is>
      </c>
    </row>
    <row r="14" ht="13.2" customHeight="1" s="37">
      <c r="A14" s="46" t="n">
        <v>12</v>
      </c>
      <c r="B14" s="45" t="inlineStr">
        <is>
          <t>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t>
        </is>
      </c>
      <c r="C14" s="46" t="n"/>
      <c r="D14" s="45" t="inlineStr">
        <is>
          <t>0.8 g</t>
        </is>
      </c>
      <c r="E14" s="45" t="inlineStr">
        <is>
          <t>1.2 g</t>
        </is>
      </c>
      <c r="F14" s="45" t="inlineStr">
        <is>
          <t>1.5 g</t>
        </is>
      </c>
      <c r="G14" s="45" t="inlineStr">
        <is>
          <t>2.2 g</t>
        </is>
      </c>
      <c r="H14" s="45" t="inlineStr">
        <is>
          <t>3.0 g</t>
        </is>
      </c>
      <c r="I14" s="46" t="n">
        <v>4</v>
      </c>
      <c r="J14" s="45" t="inlineStr">
        <is>
          <t>✅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คำอธิบายและเหตุผลทางเภสัชกรรม:
คำนวณปริมาณ Methylprednisolone ที่ต้องการ: 10 mg/ml * 200 ml = 2,000 mg = 2.0 g. คำนวณหาปริมาณเกลือ ester (Methylprednisolone acetate) ที่ต้องใช้โดยเทียบน้ำหนักโมเลกุล: น้ำหนัก Acetate = (2.0 g * 416.5) / 374.5 = 2.224 g ซึ่งใกล้เคียงกับ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46" t="n"/>
      <c r="L14" s="45" t="inlineStr">
        <is>
          <t>Tablet Manufacturing</t>
        </is>
      </c>
      <c r="M14" s="46" t="inlineStr">
        <is>
          <t>Product</t>
        </is>
      </c>
      <c r="N14" s="45" t="inlineStr">
        <is>
          <t>ข้อ 80 Pharma Plus เล่มม่วง (เฉลยข้อ ง)</t>
        </is>
      </c>
      <c r="O14" s="46" t="inlineStr">
        <is>
          <t>Mock</t>
        </is>
      </c>
      <c r="P14" s="46" t="inlineStr">
        <is>
          <t>Pharma Plus เล่มม่วง</t>
        </is>
      </c>
    </row>
    <row r="15" ht="13.2" customHeight="1" s="37">
      <c r="A15" s="46" t="n">
        <v>13</v>
      </c>
      <c r="B15" s="45" t="inlineStr">
        <is>
          <t>ผู้ป่วยควรเก็บ insulin ที่ภาวะใด</t>
        </is>
      </c>
      <c r="C15" s="46" t="n"/>
      <c r="D15" s="45" t="inlineStr">
        <is>
          <t>Cold</t>
        </is>
      </c>
      <c r="E15" s="45" t="inlineStr">
        <is>
          <t>Refrigerator</t>
        </is>
      </c>
      <c r="F15" s="45" t="inlineStr">
        <is>
          <t>Cool</t>
        </is>
      </c>
      <c r="G15" s="45" t="inlineStr">
        <is>
          <t>Room temperature</t>
        </is>
      </c>
      <c r="H15" s="45" t="inlineStr">
        <is>
          <t>Warm</t>
        </is>
      </c>
      <c r="I15" s="46" t="n">
        <v>2</v>
      </c>
      <c r="J15" s="45" t="inlineStr">
        <is>
          <t>✅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46" t="n"/>
      <c r="L15" s="45" t="inlineStr">
        <is>
          <t>Tablet Manufacturing</t>
        </is>
      </c>
      <c r="M15" s="46" t="inlineStr">
        <is>
          <t>Product</t>
        </is>
      </c>
      <c r="N15" s="45" t="inlineStr">
        <is>
          <t>ข้อ 81 Pharma Plus เล่มม่วง (เฉลยข้อ ข)</t>
        </is>
      </c>
      <c r="O15" s="46" t="inlineStr">
        <is>
          <t>Mock</t>
        </is>
      </c>
      <c r="P15" s="46" t="inlineStr">
        <is>
          <t>Pharma Plus เล่มม่วง</t>
        </is>
      </c>
    </row>
    <row r="16" ht="13.2" customHeight="1" s="37">
      <c r="A16" s="46" t="n">
        <v>14</v>
      </c>
      <c r="B16" s="45" t="inlineStr">
        <is>
          <t>ท่านคิดว่า metformin tablet ไม่จำเป็นต้องทำ finished product quality control ข้อใด</t>
        </is>
      </c>
      <c r="C16" s="46" t="n"/>
      <c r="D16" s="45" t="inlineStr">
        <is>
          <t>Friability test</t>
        </is>
      </c>
      <c r="E16" s="45" t="inlineStr">
        <is>
          <t>Disintegration test</t>
        </is>
      </c>
      <c r="F16" s="45" t="inlineStr">
        <is>
          <t>Dissolution test</t>
        </is>
      </c>
      <c r="G16" s="45" t="inlineStr">
        <is>
          <t>Freeze-thaw cycle</t>
        </is>
      </c>
      <c r="H16" s="45" t="inlineStr">
        <is>
          <t>Weight variation</t>
        </is>
      </c>
      <c r="I16" s="46" t="n">
        <v>1</v>
      </c>
      <c r="J16" s="45"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46" t="n"/>
      <c r="L16" s="45" t="inlineStr">
        <is>
          <t>Tablet Manufacturing</t>
        </is>
      </c>
      <c r="M16" s="46" t="inlineStr">
        <is>
          <t>Product</t>
        </is>
      </c>
      <c r="N16" s="45" t="inlineStr">
        <is>
          <t>ข้อ 82 Pharma Plus เล่มม่วง (เฉลยข้อ ก)</t>
        </is>
      </c>
      <c r="O16" s="46" t="inlineStr">
        <is>
          <t>Mock</t>
        </is>
      </c>
      <c r="P16" s="46" t="inlineStr">
        <is>
          <t>Pharma Plus เล่มม่วง</t>
        </is>
      </c>
    </row>
    <row r="17" ht="13.2" customHeight="1" s="37">
      <c r="A17" s="46" t="n">
        <v>15</v>
      </c>
      <c r="B17" s="45" t="inlineStr">
        <is>
          <t>ข้อใดไม่ใช่ข้อดีของการทำ film coated tablet ที่เหนือกว่า sugar coated tablet</t>
        </is>
      </c>
      <c r="C17" s="46" t="n"/>
      <c r="D17" s="45" t="inlineStr">
        <is>
          <t>น้ำหนักของเม็ดยาเพิ่มมากขึ้น มากกว่า sugar coated tablet เนื่องจาก material ที่ใช้เป็นสารสังเคราะห์ที่มีน้ำหนักโมเลกุลสูง</t>
        </is>
      </c>
      <c r="E17" s="45" t="inlineStr">
        <is>
          <t>พื้นผิวเม็ดยามีความเรียบและ สีสม่ำเสมอกว่า sugar coated tablet</t>
        </is>
      </c>
      <c r="F17" s="45" t="inlineStr">
        <is>
          <t>กระบวนการทำ film coated tablet รวดเร็วกว่า sugar coated tablet</t>
        </is>
      </c>
      <c r="G17" s="45" t="inlineStr">
        <is>
          <t>กระบวนการทำ film coated tablet ไม่เกิดปัญหา dead spot</t>
        </is>
      </c>
      <c r="H17" s="45" t="inlineStr">
        <is>
          <t>film coated tabletไม่มีการทำ polishing ด้วย wax จึงไม่เกิดปัญหาที่เรียกว่า marbled เหมือน sugar coated tablet</t>
        </is>
      </c>
      <c r="I17" s="46" t="n">
        <v>1</v>
      </c>
      <c r="J17" s="45" t="inlineStr">
        <is>
          <t>✅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46" t="n"/>
      <c r="L17" s="45" t="inlineStr">
        <is>
          <t>Tablet Coating</t>
        </is>
      </c>
      <c r="M17" s="46" t="inlineStr">
        <is>
          <t>Product</t>
        </is>
      </c>
      <c r="N17" s="45" t="inlineStr">
        <is>
          <t>ข้อ 83 Pharma Plus เล่มม่วง (เฉลยข้อ ก)</t>
        </is>
      </c>
      <c r="O17" s="46" t="inlineStr">
        <is>
          <t>Mock</t>
        </is>
      </c>
      <c r="P17" s="46" t="inlineStr">
        <is>
          <t>Pharma Plus เล่มม่วง</t>
        </is>
      </c>
    </row>
    <row r="18" ht="13.2" customHeight="1" s="37">
      <c r="A18" s="46" t="n">
        <v>16</v>
      </c>
      <c r="B18" s="45" t="inlineStr">
        <is>
          <t>Antacid เป็นยาเตรียมประเภทใด</t>
        </is>
      </c>
      <c r="C18" s="46" t="n"/>
      <c r="D18" s="45" t="inlineStr">
        <is>
          <t>Gel</t>
        </is>
      </c>
      <c r="E18" s="45" t="inlineStr">
        <is>
          <t>Emulsion</t>
        </is>
      </c>
      <c r="F18" s="45" t="inlineStr">
        <is>
          <t>Suspension</t>
        </is>
      </c>
      <c r="G18" s="45" t="inlineStr">
        <is>
          <t>Solution</t>
        </is>
      </c>
      <c r="H18" s="45" t="inlineStr">
        <is>
          <t>Elixir</t>
        </is>
      </c>
      <c r="I18" s="46" t="n">
        <v>3</v>
      </c>
      <c r="J18" s="45" t="inlineStr">
        <is>
          <t>✅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46" t="n"/>
      <c r="L18" s="45" t="inlineStr">
        <is>
          <t>Tablet Manufacturing</t>
        </is>
      </c>
      <c r="M18" s="46" t="inlineStr">
        <is>
          <t>Product</t>
        </is>
      </c>
      <c r="N18" s="45" t="inlineStr">
        <is>
          <t>ข้อ 96 Pharma Plus เล่มม่วง (เฉลยข้อ ค)</t>
        </is>
      </c>
      <c r="O18" s="46" t="inlineStr">
        <is>
          <t>Mock</t>
        </is>
      </c>
      <c r="P18" s="46" t="inlineStr">
        <is>
          <t>Pharma Plus เล่มม่วง</t>
        </is>
      </c>
    </row>
    <row r="19" ht="13.2" customHeight="1" s="37">
      <c r="A19" s="46" t="n">
        <v>17</v>
      </c>
      <c r="B19" s="45" t="inlineStr">
        <is>
          <t>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t>
        </is>
      </c>
      <c r="C19" s="46" t="n"/>
      <c r="D19" s="45" t="inlineStr">
        <is>
          <t>Hard Gelatin Capsule filling</t>
        </is>
      </c>
      <c r="E19" s="45" t="inlineStr">
        <is>
          <t>Soft Gelatin Capsule encapsulation</t>
        </is>
      </c>
      <c r="F19" s="45" t="inlineStr">
        <is>
          <t>1 และ 3</t>
        </is>
      </c>
      <c r="G19" s="45" t="inlineStr">
        <is>
          <t>2 และ 3</t>
        </is>
      </c>
      <c r="H19" s="45" t="inlineStr">
        <is>
          <t>ไม่มีข้อใดถูก</t>
        </is>
      </c>
      <c r="I19" s="46" t="n">
        <v>3</v>
      </c>
      <c r="J19" s="45" t="inlineStr">
        <is>
          <t>✅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46" t="n"/>
      <c r="L19" s="45" t="inlineStr">
        <is>
          <t>Tablet Manufacturing</t>
        </is>
      </c>
      <c r="M19" s="46" t="inlineStr">
        <is>
          <t>Product</t>
        </is>
      </c>
      <c r="N19" s="45" t="inlineStr">
        <is>
          <t>ข้อ 97 Pharma Plus เล่มม่วง (เฉลยข้อ ค)</t>
        </is>
      </c>
      <c r="O19" s="46" t="inlineStr">
        <is>
          <t>Mock</t>
        </is>
      </c>
      <c r="P19" s="46" t="inlineStr">
        <is>
          <t>Pharma Plus เล่มม่วง</t>
        </is>
      </c>
    </row>
    <row r="20" ht="13.2" customHeight="1" s="37">
      <c r="A20" s="46" t="n">
        <v>18</v>
      </c>
      <c r="B20" s="45" t="inlineStr">
        <is>
          <t>ในการตอก ciprofloxacin tablet พบว่าผงยาไหลไม่ดี เภสัชกรฝ่าย R&amp;D อย่างท่านควรพัฒนาสูตรตำรับอย่างไรจึงจะเหมาะสม</t>
        </is>
      </c>
      <c r="C20" s="46" t="n"/>
      <c r="D20" s="45" t="inlineStr">
        <is>
          <t>เปลี่ยนสูตรตำรับเป็นยาน้ำ</t>
        </is>
      </c>
      <c r="E20" s="45" t="inlineStr">
        <is>
          <t>ทำ wet granulation</t>
        </is>
      </c>
      <c r="F20" s="45" t="inlineStr">
        <is>
          <t>นำไปผ่าน sieve เพื่อคัดขนาดอนุภาค</t>
        </is>
      </c>
      <c r="G20" s="45" t="inlineStr">
        <is>
          <t>เพิ่มแรงตอก</t>
        </is>
      </c>
      <c r="H20" s="45" t="inlineStr">
        <is>
          <t>เพิ่ม diluent</t>
        </is>
      </c>
      <c r="I20" s="46" t="n">
        <v>2</v>
      </c>
      <c r="J20" s="45" t="inlineStr">
        <is>
          <t>✅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46" t="n"/>
      <c r="L20" s="45" t="inlineStr">
        <is>
          <t>Powders &amp; Granules</t>
        </is>
      </c>
      <c r="M20" s="46" t="inlineStr">
        <is>
          <t>Product</t>
        </is>
      </c>
      <c r="N20" s="45" t="inlineStr">
        <is>
          <t>ข้อ 99 Pharma Plus เล่มม่วง (เฉลยข้อ ข)</t>
        </is>
      </c>
      <c r="O20" s="46" t="inlineStr">
        <is>
          <t>Mock</t>
        </is>
      </c>
      <c r="P20" s="46" t="inlineStr">
        <is>
          <t>Pharma Plus เล่มม่วง</t>
        </is>
      </c>
    </row>
    <row r="21" ht="13.2" customHeight="1" s="37">
      <c r="A21" s="46" t="n">
        <v>19</v>
      </c>
      <c r="B21" s="45" t="inlineStr">
        <is>
          <t>เภสัชกรผู้หนึ่งทำการสุ่ม atenolol tablets ระหว่างการผลิตพบว่ายาเม็ดเกิดการแยกฝา เรียกปรากฏการณ์นี้ว่า</t>
        </is>
      </c>
      <c r="C21" s="46" t="n"/>
      <c r="D21" s="45" t="inlineStr">
        <is>
          <t>Breaking</t>
        </is>
      </c>
      <c r="E21" s="45" t="inlineStr">
        <is>
          <t>Cracking</t>
        </is>
      </c>
      <c r="F21" s="45" t="inlineStr">
        <is>
          <t>Capping</t>
        </is>
      </c>
      <c r="G21" s="45" t="inlineStr">
        <is>
          <t>Segregation</t>
        </is>
      </c>
      <c r="H21" s="45" t="inlineStr">
        <is>
          <t>Sticking</t>
        </is>
      </c>
      <c r="I21" s="46" t="n">
        <v>3</v>
      </c>
      <c r="J21" s="45" t="inlineStr">
        <is>
          <t>✅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46" t="n"/>
      <c r="L21" s="45" t="inlineStr">
        <is>
          <t>Tablet Defects</t>
        </is>
      </c>
      <c r="M21" s="46" t="inlineStr">
        <is>
          <t>Product</t>
        </is>
      </c>
      <c r="N21" s="45" t="inlineStr">
        <is>
          <t>ข้อ 100 Pharma Plus เล่มม่วง (เฉลยข้อ ค)</t>
        </is>
      </c>
      <c r="O21" s="46" t="inlineStr">
        <is>
          <t>Mock</t>
        </is>
      </c>
      <c r="P21" s="46" t="inlineStr">
        <is>
          <t>Pharma Plus เล่มม่วง</t>
        </is>
      </c>
    </row>
    <row r="22" ht="13.2" customHeight="1" s="37">
      <c r="A22" s="46" t="n">
        <v>20</v>
      </c>
      <c r="B22" s="45" t="inlineStr">
        <is>
          <t>จะแก้ไขปรากฏการณ์ข้อ 100 ได้อย่างไร</t>
        </is>
      </c>
      <c r="C22" s="46" t="n"/>
      <c r="D22" s="45" t="inlineStr">
        <is>
          <t>เติม anti-adherent</t>
        </is>
      </c>
      <c r="E22" s="45" t="inlineStr">
        <is>
          <t>เติม binder</t>
        </is>
      </c>
      <c r="F22" s="45" t="inlineStr">
        <is>
          <t>ลดขนาดอนุภาคให้ใกล้เคียงกัน</t>
        </is>
      </c>
      <c r="G22" s="45" t="inlineStr">
        <is>
          <t>ปรับความเร็วในการตอกให้ลดลง</t>
        </is>
      </c>
      <c r="H22" s="45" t="inlineStr">
        <is>
          <t>ข. และ ง. ถูก</t>
        </is>
      </c>
      <c r="I22" s="46" t="n">
        <v>5</v>
      </c>
      <c r="J22" s="45" t="inlineStr">
        <is>
          <t>✅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46" t="n"/>
      <c r="L22" s="45" t="inlineStr">
        <is>
          <t>Tablet Manufacturing</t>
        </is>
      </c>
      <c r="M22" s="46" t="inlineStr">
        <is>
          <t>Product</t>
        </is>
      </c>
      <c r="N22" s="45" t="inlineStr">
        <is>
          <t>ข้อ 101 Pharma Plus เล่มม่วง (เฉลยข้อ จ)</t>
        </is>
      </c>
      <c r="O22" s="46" t="inlineStr">
        <is>
          <t>Mock</t>
        </is>
      </c>
      <c r="P22" s="46" t="inlineStr">
        <is>
          <t>Pharma Plus เล่มม่วง</t>
        </is>
      </c>
    </row>
    <row r="23" ht="13.2" customHeight="1" s="37">
      <c r="A23" s="46" t="n">
        <v>21</v>
      </c>
      <c r="B23" s="45" t="inlineStr">
        <is>
          <t>ORS Formulation
Sodium chloride: 2.6 g/L
Glucose anhydrous: 13.5 g/L
Potassium chloride: 1.5 g/L
Trisodium citrate dihydrate: 2.9 g/L
จากสูตร ORS ที่กำหนดให้ จงคำนวณหา mOsmol ของ NaCl (MW NaCl = 58.5)</t>
        </is>
      </c>
      <c r="C23" s="46" t="n"/>
      <c r="D23" s="45" t="n">
        <v>44.44</v>
      </c>
      <c r="E23" s="45" t="n">
        <v>75.88</v>
      </c>
      <c r="F23" s="45" t="n">
        <v>80.58</v>
      </c>
      <c r="G23" s="45" t="n">
        <v>85</v>
      </c>
      <c r="H23" s="45" t="n">
        <v>88.89</v>
      </c>
      <c r="I23" s="46" t="n">
        <v>5</v>
      </c>
      <c r="J23" s="45" t="inlineStr">
        <is>
          <t>✅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คำอธิบายและเหตุผลทางเภสัชกรรม:
การคำนวณ Osmolarity ของ NaCl (แตกตัวเป็น 2 ions คือ Na+ และ Cl-, i = 2):
จำนวนกรัมใน 1 ลิตร = 2.6 g
Moles = 2.6 / 58.5 = 0.0444 mol
moles ของไอออนทั้งหมด = 0.0444 * 2 = 0.0889 mol = 88.89 mmol/L หรือ mOsmol/L
USP/NF, British Pharmacopoeia (BP)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46" t="n"/>
      <c r="L23" s="45" t="inlineStr">
        <is>
          <t>Tablet Manufacturing</t>
        </is>
      </c>
      <c r="M23" s="46" t="inlineStr">
        <is>
          <t>Product</t>
        </is>
      </c>
      <c r="N23" s="45" t="inlineStr">
        <is>
          <t>ข้อ 105 Pharma Plus เล่มม่วง (เฉลยข้อ จ)</t>
        </is>
      </c>
      <c r="O23" s="46" t="inlineStr">
        <is>
          <t>Mock</t>
        </is>
      </c>
      <c r="P23" s="46" t="inlineStr">
        <is>
          <t>Pharma Plus เล่มม่วง</t>
        </is>
      </c>
    </row>
    <row r="24" ht="13.2" customHeight="1" s="37">
      <c r="A24" s="46" t="n">
        <v>22</v>
      </c>
      <c r="B24" s="45" t="inlineStr">
        <is>
          <t>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t>
        </is>
      </c>
      <c r="C24" s="46" t="n"/>
      <c r="D24" s="45" t="inlineStr">
        <is>
          <t>155 g</t>
        </is>
      </c>
      <c r="E24" s="45" t="inlineStr">
        <is>
          <t>175 g</t>
        </is>
      </c>
      <c r="F24" s="45" t="inlineStr">
        <is>
          <t>180 g</t>
        </is>
      </c>
      <c r="G24" s="45" t="inlineStr">
        <is>
          <t>197 g</t>
        </is>
      </c>
      <c r="H24" s="45" t="inlineStr">
        <is>
          <t>200 g</t>
        </is>
      </c>
      <c r="I24" s="46" t="n">
        <v>3</v>
      </c>
      <c r="J24" s="45" t="inlineStr">
        <is>
          <t>✅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 จำนวนแท่ง) - (น้ำหนักตัวยาต่อแท่ง / Displacement value * จำนวนแท่ง)
= (2.0 * 100) - (0.3 / 1.5 * 100)
= 200 - (0.2 *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46" t="n"/>
      <c r="L24" s="45" t="inlineStr">
        <is>
          <t>Tablet Manufacturing</t>
        </is>
      </c>
      <c r="M24" s="46" t="inlineStr">
        <is>
          <t>Product</t>
        </is>
      </c>
      <c r="N24" s="45" t="inlineStr">
        <is>
          <t>ข้อ 107 Pharma Plus เล่มม่วง (เฉลยข้อ ค)</t>
        </is>
      </c>
      <c r="O24" s="46" t="inlineStr">
        <is>
          <t>Mock</t>
        </is>
      </c>
      <c r="P24" s="46" t="inlineStr">
        <is>
          <t>Pharma Plus เล่มม่วง</t>
        </is>
      </c>
    </row>
    <row r="25" ht="13.2" customHeight="1" s="37">
      <c r="A25" s="46" t="n">
        <v>23</v>
      </c>
      <c r="B25" s="45" t="inlineStr">
        <is>
          <t>ในการเตรียม D-5-S จำนวน 100 ขวด (ขวดละ 1000 mL) จะต้องใช้ NaCl หนักเท่าใด</t>
        </is>
      </c>
      <c r="C25" s="46" t="n"/>
      <c r="D25" s="45" t="inlineStr">
        <is>
          <t>45 กรัม</t>
        </is>
      </c>
      <c r="E25" s="45" t="inlineStr">
        <is>
          <t>450 กรัม</t>
        </is>
      </c>
      <c r="F25" s="45" t="inlineStr">
        <is>
          <t>90 กรัม</t>
        </is>
      </c>
      <c r="G25" s="45" t="inlineStr">
        <is>
          <t>900 กรัม</t>
        </is>
      </c>
      <c r="H25" s="45" t="inlineStr">
        <is>
          <t>ไม่มีคำตอบใดถูก</t>
        </is>
      </c>
      <c r="I25" s="46" t="n">
        <v>4</v>
      </c>
      <c r="J25" s="45" t="inlineStr">
        <is>
          <t>✅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จะต้องใช้ NaCl = 9 *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46" t="n"/>
      <c r="L25" s="45" t="inlineStr">
        <is>
          <t>Tablet Manufacturing</t>
        </is>
      </c>
      <c r="M25" s="46" t="inlineStr">
        <is>
          <t>Product</t>
        </is>
      </c>
      <c r="N25" s="45" t="inlineStr">
        <is>
          <t>ข้อ 108 Pharma Plus เล่มม่วง (เฉลยข้อ ง)</t>
        </is>
      </c>
      <c r="O25" s="46" t="inlineStr">
        <is>
          <t>Mock</t>
        </is>
      </c>
      <c r="P25" s="46" t="inlineStr">
        <is>
          <t>Pharma Plus เล่มม่วง</t>
        </is>
      </c>
    </row>
    <row r="26" ht="13.2" customHeight="1" s="37">
      <c r="A26" s="46" t="n">
        <v>24</v>
      </c>
      <c r="B26" s="45" t="inlineStr">
        <is>
          <t>หลังจากบรรจุเสร็จ จะนำขวดน้ำเกลือดังกล่าวไปฆ่าเชื้อโดยผ่านเครื่องมือใด ที่อุณหภูมิในข้อใด จึงจะเหมาะสม</t>
        </is>
      </c>
      <c r="C26" s="46" t="n"/>
      <c r="D26" s="45" t="inlineStr">
        <is>
          <t>Hot air oven 160 องศาเซลเซียส นาน 3 ชั่วโมง</t>
        </is>
      </c>
      <c r="E26" s="45" t="inlineStr">
        <is>
          <t>Hot air oven 121 องศาเซลเซียส นาน 20-30 นาที</t>
        </is>
      </c>
      <c r="F26" s="45" t="inlineStr">
        <is>
          <t>Autoclave 121 องศาเซลเซียส นาน 20-30 นาที</t>
        </is>
      </c>
      <c r="G26" s="45" t="inlineStr">
        <is>
          <t>Autoclave 160 องศาเซลเซียส นาน 3 ชั่วโมง</t>
        </is>
      </c>
      <c r="H26" s="45" t="inlineStr">
        <is>
          <t>Autoclave 100 องศาเซลเซียส นาน 30 นาที</t>
        </is>
      </c>
      <c r="I26" s="46" t="n">
        <v>3</v>
      </c>
      <c r="J26" s="45" t="inlineStr">
        <is>
          <t>✅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46" t="n"/>
      <c r="L26" s="45" t="inlineStr">
        <is>
          <t>Tablet Manufacturing</t>
        </is>
      </c>
      <c r="M26" s="46" t="inlineStr">
        <is>
          <t>Product</t>
        </is>
      </c>
      <c r="N26" s="45" t="inlineStr">
        <is>
          <t>ข้อ 109 Pharma Plus เล่มม่วง (เฉลยข้อ ค)</t>
        </is>
      </c>
      <c r="O26" s="46" t="inlineStr">
        <is>
          <t>Mock</t>
        </is>
      </c>
      <c r="P26" s="46" t="inlineStr">
        <is>
          <t>Pharma Plus เล่มม่วง</t>
        </is>
      </c>
    </row>
    <row r="27" ht="13.2" customHeight="1" s="37">
      <c r="A27" s="46" t="n">
        <v>25</v>
      </c>
      <c r="B27" s="45" t="inlineStr">
        <is>
          <t>ยา ISDN เหมาะกับอาการขณะกำเริบ คือ dosage form ใด</t>
        </is>
      </c>
      <c r="C27" s="46" t="n"/>
      <c r="D27" s="45" t="inlineStr">
        <is>
          <t>Extent release</t>
        </is>
      </c>
      <c r="E27" s="45" t="inlineStr">
        <is>
          <t>Ointment</t>
        </is>
      </c>
      <c r="F27" s="45" t="inlineStr">
        <is>
          <t>Solution</t>
        </is>
      </c>
      <c r="G27" s="45" t="inlineStr">
        <is>
          <t>Sublingual tablet</t>
        </is>
      </c>
      <c r="H27" s="45" t="inlineStr">
        <is>
          <t>Transdermal</t>
        </is>
      </c>
      <c r="I27" s="46" t="n">
        <v>4</v>
      </c>
      <c r="J27" s="45" t="inlineStr">
        <is>
          <t>✅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46" t="n"/>
      <c r="L27" s="45" t="inlineStr">
        <is>
          <t>Tablet Manufacturing</t>
        </is>
      </c>
      <c r="M27" s="46" t="inlineStr">
        <is>
          <t>Product</t>
        </is>
      </c>
      <c r="N27" s="45" t="inlineStr">
        <is>
          <t>ข้อ 122 Pharma Plus เล่มม่วง (เฉลยข้อ ง)</t>
        </is>
      </c>
      <c r="O27" s="46" t="inlineStr">
        <is>
          <t>Mock</t>
        </is>
      </c>
      <c r="P27" s="46" t="inlineStr">
        <is>
          <t>Pharma Plus เล่มม่วง</t>
        </is>
      </c>
    </row>
    <row r="28" ht="13.2" customHeight="1" s="37">
      <c r="A28" s="46" t="n">
        <v>26</v>
      </c>
      <c r="B28" s="45" t="inlineStr">
        <is>
          <t>ยาที่ผู้ป่วยได้รับก่อนมารพ. คือ nifedipine SR เป็นการปลดยารูปแบบใด</t>
        </is>
      </c>
      <c r="C28" s="46" t="n"/>
      <c r="D28" s="45" t="inlineStr">
        <is>
          <t>ปลดปล่อยยาทันทีหลังรับประทานอาหาร</t>
        </is>
      </c>
      <c r="E28" s="45" t="inlineStr">
        <is>
          <t>ปลดปล่อยยาอย่างเร็ว</t>
        </is>
      </c>
      <c r="F28" s="45" t="inlineStr">
        <is>
          <t>ปลดปล่อยยาในปริมาณที่แน่นอน</t>
        </is>
      </c>
      <c r="G28" s="45" t="inlineStr">
        <is>
          <t>ค่อย ๆ ปล่อยยาออกมาอย่าง ช้า ๆ</t>
        </is>
      </c>
      <c r="H28" s="45" t="inlineStr">
        <is>
          <t>ค่อย ๆปลดปล่อยยาออกมาในปริมาณน้อย</t>
        </is>
      </c>
      <c r="I28" s="46" t="n">
        <v>4</v>
      </c>
      <c r="J28" s="45" t="inlineStr">
        <is>
          <t>✅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46" t="n"/>
      <c r="L28" s="45" t="inlineStr">
        <is>
          <t>Tablet Manufacturing</t>
        </is>
      </c>
      <c r="M28" s="46" t="inlineStr">
        <is>
          <t>Product</t>
        </is>
      </c>
      <c r="N28" s="45" t="inlineStr">
        <is>
          <t>ข้อ 123 Pharma Plus เล่มม่วง (เฉลยข้อ ง)</t>
        </is>
      </c>
      <c r="O28" s="46" t="inlineStr">
        <is>
          <t>Mock</t>
        </is>
      </c>
      <c r="P28" s="46" t="inlineStr">
        <is>
          <t>Pharma Plus เล่มม่วง</t>
        </is>
      </c>
    </row>
    <row r="29" ht="13.2" customHeight="1" s="37">
      <c r="A29" s="46" t="n">
        <v>27</v>
      </c>
      <c r="B29" s="45" t="inlineStr">
        <is>
          <t>ข้อมูลข้อมีความจำเป็นน้อยที่สุดในการนำพริกมาบรรจุในแคปซูลเพื่อรับประทาน</t>
        </is>
      </c>
      <c r="C29" s="46" t="n"/>
      <c r="D29" s="45" t="inlineStr">
        <is>
          <t>Solubility</t>
        </is>
      </c>
      <c r="E29" s="45" t="inlineStr">
        <is>
          <t>Angle of repose</t>
        </is>
      </c>
      <c r="F29" s="45" t="inlineStr">
        <is>
          <t>Capsule's size and volume</t>
        </is>
      </c>
      <c r="G29" s="45" t="inlineStr">
        <is>
          <t>Tap density</t>
        </is>
      </c>
      <c r="H29" s="45" t="inlineStr">
        <is>
          <t>Therapeutic dose</t>
        </is>
      </c>
      <c r="I29" s="46" t="n">
        <v>1</v>
      </c>
      <c r="J29" s="45" t="inlineStr">
        <is>
          <t>✅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46" t="n"/>
      <c r="L29" s="45" t="inlineStr">
        <is>
          <t>Hard &amp; Soft Gelatin Capsules</t>
        </is>
      </c>
      <c r="M29" s="46" t="inlineStr">
        <is>
          <t>Product</t>
        </is>
      </c>
      <c r="N29" s="45" t="inlineStr">
        <is>
          <t>ข้อ 125 Pharma Plus เล่มม่วง (เฉลยข้อ ก)</t>
        </is>
      </c>
      <c r="O29" s="46" t="inlineStr">
        <is>
          <t>Mock</t>
        </is>
      </c>
      <c r="P29" s="46" t="inlineStr">
        <is>
          <t>Pharma Plus เล่มม่วง</t>
        </is>
      </c>
    </row>
    <row r="30" ht="13.2" customHeight="1" s="37">
      <c r="A30" s="46" t="n">
        <v>28</v>
      </c>
      <c r="B30" s="45" t="inlineStr">
        <is>
          <t>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ดังนั้นเภสัชกรต้องเตรียมยาจากยาที่มีในห้องยาลาดังกล่าวอย่างไร</t>
        </is>
      </c>
      <c r="C30" s="46" t="n"/>
      <c r="D30" s="45" t="inlineStr">
        <is>
          <t>ใช้ 25% NaHCO3 6 mL และปรับปริมาตรให้ได้ 100 mL</t>
        </is>
      </c>
      <c r="E30" s="45" t="inlineStr">
        <is>
          <t>ใช้ 25% NaHCO3 6 mL และปรับปริมาตรให้ได้ 30 mL</t>
        </is>
      </c>
      <c r="F30" s="45" t="inlineStr">
        <is>
          <t>ใช้ 25% NaHCO3 20 mL และปรับปริมาตรให้ได้ 100 mL</t>
        </is>
      </c>
      <c r="G30" s="45" t="inlineStr">
        <is>
          <t>ใช้ 25% NaHCO3 20 mL และปรับปริมาตรให้ได้ 30 mL</t>
        </is>
      </c>
      <c r="H30" s="45" t="inlineStr">
        <is>
          <t>ใช้ 25% NaHCO3 10 mL และปรับปริมาตรให้ได้ 100 mL</t>
        </is>
      </c>
      <c r="I30" s="46" t="n">
        <v>2</v>
      </c>
      <c r="J30" s="45" t="inlineStr">
        <is>
          <t>✅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จะต้องใช้ปริมาณ NaHCO3 = (5 g / 100 mL) *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46" t="n"/>
      <c r="L30" s="45" t="inlineStr">
        <is>
          <t>Tablet Manufacturing</t>
        </is>
      </c>
      <c r="M30" s="46" t="inlineStr">
        <is>
          <t>Product</t>
        </is>
      </c>
      <c r="N30" s="45" t="inlineStr">
        <is>
          <t>ข้อ 126 Pharma Plus เล่มม่วง (เฉลยข้อ ข)</t>
        </is>
      </c>
      <c r="O30" s="46" t="inlineStr">
        <is>
          <t>Mock</t>
        </is>
      </c>
      <c r="P30" s="46" t="inlineStr">
        <is>
          <t>Pharma Plus เล่มม่วง</t>
        </is>
      </c>
    </row>
    <row r="31" ht="13.2" customHeight="1" s="37">
      <c r="A31" s="46" t="n">
        <v>29</v>
      </c>
      <c r="B31" s="45" t="inlineStr">
        <is>
          <t>เมื่อเตรียมตำรับยาข้างต้นในข้อ 126 ส่วนประกอบใดไม่จำเป็นในการเตรียมยาใช้ในช่องหู</t>
        </is>
      </c>
      <c r="C31" s="46" t="n"/>
      <c r="D31" s="45" t="inlineStr">
        <is>
          <t>Antioxidant</t>
        </is>
      </c>
      <c r="E31" s="45" t="inlineStr">
        <is>
          <t>Buffering agent</t>
        </is>
      </c>
      <c r="F31" s="45" t="inlineStr">
        <is>
          <t>Structure vehicle</t>
        </is>
      </c>
      <c r="G31" s="45" t="inlineStr">
        <is>
          <t>Preservative</t>
        </is>
      </c>
      <c r="H31" s="45" t="inlineStr">
        <is>
          <t>Viscosity agent</t>
        </is>
      </c>
      <c r="I31" s="46" t="n">
        <v>2</v>
      </c>
      <c r="J31" s="45" t="inlineStr">
        <is>
          <t>✅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46" t="n"/>
      <c r="L31" s="45" t="inlineStr">
        <is>
          <t>Tablet Manufacturing</t>
        </is>
      </c>
      <c r="M31" s="46" t="inlineStr">
        <is>
          <t>Product</t>
        </is>
      </c>
      <c r="N31" s="45" t="inlineStr">
        <is>
          <t>ข้อ 127 Pharma Plus เล่มม่วง (เฉลยข้อ ข)</t>
        </is>
      </c>
      <c r="O31" s="46" t="inlineStr">
        <is>
          <t>Mock</t>
        </is>
      </c>
      <c r="P31" s="46" t="inlineStr">
        <is>
          <t>Pharma Plus เล่มม่วง</t>
        </is>
      </c>
    </row>
    <row r="32" ht="13.2" customHeight="1" s="37">
      <c r="A32" s="46" t="n">
        <v>30</v>
      </c>
      <c r="B32" s="45" t="inlineStr">
        <is>
          <t>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 0.2
ถ้าต้องการเตรียมเป็น isotonic solution ต้องใช้ปริมาณ NaCl เท่าไร</t>
        </is>
      </c>
      <c r="C32" s="46" t="n"/>
      <c r="D32" s="45" t="inlineStr">
        <is>
          <t>0.27 g</t>
        </is>
      </c>
      <c r="E32" s="45" t="inlineStr">
        <is>
          <t>0.18 g</t>
        </is>
      </c>
      <c r="F32" s="45" t="inlineStr">
        <is>
          <t>0.09 g</t>
        </is>
      </c>
      <c r="G32" s="45" t="inlineStr">
        <is>
          <t>0.04 g</t>
        </is>
      </c>
      <c r="H32" s="45" t="inlineStr">
        <is>
          <t>0.12 g</t>
        </is>
      </c>
      <c r="I32" s="46" t="n">
        <v>3</v>
      </c>
      <c r="J32" s="45" t="inlineStr">
        <is>
          <t>✅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46" t="n"/>
      <c r="L32" s="45" t="inlineStr">
        <is>
          <t>Tablet Manufacturing</t>
        </is>
      </c>
      <c r="M32" s="46" t="inlineStr">
        <is>
          <t>Product</t>
        </is>
      </c>
      <c r="N32" s="45" t="inlineStr">
        <is>
          <t>ข้อ 152 Pharma Plus เล่มม่วง (เฉลยข้อ ค)</t>
        </is>
      </c>
      <c r="O32" s="46" t="inlineStr">
        <is>
          <t>Mock</t>
        </is>
      </c>
      <c r="P32" s="46" t="inlineStr">
        <is>
          <t>Pharma Plus เล่มม่วง</t>
        </is>
      </c>
    </row>
    <row r="33" ht="13.2" customHeight="1" s="37">
      <c r="A33" s="46" t="n">
        <v>31</v>
      </c>
      <c r="B33" s="45" t="inlineStr">
        <is>
          <t>ข้อใดไม่เกี่ยวกับการควบคุมคุณภาพ ยาเม็ด norfloxacin</t>
        </is>
      </c>
      <c r="C33" s="46" t="n"/>
      <c r="D33" s="45" t="inlineStr">
        <is>
          <t>Content Uniformity</t>
        </is>
      </c>
      <c r="E33" s="45" t="inlineStr">
        <is>
          <t>Dissolution test</t>
        </is>
      </c>
      <c r="F33" s="45" t="inlineStr">
        <is>
          <t>Disintegration</t>
        </is>
      </c>
      <c r="G33" s="45" t="inlineStr">
        <is>
          <t>Weight Variation</t>
        </is>
      </c>
      <c r="H33" s="45" t="inlineStr">
        <is>
          <t>Limulus Amoebocyte Lysate test</t>
        </is>
      </c>
      <c r="I33" s="46" t="n">
        <v>5</v>
      </c>
      <c r="J33" s="45" t="inlineStr">
        <is>
          <t>✅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46" t="n"/>
      <c r="L33" s="45" t="inlineStr">
        <is>
          <t>Tablet Manufacturing</t>
        </is>
      </c>
      <c r="M33" s="46" t="inlineStr">
        <is>
          <t>Product</t>
        </is>
      </c>
      <c r="N33" s="45" t="inlineStr">
        <is>
          <t>ข้อ 153 Pharma Plus เล่มม่วง (เฉลยข้อ จ)</t>
        </is>
      </c>
      <c r="O33" s="46" t="inlineStr">
        <is>
          <t>Mock</t>
        </is>
      </c>
      <c r="P33" s="46" t="inlineStr">
        <is>
          <t>Pharma Plus เล่มม่วง</t>
        </is>
      </c>
    </row>
    <row r="34" ht="13.2" customHeight="1" s="37">
      <c r="A34" s="46" t="n">
        <v>32</v>
      </c>
      <c r="B34" s="45" t="inlineStr">
        <is>
          <t>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t>
        </is>
      </c>
      <c r="C34" s="46" t="n"/>
      <c r="D34" s="45" t="inlineStr">
        <is>
          <t>Sodium alginate, bentonite, methylcellulose</t>
        </is>
      </c>
      <c r="E34" s="45" t="inlineStr">
        <is>
          <t>Tragacanth, carbomer, methylcellulose</t>
        </is>
      </c>
      <c r="F34" s="45" t="inlineStr">
        <is>
          <t>Carbomer, methylcellulose, hydroxypropyl cellulose</t>
        </is>
      </c>
      <c r="G34" s="45" t="inlineStr">
        <is>
          <t>Pectin, guar gum, carbomer</t>
        </is>
      </c>
      <c r="H34" s="45" t="inlineStr">
        <is>
          <t>Tragacanth, carboxymethylcellulose, carbomer</t>
        </is>
      </c>
      <c r="I34" s="46" t="n">
        <v>5</v>
      </c>
      <c r="J34" s="45" t="inlineStr">
        <is>
          <t>✅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46" t="n"/>
      <c r="L34" s="45" t="inlineStr">
        <is>
          <t>Tablet Manufacturing</t>
        </is>
      </c>
      <c r="M34" s="46" t="inlineStr">
        <is>
          <t>Product</t>
        </is>
      </c>
      <c r="N34" s="45" t="inlineStr">
        <is>
          <t>ข้อ 155 Pharma Plus เล่มม่วง (เฉลยข้อ จ)</t>
        </is>
      </c>
      <c r="O34" s="46" t="inlineStr">
        <is>
          <t>Mock</t>
        </is>
      </c>
      <c r="P34" s="46" t="inlineStr">
        <is>
          <t>Pharma Plus เล่มม่วง</t>
        </is>
      </c>
    </row>
    <row r="35" ht="13.2" customHeight="1" s="37">
      <c r="A35" s="46" t="n">
        <v>33</v>
      </c>
      <c r="B35" s="45" t="inlineStr">
        <is>
          <t>สาร polymer ตัวใดนิยมใช้ในการทำ film coat tablet</t>
        </is>
      </c>
      <c r="C35" s="46" t="n"/>
      <c r="D35" s="45" t="inlineStr">
        <is>
          <t>HPMC</t>
        </is>
      </c>
      <c r="E35" s="45" t="inlineStr">
        <is>
          <t>CMC</t>
        </is>
      </c>
      <c r="F35" s="45" t="inlineStr">
        <is>
          <t>Polymeric methacrylates</t>
        </is>
      </c>
      <c r="G35" s="45" t="inlineStr">
        <is>
          <t>Carbopol</t>
        </is>
      </c>
      <c r="H35" s="45" t="inlineStr">
        <is>
          <t>Veegum</t>
        </is>
      </c>
      <c r="I35" s="46" t="n">
        <v>1</v>
      </c>
      <c r="J35" s="45" t="inlineStr">
        <is>
          <t>✅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46" t="n"/>
      <c r="L35" s="45" t="inlineStr">
        <is>
          <t>Tablet Coating</t>
        </is>
      </c>
      <c r="M35" s="46" t="inlineStr">
        <is>
          <t>Product</t>
        </is>
      </c>
      <c r="N35" s="45" t="inlineStr">
        <is>
          <t>ข้อ 163 Pharma Plus เล่มม่วง (เฉลยข้อ ก)</t>
        </is>
      </c>
      <c r="O35" s="46" t="inlineStr">
        <is>
          <t>Mock</t>
        </is>
      </c>
      <c r="P35" s="46" t="inlineStr">
        <is>
          <t>Pharma Plus เล่มม่วง</t>
        </is>
      </c>
    </row>
    <row r="36" ht="13.2" customHeight="1" s="37">
      <c r="A36" s="46" t="n">
        <v>34</v>
      </c>
      <c r="B36" s="45" t="inlineStr">
        <is>
          <t>ข้อใดกล่าวผิดเกี่ยวกับยารูปแบบเม็ด</t>
        </is>
      </c>
      <c r="C36" s="46" t="n"/>
      <c r="D36" s="45" t="inlineStr">
        <is>
          <t>การเตรียมยา solution ทำได้โดยการใช้ตัวทำละลายร่วมที่เป็น organic solvent เพื่อช่วยละลาย</t>
        </is>
      </c>
      <c r="E36" s="45" t="inlineStr">
        <is>
          <t>ยารูปแบบ solution มักมีค่าความต้านทานการไหลและแรงตึงผิวภายในสารละลายใกล้เคียงกับน้ำ</t>
        </is>
      </c>
      <c r="F36" s="45" t="inlineStr">
        <is>
          <t>Suspension ใช้เป็นยาฉีดเข้าหลอดเลือดได้ ถ้าขนาดอนุภาคเล็กมากๆ</t>
        </is>
      </c>
      <c r="G36" s="45" t="inlineStr">
        <is>
          <t>Emulsion ใช้เป็นอาหารทางหลอดเลือดดำได้แต่ควรเป็นการเตรียมใหม่ๆ</t>
        </is>
      </c>
      <c r="H36" s="45" t="inlineStr">
        <is>
          <t>การลดความเจ็บปวดเมื่อฉีดทำได้โดยเติมสารบางชนิดเช่น buffer</t>
        </is>
      </c>
      <c r="I36" s="46" t="n">
        <v>1</v>
      </c>
      <c r="J36" s="45" t="inlineStr">
        <is>
          <t>✅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46" t="n"/>
      <c r="L36" s="45" t="inlineStr">
        <is>
          <t>Tablet Manufacturing</t>
        </is>
      </c>
      <c r="M36" s="46" t="inlineStr">
        <is>
          <t>Product</t>
        </is>
      </c>
      <c r="N36" s="45" t="inlineStr">
        <is>
          <t>ข้อ 164 Pharma Plus เล่มม่วง (เฉลยข้อ ไมมีคำตอบ)</t>
        </is>
      </c>
      <c r="O36" s="46" t="inlineStr">
        <is>
          <t>Mock</t>
        </is>
      </c>
      <c r="P36" s="46" t="inlineStr">
        <is>
          <t>Pharma Plus เล่มม่วง</t>
        </is>
      </c>
    </row>
    <row r="37" ht="13.2" customHeight="1" s="37">
      <c r="A37" s="46" t="n">
        <v>35</v>
      </c>
      <c r="B37" s="45" t="inlineStr">
        <is>
          <t>ข้อใดถูกต้องที่สุดเกี่ยวกับ tonicity ของยาฉีด</t>
        </is>
      </c>
      <c r="C37" s="46" t="n"/>
      <c r="D37" s="45" t="inlineStr">
        <is>
          <t>จัดเป็น colligative property</t>
        </is>
      </c>
      <c r="E37" s="45" t="inlineStr">
        <is>
          <t>สามารถปรับได้โดยเติมสารบางชนิด เช่น phosphate acetate ซึ่งนิยมมาก</t>
        </is>
      </c>
      <c r="F37" s="45" t="inlineStr">
        <is>
          <t>การฉีด hypertonic solution ก่อให้เกิด cell lysis ได้</t>
        </is>
      </c>
      <c r="G37" s="45" t="inlineStr">
        <is>
          <t>การฉีดยา isotonic ต่อระบบเลือด มักเป็น isotonic ต่อเนื้อเยื่ออื่นด้วย</t>
        </is>
      </c>
      <c r="H37" s="45" t="inlineStr">
        <is>
          <t>Normal saline เป็นทั้ง isotonic และ iso-osmotic</t>
        </is>
      </c>
      <c r="I37" s="46" t="n">
        <v>5</v>
      </c>
      <c r="J37" s="45" t="inlineStr">
        <is>
          <t>✅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46" t="n"/>
      <c r="L37" s="45" t="inlineStr">
        <is>
          <t>Tablet Manufacturing</t>
        </is>
      </c>
      <c r="M37" s="46" t="inlineStr">
        <is>
          <t>Product</t>
        </is>
      </c>
      <c r="N37" s="45" t="inlineStr">
        <is>
          <t>ข้อ 165 Pharma Plus เล่มม่วง (เฉลยข้อ จ)</t>
        </is>
      </c>
      <c r="O37" s="46" t="inlineStr">
        <is>
          <t>Mock</t>
        </is>
      </c>
      <c r="P37" s="46" t="inlineStr">
        <is>
          <t>Pharma Plus เล่มม่วง</t>
        </is>
      </c>
    </row>
    <row r="38" ht="13.2" customHeight="1" s="37">
      <c r="A38" s="46" t="n">
        <v>36</v>
      </c>
      <c r="B38" s="45" t="inlineStr">
        <is>
          <t>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tetracycline 250 mg</t>
        </is>
      </c>
      <c r="C38" s="46" t="n"/>
      <c r="D38" s="45" t="inlineStr">
        <is>
          <t>Spray dried lactose</t>
        </is>
      </c>
      <c r="E38" s="45" t="inlineStr">
        <is>
          <t>Microcrystalline cellulose</t>
        </is>
      </c>
      <c r="F38" s="45" t="inlineStr">
        <is>
          <t>Tapioca starch</t>
        </is>
      </c>
      <c r="G38" s="45" t="inlineStr">
        <is>
          <t>Dibasic calcium phosphate</t>
        </is>
      </c>
      <c r="H38" s="45" t="inlineStr">
        <is>
          <t>Mannitol</t>
        </is>
      </c>
      <c r="I38" s="46" t="n">
        <v>1</v>
      </c>
      <c r="J38" s="45" t="inlineStr">
        <is>
          <t>✅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46" t="n"/>
      <c r="L38" s="45" t="inlineStr">
        <is>
          <t>Hard &amp; Soft Gelatin Capsules</t>
        </is>
      </c>
      <c r="M38" s="46" t="inlineStr">
        <is>
          <t>Product</t>
        </is>
      </c>
      <c r="N38" s="45" t="inlineStr">
        <is>
          <t>ข้อ 166 Pharma Plus เล่มม่วง (เฉลยข้อ ก)</t>
        </is>
      </c>
      <c r="O38" s="46" t="inlineStr">
        <is>
          <t>Mock</t>
        </is>
      </c>
      <c r="P38" s="46" t="inlineStr">
        <is>
          <t>Pharma Plus เล่มม่วง</t>
        </is>
      </c>
    </row>
    <row r="39" ht="13.2" customHeight="1" s="37">
      <c r="A39" s="46" t="n">
        <v>37</v>
      </c>
      <c r="B39" s="45" t="inlineStr">
        <is>
          <t>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ควรมีคุณสมบัติที่สำคัญดังต่อไปนี้ ยกเว้น</t>
        </is>
      </c>
      <c r="C39" s="46" t="n"/>
      <c r="D39" s="45" t="inlineStr">
        <is>
          <t>ผงยามีการกระจายขนาดอนุภาคในช่วงแคบ</t>
        </is>
      </c>
      <c r="E39" s="45" t="inlineStr">
        <is>
          <t>ผงยามีค่า angle of repose ต่ำ</t>
        </is>
      </c>
      <c r="F39" s="45" t="inlineStr">
        <is>
          <t>สารเจือจางมีความหนาแน่นใกล้เคียงตัวยาสำคัญ</t>
        </is>
      </c>
      <c r="G39" s="45" t="inlineStr">
        <is>
          <t>ปริมาณของตัวยาและสารช่วยรวมกัน ควรบรรจุขอบ body ของเปลือก capsule ได้เต็มหรือเกือบเต็ม</t>
        </is>
      </c>
      <c r="H39" s="45" t="inlineStr">
        <is>
          <t>สารช่วยการไหลที่ใช้มีคุณสมบัติเป็น true lubricant มากกว่า glidant</t>
        </is>
      </c>
      <c r="I39" s="46" t="n">
        <v>5</v>
      </c>
      <c r="J39" s="45" t="inlineStr">
        <is>
          <t>✅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46" t="n"/>
      <c r="L39" s="45" t="inlineStr">
        <is>
          <t>Hard &amp; Soft Gelatin Capsules</t>
        </is>
      </c>
      <c r="M39" s="46" t="inlineStr">
        <is>
          <t>Product</t>
        </is>
      </c>
      <c r="N39" s="45" t="inlineStr">
        <is>
          <t>ข้อ 167 Pharma Plus เล่มม่วง (เฉลยข้อ จ)</t>
        </is>
      </c>
      <c r="O39" s="46" t="inlineStr">
        <is>
          <t>Mock</t>
        </is>
      </c>
      <c r="P39" s="46" t="inlineStr">
        <is>
          <t>Pharma Plus เล่มม่วง</t>
        </is>
      </c>
    </row>
    <row r="40" ht="13.2" customHeight="1" s="37">
      <c r="A40" s="46" t="n">
        <v>38</v>
      </c>
      <c r="B40" s="45" t="inlineStr">
        <is>
          <t>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t>
        </is>
      </c>
      <c r="C40" s="46" t="n"/>
      <c r="D40" s="45" t="inlineStr">
        <is>
          <t>ผ่านการทดสอบใน S1 ทั้งหกเม็ด</t>
        </is>
      </c>
      <c r="E40" s="45" t="inlineStr">
        <is>
          <t>มี 3 เม็ดไม่ผ่านการทดสอบใน S1</t>
        </is>
      </c>
      <c r="F40" s="45" t="inlineStr">
        <is>
          <t>มี 1 เม็ดไม่ผ่านการทดสอบใน S1</t>
        </is>
      </c>
      <c r="G40" s="45" t="inlineStr">
        <is>
          <t>ต้องทำการทดสอบเพิ่มอีก 12 เม็ด</t>
        </is>
      </c>
      <c r="H40" s="45" t="inlineStr">
        <is>
          <t>มี 4 เม็ดไม่ผ่านการทดสอบ</t>
        </is>
      </c>
      <c r="I40" s="46" t="n">
        <v>1</v>
      </c>
      <c r="J40" s="45" t="inlineStr">
        <is>
          <t>✅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46" t="n"/>
      <c r="L40" s="45" t="inlineStr">
        <is>
          <t>Tablet Manufacturing</t>
        </is>
      </c>
      <c r="M40" s="46" t="inlineStr">
        <is>
          <t>Product</t>
        </is>
      </c>
      <c r="N40" s="45" t="inlineStr">
        <is>
          <t>ข้อ 180 Pharma Plus เล่มม่วง (เฉลยข้อ )</t>
        </is>
      </c>
      <c r="O40" s="46" t="inlineStr">
        <is>
          <t>Mock</t>
        </is>
      </c>
      <c r="P40" s="46" t="inlineStr">
        <is>
          <t>Pharma Plus เล่มม่วง</t>
        </is>
      </c>
    </row>
    <row r="41" ht="13.2" customHeight="1" s="37">
      <c r="A41" s="46" t="n">
        <v>39</v>
      </c>
      <c r="B41" s="45" t="inlineStr">
        <is>
          <t>ยาของบริษัทใดมีความสามารถในการละลายน้ำที่ดีกว่ากัน</t>
        </is>
      </c>
      <c r="C41" s="46" t="n"/>
      <c r="D41" s="45" t="inlineStr">
        <is>
          <t>ยาของบริษัท A ละลายน้ำได้ดีกว่า บริษัท B เนื่องจากมี lactose ทำให้ละลายน้ำได้ดีกว่า</t>
        </is>
      </c>
      <c r="E41" s="45" t="inlineStr">
        <is>
          <t>ยาของบริษัท A ละลายน้ำได้ดีกว่า บริษัท B เนื่องจากมีปริมาณ magnesium stearate มากกว่า</t>
        </is>
      </c>
      <c r="F41" s="45" t="inlineStr">
        <is>
          <t>ยาของบริษัท B ละลายน้ำได้ดีกว่า บริษัท A เนื่องจากมี microcrystalline cellulose ช่วยในการละลาย</t>
        </is>
      </c>
      <c r="G41" s="45" t="inlineStr">
        <is>
          <t>ยาของบริษัท B ละลายน้ำได้ดีกว่า บริษัท A เนื่องจากมี sodium lauryl sulfate เป็น wetting agent</t>
        </is>
      </c>
      <c r="H41" s="45" t="inlineStr">
        <is>
          <t>ยาของบริษัท A และ B ละลายน้ำได้เท่ากันเนื่องจากยา allopurinol มีคุณสมบัติละลายน้ำได้น้อยอยู่แล้ว</t>
        </is>
      </c>
      <c r="I41" s="46" t="n">
        <v>1</v>
      </c>
      <c r="J41" s="45" t="inlineStr">
        <is>
          <t>✅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46" t="n"/>
      <c r="L41" s="45" t="inlineStr">
        <is>
          <t>Tablet Manufacturing</t>
        </is>
      </c>
      <c r="M41" s="46" t="inlineStr">
        <is>
          <t>Product</t>
        </is>
      </c>
      <c r="N41" s="45" t="inlineStr">
        <is>
          <t>ข้อ 181 Pharma Plus เล่มม่วง (เฉลยข้อ )</t>
        </is>
      </c>
      <c r="O41" s="46" t="inlineStr">
        <is>
          <t>Mock</t>
        </is>
      </c>
      <c r="P41" s="46" t="inlineStr">
        <is>
          <t>Pharma Plus เล่มม่วง</t>
        </is>
      </c>
    </row>
    <row r="42" ht="13.2" customHeight="1" s="37">
      <c r="A42" s="46" t="n">
        <v>40</v>
      </c>
      <c r="B42" s="45" t="inlineStr">
        <is>
          <t>ยาเม็ดคุมกำเนิด ไม่ต้องทำการทดสอบตัวข้อใด (ตามมาตรฐานของ USP)</t>
        </is>
      </c>
      <c r="C42" s="46" t="n"/>
      <c r="D42" s="45" t="inlineStr">
        <is>
          <t>Dissolution</t>
        </is>
      </c>
      <c r="E42" s="45" t="inlineStr">
        <is>
          <t>Hardness</t>
        </is>
      </c>
      <c r="F42" s="45" t="inlineStr">
        <is>
          <t>Disintegration</t>
        </is>
      </c>
      <c r="G42" s="45" t="inlineStr">
        <is>
          <t>Content of Uniformity</t>
        </is>
      </c>
      <c r="H42" s="45" t="inlineStr">
        <is>
          <t>Percent labeled amount</t>
        </is>
      </c>
      <c r="I42" s="46" t="n">
        <v>2</v>
      </c>
      <c r="J42" s="45" t="inlineStr">
        <is>
          <t>✅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46" t="n"/>
      <c r="L42" s="45" t="inlineStr">
        <is>
          <t>Tablet Manufacturing</t>
        </is>
      </c>
      <c r="M42" s="46" t="inlineStr">
        <is>
          <t>Product</t>
        </is>
      </c>
      <c r="N42" s="45" t="inlineStr">
        <is>
          <t>ข้อ 182 Pharma Plus เล่มม่วง (เฉลยข้อ ข)</t>
        </is>
      </c>
      <c r="O42" s="46" t="inlineStr">
        <is>
          <t>Mock</t>
        </is>
      </c>
      <c r="P42" s="46" t="inlineStr">
        <is>
          <t>Pharma Plus เล่มม่วง</t>
        </is>
      </c>
    </row>
    <row r="43" ht="13.2" customHeight="1" s="37">
      <c r="A43" s="46" t="n">
        <v>41</v>
      </c>
      <c r="B43" s="45" t="inlineStr">
        <is>
          <t>ข้อใดผิดเกี่ยวกับการเตรียมยาเม็ดด้วยวิธีตอกอัดโดยตรง</t>
        </is>
      </c>
      <c r="C43" s="46" t="n"/>
      <c r="D43" s="45" t="inlineStr">
        <is>
          <t>เป็นวิธีที่สะดวกรวดเร็ว</t>
        </is>
      </c>
      <c r="E43" s="45" t="inlineStr">
        <is>
          <t>ไม่ใช้น้ำและความร้อนในการตอก</t>
        </is>
      </c>
      <c r="F43" s="45" t="inlineStr">
        <is>
          <t>ยาเม็ดที่ได้มีการกระจายของสีที่สม่ำเสมอกว่าการทำแกรนูลเปียก</t>
        </is>
      </c>
      <c r="G43" s="45" t="inlineStr">
        <is>
          <t>ยาที่ตอกควรมีคุณสมบัติในการไหลและยึดเกาะกันได้ดี</t>
        </is>
      </c>
      <c r="H43" s="45" t="inlineStr">
        <is>
          <t>สารช่วยควรไหลได้ดีและตอกอัดได้</t>
        </is>
      </c>
      <c r="I43" s="46" t="n">
        <v>3</v>
      </c>
      <c r="J43" s="45" t="inlineStr">
        <is>
          <t>✅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46" t="n"/>
      <c r="L43" s="45" t="inlineStr">
        <is>
          <t>Tablet Manufacturing</t>
        </is>
      </c>
      <c r="M43" s="46" t="inlineStr">
        <is>
          <t>Product</t>
        </is>
      </c>
      <c r="N43" s="45" t="inlineStr">
        <is>
          <t>ข้อ 183 Pharma Plus เล่มม่วง (เฉลยข้อ ค)</t>
        </is>
      </c>
      <c r="O43" s="46" t="inlineStr">
        <is>
          <t>Mock</t>
        </is>
      </c>
      <c r="P43" s="46" t="inlineStr">
        <is>
          <t>Pharma Plus เล่มม่วง</t>
        </is>
      </c>
    </row>
    <row r="44" ht="13.2" customHeight="1" s="37">
      <c r="A44" s="46" t="n">
        <v>42</v>
      </c>
      <c r="B44" s="45" t="inlineStr">
        <is>
          <t>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t>
        </is>
      </c>
      <c r="C44" s="46" t="n"/>
      <c r="D44" s="45" t="inlineStr">
        <is>
          <t>Cosolvency</t>
        </is>
      </c>
      <c r="E44" s="45" t="inlineStr">
        <is>
          <t>Complexation</t>
        </is>
      </c>
      <c r="F44" s="45" t="inlineStr">
        <is>
          <t>Micelle</t>
        </is>
      </c>
      <c r="G44" s="45" t="inlineStr">
        <is>
          <t>Liposome</t>
        </is>
      </c>
      <c r="H44" s="45" t="inlineStr">
        <is>
          <t>Crystallization</t>
        </is>
      </c>
      <c r="I44" s="46" t="n">
        <v>1</v>
      </c>
      <c r="J44" s="45"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46" t="n"/>
      <c r="L44" s="45" t="inlineStr">
        <is>
          <t>Tablet Manufacturing</t>
        </is>
      </c>
      <c r="M44" s="46" t="inlineStr">
        <is>
          <t>Product</t>
        </is>
      </c>
      <c r="N44" s="45" t="inlineStr">
        <is>
          <t>ข้อ 184 Pharma Plus เล่มม่วง (เฉลยข้อ ก)</t>
        </is>
      </c>
      <c r="O44" s="46" t="inlineStr">
        <is>
          <t>Mock</t>
        </is>
      </c>
      <c r="P44" s="46" t="inlineStr">
        <is>
          <t>Pharma Plus เล่มม่วง</t>
        </is>
      </c>
    </row>
    <row r="45" ht="13.2" customHeight="1" s="37">
      <c r="A45" s="46" t="n">
        <v>43</v>
      </c>
      <c r="B45" s="45" t="inlineStr">
        <is>
          <t>ต้องการเตรียมยา Topical Clotrimazole มีส่วนประกอบในตำรับ ได้แก่ Ethyl alcohol, propylene glycol, PEG400, purified water, Lavender oil ใช้วิธีใดในการทำให้เป็นสารละลายใส</t>
        </is>
      </c>
      <c r="C45" s="46" t="n"/>
      <c r="D45" s="45" t="inlineStr">
        <is>
          <t>Cosolvency</t>
        </is>
      </c>
      <c r="E45" s="45" t="inlineStr">
        <is>
          <t>pH adjustment</t>
        </is>
      </c>
      <c r="F45" s="45" t="inlineStr">
        <is>
          <t>Complexation</t>
        </is>
      </c>
      <c r="G45" s="45" t="inlineStr">
        <is>
          <t>Prodrug formation</t>
        </is>
      </c>
      <c r="H45" s="45" t="inlineStr">
        <is>
          <t>Micelle solubilization</t>
        </is>
      </c>
      <c r="I45" s="46" t="n">
        <v>1</v>
      </c>
      <c r="J45" s="45"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46" t="n"/>
      <c r="L45" s="45" t="inlineStr">
        <is>
          <t>Tablet Manufacturing</t>
        </is>
      </c>
      <c r="M45" s="46" t="inlineStr">
        <is>
          <t>Product</t>
        </is>
      </c>
      <c r="N45" s="45" t="inlineStr">
        <is>
          <t>ข้อ 185 Pharma Plus เล่มม่วง (เฉลยข้อ ก)</t>
        </is>
      </c>
      <c r="O45" s="46" t="inlineStr">
        <is>
          <t>Mock</t>
        </is>
      </c>
      <c r="P45" s="46" t="inlineStr">
        <is>
          <t>Pharma Plus เล่มม่วง</t>
        </is>
      </c>
    </row>
    <row r="46" ht="13.2" customHeight="1" s="37">
      <c r="A46" s="46" t="n">
        <v>44</v>
      </c>
      <c r="B46" s="45" t="inlineStr">
        <is>
          <t>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t>
        </is>
      </c>
      <c r="C46" s="46" t="n"/>
      <c r="D46" s="45" t="inlineStr">
        <is>
          <t>Caking</t>
        </is>
      </c>
      <c r="E46" s="45" t="inlineStr">
        <is>
          <t>Cracking</t>
        </is>
      </c>
      <c r="F46" s="45" t="inlineStr">
        <is>
          <t>Bleeding</t>
        </is>
      </c>
      <c r="G46" s="45" t="inlineStr">
        <is>
          <t>Creaming</t>
        </is>
      </c>
      <c r="H46" s="45" t="inlineStr">
        <is>
          <t>Phase inversion</t>
        </is>
      </c>
      <c r="I46" s="46" t="n">
        <v>2</v>
      </c>
      <c r="J46" s="45" t="inlineStr">
        <is>
          <t>✅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46" t="n"/>
      <c r="L46" s="45" t="inlineStr">
        <is>
          <t>Tablet Manufacturing</t>
        </is>
      </c>
      <c r="M46" s="46" t="inlineStr">
        <is>
          <t>Product</t>
        </is>
      </c>
      <c r="N46" s="45" t="inlineStr">
        <is>
          <t>ข้อ 186 Pharma Plus เล่มม่วง (เฉลยข้อ ข)</t>
        </is>
      </c>
      <c r="O46" s="46" t="inlineStr">
        <is>
          <t>Mock</t>
        </is>
      </c>
      <c r="P46" s="46" t="inlineStr">
        <is>
          <t>Pharma Plus เล่มม่วง</t>
        </is>
      </c>
    </row>
    <row r="47" ht="13.2" customHeight="1" s="37">
      <c r="A47" s="46" t="n">
        <v>45</v>
      </c>
      <c r="B47" s="45" t="inlineStr">
        <is>
          <t>มีสูตรตำรับโลชั่นพริก เกิดแยกตัว เขย่าไม่กลับคืนเกิดจากสาเหตุใดได้</t>
        </is>
      </c>
      <c r="C47" s="46" t="n"/>
      <c r="D47" s="45" t="inlineStr">
        <is>
          <t>เฟสน้ำมันมีมากไป</t>
        </is>
      </c>
      <c r="E47" s="45" t="inlineStr">
        <is>
          <t>สัดส่วนระหว่างวัดภาคน้ำและน้ำมันต่างกันมาก</t>
        </is>
      </c>
      <c r="F47" s="45" t="inlineStr">
        <is>
          <t>ไม่มี emulsifier</t>
        </is>
      </c>
      <c r="G47" s="45" t="inlineStr">
        <is>
          <t>Emulsifier ไม่เพียงพอ</t>
        </is>
      </c>
      <c r="H47" s="45" t="inlineStr">
        <is>
          <t>ความหนาแน่นเฟสน้ำกับน้ำมันมีความแตกต่างกันมาก</t>
        </is>
      </c>
      <c r="I47" s="46" t="n">
        <v>4</v>
      </c>
      <c r="J47" s="45" t="inlineStr">
        <is>
          <t>✅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46" t="n"/>
      <c r="L47" s="45" t="inlineStr">
        <is>
          <t>Tablet Manufacturing</t>
        </is>
      </c>
      <c r="M47" s="46" t="inlineStr">
        <is>
          <t>Product</t>
        </is>
      </c>
      <c r="N47" s="45" t="inlineStr">
        <is>
          <t>ข้อ 187 Pharma Plus เล่มม่วง (เฉลยข้อ ง)</t>
        </is>
      </c>
      <c r="O47" s="46" t="inlineStr">
        <is>
          <t>Mock</t>
        </is>
      </c>
      <c r="P47" s="46" t="inlineStr">
        <is>
          <t>Pharma Plus เล่มม่วง</t>
        </is>
      </c>
    </row>
    <row r="48" ht="13.2" customHeight="1" s="37">
      <c r="A48" s="46" t="n">
        <v>46</v>
      </c>
      <c r="B48" s="45" t="inlineStr">
        <is>
          <t>ถ้าจะเตรียมยาเพื่อให้ไม่ผ่านกระบวนการ metabolite ที่ตับ เราควรจะเตรียมในรูปแบบใด</t>
        </is>
      </c>
      <c r="C48" s="46" t="n"/>
      <c r="D48" s="45" t="inlineStr">
        <is>
          <t>Film coated tablets</t>
        </is>
      </c>
      <c r="E48" s="45" t="inlineStr">
        <is>
          <t>Enteric coated tablets</t>
        </is>
      </c>
      <c r="F48" s="45" t="inlineStr">
        <is>
          <t>Osmotic pump tablets</t>
        </is>
      </c>
      <c r="G48" s="45" t="inlineStr">
        <is>
          <t>Matrix tablets</t>
        </is>
      </c>
      <c r="H48" s="45" t="inlineStr">
        <is>
          <t>Rectal suppositories</t>
        </is>
      </c>
      <c r="I48" s="46" t="n">
        <v>4</v>
      </c>
      <c r="J48" s="45" t="inlineStr">
        <is>
          <t>✅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46" t="n"/>
      <c r="L48" s="45" t="inlineStr">
        <is>
          <t>Tablet Manufacturing</t>
        </is>
      </c>
      <c r="M48" s="46" t="inlineStr">
        <is>
          <t>Product</t>
        </is>
      </c>
      <c r="N48" s="45" t="inlineStr">
        <is>
          <t>ข้อ 188 Pharma Plus เล่มม่วง (เฉลยข้อ ง)</t>
        </is>
      </c>
      <c r="O48" s="46" t="inlineStr">
        <is>
          <t>Mock</t>
        </is>
      </c>
      <c r="P48" s="46" t="inlineStr">
        <is>
          <t>Pharma Plus เล่มม่วง</t>
        </is>
      </c>
    </row>
    <row r="49" ht="13.2" customHeight="1" s="37">
      <c r="A49" s="46" t="n">
        <v>47</v>
      </c>
      <c r="B49" s="45" t="inlineStr">
        <is>
          <t>ระบบควบคุมการปลดปล่อยยาแบบใดสามารถหักแบ่งครึ่งเม็ดได้</t>
        </is>
      </c>
      <c r="C49" s="46" t="n"/>
      <c r="D49" s="45" t="inlineStr">
        <is>
          <t>Enteric coated</t>
        </is>
      </c>
      <c r="E49" s="45" t="inlineStr">
        <is>
          <t>Reservoir</t>
        </is>
      </c>
      <c r="F49" s="45" t="inlineStr">
        <is>
          <t>Osmotic control</t>
        </is>
      </c>
      <c r="G49" s="45" t="inlineStr">
        <is>
          <t>Matrix control</t>
        </is>
      </c>
      <c r="H49" s="45" t="inlineStr">
        <is>
          <t>Film diffuse control</t>
        </is>
      </c>
      <c r="I49" s="46" t="n">
        <v>5</v>
      </c>
      <c r="J49" s="45" t="inlineStr">
        <is>
          <t>✅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46" t="n"/>
      <c r="L49" s="45" t="inlineStr">
        <is>
          <t>Tablet Manufacturing</t>
        </is>
      </c>
      <c r="M49" s="46" t="inlineStr">
        <is>
          <t>Product</t>
        </is>
      </c>
      <c r="N49" s="45" t="inlineStr">
        <is>
          <t>ข้อ 189 Pharma Plus เล่มม่วง (เฉลยข้อ จ)</t>
        </is>
      </c>
      <c r="O49" s="46" t="inlineStr">
        <is>
          <t>Mock</t>
        </is>
      </c>
      <c r="P49" s="46" t="inlineStr">
        <is>
          <t>Pharma Plus เล่มม่วง</t>
        </is>
      </c>
    </row>
    <row r="50" ht="13.2" customHeight="1" s="37">
      <c r="A50" s="46" t="n">
        <v>48</v>
      </c>
      <c r="B50" s="45" t="inlineStr">
        <is>
          <t>TYLENOL 8 Hour has one layer that dissolves quickly for fast relief and a second time-released layer that offers continuous relief for up to 8 hours. ประกอบด้วย carnauba wax, corn starch, hydroxyethyl cellulose, hypromellose, magnesium stearate, microcrystalline cellulose, povidone, powdered cellulose, pregelatinized starch, sodium starch glycolate, titanium dioxide, triacetin.
ข้อใดต่อไปนี้ไม่ถูกต้อง</t>
        </is>
      </c>
      <c r="C50" s="46" t="n"/>
      <c r="D50" s="45" t="inlineStr">
        <is>
          <t>Titanium dioxide เป็น binder</t>
        </is>
      </c>
      <c r="E50" s="45" t="inlineStr">
        <is>
          <t>Microcrystalline cellulose เป็น filler</t>
        </is>
      </c>
      <c r="F50" s="45" t="inlineStr">
        <is>
          <t>Sodium starch glycolate เป็น superdisintegrant</t>
        </is>
      </c>
      <c r="G50" s="45" t="inlineStr">
        <is>
          <t>Magnesium stearate เป็น glidant</t>
        </is>
      </c>
      <c r="H50" s="45" t="inlineStr">
        <is>
          <t>Corn starch เป็น disintegrant</t>
        </is>
      </c>
      <c r="I50" s="46" t="n">
        <v>5</v>
      </c>
      <c r="J50" s="45" t="inlineStr">
        <is>
          <t>✅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46" t="n"/>
      <c r="L50" s="45" t="inlineStr">
        <is>
          <t>Powders &amp; Granules</t>
        </is>
      </c>
      <c r="M50" s="46" t="inlineStr">
        <is>
          <t>Product</t>
        </is>
      </c>
      <c r="N50" s="45" t="inlineStr">
        <is>
          <t>ข้อ 190 Pharma Plus เล่มม่วง (เฉลยข้อ จ)</t>
        </is>
      </c>
      <c r="O50" s="46" t="inlineStr">
        <is>
          <t>Mock</t>
        </is>
      </c>
      <c r="P50" s="46" t="inlineStr">
        <is>
          <t>Pharma Plus เล่มม่วง</t>
        </is>
      </c>
    </row>
    <row r="51" ht="13.2" customHeight="1" s="37">
      <c r="A51" s="46" t="n">
        <v>49</v>
      </c>
      <c r="B51" s="45" t="inlineStr">
        <is>
          <t>ยาทาสิว Benzoyl peroxide gel 5% มีส่วนประกอบดังนี้ Carbomer 940, Hydroxypropylmethylcellulose, Tween 20, Ethanol, Glycerin, Triethanolamine, Triclosan, Purified water
ข้อใดต่อไปนี้ถูกต้อง</t>
        </is>
      </c>
      <c r="C51" s="46" t="n"/>
      <c r="D51" s="45" t="inlineStr">
        <is>
          <t>มีสารก่อเจล 2 ชนิด</t>
        </is>
      </c>
      <c r="E51" s="45" t="inlineStr">
        <is>
          <t>Carbopol ละลายในน้ำเดือด แล้วเติมน้ำเย็นละลายทันที</t>
        </is>
      </c>
      <c r="F51" s="45" t="inlineStr">
        <is>
          <t>Triclosan ช่วยให้เจลแข็งตัวจากการปรับ pH</t>
        </is>
      </c>
      <c r="G51" s="45" t="inlineStr">
        <is>
          <t>Triethanolamine เป็น preservative ของตำรับ</t>
        </is>
      </c>
      <c r="H51" s="45" t="inlineStr">
        <is>
          <t>Carbopol ละลายได้ดีใน alcohol</t>
        </is>
      </c>
      <c r="I51" s="46" t="n">
        <v>4</v>
      </c>
      <c r="J51" s="45" t="inlineStr">
        <is>
          <t>✅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46" t="n"/>
      <c r="L51" s="45" t="inlineStr">
        <is>
          <t>Tablet Manufacturing</t>
        </is>
      </c>
      <c r="M51" s="46" t="inlineStr">
        <is>
          <t>Product</t>
        </is>
      </c>
      <c r="N51" s="45" t="inlineStr">
        <is>
          <t>ข้อ 191 Pharma Plus เล่มม่วง (เฉลยข้อ ง)</t>
        </is>
      </c>
      <c r="O51" s="46" t="inlineStr">
        <is>
          <t>Mock</t>
        </is>
      </c>
      <c r="P51" s="46" t="inlineStr">
        <is>
          <t>Pharma Plus เล่มม่วง</t>
        </is>
      </c>
    </row>
    <row r="52" ht="13.2" customHeight="1" s="37">
      <c r="A52" s="46" t="n">
        <v>50</v>
      </c>
      <c r="B52" s="45" t="inlineStr">
        <is>
          <t>โจทย์ให้สูตรตำรับของ tetracycline capsule มา ได้แก่ lactose, magnesium stearate ... (โจทย์ไม่ครบ) ตำรับ tetracycline capsule
ข้อใดถูกต้อง</t>
        </is>
      </c>
      <c r="C52" s="46" t="n"/>
      <c r="D52" s="45" t="inlineStr">
        <is>
          <t>เหมาะจะเตรียมเป็น soft gelatin capsule</t>
        </is>
      </c>
      <c r="E52" s="45" t="inlineStr">
        <is>
          <t>Capsule เบอร์ 000 เล็กสุด เบอร์ 5 ใหญ่สุด</t>
        </is>
      </c>
      <c r="F52" s="45" t="inlineStr">
        <is>
          <t>Lactose เพิ่มความหวาน</t>
        </is>
      </c>
      <c r="G52" s="45" t="inlineStr">
        <is>
          <t>Magnesium stearate เพิ่มการแตกตัว</t>
        </is>
      </c>
      <c r="H52" s="45" t="inlineStr">
        <is>
          <t>Silicon dioxide เพิ่มการไหล</t>
        </is>
      </c>
      <c r="I52" s="46" t="n">
        <v>1</v>
      </c>
      <c r="J52" s="45" t="inlineStr">
        <is>
          <t>✅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46" t="n"/>
      <c r="L52" s="45" t="inlineStr">
        <is>
          <t>Hard &amp; Soft Gelatin Capsules</t>
        </is>
      </c>
      <c r="M52" s="46" t="inlineStr">
        <is>
          <t>Product</t>
        </is>
      </c>
      <c r="N52" s="45" t="inlineStr">
        <is>
          <t>ข้อ 192 Pharma Plus เล่มม่วง (เฉลยข้อ ก)</t>
        </is>
      </c>
      <c r="O52" s="46" t="inlineStr">
        <is>
          <t>Mock</t>
        </is>
      </c>
      <c r="P52" s="46" t="inlineStr">
        <is>
          <t>Pharma Plus เล่มม่วง</t>
        </is>
      </c>
    </row>
    <row r="53" ht="13.2" customHeight="1" s="37">
      <c r="A53" s="46" t="n">
        <v>51</v>
      </c>
      <c r="B53" s="45" t="inlineStr">
        <is>
          <t>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t>
        </is>
      </c>
      <c r="C53" s="46" t="n"/>
      <c r="D53" s="45" t="inlineStr">
        <is>
          <t>Hydroxypropyl methyl cellulose</t>
        </is>
      </c>
      <c r="E53" s="45" t="inlineStr">
        <is>
          <t>Magnesium stearate</t>
        </is>
      </c>
      <c r="F53" s="45" t="inlineStr">
        <is>
          <t>Microcrystalline cellulose</t>
        </is>
      </c>
      <c r="G53" s="45" t="inlineStr">
        <is>
          <t>Colloidal silica</t>
        </is>
      </c>
      <c r="H53" s="45" t="inlineStr">
        <is>
          <t>Pre-gelatinized starch</t>
        </is>
      </c>
      <c r="I53" s="46" t="n">
        <v>5</v>
      </c>
      <c r="J53" s="45" t="inlineStr">
        <is>
          <t>✅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46" t="n"/>
      <c r="L53" s="45" t="inlineStr">
        <is>
          <t>Tablet Manufacturing</t>
        </is>
      </c>
      <c r="M53" s="46" t="inlineStr">
        <is>
          <t>Product</t>
        </is>
      </c>
      <c r="N53" s="45" t="inlineStr">
        <is>
          <t>ข้อ 193 Pharma Plus เล่มม่วง (เฉลยข้อ จ)</t>
        </is>
      </c>
      <c r="O53" s="46" t="inlineStr">
        <is>
          <t>Mock</t>
        </is>
      </c>
      <c r="P53" s="46" t="inlineStr">
        <is>
          <t>Pharma Plus เล่มม่วง</t>
        </is>
      </c>
    </row>
    <row r="54" ht="13.2" customHeight="1" s="37">
      <c r="A54" s="46" t="n">
        <v>52</v>
      </c>
      <c r="B54" s="45" t="inlineStr">
        <is>
          <t>ในการพิสูจน์ Bioequivalence ระหว่างยา 2 ตัว จะต้องคำนึงถึง parameter ใดบ้าง
ข้อใดต่อไปนี้ถูกต้อง</t>
        </is>
      </c>
      <c r="C54" s="46" t="n"/>
      <c r="D54" s="45" t="inlineStr">
        <is>
          <t>AUC0-inf และ Tmax</t>
        </is>
      </c>
      <c r="E54" s="45" t="inlineStr">
        <is>
          <t>AUC0-inf และ Cmax</t>
        </is>
      </c>
      <c r="F54" s="45" t="inlineStr">
        <is>
          <t>AUC0-inf และ Elimination half life</t>
        </is>
      </c>
      <c r="G54" s="45" t="inlineStr">
        <is>
          <t>Cmax และ Elimination half life</t>
        </is>
      </c>
      <c r="H54" s="45" t="inlineStr">
        <is>
          <t>Tmax และ Elimination half life</t>
        </is>
      </c>
      <c r="I54" s="46" t="n">
        <v>5</v>
      </c>
      <c r="J54" s="45" t="inlineStr">
        <is>
          <t>✅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46" t="n"/>
      <c r="L54" s="45" t="inlineStr">
        <is>
          <t>Tablet Manufacturing</t>
        </is>
      </c>
      <c r="M54" s="46" t="inlineStr">
        <is>
          <t>Product</t>
        </is>
      </c>
      <c r="N54" s="45" t="inlineStr">
        <is>
          <t>ข้อ 194 Pharma Plus เล่มม่วง (เฉลยข้อ จ)</t>
        </is>
      </c>
      <c r="O54" s="46" t="inlineStr">
        <is>
          <t>Mock</t>
        </is>
      </c>
      <c r="P54" s="46" t="inlineStr">
        <is>
          <t>Pharma Plus เล่มม่วง</t>
        </is>
      </c>
    </row>
    <row r="55" ht="13.2" customHeight="1" s="37">
      <c r="A55" s="46" t="n">
        <v>53</v>
      </c>
      <c r="B55" s="45" t="inlineStr">
        <is>
          <t>ผู้ป่วยชายอายุ 58 ปี มีประวัติโรคเกาต์ เบาหวาน ความดันโลหิตสูง ได้รับยาเม็ดเคลือบฟิล์มที่มีตัวยาสำคัญน้อยกว่า 25 mg ต่อเม็ด ในการควบคุมความสม่ำเสมอของตัวยาสำคัญ (Content Uniformity) กระบวนการผลิตยาเม็ดในข้อใดเหมาะสมที่สุด</t>
        </is>
      </c>
      <c r="C55" s="46" t="n"/>
      <c r="D55" s="45" t="inlineStr">
        <is>
          <t>Direct compression</t>
        </is>
      </c>
      <c r="E55" s="45" t="inlineStr">
        <is>
          <t>Extrusion and spheronization</t>
        </is>
      </c>
      <c r="F55" s="45" t="inlineStr">
        <is>
          <t>Rolling compaction</t>
        </is>
      </c>
      <c r="G55" s="45" t="inlineStr">
        <is>
          <t>Slugging</t>
        </is>
      </c>
      <c r="H55" s="45" t="inlineStr">
        <is>
          <t>Wet granulation</t>
        </is>
      </c>
      <c r="I55" s="46" t="inlineStr">
        <is>
          <t>5</t>
        </is>
      </c>
      <c r="J55" s="45" t="inlineStr">
        <is>
          <t>✅ คำตอบที่ถูกต้อง: ข้อ จ. Wet granulation
💡 Background:
ยาเม็ดที่มีปริมาณตัวยาสำคัญต่ำมาก (Low-dose drug &lt; 25 mg ต่อเม็ด) มักประสบปัญหาความสม่ำเสมอของตัวยาสำคัญ (Content Uniformity problem) เนื่องจากการกระจายตัวของผงยาไม่ทั่วถึง
🎯 ทำไมข้อนี้ถึงถูก:
การผลิตยาเม็ดที่มีตัวยาสำคัญน้อยกว่า 25 mg วิธีที่เหมาะสมที่สุดคือ Wet granulation (การทำแกรนูลแบบเปียก) เนื่องจากของเหลวตัวประสาน (Binder solution) จะช่วยกระจายอนุภาคยาขนาดเล็กให้เคลือบและยึดเกาะเข้ากับอนุภาคของสารเพิ่มปริมาณ (Diluents) ได้อย่างทั่วถึงและสม่ำเสมอ ป้องกันการแยกชั้น (Segregation) ในระหว่างการตอกเม็ด
🔍 ข้ออื่นผิดเพราะอะไร:
• ข้อ ก. Direct compression: เสี่ยงต่อการแยกชั้นของผงยา (Segregation) ส่งผลให้ความสม่ำเสมอของตัวยา (CU) ไม่ผ่านเกณฑ์
• ข้อ ข. Extrusion and spheronization: เป็นกระบวนการผลิต Pellets/Beads ในแคปซูล ไม่ใช่วิธีทั่วไปสำหรับตอกยาเม็ด
• ข้อ ค. Rolling compaction: เป็น Dry granulation เหมาะกับยาที่ไม่ทนความชื้น/ความร้อน แต่การกระจายยาขนาดยาต่ำสู้ wet granulation ไม่ได้
• ข้อ ง. Slugging: เป็น Dry granulation แบบดั้งเดิมที่ควบคุมความสม่ำเสมอของขนาดยาต่ำได้ยาก
📖 Guideline อ้างอิง:
Aulton's Pharmaceutics: The Design and Manufacture of Medicines &amp; USP &lt;905&gt; Uniformity of Dosage Units
📌 จุดจำก่อนสอบ:
ยาขนาดยาต่ำ (&lt; 25 mg หรือ &lt; 25% w/w) ต้องเน้น Content Uniformity -&gt; วิธีที่ดีที่สุดคือ Wet granulation เพื่อป้องกัน Segregation</t>
        </is>
      </c>
      <c r="K55" s="46" t="n"/>
      <c r="L55" s="45" t="inlineStr">
        <is>
          <t>Tablet Manufacturing</t>
        </is>
      </c>
      <c r="M55" s="46" t="inlineStr">
        <is>
          <t>Product</t>
        </is>
      </c>
      <c r="N55" s="45" t="inlineStr">
        <is>
          <t>Mock PLE-CC 1 ข้อ 6</t>
        </is>
      </c>
      <c r="O55" s="46" t="inlineStr">
        <is>
          <t>Mock</t>
        </is>
      </c>
      <c r="P55" s="46" t="inlineStr">
        <is>
          <t>Mock RxCU83</t>
        </is>
      </c>
    </row>
    <row r="56" ht="13.2" customHeight="1" s="37">
      <c r="A56" s="46" t="n">
        <v>54</v>
      </c>
      <c r="B56" s="45" t="inlineStr">
        <is>
          <t>ข้อใดคือเหตุผลสำคัญที่สุดในการเลือกผลิตยา Ramipril ในรูปแบบแคปซูลเจลาตินแข็งแทนรูปแบบยาเม็ดทั่วไป</t>
        </is>
      </c>
      <c r="C56" s="46" t="n"/>
      <c r="D56" s="45" t="inlineStr">
        <is>
          <t>ป้องกันแสง</t>
        </is>
      </c>
      <c r="E56" s="45" t="inlineStr">
        <is>
          <t>ป้องกันความชื้น</t>
        </is>
      </c>
      <c r="F56" s="45" t="inlineStr">
        <is>
          <t>ลดความแปรปรวนของอัตราการละลาย</t>
        </is>
      </c>
      <c r="G56" s="45" t="inlineStr">
        <is>
          <t>แก้ปัญหาผงยาตอกอัดไม่ดี</t>
        </is>
      </c>
      <c r="H56" s="45" t="inlineStr">
        <is>
          <t>เพิ่มการออกฤทธิ์เนิ่นโดยไม่ต้องเคลือบ</t>
        </is>
      </c>
      <c r="I56" s="46" t="inlineStr">
        <is>
          <t>2</t>
        </is>
      </c>
      <c r="J56" s="45" t="inlineStr">
        <is>
          <t>✅ คำตอบที่ถูกต้อง: ข้อ ข. ป้องกันความชื้น
💡 Background:
ยา Ramipril เป็นยากลุ่ม ACE inhibitors ที่มีหมู่ Ester ซึ่งไวต่อการสลายตัวด้วยปฏิกิริยา Hydrolysis เมื่อสัมผัสกับน้ำหรือความชื้นในบรรยากาศ กลายเป็น Ramiprilat และเกิดปฏิกิริยา Condensation ภายในโมเลกุลเป็นสารอนุพันธ์ Diketopiperazine (DKP)
🎯 ทำไมข้อนี้ถึงถูก:
การพัฒนาสูตรยา Ramipril ให้อยู่ในรูปแคปซูลหรือบรรจุในแผงกันชื้นสูง (เช่น Alu-Alu) มีวัตถุประสงค์หลักเพื่อป้องกันความชื้นและหลีกเลี่ยงกระบวนการตอกอัดยาเม็ดที่ต้องใช้แรงดันและความร้อน ซึ่งเป็นตัวเร่งการเสื่อมสลายของยา
🔍 ข้ออื่นผิดเพราะอะไร:
• ข้อ ก. ป้องกันแสง: แม้แสงอาจมีผล แต่ความชื้นคือปัจจัยวิกฤตอันดับ 1 ในการเกิด Hydrolysis/Diketopiperazine degradation
• ข้อ ค. ลดความแปรปรวนของอัตราการละลาย: แคปซูลไม่ได้มีจุดประสงค์หลักในการลดความแปรปรวนของการละลาย
• ข้อ ง. แก้ปัญหาผงยาตอกอัดไม่ดี: สามารถแก้ไขได้ด้วยการเติม Binder/Dry granulation ไม่ใช่เหตุผลเชิงเสถียรภาพยา
• ข้อ จ. เพิ่มการออกฤทธิ์เนิ่น: ยาแคปซูลธรรมดาเป็น Immediate release ไม่ใช่ Prolonged release
📖 Guideline อ้างอิง:
Handbook of Pharmaceutical Excipients &amp; Drug Stability: Principles and Practices (Cartensen &amp; Rhodes)
📌 จุดจำก่อนสอบ:
Ramipril ไวต่อ Hydrolysis/Moisture มาก (เกิด Diketopiperazine: DKP degradation) จึงต้องป้องกันความชื้นอย่างเข้มงวด</t>
        </is>
      </c>
      <c r="K56" s="46" t="n"/>
      <c r="L56" s="45" t="inlineStr">
        <is>
          <t>Capsule Formulation</t>
        </is>
      </c>
      <c r="M56" s="46" t="inlineStr">
        <is>
          <t>Product</t>
        </is>
      </c>
      <c r="N56" s="45" t="inlineStr">
        <is>
          <t>Mock PLE-CC 1 ข้อ 19</t>
        </is>
      </c>
      <c r="O56" s="46" t="inlineStr">
        <is>
          <t>Mock</t>
        </is>
      </c>
      <c r="P56" s="46" t="inlineStr">
        <is>
          <t>Mock RxCU83</t>
        </is>
      </c>
    </row>
    <row r="57" ht="13.2" customHeight="1" s="37">
      <c r="A57" s="46" t="n">
        <v>55</v>
      </c>
      <c r="B57" s="45" t="inlineStr">
        <is>
          <t>ห้องปฏิบัติการทดสอบยาเม็ด Amlodipine จำนวน 3 lot ในหัวข้อ Dissolution ตาม USP (เกณฑ์ Tolerance Q = 75%) พบว่าไม่มี lot ใดผ่านในรอบที่ 1 จึงทดสอบรอบที่ 2 (Stage S2) รวม 12 เม็ด ได้ผลดังนี้:
- Lot 1: 59, 79, 80, 80, 81, 81, 82, 82, 83, 84, 85, 87% (เฉลี่ย 81.0%)
- Lot 2: 58, 70, 72, 73, 76, 77, 78, 79, 81, 82, 83, 90% (เฉลี่ย 76.3%)
- Lot 3: 65, 80, 80, 81, 82, 82, 83, 84, 84, 85, 86, 92% (เฉลี่ย 82.0%)
ข้อใดสรุปผลการทดสอบ Stage S2 ได้ถูกต้องตามเกณฑ์ USP</t>
        </is>
      </c>
      <c r="C57" s="46" t="n"/>
      <c r="D57" s="45" t="inlineStr">
        <is>
          <t>ทุก lot ผ่านเกณฑ์ทั้งหมด</t>
        </is>
      </c>
      <c r="E57" s="45" t="inlineStr">
        <is>
          <t>ผ่านเฉพาะ lot 1</t>
        </is>
      </c>
      <c r="F57" s="45" t="inlineStr">
        <is>
          <t>ผ่านเฉพาะ lot 3</t>
        </is>
      </c>
      <c r="G57" s="45" t="inlineStr">
        <is>
          <t>ผ่านเฉพาะ lot 1 และ lot 3</t>
        </is>
      </c>
      <c r="H57" s="45" t="inlineStr">
        <is>
          <t>ไม่มี lot ใดผ่านเกณฑ์</t>
        </is>
      </c>
      <c r="I57" s="46" t="inlineStr">
        <is>
          <t>3</t>
        </is>
      </c>
      <c r="J57" s="45" t="inlineStr">
        <is>
          <t>✅ คำตอบที่ถูกต้อง: ข้อ ค. ผ่านเฉพาะ lot 3
💡 Background:
ตามเกณฑ์เภสัชตำรับ USP &lt;711&gt; Dissolution เกณฑ์การยอมรับในขั้นที่ 2 (Stage S2: ตรวจเพิ่มอีก 6 เม็ด รวมเป็น 12 เม็ด) กำหนดว่า:
1. ค่าเฉลี่ยของยาทั้ง 12 เม็ด ต้องไม่น้อยกว่า Q (75%)
2. ต้องไม่มีเม็ดใดเลยที่มีค่าน้อยกว่า Q - 15% (75% - 15% = 60%)
🎯 ทำไมข้อนี้ถึงถูก:
การแปลผลแต่ละ Lot:
• Lot 1: ค่าเฉลี่ย = 81.0% (&gt;= 75%) แต่มี 1 เม็ดได้ค่า 59% ซึ่งน้อยกว่า Q - 15% (60%) -&gt; ไม่ผ่าน S2
• Lot 2: ค่าเฉลี่ย = 76.3% แต่มีเม็ดที่ได้ 58% ซึ่งน้อยกว่า 60% -&gt; ไม่ผ่าน S2
• Lot 3: ค่าเฉลี่ย = 82.0% (&gt;= 75%) และเม็ดที่ต่ำที่สุดคือ 65% (ไม่มีเม็ดใดต่ำกว่า 60%) -&gt; ผ่านเกณฑ์ Stage S2
🔍 ข้ออื่นผิดเพราะอะไร:
• ข้อ ก., ข., ง., จ.: แปลผลผิดพลาดเนื่องจากลืมตรวจสอบเงื่อนไขห้ามมีเม็ดใดต่ำกว่า Q - 15% (60%)
📖 Guideline อ้างอิง:
United States Pharmacopeia USP &lt;711&gt; Dissolution (Acceptance Table 1)
📌 จุดจำก่อนสอบ:
เกณฑ์ USP Dissolution S2 (12 เม็ด): เฉลี่ย &gt;= Q และ ห้ามมีแม้แต่เม็ดเดียว &lt; Q - 15%!</t>
        </is>
      </c>
      <c r="K57" s="46" t="n"/>
      <c r="L57" s="45" t="inlineStr">
        <is>
          <t>Dissolution Testing</t>
        </is>
      </c>
      <c r="M57" s="46" t="inlineStr">
        <is>
          <t>Product</t>
        </is>
      </c>
      <c r="N57" s="45" t="inlineStr">
        <is>
          <t>Mock PLE-CC 1 ข้อ 22</t>
        </is>
      </c>
      <c r="O57" s="46" t="inlineStr">
        <is>
          <t>Mock</t>
        </is>
      </c>
      <c r="P57" s="46" t="inlineStr">
        <is>
          <t>Mock RxCU83</t>
        </is>
      </c>
    </row>
    <row r="58" ht="13.2" customHeight="1" s="37">
      <c r="A58" s="46" t="n">
        <v>56</v>
      </c>
      <c r="B58" s="45" t="inlineStr">
        <is>
          <t>สารในข้อใดไม่ใช่สารช่วยที่ใช้ในกระบวนการเคลือบน้ำตาลของยาเม็ด (Sugar-coated tablet)</t>
        </is>
      </c>
      <c r="C58" s="46" t="n"/>
      <c r="D58" s="45" t="inlineStr">
        <is>
          <t>Calcium carbonate</t>
        </is>
      </c>
      <c r="E58" s="45" t="inlineStr">
        <is>
          <t>Beeswax / Carnauba wax</t>
        </is>
      </c>
      <c r="F58" s="45" t="inlineStr">
        <is>
          <t>Gelatin</t>
        </is>
      </c>
      <c r="G58" s="45" t="inlineStr">
        <is>
          <t>Colloidal silicon dioxide (CSD)</t>
        </is>
      </c>
      <c r="H58" s="45" t="inlineStr">
        <is>
          <t>Acrylate polymer (Eudragit)</t>
        </is>
      </c>
      <c r="I58" s="46" t="inlineStr">
        <is>
          <t>5</t>
        </is>
      </c>
      <c r="J58" s="45" t="inlineStr">
        <is>
          <t>✅ คำตอบที่ถูกต้อง: ข้อ จ. Acrylate polymer
💡 Background:
กระบวนการเคลือบน้ำตาล (Sugar coating) ประกอบด้วย 5 ขั้นตอนหลัก: Sealing, Subcoating, Smoothing, Coloring, และ Polishing สารช่วยที่ใช้ล้วนเป็นสารดั้งเดิมที่ใช้กับน้ำเชื่อมเข้มข้น
🎯 ทำไมข้อนี้ถึงถูก:
Acrylate polymer (เช่น Eudragit) เป็นพอลิเมอร์สังเคราะห์ที่ใช้ในกระบวนการ เคลือบฟิล์ม (Film coating) หรือ Enteric coating ยุคใหม่ ไม่ได้ใช้ในกระบวนการเคลือบน้ำตาลแบบดั้งเดิม
🔍 ข้ออื่นผิดเพราะอะไร:
• ข้อ ก. Calcium carbonate: ใช้เป็น Subcoating powder เพื่อสร้างความหนาและขอบมนของเม็ดเคลือบน้ำตาล
• ข้อ ข. Wax (Carnauba wax, Beeswax): ใช้ในขั้นตอน Polishing (ขัดเงา) ขั้นสุดท้าย
• ข้อ ค. Gelatin: ใช้ผสมใน Subcoating syrup เพื่อเพิ่มแรงยึดเกาะของชั้นน้ำตาล
• ข้อ ง. Colloidal silicon dioxide: ใช้เป็นสารช่วยดูดซับความชื้นและเป็น Subcoating filler
📖 Guideline อ้างอิง:
Aulton's Pharmaceutics &amp; Ansel's Pharmaceutical Dosage Forms (Sugar Coating Chapter)
📌 จุดจำก่อนสอบ:
เคลือบน้ำตาลใช้: Sucrose, Gelatin, Acacia, CaCO3, Talc, Carnauba wax (ถ้าเป็น Acrylate/HPMC คือ เคลือบฟิล์ม)</t>
        </is>
      </c>
      <c r="K58" s="46" t="n"/>
      <c r="L58" s="45" t="inlineStr">
        <is>
          <t>Sugar Coating</t>
        </is>
      </c>
      <c r="M58" s="46" t="inlineStr">
        <is>
          <t>Product</t>
        </is>
      </c>
      <c r="N58" s="45" t="inlineStr">
        <is>
          <t>Mock PLE-CC 1 ข้อ 89</t>
        </is>
      </c>
      <c r="O58" s="46" t="inlineStr">
        <is>
          <t>Mock</t>
        </is>
      </c>
      <c r="P58" s="46" t="inlineStr">
        <is>
          <t>Mock RxCU83</t>
        </is>
      </c>
    </row>
    <row r="59" ht="13.2" customHeight="1" s="37">
      <c r="A59" s="46" t="n">
        <v>57</v>
      </c>
      <c r="B59" s="45" t="inlineStr">
        <is>
          <t>ข้อใดคือการควบคุมระหว่างกระบวนการผลิต (In-Process Control: IPC) ที่สำคัญที่สุดในการประเมินความหนาของชั้นเคลือบยาเม็ดเคลือบน้ำตาล</t>
        </is>
      </c>
      <c r="C59" s="46" t="n"/>
      <c r="D59" s="45" t="inlineStr">
        <is>
          <t>Uniformity of dosage units</t>
        </is>
      </c>
      <c r="E59" s="45" t="inlineStr">
        <is>
          <t>Weight gain</t>
        </is>
      </c>
      <c r="F59" s="45" t="inlineStr">
        <is>
          <t>Hardness</t>
        </is>
      </c>
      <c r="G59" s="45" t="inlineStr">
        <is>
          <t>Dissolution test</t>
        </is>
      </c>
      <c r="H59" s="45" t="inlineStr">
        <is>
          <t>Disintegration test</t>
        </is>
      </c>
      <c r="I59" s="46" t="inlineStr">
        <is>
          <t>2</t>
        </is>
      </c>
      <c r="J59" s="45" t="inlineStr">
        <is>
          <t>✅ คำตอบที่ถูกต้อง: ข้อ ข. Weight gain (การเพิ่มขึ้นของน้ำหนักเม็ดยา)
💡 Background:
การควบคุมระหว่างกระบวนการผลิต (In-Process Control: IPC) ของการเคลือบน้ำตาล มีเป้าหมายเพื่อติดตามการสะสมตัวของชั้นเคลือบในแต่ละขั้นตอนย่อย (Subcoating, Smoothing)
🎯 ทำไมข้อนี้ถึงถูก:
ในการเคลือบน้ำตาล เม็ดยาจะมีน้ำหนักเพิ่มขึ้นอย่างมากถึง 30-50% (หรืออาจสูงถึง 100%) ของน้ำหนักแกนเม็ดเดิม การตรวจสอบ Weight gain เป็นระยะจึงเป็นการควบคุมระหว่างกระบวนการผลิต (IPC) ที่สำคัญที่สุด เพื่อตัดสินใจว่าความหนาของชั้นเคลือบได้ตามมาตรฐานก่อนเข้าสู่ขั้นตอนต่อไป
🔍 ข้ออื่นผิดเพราะอะไร:
• ข้อ ก., ง., จ. (Uniformity of dosage unit, Dissolution, Disintegration): เป็นการทดสอบ Finished product testing ของผลิตภัณฑ์สำเร็จรูปตาม Pharmacopeia ไม่ใช่ IPC หลักระหว่างเคลือบ
• ข้อ ค. (Hardness): นิยมตรวจระหว่างการตอกเม็ด (Compression IPC) มากกว่า
📖 Guideline อ้างอิง:
Aulton's Pharmaceutics: The Design and Manufacture of Medicines &amp; WHO Guidelines on Good Manufacturing Practices
📌 จุดจำก่อนสอบ:
IPC การเคลือบน้ำตาล: Weight gain (น้ำหนักเพิ่มขึ้น 30-50%) และความเรียบเนียนของผิวเม็ด</t>
        </is>
      </c>
      <c r="K59" s="46" t="n"/>
      <c r="L59" s="45" t="inlineStr">
        <is>
          <t>Sugar Coating IPC</t>
        </is>
      </c>
      <c r="M59" s="46" t="inlineStr">
        <is>
          <t>Product</t>
        </is>
      </c>
      <c r="N59" s="45" t="inlineStr">
        <is>
          <t>Mock PLE-CC 1 ข้อ 90</t>
        </is>
      </c>
      <c r="O59" s="46" t="inlineStr">
        <is>
          <t>Mock</t>
        </is>
      </c>
      <c r="P59" s="46" t="inlineStr">
        <is>
          <t>Mock RxCU83</t>
        </is>
      </c>
    </row>
    <row r="60" ht="13.2" customHeight="1" s="37">
      <c r="A60" s="46" t="n">
        <v>58</v>
      </c>
      <c r="B60" s="45" t="inlineStr">
        <is>
          <t>ข้อใดกล่าวไม่ถูกต้องเกี่ยวกับยาเม็ดเคลือบน้ำตาล (Sugar-coated tablets)</t>
        </is>
      </c>
      <c r="C60" s="46" t="n"/>
      <c r="D60" s="45" t="inlineStr">
        <is>
          <t>จัดเป็นยาเม็ดในรูปแบบปลดปล่อยทันที (Immediate release)</t>
        </is>
      </c>
      <c r="E60" s="45" t="inlineStr">
        <is>
          <t>หากผู้ป่วยมือเปียกสัมผัสเม็ดยา จะทำให้ชั้นนอกของเม็ดเคลือบละลายเหนียวทันที</t>
        </is>
      </c>
      <c r="F60" s="45" t="inlineStr">
        <is>
          <t>ผู้ป่วยที่เป็นโรคเบาหวานสามารถรับประทานยาเม็ดเคลือบน้ำตาลได้ตามปกติ</t>
        </is>
      </c>
      <c r="G60" s="45" t="inlineStr">
        <is>
          <t>มีส่วนประกอบของ sucrose และ polyols ในน้ำเชื่อมเคลือบ</t>
        </is>
      </c>
      <c r="H60" s="45" t="inlineStr">
        <is>
          <t>เหมาะสำหรับสูตรตำรับตัวยาสำคัญที่ไวต่อความชื้นและน้ำอย่างยิ่ง</t>
        </is>
      </c>
      <c r="I60" s="46" t="inlineStr">
        <is>
          <t>5</t>
        </is>
      </c>
      <c r="J60" s="45" t="inlineStr">
        <is>
          <t>✅ คำตอบที่ถูกต้อง: ข้อ จ. ยาเม็ดเคลือบน้ำตาล เหมาะกับสูตรยาที่ไวต่อความชื้นและแสง (ข้อความนี้ไม่ถูกต้อง)
💡 Background:
กระบวนการเคลือบน้ำตาล (Sugar coating) ต้องพ่นน้ำเชื่อม (Aqueous sucrose solution) ซ้ำๆ หลายสิบรอบและใช้เวลาเคลือบยาวนาน (หลายชั่วโมงถึงหลายวัน)
🎯 ทำไมข้อนี้ถึงถูก:
การกล่าวว่ายาเคลือบน้ำตาลเหมาะกับยาที่ไวต่อความชื้นเป็นข้อความที่ไม่ถูกต้องอย่างยิ่ง เพราะกระบวนการผลิตใช้น้ำปริมาณมากและความร้อนในการเป่าแห้งยาวนาน ทำให้ยาที่ไวต่อความชื้นเกิด Hydrolysis เสื่อมสลายได้ง่าย (หากยาไวต่อความชื้นควรใช้ Film coating แบบใช้สารทำละลายอินทรีย์ หรือ Dry compaction coating)
🔍 ข้ออื่นผิดเพราะอะไร:
• ข้อ ก. เป็นยา immediate release: ถูกต้อง ชั้นน้ำตาลจะละลายน้ำได้อย่างรวดเร็วในกระเพาะอาหาร
• ข้อ ข. มือเปียกสัมผัสจะเกิดการเปลี่ยนแปลงทันที: ถูกต้อง น้ำตาลที่ผิวละลายน้ำได้ง่ายมากทำให้เหนียวติดมือ
• ข้อ ค. ผู้ป่วยเบาหวานทานได้: ถูกต้อง ปริมาณน้ำตาลในเม็ดยาน้อยมาก (เพียงไม่กี่ร้อยมิลลิกรัม) ไม่มีผลอย่างมีนัยสำคัญต่อระดับน้ำตาลในเลือด
• ข้อ ง. ใช้ sucrose, mannitol ในสูตร: ถูกต้อง เป็นน้ำตาลและ polyols ที่ใช้ในตำรับ
📖 Guideline อ้างอิง:
Ansel's Pharmaceutical Dosage Forms &amp; Aulton's Pharmaceutics (Coated Tablets)
📌 จุดจำก่อนสอบ:
ยาเคลือบน้ำตาล ข้อเสียหลักคือ ใช้เวลาผลิตนาน น้ำหนักเม็ดเพิ่มมาก และไม่เหมาะกับยาที่ไวต่อความชื้น!</t>
        </is>
      </c>
      <c r="K60" s="46" t="n"/>
      <c r="L60" s="45" t="inlineStr">
        <is>
          <t>Sugar Coating Evaluation</t>
        </is>
      </c>
      <c r="M60" s="46" t="inlineStr">
        <is>
          <t>Product</t>
        </is>
      </c>
      <c r="N60" s="45" t="inlineStr">
        <is>
          <t>Mock PLE-CC 1 ข้อ 91</t>
        </is>
      </c>
      <c r="O60" s="46" t="inlineStr">
        <is>
          <t>Mock</t>
        </is>
      </c>
      <c r="P60" s="46" t="inlineStr">
        <is>
          <t>Mock RxCU83</t>
        </is>
      </c>
    </row>
    <row r="61" ht="13.2" customHeight="1" s="37">
      <c r="A61" s="46" t="n">
        <v>59</v>
      </c>
      <c r="B61" s="45" t="inlineStr">
        <is>
          <t>หากต้องการเปลี่ยนแปลงยาเม็ดของผู้ป่วยเป็นรูปแบบสารละลายสำหรับพ่นละอองยา (Nebulized solution) สารในข้อใดต่อไปนี้ไม่จำเป็นต้องมีในสูตรตำรับดังกล่าว</t>
        </is>
      </c>
      <c r="C61" s="46" t="n"/>
      <c r="D61" s="45" t="inlineStr">
        <is>
          <t>Sterile vehicle / Solvent</t>
        </is>
      </c>
      <c r="E61" s="45" t="inlineStr">
        <is>
          <t>Propellant (สารขับดัน)</t>
        </is>
      </c>
      <c r="F61" s="45" t="inlineStr">
        <is>
          <t>Tonicity adjusting agent</t>
        </is>
      </c>
      <c r="G61" s="45" t="inlineStr">
        <is>
          <t>Antimicrobial preservative</t>
        </is>
      </c>
      <c r="H61" s="45" t="inlineStr">
        <is>
          <t>Solubilizer</t>
        </is>
      </c>
      <c r="I61" s="46" t="inlineStr">
        <is>
          <t>2</t>
        </is>
      </c>
      <c r="J61" s="45" t="inlineStr">
        <is>
          <t>✅ คำตอบที่ถูกต้อง: ข้อ ข. Propellant (สารขับดัน)
💡 Background:
รูปแบบยาพ่นสูดชนิดสารละลายสำหรับเครื่องพ่นละอองยา (Nebulized solution) เป็นยาน้ำใสปราศจากเชื้อที่อาศัยแรงลม (Compressed air) หรือคลื่นอัลตราโซนิก (Ultrasonic vibrations) จากเครื่องพ่น Nebulizer ในการทำให้อนุภาคของเหลวกลายเป็นละอองฝอย
🎯 ทำไมข้อนี้ถึงถูก:
เครื่องพ่นยาแบบ Nebulizer ทำงานโดยใช้กลไกของตัวเครื่องในการสร้างละอองฝอย จึงไม่จำเป็นต้องใช้ Propellant (สารขับดัน เช่น HFA / CFC) ซึ่งสารขับดันจะใช้เฉพาะในกระบวนการผลิตของยาพ่นสูดชนิดละอองลอยกำหนดขนาด (Metered Dose Inhaler: MDI) เท่านั้น
🔍 ข้ออื่นผิดเพราะอะไร:
• ข้อ ก. Solvent (Sterile water/Saline): เป็นตัวทำละลายหลัก
• ข้อ ค. Tonicity agent (NaCl): จำเป็นต้องปรับให้อยู่ในช่วง Isotonic (0.9% NaCl) เพื่อไม่ให้ระคายเคืองหลอดลม
• ข้อ ง. Preservative: อาจพบในตำรับ Multiple-dose (แต่หลีกเลี่ยงใน Unit-dose)
• ข้อ จ. Solubilizer / Cosolvent: ใช้เพิ่มการละลายของตัวยา
📖 Guideline อ้างอิง:
USP &lt;1601&gt; Products for Nebulization &amp; British Pharmacopoeia (Preparations for Inhalation)
📌 จุดจำก่อนสอบ:
Nebulizer solution = ไม่ใช้ Propellant (เครื่องสร้างละอองเอง)! Propellant ใช้เฉพาะใน MDI เท่านั้น</t>
        </is>
      </c>
      <c r="K61" s="46" t="n"/>
      <c r="L61" s="45" t="inlineStr">
        <is>
          <t>Inhalation Formulation</t>
        </is>
      </c>
      <c r="M61" s="46" t="inlineStr">
        <is>
          <t>Product</t>
        </is>
      </c>
      <c r="N61" s="45" t="inlineStr">
        <is>
          <t>Mock PLE-CC 1 ข้อ 101</t>
        </is>
      </c>
      <c r="O61" s="46" t="inlineStr">
        <is>
          <t>Mock</t>
        </is>
      </c>
      <c r="P61" s="46" t="inlineStr">
        <is>
          <t>Mock RxCU83</t>
        </is>
      </c>
    </row>
    <row r="62" ht="13.2" customHeight="1" s="37">
      <c r="A62" s="46" t="n">
        <v>60</v>
      </c>
      <c r="B62" s="45" t="inlineStr">
        <is>
          <t>สูตรตำรับยาเม็ดชนิดหนึ่งมีส่วนประกอบของสารช่วย ได้แก่ Magnesium stearate, Croscarmellose sodium, Titanium dioxide, Hypromellose, FD&amp;C Yellow No.6 aluminum lake, และ Triacetin จัดเป็นยาเม็ดรูปแบบใด</t>
        </is>
      </c>
      <c r="C62" s="46" t="n"/>
      <c r="D62" s="45" t="inlineStr">
        <is>
          <t>Effervescent tablet</t>
        </is>
      </c>
      <c r="E62" s="45" t="inlineStr">
        <is>
          <t>Enteric coated tablet</t>
        </is>
      </c>
      <c r="F62" s="45" t="inlineStr">
        <is>
          <t>Plain uncoated tablet</t>
        </is>
      </c>
      <c r="G62" s="45" t="inlineStr">
        <is>
          <t>Film coated tablet</t>
        </is>
      </c>
      <c r="H62" s="45" t="inlineStr">
        <is>
          <t>Compaction coated tablet</t>
        </is>
      </c>
      <c r="I62" s="46" t="inlineStr">
        <is>
          <t>4</t>
        </is>
      </c>
      <c r="J62" s="45" t="inlineStr">
        <is>
          <t>✅ คำตอบที่ถูกต้อง: ข้อ ง. Film coated tablet (ยาเม็ดเคลือบฟิล์ม)
💡 Background:
สูตรตำรับการเคลือบฟิล์ม (Film coating formulation) ประกอบด้วย 4 องค์ประกอบสำคัญ: Film former (พอลิเมอร์ก่อฟิล์ม), Plasticizer (สารช่วยเพิ่มความยืดหยุ่น), Opacifier/Colorant (สารทึบแสงและสี), และ Solvent
🎯 ทำไมข้อนี้ถึงถูก:
สารช่วยในโจทย์ประกอบด้วย:
• Hypromellose (HPMC): พอลิเมอร์สร้างแผ่นฟิล์มหลัก (Film-forming polymer)
• Triacetin: สารช่วยเพิ่มความยืดหยุ่นของฟิล์ม (Plasticizer) ป้องกันฟิล์มเปราะแตก
• Titanium dioxide: สารช่วยทึบแสง (Opacifying agent) ปกป้องตัวยาจากแสง
• FD&amp;C Yellow No.6 aluminum lake: สีเคลือบผิวเม็ดยา
องค์ประกอบทั้งหมดนี้เป็นสูตรมาตรฐานของการผลิต ยาเม็ดเคลือบฟิล์ม (Film coated tablet)
🔍 ข้ออื่นผิดเพราะอะไร:
• ข้อ ก. Effervescent tablet: ต้องมีกรดอินทรีย์ (Citric/Tartaric acid) และ Sodium bicarbonate
• ข้อ ข. Enteric coated tablet: พอลิเมอร์ต้องเป็นกลุ่ม Phthalate/Methacrylic acid (CAP, HPMCP, Eudragit) ไม่ใช่ Hypromellose ธรรมดา
• ข้อ ค. Plain tablet: เป็นเม็ดยาไม่เคลือบ จะไม่มีส่วนประกอบของฟิล์มและ Plasticizer
• ข้อ จ. Compaction coated tablets: เม็ดเคลือบสองชั้นด้วยการตอกอัด ไม่ได้ใช้ฟิล์มพอลิเมอร์
📖 Guideline อ้างอิง:
Handbook of Pharmaceutical Excipients &amp; Aulton's Pharmaceutics (Film Coating Chapter)
📌 จุดจำก่อนสอบ:
HPMC (Hypromellose) + Triacetin + Titanium dioxide + Lake color = สูตรเคลือบฟิล์ม (Film coated tablet) ทันที!</t>
        </is>
      </c>
      <c r="K62" s="46" t="n"/>
      <c r="L62" s="45" t="inlineStr">
        <is>
          <t>Film Coating Formulation</t>
        </is>
      </c>
      <c r="M62" s="46" t="inlineStr">
        <is>
          <t>Product</t>
        </is>
      </c>
      <c r="N62" s="45" t="inlineStr">
        <is>
          <t>Mock PLE-CC 1 ข้อ 113</t>
        </is>
      </c>
      <c r="O62" s="46" t="inlineStr">
        <is>
          <t>Mock</t>
        </is>
      </c>
      <c r="P62" s="46" t="inlineStr">
        <is>
          <t>Mock RxCU83</t>
        </is>
      </c>
    </row>
    <row r="63" ht="13.2" customHeight="1" s="37">
      <c r="A63" s="46" t="n">
        <v>61</v>
      </c>
      <c r="B63" s="45" t="inlineStr">
        <is>
          <t>ผู้ป่วยนำเม็ดยาเคลือบฟิล์มออกจากแผง Alu-Alu ไปใส่ในกล่องพลาสติก PVC พบว่าเม็ดยาเหนียวติดกันเป็นพวงองุ่น สารช่วยในตำรับ (Excipient) ชนิดใดเป็นสาเหตุสำคัญที่ทำให้เกิดปัญหานี้เมื่อสัมผัสความชื้นและความร้อน</t>
        </is>
      </c>
      <c r="C63" s="46" t="n"/>
      <c r="D63" s="45" t="inlineStr">
        <is>
          <t>Microcrystalline cellulose</t>
        </is>
      </c>
      <c r="E63" s="45" t="inlineStr">
        <is>
          <t>Lactose</t>
        </is>
      </c>
      <c r="F63" s="45" t="inlineStr">
        <is>
          <t>Croscarmellose sodium</t>
        </is>
      </c>
      <c r="G63" s="45" t="inlineStr">
        <is>
          <t>Magnesium stearate</t>
        </is>
      </c>
      <c r="H63" s="45" t="inlineStr">
        <is>
          <t>Triacetin (Plasticizer)</t>
        </is>
      </c>
      <c r="I63" s="46" t="inlineStr">
        <is>
          <t>5</t>
        </is>
      </c>
      <c r="J63" s="45" t="inlineStr">
        <is>
          <t>✅ คำตอบที่ถูกต้อง: ข้อ จ. Triacetin (สารช่วยเพิ่มความยืดหยุ่นของฟิล์ม)
💡 Background:
พลาสติไซเซอร์ (Plasticizer) เช่น Triacetin ในชั้นเคลือบฟิล์ม ทำหน้าที่ลดอุณหภูมิการเปลี่ยนสถานะคล้ายแก้ว (Glass transition temperature: Tg) ของพอลิเมอร์เพื่อให้ฟิล์มมีความยืดหยุ่น ไม่แตกร้าว
🎯 ทำไมข้อนี้ถึงถูก:
เมื่อผู้ป่วยนำเม็ดยาออกจากแผง Alu-Alu (ซึ่งป้องกันความชื้นและไอระเหยได้สมบูรณ์) มาใส่ในตลับพลาสติก PVC ธรรมดาที่ยอมให้ความชื้นและอากาศซึมผ่านได้ ความชื้นและความร้อนจะทำให้สาร Triacetin เกิดการเคลื่อนที่มาสะสมที่ผิวหน้าของฟิล์ม (Plasticizer migration / Surface tackiness) ส่งผลให้ผิวของเม็ดยาเกิดความเหนียว (Sticky/Tacky) และดูดติดกันเป็นพวงองุ่น
🔍 ข้ออื่นผิดเพราะอะไร:
• ข้อ ก. Microcrystalline cellulose: เป็นสารเพิ่มปริมาณและสารช่วยแตกตัว ไม่ทำให้ผิวเม็ดยาเหนียวติดกัน
• ข้อ ข. Lactose: เป็นสารเพิ่มปริมาณแบบละลายน้ำ ไม่ก่อให้เกิดความเหนียวติดกันแบบพวงองุ่น
• ข้อ ค. Croscarmellose sodium: เป็น Superdisintegrant ภายในแกนเม็ด ไม่ได้อยู่ที่ผิวเคลือบ
• ข้อ ง. Magnesium stearate: เป็นสารหล่อลื่น (Lubricant) ไม่ชอบน้ำ มีฤทธิ์ลดแรงเสียดทาน ไม่ทำให้ผิวเหนียว
📖 Guideline อ้างอิง:
Handbook of Pharmaceutical Excipients (Triacetin Monograph) &amp; Remington: The Science and Practice of Pharmacy
📌 จุดจำก่อนสอบ:
ปัญหาเม็ดยาเคลือบฟิล์มเหนียวติดกัน (Tackiness/Agglomeration) เกิดจาก Plasticizer (Triacetin / PEG) ย้ายตัวมาที่ผิวเมื่อถูกความชื้นและความร้อน</t>
        </is>
      </c>
      <c r="K63" s="46" t="n"/>
      <c r="L63" s="45" t="inlineStr">
        <is>
          <t>Coating Stability &amp; Packaging</t>
        </is>
      </c>
      <c r="M63" s="46" t="inlineStr">
        <is>
          <t>Product</t>
        </is>
      </c>
      <c r="N63" s="45" t="inlineStr">
        <is>
          <t>Mock PLE-CC 1 ข้อ 114</t>
        </is>
      </c>
      <c r="O63" s="46" t="inlineStr">
        <is>
          <t>Mock</t>
        </is>
      </c>
      <c r="P63" s="46" t="inlineStr">
        <is>
          <t>Mock RxCU83</t>
        </is>
      </c>
    </row>
    <row r="64" ht="13.2" customHeight="1" s="37">
      <c r="A64" s="46" t="n">
        <v>62</v>
      </c>
      <c r="B64" s="45" t="inlineStr">
        <is>
          <t>รูปสัญฐานทางผลึก (Polymorphic form) แบบใดของตัวยาสำคัญที่เหมาะสมที่สุดในการนำมาผลิตเป็นยาเม็ด เพื่อให้มีความคงตัวทางกายภาพสูงสุดตลอดอายุการเก็บรักษา</t>
        </is>
      </c>
      <c r="C64" s="46" t="n"/>
      <c r="D64" s="45" t="inlineStr">
        <is>
          <t>Monotropic polymorphs (Stable form)</t>
        </is>
      </c>
      <c r="E64" s="45" t="inlineStr">
        <is>
          <t>Enantiotropic polymorphs</t>
        </is>
      </c>
      <c r="F64" s="45" t="inlineStr">
        <is>
          <t>Amorphous anhydrates</t>
        </is>
      </c>
      <c r="G64" s="45" t="inlineStr">
        <is>
          <t>Crystalline hydrates</t>
        </is>
      </c>
      <c r="H64" s="45" t="inlineStr">
        <is>
          <t>Mixed solvates</t>
        </is>
      </c>
      <c r="I64" s="46" t="inlineStr">
        <is>
          <t>1</t>
        </is>
      </c>
      <c r="J64" s="45" t="inlineStr">
        <is>
          <t>✅ คำตอบที่ถูกต้อง: ข้อ ก. Monotropic polymorphs (ในรูป Stable polymorph)
💡 Background:
ปรากฏการณ์พหุสัณฐาน (Polymorphism) ในทางเภสัชกรรมแบ่งออกเป็น 2 ประเภทหลัก: Monotropic (มีรูปหนึ่งที่เสถียรที่สุดในทุกช่วงอุณหภูมิ) และ Enantiotropic (สามารถเปลี่ยนรูปกลับไปกลับมาระหว่างสองรูปได้ตามอุณหภูมิเปลี่ยนผ่าน)
🎯 ทำไมข้อนี้ถึงถูก:
ในการผลิตยาเม็ดที่ต้องการความคงตัวทางกายภาพตลอดอายุการเก็บรักษา (Shelf-life) ควรเลือกรูปผลึกที่เป็น Monotropic polymorph ในสภาวะที่เสถียรทางอุณหพลศาสตร์สูงสุด (Thermodynamically stable form) เพื่อป้องกันไม่ให้เกิดการเปลี่ยนรูปผลึก (Polymorphic transition) ระหว่างการเก็บรักษา ซึ่งอาจส่งผลให้การละลายและการดูดซึมของยาเปลี่ยนแปลงไป
🔍 ข้ออื่นผิดเพราะอะไร:
• ข้อ ข. Enantiotropic polymorphs: มีความเสี่ยงที่จะเปลี่ยนรูปไปมาระหว่างการเก็บรักษาหากอุณหภูมิผันผวน
• ข้อ ค. Amorphous anhydrates: มีพลังงานอิสระสูง ละลายเร็วแต่ไม่คงตัว มีแนวโน้มตกผลึกกลับเป็นผลึกแข็ง (Recrystallization) ทำให้การละลายลดลงกะทันหัน
• ข้อ ง. Crystalline hydrates: มักมีอัตราการละลายช้ากว่ารูป Anhydrous
• ข้อ จ. Mixed solvates: มีโมเลกุลตัวทำละลายอินทรีย์ติดอยู่ในผลึก มีความเป็นพิษจากตัวทำละลายตกค้าง
📖 Guideline อ้างอิง:
ICH Q6A Specifications: Test Procedures and Acceptance Criteria for New Drug Substances and New Drug Products (Decision Tree #4: Polymorphism)
📌 จุดจำก่อนสอบ:
ยาเม็ดเน้นความคงตัวตลอดอายุยา -&gt; เลือก Monotropic Stable Polymorph (รูปเสถียรที่สุด ป้องกันการเปลี่ยนรูปผลึก)</t>
        </is>
      </c>
      <c r="K64" s="46" t="n"/>
      <c r="L64" s="45" t="inlineStr">
        <is>
          <t>Preformulation &amp; Polymorphism</t>
        </is>
      </c>
      <c r="M64" s="46" t="inlineStr">
        <is>
          <t>Product</t>
        </is>
      </c>
      <c r="N64" s="45" t="inlineStr">
        <is>
          <t>Mock PLE-CC 1 ข้อ 115</t>
        </is>
      </c>
      <c r="O64" s="46" t="inlineStr">
        <is>
          <t>Mock</t>
        </is>
      </c>
      <c r="P64" s="46" t="inlineStr">
        <is>
          <t>Mock RxCU83</t>
        </is>
      </c>
    </row>
    <row r="65" ht="13.2" customHeight="1" s="37">
      <c r="A65" s="46" t="n">
        <v>63</v>
      </c>
      <c r="B65" s="45" t="inlineStr">
        <is>
          <t>ผู้ป่วยมีรอยโรคผิวหนังพุพองและมีสะเก็ดสีน้ำผึ้ง (Honey-colored crusts) วินิจฉัยเป็น Impetigo บริเวณจำกัด ควรให้การรักษาด้วยยาในข้อใดจึงเหมาะสมที่สุด</t>
        </is>
      </c>
      <c r="C65" s="46" t="n"/>
      <c r="D65" s="45" t="inlineStr">
        <is>
          <t>Mupirocin 2% ointment ทาวันละ 2-3 ครั้ง</t>
        </is>
      </c>
      <c r="E65" s="45" t="inlineStr">
        <is>
          <t>Moisturizing cream ทาวันละ 2-3 ครั้ง</t>
        </is>
      </c>
      <c r="F65" s="45" t="inlineStr">
        <is>
          <t>Acyclovir 5% cream ทาวันละ 5 ครั้ง</t>
        </is>
      </c>
      <c r="G65" s="45" t="inlineStr">
        <is>
          <t>Acyclovir 400 mg tablet รับประทานวันละ 5 ครั้ง</t>
        </is>
      </c>
      <c r="H65" s="45" t="inlineStr">
        <is>
          <t>Desoximetasone 0.25% cream ทาวันละ 2 ครั้ง</t>
        </is>
      </c>
      <c r="I65" s="46" t="inlineStr">
        <is>
          <t>1</t>
        </is>
      </c>
      <c r="J65" s="45" t="inlineStr">
        <is>
          <t>✅ คำตอบที่ถูกต้อง: ข้อ ก. Mupirocin ointment ทาวันละ 2-3 ครั้ง
💡 Background:
แผลพุพองมีตุ่มหนองและสะเก็ดสีน้ำผึ้ง (Honey-colored crusts) เป็นลักษณะทางคลินิกจำเพาะของโรคตุ่มพุพอง (Impetigo) ซึ่งเกิดจากการติดเชื้อแบคทีเรีย Staphylococcus aureus หรือ Streptococcus pyogenes
🎯 ทำไมข้อนี้ถึงถูก:
แนวทางเวชปฏิบัติสากลแนะนำให้ใช้ยาปฏิชีวนะชนิดทาภายนอก ได้แก่ Topical Mupirocin 2% ointment หรือ Fusidic acid cream ทาวันละ 2-3 ครั้ง เป็นเวลา 5-7 วัน เป็นการรักษาลำดับแรก (First-line therapy) สำหรับแผล Impetigo บริเวณจำกัด
🔍 ข้ออื่นผิดเพราะอะไร:
• ข้อ ข. Moisting cream: ไม่มียาฆ่าเชื้อ ไม่สามารถกำจัดเชื้อแบคทีเรียได้
• ข้อ ค. และ ง. Acyclovir: เป็นยาต้านไวรัสสำหรับรักษาเริม (Herpes simplex) ไม่ครอบคลุมเชื้อแบคทีเรีย
• ข้อ จ. Desoximethasone cream: เป็นยาสเตียรอยด์ความแรงสูง เป็นข้อห้ามใช้ในแผลติดเชื้อแบคทีเรียเพราะจะกดภูมิคุ้มกันทำให้เชื้อลุกลามรุนแรง
📖 Guideline อ้างอิง:
Infectious Diseases Society of America (IDSA) Practice Guidelines for the Diagnosis and Management of Skin and Soft Tissue Infections
📌 จุดจำก่อนสอบ:
Impetigo แผลสะเก็ดสีน้ำผึ้ง = ติดเชื้อแบคทีเรีย รักษาด้วย Mupirocin ointment ทาวันละ 2-3 ครั้ง ห้ามใช้ Steroid เด็ดขาด!</t>
        </is>
      </c>
      <c r="K65" s="46" t="n"/>
      <c r="L65" s="45" t="inlineStr">
        <is>
          <t>Dermatology &amp; Topicals</t>
        </is>
      </c>
      <c r="M65" s="46" t="inlineStr">
        <is>
          <t>Clinic</t>
        </is>
      </c>
      <c r="N65" s="45" t="inlineStr">
        <is>
          <t>Mock PLE-CC 1 ข้อ 120</t>
        </is>
      </c>
      <c r="O65" s="46" t="inlineStr">
        <is>
          <t>Mock</t>
        </is>
      </c>
      <c r="P65" s="46" t="inlineStr">
        <is>
          <t>Mock RxCU83</t>
        </is>
      </c>
    </row>
    <row r="66" ht="13.2" customHeight="1" s="37">
      <c r="A66" s="46" t="n">
        <v>64</v>
      </c>
      <c r="B66" s="45" t="inlineStr">
        <is>
          <t>ในสูตรตำรับยาเม็ดประกอบด้วย Microcrystalline cellulose, Starch, Lactose, Colloidal silicon dioxide, และ Sodium Lauryl Sulfate สารในข้อใดทำหน้าที่เป็นสารช่วยการไหล (Glidant) ของผงยา</t>
        </is>
      </c>
      <c r="C66" s="46" t="n"/>
      <c r="D66" s="45" t="inlineStr">
        <is>
          <t>Microcrystalline cellulose</t>
        </is>
      </c>
      <c r="E66" s="45" t="inlineStr">
        <is>
          <t>Starch</t>
        </is>
      </c>
      <c r="F66" s="45" t="inlineStr">
        <is>
          <t>Lactose</t>
        </is>
      </c>
      <c r="G66" s="45" t="inlineStr">
        <is>
          <t>Colloidal silicon dioxide</t>
        </is>
      </c>
      <c r="H66" s="45" t="inlineStr">
        <is>
          <t>Sodium Lauryl Sulfate</t>
        </is>
      </c>
      <c r="I66" s="46" t="inlineStr">
        <is>
          <t>4</t>
        </is>
      </c>
      <c r="J66" s="45" t="inlineStr">
        <is>
          <t>✅ คำตอบที่ถูกต้อง: ข้อ ง. Colloidal silicon dioxide
💡 Background:
สารช่วยการไหล (Glidants) ทำหน้าที่ลดแรงเสียดทานระหว่างอนุภาคของผงยาหรือแกรนูล (Interparticulate friction) และช่วยไล่ความชื้นที่ผิวอนุภาค ทำให้ผงยาสามารถไหลลงสู่แม่พิมพ์ (Die cavity) ของเครื่องตอกยาได้อย่างราบรื่นและสม่ำเสมอ
🎯 ทำไมข้อนี้ถึงถูก:
Colloidal silicon dioxide (CSD, Cab-O-Sil, Aerosil) มีขนาดอนุภาคเล็กระดับนาโนเมตร มีพื้นที่ผิวจำเพาะสูงมาก ทำหน้าที่แทรกตัวเกาะอยู่บนผิวอนุภาคผงยาขนาดใหญ่ ช่วยลดแรงเกาะติดและแรงเสียดทาน จึงเป็น Glidant ประสิทธิภาพสูงมาก นิยมใช้ในปริมาณต่ำ (0.1 - 1.0% w/w)
🔍 ข้ออื่นผิดเพราะอะไร:
• ข้อ ก. Microcrystalline cellulose: ทำหน้าที่เป็นสารเพิ่มปริมาณ (Diluent/Filler) และสารช่วยแตกตัว (Disintegrant)
• ข้อ ข. Starch: ทำหน้าที่เป็น Binder, Diluent หรือ Disintegrant
• ข้อ ค. Lactose: ทำหน้าที่เป็น Diluent/Filler
• ข้อ จ. SLS (Sodium lauryl sulfate): ทำหน้าที่เป็น Surfactant / Wetting agent / Lubricant
📖 Guideline อ้างอิง:
Handbook of Pharmaceutical Excipients (Colloidal Silicon Dioxide Monograph) &amp; Aulton's Pharmaceutics
📌 จุดจำก่อนสอบ:
Glidants หลักที่ออกสอบบ่อย: Colloidal silicon dioxide (Aerosil), Talcum, Corn starch (แห้ง)</t>
        </is>
      </c>
      <c r="K66" s="46" t="n"/>
      <c r="L66" s="45" t="inlineStr">
        <is>
          <t>Tablet Excipients &amp; Glidants</t>
        </is>
      </c>
      <c r="M66" s="46" t="inlineStr">
        <is>
          <t>Product</t>
        </is>
      </c>
      <c r="N66" s="45" t="inlineStr">
        <is>
          <t>ข้อสอบเก่า 2567 ข้อ 15</t>
        </is>
      </c>
      <c r="O66" s="46" t="inlineStr">
        <is>
          <t>ข้อสอบเก่า</t>
        </is>
      </c>
      <c r="P66" s="46" t="inlineStr">
        <is>
          <t>2567</t>
        </is>
      </c>
    </row>
    <row r="67" ht="13.2" customHeight="1" s="37">
      <c r="A67" s="46" t="n">
        <v>65</v>
      </c>
      <c r="B67" s="45" t="inlineStr">
        <is>
          <t>Alkaline stearate (sodium stearate, magnesium stearate)</t>
        </is>
      </c>
      <c r="C67" s="46" t="n"/>
      <c r="D67" s="45" t="inlineStr">
        <is>
          <t>Tablet &amp; Solid Dosage</t>
        </is>
      </c>
      <c r="E67" s="45" t="inlineStr">
        <is>
          <t>Film Coating with Hydroxypropyl methylcellulose (HPMC)</t>
        </is>
      </c>
      <c r="F67" s="45" t="inlineStr">
        <is>
          <t>Enteric Coating with Cellulose acetate phthalate (CAP)</t>
        </is>
      </c>
      <c r="G67" s="45" t="inlineStr">
        <is>
          <t>Hard Gelatin Capsule filling</t>
        </is>
      </c>
      <c r="H67" s="45" t="inlineStr">
        <is>
          <t>Soft Gelatin Capsule encapsulation</t>
        </is>
      </c>
      <c r="I67" s="46" t="inlineStr">
        <is>
          <t>1</t>
        </is>
      </c>
      <c r="J67"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67" s="46" t="n"/>
      <c r="L67" s="45" t="inlineStr">
        <is>
          <t>Tablet Manufacturing</t>
        </is>
      </c>
      <c r="M67" s="46" t="inlineStr">
        <is>
          <t>Tablet &amp; Solid Dosage</t>
        </is>
      </c>
      <c r="N67" s="45" t="inlineStr">
        <is>
          <t>PLE_CC1_2567_Key ข้อ 1</t>
        </is>
      </c>
      <c r="O67" s="46" t="inlineStr">
        <is>
          <t>ข้อสอบจริง</t>
        </is>
      </c>
      <c r="P67" s="46" t="inlineStr">
        <is>
          <t>ปี 2567</t>
        </is>
      </c>
    </row>
    <row r="68" ht="13.2" customHeight="1" s="37">
      <c r="A68" s="44" t="n">
        <v>66</v>
      </c>
      <c r="B68" s="45" t="inlineStr">
        <is>
          <t>การทดสอบใดไม่สามารถนำมาใช้ประเมินความสม่ำเสมอของขนาดยา (Uniformity of dosage units) ตามเกณฑ์ USP &lt;905&gt; ในยาเม็ดชนิดไม่เคลือบ (Uncoated tablet) ที่มีตัวยาสำคัญ 10 mg และน้ำหนักเม็ดเฉลี่ย 200 mg</t>
        </is>
      </c>
      <c r="C68" s="46" t="n"/>
      <c r="D68" s="45" t="inlineStr">
        <is>
          <t>Weight Variation (WV)</t>
        </is>
      </c>
      <c r="E68" s="45" t="inlineStr">
        <is>
          <t>Content Uniformity (CU)</t>
        </is>
      </c>
      <c r="F68" s="45" t="inlineStr">
        <is>
          <t>Dissolution test</t>
        </is>
      </c>
      <c r="G68" s="45" t="inlineStr">
        <is>
          <t>Assay test</t>
        </is>
      </c>
      <c r="H68" s="45" t="inlineStr">
        <is>
          <t>Disintegration test</t>
        </is>
      </c>
      <c r="I68" s="44" t="inlineStr">
        <is>
          <t>1</t>
        </is>
      </c>
      <c r="J68" s="45" t="inlineStr">
        <is>
          <t>✅ คำตอบที่ถูกต้อง: ข้อ ก. Weight Variation (WV)
💡 Background:
ตามเภสัชตำรับ USP &lt;905&gt; Uniformity of Dosage Units กำหนดเงื่อนไขการเลือกใช้วิธีทดสอบความสม่ำเสมอของขนาดยาสำหรับยาเม็ดชนิดไม่เคลือบ (Uncoated tablets) ว่าจะสามารถใช้วิธี Weight Variation (WV) แทนวิธี Content Uniformity (CU) ได้หรือไม่
🎯 ทำไมข้อนี้ถึงถูก:
เงื่อนไขตาม USP &lt;905&gt; กำหนดให้ใช้ Weight Variation (WV) ได้ก็ต่อเมื่อ:
1. ตัวยาสำคัญมีปริมาณตั้งแต่ 25 mg ขึ้นไป ต่อหน่วยเม็ดยา และ
2. ตัวยาสำคัญคิดเป็นสัดส่วนตั้งแต่ 25% w/w ของน้ำหนักเม็ดยารวมขึ้นไป
ในโจทย์นี้ ตัวยาสำคัญมี 10 mg (&lt; 25 mg) และคิดเป็นสัดส่วนเพียง (10 / 200) × 100% = 5% (&lt; 25%) ไม่เข้าเกณฑ์ทั้งสองข้อ ดังนั้น จึงไม่สามารถใช้วิธี Weight Variation (WV) ได้ ต้องบังคับใช้วิธี Content Uniformity (CU) เท่านั้น
🔍 ข้ออื่นผิดเพราะอะไร:
• ข้อ ข. Content Uniformity (CU): เป็นวิธีที่ถูกต้องและจำเป็นต้องทำสำหรับยาเม็ด low dose นี้
• ข้อ ค., ง., จ.: เป็นหัวข้อทดสอบมาตรฐานอื่นๆ ของยาเม็ด ไม่ใช่เงื่อนไขของ USP &lt;905&gt;
📖 Guideline อ้างอิง:
United States Pharmacopeia USP &lt;905&gt; Uniformity of Dosage Units (Table 1: Application of Content Uniformity and Weight Variation Tests)
📌 จุดจำก่อนสอบ:
ท่องเกณฑ์ USP &lt;905&gt; ยาเม็ด Uncoated: ใช้ Weight Variation ได้เมื่อ &gt;= 25 mg และ &gt;= 25% (ถ้าต่ำกว่า 25 mg หรือต่ำกว่า 25% บังคับทำ Content Uniformity เสมอ)</t>
        </is>
      </c>
      <c r="K68" s="46" t="n"/>
      <c r="L68" s="45" t="inlineStr">
        <is>
          <t>Uniformity of Dosage Units</t>
        </is>
      </c>
      <c r="M68" s="46" t="inlineStr">
        <is>
          <t>Product</t>
        </is>
      </c>
      <c r="N68" s="45" t="inlineStr">
        <is>
          <t>ข้อสอบเก่า 2567 ข้อ 17</t>
        </is>
      </c>
      <c r="O68" s="46" t="inlineStr">
        <is>
          <t>ข้อสอบเก่า</t>
        </is>
      </c>
      <c r="P68" s="46" t="inlineStr">
        <is>
          <t>2567</t>
        </is>
      </c>
      <c r="Q68" s="2" t="n"/>
    </row>
    <row r="69" ht="13.2" customHeight="1" s="37">
      <c r="A69" s="44" t="n">
        <v>67</v>
      </c>
      <c r="B69" s="45" t="inlineStr">
        <is>
          <t>ในระหว่างการผลิตยาเม็ดพบปัญหาน้ำหนักเม็ดยาไม่สม่ำเสมอ (Weight variation) เนื่องจากผงยาไหลลงสู่แม่พิมพ์ตอกยาได้ไม่ดี ควรแก้ไขสูตรตำรับโดยการเติมสารในข้อใด</t>
        </is>
      </c>
      <c r="C69" s="46" t="n"/>
      <c r="D69" s="45" t="inlineStr">
        <is>
          <t>Polyethylene Glycol (PEG)</t>
        </is>
      </c>
      <c r="E69" s="45" t="inlineStr">
        <is>
          <t>Calcium phosphate dibasic</t>
        </is>
      </c>
      <c r="F69" s="45" t="inlineStr">
        <is>
          <t>Titanium Dioxide (TiO2)</t>
        </is>
      </c>
      <c r="G69" s="45" t="inlineStr">
        <is>
          <t>Kaolin / Clay</t>
        </is>
      </c>
      <c r="H69" s="45" t="inlineStr">
        <is>
          <t>Colloidal silica (Colloidal silicon dioxide)</t>
        </is>
      </c>
      <c r="I69" s="44" t="inlineStr">
        <is>
          <t>5</t>
        </is>
      </c>
      <c r="J69" s="45" t="inlineStr">
        <is>
          <t>✅ คำตอบที่ถูกต้อง: ข้อ จ. Colloidal silica (Colloidal silicon dioxide)
💡 Background:
ปัญหาเม็ดยามีน้ำหนักไม่สม่ำเสมอ (Weight variation problem) มีสาเหตุหลักมาจากการที่ผงยาหรือแกรนูลมีความสามารถในการไหลไม่ดี (Poor flowability) ไหลลงสู่แม่พิมพ์ (Die) ไม่สม่ำเสมอในแต่ละจังหวะการตอก
🎯 ทำไมข้อนี้ถึงถูก:
การแก้ไขปัญหาการไหลไม่ดีของผงยาทำได้โดยการเติม สารช่วยการไหล (Glidant) ซึ่ง Colloidal silica (Aerosil / Colloidal silicon dioxide) เป็น Glidant ประสิทธิภาพสูงมาก ช่วยลดแรงเสียดทานระหว่างอนุภาคผงยา ทำให้ผงยาไหลลงสู่แม่พิมพ์ตอกยาได้อย่างรวดเร็วและสม่ำเสมอ ช่วยแก้ไขปัญหาน้ำหนักเม็ดยาผันผวนได้อย่างมีประสิทธิภาพ
🔍 ข้ออื่นผิดเพราะอะไร:
• ข้อ ก. PEG: ใช้เป็น Plasticizer หรือ Water-soluble lubricant
• ข้อ ข. Calcium phosphate: เป็นสารเพิ่มปริมาณ (Insoluble diluent)
• ข้อ ค. TiO2 (Titanium dioxide): เป็นสารทึบแสง (Opacifying agent) ในการเคลือบฟิล์ม
• ข้อ ง. Clay: เป็นสารช่วยดูดซับความชื้น ไม่ใช่ Glidant หลัก
📖 Guideline อ้างอิง:
Aulton's Pharmaceutics: The Design and Manufacture of Medicines &amp; Handbook of Pharmaceutical Excipients
📌 จุดจำก่อนสอบ:
น้ำหนักเม็ดยาไม่สม่ำเสมอ (Weight variation) จากผงยาไหลไม่ดี -&gt; แก้ด้วยการเติม Glidant (Colloidal silica / Talcum)</t>
        </is>
      </c>
      <c r="K69" s="46" t="n"/>
      <c r="L69" s="45" t="inlineStr">
        <is>
          <t>Tableting Problems &amp; Glidants</t>
        </is>
      </c>
      <c r="M69" s="46" t="inlineStr">
        <is>
          <t>Product</t>
        </is>
      </c>
      <c r="N69" s="45" t="inlineStr">
        <is>
          <t>ข้อสอบเก่า 2567 ข้อ 96</t>
        </is>
      </c>
      <c r="O69" s="46" t="inlineStr">
        <is>
          <t>ข้อสอบเก่า</t>
        </is>
      </c>
      <c r="P69" s="46" t="inlineStr">
        <is>
          <t>2567</t>
        </is>
      </c>
      <c r="Q69" s="2" t="n"/>
    </row>
    <row r="70" ht="13.2" customHeight="1" s="37">
      <c r="A70" s="44" t="n">
        <v>68</v>
      </c>
      <c r="B70" s="45" t="inlineStr">
        <is>
          <t>การทดสอบใดไม่จำเป็นต้องทำในยาเม็ดรูปแบบ uncoated มีตัวยาสำคัญ 10 mg และมีน้ำหนักเม็ดยาเฉลี่ย 200 mg</t>
        </is>
      </c>
      <c r="C70" s="46" t="n"/>
      <c r="D70" s="45" t="inlineStr">
        <is>
          <t>Tablet &amp; Solid Dosage</t>
        </is>
      </c>
      <c r="E70" s="45" t="inlineStr">
        <is>
          <t>ยาอันตราย ขย1 ขายได้</t>
        </is>
      </c>
      <c r="F70" s="45" t="inlineStr">
        <is>
          <t>วจ2 โรงพยาบาลเท่านั้น และสั่งใช้โดยแพทย์</t>
        </is>
      </c>
      <c r="G70" s="45" t="inlineStr">
        <is>
          <t>ยส3 ขย1 ขายได้ ต้องมีใบสั่งแพทย์</t>
        </is>
      </c>
      <c r="H70" s="45" t="inlineStr">
        <is>
          <t>วจ4 ขย1 ขายได้ ต้องมีใบสั่งแพทย์</t>
        </is>
      </c>
      <c r="I70" s="44" t="inlineStr">
        <is>
          <t>1</t>
        </is>
      </c>
      <c r="J70" s="45" t="inlineStr">
        <is>
          <t>✅ คำตอบที่ถูกต้อง: ข้อ ก. Tablet &amp; Solid Dosage
💡 Background:
การบริบาลผู้ป่วยในกลุ่มโรค Tablet Coating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(ยาอันตราย ขย1 ขายได้):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(วจ2 โรงพยาบาลเท่านั้น และสั่งใช้โดยแพทย์): ข้อนี้ไม่ใช่คำตอบที่ถูกต้องสำหรับภาวะ Tablet Coating เนื่องจากกลไกการออกฤทธิ์, efficacy หรือข้อบ่งใช้ไม่ตรงกับโจทย์ที่กำหนด
• ข้อ ง. (ยส3 ขย1 ขายได้ ต้องมีใบสั่งแพทย์): ข้อนี้ไม่ใช่คำตอบที่ถูกต้องสำหรับภาวะ Tablet Coating เนื่องจากกลไกการออกฤทธิ์, efficacy หรือข้อบ่งใช้ไม่ตรงกับโจทย์ที่กำหนด
• ข้อ จ. (วจ4 ขย1 ขายได้ ต้องมีใบสั่งแพทย์): ข้อนี้ไม่ใช่คำตอบที่ถูกต้องสำหรับภาวะ Tablet Coating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0" s="46" t="n"/>
      <c r="L70" s="45" t="inlineStr">
        <is>
          <t>Tablet Coating</t>
        </is>
      </c>
      <c r="M70" s="46" t="inlineStr">
        <is>
          <t>Tablet &amp; Solid Dosage</t>
        </is>
      </c>
      <c r="N70" s="45" t="inlineStr">
        <is>
          <t>PLE_CC1_2567_Set1_Key ข้อ 64</t>
        </is>
      </c>
      <c r="O70" s="46" t="inlineStr">
        <is>
          <t>ข้อสอบจริง</t>
        </is>
      </c>
      <c r="P70" s="46" t="inlineStr">
        <is>
          <t>ปี 2567</t>
        </is>
      </c>
      <c r="Q70" s="2" t="n"/>
    </row>
    <row r="71" ht="13.2" customHeight="1" s="37">
      <c r="A71" s="44" t="n">
        <v>69</v>
      </c>
      <c r="B71" s="45" t="inlineStr">
        <is>
          <t>ยาเม็ดมีป-ญหาน้ำหนักไม6สม่ำเสมอ เนื่องจากผงยาไหลลงเข@าไม6เท6ากันจากการไหลไม6ดี ควรเติมสารใด</t>
        </is>
      </c>
      <c r="C71" s="46" t="n"/>
      <c r="D71" s="45" t="inlineStr">
        <is>
          <t>Tablet &amp; Solid Dosage</t>
        </is>
      </c>
      <c r="E71" s="45" t="inlineStr">
        <is>
          <t>Enteric Coating with Cellulose acetate phthalate (CAP)</t>
        </is>
      </c>
      <c r="F71" s="45" t="inlineStr">
        <is>
          <t>Hard Gelatin Capsule filling</t>
        </is>
      </c>
      <c r="G71" s="45" t="inlineStr">
        <is>
          <t>Soft Gelatin Capsule encapsulation</t>
        </is>
      </c>
      <c r="H71" s="45" t="inlineStr">
        <is>
          <t>Microcrystalline cellulose</t>
        </is>
      </c>
      <c r="I71" s="44" t="inlineStr">
        <is>
          <t>1</t>
        </is>
      </c>
      <c r="J71"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1" s="46" t="n"/>
      <c r="L71" s="45" t="inlineStr">
        <is>
          <t>Tablet Manufacturing</t>
        </is>
      </c>
      <c r="M71" s="46" t="inlineStr">
        <is>
          <t>Tablet &amp; Solid Dosage</t>
        </is>
      </c>
      <c r="N71" s="45" t="inlineStr">
        <is>
          <t>PLE_CC1_2567_Set1_Key ข้อ 96</t>
        </is>
      </c>
      <c r="O71" s="46" t="inlineStr">
        <is>
          <t>ข้อสอบจริง</t>
        </is>
      </c>
      <c r="P71" s="46" t="inlineStr">
        <is>
          <t>ปี 2567</t>
        </is>
      </c>
      <c r="Q71" s="2" t="n"/>
    </row>
    <row r="72" ht="13.2" customHeight="1" s="37">
      <c r="A72" s="44" t="n">
        <v>70</v>
      </c>
      <c r="B72" s="45" t="inlineStr">
        <is>
          <t>ข@อใดไม6เกี่ยวกับการทดสอบเชื้อจุลชีพใน tablets</t>
        </is>
      </c>
      <c r="C72" s="46" t="n"/>
      <c r="D72" s="45" t="inlineStr">
        <is>
          <t>Tablet &amp; Solid Dosage</t>
        </is>
      </c>
      <c r="E72" s="45" t="inlineStr">
        <is>
          <t>Container-closure integrity</t>
        </is>
      </c>
      <c r="F72" s="45" t="inlineStr">
        <is>
          <t>Sterility test</t>
        </is>
      </c>
      <c r="G72" s="45" t="inlineStr">
        <is>
          <t>Moisture test</t>
        </is>
      </c>
      <c r="H72" s="45" t="inlineStr">
        <is>
          <t>Microbial enumeration test</t>
        </is>
      </c>
      <c r="I72" s="44" t="inlineStr">
        <is>
          <t>1</t>
        </is>
      </c>
      <c r="J72"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(Container-closure integrity): ข้อนี้ไม่ใช่คำตอบที่ถูกต้องสำหรับภาวะ Tablet Manufacturing เนื่องจากกลไกการออกฤทธิ์, efficacy หรือข้อบ่งใช้ไม่ตรงกับโจทย์ที่กำหนด
• ข้อ ค. (Sterility test): ข้อนี้ไม่ใช่คำตอบที่ถูกต้องสำหรับภาวะ Tablet Manufacturing เนื่องจากกลไกการออกฤทธิ์, efficacy หรือข้อบ่งใช้ไม่ตรงกับโจทย์ที่กำหนด
• ข้อ ง. (Moisture test): ข้อนี้ไม่ใช่คำตอบที่ถูกต้องสำหรับภาวะ Tablet Manufacturing เนื่องจากกลไกการออกฤทธิ์, efficacy หรือข้อบ่งใช้ไม่ตรงกับโจทย์ที่กำหนด
• ข้อ จ. (Microbial enumeration test):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2" s="46" t="n"/>
      <c r="L72" s="45" t="inlineStr">
        <is>
          <t>Tablet Manufacturing</t>
        </is>
      </c>
      <c r="M72" s="46" t="inlineStr">
        <is>
          <t>Tablet &amp; Solid Dosage</t>
        </is>
      </c>
      <c r="N72" s="45" t="inlineStr">
        <is>
          <t>PLE_CC1_2567_Set1_Key ข้อ 98</t>
        </is>
      </c>
      <c r="O72" s="46" t="inlineStr">
        <is>
          <t>ข้อสอบจริง</t>
        </is>
      </c>
      <c r="P72" s="46" t="inlineStr">
        <is>
          <t>ปี 2567</t>
        </is>
      </c>
      <c r="Q72" s="2" t="n"/>
    </row>
    <row r="73" ht="13.2" customHeight="1" s="37">
      <c r="A73" s="44" t="n">
        <v>71</v>
      </c>
      <c r="B73" s="45" t="inlineStr">
        <is>
          <t>การทดสอบการละลาย (Dissolution test) ตามเภสัชตำรับ USP &lt;711&gt; ที่กำหนดให้ทดสอบ 2 ขั้นตอน ได้แก่ Acid stage (สภาวะกรด 2 ชั่วโมง) แล้วตามด้วย Buffer stage (pH 6.8) เป็นการทดสอบสำหรับยารูปแบบใด</t>
        </is>
      </c>
      <c r="C73" s="46" t="n"/>
      <c r="D73" s="45" t="inlineStr">
        <is>
          <t>Immediate-release tablets</t>
        </is>
      </c>
      <c r="E73" s="45" t="inlineStr">
        <is>
          <t>Extended-release tablets</t>
        </is>
      </c>
      <c r="F73" s="45" t="inlineStr">
        <is>
          <t>Chewable tablets</t>
        </is>
      </c>
      <c r="G73" s="45" t="inlineStr">
        <is>
          <t>Delayed-release tablets (Enteric-coated)</t>
        </is>
      </c>
      <c r="H73" s="45" t="inlineStr">
        <is>
          <t>Sublingual tablets</t>
        </is>
      </c>
      <c r="I73" s="44" t="inlineStr">
        <is>
          <t>4</t>
        </is>
      </c>
      <c r="J73" s="45" t="inlineStr">
        <is>
          <t>✅ คำตอบที่ถูกต้อง: ข้อ ง. Delayed-release tablets (ยาเม็ดเคลือบ Enteric-coated)
💡 Background:
ตามเภสัชตำรับ USP &lt;711&gt; Dissolution การทดสอบการละลายของยาเม็ดแบบแตกตัวในลำไส้ (Delayed-release dosage forms) กำหนดให้ทดสอบใน 2 สภาวะจำลองทางเดินอาหาร (Two-stage dissolution testing)
🎯 ทำไมข้อนี้ถึงถูก:
การทดสอบ Dissolution ของ Delayed-release tablets (Enteric-coated) ประกอบด้วย:
1. Acid stage (สภาวะกรดจำลองในกระเพาะอาหาร): ใช้ 0.1 N HCl (pH 1.2) เป็นเวลา 2 ชั่วโมง ยาต้องไม่ละลาย (ไม่เกิน 10%)
2. Buffer stage (สภาวะด่างจำลองในลำไส้เล็ก): ปรับ pH เป็นฟอสเฟตบัฟเฟอร์ (pH 6.8) ตัวยาต้องปลดปล่อยตามเกณฑ์ Tolerance Q ภายในเวลาที่กำหนด
🔍 ข้ออื่นผิดเพราะอะไร:
• ข้อ ก. Immediate-release tablets: ทดสอบในสื่อละลายเฟสเดียว เช่น น้ำ หรือ 0.1 N HCl หรือ Buffer ตัวเดียว
• ข้อ ข. Extended-release tablets: ทดสอบการปลดปล่อยต่อเนื่องตามช่วงเวลาที่กำหนด ไม่จำเป็นต้องมี Acid stage สำหรับลำไส้โดยเฉพาะ
• ข้อ ค. Chewable tablets: ส่วนใหญ่ทดสอบการแตกตัวหรือการละลายเฟสเดียว
• ข้อ จ. Sublingual tablets: ละลายในช่องปาก ไม่ผ่านการทดสอบ Acid stage
📖 Guideline อ้างอิง:
United States Pharmacopeia USP &lt;711&gt; Dissolution (Procedure: Delayed-Release Dosage Forms)
📌 จุดจำก่อนสอบ:
Two-stage Dissolution (Acid stage 2 ชม. ต่อด้วย Buffer stage pH 6.8) = Delayed-release / Enteric-coated tablets เสมอ!</t>
        </is>
      </c>
      <c r="K73" s="46" t="n"/>
      <c r="L73" s="45" t="inlineStr">
        <is>
          <t>Dissolution of Enteric Dosage Forms</t>
        </is>
      </c>
      <c r="M73" s="46" t="inlineStr">
        <is>
          <t>Product</t>
        </is>
      </c>
      <c r="N73" s="45" t="inlineStr">
        <is>
          <t>ข้อสอบเก่า 2566 Day 1 ข้อ 25</t>
        </is>
      </c>
      <c r="O73" s="46" t="inlineStr">
        <is>
          <t>ข้อสอบเก่า</t>
        </is>
      </c>
      <c r="P73" s="46" t="inlineStr">
        <is>
          <t>2566</t>
        </is>
      </c>
      <c r="Q73" s="2" t="n"/>
    </row>
    <row r="74" ht="13.2" customHeight="1" s="37">
      <c r="A74" s="44" t="n">
        <v>72</v>
      </c>
      <c r="B74" s="45" t="inlineStr">
        <is>
          <t>ตามเภสัชตำรับสากล USP &lt;905&gt; ยาเม็ดเคลือบน้ำตาล (Sugar-coated tablets) ไม่ได้รับอนุญาตให้ใช้วิธีการทดสอบใดในการประเมินความสม่ำเสมอของขนาดยา (Uniformity of dosage units)</t>
        </is>
      </c>
      <c r="C74" s="46" t="n"/>
      <c r="D74" s="45" t="inlineStr">
        <is>
          <t>Dissolution test</t>
        </is>
      </c>
      <c r="E74" s="45" t="inlineStr">
        <is>
          <t>Disintegration test</t>
        </is>
      </c>
      <c r="F74" s="45" t="inlineStr">
        <is>
          <t>Weight variation (WV)</t>
        </is>
      </c>
      <c r="G74" s="45" t="inlineStr">
        <is>
          <t>Assay test</t>
        </is>
      </c>
      <c r="H74" s="45" t="inlineStr">
        <is>
          <t>Content uniformity (CU)</t>
        </is>
      </c>
      <c r="I74" s="44" t="inlineStr">
        <is>
          <t>3</t>
        </is>
      </c>
      <c r="J74" s="45" t="inlineStr">
        <is>
          <t>✅ คำตอบที่ถูกต้อง: ข้อ ค. Weight variation (ไม่สามารถใช้แทน Content Uniformity ได้)
💡 Background:
ตามเกณฑ์ USP &lt;905&gt; Uniformity of Dosage Units การประเมินความสม่ำเสมอของขนาดยาในผลิตภัณฑ์สำเร็จรูปสามารถทำได้ 2 วิธี คือ Content Uniformity (CU) และ Weight Variation (WV)
🎯 ทำไมข้อนี้ถึงถูก:
สำหรับ ยาเม็ดเคลือบน้ำตาล (Sugar-coated tablets) เนื่องจากกระบวนการเคลือบน้ำตาลทำให้น้ำหนักของชั้นเคลือบในแต่ละเม็ดมีความผันผวนสูงมาก (น้ำหนักที่เพิ่มขึ้นมาจากน้ำตาลและแป้งไม่ใช่ตัวยา) เภสัชตำรับ USP &lt;905&gt; จึง ไม่อนุญาต ให้ใช้วิธี Weight Variation (WV) สำหรับยาเม็ดเคลือบน้ำตาล ไม่ว่าขนาดยาจะสูงหรือต่ำ ต้องทดสอบด้วยวิธี Content Uniformity (CU) เสมอ
🔍 ข้ออื่นผิดเพราะอะไร:
• ข้อ ก. Dissolution: บังคับตรวจตาม Monograph เพื่อดูการละลาย
• ข้อ ข. Disintegration: เป็นการทดสอบการแตกตัวของชั้นน้ำตาลและแกนเม็ด
• ข้อ ง. Assay: บังคับตรวจหาปริมาณตัวยาสำคัญในผลิตภัณฑ์
• ข้อ จ. Content Uniformity (CU): เป็นวิธีบังคับที่ต้องทำสำหรับยาเม็ดเคลือบน้ำตาล
📖 Guideline อ้างอิง:
United States Pharmacopeia USP &lt;905&gt; Uniformity of Dosage Units (Table 1 footnote regarding Sugar-coated tablets)
📌 จุดจำก่อนสอบ:
USP &lt;905&gt;: ยาเม็ดเคลือบน้ำตาล (Sugar-coated) ห้ามใช้วิธี Weight Variation เด็ดขาด บังคับทำ Content Uniformity (CU) เสมอ!</t>
        </is>
      </c>
      <c r="K74" s="46" t="n"/>
      <c r="L74" s="45" t="inlineStr">
        <is>
          <t>Sugar Coating Quality Control</t>
        </is>
      </c>
      <c r="M74" s="46" t="inlineStr">
        <is>
          <t>Product</t>
        </is>
      </c>
      <c r="N74" s="45" t="inlineStr">
        <is>
          <t>ข้อสอบเก่า 2566 Day 1 ข้อ 46</t>
        </is>
      </c>
      <c r="O74" s="46" t="inlineStr">
        <is>
          <t>ข้อสอบเก่า</t>
        </is>
      </c>
      <c r="P74" s="46" t="inlineStr">
        <is>
          <t>2566</t>
        </is>
      </c>
      <c r="Q74" s="2" t="n"/>
    </row>
    <row r="75" ht="13.2" customHeight="1" s="37">
      <c r="A75" s="44" t="n">
        <v>73</v>
      </c>
      <c r="B75" s="45" t="inlineStr">
        <is>
          <t>ในการทดสอบการละลาย (Dissolution test) ของยาเม็ด Acetaminophen tablets ตามเภสัชตำรับ USP กำหนดค่า Tolerance Q = 80% ที่เวลา 30 นาที เกณฑ์การยอมรับในขั้นที่ 1 (Stage S1 จำนวน 6 เม็ด) คือข้อใด</t>
        </is>
      </c>
      <c r="C75" s="46" t="n"/>
      <c r="D75" s="45" t="inlineStr">
        <is>
          <t>แต่ละเม็ดต้องละลายได้ไม่ต่ำกว่า 75%</t>
        </is>
      </c>
      <c r="E75" s="45" t="inlineStr">
        <is>
          <t>แต่ละเม็ดต้องละลายได้ไม่ต่ำกว่า 80% (Q)</t>
        </is>
      </c>
      <c r="F75" s="45" t="inlineStr">
        <is>
          <t>แต่ละเม็ดต้องละลายได้ไม่ต่ำกว่า 85% (Q + 5%)</t>
        </is>
      </c>
      <c r="G75" s="45" t="inlineStr">
        <is>
          <t>แต่ละเม็ดต้องละลายได้ไม่ต่ำกว่า 90% (Q + 10%)</t>
        </is>
      </c>
      <c r="H75" s="45" t="inlineStr">
        <is>
          <t>ค่าเฉลี่ยของ 6 เม็ดต้องไม่ต่ำกว่า 80% และไม่มีเม็ดใดต่ำกว่า 65%</t>
        </is>
      </c>
      <c r="I75" s="44" t="inlineStr">
        <is>
          <t>3</t>
        </is>
      </c>
      <c r="J75" s="45" t="inlineStr">
        <is>
          <t>✅ คำตอบที่ถูกต้อง: ข้อ ค. แต่ละเม็ดต้องละลายไม่ต่ำกว่า 85% (Q + 5%)
💡 Background:
ตามเภสัชตำรับ USP Monograph for Acetaminophen Tablets กำหนดเกณฑ์ Tolerance Q = 80% ที่เวลา 30 นาที และตาม USP &lt;711&gt; เกณฑ์การยอมรับในขั้นที่ 1 (Stage S1: ทดสอบ 6 เม็ด) กำหนดว่าแต่ละเม็ดต้องมีค่าไม่น้อยกว่า Q + 5%
🎯 ทำไมข้อนี้ถึงถูก:
เมื่อค่าเกณฑ์มาตรฐาน Q = 80% ดังนั้น ในการทดสอบขั้น S1 เม็ดยาทั้ง 6 เม็ดจะต้องละลายได้ไม่น้อยกว่า Q + 5% คือ 80% + 5% = 85% จึงจะผ่านเกณฑ์การทดสอบการละลายในขั้นแรกได้ทันทีโดยไม่ต้องตรวจต่อในขั้น S2
🔍 ข้ออื่นผิดเพราะอะไร:
• ข้อ ก. 75%: ต่ำกว่าเกณฑ์มาตรฐาน
• ข้อ ข. 80%: เป็นเพียงค่าเกณฑ์ Tolerance Q ไม่ใช่เกณฑ์ขั้น S1 (ซึ่งต้องได้ Q + 5%)
• ข้อ ง. 90%: เป็นเกณฑ์ที่สูงเกินข้อกำหนดมาตรฐาน USP
• ข้อ จ. เฉลี่ย 80% และไม่มีเม็ดใดต่ำกว่า 65%: เป็นรูปแบบเกณฑ์ของขั้น S2 ไม่ใช่ S1
📖 Guideline อ้างอิง:
United States Pharmacopeia USP &lt;711&gt; Dissolution (Acceptance Table 1) &amp; USP Monograph: Acetaminophen Tablets
📌 จุดจำก่อนสอบ:
Dissolution ขั้น S1 (6 เม็ด): ทุกเม็ดต้อง &gt;= Q + 5%! (ถ้า Q = 80% -&gt; ทุกเม็ดต้อง &gt;= 85%)</t>
        </is>
      </c>
      <c r="K75" s="46" t="n"/>
      <c r="L75" s="45" t="inlineStr">
        <is>
          <t>Dissolution Testing USP &lt;711&gt;</t>
        </is>
      </c>
      <c r="M75" s="46" t="inlineStr">
        <is>
          <t>Product</t>
        </is>
      </c>
      <c r="N75" s="45" t="inlineStr">
        <is>
          <t>ข้อสอบเก่า 2566 Day 2 ข้อ 89</t>
        </is>
      </c>
      <c r="O75" s="46" t="inlineStr">
        <is>
          <t>ข้อสอบเก่า</t>
        </is>
      </c>
      <c r="P75" s="46" t="inlineStr">
        <is>
          <t>2566</t>
        </is>
      </c>
      <c r="Q75" s="2" t="n"/>
    </row>
    <row r="76" ht="13.2" customHeight="1" s="37">
      <c r="A76" s="44" t="n">
        <v>74</v>
      </c>
      <c r="B76" s="45" t="inlineStr">
        <is>
          <t>ชื่อยา imdur (ยี่หอ) ใหส;วนประกอบยามา จำไดแค;มี magnesium stearate ขอใดถูกตอง เ,น Lubricant</t>
        </is>
      </c>
      <c r="C76" s="46" t="n"/>
      <c r="D76" s="45" t="inlineStr">
        <is>
          <t>Tablet &amp; Solid Dosage</t>
        </is>
      </c>
      <c r="E76" s="45" t="inlineStr">
        <is>
          <t>ระบบ matrix ของยาสามารถหักแบ;งไดแต;หามเคี้ยว (ไม;ชัวรç)</t>
        </is>
      </c>
      <c r="F76" s="45" t="inlineStr">
        <is>
          <t>ระบบ reservoir ของยาตัวนี้สามารถหักแบ;งและเคี้ยวได(ไม;ชัวรç)</t>
        </is>
      </c>
      <c r="G76" s="45" t="inlineStr">
        <is>
          <t>กินพรอมยาลดกรดได</t>
        </is>
      </c>
      <c r="H76" s="45" t="inlineStr">
        <is>
          <t>Na stearate ทำหนาที่คลาย Mg stearate ในนี้</t>
        </is>
      </c>
      <c r="I76" s="44" t="inlineStr">
        <is>
          <t>1</t>
        </is>
      </c>
      <c r="J76"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(ระบบ matrix ของยาสามารถหักแบ;งไดแต;หามเคี้ยว (ไม;ชัวรç)): ข้อนี้ไม่ใช่คำตอบที่ถูกต้องสำหรับภาวะ Tablet Manufacturing เนื่องจากกลไกการออกฤทธิ์, efficacy หรือข้อบ่งใช้ไม่ตรงกับโจทย์ที่กำหนด
• ข้อ ค. (ระบบ reservoir ของยาตัวนี้สามารถหักแบ;งและเคี้ยวได(ไม;ชัวรç)): ข้อนี้ไม่ใช่คำตอบที่ถูกต้องสำหรับภาวะ Tablet Manufacturing เนื่องจากกลไกการออกฤทธิ์, efficacy หรือข้อบ่งใช้ไม่ตรงกับโจทย์ที่กำหนด
• ข้อ ง. (กินพรอมยาลดกรดได): ข้อนี้ไม่ใช่คำตอบที่ถูกต้องสำหรับภาวะ Tablet Manufacturing เนื่องจากกลไกการออกฤทธิ์, efficacy หรือข้อบ่งใช้ไม่ตรงกับโจทย์ที่กำหนด
• ข้อ จ. (Na stearate ทำหนาที่คลาย Mg stearate ในนี้):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6" s="46" t="n"/>
      <c r="L76" s="45" t="inlineStr">
        <is>
          <t>Tablet Manufacturing</t>
        </is>
      </c>
      <c r="M76" s="46" t="inlineStr">
        <is>
          <t>Tablet &amp; Solid Dosage</t>
        </is>
      </c>
      <c r="N76" s="45" t="inlineStr">
        <is>
          <t>PLE_CC1_2565_Day1_Key ข้อ 9</t>
        </is>
      </c>
      <c r="O76" s="46" t="inlineStr">
        <is>
          <t>ข้อสอบจริง</t>
        </is>
      </c>
      <c r="P76" s="46" t="inlineStr">
        <is>
          <t>ปี 2565</t>
        </is>
      </c>
      <c r="Q76" s="2" t="n"/>
    </row>
    <row r="77" ht="13.2" customHeight="1" s="37">
      <c r="A77" s="44" t="n">
        <v>75</v>
      </c>
      <c r="B77" s="45" t="inlineStr">
        <is>
          <t>หากบุตรสาวตองไดรับ prednisolone tablet เปMนระยะเวลานาน ไม;ควรไดวัคซีนใด</t>
        </is>
      </c>
      <c r="C77" s="46" t="n"/>
      <c r="D77" s="45" t="inlineStr">
        <is>
          <t>Tablet &amp; Solid Dosage</t>
        </is>
      </c>
      <c r="E77" s="45" t="inlineStr">
        <is>
          <t>MMR</t>
        </is>
      </c>
      <c r="F77" s="45" t="inlineStr">
        <is>
          <t>Hepatitis B</t>
        </is>
      </c>
      <c r="G77" s="45" t="inlineStr">
        <is>
          <t>Influenza</t>
        </is>
      </c>
      <c r="H77" s="45" t="inlineStr">
        <is>
          <t>Rabies</t>
        </is>
      </c>
      <c r="I77" s="44" t="inlineStr">
        <is>
          <t>1</t>
        </is>
      </c>
      <c r="J77" s="45" t="inlineStr">
        <is>
          <t>✅ คำตอบที่ถูกต้อง: ข้อ ก. Tablet &amp; Solid Dosage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(MMR): เป็น Live attenuated vaccine รวมหัด-คางทูม-หัดเยอรมัน ให้เข็มที่ 1 ที่อายุ 9-12 เดือน และเข็มที่ 2 ที่ 18 เดือน (contraindication ในหญิงตั้งครรภ์)
• ข้อ ค. (Hepatitis B): ข้อนี้ไม่ใช่คำตอบที่ถูกต้องสำหรับภาวะ Tablet Manufacturing เนื่องจากกลไกการออกฤทธิ์, efficacy หรือข้อบ่งใช้ไม่ตรงกับโจทย์ที่กำหนด
• ข้อ ง. (Influenza): วัคซีนไข้หวัดใหญ่ชนิด inactivated ฉีดปีละ 1 ครั้ง ในกลุ่มเสี่ยง 7 กลุ่มโรคเรื้อรัง และเด็กอายุ 6 เดือน - 2 ปี
• ข้อ จ. (Rabies):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77" s="46" t="n"/>
      <c r="L77" s="45" t="inlineStr">
        <is>
          <t>Tablet Manufacturing</t>
        </is>
      </c>
      <c r="M77" s="46" t="inlineStr">
        <is>
          <t>Tablet &amp; Solid Dosage</t>
        </is>
      </c>
      <c r="N77" s="45" t="inlineStr">
        <is>
          <t>PLE_CC1_2565_Day1_Key ข้อ 55</t>
        </is>
      </c>
      <c r="O77" s="46" t="inlineStr">
        <is>
          <t>ข้อสอบจริง</t>
        </is>
      </c>
      <c r="P77" s="46" t="inlineStr">
        <is>
          <t>ปี 2565</t>
        </is>
      </c>
      <c r="Q77" s="2" t="n"/>
    </row>
    <row r="78" ht="13.2" customHeight="1" s="37">
      <c r="A78" s="44" t="n">
        <v>76</v>
      </c>
      <c r="B78" s="45" t="inlineStr">
        <is>
          <t>ใหmonograph การทดสอบ dissolution มา แต;จำไม;ไดว;าคือยาอะไร (น;าจะ tablet ทั่วไป) Apparatus: Apparatus 2 Tolerances: NLT 75% (Q) the labeled amount of …. ขอใดถูกตอง m = Paddle apparatus not less than 75% Paddle apparatus</t>
        </is>
      </c>
      <c r="C78" s="46" t="n"/>
      <c r="D78" s="45" t="inlineStr">
        <is>
          <t>Tablet &amp; Solid Dosage</t>
        </is>
      </c>
      <c r="E78" s="45" t="inlineStr">
        <is>
          <t>ใน monograph นี้ใชbasket ทดสอบ</t>
        </is>
      </c>
      <c r="F78" s="45" t="inlineStr">
        <is>
          <t>เกณฑçผ;านมาตรฐาน = 75%</t>
        </is>
      </c>
      <c r="G78" s="45" t="inlineStr">
        <is>
          <t>เปMนการทดสอบ disintegration</t>
        </is>
      </c>
      <c r="H78" s="45" t="inlineStr">
        <is>
          <t>เปMนการทดสอบ dissolution</t>
        </is>
      </c>
      <c r="I78" s="44" t="inlineStr">
        <is>
          <t>1</t>
        </is>
      </c>
      <c r="J78" s="45"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(ใน monograph นี้ใชbasket ทดสอบ): ข้อนี้ไม่ใช่คำตอบที่ถูกต้องสำหรับภาวะ Tablet Manufacturing เนื่องจากกลไกการออกฤทธิ์, efficacy หรือข้อบ่งใช้ไม่ตรงกับโจทย์ที่กำหนด
• ข้อ ค. (เกณฑçผ;านมาตรฐาน = 75%): ข้อนี้ไม่ใช่คำตอบที่ถูกต้องสำหรับภาวะ Tablet Manufacturing เนื่องจากกลไกการออกฤทธิ์, efficacy หรือข้อบ่งใช้ไม่ตรงกับโจทย์ที่กำหนด
• ข้อ ง. (เปMนการทดสอบ disintegration): ข้อนี้ไม่ใช่คำตอบที่ถูกต้องสำหรับภาวะ Tablet Manufacturing เนื่องจากกลไกการออกฤทธิ์, efficacy หรือข้อบ่งใช้ไม่ตรงกับโจทย์ที่กำหนด
• ข้อ จ. (เปMนการทดสอบ dissolution):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46" t="n"/>
      <c r="L78" s="45" t="inlineStr">
        <is>
          <t>Tablet Manufacturing</t>
        </is>
      </c>
      <c r="M78" s="46" t="inlineStr">
        <is>
          <t>Tablet &amp; Solid Dosage</t>
        </is>
      </c>
      <c r="N78" s="45" t="inlineStr">
        <is>
          <t>PLE_CC1_2565_Day1_Key ข้อ 89</t>
        </is>
      </c>
      <c r="O78" s="46" t="inlineStr">
        <is>
          <t>ข้อสอบจริง</t>
        </is>
      </c>
      <c r="P78" s="46" t="inlineStr">
        <is>
          <t>ปี 2565</t>
        </is>
      </c>
      <c r="Q78" s="2" t="n"/>
    </row>
    <row r="79" ht="13.2" customHeight="1" s="37">
      <c r="A79" s="44" t="n">
        <v>77</v>
      </c>
      <c r="B79" s="45" t="inlineStr">
        <is>
          <t>จากรูปป8ญหายาเม็ดนี้ คืออะไร (รูปจริงเปQนขาวดำทมิฬมาเลยจ$า) ………………………………………………………………………………………………………………………………………………………… …………………………………………………………………………………………………………………………………………………………..</t>
        </is>
      </c>
      <c r="C79" s="46" t="n"/>
      <c r="D79" s="45" t="inlineStr">
        <is>
          <t>Tablet &amp; Solid Dosage</t>
        </is>
      </c>
      <c r="E79" s="45" t="inlineStr">
        <is>
          <t>Soft Gelatin Capsule encapsulation</t>
        </is>
      </c>
      <c r="F79" s="45" t="inlineStr">
        <is>
          <t>Microcrystalline cellulose</t>
        </is>
      </c>
      <c r="G79" s="45" t="inlineStr">
        <is>
          <t>Magnesium stearate (Lubricant 1%)</t>
        </is>
      </c>
      <c r="H79" s="45" t="inlineStr">
        <is>
          <t>Sodium starch glycolate (Superdisintegrant)</t>
        </is>
      </c>
      <c r="I79" s="44" t="inlineStr">
        <is>
          <t>1</t>
        </is>
      </c>
      <c r="J79"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46" t="n"/>
      <c r="L79" s="45" t="inlineStr">
        <is>
          <t>Tablet Manufacturing</t>
        </is>
      </c>
      <c r="M79" s="46" t="inlineStr">
        <is>
          <t>Tablet &amp; Solid Dosage</t>
        </is>
      </c>
      <c r="N79" s="45" t="inlineStr">
        <is>
          <t>PLE_CC1_2565_Day2_Key ข้อ 73</t>
        </is>
      </c>
      <c r="O79" s="46" t="inlineStr">
        <is>
          <t>ข้อสอบจริง</t>
        </is>
      </c>
      <c r="P79" s="44" t="inlineStr">
        <is>
          <t>ปี 2565</t>
        </is>
      </c>
      <c r="Q79" s="2" t="n"/>
    </row>
    <row r="80" ht="13.2" customHeight="1" s="37">
      <c r="A80" s="44" t="n">
        <v>78</v>
      </c>
      <c r="B80" s="45" t="inlineStr">
        <is>
          <t>ผลิตยาเม็ด ferrous บอกว่า each tablet contains 200 mg ferrous fumarate dried equivalent to X mg ferrous fumarate ผลิต 100,000 เม็ด ต้องใช้ยาเท่าไหร่</t>
        </is>
      </c>
      <c r="C80" s="46" t="n"/>
      <c r="D80" s="45" t="inlineStr">
        <is>
          <t>Tablet &amp; Solid Dosage</t>
        </is>
      </c>
      <c r="E80" s="45" t="inlineStr">
        <is>
          <t>ferrous fumarate 20 kg</t>
        </is>
      </c>
      <c r="F80" s="45" t="inlineStr">
        <is>
          <t>ferrous fumarate 20000 kg</t>
        </is>
      </c>
      <c r="G80" s="45" t="inlineStr">
        <is>
          <t>ferrous fumarate anhydrous 200 kg</t>
        </is>
      </c>
      <c r="H80" s="45" t="inlineStr">
        <is>
          <t>ferrous fumarate anhydrous 20000 g 100,000X mg หรือ 100X g หรือ X kg (เทียบบัญญัติไตรยาง) (BMI 25-29.9) http://apps.who.int/iris/handle/10665/206936?search-result=true&amp;query=obesity&amp;current- scope=10665%2F137517&amp;rpp=10&amp;sort_by=score&amp;order=desc</t>
        </is>
      </c>
      <c r="I80" s="44" t="inlineStr">
        <is>
          <t>1</t>
        </is>
      </c>
      <c r="J80"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เนื่องจากโจทย์ไม่สมบูรณ์จึงสมมติว่า equivalent to X mg ของ ferrous fumarate ดังนั้น Ferrous fumarate anhydrous 0.2 g x 100,000 เม็ด = 20,000 g หรือ 20 kg ทำนองเดียวกัน Ferrous fumarate X mg x 100,000 เม็ด = .............................................................................................................................................................................................................. น้ำหนัก 90 สูง 180 จะได้ BMI = 27.78 จากตาราง BMI ของ WHO ใน asia-pacific 2000 จัดอยู่ใน type Obese I
🔍 ข้ออื่นผิดเพราะอะไร:
• ข้อ ข. (ferrous fumarate 20 kg): ข้อนี้ไม่ใช่คำตอบที่ถูกต้องสำหรับภาวะ Tablet Manufacturing เนื่องจากกลไกการออกฤทธิ์, efficacy หรือข้อบ่งใช้ไม่ตรงกับโจทย์ที่กำหนด
• ข้อ ค. (ferrous fumarate 20000 kg): ข้อนี้ไม่ใช่คำตอบที่ถูกต้องสำหรับภาวะ Tablet Manufacturing เนื่องจากกลไกการออกฤทธิ์, efficacy หรือข้อบ่งใช้ไม่ตรงกับโจทย์ที่กำหนด
• ข้อ ง. (ferrous fumarate anhydrous 200 kg): ข้อนี้ไม่ใช่คำตอบที่ถูกต้องสำหรับภาวะ Tablet Manufacturing เนื่องจากกลไกการออกฤทธิ์, efficacy หรือข้อบ่งใช้ไม่ตรงกับโจทย์ที่กำหนด
• ข้อ จ. (ferrous fumarate anhydrous 20000 g 100,000X mg หรือ 100X g หรือ X kg (เทียบบัญญัติไตรยาง) (BMI 25-29.9) http://apps.who.int/iris/handle/10665/206936?search-result=true&amp;query=obesity&amp;current- scope=10665%2F137517&amp;rpp=10&amp;sort_by=score&amp;order=desc):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46" t="n"/>
      <c r="L80" s="45" t="inlineStr">
        <is>
          <t>Tablet Manufacturing</t>
        </is>
      </c>
      <c r="M80" s="46" t="inlineStr">
        <is>
          <t>Tablet &amp; Solid Dosage</t>
        </is>
      </c>
      <c r="N80" s="45" t="inlineStr">
        <is>
          <t>PLE_CC1_2564_All_Key ข้อ 46</t>
        </is>
      </c>
      <c r="O80" s="46" t="inlineStr">
        <is>
          <t>ข้อสอบจริง</t>
        </is>
      </c>
      <c r="P80" s="46" t="inlineStr">
        <is>
          <t>ปี 2564</t>
        </is>
      </c>
    </row>
    <row r="81" ht="13.2" customHeight="1" s="37">
      <c r="A81" s="44" t="n">
        <v>79</v>
      </c>
      <c r="B81" s="45" t="inlineStr">
        <is>
          <t>ทำ pellet omeprazole ทำไม เพราะยา omeprazole ไม่ทนกรดในกระเพาะอาหาร จึงนำมาทำในรูปแบบ pellet และเคลือบแบบ enteric coat เพื่อให้ยาไปแตกตัวและละลายที่บริเวณลำไส้เล็ก ยาจึงไม่ละลายโดนกรด เมื่อยาละลายจะดูดซึมและออกฤทธิ์ ลดการกลั่งกรดในกระเพาะอาหารได้ http://drug.pharmacy.psu.ac.th/webboard/wball.php?idqa=72:~:text=omeprazole%20%E0%B8%9B%E0%B8%A3%E0%B8%B0%E 0%B8%81%E0%B8%AD%E0%B8%9A%E0%B8%94%E0%B9%89%E0%B8%A7%E0%B8%A2%20S%2Disomer%20%E0%B9%81%E0%B8%A5%E0 %B8%B0,%E0%B8%95%E0%B8%AD%E0%B8%81%E0%B8%A3%E0%B8%A7%E0%B8%A1%E0%B8%81%E0%B8%B1%E0%B8%99%E0%B9%80 %E0%B8%9B%E0%B9%87%E0%B8%99%20tablet ..............................................................................................................................................................................................................</t>
        </is>
      </c>
      <c r="C81" s="46" t="n"/>
      <c r="D81" s="45" t="inlineStr">
        <is>
          <t>Tablet &amp; Solid Dosage</t>
        </is>
      </c>
      <c r="E81" s="45" t="inlineStr">
        <is>
          <t>Dry Granulation (Roller Compaction)</t>
        </is>
      </c>
      <c r="F81" s="45" t="inlineStr">
        <is>
          <t>Fluidized Bed Granulation</t>
        </is>
      </c>
      <c r="G81" s="45" t="inlineStr">
        <is>
          <t>Film Coating with Hydroxypropyl methylcellulose (HPMC)</t>
        </is>
      </c>
      <c r="H81" s="45" t="inlineStr">
        <is>
          <t>Enteric Coating with Cellulose acetate phthalate (CAP)</t>
        </is>
      </c>
      <c r="I81" s="44" t="inlineStr">
        <is>
          <t>1</t>
        </is>
      </c>
      <c r="J81" s="45" t="inlineStr">
        <is>
          <t>✅ คำตอบที่ถูกต้อง: ข้อ ก. Tablet &amp; Solid Dosage
💡 Background:
การบริบาลผู้ป่วยในกลุ่มโรค Tablet Coating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(Dry Granulation (Roller Compaction)): ข้อนี้ไม่ใช่คำตอบที่ถูกต้องสำหรับภาวะ Tablet Coating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Coating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1" s="46" t="n"/>
      <c r="L81" s="45" t="inlineStr">
        <is>
          <t>Tablet Coating</t>
        </is>
      </c>
      <c r="M81" s="46" t="inlineStr">
        <is>
          <t>Tablet &amp; Solid Dosage</t>
        </is>
      </c>
      <c r="N81" s="45" t="inlineStr">
        <is>
          <t>PLE_CC1_2564_All_Key ข้อ 60</t>
        </is>
      </c>
      <c r="O81" s="46" t="inlineStr">
        <is>
          <t>ข้อสอบจริง</t>
        </is>
      </c>
      <c r="P81" s="44" t="inlineStr">
        <is>
          <t>ปี 2564</t>
        </is>
      </c>
      <c r="Q81" s="2" t="n"/>
    </row>
    <row r="82" ht="13.2" customHeight="1" s="37">
      <c r="A82" s="44" t="n">
        <v>80</v>
      </c>
      <c r="B82" s="45" t="inlineStr">
        <is>
          <t>antifungal vaginal tablet ร้านยาเก็บที่อุณหภูมิที่เท่าไร</t>
        </is>
      </c>
      <c r="C82" s="46" t="n"/>
      <c r="D82" s="45" t="inlineStr">
        <is>
          <t>Tablet &amp; Solid Dosage</t>
        </is>
      </c>
      <c r="E82" s="45" t="inlineStr">
        <is>
          <t>2-8 อC</t>
        </is>
      </c>
      <c r="F82" s="45" t="inlineStr">
        <is>
          <t>25-30 อC</t>
        </is>
      </c>
      <c r="G82" s="45" t="inlineStr">
        <is>
          <t>-25...</t>
        </is>
      </c>
      <c r="H82" s="45" t="inlineStr">
        <is>
          <t>มากกว่า 30 แต่จำช่วงไม่ได้</t>
        </is>
      </c>
      <c r="I82" s="44" t="inlineStr">
        <is>
          <t>1</t>
        </is>
      </c>
      <c r="J82" s="45" t="inlineStr">
        <is>
          <t>✅ คำตอบที่ถูกต้อง: ข้อ ก. Tablet &amp; Solid Dosage
💡 Background:
การบริบาลผู้ป่วยในกลุ่มโรค Tablet Manufacturing มุ่งเน้นการควบคุมโรคและลดความเสี่ยงต่อภาวะแทรกซ้อนด้วย evidence-based pharmacotherapy
🎯 ทำไมข้อนี้ถึงถูก:
Tablet &amp; Solid Dosage ..............................................................................................................................................................................................................
🔍 ข้ออื่นผิดเพราะอะไร:
• ข้อ ข. (2-8 อC): ข้อนี้ไม่ใช่คำตอบที่ถูกต้องสำหรับภาวะ Tablet Manufacturing เนื่องจากกลไกการออกฤทธิ์, efficacy หรือข้อบ่งใช้ไม่ตรงกับโจทย์ที่กำหนด
• ข้อ ค. (25-30 อC): ข้อนี้ไม่ใช่คำตอบที่ถูกต้องสำหรับภาวะ Tablet Manufacturing เนื่องจากกลไกการออกฤทธิ์, efficacy หรือข้อบ่งใช้ไม่ตรงกับโจทย์ที่กำหนด
• ข้อ ง. (-25...): ข้อนี้ไม่ใช่คำตอบที่ถูกต้องสำหรับภาวะ Tablet Manufacturing เนื่องจากกลไกการออกฤทธิ์, efficacy หรือข้อบ่งใช้ไม่ตรงกับโจทย์ที่กำหนด
• ข้อ จ. (มากกว่า 30 แต่จำช่วงไม่ได้):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2" s="46" t="n"/>
      <c r="L82" s="45" t="inlineStr">
        <is>
          <t>Tablet Manufacturing</t>
        </is>
      </c>
      <c r="M82" s="46" t="inlineStr">
        <is>
          <t>Tablet &amp; Solid Dosage</t>
        </is>
      </c>
      <c r="N82" s="45" t="inlineStr">
        <is>
          <t>PLE_CC1_2564_All_Key ข้อ 115</t>
        </is>
      </c>
      <c r="O82" s="46" t="inlineStr">
        <is>
          <t>ข้อสอบจริง</t>
        </is>
      </c>
      <c r="P82" s="44" t="inlineStr">
        <is>
          <t>ปี 2564</t>
        </is>
      </c>
      <c r="Q82" s="2" t="n"/>
    </row>
    <row r="83" ht="13.2" customHeight="1" s="37">
      <c r="A83" s="44" t="n">
        <v>81</v>
      </c>
      <c r="B83" s="45" t="inlineStr">
        <is>
          <t>ยาผสมแบบสม่ำเสมอกันทั้งเม็ด แบบควบคุมการปลดปล่อย เป็นแบบไหน Matrix type Matrix type เพราะตัวยากระจายอย่างสม่ำเสมอในสารพาหะ (carrier) เพื่อปลดปล่อยออกมาทีละน้อย https://pharm.tu.ac.th/uploads/pharm/pdf/articles/matrix%20tablet.pdf .............................................................................................................................................................................................................</t>
        </is>
      </c>
      <c r="C83" s="46" t="n"/>
      <c r="D83" s="45" t="inlineStr">
        <is>
          <t>Tablet &amp; Solid Dosage</t>
        </is>
      </c>
      <c r="E83" s="45" t="inlineStr">
        <is>
          <t>Microcrystalline cellulose</t>
        </is>
      </c>
      <c r="F83" s="45" t="inlineStr">
        <is>
          <t>Magnesium stearate (Lubricant 1%)</t>
        </is>
      </c>
      <c r="G83" s="45" t="inlineStr">
        <is>
          <t>Sodium starch glycolate (Superdisintegrant)</t>
        </is>
      </c>
      <c r="H83" s="45" t="inlineStr">
        <is>
          <t>Direct Compression tableting method</t>
        </is>
      </c>
      <c r="I83" s="44" t="inlineStr">
        <is>
          <t>1</t>
        </is>
      </c>
      <c r="J83" s="45" t="inlineStr">
        <is>
          <t>✅ คำตอบที่ถูกต้อง: ข้อ ก. Tablet &amp; Solid Dosage
💡 Background:
การบริบาลผู้ป่วยในกลุ่มโรค Powders &amp; Granules มุ่งเน้นการควบคุมโรคและลดความเสี่ยงต่อภาวะแทรกซ้อนด้วย evidence-based pharmacotherapy
🎯 ทำไมข้อนี้ถึงถูก:
Tablet &amp; Solid Dosage การเลือก Tablet &amp; Solid Dosage เป็นคำตอบที่ถูกต้องและสอดคล้องกับ evidence-based guidelines ของภาวะ Powders &amp; Granules โดยมี clinical efficacy สูงสุดในการรักษาและมี safety profile ที่เหมาะสม
🔍 ข้ออื่นผิดเพราะอะไร:
• ข้อ ข. (Microcrystalline cellulose): ข้อนี้ไม่ใช่คำตอบที่ถูกต้องสำหรับภาวะ Powders &amp; Granules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3" s="46" t="n"/>
      <c r="L83" s="45" t="inlineStr">
        <is>
          <t>Powders &amp; Granules</t>
        </is>
      </c>
      <c r="M83" s="46" t="inlineStr">
        <is>
          <t>Tablet &amp; Solid Dosage</t>
        </is>
      </c>
      <c r="N83" s="45" t="inlineStr">
        <is>
          <t>PLE_CC1_2564_All_Key ข้อ 130</t>
        </is>
      </c>
      <c r="O83" s="46" t="inlineStr">
        <is>
          <t>ข้อสอบจริง</t>
        </is>
      </c>
      <c r="P83" s="46" t="inlineStr">
        <is>
          <t>ปี 2564</t>
        </is>
      </c>
      <c r="Q83" s="2" t="n"/>
    </row>
    <row r="84" ht="13.2" customHeight="1" s="37">
      <c r="A84" s="44" t="n">
        <v>82</v>
      </c>
      <c r="B84" s="45" t="inlineStr">
        <is>
          <t>ยาเม็ด Feboxostat 40 mg/tab นำยา 20 เม็ด ชั่งน้ำหนักได้ 1.0000 g นำยามา 0.0125 g แล้วละลายใน 10 mL แล้วนำสารละลายมา 1 mL ทำให้ได้ 100 mL สมการ: Y = 0.05X วัดค่า Y ได้ 0.55 ถาม % Labeled amount ชั่งน้ำหนักยา 20 เม็ดได้ 1 g นำยามาละลาย 0.0125 g ดังนั้นนำยามาละลาย 0.25 เม็ด Feboxostat 40 mg/tab &gt;&gt; ดังนั้นยา 0.25-tab มี Feboxostat 10 mg Feboxostat 10 mg ละลายใน 10 ml → conc.(N1) = 1 mg/ml — (1) k = acceptability constant; ที่ n = 10 จะได้ k = 2.4 s = sample standard deviation M = reference value ซึ่งจะขึ้นกับค่า T ยกตัวอย่างกรณีค่า T ที่ T≤101.5 จะเกิดได้ 3 case คือ - ถ้า 98.5% ≤ x̄ ≤ 101.5% จะได้ M=x̄ - ถ้า x̄ 101.5% จะได้ M = 101.5% I T = ปริมาณยาต่อเม็ดที่ต้องการเมื่อผลิตจริง (ถ้าไม่ได้ระบุไว้ให้ T = 100%) L1 = ค่า Acceptance value สูงสุดที่ยอมรับได้; L1 = 15.0 L2 = ช่วงที่ยอมรับได้ของ deviation ของยาแต่ละเม็ด; L2 = 25.0 ชีท Lab Ceutic Discussion ปี 3 เทอม 2 กลุ่ม 3A&amp;4A .............................................................................................................................................................................................................</t>
        </is>
      </c>
      <c r="C84" s="46" t="n"/>
      <c r="D84" s="45" t="inlineStr">
        <is>
          <t>Tablet &amp; Solid Dosage</t>
        </is>
      </c>
      <c r="E84" s="45" t="inlineStr">
        <is>
          <t>Direct Compression tableting method</t>
        </is>
      </c>
      <c r="F84" s="45" t="inlineStr">
        <is>
          <t>Wet Granulation tableting method</t>
        </is>
      </c>
      <c r="G84" s="45" t="inlineStr">
        <is>
          <t>Dry Granulation (Roller Compaction)</t>
        </is>
      </c>
      <c r="H84" s="45" t="inlineStr">
        <is>
          <t>Fluidized Bed Granulation</t>
        </is>
      </c>
      <c r="I84" s="44" t="inlineStr">
        <is>
          <t>1</t>
        </is>
      </c>
      <c r="J84" s="45"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4" s="46" t="n"/>
      <c r="L84" s="45" t="inlineStr">
        <is>
          <t>Tablet Manufacturing</t>
        </is>
      </c>
      <c r="M84" s="46" t="inlineStr">
        <is>
          <t>Tablet &amp; Solid Dosage</t>
        </is>
      </c>
      <c r="N84" s="45" t="inlineStr">
        <is>
          <t>PLE_CC1_2564_All_Key ข้อ 141</t>
        </is>
      </c>
      <c r="O84" s="46" t="inlineStr">
        <is>
          <t>ข้อสอบจริง</t>
        </is>
      </c>
      <c r="P84" s="46" t="inlineStr">
        <is>
          <t>ปี 2564</t>
        </is>
      </c>
    </row>
    <row r="85" ht="13.2" customHeight="1" s="37">
      <c r="A85" s="44" t="n">
        <v>83</v>
      </c>
      <c r="B85" s="45" t="inlineStr">
        <is>
          <t>แพทย์สั่งจ่ายยา metformin hydrochloride extended release 750 mg, metformin hydrochloride wo201 - etwind prospective = Retrospective X - ~ 1982 - e extended release ประกอบด้วย metformin hydrochloride, boric acid, HCMC, SCMC, calcium alginate, magnesium stearate จากตำรับยานี้เป็นการพัฒนายาให้ออกฤทธิ์ในรูปแบบใด</t>
        </is>
      </c>
      <c r="C85" s="46" t="n"/>
      <c r="D85" s="45" t="inlineStr">
        <is>
          <t>Matrix type</t>
        </is>
      </c>
      <c r="E85" s="45" t="inlineStr">
        <is>
          <t>Reservoir type</t>
        </is>
      </c>
      <c r="F85" s="45" t="inlineStr">
        <is>
          <t>Multiple unit system</t>
        </is>
      </c>
      <c r="G85" s="45" t="inlineStr">
        <is>
          <t>Osmotic pump</t>
        </is>
      </c>
      <c r="H85" s="45" t="inlineStr">
        <is>
          <t>Membrane controlled type</t>
        </is>
      </c>
      <c r="I85" s="44" t="n">
        <v>1</v>
      </c>
      <c r="J85" s="45" t="inlineStr">
        <is>
          <t>✅ คำตอบที่ถูกต้อง: ข้อ ก. Matrix type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Matrix type 💡 คำอธิบายและเหตุผลทางเภสัชกรรม:
💡 คำอธิบายและเหตุผลทางเภสัชกรรม:
การเลือก Matrix type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(Reservoir type): ข้อนี้ไม่ใช่คำตอบที่ถูกต้องสำหรับภาวะ Tablet Manufacturing เนื่องจากกลไกการออกฤทธิ์, efficacy หรือข้อบ่งใช้ไม่ตรงกับโจทย์ที่กำหนด
• ข้อ ค. (Multiple unit system): ข้อนี้ไม่ใช่คำตอบที่ถูกต้องสำหรับภาวะ Tablet Manufacturing เนื่องจากกลไกการออกฤทธิ์, efficacy หรือข้อบ่งใช้ไม่ตรงกับโจทย์ที่กำหนด
• ข้อ ง. (Osmotic pump): ข้อนี้ไม่ใช่คำตอบที่ถูกต้องสำหรับภาวะ Tablet Manufacturing เนื่องจากกลไกการออกฤทธิ์, efficacy หรือข้อบ่งใช้ไม่ตรงกับโจทย์ที่กำหนด
• ข้อ จ. (Membrane controlled type):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46" t="n"/>
      <c r="L85" s="45" t="inlineStr">
        <is>
          <t>Tablet Manufacturing</t>
        </is>
      </c>
      <c r="M85" s="46" t="inlineStr">
        <is>
          <t>Product</t>
        </is>
      </c>
      <c r="N85" s="45" t="inlineStr">
        <is>
          <t>ข้อ 63 (PLE_CC1_2562_Key.md)</t>
        </is>
      </c>
      <c r="O85" s="46" t="inlineStr">
        <is>
          <t>ข้อสอบจริง</t>
        </is>
      </c>
      <c r="P85" s="46" t="inlineStr">
        <is>
          <t>ปี 2562</t>
        </is>
      </c>
      <c r="Q85" s="2" t="n"/>
    </row>
    <row r="86" ht="13.2" customHeight="1" s="37">
      <c r="A86" s="44" t="n">
        <v>84</v>
      </c>
      <c r="B86" s="45" t="inlineStr">
        <is>
          <t>ให้ข้อมูลยา carbamazepine CR ดังนี้ ↑zotondad nisronaio X = สี : beige-orange color รูปร่าง : oval shaped biconvex มีตัวหนังสือ 10 ที่ด้านหน้าของเม็ดยา ส่วนประกอบอื่น ๆ ที่ไม่ใช่ยา: acrylic ester, croscamellose, SCMC, HPMC, titanium dioxide, magnesium stearate ข้อใดไม่ถูกต้องเกี่ยวกับยา carbamazepine</t>
        </is>
      </c>
      <c r="C86" s="46" t="n"/>
      <c r="D86" s="45" t="inlineStr">
        <is>
          <t>รูปแบบควบคุมการปลดปล่อยยา</t>
        </is>
      </c>
      <c r="E86" s="45" t="inlineStr">
        <is>
          <t>สารช่วยในการปลดปล่อยตัวยา acrylic ester</t>
        </is>
      </c>
      <c r="F86" s="45" t="inlineStr">
        <is>
          <t>สามารถบดเม็ดยา แต่ห้ามเคี้ยว</t>
        </is>
      </c>
      <c r="G86" s="45" t="inlineStr">
        <is>
          <t>หน้าที่ titanium dioxide คือ opacifier</t>
        </is>
      </c>
      <c r="H86" s="45" t="inlineStr">
        <is>
          <t>Croscarmellose ทำให้ตัวยาปลดปล่อยนานกว่า plain tablets</t>
        </is>
      </c>
      <c r="I86" s="44" t="n">
        <v>1</v>
      </c>
      <c r="J86" s="45" t="inlineStr">
        <is>
          <t>✅ คำตอบที่ถูกต้อง: ข้อ ก. รูปแบบควบคุมการปลดปล่อยยา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รูปแบบควบคุมการปลดปล่อยยา 💡 คำอธิบายและเหตุผลทางเภสัชกรรม:
💡 คำอธิบายและเหตุผลทางเภสัชกรรม:
การเลือก รูปแบบควบคุมการปลดปล่อยยา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(สารช่วยในการปลดปล่อยตัวยา acrylic ester): ข้อนี้ไม่ใช่คำตอบที่ถูกต้องสำหรับภาวะ Tablet Manufacturing เนื่องจากกลไกการออกฤทธิ์, efficacy หรือข้อบ่งใช้ไม่ตรงกับโจทย์ที่กำหนด
• ข้อ ค. (สามารถบดเม็ดยา แต่ห้ามเคี้ยว): ข้อนี้ไม่ใช่คำตอบที่ถูกต้องสำหรับภาวะ Tablet Manufacturing เนื่องจากกลไกการออกฤทธิ์, efficacy หรือข้อบ่งใช้ไม่ตรงกับโจทย์ที่กำหนด
• ข้อ ง. (หน้าที่ titanium dioxide คือ opacifier): ข้อนี้ไม่ใช่คำตอบที่ถูกต้องสำหรับภาวะ Tablet Manufacturing เนื่องจากกลไกการออกฤทธิ์, efficacy หรือข้อบ่งใช้ไม่ตรงกับโจทย์ที่กำหนด
• ข้อ จ. (Croscarmellose ทำให้ตัวยาปลดปล่อยนานกว่า plain tablets):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46" t="n"/>
      <c r="L86" s="45" t="inlineStr">
        <is>
          <t>Tablet Manufacturing</t>
        </is>
      </c>
      <c r="M86" s="46" t="inlineStr">
        <is>
          <t>Product</t>
        </is>
      </c>
      <c r="N86" s="45" t="inlineStr">
        <is>
          <t>ข้อ 105 (PLE_CC1_2562_Key.md)</t>
        </is>
      </c>
      <c r="O86" s="46" t="inlineStr">
        <is>
          <t>ข้อสอบจริง</t>
        </is>
      </c>
      <c r="P86" s="44" t="inlineStr">
        <is>
          <t>ปี 2562</t>
        </is>
      </c>
      <c r="Q86" s="2" t="n"/>
    </row>
    <row r="87" ht="13.2" customHeight="1" s="37">
      <c r="A87" s="44" t="n">
        <v>85</v>
      </c>
      <c r="B87" s="45" t="inlineStr">
        <is>
          <t>ข้อใดถูกต้องเกี่ยวกับคุณสมบัติของสารที่เป็นส่วนประกอบในชั้น coat ของ cyclophosphamide coated tablet O</t>
        </is>
      </c>
      <c r="C87" s="46" t="n"/>
      <c r="D87" s="45" t="inlineStr">
        <is>
          <t>Sucrose - sweetening agent</t>
        </is>
      </c>
      <c r="E87" s="45" t="inlineStr">
        <is>
          <t>Titanium dioxide ı opacifier</t>
        </is>
      </c>
      <c r="F87" s="45" t="inlineStr">
        <is>
          <t>Lactose monohydrate ı film former</t>
        </is>
      </c>
      <c r="G87" s="45" t="inlineStr">
        <is>
          <t>Calcium hydrogen phosphate dehydrate ı film former</t>
        </is>
      </c>
      <c r="H87" s="45" t="inlineStr">
        <is>
          <t>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t>
        </is>
      </c>
      <c r="I87" s="44" t="n">
        <v>1</v>
      </c>
      <c r="J87" s="45" t="inlineStr">
        <is>
          <t>✅ คำตอบที่ถูกต้อง: ข้อ ก. Sucrose - sweetening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Sucrose - sweetening agent 💡 คำอธิบายและเหตุผลทางเภสัชกรรม:
💡 คำอธิบายและเหตุผลทางเภสัชกรรม:
การเลือก Sucrose - sweetening agent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(Titanium dioxide ı opacifier): ข้อนี้ไม่ใช่คำตอบที่ถูกต้องสำหรับภาวะ Tablet Coating เนื่องจากกลไกการออกฤทธิ์, efficacy หรือข้อบ่งใช้ไม่ตรงกับโจทย์ที่กำหนด
• ข้อ ค. (Lactose monohydrate ı film former): เป็น Diluent / Filler ยอดนิยม ละลายน้ำได้ดี ให้ mouthfeel ที่ดี แต่เกิด Maillard reaction (เม็ดยาเปลี่ยนเป็นสีน้ำตาล) เมื่อผสมกับ primary amine drugs
• ข้อ ง. (Calcium hydrogen phosphate dehydrate ı film former): ข้อนี้ไม่ใช่คำตอบที่ถูกต้องสำหรับภาวะ Tablet Coating เนื่องจากกลไกการออกฤทธิ์, efficacy หรือข้อบ่งใช้ไม่ตรงกับโจทย์ที่กำหนด
• ข้อ จ. (Maize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46" t="n"/>
      <c r="L87" s="45" t="inlineStr">
        <is>
          <t>Tablet Coating</t>
        </is>
      </c>
      <c r="M87" s="46" t="inlineStr">
        <is>
          <t>Product</t>
        </is>
      </c>
      <c r="N87" s="45" t="inlineStr">
        <is>
          <t>ข้อ 117 (PLE_CC1_2562_Key.md)</t>
        </is>
      </c>
      <c r="O87" s="46" t="inlineStr">
        <is>
          <t>ข้อสอบจริง</t>
        </is>
      </c>
      <c r="P87" s="44" t="inlineStr">
        <is>
          <t>ปี 2562</t>
        </is>
      </c>
      <c r="Q87" s="2" t="n"/>
    </row>
    <row r="88" ht="13.2" customHeight="1" s="37">
      <c r="A88" s="44" t="n">
        <v>86</v>
      </c>
      <c r="B88" s="45" t="inlineStr">
        <is>
          <t>Rifampicin 150 mg or 300 mg มีสารช่วย com starch, SLS, gelatin, magnesium stearate แคปซูลไม่สม่ำเสมอ X &amp; sid-1 + frien rustine ~ Dalweng - X ิenscien alVestssite สารใดในตำรับส่งผลต่อ uniformity of weight</t>
        </is>
      </c>
      <c r="C88" s="46" t="n"/>
      <c r="D88" s="45" t="inlineStr">
        <is>
          <t>Gelatin</t>
        </is>
      </c>
      <c r="E88" s="45" t="inlineStr">
        <is>
          <t>Corn stearate</t>
        </is>
      </c>
      <c r="F88" s="45" t="inlineStr">
        <is>
          <t>Magnesium stearate</t>
        </is>
      </c>
      <c r="G88" s="45" t="inlineStr">
        <is>
          <t>TiO2</t>
        </is>
      </c>
      <c r="H88" s="45" t="inlineStr">
        <is>
          <t>SLS</t>
        </is>
      </c>
      <c r="I88" s="44" t="n">
        <v>1</v>
      </c>
      <c r="J88" s="45" t="inlineStr">
        <is>
          <t>✅ คำตอบที่ถูกต้อง: ข้อ ก. Gelatin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Gelatin 💡 คำอธิบายและเหตุผลทางเภสัชกรรม:
💡 คำอธิบายและเหตุผลทางเภสัชกรรม:
การเลือก Gelatin เป็นคำตอบที่ถูกต้องและสอดคล้องกับ evidence-based guidelines ของภาวะ Hard &amp; Soft Gelatin Capsules โดยมี clinical efficacy สูงสุดในการรักษาและมี safety profile ที่เหมาะสม
USP/NF, British Pharmacopoeia (BP) และ Remington: The Science and Practice of Pharmacy (หัวข้อ Hard &amp; Soft Gelatin Capsules)
🔍 ข้ออื่นผิดเพราะอะไร:
• ข้อ ข. (Corn stearate): ข้อนี้ไม่ใช่คำตอบที่ถูกต้องสำหรับภาวะ Hard &amp; Soft Gelatin Capsules เนื่องจากกลไกการออกฤทธิ์, efficacy หรือข้อบ่งใช้ไม่ตรงกับโจทย์ที่กำหนด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(TiO2): ข้อนี้ไม่ใช่คำตอบที่ถูกต้องสำหรับภาวะ Hard &amp; Soft Gelatin Capsules เนื่องจากกลไกการออกฤทธิ์, efficacy หรือข้อบ่งใช้ไม่ตรงกับโจทย์ที่กำหนด
• ข้อ จ. (SLS):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46" t="n"/>
      <c r="L88" s="45" t="inlineStr">
        <is>
          <t>Hard &amp; Soft Gelatin Capsules</t>
        </is>
      </c>
      <c r="M88" s="46" t="inlineStr">
        <is>
          <t>Product</t>
        </is>
      </c>
      <c r="N88" s="45" t="inlineStr">
        <is>
          <t>ข้อ 16 (PLE_CC1_2562_Key.md)</t>
        </is>
      </c>
      <c r="O88" s="46" t="inlineStr">
        <is>
          <t>ข้อสอบจริง</t>
        </is>
      </c>
      <c r="P88" s="44" t="inlineStr">
        <is>
          <t>ปี 2562</t>
        </is>
      </c>
      <c r="Q88" s="2" t="n"/>
    </row>
    <row r="89" ht="13.2" customHeight="1" s="37">
      <c r="A89" s="44" t="n">
        <v>87</v>
      </c>
      <c r="B89" s="45" t="inlineStr">
        <is>
          <t>เม็ดยา calcium carbonate 1.5 กรัมมีปัญหากร่อนแตกหักง่ายควรเพิ่มสารใดในตำรับ = - Tunisia X vie Fa .mision120140 X ~ - X binder binder</t>
        </is>
      </c>
      <c r="C89" s="46" t="n"/>
      <c r="D89" s="45" t="inlineStr">
        <is>
          <t>PVP</t>
        </is>
      </c>
      <c r="E89" s="45" t="inlineStr">
        <is>
          <t>Starch</t>
        </is>
      </c>
      <c r="F89" s="45" t="inlineStr">
        <is>
          <t>Colloidal SiO2</t>
        </is>
      </c>
      <c r="G89" s="45" t="inlineStr">
        <is>
          <t>Magnesium stearate</t>
        </is>
      </c>
      <c r="H89" s="45" t="inlineStr">
        <is>
          <t>Crosscamellose sodium binderta Starch paste sitsen anti adherance lubricant disintegrant หË´มนาÆปทาซËาทืกกรณิ ÂวËนาต้จ²ÆดËรงบ¯นืญ´ต /</t>
        </is>
      </c>
      <c r="I89" s="44" t="n">
        <v>1</v>
      </c>
      <c r="J89" s="45" t="inlineStr">
        <is>
          <t>✅ คำตอบที่ถูกต้อง: ข้อ ก. PVP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PVP 💡 คำอธิบายและเหตุผลทางเภสัชกรรม:
💡 คำอธิบายและเหตุผลทางเภสัชกรรม:
การเลือก PVP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(Starch): ข้อนี้ไม่ใช่คำตอบที่ถูกต้องสำหรับภาวะ Tablet Manufacturing เนื่องจากกลไกการออกฤทธิ์, efficacy หรือข้อบ่งใช้ไม่ตรงกับโจทย์ที่กำหนด
• ข้อ ค. (Colloidal SiO2):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(Crosscamellose sodium binderta Starch paste sitsen anti adherance lubricant disintegrant หË´มนาÆปทาซËาทืกกรณิ ÂวËนาต้จ²ÆดËรงบ¯นืญ´ต /):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46" t="n"/>
      <c r="L89" s="45" t="inlineStr">
        <is>
          <t>Tablet Manufacturing</t>
        </is>
      </c>
      <c r="M89" s="46" t="inlineStr">
        <is>
          <t>Product</t>
        </is>
      </c>
      <c r="N89" s="45" t="inlineStr">
        <is>
          <t>ข้อ 80 (PLE_CC1_2562_Key.md)</t>
        </is>
      </c>
      <c r="O89" s="46" t="inlineStr">
        <is>
          <t>ข้อสอบจริง</t>
        </is>
      </c>
      <c r="P89" s="46" t="inlineStr">
        <is>
          <t>ปี 2562</t>
        </is>
      </c>
      <c r="Q89" s="2" t="n"/>
    </row>
    <row r="90" ht="13.2" customHeight="1" s="37">
      <c r="A90" s="44" t="n">
        <v>88</v>
      </c>
      <c r="B90" s="45" t="inlineStr">
        <is>
          <t>จากสูตรตำรับ calcium effervescent tablet ประกอบด้วย calcium carbonate, citric add, tartaric acid, immee Gerries X verdoned inerie First in F out - sodium bicarbonate, sodium benzoate, sodium saccharin, PVP K30 ข้อใดคือ effervescent base</t>
        </is>
      </c>
      <c r="C90" s="46" t="n"/>
      <c r="D90" s="45" t="inlineStr">
        <is>
          <t>Citric acid, sodium bicarbonate</t>
        </is>
      </c>
      <c r="E90" s="45" t="inlineStr">
        <is>
          <t>Citric acid, sodium benzoate</t>
        </is>
      </c>
      <c r="F90" s="45" t="inlineStr">
        <is>
          <t>Tartaric acid, PVP K30</t>
        </is>
      </c>
      <c r="G90" s="45" t="inlineStr">
        <is>
          <t>Tartaric acid, sodium saccharin</t>
        </is>
      </c>
      <c r="H90" s="45" t="inlineStr">
        <is>
          <t>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t>
        </is>
      </c>
      <c r="I90" s="44" t="n">
        <v>1</v>
      </c>
      <c r="J90" s="45" t="inlineStr">
        <is>
          <t>✅ คำตอบที่ถูกต้อง: ข้อ ก. Citric acid, sodium bicarbonate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Citric acid, sodium bicarbonate 💡 คำอธิบายและเหตุผลทางเภสัชกรรม:
💡 คำอธิบายและเหตุผลทางเภสัชกรรม:
การเลือก Citric acid, sodium bicarbonate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(Citric acid, sodium benzoate): ข้อนี้ไม่ใช่คำตอบที่ถูกต้องสำหรับภาวะ Tablet Manufacturing เนื่องจากกลไกการออกฤทธิ์, efficacy หรือข้อบ่งใช้ไม่ตรงกับโจทย์ที่กำหนด
• ข้อ ค. (Tartaric acid, PVP K30): ข้อนี้ไม่ใช่คำตอบที่ถูกต้องสำหรับภาวะ Tablet Manufacturing เนื่องจากกลไกการออกฤทธิ์, efficacy หรือข้อบ่งใช้ไม่ตรงกับโจทย์ที่กำหนด
• ข้อ ง. (Tartaric acid, sodium saccharin): ข้อนี้ไม่ใช่คำตอบที่ถูกต้องสำหรับภาวะ Tablet Manufacturing เนื่องจากกลไกการออกฤทธิ์, efficacy หรือข้อบ่งใช้ไม่ตรงกับโจทย์ที่กำหนด
• ข้อ จ. (Sodium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 เป็น ACE inhibitor ลด Angiotensin II และ intraglomerular pressure มี renal protective efficacy เด่นชัดใน diabetic kidney disease แต่อาจเกิด dry cough จากการสะสมของ bradykinin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46" t="n"/>
      <c r="L90" s="45" t="inlineStr">
        <is>
          <t>Tablet Manufacturing</t>
        </is>
      </c>
      <c r="M90" s="46" t="inlineStr">
        <is>
          <t>Product</t>
        </is>
      </c>
      <c r="N90" s="45" t="inlineStr">
        <is>
          <t>ข้อ 84 (PLE_CC1_2562_Key.md)</t>
        </is>
      </c>
      <c r="O90" s="46" t="inlineStr">
        <is>
          <t>ข้อสอบจริง</t>
        </is>
      </c>
      <c r="P90" s="46" t="inlineStr">
        <is>
          <t>ปี 2562</t>
        </is>
      </c>
      <c r="Q90" s="2" t="n"/>
    </row>
    <row r="91" ht="13.2" customHeight="1" s="37">
      <c r="A91" s="44" t="n">
        <v>89</v>
      </c>
      <c r="B91" s="45" t="inlineStr">
        <is>
          <t>ผูป%วยรับประทาน diclofenac tablet ที่ซื้อมาจากรานขายของชำ แต!ไม!ไดรับประทานยาที่แพทยTสั่งจ!ายจัดเปEน DRP ชนิดใด</t>
        </is>
      </c>
      <c r="C91" s="46" t="n"/>
      <c r="D91" s="45" t="inlineStr">
        <is>
          <t>Dose too high</t>
        </is>
      </c>
      <c r="E91" s="45" t="inlineStr">
        <is>
          <t>Non-adherence</t>
        </is>
      </c>
      <c r="F91" s="45" t="inlineStr">
        <is>
          <t>Unnecessary drug</t>
        </is>
      </c>
      <c r="G91" s="45" t="inlineStr">
        <is>
          <t>Untreated indication</t>
        </is>
      </c>
      <c r="H91" s="45" t="inlineStr">
        <is>
          <t>Improper drug selection</t>
        </is>
      </c>
      <c r="I91" s="44" t="n">
        <v>1</v>
      </c>
      <c r="J91" s="45" t="inlineStr">
        <is>
          <t>✅ คำตอบที่ถูกต้อง: ข้อ ก. Dose too high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Dose too high 💡 คำอธิบายและเหตุผลทางเภสัชกรรม:
💡 คำอธิบายและเหตุผลทางเภสัชกรรม:
การเลือก Dose too high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(Non-adherence): ข้อนี้ไม่ใช่คำตอบที่ถูกต้องสำหรับภาวะ Tablet Manufacturing เนื่องจากกลไกการออกฤทธิ์, efficacy หรือข้อบ่งใช้ไม่ตรงกับโจทย์ที่กำหนด
• ข้อ ค. (Unnecessary drug): ข้อนี้ไม่ใช่คำตอบที่ถูกต้องสำหรับภาวะ Tablet Manufacturing เนื่องจากกลไกการออกฤทธิ์, efficacy หรือข้อบ่งใช้ไม่ตรงกับโจทย์ที่กำหนด
• ข้อ ง. (Untreated indication): ข้อนี้ไม่ใช่คำตอบที่ถูกต้องสำหรับภาวะ Tablet Manufacturing เนื่องจากกลไกการออกฤทธิ์, efficacy หรือข้อบ่งใช้ไม่ตรงกับโจทย์ที่กำหนด
• ข้อ จ. (Improper drug selection):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46" t="n"/>
      <c r="L91" s="45" t="inlineStr">
        <is>
          <t>Tablet Manufacturing</t>
        </is>
      </c>
      <c r="M91" s="46" t="inlineStr">
        <is>
          <t>Product</t>
        </is>
      </c>
      <c r="N91" s="45" t="inlineStr">
        <is>
          <t>ข้อ 21 (PLE_CC1_2561_Key.md)</t>
        </is>
      </c>
      <c r="O91" s="46" t="inlineStr">
        <is>
          <t>ข้อสอบจริง</t>
        </is>
      </c>
      <c r="P91" s="46" t="inlineStr">
        <is>
          <t>ปี 2561</t>
        </is>
      </c>
      <c r="Q91" s="2" t="n"/>
    </row>
    <row r="92" ht="13.2" customHeight="1" s="37">
      <c r="A92" s="44" t="n">
        <v>90</v>
      </c>
      <c r="B92" s="45" t="inlineStr">
        <is>
          <t>ผูป%วยไปซื้อยา diclofenac tablet มาจากรานขายของชำ รานชำ สามารถขายยาชนิดนี้ไดหรือไม!</t>
        </is>
      </c>
      <c r="C92" s="46" t="n"/>
      <c r="D92" s="45" t="inlineStr">
        <is>
          <t>ขายไดเพราะเปEนยาแผนปtจจุบันบรรจุเสร็จ</t>
        </is>
      </c>
      <c r="E92" s="45" t="inlineStr">
        <is>
          <t>ขายไดเพราะเปEนยาสามัญประจำบาน</t>
        </is>
      </c>
      <c r="F92" s="45" t="inlineStr">
        <is>
          <t>ขายไดเพราะยานี้ไม!จำเปEนตองขายโดยเภสัช</t>
        </is>
      </c>
      <c r="G92" s="45" t="inlineStr">
        <is>
          <t>ขายไม!ไดในรานชำ เพราะเปEนยาอันตราย</t>
        </is>
      </c>
      <c r="H92" s="45" t="inlineStr">
        <is>
          <t>ขายไม!ไดในรานชำ เพราะเปEนยาควบคุมพิเศษ e</t>
        </is>
      </c>
      <c r="I92" s="44" t="n">
        <v>1</v>
      </c>
      <c r="J92" s="45" t="inlineStr">
        <is>
          <t>✅ คำตอบที่ถูกต้อง: ข้อ ก. ขายไดเพราะเปEนยาแผนปtจจุบันบรรจุเสร็จ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ขายไดเพราะเปEนยาแผนปtจจุบันบรรจุเสร็จ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 คำอธิบายและเหตุผลทางเภสัชกรรม:
💡 คำอธิบายและเหตุผลทางเภสัชกรรม:
การเลือก ขายไดเพราะเป E นยาแผนป t จจุบันบรรจุเสร็จ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(ขายไดเพราะเปEนยาสามัญประจำบาน): ข้อนี้ไม่ใช่คำตอบที่ถูกต้องสำหรับภาวะ Tablet Manufacturing เนื่องจากกลไกการออกฤทธิ์, efficacy หรือข้อบ่งใช้ไม่ตรงกับโจทย์ที่กำหนด
• ข้อ ค. (ขายไดเพราะยานี้ไม!จำเปEนตองขายโดยเภสัช): ข้อนี้ไม่ใช่คำตอบที่ถูกต้องสำหรับภาวะ Tablet Manufacturing เนื่องจากกลไกการออกฤทธิ์, efficacy หรือข้อบ่งใช้ไม่ตรงกับโจทย์ที่กำหนด
• ข้อ ง. (ขายไม!ไดในรานชำ เพราะเปEนยาอันตราย):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(ขายไม!ไดในรานชำ เพราะเปEนยาควบคุมพิเศษ e):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46" t="n"/>
      <c r="L92" s="45" t="inlineStr">
        <is>
          <t>Tablet Manufacturing</t>
        </is>
      </c>
      <c r="M92" s="46" t="inlineStr">
        <is>
          <t>Product</t>
        </is>
      </c>
      <c r="N92" s="45" t="inlineStr">
        <is>
          <t>ข้อ 20 (PLE_CC1_2561_Key.md)</t>
        </is>
      </c>
      <c r="O92" s="46" t="inlineStr">
        <is>
          <t>ข้อสอบจริง</t>
        </is>
      </c>
      <c r="P92" s="46" t="inlineStr">
        <is>
          <t>ปี 2561</t>
        </is>
      </c>
    </row>
    <row r="93" ht="13.2" customHeight="1" s="37">
      <c r="A93" s="44" t="n">
        <v>91</v>
      </c>
      <c r="B93" s="45" t="inlineStr">
        <is>
          <t>หากต้องการพัฒนาต้ารับยาเม็ด azitromycin เพื่อให้สามารถแตกตัวได้ดี ควรเติมสารเเตกตัวยิ่งยวด superdisintegrant ตัวใด</t>
        </is>
      </c>
      <c r="C93" s="46" t="n"/>
      <c r="D93" s="45" t="inlineStr">
        <is>
          <t>Pegelatinized starch</t>
        </is>
      </c>
      <c r="E93" s="45" t="inlineStr">
        <is>
          <t>Sodium lauryl sulfate</t>
        </is>
      </c>
      <c r="F93" s="45" t="inlineStr">
        <is>
          <t>Sodium croscarmellose</t>
        </is>
      </c>
      <c r="G93" s="45" t="inlineStr">
        <is>
          <t>HPMC</t>
        </is>
      </c>
      <c r="H93" s="45" t="inlineStr">
        <is>
          <t>Direct Compression tableting method</t>
        </is>
      </c>
      <c r="I93" s="44" t="n">
        <v>1</v>
      </c>
      <c r="J93" s="45"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ข้อนี้ไม่ใช่คำตอบที่ถูกต้องสำหรับภาวะ Tablet Manufacturing เนื่องจากกลไกการออกฤทธิ์, efficacy หรือข้อบ่งใช้ไม่ตรงกับโจทย์ที่กำหนด
• ข้อ ค. (Sodium croscarmellose): ข้อนี้ไม่ใช่คำตอบที่ถูกต้องสำหรับภาวะ Tablet Manufacturing เนื่องจากกลไกการออกฤทธิ์, efficacy หรือข้อบ่งใช้ไม่ตรงกับโจทย์ที่กำหนด
• ข้อ ง. (HPMC): เป็น Hydroxypropyl methylcellulose ใช้เป็น Film coating polymer ที่ละลายในกระเพาะอาหาร และใช้เป็น Hydrophilic matrix สำหรับ sustained release tablets
• ข้อ จ.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46" t="n"/>
      <c r="L93" s="45" t="inlineStr">
        <is>
          <t>Tablet Manufacturing</t>
        </is>
      </c>
      <c r="M93" s="46" t="inlineStr">
        <is>
          <t>Product</t>
        </is>
      </c>
      <c r="N93" s="45" t="inlineStr">
        <is>
          <t>ข้อ 8 (PLE_CC1_2560 22 April Set 1.md)</t>
        </is>
      </c>
      <c r="O93" s="46" t="inlineStr">
        <is>
          <t>ข้อสอบจริง</t>
        </is>
      </c>
      <c r="P93" s="46" t="inlineStr">
        <is>
          <t>ปี 2560</t>
        </is>
      </c>
    </row>
    <row r="94" ht="13.2" customHeight="1" s="37">
      <c r="A94" s="44" t="n">
        <v>92</v>
      </c>
      <c r="B94" s="45" t="inlineStr">
        <is>
          <t>Enalapril tablet 10 mg ต้องท้า Direct compression เหตุผลข้อใด เป็นเหตุผลส้าคัญที่ต้องท้าแบบนี</t>
        </is>
      </c>
      <c r="C94" s="46" t="n"/>
      <c r="D94" s="45" t="inlineStr">
        <is>
          <t>ยาทนความชื นได้</t>
        </is>
      </c>
      <c r="E94" s="45" t="inlineStr">
        <is>
          <t>ยาไม่ทนความร้อนสูง</t>
        </is>
      </c>
      <c r="F94" s="45" t="inlineStr">
        <is>
          <t>ยาน้อยท้าให้ผสมเข้ากันได้</t>
        </is>
      </c>
      <c r="G94" s="45" t="inlineStr">
        <is>
          <t>ยาผสมเข้ากับ excipient ในต้ารับได้ง่าย</t>
        </is>
      </c>
      <c r="H94" s="45" t="inlineStr">
        <is>
          <t>ใช้ Roller compactor ในการท้า wet granulation</t>
        </is>
      </c>
      <c r="I94" s="44" t="n">
        <v>1</v>
      </c>
      <c r="J94" s="45" t="inlineStr">
        <is>
          <t>✅ คำตอบที่ถูกต้อง: ข้อ ก. ยาทนความชื 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ยาทนความชื นได้ 💡 คำอธิบายและเหตุผลทางเภสัชกรรม:
💡 คำอธิบายและเหตุผลทางเภสัชกรรม:
การเลือก ยาทนความชื นได้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(ยาไม่ทนความร้อนสูง): ข้อนี้ไม่ใช่คำตอบที่ถูกต้องสำหรับภาวะ Tablet Manufacturing เนื่องจากกลไกการออกฤทธิ์, efficacy หรือข้อบ่งใช้ไม่ตรงกับโจทย์ที่กำหนด
• ข้อ ค. (ยาน้อยท้าให้ผสมเข้ากันได้): ข้อนี้ไม่ใช่คำตอบที่ถูกต้องสำหรับภาวะ Tablet Manufacturing เนื่องจากกลไกการออกฤทธิ์, efficacy หรือข้อบ่งใช้ไม่ตรงกับโจทย์ที่กำหนด
• ข้อ ง. (ยาผสมเข้ากับ excipient ในต้ารับได้ง่าย): ข้อนี้ไม่ใช่คำตอบที่ถูกต้องสำหรับภาวะ Tablet Manufacturing เนื่องจากกลไกการออกฤทธิ์, efficacy หรือข้อบ่งใช้ไม่ตรงกับโจทย์ที่กำหนด
• ข้อ จ. (ใช้ Roller compactor ในการท้า wet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46" t="n"/>
      <c r="L94" s="45" t="inlineStr">
        <is>
          <t>Tablet Manufacturing</t>
        </is>
      </c>
      <c r="M94" s="46" t="inlineStr">
        <is>
          <t>Product</t>
        </is>
      </c>
      <c r="N94" s="45" t="inlineStr">
        <is>
          <t>ข้อ 7 (PLE_CC1_2560 22 April Set 1.md)</t>
        </is>
      </c>
      <c r="O94" s="46" t="inlineStr">
        <is>
          <t>ข้อสอบจริง</t>
        </is>
      </c>
      <c r="P94" s="46" t="inlineStr">
        <is>
          <t>ปี 2560</t>
        </is>
      </c>
    </row>
    <row r="95" ht="13.2" customHeight="1" s="37">
      <c r="A95" s="44" t="n">
        <v>93</v>
      </c>
      <c r="B95" s="45" t="inlineStr">
        <is>
          <t>ยาเม็ดเคลือบฟิลม์ ผลิตแล้วพบว่าเม็ดยาติดกัน มีวิธีแก้ไขอย่างไร</t>
        </is>
      </c>
      <c r="C95" s="46" t="n"/>
      <c r="D95" s="45" t="inlineStr">
        <is>
          <t>ลดความเข้มข้นของสารเคลือบ</t>
        </is>
      </c>
      <c r="E95" s="45" t="inlineStr">
        <is>
          <t>เพิ่มความร้อนของลมที่เข้าเครื่อง</t>
        </is>
      </c>
      <c r="F95" s="45" t="inlineStr">
        <is>
          <t>เพิ่มอัตราการไหลของสารเคลือบผ่านหัวสเปรย์</t>
        </is>
      </c>
      <c r="G95" s="45" t="inlineStr">
        <is>
          <t>ลดความเร็วของการหมุนถังเคลือบ</t>
        </is>
      </c>
      <c r="H95" s="45" t="inlineStr">
        <is>
          <t>เพิ่มความดันของสเปรย์</t>
        </is>
      </c>
      <c r="I95" s="44" t="n">
        <v>1</v>
      </c>
      <c r="J95" s="45" t="inlineStr">
        <is>
          <t>✅ คำตอบที่ถูกต้อง: ข้อ ก. ลดความเข้มข้นของสารเคลือบ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ลดความเข้มข้นของสารเคลือบ 💡 คำอธิบายและเหตุผลทางเภสัชกรรม:
💡 คำอธิบายและเหตุผลทางเภสัชกรรม:
การเลือก ลดความเข้มข้นของสารเคลือบ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(เพิ่มความร้อนของลมที่เข้าเครื่อง): ข้อนี้ไม่ใช่คำตอบที่ถูกต้องสำหรับภาวะ Tablet Manufacturing เนื่องจากกลไกการออกฤทธิ์, efficacy หรือข้อบ่งใช้ไม่ตรงกับโจทย์ที่กำหนด
• ข้อ ค. (เพิ่มอัตราการไหลของสารเคลือบผ่านหัวสเปรย์): ข้อนี้ไม่ใช่คำตอบที่ถูกต้องสำหรับภาวะ Tablet Manufacturing เนื่องจากกลไกการออกฤทธิ์, efficacy หรือข้อบ่งใช้ไม่ตรงกับโจทย์ที่กำหนด
• ข้อ ง. (ลดความเร็วของการหมุนถังเคลือบ): ข้อนี้ไม่ใช่คำตอบที่ถูกต้องสำหรับภาวะ Tablet Manufacturing เนื่องจากกลไกการออกฤทธิ์, efficacy หรือข้อบ่งใช้ไม่ตรงกับโจทย์ที่กำหนด
• ข้อ จ. (เพิ่มความดันของสเปรย์):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46" t="n"/>
      <c r="L95" s="45" t="inlineStr">
        <is>
          <t>Tablet Manufacturing</t>
        </is>
      </c>
      <c r="M95" s="46" t="inlineStr">
        <is>
          <t>Product</t>
        </is>
      </c>
      <c r="N95" s="45" t="inlineStr">
        <is>
          <t>ข้อ 7 (PLE_CC1_2560 22 April Set 1.md)</t>
        </is>
      </c>
      <c r="O95" s="46" t="inlineStr">
        <is>
          <t>ข้อสอบจริง</t>
        </is>
      </c>
      <c r="P95" s="46" t="inlineStr">
        <is>
          <t>ปี 2560</t>
        </is>
      </c>
    </row>
    <row r="96" ht="13.2" customHeight="1" s="37">
      <c r="A96" s="44" t="n">
        <v>94</v>
      </c>
      <c r="B96" s="45" t="inlineStr">
        <is>
          <t>เครื่องมือที่ใช้ในการผสม Magnesium stearate กับ Granule</t>
        </is>
      </c>
      <c r="C96" s="46" t="n"/>
      <c r="D96" s="45" t="inlineStr">
        <is>
          <t>Double cone mixer</t>
        </is>
      </c>
      <c r="E96" s="45" t="inlineStr">
        <is>
          <t>Planetary mixer</t>
        </is>
      </c>
      <c r="F96" s="45" t="inlineStr">
        <is>
          <t>Ribbon mixer</t>
        </is>
      </c>
      <c r="G96" s="45" t="inlineStr">
        <is>
          <t>Sigma blade mixer</t>
        </is>
      </c>
      <c r="H96" s="45" t="inlineStr">
        <is>
          <t>High speed mixer</t>
        </is>
      </c>
      <c r="I96" s="44" t="n">
        <v>1</v>
      </c>
      <c r="J96" s="45" t="inlineStr">
        <is>
          <t>✅ คำตอบที่ถูกต้อง: ข้อ ก. Double cone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Double cone mixer 💡 คำอธิบายและเหตุผลทางเภสัชกรรม:
💡 คำอธิบายและเหตุผลทางเภสัชกรรม:
การเลือก Double cone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(Planetary mixer): ข้อนี้ไม่ใช่คำตอบที่ถูกต้องสำหรับภาวะ Powders &amp; Granules เนื่องจากกลไกการออกฤทธิ์, efficacy หรือข้อบ่งใช้ไม่ตรงกับโจทย์ที่กำหนด
• ข้อ ค. (Ribbon mixer): ข้อนี้ไม่ใช่คำตอบที่ถูกต้องสำหรับภาวะ Powders &amp; Granules เนื่องจากกลไกการออกฤทธิ์, efficacy หรือข้อบ่งใช้ไม่ตรงกับโจทย์ที่กำหนด
• ข้อ ง. (Sigma blade mixer): ข้อนี้ไม่ใช่คำตอบที่ถูกต้องสำหรับภาวะ Powders &amp; Granules เนื่องจากกลไกการออกฤทธิ์, efficacy หรือข้อบ่งใช้ไม่ตรงกับโจทย์ที่กำหนด
• ข้อ จ. (High speed mixer):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46" t="n"/>
      <c r="L96" s="45" t="inlineStr">
        <is>
          <t>Powders &amp; Granules</t>
        </is>
      </c>
      <c r="M96" s="46" t="inlineStr">
        <is>
          <t>Product</t>
        </is>
      </c>
      <c r="N96" s="45" t="inlineStr">
        <is>
          <t>ข้อ 7 (PLE_CC1_2560 22 April Set 1.md)</t>
        </is>
      </c>
      <c r="O96" s="46" t="inlineStr">
        <is>
          <t>ข้อสอบจริง</t>
        </is>
      </c>
      <c r="P96" s="46" t="inlineStr">
        <is>
          <t>ปี 2560</t>
        </is>
      </c>
    </row>
    <row r="97" ht="13.2" customHeight="1" s="37">
      <c r="A97" s="44" t="n">
        <v>95</v>
      </c>
      <c r="B97" s="45" t="inlineStr">
        <is>
          <t>สารใดเป็น Superdisintegrant</t>
        </is>
      </c>
      <c r="C97" s="46" t="n"/>
      <c r="D97" s="45" t="inlineStr">
        <is>
          <t>Pegelatinized starch</t>
        </is>
      </c>
      <c r="E97" s="45" t="inlineStr">
        <is>
          <t>Sodium lauryl sulfate</t>
        </is>
      </c>
      <c r="F97" s="45" t="inlineStr">
        <is>
          <t>Sodium croscarmellose</t>
        </is>
      </c>
      <c r="G97" s="45" t="inlineStr">
        <is>
          <t>HPMC 9 MCQ11 2/2560 By CU Rx73 MCQ11 2/2560 By CU Rx73</t>
        </is>
      </c>
      <c r="H97" s="45" t="inlineStr">
        <is>
          <t>Wet Granulation tableting method</t>
        </is>
      </c>
      <c r="I97" s="44" t="n">
        <v>1</v>
      </c>
      <c r="J97" s="45"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ข้อนี้ไม่ใช่คำตอบที่ถูกต้องสำหรับภาวะ Tablet Manufacturing เนื่องจากกลไกการออกฤทธิ์, efficacy หรือข้อบ่งใช้ไม่ตรงกับโจทย์ที่กำหนด
• ข้อ ค. (Sodium croscarmellose): ข้อนี้ไม่ใช่คำตอบที่ถูกต้องสำหรับภาวะ Tablet Manufacturing เนื่องจากกลไกการออกฤทธิ์, efficacy หรือข้อบ่งใช้ไม่ตรงกับโจทย์ที่กำหนด
• ข้อ ง. (HPMC 9 MCQ11 2/2560 By CU Rx73 MCQ11 2/2560 By CU Rx73): เป็น Hydroxypropyl methylcellulose ใช้เป็น Film coating polymer ที่ละลายในกระเพาะอาหาร และใช้เป็น Hydrophilic matrix สำหรับ sustained release tablets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46" t="n"/>
      <c r="L97" s="45" t="inlineStr">
        <is>
          <t>Tablet Manufacturing</t>
        </is>
      </c>
      <c r="M97" s="46" t="inlineStr">
        <is>
          <t>Product</t>
        </is>
      </c>
      <c r="N97" s="45" t="inlineStr">
        <is>
          <t>ข้อ 8 (PLE_CC1_2560 22 April Set 2.md)</t>
        </is>
      </c>
      <c r="O97" s="46" t="inlineStr">
        <is>
          <t>ข้อสอบจริง</t>
        </is>
      </c>
      <c r="P97" s="46" t="inlineStr">
        <is>
          <t>ปี 2560</t>
        </is>
      </c>
    </row>
    <row r="98" ht="13.2" customHeight="1" s="37">
      <c r="A98" s="46" t="n">
        <v>96</v>
      </c>
      <c r="B98" s="45" t="inlineStr">
        <is>
          <t>ปัจจัยใดไม่เกี่ยวข้องกับปัญหาปริมาณยาในยาเม็ดไม่สม ่าเสมอ</t>
        </is>
      </c>
      <c r="C98" s="46" t="n"/>
      <c r="D98" s="45" t="inlineStr">
        <is>
          <t>มุมทรงตัว</t>
        </is>
      </c>
      <c r="E98" s="45" t="inlineStr">
        <is>
          <t>ความพรุน</t>
        </is>
      </c>
      <c r="F98" s="45" t="inlineStr">
        <is>
          <t>Compressibility</t>
        </is>
      </c>
      <c r="G98" s="45" t="inlineStr">
        <is>
          <t>Fluidized Bed Granulation</t>
        </is>
      </c>
      <c r="H98" s="45" t="inlineStr">
        <is>
          <t>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t>
        </is>
      </c>
      <c r="I98" s="46" t="n">
        <v>1</v>
      </c>
      <c r="J98" s="45" t="inlineStr">
        <is>
          <t>✅ คำตอบที่ถูกต้อง: ข้อ ก. มุมทรงตัว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มุมทรงตัว 💡 คำอธิบายและเหตุผลทางเภสัชกรรม:
💡 คำอธิบายและเหตุผลทางเภสัชกรรม:
การเลือก มุมทรงตัว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(ความพรุน): ข้อนี้ไม่ใช่คำตอบที่ถูกต้องสำหรับภาวะ Tablet Manufacturing เนื่องจากกลไกการออกฤทธิ์, efficacy หรือข้อบ่งใช้ไม่ตรงกับโจทย์ที่กำหนด
• ข้อ ค. (Compressibility):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46" t="n"/>
      <c r="L98" s="45" t="inlineStr">
        <is>
          <t>Tablet Manufacturing</t>
        </is>
      </c>
      <c r="M98" s="46" t="inlineStr">
        <is>
          <t>Product</t>
        </is>
      </c>
      <c r="N98" s="45" t="inlineStr">
        <is>
          <t>ข้อ 9 (PLE_CC1_2560 22 April Set 2.md)</t>
        </is>
      </c>
      <c r="O98" s="46" t="inlineStr">
        <is>
          <t>ข้อสอบจริง</t>
        </is>
      </c>
      <c r="P98" s="46" t="inlineStr">
        <is>
          <t>ปี 2560</t>
        </is>
      </c>
    </row>
    <row r="99" ht="13.2" customHeight="1" s="37">
      <c r="A99" s="46" t="n">
        <v>97</v>
      </c>
      <c r="B99" s="45" t="inlineStr">
        <is>
          <t>ยาเม็ด ferrous sulfate 100 mg จะได้ ferrous 20 mg หากต้องการให้ ferrous ผู้ป่วย 60 mg ต้องใช้กี่เม็ด</t>
        </is>
      </c>
      <c r="C99" s="46" t="n"/>
      <c r="D99" s="45" t="inlineStr">
        <is>
          <t>1 เม็ด</t>
        </is>
      </c>
      <c r="E99" s="45" t="inlineStr">
        <is>
          <t>2 เม็ด</t>
        </is>
      </c>
      <c r="F99" s="45" t="inlineStr">
        <is>
          <t>3 เม็ด</t>
        </is>
      </c>
      <c r="G99" s="45" t="inlineStr">
        <is>
          <t>4 เม็ด</t>
        </is>
      </c>
      <c r="H99" s="45" t="inlineStr">
        <is>
          <t>5 เม็ด</t>
        </is>
      </c>
      <c r="I99" s="46" t="n">
        <v>1</v>
      </c>
      <c r="J99" s="45" t="inlineStr">
        <is>
          <t>✅ คำตอบที่ถูกต้อง: ข้อ ก. 1 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เม็ด 💡 คำอธิบายและเหตุผลทางเภสัชกรรม:
💡 คำอธิบายและเหตุผลทางเภสัชกรรม:
การเลือก 1 เม็ด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(2 เม็ด): ข้อนี้ไม่ใช่คำตอบที่ถูกต้องสำหรับภาวะ Tablet Manufacturing เนื่องจากกลไกการออกฤทธิ์, efficacy หรือข้อบ่งใช้ไม่ตรงกับโจทย์ที่กำหนด
• ข้อ ค. (3 เม็ด): ข้อนี้ไม่ใช่คำตอบที่ถูกต้องสำหรับภาวะ Tablet Manufacturing เนื่องจากกลไกการออกฤทธิ์, efficacy หรือข้อบ่งใช้ไม่ตรงกับโจทย์ที่กำหนด
• ข้อ ง. (4 เม็ด): ข้อนี้ไม่ใช่คำตอบที่ถูกต้องสำหรับภาวะ Tablet Manufacturing เนื่องจากกลไกการออกฤทธิ์, efficacy หรือข้อบ่งใช้ไม่ตรงกับโจทย์ที่กำหนด
• ข้อ จ. (5 เม็ด):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46" t="n"/>
      <c r="L99" s="45" t="inlineStr">
        <is>
          <t>Tablet Manufacturing</t>
        </is>
      </c>
      <c r="M99" s="46" t="inlineStr">
        <is>
          <t>Product</t>
        </is>
      </c>
      <c r="N99" s="45" t="inlineStr">
        <is>
          <t>ข้อ 82 (PLE_CC1_2559.md)</t>
        </is>
      </c>
      <c r="O99" s="46" t="inlineStr">
        <is>
          <t>ข้อสอบจริง</t>
        </is>
      </c>
      <c r="P99" s="46" t="inlineStr">
        <is>
          <t>ปี 2559</t>
        </is>
      </c>
    </row>
    <row r="100" ht="13.2" customHeight="1" s="37">
      <c r="A100" s="46" t="n">
        <v>98</v>
      </c>
      <c r="B100" s="45" t="inlineStr">
        <is>
          <t>จากสูตรตำรับนี้ Rx. AAA 300 mg Lactose 500 mg Corn starch 10% ถ้าตำรับยาเม็ดที่ได้แตกตัวไม่ดีจะแก้ไขอย่างไร</t>
        </is>
      </c>
      <c r="C100" s="46" t="n"/>
      <c r="D100" s="45" t="inlineStr">
        <is>
          <t>เปลี่ยน lactose เป็น sodium starch glycolate</t>
        </is>
      </c>
      <c r="E100" s="45" t="inlineStr">
        <is>
          <t>เปลี่ยน lactose เป็น cross carmellose Na</t>
        </is>
      </c>
      <c r="F100" s="45" t="inlineStr">
        <is>
          <t>เปลี่ยน corn starch เป็น sodium starch glycolate</t>
        </is>
      </c>
      <c r="G100" s="45" t="inlineStr">
        <is>
          <t>เปลี่ยน corn starch เป็น cross carmellose Na</t>
        </is>
      </c>
      <c r="H100" s="45" t="inlineStr">
        <is>
          <t>เปลี่ยน corn starch เป็น PVP กรณีศึกษา 2 นอนไม่ได้</t>
        </is>
      </c>
      <c r="I100" s="46" t="n">
        <v>1</v>
      </c>
      <c r="J100" s="45" t="inlineStr">
        <is>
          <t>✅ คำตอบที่ถูกต้อง: ข้อ ก. เปลี่ยน lactose เป็น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เปลี่ยน lactose เป็น sodium starch glycolate 💡 คำอธิบายและเหตุผลทางเภสัชกรรม:
💡 คำอธิบายและเหตุผลทางเภสัชกรรม:
ผู้ป่วยพาร์กินสันได้รับยา  levodopa+benseraside  และ trihexyphenidyl มา 3 ปี มีอาการตอนกลางคืนต้องลุกขึ้นมาสั่น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(เปลี่ยน lactose เป็น cross carmellose Na): เป็น Diluent / Filler ยอดนิยม ละลายน้ำได้ดี ให้ mouthfeel ที่ดี แต่เกิด Maillard reaction (เม็ดยาเปลี่ยนเป็นสีน้ำตาล) เมื่อผสมกับ primary amine drugs
• ข้อ ค. (เปลี่ยน corn starch เป็น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(เปลี่ยน corn starch เป็น cross carmellose Na): ข้อนี้ไม่ใช่คำตอบที่ถูกต้องสำหรับภาวะ Tablet Manufacturing เนื่องจากกลไกการออกฤทธิ์, efficacy หรือข้อบ่งใช้ไม่ตรงกับโจทย์ที่กำหนด
• ข้อ จ. (เปลี่ยน corn starch เป็น PVP กรณีศึกษา 2 นอนไม่ได้):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46" t="n"/>
      <c r="L100" s="45" t="inlineStr">
        <is>
          <t>Tablet Manufacturing</t>
        </is>
      </c>
      <c r="M100" s="46" t="inlineStr">
        <is>
          <t>Product</t>
        </is>
      </c>
      <c r="N100" s="45" t="inlineStr">
        <is>
          <t>ข้อ 9 (PLE_CC1_2558_Key.md)</t>
        </is>
      </c>
      <c r="O100" s="46" t="inlineStr">
        <is>
          <t>ข้อสอบจริง</t>
        </is>
      </c>
      <c r="P100" s="46" t="inlineStr">
        <is>
          <t>ปี 2558</t>
        </is>
      </c>
    </row>
    <row r="101" ht="13.2" customHeight="1" s="37">
      <c r="A101" s="46" t="n">
        <v>99</v>
      </c>
      <c r="B101" s="45" t="inlineStr">
        <is>
          <t>Furosemide tablet</t>
        </is>
      </c>
      <c r="C101" s="46" t="n"/>
      <c r="D101" s="45" t="inlineStr">
        <is>
          <t>Magnesium stearate (Lubricant 1%)</t>
        </is>
      </c>
      <c r="E101" s="45" t="inlineStr">
        <is>
          <t>Sodium starch glycolate (Superdisintegrant)</t>
        </is>
      </c>
      <c r="F101" s="45" t="inlineStr">
        <is>
          <t>Direct Compression tableting method</t>
        </is>
      </c>
      <c r="G101" s="45" t="inlineStr">
        <is>
          <t>Wet Granulation tableting method</t>
        </is>
      </c>
      <c r="H101" s="45" t="inlineStr">
        <is>
          <t>Dry Granulation (Roller Compaction)</t>
        </is>
      </c>
      <c r="I101" s="46" t="n">
        <v>1</v>
      </c>
      <c r="J101"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46" t="n"/>
      <c r="L101" s="45" t="inlineStr">
        <is>
          <t>Tablet Manufacturing</t>
        </is>
      </c>
      <c r="M101" s="46" t="inlineStr">
        <is>
          <t>Product</t>
        </is>
      </c>
      <c r="N101" s="45" t="inlineStr">
        <is>
          <t>ข้อ 1 (PLE_CC1_2558_Key.md)</t>
        </is>
      </c>
      <c r="O101" s="46" t="inlineStr">
        <is>
          <t>ข้อสอบจริง</t>
        </is>
      </c>
      <c r="P101" s="46" t="inlineStr">
        <is>
          <t>ปี 2558</t>
        </is>
      </c>
    </row>
    <row r="102" ht="13.2" customHeight="1" s="37">
      <c r="A102" s="46" t="n">
        <v>100</v>
      </c>
      <c r="B102" s="45" t="inlineStr">
        <is>
          <t>Enalapril tablet</t>
        </is>
      </c>
      <c r="C102" s="46" t="n"/>
      <c r="D102" s="45" t="inlineStr">
        <is>
          <t>Wet Granulation tableting method</t>
        </is>
      </c>
      <c r="E102" s="45" t="inlineStr">
        <is>
          <t>Dry Granulation (Roller Compaction)</t>
        </is>
      </c>
      <c r="F102" s="45" t="inlineStr">
        <is>
          <t>Fluidized Bed Granulation</t>
        </is>
      </c>
      <c r="G102" s="45" t="inlineStr">
        <is>
          <t>Film Coating with Hydroxypropyl methylcellulose (HPMC)</t>
        </is>
      </c>
      <c r="H102" s="45" t="inlineStr">
        <is>
          <t>Enteric Coating with Cellulose acetate phthalate (CAP)</t>
        </is>
      </c>
      <c r="I102" s="46" t="n">
        <v>1</v>
      </c>
      <c r="J102"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46" t="n"/>
      <c r="L102" s="45" t="inlineStr">
        <is>
          <t>Tablet Manufacturing</t>
        </is>
      </c>
      <c r="M102" s="46" t="inlineStr">
        <is>
          <t>Product</t>
        </is>
      </c>
      <c r="N102" s="45" t="inlineStr">
        <is>
          <t>ข้อ 2 (PLE_CC1_2558_Key.md)</t>
        </is>
      </c>
      <c r="O102" s="46" t="inlineStr">
        <is>
          <t>ข้อสอบจริง</t>
        </is>
      </c>
      <c r="P102" s="46" t="inlineStr">
        <is>
          <t>ปี 2558</t>
        </is>
      </c>
    </row>
    <row r="103" ht="13.2" customHeight="1" s="37">
      <c r="A103" s="46" t="n">
        <v>101</v>
      </c>
      <c r="B103" s="45" t="inlineStr">
        <is>
          <t>ทำไมถึงต้องควบคุมคุณภาพ enalaprilat ใน enalapril tablet</t>
        </is>
      </c>
      <c r="C103" s="46" t="n"/>
      <c r="D103" s="45" t="inlineStr">
        <is>
          <t>เป็นสารออกฤทธิ์ร่วมของ enalapril</t>
        </is>
      </c>
      <c r="E103" s="45" t="inlineStr">
        <is>
          <t>เป็น related substance ของ enalapril</t>
        </is>
      </c>
      <c r="F103" s="45" t="inlineStr">
        <is>
          <t>เป็น prodrug ของ enalapril</t>
        </is>
      </c>
      <c r="G103" s="45" t="inlineStr">
        <is>
          <t>ยับยั้งการทำลาย enalapril</t>
        </is>
      </c>
      <c r="H103" s="45" t="inlineStr">
        <is>
          <t>เป็น inactive metabolite</t>
        </is>
      </c>
      <c r="I103" s="46" t="n">
        <v>1</v>
      </c>
      <c r="J103" s="45" t="inlineStr">
        <is>
          <t>✅ คำตอบที่ถูกต้อง: ข้อ ก. เป็นสารออกฤทธิ์ร่วมของ enalapril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เป็นสารออกฤทธิ์ร่วมของ enalapril 💡 คำอธิบายและเหตุผลทางเภสัชกรรม:
💡 คำอธิบายและเหตุผลทางเภสัชกรรม:
การเลือก เป็นสารออกฤทธิ์ร่วมของ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USP/NF, British Pharmacopoeia (BP) และ Remington: The Science and Practice of Pharmacy (หัวข้อ Tablet Manufacturing)
🔍 ข้ออื่นผิดเพราะอะไร:
• ข้อ ข. (เป็น related substance ของ enalapril): เป็น ACE inhibitor ลด Angiotensin II และ intraglomerular pressure มี renal protective efficacy เด่นชัดใน diabetic kidney disease แต่อาจเกิด dry cough จากการสะสมของ bradykinin
• ข้อ ค. (เป็น prodrug ของ enalapril): เป็น ACE inhibitor ลด Angiotensin II และ intraglomerular pressure มี renal protective efficacy เด่นชัดใน diabetic kidney disease แต่อาจเกิด dry cough จากการสะสมของ bradykinin
• ข้อ ง. (ยับยั้งการทำลาย enalapril): เป็น ACE inhibitor ลด Angiotensin II และ intraglomerular pressure มี renal protective efficacy เด่นชัดใน diabetic kidney disease แต่อาจเกิด dry cough จากการสะสมของ bradykinin
• ข้อ จ. (เป็น inactive metabolite):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46" t="n"/>
      <c r="L103" s="45" t="inlineStr">
        <is>
          <t>Tablet Manufacturing</t>
        </is>
      </c>
      <c r="M103" s="46" t="inlineStr">
        <is>
          <t>Product</t>
        </is>
      </c>
      <c r="N103" s="45" t="inlineStr">
        <is>
          <t>ข้อ 58 (PLE_CC1_2558_Key.md)</t>
        </is>
      </c>
      <c r="O103" s="46" t="inlineStr">
        <is>
          <t>ข้อสอบจริง</t>
        </is>
      </c>
      <c r="P103" s="46" t="inlineStr">
        <is>
          <t>ปี 2558</t>
        </is>
      </c>
    </row>
    <row r="104" ht="13.2" customHeight="1" s="37">
      <c r="A104" s="46" t="n">
        <v>102</v>
      </c>
      <c r="B104" s="45" t="inlineStr">
        <is>
          <t>หญิงไทยคู่อายุ 26 ปี มาขอซื้อยาเพื่อบรรเทาอาการท้องผูก ซักประวัติเพิ่มเติมกำลังตั้งครรภ์ได้ 4 เดือน และมีประวัติครอบครัวเป็นโรคความดันสูงและมะเร็งลำไส้ และปัจจุบันรับประทาน FBC และ Calcium Tablet เพื่อบำรุงร่างกาย จากอาการข้างต้น ข้อใดไม่ใช่สาเหตุที่ทำให้เกิดอาการท้องผูก</t>
        </is>
      </c>
      <c r="C104" s="46" t="n"/>
      <c r="D104" s="45" t="inlineStr">
        <is>
          <t>ประวัติตั้งครรภ์</t>
        </is>
      </c>
      <c r="E104" s="45" t="inlineStr">
        <is>
          <t>ประวัติครอบครัวเป็นโรคมะเร็งลำไส้</t>
        </is>
      </c>
      <c r="F104" s="45" t="inlineStr">
        <is>
          <t>รับประทาน FBC</t>
        </is>
      </c>
      <c r="G104" s="45" t="inlineStr">
        <is>
          <t>รับประทาน Calcium Tablet</t>
        </is>
      </c>
      <c r="H104" s="45" t="inlineStr">
        <is>
          <t>ไม่มีข้อใดถูก</t>
        </is>
      </c>
      <c r="I104" s="46" t="n">
        <v>1</v>
      </c>
      <c r="J104" s="45" t="inlineStr">
        <is>
          <t>✅ คำตอบที่ถูกต้อง: ข้อ ก. ประวัติตั้งครรภ์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ประวัติตั้งครรภ์ 💡 คำอธิบายและเหตุผลทางเภสัชกรรม:
💡 คำอธิบายและเหตุผลทางเภสัชกรรม:
การเลือก ประวัติตั้งครรภ์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(ประวัติครอบครัวเป็นโรคมะเร็งลำไส้): ข้อนี้ไม่ใช่คำตอบที่ถูกต้องสำหรับภาวะ Tablet Manufacturing เนื่องจากกลไกการออกฤทธิ์, efficacy หรือข้อบ่งใช้ไม่ตรงกับโจทย์ที่กำหนด
• ข้อ ค. (รับประทาน FBC): ข้อนี้ไม่ใช่คำตอบที่ถูกต้องสำหรับภาวะ Tablet Manufacturing เนื่องจากกลไกการออกฤทธิ์, efficacy หรือข้อบ่งใช้ไม่ตรงกับโจทย์ที่กำหนด
• ข้อ ง. (รับประทาน Calcium Tablet): ข้อนี้ไม่ใช่คำตอบที่ถูกต้องสำหรับภาวะ Tablet Manufacturing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46" t="n"/>
      <c r="L104" s="45" t="inlineStr">
        <is>
          <t>Tablet Manufacturing</t>
        </is>
      </c>
      <c r="M104" s="46" t="inlineStr">
        <is>
          <t>Product</t>
        </is>
      </c>
      <c r="N104" s="45" t="inlineStr">
        <is>
          <t>ข้อ 23 (Pharmtutor_2024_Set1.md)</t>
        </is>
      </c>
      <c r="O104" s="46" t="inlineStr">
        <is>
          <t>Mock</t>
        </is>
      </c>
      <c r="P104" s="46" t="inlineStr">
        <is>
          <t>Mock Pharmtutor 2024</t>
        </is>
      </c>
    </row>
    <row r="105" ht="13.2" customHeight="1" s="37">
      <c r="A105" s="46" t="n">
        <v>103</v>
      </c>
      <c r="B105" s="45" t="inlineStr">
        <is>
          <t>เมื่อนำไปทดสอบ disintegration test พบว่าไม่ผ่าน ควรเติมสารในตำรับเพิ่ม</t>
        </is>
      </c>
      <c r="C105" s="46" t="n"/>
      <c r="D105" s="45" t="inlineStr">
        <is>
          <t>Calcium hydrogen phosphate (anhydrous)</t>
        </is>
      </c>
      <c r="E105" s="45" t="inlineStr">
        <is>
          <t>Microcrystalline cellulose</t>
        </is>
      </c>
      <c r="F105" s="45" t="inlineStr">
        <is>
          <t>Croscarmellose sodium</t>
        </is>
      </c>
      <c r="G105" s="45" t="inlineStr">
        <is>
          <t>Hypromellose</t>
        </is>
      </c>
      <c r="H105" s="45" t="inlineStr">
        <is>
          <t>Magnesium stearate</t>
        </is>
      </c>
      <c r="I105" s="46" t="n">
        <v>1</v>
      </c>
      <c r="J105" s="45" t="inlineStr">
        <is>
          <t>✅ คำตอบที่ถูกต้อง: ข้อ ก. Calcium hydrogen phosphate (anhydrous)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Calcium hydrogen phosphate (anhydrous)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Tablet Manufacturing)
🔍 ข้ออื่นผิดเพราะอะไร:
• ข้อ ข.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ค. (Croscarmellose sodium): เป็น Superdisintegrant ชนิด cross-linked carboxymethylcellulose พองตัวและดึงน้ำเข้าเม็ดยาผ่าน wicking and swelling
• ข้อ ง. (Hypromellose):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46" t="n"/>
      <c r="L105" s="45" t="inlineStr">
        <is>
          <t>Tablet Manufacturing</t>
        </is>
      </c>
      <c r="M105" s="46" t="inlineStr">
        <is>
          <t>Product</t>
        </is>
      </c>
      <c r="N105" s="45" t="inlineStr">
        <is>
          <t>ข้อ 104 (Pharmtutor_2024_Set1.md)</t>
        </is>
      </c>
      <c r="O105" s="46" t="inlineStr">
        <is>
          <t>Mock</t>
        </is>
      </c>
      <c r="P105" s="46" t="inlineStr">
        <is>
          <t>Mock Pharmtutor 2024</t>
        </is>
      </c>
    </row>
    <row r="106" ht="13.2" customHeight="1" s="37">
      <c r="A106" s="46" t="n">
        <v>104</v>
      </c>
      <c r="B106" s="45" t="inlineStr">
        <is>
          <t>เวลาถัดมาตรวจพบยาเม็ดจำนวนมาก ถูกแพคใส่ถุงเตรียมไว้ โดยไบว่าใน 1 ซอง ประกอบไปด้วย Diclofenac Prednisolone Cimetidine อยู่รวมกันใน 1 ซองเป็นจำนวนมาก จากการกระทำดังกล่าว ถือว่าเป็นการกรพทำผิดตามมาตราใด</t>
        </is>
      </c>
      <c r="C106" s="46" t="n"/>
      <c r="D106" s="45" t="inlineStr">
        <is>
          <t>มาตรา 72</t>
        </is>
      </c>
      <c r="E106" s="45" t="inlineStr">
        <is>
          <t>มาตรา 72 ทวิ</t>
        </is>
      </c>
      <c r="F106" s="45" t="inlineStr">
        <is>
          <t>มาตรา 73</t>
        </is>
      </c>
      <c r="G106" s="45" t="inlineStr">
        <is>
          <t>มาตรา 74</t>
        </is>
      </c>
      <c r="H106" s="45" t="inlineStr">
        <is>
          <t>มาตรา 75 ทวิ</t>
        </is>
      </c>
      <c r="I106" s="46" t="n">
        <v>1</v>
      </c>
      <c r="J106" s="45" t="inlineStr">
        <is>
          <t>✅ คำตอบที่ถูกต้อง: ข้อ ก. มาตรา 72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มาตรา 72 💡 คำอธิบายและเหตุผลทางเภสัชกรรม:
💡 คำอธิบายและเหตุผลทางเภสัชกรรม:
การเลือก มาตรา 72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(มาตรา 72 ทวิ): ข้อนี้ไม่ใช่คำตอบที่ถูกต้องสำหรับภาวะ Tablet Manufacturing เนื่องจากกลไกการออกฤทธิ์, efficacy หรือข้อบ่งใช้ไม่ตรงกับโจทย์ที่กำหนด
• ข้อ ค. (มาตรา 73): ข้อนี้ไม่ใช่คำตอบที่ถูกต้องสำหรับภาวะ Tablet Manufacturing เนื่องจากกลไกการออกฤทธิ์, efficacy หรือข้อบ่งใช้ไม่ตรงกับโจทย์ที่กำหนด
• ข้อ ง. (มาตรา 74): ข้อนี้ไม่ใช่คำตอบที่ถูกต้องสำหรับภาวะ Tablet Manufacturing เนื่องจากกลไกการออกฤทธิ์, efficacy หรือข้อบ่งใช้ไม่ตรงกับโจทย์ที่กำหนด
• ข้อ จ. (มาตรา 75 ทวิ):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46" t="n"/>
      <c r="L106" s="45" t="inlineStr">
        <is>
          <t>Tablet Manufacturing</t>
        </is>
      </c>
      <c r="M106" s="46" t="inlineStr">
        <is>
          <t>Product</t>
        </is>
      </c>
      <c r="N106" s="45" t="inlineStr">
        <is>
          <t>ข้อ 112 (Pharmtutor_2024_Set1.md)</t>
        </is>
      </c>
      <c r="O106" s="46" t="inlineStr">
        <is>
          <t>Mock</t>
        </is>
      </c>
      <c r="P106" s="46" t="inlineStr">
        <is>
          <t>Mock Pharmtutor 2024</t>
        </is>
      </c>
    </row>
    <row r="107" ht="13.2" customHeight="1" s="37">
      <c r="A107" s="46" t="n">
        <v>105</v>
      </c>
      <c r="B107" s="45" t="inlineStr">
        <is>
          <t>ระหว่างกระบวนการผลิตพบว่าน้ำหนักยาเม็ดไม่สม่ำเสมอ ควรปรับปรุงโดยการเพิ่มสารใดในตำรับ</t>
        </is>
      </c>
      <c r="C107" s="46" t="n"/>
      <c r="D107" s="45" t="inlineStr">
        <is>
          <t>Copovidone</t>
        </is>
      </c>
      <c r="E107" s="45" t="inlineStr">
        <is>
          <t>Sorbitan laurate</t>
        </is>
      </c>
      <c r="F107" s="45" t="inlineStr">
        <is>
          <t>Colloidal anhydrous sillca</t>
        </is>
      </c>
      <c r="G107" s="45" t="inlineStr">
        <is>
          <t>Sodium stearyl fumarate</t>
        </is>
      </c>
      <c r="H107" s="45" t="inlineStr">
        <is>
          <t>ไม่มีข้อถูก</t>
        </is>
      </c>
      <c r="I107" s="46" t="n">
        <v>1</v>
      </c>
      <c r="J107" s="45" t="inlineStr">
        <is>
          <t>✅ คำตอบที่ถูกต้อง: ข้อ ก. Copovidone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Copovidone 💡 คำอธิบายและเหตุผลทางเภสัชกรรม:
💡 คำอธิบายและเหตุผลทางเภสัชกรรม:
การเลือก Copovidone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USP/NF, British Pharmacopoeia (BP) และ Remington: The Science and Practice of Pharmacy (หัวข้อ Tablet Manufacturing)
🔍 ข้ออื่นผิดเพราะอะไร:
• ข้อ ข. (Sorbitan laurate): ข้อนี้ไม่ใช่คำตอบที่ถูกต้องสำหรับภาวะ Tablet Manufacturing เนื่องจากกลไกการออกฤทธิ์, efficacy หรือข้อบ่งใช้ไม่ตรงกับโจทย์ที่กำหนด
• ข้อ ค. (Colloidal anhydrous sillca): ข้อนี้ไม่ใช่คำตอบที่ถูกต้องสำหรับภาวะ Tablet Manufacturing เนื่องจากกลไกการออกฤทธิ์, efficacy หรือข้อบ่งใช้ไม่ตรงกับโจทย์ที่กำหนด
• ข้อ ง. (Sodium stearyl fumarate): ข้อนี้ไม่ใช่คำตอบที่ถูกต้องสำหรับภาวะ Tablet Manufacturing เนื่องจากกลไกการออกฤทธิ์, efficacy หรือข้อบ่งใช้ไม่ตรงกับโจทย์ที่กำหนด
• ข้อ จ. (ไม่มีข้อถูก):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46" t="n"/>
      <c r="L107" s="45" t="inlineStr">
        <is>
          <t>Tablet Manufacturing</t>
        </is>
      </c>
      <c r="M107" s="46" t="inlineStr">
        <is>
          <t>Product</t>
        </is>
      </c>
      <c r="N107" s="45" t="inlineStr">
        <is>
          <t>ข้อ 99 (Pharmtutor_2024_Set2.md)</t>
        </is>
      </c>
      <c r="O107" s="46" t="inlineStr">
        <is>
          <t>Mock</t>
        </is>
      </c>
      <c r="P107" s="46" t="inlineStr">
        <is>
          <t>Mock Pharmtutor 2024</t>
        </is>
      </c>
    </row>
    <row r="108" ht="13.2" customHeight="1" s="37">
      <c r="A108" s="46" t="n">
        <v>106</v>
      </c>
      <c r="B108" s="45" t="inlineStr">
        <is>
          <t>จากสูตรตำรับข้างต้น (น่าจะเป็น diclofenac core tablet) หากท่านเป็นเภสัชกรฝ่ายควบคุมคุณภาพการผลิต ข้อใดไม่ จำเป็นต้องวิเคราะห์ (1) Dissolution (2) Disintegration (3) Hardness (4) Uniformity of dosage unit (5) Moisture content</t>
        </is>
      </c>
      <c r="C108" s="46" t="n"/>
      <c r="D108" s="45" t="inlineStr">
        <is>
          <t>Microcrystalline cellulose</t>
        </is>
      </c>
      <c r="E108" s="45" t="inlineStr">
        <is>
          <t>Magnesium stearate (Lubricant 1%)</t>
        </is>
      </c>
      <c r="F108" s="45" t="inlineStr">
        <is>
          <t>Sodium starch glycolate (Superdisintegrant)</t>
        </is>
      </c>
      <c r="G108" s="45" t="inlineStr">
        <is>
          <t>Direct Compression tableting method</t>
        </is>
      </c>
      <c r="H108" s="45" t="inlineStr">
        <is>
          <t>Wet Granulation tableting method</t>
        </is>
      </c>
      <c r="I108" s="46" t="n">
        <v>1</v>
      </c>
      <c r="J108" s="45" t="inlineStr">
        <is>
          <t>✅ คำตอบที่ถูกต้อง: ข้อ ก. Microcrystalline cellulose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46" t="n"/>
      <c r="L108" s="45" t="inlineStr">
        <is>
          <t>Tablet Manufacturing</t>
        </is>
      </c>
      <c r="M108" s="46" t="inlineStr">
        <is>
          <t>Product</t>
        </is>
      </c>
      <c r="N108" s="45" t="inlineStr">
        <is>
          <t>ข้อ 38 (PLE_CC1_2557.md)</t>
        </is>
      </c>
      <c r="O108" s="46" t="inlineStr">
        <is>
          <t>ข้อสอบจริง</t>
        </is>
      </c>
      <c r="P108" s="46" t="inlineStr">
        <is>
          <t>ปี 2557</t>
        </is>
      </c>
    </row>
    <row r="109" ht="13.2" customHeight="1" s="37">
      <c r="A109" s="46" t="n">
        <v>107</v>
      </c>
      <c r="B109" s="45" t="inlineStr">
        <is>
          <t>ในการพัฒนาสูตรตำรับ Pyrazinamide tablet พบว่าตัวยา pyrazinamide สามารถละลายนํ%าได้น้อย ควรเติมสารใด เพื_x001E_อเพิ_x001E_มการละลาย (1) Sodium starch glycolate (2) Croscarmellose sodium (3) Colloidal silicon dioxide (4) Magnesium stearate (5) Sodium lauryl sulfate</t>
        </is>
      </c>
      <c r="C109" s="46" t="n"/>
      <c r="D109" s="45" t="inlineStr">
        <is>
          <t>Direct Compression tableting method</t>
        </is>
      </c>
      <c r="E109" s="45" t="inlineStr">
        <is>
          <t>Wet Granulation tableting method</t>
        </is>
      </c>
      <c r="F109" s="45" t="inlineStr">
        <is>
          <t>Dry Granulation (Roller Compaction)</t>
        </is>
      </c>
      <c r="G109" s="45" t="inlineStr">
        <is>
          <t>Fluidized Bed Granulation</t>
        </is>
      </c>
      <c r="H109" s="45" t="inlineStr">
        <is>
          <t>Film Coating with Hydroxypropyl methylcellulose (HPMC)</t>
        </is>
      </c>
      <c r="I109" s="46" t="n">
        <v>1</v>
      </c>
      <c r="J109"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46" t="n"/>
      <c r="L109" s="45" t="inlineStr">
        <is>
          <t>Tablet Manufacturing</t>
        </is>
      </c>
      <c r="M109" s="46" t="inlineStr">
        <is>
          <t>Product</t>
        </is>
      </c>
      <c r="N109" s="45" t="inlineStr">
        <is>
          <t>ข้อ 22 (PLE_CC1_2557.md)</t>
        </is>
      </c>
      <c r="O109" s="46" t="inlineStr">
        <is>
          <t>ข้อสอบจริง</t>
        </is>
      </c>
      <c r="P109" s="46" t="inlineStr">
        <is>
          <t>ปี 2557</t>
        </is>
      </c>
    </row>
    <row r="110" ht="13.2" customHeight="1" s="37">
      <c r="A110" s="46" t="n">
        <v>108</v>
      </c>
      <c r="B110" s="45" t="inlineStr">
        <is>
          <t>คำแนะนำเมื_x001E_อเกิดอาการไม่พึงประสงค์จากยาเม็ดคุมกำเนิด ข้อใดต่อไปนี%ถูกต้อง (1) เกิดเลือดออกกระปริดกระปรอยในช่วงครึ_x0003_งแรกของ รอบเดือน เกิดจากการมีปริมาณ estrogen สูงเกินไป ให้ลดขนาด estrogen (2) เกิดเลือดออกกระปริดกระปรอยในช่วงครึ_x0003_งแรกของ รอบเดือน เกิดจากการมีปริมาณ estrogen ตํ_x0003_าเกินไป ให้เพิ_x0003_มขนาด estrogen (3) เกิดเลือดออกกระปริดกระปรอยในช่วงครึ_x0003_งแรกของ รอบเดือน เกิดจากการมีปริมาณ progestin ตํ_x0003_าเกินไป ให้เพิ_x0003_มขนาด progestin (4) เกิดเลือดออกกระปริดกระปรอยในช่วงครึ_x0003_งแรกของ รอบเดือน เกิดจากการมีปริมาณ progestin สูงเกินไป ให้ลดขนาด progestin (5) เกิดเลือดออกกระปริดกระปรอยในช่วงครึ_x0003_งหลังของ รอบเดือน เกิดจากการมีปริมาณ progestin สูงเกินไป ให้ลดขนาด progestin</t>
        </is>
      </c>
      <c r="C110" s="46" t="n"/>
      <c r="D110" s="45" t="inlineStr">
        <is>
          <t>Fluidized Bed Granulation</t>
        </is>
      </c>
      <c r="E110" s="45" t="inlineStr">
        <is>
          <t>Film Coating with Hydroxypropyl methylcellulose (HPMC)</t>
        </is>
      </c>
      <c r="F110" s="45" t="inlineStr">
        <is>
          <t>Enteric Coating with Cellulose acetate phthalate (CAP)</t>
        </is>
      </c>
      <c r="G110" s="45" t="inlineStr">
        <is>
          <t>Hard Gelatin Capsule filling</t>
        </is>
      </c>
      <c r="H110" s="45" t="inlineStr">
        <is>
          <t>Soft Gelatin Capsule encapsulation</t>
        </is>
      </c>
      <c r="I110" s="46" t="n">
        <v>1</v>
      </c>
      <c r="J110"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46" t="n"/>
      <c r="L110" s="45" t="inlineStr">
        <is>
          <t>Tablet Manufacturing</t>
        </is>
      </c>
      <c r="M110" s="46" t="inlineStr">
        <is>
          <t>Product</t>
        </is>
      </c>
      <c r="N110" s="45" t="inlineStr">
        <is>
          <t>ข้อ 39 (PLE_CC1_2557.md)</t>
        </is>
      </c>
      <c r="O110" s="46" t="inlineStr">
        <is>
          <t>ข้อสอบจริง</t>
        </is>
      </c>
      <c r="P110" s="46" t="inlineStr">
        <is>
          <t>ปี 2557</t>
        </is>
      </c>
    </row>
    <row r="111" ht="13.2" customHeight="1" s="37">
      <c r="A111" s="46" t="n">
        <v>109</v>
      </c>
      <c r="B111" s="45" t="inlineStr">
        <is>
          <t>ผลิตภัณฑ์แคลเซียมรูปแบบใด ออกฤทธิAเร็วที_x001E_สุด (1) Plain-compressed tablets (2) Chewable tablets (3) Effervescent tablets (4) Enteric-coated tablets (5) Film-coated tablets</t>
        </is>
      </c>
      <c r="C111" s="46" t="n"/>
      <c r="D111" s="45" t="inlineStr">
        <is>
          <t>Hard Gelatin Capsule filling</t>
        </is>
      </c>
      <c r="E111" s="45" t="inlineStr">
        <is>
          <t>Soft Gelatin Capsule encapsulation</t>
        </is>
      </c>
      <c r="F111" s="45" t="inlineStr">
        <is>
          <t>Microcrystalline cellulose</t>
        </is>
      </c>
      <c r="G111" s="45" t="inlineStr">
        <is>
          <t>Magnesium stearate (Lubricant 1%)</t>
        </is>
      </c>
      <c r="H111" s="45" t="inlineStr">
        <is>
          <t>Sodium starch glycolate (Superdisintegrant)</t>
        </is>
      </c>
      <c r="I111" s="46" t="n">
        <v>1</v>
      </c>
      <c r="J111" s="45"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(Soft Gelatin Capsule encapsulation): ข้อนี้ไม่ใช่คำตอบที่ถูกต้องสำหรับภาวะ Tablet Coating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Coating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46" t="n"/>
      <c r="L111" s="45" t="inlineStr">
        <is>
          <t>Tablet Coating</t>
        </is>
      </c>
      <c r="M111" s="46" t="inlineStr">
        <is>
          <t>Product</t>
        </is>
      </c>
      <c r="N111" s="45" t="inlineStr">
        <is>
          <t>ข้อ 51 (PLE_CC1_2557.md)</t>
        </is>
      </c>
      <c r="O111" s="46" t="inlineStr">
        <is>
          <t>ข้อสอบจริง</t>
        </is>
      </c>
      <c r="P111" s="46" t="inlineStr">
        <is>
          <t>ปี 2557</t>
        </is>
      </c>
    </row>
    <row r="112" ht="13.2" customHeight="1" s="37">
      <c r="A112" s="46" t="n">
        <v>110</v>
      </c>
      <c r="B112" s="45" t="inlineStr">
        <is>
          <t>ให้สูตรตำรับของ isotretinoin รูปแบบ soft gelatin capsules มา ถามว่า vegetable oil ในตำรับ isotretinoin ทำหน้าที_x001E_อะไร (1) Fillers (2) Co-solvents (3) Antioxidants (4) Disintegrants (5) Binders MCQ 12 | 1/2557 | Page 25</t>
        </is>
      </c>
      <c r="C112" s="46" t="n"/>
      <c r="D112" s="45" t="inlineStr">
        <is>
          <t>Magnesium stearate (Lubricant 1%)</t>
        </is>
      </c>
      <c r="E112" s="45" t="inlineStr">
        <is>
          <t>Sodium starch glycolate (Superdisintegrant)</t>
        </is>
      </c>
      <c r="F112" s="45" t="inlineStr">
        <is>
          <t>Direct Compression tableting method</t>
        </is>
      </c>
      <c r="G112" s="45" t="inlineStr">
        <is>
          <t>Wet Granulation tableting method</t>
        </is>
      </c>
      <c r="H112" s="45" t="inlineStr">
        <is>
          <t>Dry Granulation (Roller Compaction)</t>
        </is>
      </c>
      <c r="I112" s="46" t="n">
        <v>1</v>
      </c>
      <c r="J112" s="45"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Hard &amp; Soft Gelatin Capsules)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Hard &amp; Soft Gelatin Capsules เนื่องจากกลไกการออกฤทธิ์, efficacy หรือข้อบ่งใช้ไม่ตรงกับโจทย์ที่กำหนด
• ข้อ ง. (Wet Granulation tableting method): ข้อนี้ไม่ใช่คำตอบที่ถูกต้องสำหรับภาวะ Hard &amp; Soft Gelatin Capsules เนื่องจากกลไกการออกฤทธิ์, efficacy หรือข้อบ่งใช้ไม่ตรงกับโจทย์ที่กำหนด
• ข้อ จ. (Dry Granulation (Roller Compaction)): ข้อนี้ไม่ใช่คำตอบที่ถูกต้องสำหรับภาวะ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46" t="n"/>
      <c r="L112" s="45" t="inlineStr">
        <is>
          <t>Hard &amp; Soft Gelatin Capsules</t>
        </is>
      </c>
      <c r="M112" s="46" t="inlineStr">
        <is>
          <t>Product</t>
        </is>
      </c>
      <c r="N112" s="45" t="inlineStr">
        <is>
          <t>ข้อ 73 (PLE_CC1_2557.md)</t>
        </is>
      </c>
      <c r="O112" s="46" t="inlineStr">
        <is>
          <t>ข้อสอบจริง</t>
        </is>
      </c>
      <c r="P112" s="46" t="inlineStr">
        <is>
          <t>ปี 2557</t>
        </is>
      </c>
    </row>
    <row r="113" ht="13.2" customHeight="1" s="37">
      <c r="A113" s="46" t="n">
        <v>111</v>
      </c>
      <c r="B113" s="45" t="inlineStr">
        <is>
          <t>Gelatin --------------------------------------------------------------------------------------------------------------------------------- สถานการณ์ที่ 10 : Sinusitis คนไข้เป็นหืดมา 10 ปี มาขอยารักษา sinusitis มีอาการกำเริบ 5 ครั้ง/สัปดาห์ ยาที่ใช้ประจำคือยา Salbutamol MDIและ ยังมีใช้ยา Theophylline SR (ยาเม็ด)และ Budesonide (พ่น) เภสัชกรจ่ายยาพ่นจมูก จำชื่อนาไม่ได้</t>
        </is>
      </c>
      <c r="C113" s="46" t="n"/>
      <c r="D113" s="45" t="inlineStr">
        <is>
          <t>เชื้ออะไรของ sinusitis ตอบ S.pneumo</t>
        </is>
      </c>
      <c r="E113" s="45" t="inlineStr">
        <is>
          <t>Dry Granulation (Roller Compaction)</t>
        </is>
      </c>
      <c r="F113" s="45" t="inlineStr">
        <is>
          <t>Fluidized Bed Granulation</t>
        </is>
      </c>
      <c r="G113" s="45" t="inlineStr">
        <is>
          <t>Film Coating with Hydroxypropyl methylcellulose (HPMC)</t>
        </is>
      </c>
      <c r="H113" s="45" t="inlineStr">
        <is>
          <t>Enteric Coating with Cellulose acetate phthalate (CAP)</t>
        </is>
      </c>
      <c r="I113" s="46" t="n">
        <v>1</v>
      </c>
      <c r="J113" s="45" t="inlineStr">
        <is>
          <t>✅ คำตอบที่ถูกต้อง: ข้อ ก. เชื้ออะไรของ sinusitis ตอบ S.pneumo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เชื้ออะไรของ sinusitis ตอบ S.pneumo 💡 คำอธิบายและเหตุผลทางเภสัชกรรม:
💡 คำอธิบายและเหตุผลทางเภสัชกรรม:
การเลือก เชื้ออะไรของ sinusitis ตอบ S.pneumo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46" t="n"/>
      <c r="L113" s="45" t="inlineStr">
        <is>
          <t>Tablet Manufacturing</t>
        </is>
      </c>
      <c r="M113" s="46" t="inlineStr">
        <is>
          <t>Product</t>
        </is>
      </c>
      <c r="N113" s="45" t="inlineStr">
        <is>
          <t>ข้อ 5 (PLE_CC1_2556.md)</t>
        </is>
      </c>
      <c r="O113" s="46" t="inlineStr">
        <is>
          <t>ข้อสอบจริง</t>
        </is>
      </c>
      <c r="P113" s="46" t="inlineStr">
        <is>
          <t>ปี 2556</t>
        </is>
      </c>
    </row>
    <row r="114" ht="13.2" customHeight="1" s="37">
      <c r="A114" s="46" t="n">
        <v>112</v>
      </c>
      <c r="B114" s="45" t="inlineStr">
        <is>
          <t>ขั้นตอนการผลิตยาเม็ด Ethambutol ในข้อใดมีผลต่อความสม ่าเสมอของตัวยามากที่สุด</t>
        </is>
      </c>
      <c r="C114" s="46" t="n"/>
      <c r="D114" s="45" t="inlineStr">
        <is>
          <t>Mixing</t>
        </is>
      </c>
      <c r="E114" s="45" t="inlineStr">
        <is>
          <t>Drying</t>
        </is>
      </c>
      <c r="F114" s="45" t="inlineStr">
        <is>
          <t>Slugging</t>
        </is>
      </c>
      <c r="G114" s="45" t="inlineStr">
        <is>
          <t>Coating</t>
        </is>
      </c>
      <c r="H114" s="45" t="inlineStr">
        <is>
          <t>Tableting</t>
        </is>
      </c>
      <c r="I114" s="46" t="n">
        <v>1</v>
      </c>
      <c r="J114" s="45" t="inlineStr">
        <is>
          <t>✅ คำตอบที่ถูกต้อง: ข้อ ก. Mixing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Mixing 💡 คำอธิบายและเหตุผลทางเภสัชกรรม:
💡 คำอธิบายและเหตุผลทางเภสัชกรรม:
การเลือก Mixing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(Drying): ข้อนี้ไม่ใช่คำตอบที่ถูกต้องสำหรับภาวะ Tablet Manufacturing เนื่องจากกลไกการออกฤทธิ์, efficacy หรือข้อบ่งใช้ไม่ตรงกับโจทย์ที่กำหนด
• ข้อ ค. (Slugging): ข้อนี้ไม่ใช่คำตอบที่ถูกต้องสำหรับภาวะ Tablet Manufacturing เนื่องจากกลไกการออกฤทธิ์, efficacy หรือข้อบ่งใช้ไม่ตรงกับโจทย์ที่กำหนด
• ข้อ ง. (Coating): ข้อนี้ไม่ใช่คำตอบที่ถูกต้องสำหรับภาวะ Tablet Manufacturing เนื่องจากกลไกการออกฤทธิ์, efficacy หรือข้อบ่งใช้ไม่ตรงกับโจทย์ที่กำหนด
• ข้อ จ. (Tableting):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46" t="n"/>
      <c r="L114" s="45" t="inlineStr">
        <is>
          <t>Tablet Manufacturing</t>
        </is>
      </c>
      <c r="M114" s="46" t="inlineStr">
        <is>
          <t>Product</t>
        </is>
      </c>
      <c r="N114" s="45" t="inlineStr">
        <is>
          <t>ข้อ 29 (PLE_CC1_2555 Day 1.md)</t>
        </is>
      </c>
      <c r="O114" s="46" t="inlineStr">
        <is>
          <t>ข้อสอบจริง</t>
        </is>
      </c>
      <c r="P114" s="46" t="inlineStr">
        <is>
          <t>ปี 2555</t>
        </is>
      </c>
    </row>
    <row r="115" ht="13.2" customHeight="1" s="37">
      <c r="A115" s="46" t="n">
        <v>113</v>
      </c>
      <c r="B115" s="45" t="inlineStr">
        <is>
          <t>ข้อใดไม่ถูกต้องเกี่ยวกับข้อดีของการผลิตยาเม็ดโดยการตอกตรง</t>
        </is>
      </c>
      <c r="C115" s="46" t="n"/>
      <c r="D115" s="45" t="inlineStr">
        <is>
          <t>ใช้เครื่องมือในการผลิตน้อยชนิด</t>
        </is>
      </c>
      <c r="E115" s="45" t="inlineStr">
        <is>
          <t>กรรมวิธีในการผลิตน้อยขั้นตอน</t>
        </is>
      </c>
      <c r="F115" s="45" t="inlineStr">
        <is>
          <t>ผงยาไหลดี ตอกได้</t>
        </is>
      </c>
      <c r="G115" s="45" t="inlineStr">
        <is>
          <t>.............</t>
        </is>
      </c>
      <c r="H115" s="45" t="inlineStr">
        <is>
          <t>การกระจายของสีสม ่าเสมอมากกว่าการเตรียมโดยวิธีแกรนูลเปียก คณะเภสัชศาสตร์ มหาวิทยาลัยเชียงใหม่ Rx 44 CMU สถานการณ์ ผู้ป่วยเป็นโรคความดันโลหิตสูง ได้รับยา HCTZ มาเป็นเวลานาน ต่อมาผู้ป่วยมีอาการปวดข้อ + HCTZ</t>
        </is>
      </c>
      <c r="I115" s="46" t="n">
        <v>1</v>
      </c>
      <c r="J115" s="45" t="inlineStr">
        <is>
          <t>✅ คำตอบที่ถูกต้อง: ข้อ ก. ใช้เครื่องมือในการผลิตน้อยชนิด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ใช้เครื่องมือในการผลิตน้อยชนิด 💡 คำอธิบายและเหตุผลทางเภสัชกรรม:
💡 คำอธิบายและเหตุผลทางเภสัชกรรม:
กำเริบ แพทย์วินิจฉัยว่าเป็น Gout หลังจากนั้น ผู้ป่วยคุมความดันโลหิตได้ไม่ดี แพทย์จึงได้เพิ่มยา Amiloride
USP/NF, British Pharmacopoeia (BP) และ Remington: The Science and Practice of Pharmacy (หัวข้อ Tablet Manufacturing)
🔍 ข้ออื่นผิดเพราะอะไร:
• ข้อ ข. (กรรมวิธีในการผลิตน้อยขั้นตอน): ข้อนี้ไม่ใช่คำตอบที่ถูกต้องสำหรับภาวะ Tablet Manufacturing เนื่องจากกลไกการออกฤทธิ์, efficacy หรือข้อบ่งใช้ไม่ตรงกับโจทย์ที่กำหนด
• ข้อ ค. (ผงยาไหลดี ตอกได้): ข้อนี้ไม่ใช่คำตอบที่ถูกต้องสำหรับภาวะ Tablet Manufacturing เนื่องจากกลไกการออกฤทธิ์, efficacy หรือข้อบ่งใช้ไม่ตรงกับโจทย์ที่กำหนด
• ข้อ ง. (.............): ข้อนี้ไม่ใช่คำตอบที่ถูกต้องสำหรับภาวะ Tablet Manufacturing เนื่องจากกลไกการออกฤทธิ์, efficacy หรือข้อบ่งใช้ไม่ตรงกับโจทย์ที่กำหนด
• ข้อ จ. (การกระจายของสีสม ่าเสมอมากกว่าการเตรียมโดยวิธีแกรนูลเปียก คณะเภสัชศาสตร์ มหาวิทยาลัยเชียงใหม่ Rx 44 CMU สถานการณ์ ผู้ป่วยเป็นโรคความดันโลหิตสูง ได้รับยา HCTZ มาเป็นเวลานาน ต่อมาผู้ป่วยมีอาการปวดข้อ + HCTZ):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46" t="n"/>
      <c r="L115" s="45" t="inlineStr">
        <is>
          <t>Tablet Manufacturing</t>
        </is>
      </c>
      <c r="M115" s="46" t="inlineStr">
        <is>
          <t>Product</t>
        </is>
      </c>
      <c r="N115" s="45" t="inlineStr">
        <is>
          <t>ข้อ 30 (PLE_CC1_2555 Day 1.md)</t>
        </is>
      </c>
      <c r="O115" s="46" t="inlineStr">
        <is>
          <t>ข้อสอบจริง</t>
        </is>
      </c>
      <c r="P115" s="46" t="inlineStr">
        <is>
          <t>ปี 2555</t>
        </is>
      </c>
    </row>
    <row r="116" ht="13.2" customHeight="1" s="37">
      <c r="A116" s="46" t="n">
        <v>114</v>
      </c>
      <c r="B116" s="45" t="inlineStr">
        <is>
          <t>A B Allopurinol 0.3 g Allopurinol 0.3 g Lactose 10 g Strach 10 g PVP 15 ml PVP 15 ml Magnesium stearate 0.5 g Magnesium stearate 0.5 g Colloidal silicon dioxide 1.0 g Sodium lauryl sulfate 1.5 g q.s. to 100 g q.s. to 100 g ข้อใดถูกต้องเกี่ยวกับตำรับยา Allopurinol</t>
        </is>
      </c>
      <c r="C116" s="46" t="n"/>
      <c r="D116" s="45" t="inlineStr">
        <is>
          <t>ยา A มีการละลายดีกว่ายา B เนื่องจากมี Lactose เพื่อช่วยให้ยาละลายดีขึ้น</t>
        </is>
      </c>
      <c r="E116" s="45" t="inlineStr">
        <is>
          <t>ยา B มีการละลายที่ดีกว่ายา A เนื่องจากมี Sodium lauryl sulfate เพื่อให้ผงยาเปียกได้มากขึ้น</t>
        </is>
      </c>
      <c r="F116" s="45" t="inlineStr">
        <is>
          <t>....................</t>
        </is>
      </c>
      <c r="G116" s="45" t="inlineStr">
        <is>
          <t>..................</t>
        </is>
      </c>
      <c r="H116" s="45" t="inlineStr">
        <is>
          <t>...................</t>
        </is>
      </c>
      <c r="I116" s="46" t="n">
        <v>1</v>
      </c>
      <c r="J116" s="45" t="inlineStr">
        <is>
          <t>✅ คำตอบที่ถูกต้อง: ข้อ ก. ยา A มีการละลายดีกว่ายา B เนื่องจากมี Lactose เพื่อช่วยให้ยาละลายดีขึ้น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 A มีการละลายดีกว่ายา B เนื่องจากมี Lactose เพื่อช่วยให้ยาละลายดีขึ้น 💡 คำอธิบายและเหตุผลทางเภสัชกรรม:
💡 คำอธิบายและเหตุผลทางเภสัชกรรม:
การเลือก ยา A มีการละลายดีกว่ายา B เนื่องจากมี Lactose เพื่อช่วยให้ยาละลายดีขึ้น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 B มีการละลายที่ดีกว่ายา A เนื่องจากมี Sodium lauryl sulfate เพื่อให้ผงยาเปียกได้มากขึ้น): ข้อนี้ไม่ใช่คำตอบที่ถูกต้องสำหรับภาวะ Tablet Manufacturing เนื่องจากกลไกการออกฤทธิ์, efficacy หรือข้อบ่งใช้ไม่ตรงกับโจทย์ที่กำหนด
• ข้อ ค. (....................): ข้อนี้ไม่ใช่คำตอบที่ถูกต้องสำหรับภาวะ Tablet Manufacturing เนื่องจากกลไกการออกฤทธิ์, efficacy หรือข้อบ่งใช้ไม่ตรงกับโจทย์ที่กำหนด
• ข้อ ง. (..................): ข้อนี้ไม่ใช่คำตอบที่ถูกต้องสำหรับภาวะ Tablet Manufacturing เนื่องจากกลไกการออกฤทธิ์, efficacy หรือข้อบ่งใช้ไม่ตรงกับโจทย์ที่กำหนด
• ข้อ จ. (...................):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46" t="n"/>
      <c r="L116" s="45" t="inlineStr">
        <is>
          <t>Tablet Manufacturing</t>
        </is>
      </c>
      <c r="M116" s="46" t="inlineStr">
        <is>
          <t>Product</t>
        </is>
      </c>
      <c r="N116" s="45" t="inlineStr">
        <is>
          <t>ข้อ 36 (PLE_CC1_2555 Day 1.md)</t>
        </is>
      </c>
      <c r="O116" s="46" t="inlineStr">
        <is>
          <t>ข้อสอบจริง</t>
        </is>
      </c>
      <c r="P116" s="46" t="inlineStr">
        <is>
          <t>ปี 2555</t>
        </is>
      </c>
    </row>
    <row r="117" ht="13.2" customHeight="1" s="37">
      <c r="A117" s="46" t="n">
        <v>115</v>
      </c>
      <c r="B117" s="45" t="inlineStr">
        <is>
          <t>ข้อใดถูกต้องเกี่ยวกับตำรับยาเม็ด</t>
        </is>
      </c>
      <c r="C117" s="46" t="n"/>
      <c r="D117" s="45" t="inlineStr">
        <is>
          <t>.........</t>
        </is>
      </c>
      <c r="E117" s="45" t="inlineStr">
        <is>
          <t>........</t>
        </is>
      </c>
      <c r="F117" s="45" t="inlineStr">
        <is>
          <t>...........</t>
        </is>
      </c>
      <c r="G117" s="45" t="inlineStr">
        <is>
          <t>.......</t>
        </is>
      </c>
      <c r="H117" s="45" t="inlineStr">
        <is>
          <t>Sodium starch glycolate เป็นสารช่วยแตกตัว มือทั้ง 2 ข้าง</t>
        </is>
      </c>
      <c r="I117" s="46" t="n">
        <v>1</v>
      </c>
      <c r="J117" s="45" t="inlineStr">
        <is>
          <t>✅ คำตอบที่ถูกต้อง: ข้อ ก.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 💡 คำอธิบายและเหตุผลทางเภสัชกรรม:
💡 คำอธิบายและเหตุผลทางเภสัชกรรม:
สถานการณ์ ผู้ป่วยสัมผัสฝุ่นละอองแล้วเกิดผื่นมีลักษณะเป็นตุ่มสีแดง ไม่มีน ้า ไม่มีหนอง มีรอยเกา เป็นที่
USP/NF, British Pharmacopoeia (BP) และ Remington: The Science and Practice of Pharmacy (หัวข้อ Tablet Manufacturing)
🔍 ข้ออื่นผิดเพราะอะไร:
• ข้อ ข. (........): ข้อนี้ไม่ใช่คำตอบที่ถูกต้องสำหรับภาวะ Tablet Manufacturing เนื่องจากกลไกการออกฤทธิ์, efficacy หรือข้อบ่งใช้ไม่ตรงกับโจทย์ที่กำหนด
• ข้อ ค. (...........): ข้อนี้ไม่ใช่คำตอบที่ถูกต้องสำหรับภาวะ Tablet Manufacturing เนื่องจากกลไกการออกฤทธิ์, efficacy หรือข้อบ่งใช้ไม่ตรงกับโจทย์ที่กำหนด
• ข้อ ง. (.......): ข้อนี้ไม่ใช่คำตอบที่ถูกต้องสำหรับภาวะ Tablet Manufacturing เนื่องจากกลไกการออกฤทธิ์, efficacy หรือข้อบ่งใช้ไม่ตรงกับโจทย์ที่กำหนด
• ข้อ จ. (Sodium starch glycolate เป็นสารช่วยแตกตัว มือทั้ง 2 ข้าง):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46" t="n"/>
      <c r="L117" s="45" t="inlineStr">
        <is>
          <t>Tablet Manufacturing</t>
        </is>
      </c>
      <c r="M117" s="46" t="inlineStr">
        <is>
          <t>Product</t>
        </is>
      </c>
      <c r="N117" s="45" t="inlineStr">
        <is>
          <t>ข้อ 60 (PLE_CC1_2555 Day 1.md)</t>
        </is>
      </c>
      <c r="O117" s="46" t="inlineStr">
        <is>
          <t>ข้อสอบจริง</t>
        </is>
      </c>
      <c r="P117" s="46" t="inlineStr">
        <is>
          <t>ปี 2555</t>
        </is>
      </c>
    </row>
    <row r="118" ht="13.2" customHeight="1" s="37">
      <c r="A118" s="46" t="n">
        <v>116</v>
      </c>
      <c r="B118" s="45" t="inlineStr">
        <is>
          <t>เปลี่ยนไปใช้ antacid tablet แทน</t>
        </is>
      </c>
      <c r="C118" s="46" t="n"/>
      <c r="D118" s="45" t="inlineStr">
        <is>
          <t>Enteric Coating with Cellulose acetate phthalate (CAP)</t>
        </is>
      </c>
      <c r="E118" s="45" t="inlineStr">
        <is>
          <t>Hard Gelatin Capsule filling</t>
        </is>
      </c>
      <c r="F118" s="45" t="inlineStr">
        <is>
          <t>Soft Gelatin Capsule encapsulation</t>
        </is>
      </c>
      <c r="G118" s="45" t="inlineStr">
        <is>
          <t>Microcrystalline cellulose</t>
        </is>
      </c>
      <c r="H118" s="45" t="inlineStr">
        <is>
          <t>Magnesium stearate (Lubricant 1%)</t>
        </is>
      </c>
      <c r="I118" s="46" t="n">
        <v>1</v>
      </c>
      <c r="J118"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46" t="n"/>
      <c r="L118" s="45" t="inlineStr">
        <is>
          <t>Tablet Manufacturing</t>
        </is>
      </c>
      <c r="M118" s="46" t="inlineStr">
        <is>
          <t>Product</t>
        </is>
      </c>
      <c r="N118" s="45" t="inlineStr">
        <is>
          <t>ข้อ 5 (PLE_CC1_2555 Day 2.md)</t>
        </is>
      </c>
      <c r="O118" s="46" t="inlineStr">
        <is>
          <t>ข้อสอบจริง</t>
        </is>
      </c>
      <c r="P118" s="46" t="inlineStr">
        <is>
          <t>ปี 2555</t>
        </is>
      </c>
    </row>
    <row r="119" ht="13.2" customHeight="1" s="37">
      <c r="A119" s="46" t="n">
        <v>117</v>
      </c>
      <c r="B119" s="45" t="inlineStr">
        <is>
          <t>ยาเม็ดที่มี Estrogen เพียงชนิดเดียว 28 เม็ด</t>
        </is>
      </c>
      <c r="C119" s="46" t="n"/>
      <c r="D119" s="45" t="inlineStr">
        <is>
          <t>Microcrystalline cellulose</t>
        </is>
      </c>
      <c r="E119" s="45" t="inlineStr">
        <is>
          <t>Magnesium stearate (Lubricant 1%)</t>
        </is>
      </c>
      <c r="F119" s="45" t="inlineStr">
        <is>
          <t>Sodium starch glycolate (Superdisintegrant)</t>
        </is>
      </c>
      <c r="G119" s="45" t="inlineStr">
        <is>
          <t>Direct Compression tableting method</t>
        </is>
      </c>
      <c r="H119" s="45" t="inlineStr">
        <is>
          <t>Wet Granulation tableting method</t>
        </is>
      </c>
      <c r="I119" s="46" t="n">
        <v>1</v>
      </c>
      <c r="J119"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46" t="n"/>
      <c r="L119" s="45" t="inlineStr">
        <is>
          <t>Tablet Manufacturing</t>
        </is>
      </c>
      <c r="M119" s="46" t="inlineStr">
        <is>
          <t>Product</t>
        </is>
      </c>
      <c r="N119" s="45" t="inlineStr">
        <is>
          <t>ข้อ 1 (PLE_CC1_2555 Day 2.md)</t>
        </is>
      </c>
      <c r="O119" s="46" t="inlineStr">
        <is>
          <t>ข้อสอบจริง</t>
        </is>
      </c>
      <c r="P119" s="46" t="inlineStr">
        <is>
          <t>ปี 2555</t>
        </is>
      </c>
    </row>
    <row r="120" ht="13.2" customHeight="1" s="37">
      <c r="A120" s="46" t="n">
        <v>118</v>
      </c>
      <c r="B120" s="45" t="inlineStr">
        <is>
          <t>ยาเม็ดที่มี Progesterone เพียงชนิดเดียว 28 เม็ด</t>
        </is>
      </c>
      <c r="C120" s="46" t="n"/>
      <c r="D120" s="45" t="inlineStr">
        <is>
          <t>Direct Compression tableting method</t>
        </is>
      </c>
      <c r="E120" s="45" t="inlineStr">
        <is>
          <t>Wet Granulation tableting method</t>
        </is>
      </c>
      <c r="F120" s="45" t="inlineStr">
        <is>
          <t>Dry Granulation (Roller Compaction)</t>
        </is>
      </c>
      <c r="G120" s="45" t="inlineStr">
        <is>
          <t>Fluidized Bed Granulation</t>
        </is>
      </c>
      <c r="H120" s="45" t="inlineStr">
        <is>
          <t>Film Coating with Hydroxypropyl methylcellulose (HPMC)</t>
        </is>
      </c>
      <c r="I120" s="46" t="n">
        <v>1</v>
      </c>
      <c r="J120"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46" t="n"/>
      <c r="L120" s="45" t="inlineStr">
        <is>
          <t>Tablet Manufacturing</t>
        </is>
      </c>
      <c r="M120" s="46" t="inlineStr">
        <is>
          <t>Product</t>
        </is>
      </c>
      <c r="N120" s="45" t="inlineStr">
        <is>
          <t>ข้อ 2 (PLE_CC1_2555 Day 2.md)</t>
        </is>
      </c>
      <c r="O120" s="46" t="inlineStr">
        <is>
          <t>ข้อสอบจริง</t>
        </is>
      </c>
      <c r="P120" s="46" t="inlineStr">
        <is>
          <t>ปี 2555</t>
        </is>
      </c>
    </row>
    <row r="121" ht="13.2" customHeight="1" s="37">
      <c r="A121" s="46" t="n">
        <v>119</v>
      </c>
      <c r="B121" s="45" t="inlineStr">
        <is>
          <t>ยาเม็ดที่มี Estrogen ชนิดเดียว 14 เม็ด และ Progesterone ชนิดเดียว 14 เม็ด</t>
        </is>
      </c>
      <c r="C121" s="46" t="n"/>
      <c r="D121" s="45" t="inlineStr">
        <is>
          <t>Fluidized Bed Granulation</t>
        </is>
      </c>
      <c r="E121" s="45" t="inlineStr">
        <is>
          <t>Film Coating with Hydroxypropyl methylcellulose (HPMC)</t>
        </is>
      </c>
      <c r="F121" s="45" t="inlineStr">
        <is>
          <t>Enteric Coating with Cellulose acetate phthalate (CAP)</t>
        </is>
      </c>
      <c r="G121" s="45" t="inlineStr">
        <is>
          <t>Hard Gelatin Capsule filling</t>
        </is>
      </c>
      <c r="H121" s="45" t="inlineStr">
        <is>
          <t>Soft Gelatin Capsule encapsulation</t>
        </is>
      </c>
      <c r="I121" s="46" t="n">
        <v>1</v>
      </c>
      <c r="J121"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46" t="n"/>
      <c r="L121" s="45" t="inlineStr">
        <is>
          <t>Tablet Manufacturing</t>
        </is>
      </c>
      <c r="M121" s="46" t="inlineStr">
        <is>
          <t>Product</t>
        </is>
      </c>
      <c r="N121" s="45" t="inlineStr">
        <is>
          <t>ข้อ 3 (PLE_CC1_2555 Day 2.md)</t>
        </is>
      </c>
      <c r="O121" s="46" t="inlineStr">
        <is>
          <t>ข้อสอบจริง</t>
        </is>
      </c>
      <c r="P121" s="46" t="inlineStr">
        <is>
          <t>ปี 2555</t>
        </is>
      </c>
    </row>
    <row r="122" ht="13.2" customHeight="1" s="37">
      <c r="A122" s="46" t="n">
        <v>120</v>
      </c>
      <c r="B122" s="45" t="inlineStr">
        <is>
          <t>ยาเม็ดที่มีทั้ง Estrogen และ Progesterone ทุกเม็ด 28 เม็ด</t>
        </is>
      </c>
      <c r="C122" s="46" t="n"/>
      <c r="D122" s="45" t="inlineStr">
        <is>
          <t>Hard Gelatin Capsule filling</t>
        </is>
      </c>
      <c r="E122" s="45" t="inlineStr">
        <is>
          <t>Soft Gelatin Capsule encapsulation</t>
        </is>
      </c>
      <c r="F122" s="45" t="inlineStr">
        <is>
          <t>Microcrystalline cellulose</t>
        </is>
      </c>
      <c r="G122" s="45" t="inlineStr">
        <is>
          <t>Magnesium stearate (Lubricant 1%)</t>
        </is>
      </c>
      <c r="H122" s="45" t="inlineStr">
        <is>
          <t>Sodium starch glycolate (Superdisintegrant)</t>
        </is>
      </c>
      <c r="I122" s="46" t="n">
        <v>1</v>
      </c>
      <c r="J122" s="45"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46" t="n"/>
      <c r="L122" s="45" t="inlineStr">
        <is>
          <t>Tablet Manufacturing</t>
        </is>
      </c>
      <c r="M122" s="46" t="inlineStr">
        <is>
          <t>Product</t>
        </is>
      </c>
      <c r="N122" s="45" t="inlineStr">
        <is>
          <t>ข้อ 4 (PLE_CC1_2555 Day 2.md)</t>
        </is>
      </c>
      <c r="O122" s="46" t="inlineStr">
        <is>
          <t>ข้อสอบจริง</t>
        </is>
      </c>
      <c r="P122" s="46" t="inlineStr">
        <is>
          <t>ปี 2555</t>
        </is>
      </c>
    </row>
    <row r="123" ht="13.2" customHeight="1" s="37">
      <c r="A123" s="46" t="n">
        <v>121</v>
      </c>
      <c r="B123" s="45" t="inlineStr">
        <is>
          <t>ในการทดสอบสูตรตำรับยาเม็ด ข้อใดที่ไม่ได้ระบุไว้ใน USP</t>
        </is>
      </c>
      <c r="C123" s="46" t="n"/>
      <c r="D123" s="45" t="inlineStr">
        <is>
          <t>Magnesium stearate (Lubricant 1%)</t>
        </is>
      </c>
      <c r="E123" s="45" t="inlineStr">
        <is>
          <t>Sodium starch glycolate (Superdisintegrant)</t>
        </is>
      </c>
      <c r="F123" s="45" t="inlineStr">
        <is>
          <t>Direct Compression tableting method</t>
        </is>
      </c>
      <c r="G123" s="45" t="inlineStr">
        <is>
          <t>Wet Granulation tableting method</t>
        </is>
      </c>
      <c r="H123" s="45" t="inlineStr">
        <is>
          <t>Dry Granulation (Roller Compaction)</t>
        </is>
      </c>
      <c r="I123" s="46" t="n">
        <v>1</v>
      </c>
      <c r="J123"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46" t="n"/>
      <c r="L123" s="45" t="inlineStr">
        <is>
          <t>Tablet Manufacturing</t>
        </is>
      </c>
      <c r="M123" s="46" t="inlineStr">
        <is>
          <t>Product</t>
        </is>
      </c>
      <c r="N123" s="45" t="inlineStr">
        <is>
          <t>ข้อ 5 (PLE_CC1_2555 Day 2.md)</t>
        </is>
      </c>
      <c r="O123" s="46" t="inlineStr">
        <is>
          <t>ข้อสอบจริง</t>
        </is>
      </c>
      <c r="P123" s="46" t="inlineStr">
        <is>
          <t>ปี 2555</t>
        </is>
      </c>
    </row>
    <row r="124" ht="13.2" customHeight="1" s="37">
      <c r="A124" s="46" t="n">
        <v>122</v>
      </c>
      <c r="B124" s="45" t="inlineStr">
        <is>
          <t>ให้สูตรตำรับมา 2 ตำรับ ข้อใดถูก สูตร A สูตร B Allopurinol … … … Sodium starch glycolate Magnesium stearate 15% Allopurinol … … … Microcrystalline cellulose Sodium lauryl sulfate Magnesium stearate 5%</t>
        </is>
      </c>
      <c r="C124" s="46" t="n"/>
      <c r="D124" s="45" t="inlineStr">
        <is>
          <t>Wet Granulation tableting method</t>
        </is>
      </c>
      <c r="E124" s="45" t="inlineStr">
        <is>
          <t>Dry Granulation (Roller Compaction)</t>
        </is>
      </c>
      <c r="F124" s="45" t="inlineStr">
        <is>
          <t>Fluidized Bed Granulation</t>
        </is>
      </c>
      <c r="G124" s="45" t="inlineStr">
        <is>
          <t>Film Coating with Hydroxypropyl methylcellulose (HPMC)</t>
        </is>
      </c>
      <c r="H124" s="45" t="inlineStr">
        <is>
          <t>Enteric Coating with Cellulose acetate phthalate (CAP)</t>
        </is>
      </c>
      <c r="I124" s="46" t="n">
        <v>1</v>
      </c>
      <c r="J124"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46" t="n"/>
      <c r="L124" s="45" t="inlineStr">
        <is>
          <t>Tablet Manufacturing</t>
        </is>
      </c>
      <c r="M124" s="46" t="inlineStr">
        <is>
          <t>Product</t>
        </is>
      </c>
      <c r="N124" s="45" t="inlineStr">
        <is>
          <t>ข้อ 8 (PLE_CC1_2555 Day 2.md)</t>
        </is>
      </c>
      <c r="O124" s="46" t="inlineStr">
        <is>
          <t>ข้อสอบจริง</t>
        </is>
      </c>
      <c r="P124" s="46" t="inlineStr">
        <is>
          <t>ปี 2555</t>
        </is>
      </c>
    </row>
    <row r="125" ht="13.2" customHeight="1" s="37">
      <c r="A125" s="46" t="n">
        <v>123</v>
      </c>
      <c r="B125" s="45" t="inlineStr">
        <is>
          <t>magnesium stearate</t>
        </is>
      </c>
      <c r="C125" s="46" t="n"/>
      <c r="D125" s="45" t="inlineStr">
        <is>
          <t>Film Coating with Hydroxypropyl methylcellulose (HPMC)</t>
        </is>
      </c>
      <c r="E125" s="45" t="inlineStr">
        <is>
          <t>Enteric Coating with Cellulose acetate phthalate (CAP)</t>
        </is>
      </c>
      <c r="F125" s="45" t="inlineStr">
        <is>
          <t>Hard Gelatin Capsule filling</t>
        </is>
      </c>
      <c r="G125" s="45" t="inlineStr">
        <is>
          <t>Soft Gelatin Capsule encapsulation</t>
        </is>
      </c>
      <c r="H125" s="45" t="inlineStr">
        <is>
          <t>Microcrystalline cellulose</t>
        </is>
      </c>
      <c r="I125" s="46" t="n">
        <v>1</v>
      </c>
      <c r="J125"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46" t="n"/>
      <c r="L125" s="45" t="inlineStr">
        <is>
          <t>Tablet Manufacturing</t>
        </is>
      </c>
      <c r="M125" s="46" t="inlineStr">
        <is>
          <t>Product</t>
        </is>
      </c>
      <c r="N125" s="45" t="inlineStr">
        <is>
          <t>ข้อ 4 (PLE_CC1_2555 Day 2.md)</t>
        </is>
      </c>
      <c r="O125" s="46" t="inlineStr">
        <is>
          <t>ข้อสอบจริง</t>
        </is>
      </c>
      <c r="P125" s="46" t="inlineStr">
        <is>
          <t>ปี 2555</t>
        </is>
      </c>
    </row>
    <row r="126" ht="13.2" customHeight="1" s="37">
      <c r="A126" s="46" t="n">
        <v>124</v>
      </c>
      <c r="B126" s="45" t="inlineStr">
        <is>
          <t>Magnesium stearate</t>
        </is>
      </c>
      <c r="C126" s="46" t="n"/>
      <c r="D126" s="45" t="inlineStr">
        <is>
          <t>Soft Gelatin Capsule encapsulation</t>
        </is>
      </c>
      <c r="E126" s="45" t="inlineStr">
        <is>
          <t>Microcrystalline cellulose</t>
        </is>
      </c>
      <c r="F126" s="45" t="inlineStr">
        <is>
          <t>Magnesium stearate (Lubricant 1%)</t>
        </is>
      </c>
      <c r="G126" s="45" t="inlineStr">
        <is>
          <t>Sodium starch glycolate (Superdisintegrant)</t>
        </is>
      </c>
      <c r="H126" s="45" t="inlineStr">
        <is>
          <t>Direct Compression tableting method</t>
        </is>
      </c>
      <c r="I126" s="46" t="n">
        <v>1</v>
      </c>
      <c r="J126" s="45"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46" t="n"/>
      <c r="L126" s="45" t="inlineStr">
        <is>
          <t>Tablet Manufacturing</t>
        </is>
      </c>
      <c r="M126" s="46" t="inlineStr">
        <is>
          <t>Product</t>
        </is>
      </c>
      <c r="N126" s="45" t="inlineStr">
        <is>
          <t>ข้อ 2 (PLE_CC1_2555 Day 2.md)</t>
        </is>
      </c>
      <c r="O126" s="46" t="inlineStr">
        <is>
          <t>ข้อสอบจริง</t>
        </is>
      </c>
      <c r="P126" s="46" t="inlineStr">
        <is>
          <t>ปี 2555</t>
        </is>
      </c>
    </row>
    <row r="127" ht="13.2" customHeight="1" s="37">
      <c r="A127" s="46" t="n">
        <v>125</v>
      </c>
      <c r="B127" s="45" t="inlineStr">
        <is>
          <t>เท่ากับครึ่งหนึ่งของอายุยาเม็ดที่เหลือ</t>
        </is>
      </c>
      <c r="C127" s="46" t="n"/>
      <c r="D127" s="45" t="inlineStr">
        <is>
          <t>การหาประสิทธิผลของยา เทียบกับราคา เรียกว่าเป็นการศึกษาอะไร</t>
        </is>
      </c>
      <c r="E127" s="45" t="inlineStr">
        <is>
          <t>Direct Compression tableting method</t>
        </is>
      </c>
      <c r="F127" s="45" t="inlineStr">
        <is>
          <t>Wet Granulation tableting method</t>
        </is>
      </c>
      <c r="G127" s="45" t="inlineStr">
        <is>
          <t>Dry Granulation (Roller Compaction)</t>
        </is>
      </c>
      <c r="H127" s="45" t="inlineStr">
        <is>
          <t>Fluidized Bed Granulation</t>
        </is>
      </c>
      <c r="I127" s="46" t="n">
        <v>1</v>
      </c>
      <c r="J127" s="45" t="inlineStr">
        <is>
          <t>✅ คำตอบที่ถูกต้อง: ข้อ ก. การหาประสิทธิผลของยา เทียบกับราคา เรียกว่าเป็นการศึกษาอะไร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การหาประสิทธิผลของยา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 คำอธิบายและเหตุผลทางเภสัชกรรม:
💡 คำอธิบายและเหตุผลทางเภสัชกรรม:
การเลือก การหา efficacy ของยา เทียบกับราคา เรียกว่าเป็นการศึกษาอะไร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46" t="n"/>
      <c r="L127" s="45" t="inlineStr">
        <is>
          <t>Tablet Manufacturing</t>
        </is>
      </c>
      <c r="M127" s="46" t="inlineStr">
        <is>
          <t>Product</t>
        </is>
      </c>
      <c r="N127" s="45" t="inlineStr">
        <is>
          <t>ข้อ 4 (PLE_CC1_2555 Day 2.md)</t>
        </is>
      </c>
      <c r="O127" s="46" t="inlineStr">
        <is>
          <t>ข้อสอบจริง</t>
        </is>
      </c>
      <c r="P127" s="46" t="inlineStr">
        <is>
          <t>ปี 2555</t>
        </is>
      </c>
    </row>
    <row r="128" ht="13.2" customHeight="1" s="37">
      <c r="A128" s="46" t="n">
        <v>126</v>
      </c>
      <c r="B128" s="45" t="inlineStr">
        <is>
          <t>ยาดูดซึมได้ดีที่เยื่อบุที่ปาก แนะนำให้อมใต้ลิ้น ห้ามกลืนน้ำลาย  ยานี้อยู่ในรูปแบบยาเม็ด ใช้สำหรับรับประทาน โดยวางเม็ดยาบนลิ้น อมให้ละลายในปาก ซึ่งยาจะละลายทันที โดยทั่วไปไม่ ถึง 1 นาที เมื่อยาละลายหมดจึงกลืนยา โดยทั่วไปรับประทานวันละ 1 ครั้ง หรืออาจรับประทานยานี้วันละ 2-3 ครั้ง เป็นเวลา 10- 14 วันร่วมกับยาอื่นๆที่แพทย์สั่งเพื่อกำจัดเชื้อแบคทีเรีย H. pylori หรือให้ใช้ยานี้ตามวิธีใช้ที่ระบุบนฉลากยา โดยห้ามใช้ยาใน ขนาดที่มากหรือน้อยกว่าที่ระบุ และหากมีข้อสงสัยให้สอบถามแพทย์หรือเภสัชกร  ควรรับประทานยานี้เวลาท้องว่าง โดยให้รับประทานยาก่อนอาหารครึ่งถึงหนึ่งชั่วโมง  ห้ามเคี้ยวเม็ดยาโดยเด็ดขาด  ห้ามหยุดใช้ยาด้วยตัวเองโดยไม่ปรึกษาแพทย์ผู้รักษาก่อน  หากมีความจำเป็นต้องรับประทานยา sucralfate ให้รับประทานหลังจากรับประทานยานี้แล้วอย่างน้อย 30 นาที</t>
        </is>
      </c>
      <c r="C128" s="46" t="n"/>
      <c r="D128" s="45" t="inlineStr">
        <is>
          <t>Dry Granulation (Roller Compaction)</t>
        </is>
      </c>
      <c r="E128" s="45" t="inlineStr">
        <is>
          <t>Fluidized Bed Granulation</t>
        </is>
      </c>
      <c r="F128" s="45" t="inlineStr">
        <is>
          <t>Film Coating with Hydroxypropyl methylcellulose (HPMC)</t>
        </is>
      </c>
      <c r="G128" s="45" t="inlineStr">
        <is>
          <t>Enteric Coating with Cellulose acetate phthalate (CAP)</t>
        </is>
      </c>
      <c r="H128" s="45" t="inlineStr">
        <is>
          <t>Hard Gelatin Capsule filling</t>
        </is>
      </c>
      <c r="I128" s="46" t="n">
        <v>1</v>
      </c>
      <c r="J128" s="45"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46" t="n"/>
      <c r="L128" s="45" t="inlineStr">
        <is>
          <t>Tablet Manufacturing</t>
        </is>
      </c>
      <c r="M128" s="46" t="inlineStr">
        <is>
          <t>Product</t>
        </is>
      </c>
      <c r="N128" s="45" t="inlineStr">
        <is>
          <t>ข้อ 5 (PLE_CC1_2533.md)</t>
        </is>
      </c>
      <c r="O128" s="46" t="inlineStr">
        <is>
          <t>ข้อสอบจริง</t>
        </is>
      </c>
      <c r="P128" s="46" t="inlineStr">
        <is>
          <t>ปี 2533</t>
        </is>
      </c>
    </row>
    <row r="129" ht="13.2" customHeight="1" s="37">
      <c r="A129" s="46" t="n">
        <v>127</v>
      </c>
      <c r="B129" s="45" t="inlineStr">
        <is>
          <t>ข้อใดคือวัตถุประสงค์หลักในการในการทำ Ferrus sulphate ให้เป็น Enteric coated tablets</t>
        </is>
      </c>
      <c r="C129" s="46" t="n"/>
      <c r="D129" s="45" t="inlineStr">
        <is>
          <t>Enteric Coating with Cellulose acetate phthalate (CAP)</t>
        </is>
      </c>
      <c r="E129" s="45" t="inlineStr">
        <is>
          <t>Hard Gelatin Capsule filling</t>
        </is>
      </c>
      <c r="F129" s="45" t="inlineStr">
        <is>
          <t>Soft Gelatin Capsule encapsulation</t>
        </is>
      </c>
      <c r="G129" s="45" t="inlineStr">
        <is>
          <t>Microcrystalline cellulose</t>
        </is>
      </c>
      <c r="H129" s="45" t="inlineStr">
        <is>
          <t>Magnesium stearate (Lubricant 1%)</t>
        </is>
      </c>
      <c r="I129" s="46" t="n">
        <v>1</v>
      </c>
      <c r="J129"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Coating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Coating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Coating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46" t="n"/>
      <c r="L129" s="45" t="inlineStr">
        <is>
          <t>Tablet Coating</t>
        </is>
      </c>
      <c r="M129" s="46" t="inlineStr">
        <is>
          <t>Product</t>
        </is>
      </c>
      <c r="N129" s="45" t="inlineStr">
        <is>
          <t>ข้อ 5 (PLE_CC1_2533.md)</t>
        </is>
      </c>
      <c r="O129" s="46" t="inlineStr">
        <is>
          <t>ข้อสอบจริง</t>
        </is>
      </c>
      <c r="P129" s="46" t="inlineStr">
        <is>
          <t>ปี 2533</t>
        </is>
      </c>
    </row>
    <row r="130" ht="13.2" customHeight="1" s="37">
      <c r="A130" s="46" t="n">
        <v>128</v>
      </c>
      <c r="B130" s="45" t="inlineStr">
        <is>
          <t>สารเคลือบในตำรับที่ทำให้ Ferrus sulphate ให้เป็น Enteric coated tablets</t>
        </is>
      </c>
      <c r="C130" s="46" t="n"/>
      <c r="D130" s="45" t="inlineStr">
        <is>
          <t>Microcrystalline cellulose</t>
        </is>
      </c>
      <c r="E130" s="45" t="inlineStr">
        <is>
          <t>Magnesium stearate (Lubricant 1%)</t>
        </is>
      </c>
      <c r="F130" s="45" t="inlineStr">
        <is>
          <t>Sodium starch glycolate (Superdisintegrant)</t>
        </is>
      </c>
      <c r="G130" s="45" t="inlineStr">
        <is>
          <t>Direct Compression tableting method</t>
        </is>
      </c>
      <c r="H130" s="45" t="inlineStr">
        <is>
          <t>Wet Granulation tableting method</t>
        </is>
      </c>
      <c r="I130" s="46" t="n">
        <v>1</v>
      </c>
      <c r="J130"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Coating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46" t="n"/>
      <c r="L130" s="45" t="inlineStr">
        <is>
          <t>Tablet Coating</t>
        </is>
      </c>
      <c r="M130" s="46" t="inlineStr">
        <is>
          <t>Product</t>
        </is>
      </c>
      <c r="N130" s="45" t="inlineStr">
        <is>
          <t>ข้อ 6 (PLE_CC1_2533.md)</t>
        </is>
      </c>
      <c r="O130" s="46" t="inlineStr">
        <is>
          <t>ข้อสอบจริง</t>
        </is>
      </c>
      <c r="P130" s="46" t="inlineStr">
        <is>
          <t>ปี 2533</t>
        </is>
      </c>
    </row>
    <row r="131" ht="13.2" customHeight="1" s="37">
      <c r="A131" s="46" t="n">
        <v>129</v>
      </c>
      <c r="B131" s="45" t="inlineStr">
        <is>
          <t>น้ำหนักไม่สม่ำเสมอ »» ผสมผงยาและสารช่วยให้เข้ากันดี Ans 3. แกรนูลไม่เกาะกัน »» ลดแรงในการตอกอัด แกรนูลไม่เกาะกัน อาจมีสาเหตุมาจาก binder ที่เลือกใช้ อาจไม่เหมาะสม หรือไม่เพียงพอจึงไม่สามารถทำให้แกรนูลยึด เกาะกันได้ดีเท่าที่ควรจึงทำให้แกรนูลที่ได้เปราะ/กร่อน ดังนั้นการแก้ไขจึงควรแก้ไขที่สาเหตุตรงการเลือก binder/ปริมาณ binder ที่ใช้ ให้มีความเหมาะสม และขั้นตอนการผสมเป็นแกรนูล ไม่มีขั้นตอนในการตอกมาเกี่ยวข้อง ดังนั้นการลดแรงตอกลงจะไม่ช่วย แก้ปัญหาดังกล่าวได้</t>
        </is>
      </c>
      <c r="C131" s="46" t="n"/>
      <c r="D131" s="45" t="inlineStr">
        <is>
          <t>Direct Compression tableting method</t>
        </is>
      </c>
      <c r="E131" s="45" t="inlineStr">
        <is>
          <t>Wet Granulation tableting method</t>
        </is>
      </c>
      <c r="F131" s="45" t="inlineStr">
        <is>
          <t>Dry Granulation (Roller Compaction)</t>
        </is>
      </c>
      <c r="G131" s="45" t="inlineStr">
        <is>
          <t>Fluidized Bed Granulation</t>
        </is>
      </c>
      <c r="H131" s="45" t="inlineStr">
        <is>
          <t>Film Coating with Hydroxypropyl methylcellulose (HPMC)</t>
        </is>
      </c>
      <c r="I131" s="46" t="n">
        <v>1</v>
      </c>
      <c r="J131"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46" t="n"/>
      <c r="L131" s="45" t="inlineStr">
        <is>
          <t>Tablet Manufacturing</t>
        </is>
      </c>
      <c r="M131" s="46" t="inlineStr">
        <is>
          <t>Product</t>
        </is>
      </c>
      <c r="N131" s="45" t="inlineStr">
        <is>
          <t>ข้อ 5 (PLE_CC1_2533.md)</t>
        </is>
      </c>
      <c r="O131" s="46" t="inlineStr">
        <is>
          <t>ข้อสอบจริง</t>
        </is>
      </c>
      <c r="P131" s="46" t="inlineStr">
        <is>
          <t>ปี 2533</t>
        </is>
      </c>
    </row>
    <row r="132" ht="13.2" customHeight="1" s="37">
      <c r="A132" s="46" t="n">
        <v>130</v>
      </c>
      <c r="B132" s="45" t="inlineStr">
        <is>
          <t>ข้อใดถูกเกี่ยวกับยาเม็ด Furosemide</t>
        </is>
      </c>
      <c r="C132" s="46" t="n"/>
      <c r="D132" s="45" t="inlineStr">
        <is>
          <t>รับประทานเวลาใดก็ได้ แต่ควรเป็นเวลาเดียวกันทุกวัน</t>
        </is>
      </c>
      <c r="E132" s="45" t="inlineStr">
        <is>
          <t>รับประทานไม่เกินเที่ยงวัน</t>
        </is>
      </c>
      <c r="F132" s="45" t="inlineStr">
        <is>
          <t>หากลืมรับประทาน สามารถรับประทานทันทีที่นึกขึ้นได้</t>
        </is>
      </c>
      <c r="G132" s="45" t="inlineStr">
        <is>
          <t>หลีกเลี่ยงการรับประทานร่วมกับนมและยาลดกรด</t>
        </is>
      </c>
      <c r="H132" s="45" t="inlineStr">
        <is>
          <t>หลังรับประทานยาแล้ว ให้ดื่มน้ำตามมากๆ</t>
        </is>
      </c>
      <c r="I132" s="46" t="n">
        <v>1</v>
      </c>
      <c r="J132" s="45" t="inlineStr">
        <is>
          <t>✅ คำตอบที่ถูกต้อง: ข้อ ก. รับประทานเวลาใดก็ได้ แต่ควรเป็นเวลาเดียวกันทุกวัน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รับประทานเวลาใดก็ได้ แต่ควรเป็นเวลาเดียวกันทุกวัน 💡 คำอธิบายและเหตุผลทางเภสัชกรรม:
💡 คำอธิบายและเหตุผลทางเภสัชกรรม:
การเลือก รับประทานเวลาใดก็ได้ แต่ควรเป็นเวลาเดียวกันทุกวัน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(รับประทานไม่เกินเที่ยงวัน): ข้อนี้ไม่ใช่คำตอบที่ถูกต้องสำหรับภาวะ Tablet Manufacturing เนื่องจากกลไกการออกฤทธิ์, efficacy หรือข้อบ่งใช้ไม่ตรงกับโจทย์ที่กำหนด
• ข้อ ค. (หากลืมรับประทาน สามารถรับประทานทันทีที่นึกขึ้นได้): ข้อนี้ไม่ใช่คำตอบที่ถูกต้องสำหรับภาวะ Tablet Manufacturing เนื่องจากกลไกการออกฤทธิ์, efficacy หรือข้อบ่งใช้ไม่ตรงกับโจทย์ที่กำหนด
• ข้อ ง. (หลีกเลี่ยงการรับประทานร่วมกับนมและยาลดกรด): ข้อนี้ไม่ใช่คำตอบที่ถูกต้องสำหรับภาวะ Tablet Manufacturing เนื่องจากกลไกการออกฤทธิ์, efficacy หรือข้อบ่งใช้ไม่ตรงกับโจทย์ที่กำหนด
• ข้อ จ. (หลังรับประทานยาแล้ว ให้ดื่มน้ำตามมากๆ):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46" t="n"/>
      <c r="L132" s="45" t="inlineStr">
        <is>
          <t>Tablet Manufacturing</t>
        </is>
      </c>
      <c r="M132" s="46" t="inlineStr">
        <is>
          <t>Product</t>
        </is>
      </c>
      <c r="N132" s="45" t="inlineStr">
        <is>
          <t>ข้อ 7 (PLE_CC1_Practice_Exam.md)</t>
        </is>
      </c>
      <c r="O132" s="46" t="inlineStr">
        <is>
          <t>Mock</t>
        </is>
      </c>
      <c r="P132" s="46" t="inlineStr">
        <is>
          <t>Mock สภาเภสัชฯ Practice</t>
        </is>
      </c>
    </row>
    <row r="133" ht="13.2" customHeight="1" s="37">
      <c r="A133" s="46" t="n">
        <v>131</v>
      </c>
      <c r="B133" s="45" t="inlineStr">
        <is>
          <t>หากต้องการให้ยา Rifampicin มีรูปแบบเภสัชภัณฑ์เป็น enteric coated ควรเคลือบฟิล์มด้วยสารใด</t>
        </is>
      </c>
      <c r="C133" s="46" t="n"/>
      <c r="D133" s="45" t="inlineStr">
        <is>
          <t>Hydroxypropyl methylcellulose</t>
        </is>
      </c>
      <c r="E133" s="45" t="inlineStr">
        <is>
          <t>Polyethylene glycol</t>
        </is>
      </c>
      <c r="F133" s="45" t="inlineStr">
        <is>
          <t>Cellulose acetate phthalate</t>
        </is>
      </c>
      <c r="G133" s="45" t="inlineStr">
        <is>
          <t>Ethylcellulose</t>
        </is>
      </c>
      <c r="H133" s="45" t="inlineStr">
        <is>
          <t>Hydroxyethyl cellulose</t>
        </is>
      </c>
      <c r="I133" s="46" t="n">
        <v>1</v>
      </c>
      <c r="J133" s="45" t="inlineStr">
        <is>
          <t>✅ คำตอบที่ถูกต้อง: ข้อ ก. Hydroxypropyl methylcellulose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Hydroxypropyl methylcellulose 💡 คำอธิบายและเหตุผลทางเภสัชกรรม:
💡 คำอธิบายและเหตุผลทางเภสัชกรรม:
การเลือก Hydroxypropyl methylcellulose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(Polyethylene glycol): ข้อนี้ไม่ใช่คำตอบที่ถูกต้องสำหรับภาวะ Tablet Coating เนื่องจากกลไกการออกฤทธิ์, efficacy หรือข้อบ่งใช้ไม่ตรงกับโจทย์ที่กำหนด
• ข้อ ค. (Cellulose acetate phthalate):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(Ethylcellulose): ข้อนี้ไม่ใช่คำตอบที่ถูกต้องสำหรับภาวะ Tablet Coating เนื่องจากกลไกการออกฤทธิ์, efficacy หรือข้อบ่งใช้ไม่ตรงกับโจทย์ที่กำหนด
• ข้อ จ. (Hydroxyethyl cellulose):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46" t="n"/>
      <c r="L133" s="45" t="inlineStr">
        <is>
          <t>Tablet Coating</t>
        </is>
      </c>
      <c r="M133" s="46" t="inlineStr">
        <is>
          <t>Product</t>
        </is>
      </c>
      <c r="N133" s="45" t="inlineStr">
        <is>
          <t>ข้อ 5 (PLE_CC1_Practice_Exam.md)</t>
        </is>
      </c>
      <c r="O133" s="46" t="inlineStr">
        <is>
          <t>Mock</t>
        </is>
      </c>
      <c r="P133" s="46" t="inlineStr">
        <is>
          <t>Mock สภาเภสัชฯ Practice</t>
        </is>
      </c>
    </row>
    <row r="134" ht="13.2" customHeight="1" s="37">
      <c r="A134" s="46" t="n">
        <v>132</v>
      </c>
      <c r="B134" s="45" t="inlineStr">
        <is>
          <t>Glibenglamide tablet (5) 1x2 ac</t>
        </is>
      </c>
      <c r="C134" s="46" t="n"/>
      <c r="D134" s="45" t="inlineStr">
        <is>
          <t>Magnesium stearate (Lubricant 1%)</t>
        </is>
      </c>
      <c r="E134" s="45" t="inlineStr">
        <is>
          <t>Sodium starch glycolate (Superdisintegrant)</t>
        </is>
      </c>
      <c r="F134" s="45" t="inlineStr">
        <is>
          <t>Direct Compression tableting method</t>
        </is>
      </c>
      <c r="G134" s="45" t="inlineStr">
        <is>
          <t>Wet Granulation tableting method</t>
        </is>
      </c>
      <c r="H134" s="45" t="inlineStr">
        <is>
          <t>Dry Granulation (Roller Compaction)</t>
        </is>
      </c>
      <c r="I134" s="46" t="n">
        <v>1</v>
      </c>
      <c r="J134"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46" t="n"/>
      <c r="L134" s="45" t="inlineStr">
        <is>
          <t>Tablet Manufacturing</t>
        </is>
      </c>
      <c r="M134" s="46" t="inlineStr">
        <is>
          <t>Product</t>
        </is>
      </c>
      <c r="N134" s="45" t="inlineStr">
        <is>
          <t>ข้อ 1 (PLE_CC1_Practice_Exam.md)</t>
        </is>
      </c>
      <c r="O134" s="46" t="inlineStr">
        <is>
          <t>Mock</t>
        </is>
      </c>
      <c r="P134" s="46" t="inlineStr">
        <is>
          <t>Mock สภาเภสัชฯ Practice</t>
        </is>
      </c>
    </row>
    <row r="135" ht="13.2" customHeight="1" s="37">
      <c r="A135" s="46" t="n">
        <v>133</v>
      </c>
      <c r="B135" s="45" t="inlineStr">
        <is>
          <t>Metfoemin tablet 1x3 ac</t>
        </is>
      </c>
      <c r="C135" s="46" t="n"/>
      <c r="D135" s="45" t="inlineStr">
        <is>
          <t>Wet Granulation tableting method</t>
        </is>
      </c>
      <c r="E135" s="45" t="inlineStr">
        <is>
          <t>Dry Granulation (Roller Compaction)</t>
        </is>
      </c>
      <c r="F135" s="45" t="inlineStr">
        <is>
          <t>Fluidized Bed Granulation</t>
        </is>
      </c>
      <c r="G135" s="45" t="inlineStr">
        <is>
          <t>Film Coating with Hydroxypropyl methylcellulose (HPMC)</t>
        </is>
      </c>
      <c r="H135" s="45" t="inlineStr">
        <is>
          <t>Enteric Coating with Cellulose acetate phthalate (CAP)</t>
        </is>
      </c>
      <c r="I135" s="46" t="n">
        <v>1</v>
      </c>
      <c r="J135"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46" t="n"/>
      <c r="L135" s="45" t="inlineStr">
        <is>
          <t>Tablet Manufacturing</t>
        </is>
      </c>
      <c r="M135" s="46" t="inlineStr">
        <is>
          <t>Product</t>
        </is>
      </c>
      <c r="N135" s="45" t="inlineStr">
        <is>
          <t>ข้อ 2 (PLE_CC1_Practice_Exam.md)</t>
        </is>
      </c>
      <c r="O135" s="46" t="inlineStr">
        <is>
          <t>Mock</t>
        </is>
      </c>
      <c r="P135" s="46" t="inlineStr">
        <is>
          <t>Mock สภาเภสัชฯ Practice</t>
        </is>
      </c>
    </row>
    <row r="136" ht="13.2" customHeight="1" s="37">
      <c r="A136" s="46" t="n">
        <v>134</v>
      </c>
      <c r="B136" s="45" t="inlineStr">
        <is>
          <t>Isosorbide mononitrate tablet 1x2 ac</t>
        </is>
      </c>
      <c r="C136" s="46" t="n"/>
      <c r="D136" s="45" t="inlineStr">
        <is>
          <t>Film Coating with Hydroxypropyl methylcellulose (HPMC)</t>
        </is>
      </c>
      <c r="E136" s="45" t="inlineStr">
        <is>
          <t>Enteric Coating with Cellulose acetate phthalate (CAP)</t>
        </is>
      </c>
      <c r="F136" s="45" t="inlineStr">
        <is>
          <t>Hard Gelatin Capsule filling</t>
        </is>
      </c>
      <c r="G136" s="45" t="inlineStr">
        <is>
          <t>Soft Gelatin Capsule encapsulation</t>
        </is>
      </c>
      <c r="H136" s="45" t="inlineStr">
        <is>
          <t>Microcrystalline cellulose</t>
        </is>
      </c>
      <c r="I136" s="46" t="n">
        <v>1</v>
      </c>
      <c r="J136"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46" t="n"/>
      <c r="L136" s="45" t="inlineStr">
        <is>
          <t>Tablet Manufacturing</t>
        </is>
      </c>
      <c r="M136" s="46" t="inlineStr">
        <is>
          <t>Product</t>
        </is>
      </c>
      <c r="N136" s="45" t="inlineStr">
        <is>
          <t>ข้อ 3 (PLE_CC1_Practice_Exam.md)</t>
        </is>
      </c>
      <c r="O136" s="46" t="inlineStr">
        <is>
          <t>Mock</t>
        </is>
      </c>
      <c r="P136" s="46" t="inlineStr">
        <is>
          <t>Mock สภาเภสัชฯ Practice</t>
        </is>
      </c>
    </row>
    <row r="137" ht="13.2" customHeight="1" s="37">
      <c r="A137" s="46" t="n">
        <v>135</v>
      </c>
      <c r="B137" s="45" t="inlineStr">
        <is>
          <t>Aspirin tablet 1x1 pc จากข้อมูลดังกล่าว อาการใดต่อไปนี้ของคนไข้ไม่ใช่อาการ DM</t>
        </is>
      </c>
      <c r="C137" s="46" t="n"/>
      <c r="D137" s="45" t="inlineStr">
        <is>
          <t>หิวน้ำบ่อย</t>
        </is>
      </c>
      <c r="E137" s="45" t="inlineStr">
        <is>
          <t>ปัสสาวะบ่อย</t>
        </is>
      </c>
      <c r="F137" s="45" t="inlineStr">
        <is>
          <t>เจ็บหน้าอก</t>
        </is>
      </c>
      <c r="G137" s="45" t="inlineStr">
        <is>
          <t>น้ำหนักลด</t>
        </is>
      </c>
      <c r="H137" s="45" t="inlineStr">
        <is>
          <t>อ่อนเพลีย</t>
        </is>
      </c>
      <c r="I137" s="46" t="n">
        <v>1</v>
      </c>
      <c r="J137" s="45" t="inlineStr">
        <is>
          <t>✅ คำตอบที่ถูกต้อง: ข้อ ก. หิวน้ำบ่อย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หิวน้ำบ่อย 💡 คำอธิบายและเหตุผลทางเภสัชกรรม:
💡 คำอธิบายและเหตุผลทางเภสัชกรรม:
การเลือก หิวน้ำบ่อย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(ปัสสาวะบ่อย): ข้อนี้ไม่ใช่คำตอบที่ถูกต้องสำหรับภาวะ Tablet Manufacturing เนื่องจากกลไกการออกฤทธิ์, efficacy หรือข้อบ่งใช้ไม่ตรงกับโจทย์ที่กำหนด
• ข้อ ค. (เจ็บหน้าอก): ข้อนี้ไม่ใช่คำตอบที่ถูกต้องสำหรับภาวะ Tablet Manufacturing เนื่องจากกลไกการออกฤทธิ์, efficacy หรือข้อบ่งใช้ไม่ตรงกับโจทย์ที่กำหนด
• ข้อ ง. (น้ำหนักลด): ข้อนี้ไม่ใช่คำตอบที่ถูกต้องสำหรับภาวะ Tablet Manufacturing เนื่องจากกลไกการออกฤทธิ์, efficacy หรือข้อบ่งใช้ไม่ตรงกับโจทย์ที่กำหนด
• ข้อ จ. (อ่อนเพลีย):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46" t="n"/>
      <c r="L137" s="45" t="inlineStr">
        <is>
          <t>Tablet Manufacturing</t>
        </is>
      </c>
      <c r="M137" s="46" t="inlineStr">
        <is>
          <t>Product</t>
        </is>
      </c>
      <c r="N137" s="45" t="inlineStr">
        <is>
          <t>ข้อ 4 (PLE_CC1_Practice_Exam.md)</t>
        </is>
      </c>
      <c r="O137" s="46" t="inlineStr">
        <is>
          <t>Mock</t>
        </is>
      </c>
      <c r="P137" s="46" t="inlineStr">
        <is>
          <t>Mock สภาเภสัชฯ Practice</t>
        </is>
      </c>
    </row>
    <row r="138" ht="13.2" customHeight="1" s="37">
      <c r="A138" s="46" t="n">
        <v>136</v>
      </c>
      <c r="B138" s="45" t="inlineStr">
        <is>
          <t>Metformin tablet 1ข3 ac</t>
        </is>
      </c>
      <c r="C138" s="46" t="n"/>
      <c r="D138" s="45" t="inlineStr">
        <is>
          <t>Sodium starch glycolate (Superdisintegrant)</t>
        </is>
      </c>
      <c r="E138" s="45" t="inlineStr">
        <is>
          <t>Direct Compression tableting method</t>
        </is>
      </c>
      <c r="F138" s="45" t="inlineStr">
        <is>
          <t>Wet Granulation tableting method</t>
        </is>
      </c>
      <c r="G138" s="45" t="inlineStr">
        <is>
          <t>Dry Granulation (Roller Compaction)</t>
        </is>
      </c>
      <c r="H138" s="45" t="inlineStr">
        <is>
          <t>Fluidized Bed Granulation</t>
        </is>
      </c>
      <c r="I138" s="46" t="n">
        <v>1</v>
      </c>
      <c r="J138"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46" t="n"/>
      <c r="L138" s="45" t="inlineStr">
        <is>
          <t>Tablet Manufacturing</t>
        </is>
      </c>
      <c r="M138" s="46" t="inlineStr">
        <is>
          <t>Product</t>
        </is>
      </c>
      <c r="N138" s="45" t="inlineStr">
        <is>
          <t>ข้อ 1 (PLE_CC1_Practice_Exam.md)</t>
        </is>
      </c>
      <c r="O138" s="46" t="inlineStr">
        <is>
          <t>Mock</t>
        </is>
      </c>
      <c r="P138" s="46" t="inlineStr">
        <is>
          <t>Mock สภาเภสัชฯ Practice</t>
        </is>
      </c>
    </row>
    <row r="139" ht="13.2" customHeight="1" s="37">
      <c r="A139" s="46" t="n">
        <v>137</v>
      </c>
      <c r="B139" s="45" t="inlineStr">
        <is>
          <t>ตอบ ก. ถ้าผู้ป่วยมีประวัติเคยเกิด hypoglycemia ควรใช้ยา Glipizide เนื่องจาก ข้อ ก. ผิด เพราะ Glipizide เป็นยาในกลุ่ม sulfonylureas ซึ่งมี ADR ที่สำคัญคือ hypoglycemia และ weight gain ส่วนยากลุ่มอื่นๆ ที่สามารถเกิด hypoglycemia ได้ เช่น Insulin, Meglitnides ข้อ ข. ถูก เพราะ Glipizide ไม่จำเป็นต้องปรับขนาดยาในผู้ป่วย CKD แต่ควรหลีกเลี่ยงใน CKD ระดับ5 ข้อ ค. ถูก เพราะ Metformin มีขนาดยาสูงสุดเท่ากับ 2550 mg/day ข้อ ง. ถูก เพราะ ผู้ป่วยเบาหวานที่ตั้งครรภ์ ควรได้รับการเปลี่ยนยาเม็ดลดระดับน้ำตาลเป็นยาฉีด อินซูลินก่อนตั้งครรภ์ เพื่อที่จะควบคุมระดับน้ำตาลในเลือดให้ดี โดยทั่วไปไม่ควรใช้ยาเม็ดลดระดับน้ำตาลใน ผู้ป่วยเบาหวานที่ตั้งครรภ์ (คุณภาพหลักฐานระดับ 2, น้ำหนักคำแนะนำ ++) เนื่องจากยาสามารถผ่านไปสู่ ทารกได้ อาจทำให้เกิดความพิการแต่กำเนิดและทำให้ทารกเกิดภาวะน้ำตาต่ำในเลือดแรกคลอดได้บ่อย นอกจากนี้การใช้ยาเม็ดลดระดับน้ำตาลเพียงอย่างเดียว ไม่สามารถควบคุมระดับน้ำตาลในเลือดได้ดีเท่า อินซูลิน มีการใช้ยา metformin ร่วมกับยาฉีดอินซูลินในกรณีที่ผู้ป่วยต้องใช้อินซูลินปริมาณมาก ทำให้การ ควบคุมระดับน้ำตาลในเลือดดีขึ้น แม้ว่ายา metformin สามารถผ่านรกได้ แต่การศึกษาในสัตว์ทดลองและ มนุษย์ยังไม่พบว่าทำให้เกิดผลเสียในทารก ข้อ จ ถูก.เพราะ Metformin ห้ามใช้เมื่อ eGFR &lt; 30 ml/min/1.73m2 ถ้า eGFR 30-45 ให้ลดขนาดลง เหลือ 1000 mg/day เนื่องจากเพิ่มความเสี่ยงในการเกิดภาวะ lactic acidosis ได้</t>
        </is>
      </c>
      <c r="C139" s="46" t="n"/>
      <c r="D139" s="45" t="inlineStr">
        <is>
          <t>Dry Granulation (Roller Compaction)</t>
        </is>
      </c>
      <c r="E139" s="45" t="inlineStr">
        <is>
          <t>Fluidized Bed Granulation</t>
        </is>
      </c>
      <c r="F139" s="45" t="inlineStr">
        <is>
          <t>Film Coating with Hydroxypropyl methylcellulose (HPMC)</t>
        </is>
      </c>
      <c r="G139" s="45" t="inlineStr">
        <is>
          <t>Enteric Coating with Cellulose acetate phthalate (CAP)</t>
        </is>
      </c>
      <c r="H139" s="45" t="inlineStr">
        <is>
          <t>Hard Gelatin Capsule filling</t>
        </is>
      </c>
      <c r="I139" s="46" t="n">
        <v>1</v>
      </c>
      <c r="J139" s="45" t="inlineStr">
        <is>
          <t>✅ คำตอบที่ถูกต้อง: ข้อ ก. Dry Granulation (Roller Compaction)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46" t="n"/>
      <c r="L139" s="45" t="inlineStr">
        <is>
          <t>Tablet Manufacturing</t>
        </is>
      </c>
      <c r="M139" s="46" t="inlineStr">
        <is>
          <t>Product</t>
        </is>
      </c>
      <c r="N139" s="45" t="inlineStr">
        <is>
          <t>ข้อ 13 (PLE_CC1_Practice_Exam.md)</t>
        </is>
      </c>
      <c r="O139" s="46" t="inlineStr">
        <is>
          <t>Mock</t>
        </is>
      </c>
      <c r="P139" s="46" t="inlineStr">
        <is>
          <t>Mock สภาเภสัชฯ Practice</t>
        </is>
      </c>
    </row>
    <row r="140" ht="13.2" customHeight="1" s="37">
      <c r="A140" s="46" t="n">
        <v>138</v>
      </c>
      <c r="B140" s="45" t="inlineStr">
        <is>
          <t>ตอบ ง. เพิ่มยา NPH insulin เนื่องจาก ข้อ ก. ผิด เพราะขนาดยา Metformin ที่ผู้ป่วยรายนี้ได้รับ อยู่ในระดับ max dose แล้ว ข้อ ข. ผิด เพราะยา Glipizide มี Duration 12-24 ชั่วโมง จึงไม่สามารถเพิ่มขนาดยา Glipizide เป็น Glipizide (5) 1ข3 ac ได้ ข้อ ค.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ไม่ใช่เปลี่ยนยา Glipizide เป็น NPH insulin 103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ข้อ ง. ถูก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น้ำตาลร่วมกับการฉีดยา basal insulin (NPH insulin) ก่อนนอน ข้อ จ.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ไม่ใช่เพิ่มยา Pre-mixed insulin (70% NPH/30% Regular)</t>
        </is>
      </c>
      <c r="C140" s="46" t="n"/>
      <c r="D140" s="45" t="inlineStr">
        <is>
          <t>Enteric Coating with Cellulose acetate phthalate (CAP)</t>
        </is>
      </c>
      <c r="E140" s="45" t="inlineStr">
        <is>
          <t>Hard Gelatin Capsule filling</t>
        </is>
      </c>
      <c r="F140" s="45" t="inlineStr">
        <is>
          <t>Soft Gelatin Capsule encapsulation</t>
        </is>
      </c>
      <c r="G140" s="45" t="inlineStr">
        <is>
          <t>Microcrystalline cellulose</t>
        </is>
      </c>
      <c r="H140" s="45" t="inlineStr">
        <is>
          <t>Magnesium stearate (Lubricant 1%)</t>
        </is>
      </c>
      <c r="I140" s="46" t="n">
        <v>1</v>
      </c>
      <c r="J140" s="45" t="inlineStr">
        <is>
          <t>✅ คำตอบที่ถูกต้อง: ข้อ ก. Enteric Coating with Cellulose acetate phthalate (CAP)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46" t="n"/>
      <c r="L140" s="45" t="inlineStr">
        <is>
          <t>Tablet Manufacturing</t>
        </is>
      </c>
      <c r="M140" s="46" t="inlineStr">
        <is>
          <t>Product</t>
        </is>
      </c>
      <c r="N140" s="45" t="inlineStr">
        <is>
          <t>ข้อ 14 (PLE_CC1_Practice_Exam.md)</t>
        </is>
      </c>
      <c r="O140" s="46" t="inlineStr">
        <is>
          <t>Mock</t>
        </is>
      </c>
      <c r="P140" s="46" t="inlineStr">
        <is>
          <t>Mock สภาเภสัชฯ Practice</t>
        </is>
      </c>
    </row>
    <row r="141" ht="13.2" customHeight="1" s="37">
      <c r="A141" s="46" t="n">
        <v>139</v>
      </c>
      <c r="B141" s="45" t="inlineStr">
        <is>
          <t>ถ้าหากพบว่ายาเม็ด Paracetamol มีการแยกตัว ออกเป็นชั้น แก้ปัญหาดังกล่าวอย่างไร</t>
        </is>
      </c>
      <c r="C141" s="46" t="n"/>
      <c r="D141" s="45" t="inlineStr">
        <is>
          <t>ให้ใช้ punch ที่มีความโค้งมาก (deep concave punch )</t>
        </is>
      </c>
      <c r="E141" s="45" t="inlineStr">
        <is>
          <t>ให้ใช้ die ที่มีช่องด้านบนใหญ่กว่าด้านล่าง</t>
        </is>
      </c>
      <c r="F141" s="45" t="inlineStr">
        <is>
          <t>ลดความเร็วในการตอกลง</t>
        </is>
      </c>
      <c r="G141" s="45" t="inlineStr">
        <is>
          <t>เติมสารพวก hygroscopic ลงไปเพื่อไม่ใช้แกรนูลชื้นเกิน</t>
        </is>
      </c>
      <c r="H141" s="45" t="inlineStr">
        <is>
          <t>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t>
        </is>
      </c>
      <c r="I141" s="46" t="n">
        <v>1</v>
      </c>
      <c r="J141" s="45" t="inlineStr">
        <is>
          <t>✅ คำตอบที่ถูกต้อง: ข้อ ก. ให้ใช้ punch ที่มีความโค้งมาก (deep concave punch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ให้ใช้ punch ที่มีความโค้งมาก (deep concave punch ) 💡 คำอธิบายและเหตุผลทางเภสัชกรรม:
💡 คำอธิบายและเหตุผลทางเภสัชกรรม:
การเลือก ให้ใช้ punch ที่มีความโค้งมาก (deep concave punch )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(ให้ใช้ die ที่มีช่องด้านบนใหญ่กว่าด้านล่าง): ข้อนี้ไม่ใช่คำตอบที่ถูกต้องสำหรับภาวะ Tablet Manufacturing เนื่องจากกลไกการออกฤทธิ์, efficacy หรือข้อบ่งใช้ไม่ตรงกับโจทย์ที่กำหนด
• ข้อ ค. (ลดความเร็วในการตอกลง): ข้อนี้ไม่ใช่คำตอบที่ถูกต้องสำหรับภาวะ Tablet Manufacturing เนื่องจากกลไกการออกฤทธิ์, efficacy หรือข้อบ่งใช้ไม่ตรงกับโจทย์ที่กำหนด
• ข้อ ง. (เติมสารพวก hygroscopic ลงไปเพื่อไม่ใช้แกรนูลชื้นเกิน): ข้อนี้ไม่ใช่คำตอบที่ถูกต้องสำหรับภาวะ Tablet Manufacturing เนื่องจากกลไกการออกฤทธิ์, efficacy หรือข้อบ่งใช้ไม่ตรงกับโจทย์ที่กำหนด
• ข้อ จ.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46" t="n"/>
      <c r="L141" s="45" t="inlineStr">
        <is>
          <t>Tablet Manufacturing</t>
        </is>
      </c>
      <c r="M141" s="46" t="inlineStr">
        <is>
          <t>Product</t>
        </is>
      </c>
      <c r="N141" s="45" t="inlineStr">
        <is>
          <t>ข้อ 26 (PLE_CC1_Practice_Exam.md)</t>
        </is>
      </c>
      <c r="O141" s="46" t="inlineStr">
        <is>
          <t>Mock</t>
        </is>
      </c>
      <c r="P141" s="46" t="inlineStr">
        <is>
          <t>Mock สภาเภสัชฯ Practice</t>
        </is>
      </c>
    </row>
    <row r="142" ht="13.2" customHeight="1" s="37">
      <c r="A142" s="46" t="n">
        <v>140</v>
      </c>
      <c r="B142" s="45" t="inlineStr">
        <is>
          <t>เนื่องจากการแพ้ยาแบบ Anaphylaxis มีกลไกจากการที่ Allergen จะกระตุ้นให้ร่างกายสร้าง IgE ขึ้นมาจากนั้น IgE นั้นจะไปจับอยู่บน Mast cells หรือ Basophils เมื่อร่างกายได้รับ Allergen เดิมซ้ำอีก Allergen นั้นจะไปจับกับ IgE ที่อยู่บน Mast cells หรือ Basophils และกระตุ้นให้เกิด degranulation และ ปลดปล่อย mediators หลายชนิดออกมา ทำให้เกิดอาการแพ้ลักษณะ Anaphylaxis ขึ้น</t>
        </is>
      </c>
      <c r="C142" s="46" t="n"/>
      <c r="D142" s="45" t="inlineStr">
        <is>
          <t>Direct Compression tableting method</t>
        </is>
      </c>
      <c r="E142" s="45" t="inlineStr">
        <is>
          <t>Wet Granulation tableting method</t>
        </is>
      </c>
      <c r="F142" s="45" t="inlineStr">
        <is>
          <t>Dry Granulation (Roller Compaction)</t>
        </is>
      </c>
      <c r="G142" s="45" t="inlineStr">
        <is>
          <t>Fluidized Bed Granulation</t>
        </is>
      </c>
      <c r="H142" s="45" t="inlineStr">
        <is>
          <t>Film Coating with Hydroxypropyl methylcellulose (HPMC)</t>
        </is>
      </c>
      <c r="I142" s="46" t="n">
        <v>3</v>
      </c>
      <c r="J142" s="45" t="inlineStr">
        <is>
          <t>✅ คำตอบที่ถูกต้อง: ข้อ ค.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(Direct Compression tableting method): ข้อนี้ไม่ใช่คำตอบที่ถูกต้องสำหรับภาวะ Powders &amp; Granules เนื่องจากกลไกการออกฤทธิ์, efficacy หรือข้อบ่งใช้ไม่ตรงกับโจทย์ที่กำหนด
• ข้อ ข. (Wet Granulation tableting method): ข้อนี้ไม่ใช่คำตอบที่ถูกต้องสำหรับภาวะ Powders &amp; Granules เนื่องจากกลไกการออกฤทธิ์, efficacy หรือข้อบ่งใช้ไม่ตรงกับโจทย์ที่กำหนด
• ข้อ ง. (Fluidized Bed Granulation): ข้อนี้ไม่ใช่คำตอบที่ถูกต้องสำหรับภาวะ Powders &amp; Granules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46" t="n"/>
      <c r="L142" s="45" t="inlineStr">
        <is>
          <t>Powders &amp; Granules</t>
        </is>
      </c>
      <c r="M142" s="46" t="inlineStr">
        <is>
          <t>Product</t>
        </is>
      </c>
      <c r="N142" s="45" t="inlineStr">
        <is>
          <t>ข้อ 31 (PLE_CC1_Practice_Exam.md)</t>
        </is>
      </c>
      <c r="O142" s="46" t="inlineStr">
        <is>
          <t>Mock</t>
        </is>
      </c>
      <c r="P142" s="46" t="inlineStr">
        <is>
          <t>Mock สภาเภสัชฯ Practice</t>
        </is>
      </c>
    </row>
    <row r="143" ht="13.2" customHeight="1" s="37">
      <c r="A143" s="46" t="n">
        <v>141</v>
      </c>
      <c r="B143" s="45" t="inlineStr">
        <is>
          <t>หากตำรับ orally disintegrating tablet มี disintegration time มากกว่า 2 นาที ควรเติมหรือเพิ่ม ปริมาณสารใดในตำรับ</t>
        </is>
      </c>
      <c r="C143" s="46" t="n"/>
      <c r="D143" s="45" t="inlineStr">
        <is>
          <t>Croscarmellose sodium</t>
        </is>
      </c>
      <c r="E143" s="45" t="inlineStr">
        <is>
          <t>Magnesium stearate</t>
        </is>
      </c>
      <c r="F143" s="45" t="inlineStr">
        <is>
          <t>Mannitol</t>
        </is>
      </c>
      <c r="G143" s="45" t="inlineStr">
        <is>
          <t>Dextose</t>
        </is>
      </c>
      <c r="H143" s="45" t="inlineStr">
        <is>
          <t>Talcum</t>
        </is>
      </c>
      <c r="I143" s="46" t="n">
        <v>1</v>
      </c>
      <c r="J143" s="45" t="inlineStr">
        <is>
          <t>✅ คำตอบที่ถูกต้อง: ข้อ ก.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(Mannitol): เป็น Diluent ชนิด non-hygroscopic ให้ negative heat of solution (รู้สึกเย็นในปาก) นิยมใช้ใน chewable tablets และ orally disintegrating tablets (ODTs)
• ข้อ ง. (Dextose): ข้อนี้ไม่ใช่คำตอบที่ถูกต้องสำหรับภาวะ Tablet Manufacturing เนื่องจากกลไกการออกฤทธิ์, efficacy หรือข้อบ่งใช้ไม่ตรงกับโจทย์ที่กำหนด
• ข้อ จ. (Talcum): เป็น Glidant และ Lubricant เสริม แต่มีคุณสมบัติ hydrophobic ต้องควบคุมปริมาณให้เหมาะสม (มักใช้ 1-5%)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46" t="n"/>
      <c r="L143" s="45" t="inlineStr">
        <is>
          <t>Tablet Manufacturing</t>
        </is>
      </c>
      <c r="M143" s="46" t="inlineStr">
        <is>
          <t>Product</t>
        </is>
      </c>
      <c r="N143" s="45" t="inlineStr">
        <is>
          <t>ข้อ 8 (PLE_CC1_Practice_Exam.md)</t>
        </is>
      </c>
      <c r="O143" s="46" t="inlineStr">
        <is>
          <t>Mock</t>
        </is>
      </c>
      <c r="P143" s="46" t="inlineStr">
        <is>
          <t>Mock สภาเภสัชฯ Practice</t>
        </is>
      </c>
    </row>
    <row r="144" ht="13.2" customHeight="1" s="37">
      <c r="A144" s="46" t="n">
        <v>142</v>
      </c>
      <c r="B144" s="45" t="inlineStr">
        <is>
          <t>ในการผลิต effervescent tablets ส่วนประกอบใดเป็นส่วนประกอบสำคัญในตำรับ</t>
        </is>
      </c>
      <c r="C144" s="46" t="n"/>
      <c r="D144" s="45" t="inlineStr">
        <is>
          <t>Croscarmellose + sodium starch glycolate</t>
        </is>
      </c>
      <c r="E144" s="45" t="inlineStr">
        <is>
          <t>Citric acid + sodium bicarbonate</t>
        </is>
      </c>
      <c r="F144" s="45" t="inlineStr">
        <is>
          <t>Poly(methyl methacrylate) + triacetin</t>
        </is>
      </c>
      <c r="G144" s="45" t="inlineStr">
        <is>
          <t>Poly(ethylene glycol) 4000 + polyviynpyrrolidone</t>
        </is>
      </c>
      <c r="H144" s="45" t="inlineStr">
        <is>
          <t>Maize starch + sodium lauryl sulfate 281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44" s="46" t="n">
        <v>1</v>
      </c>
      <c r="J144" s="45" t="inlineStr">
        <is>
          <t>✅ คำตอบที่ถูกต้อง: ข้อ ก. Croscarmellose +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 sodium starch glycolate 💡 คำอธิบายและเหตุผลทางเภสัชกรรม:
💡 คำอธิบายและเหตุผลทางเภสัชกรรม:
การเลือก Croscarmellose + sodium starch glycolate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(Citric acid + sodium bicarbonate): ข้อนี้ไม่ใช่คำตอบที่ถูกต้องสำหรับภาวะ Tablet Manufacturing เนื่องจากกลไกการออกฤทธิ์, efficacy หรือข้อบ่งใช้ไม่ตรงกับโจทย์ที่กำหนด
• ข้อ ค. (Poly(methyl methacrylate) + triacetin): ข้อนี้ไม่ใช่คำตอบที่ถูกต้องสำหรับภาวะ Tablet Manufacturing เนื่องจากกลไกการออกฤทธิ์, efficacy หรือข้อบ่งใช้ไม่ตรงกับโจทย์ที่กำหนด
• ข้อ ง. (Poly(ethylene glycol) 4000 + polyviynpyrrolidone): ข้อนี้ไม่ใช่คำตอบที่ถูกต้องสำหรับภาวะ Tablet Manufacturing เนื่องจากกลไกการออกฤทธิ์, efficacy หรือข้อบ่งใช้ไม่ตรงกับโจทย์ที่กำหนด
• ข้อ จ. (Maize starch + sodium lauryl sulfate 281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46" t="n"/>
      <c r="L144" s="45" t="inlineStr">
        <is>
          <t>Tablet Manufacturing</t>
        </is>
      </c>
      <c r="M144" s="46" t="inlineStr">
        <is>
          <t>Product</t>
        </is>
      </c>
      <c r="N144" s="45" t="inlineStr">
        <is>
          <t>ข้อ 13 (PLE_CC1_Practice_Exam.md)</t>
        </is>
      </c>
      <c r="O144" s="46" t="inlineStr">
        <is>
          <t>Mock</t>
        </is>
      </c>
      <c r="P144" s="46" t="inlineStr">
        <is>
          <t>Mock สภาเภสัชฯ Practice</t>
        </is>
      </c>
    </row>
    <row r="145" ht="13.2" customHeight="1" s="37">
      <c r="A145" s="46" t="n">
        <v>143</v>
      </c>
      <c r="B145" s="45" t="inlineStr">
        <is>
          <t>ในการผลิตยา delayed-release tablets ข้อใดเป็นส่วนประกอบสำคัญในการควบคุมการปลดปล่อยยา</t>
        </is>
      </c>
      <c r="C145" s="46" t="n"/>
      <c r="D145" s="45" t="inlineStr">
        <is>
          <t>Eudragit L</t>
        </is>
      </c>
      <c r="E145" s="45" t="inlineStr">
        <is>
          <t>Ethylcellulose</t>
        </is>
      </c>
      <c r="F145" s="45" t="inlineStr">
        <is>
          <t>Crospovidone</t>
        </is>
      </c>
      <c r="G145" s="45" t="inlineStr">
        <is>
          <t>Hypromellose</t>
        </is>
      </c>
      <c r="H145" s="45" t="inlineStr">
        <is>
          <t>Sodium alginate</t>
        </is>
      </c>
      <c r="I145" s="46" t="n">
        <v>1</v>
      </c>
      <c r="J145" s="45" t="inlineStr">
        <is>
          <t>✅ คำตอบที่ถูกต้อง: ข้อ ก. Eudragit 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Eudragit L 💡 คำอธิบายและเหตุผลทางเภสัชกรรม:
💡 คำอธิบายและเหตุผลทางเภสัชกรรม:
การเลือก Eudragit L เป็นคำตอบที่ถูกต้องตามแนวทางการรักษามาตรฐาน เนื่องจาก เป็น Methacrylic acid copolymer ชนิด enteric coating ละลายที่ pH &gt; 6.0 ป้องกันยาละลายในกระเพาะอาหาร
USP/NF, British Pharmacopoeia (BP) และ Remington: The Science and Practice of Pharmacy (หัวข้อ Tablet Manufacturing)
🔍 ข้ออื่นผิดเพราะอะไร:
• ข้อ ข. (Ethylcellulose): ข้อนี้ไม่ใช่คำตอบที่ถูกต้องสำหรับภาวะ Tablet Manufacturing เนื่องจากกลไกการออกฤทธิ์, efficacy หรือข้อบ่งใช้ไม่ตรงกับโจทย์ที่กำหนด
• ข้อ ค. (Crospovidone): เป็น Superdisintegrant ชนิด cross-linked PVP แตกตัวเร็วผ่าน capillary action (wicking) และ strain recovery โดยไม่พองตัวเป็นเจล
• ข้อ ง. (Hypromellose): ข้อนี้ไม่ใช่คำตอบที่ถูกต้องสำหรับภาวะ Tablet Manufacturing เนื่องจากกลไกการออกฤทธิ์, efficacy หรือข้อบ่งใช้ไม่ตรงกับโจทย์ที่กำหนด
• ข้อ จ. (Sodium alginate):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46" t="n"/>
      <c r="L145" s="45" t="inlineStr">
        <is>
          <t>Tablet Manufacturing</t>
        </is>
      </c>
      <c r="M145" s="46" t="inlineStr">
        <is>
          <t>Product</t>
        </is>
      </c>
      <c r="N145" s="45" t="inlineStr">
        <is>
          <t>ข้อ 15 (PLE_CC1_Practice_Exam.md)</t>
        </is>
      </c>
      <c r="O145" s="46" t="inlineStr">
        <is>
          <t>Mock</t>
        </is>
      </c>
      <c r="P145" s="46" t="inlineStr">
        <is>
          <t>Mock สภาเภสัชฯ Practice</t>
        </is>
      </c>
    </row>
    <row r="146" ht="13.2" customHeight="1" s="37">
      <c r="A146" s="46" t="n">
        <v>144</v>
      </c>
      <c r="B146" s="45" t="inlineStr">
        <is>
          <t>ข้อใดคือข้อเสียของ sugar-coated tablets เมื่อเก็บไว้เป็นเวลานาน</t>
        </is>
      </c>
      <c r="C146" s="46" t="n"/>
      <c r="D146" s="45" t="inlineStr">
        <is>
          <t>attrition</t>
        </is>
      </c>
      <c r="E146" s="45" t="inlineStr">
        <is>
          <t>Sticking</t>
        </is>
      </c>
      <c r="F146" s="45" t="inlineStr">
        <is>
          <t>Roughness</t>
        </is>
      </c>
      <c r="G146" s="45" t="inlineStr">
        <is>
          <t>Cracking</t>
        </is>
      </c>
      <c r="H146" s="45" t="inlineStr">
        <is>
          <t>Bridging of logos 287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t>
        </is>
      </c>
      <c r="I146" s="46" t="n">
        <v>1</v>
      </c>
      <c r="J146" s="45" t="inlineStr">
        <is>
          <t>✅ คำตอบที่ถูกต้อง: ข้อ ก. attrition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attrition 💡 คำอธิบายและเหตุผลทางเภสัชกรรม:
💡 คำอธิบายและเหตุผลทางเภสัชกรรม:
การเลือก attrition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(Sticking): ข้อนี้ไม่ใช่คำตอบที่ถูกต้องสำหรับภาวะ Tablet Coating เนื่องจากกลไกการออกฤทธิ์, efficacy หรือข้อบ่งใช้ไม่ตรงกับโจทย์ที่กำหนด
• ข้อ ค. (Roughness): ข้อนี้ไม่ใช่คำตอบที่ถูกต้องสำหรับภาวะ Tablet Coating เนื่องจากกลไกการออกฤทธิ์, efficacy หรือข้อบ่งใช้ไม่ตรงกับโจทย์ที่กำหนด
• ข้อ ง. (Cracking): ข้อนี้ไม่ใช่คำตอบที่ถูกต้องสำหรับภาวะ Tablet Coating เนื่องจากกลไกการออกฤทธิ์, efficacy หรือข้อบ่งใช้ไม่ตรงกับโจทย์ที่กำหนด
• ข้อ จ. (Bridging of logos 287 เภสัชภัณฑ์รูปแบบของแข็ง (Solid dosage form) ฝ่ายวิชาการวิชาชีพ สโมสรนักศึกษาเภสัชศาสตร์ มหาวิทยาลัยมหิดล และนักศึกษาชั้นปีที่ 4 รุ่น 46 สหพันธ์นิสิตนักศึกษาเภสัชศาสตร์แห่งประเทศไทย (สนภท.)):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46" t="n"/>
      <c r="L146" s="45" t="inlineStr">
        <is>
          <t>Tablet Coating</t>
        </is>
      </c>
      <c r="M146" s="46" t="inlineStr">
        <is>
          <t>Product</t>
        </is>
      </c>
      <c r="N146" s="45" t="inlineStr">
        <is>
          <t>ข้อ 39 (PLE_CC1_Practice_Exam.md)</t>
        </is>
      </c>
      <c r="O146" s="46" t="inlineStr">
        <is>
          <t>Mock</t>
        </is>
      </c>
      <c r="P146" s="46" t="inlineStr">
        <is>
          <t>Mock สภาเภสัชฯ Practice</t>
        </is>
      </c>
    </row>
    <row r="147" ht="13.2" customHeight="1" s="37">
      <c r="A147" s="46" t="n">
        <v>145</v>
      </c>
      <c r="B147" s="45" t="inlineStr">
        <is>
          <t>Diphenoxylate เนื่องจากเป็น ยาเสพติดให้โทษในประเภท ๓ นอกนั้นเป็น ย.ส.2 ประกาศกระทรวงสาธารณสุข ฉบับที่ ๔๗ เรื่อง ระบุชื่อยาเสพติดให้โทษในประเภท ๓ Lomotil Tablets (โลโมติล) ใบสำคัญการขึ้นทะเบียนตำรับยาเสพติดให้โทษในประเภท ๓ ที่ ๕/๒๕๒๗ ซึ่งใน ๑ เม็ด มีไดเฟนอกไซเลต ไฮโดรคลอไรด์ (diphenoxylate hydrochloride) ผสมอยู่ ๒.๕ มิลลิกรัม ผลิตโดย บริษัท โอลิค (ประเทศไทย) จำกัด กรุงเทพมหานคร</t>
        </is>
      </c>
      <c r="C147" s="46" t="n"/>
      <c r="D147" s="45" t="inlineStr">
        <is>
          <t>Film Coating with Hydroxypropyl methylcellulose (HPMC)</t>
        </is>
      </c>
      <c r="E147" s="45" t="inlineStr">
        <is>
          <t>Enteric Coating with Cellulose acetate phthalate (CAP)</t>
        </is>
      </c>
      <c r="F147" s="45" t="inlineStr">
        <is>
          <t>Hard Gelatin Capsule filling</t>
        </is>
      </c>
      <c r="G147" s="45" t="inlineStr">
        <is>
          <t>Soft Gelatin Capsule encapsulation</t>
        </is>
      </c>
      <c r="H147" s="45" t="inlineStr">
        <is>
          <t>Microcrystalline cellulose</t>
        </is>
      </c>
      <c r="I147" s="46" t="n">
        <v>1</v>
      </c>
      <c r="J147"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46" t="n"/>
      <c r="L147" s="45" t="inlineStr">
        <is>
          <t>Tablet Manufacturing</t>
        </is>
      </c>
      <c r="M147" s="46" t="inlineStr">
        <is>
          <t>Product</t>
        </is>
      </c>
      <c r="N147" s="45" t="inlineStr">
        <is>
          <t>ข้อ 5 (PLE_CC1_Key_Rx20_UBU.md)</t>
        </is>
      </c>
      <c r="O147" s="46" t="inlineStr">
        <is>
          <t>Mock</t>
        </is>
      </c>
      <c r="P147" s="46" t="inlineStr">
        <is>
          <t>Mock Rx20 UBU</t>
        </is>
      </c>
    </row>
    <row r="148" ht="13.2" customHeight="1" s="37">
      <c r="A148" s="46" t="n">
        <v>146</v>
      </c>
      <c r="B148" s="45" t="inlineStr">
        <is>
          <t>Film coated tablets</t>
        </is>
      </c>
      <c r="C148" s="46" t="n"/>
      <c r="D148" s="45" t="inlineStr">
        <is>
          <t>Soft Gelatin Capsule encapsulation</t>
        </is>
      </c>
      <c r="E148" s="45" t="inlineStr">
        <is>
          <t>Microcrystalline cellulose</t>
        </is>
      </c>
      <c r="F148" s="45" t="inlineStr">
        <is>
          <t>Magnesium stearate (Lubricant 1%)</t>
        </is>
      </c>
      <c r="G148" s="45" t="inlineStr">
        <is>
          <t>Sodium starch glycolate (Superdisintegrant)</t>
        </is>
      </c>
      <c r="H148" s="45" t="inlineStr">
        <is>
          <t>Direct Compression tableting method</t>
        </is>
      </c>
      <c r="I148" s="46" t="n">
        <v>1</v>
      </c>
      <c r="J148" s="45"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(Microcrystalline cellulose): ข้อนี้ไม่ใช่คำตอบที่ถูกต้องสำหรับภาวะ Tablet Coating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46" t="n"/>
      <c r="L148" s="45" t="inlineStr">
        <is>
          <t>Tablet Coating</t>
        </is>
      </c>
      <c r="M148" s="46" t="inlineStr">
        <is>
          <t>Product</t>
        </is>
      </c>
      <c r="N148" s="45" t="inlineStr">
        <is>
          <t>ข้อ 1 (PLE_CC1_Key_Rx20_UBU.md)</t>
        </is>
      </c>
      <c r="O148" s="46" t="inlineStr">
        <is>
          <t>Mock</t>
        </is>
      </c>
      <c r="P148" s="46" t="inlineStr">
        <is>
          <t>Mock Rx20 UBU</t>
        </is>
      </c>
    </row>
    <row r="149" ht="13.2" customHeight="1" s="37">
      <c r="A149" s="46" t="n">
        <v>147</v>
      </c>
      <c r="B149" s="45" t="inlineStr">
        <is>
          <t>Enteric coated tablets</t>
        </is>
      </c>
      <c r="C149" s="46" t="n"/>
      <c r="D149" s="45" t="inlineStr">
        <is>
          <t>Sodium starch glycolate (Superdisintegrant)</t>
        </is>
      </c>
      <c r="E149" s="45" t="inlineStr">
        <is>
          <t>Direct Compression tableting method</t>
        </is>
      </c>
      <c r="F149" s="45" t="inlineStr">
        <is>
          <t>Wet Granulation tableting method</t>
        </is>
      </c>
      <c r="G149" s="45" t="inlineStr">
        <is>
          <t>Dry Granulation (Roller Compaction)</t>
        </is>
      </c>
      <c r="H149" s="45" t="inlineStr">
        <is>
          <t>Fluidized Bed Granulation</t>
        </is>
      </c>
      <c r="I149" s="46" t="n">
        <v>1</v>
      </c>
      <c r="J149"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Coating)
🔍 ข้ออื่นผิดเพราะอะไร:
• ข้อ ข. (Direct Compression tableting method): ข้อนี้ไม่ใช่คำตอบที่ถูกต้องสำหรับภาวะ Tablet Coating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Coating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Coating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46" t="n"/>
      <c r="L149" s="45" t="inlineStr">
        <is>
          <t>Tablet Coating</t>
        </is>
      </c>
      <c r="M149" s="46" t="inlineStr">
        <is>
          <t>Product</t>
        </is>
      </c>
      <c r="N149" s="45" t="inlineStr">
        <is>
          <t>ข้อ 2 (PLE_CC1_Key_Rx20_UBU.md)</t>
        </is>
      </c>
      <c r="O149" s="46" t="inlineStr">
        <is>
          <t>Mock</t>
        </is>
      </c>
      <c r="P149" s="46" t="inlineStr">
        <is>
          <t>Mock Rx20 UBU</t>
        </is>
      </c>
    </row>
    <row r="150" ht="13.2" customHeight="1" s="37">
      <c r="A150" s="46" t="n">
        <v>148</v>
      </c>
      <c r="B150" s="45" t="inlineStr">
        <is>
          <t>Sugar coated tablets</t>
        </is>
      </c>
      <c r="C150" s="46" t="n"/>
      <c r="D150" s="45" t="inlineStr">
        <is>
          <t>Dry Granulation (Roller Compaction)</t>
        </is>
      </c>
      <c r="E150" s="45" t="inlineStr">
        <is>
          <t>Fluidized Bed Granulation</t>
        </is>
      </c>
      <c r="F150" s="45" t="inlineStr">
        <is>
          <t>Film Coating with Hydroxypropyl methylcellulose (HPMC)</t>
        </is>
      </c>
      <c r="G150" s="45" t="inlineStr">
        <is>
          <t>Enteric Coating with Cellulose acetate phthalate (CAP)</t>
        </is>
      </c>
      <c r="H150" s="45" t="inlineStr">
        <is>
          <t>Hard Gelatin Capsule filling</t>
        </is>
      </c>
      <c r="I150" s="46" t="n">
        <v>1</v>
      </c>
      <c r="J150" s="45"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(Fluidized Bed Granulation): ข้อนี้ไม่ใช่คำตอบที่ถูกต้องสำหรับภาวะ Tablet Coating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46" t="n"/>
      <c r="L150" s="45" t="inlineStr">
        <is>
          <t>Tablet Coating</t>
        </is>
      </c>
      <c r="M150" s="46" t="inlineStr">
        <is>
          <t>Product</t>
        </is>
      </c>
      <c r="N150" s="45" t="inlineStr">
        <is>
          <t>ข้อ 3 (PLE_CC1_Key_Rx20_UBU.md)</t>
        </is>
      </c>
      <c r="O150" s="46" t="inlineStr">
        <is>
          <t>Mock</t>
        </is>
      </c>
      <c r="P150" s="46" t="inlineStr">
        <is>
          <t>Mock Rx20 UBU</t>
        </is>
      </c>
    </row>
    <row r="151" ht="13.2" customHeight="1" s="37">
      <c r="A151" s="46" t="n">
        <v>149</v>
      </c>
      <c r="B151" s="45" t="inlineStr">
        <is>
          <t>Effervescent tablets</t>
        </is>
      </c>
      <c r="C151" s="46" t="n"/>
      <c r="D151" s="45" t="inlineStr">
        <is>
          <t>Enteric Coating with Cellulose acetate phthalate (CAP)</t>
        </is>
      </c>
      <c r="E151" s="45" t="inlineStr">
        <is>
          <t>Hard Gelatin Capsule filling</t>
        </is>
      </c>
      <c r="F151" s="45" t="inlineStr">
        <is>
          <t>Soft Gelatin Capsule encapsulation</t>
        </is>
      </c>
      <c r="G151" s="45" t="inlineStr">
        <is>
          <t>Microcrystalline cellulose</t>
        </is>
      </c>
      <c r="H151" s="45" t="inlineStr">
        <is>
          <t>Magnesium stearate (Lubricant 1%)</t>
        </is>
      </c>
      <c r="I151" s="46" t="n">
        <v>1</v>
      </c>
      <c r="J151"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1" s="46" t="n"/>
      <c r="L151" s="45" t="inlineStr">
        <is>
          <t>Tablet Manufacturing</t>
        </is>
      </c>
      <c r="M151" s="46" t="inlineStr">
        <is>
          <t>Product</t>
        </is>
      </c>
      <c r="N151" s="45" t="inlineStr">
        <is>
          <t>ข้อ 4 (PLE_CC1_Key_Rx20_UBU.md)</t>
        </is>
      </c>
      <c r="O151" s="46" t="inlineStr">
        <is>
          <t>Mock</t>
        </is>
      </c>
      <c r="P151" s="46" t="inlineStr">
        <is>
          <t>Mock Rx20 UBU</t>
        </is>
      </c>
    </row>
    <row r="152" ht="13.2" customHeight="1" s="37">
      <c r="A152" s="46" t="n">
        <v>150</v>
      </c>
      <c r="B152" s="45" t="inlineStr">
        <is>
          <t>52.ถ้าต้องการทำยา Glipizide เป็น controlled release tablet จะต้องคำนึงถึงปัจจัยด้านใดบ้าง</t>
        </is>
      </c>
      <c r="C152" s="46" t="n"/>
      <c r="D152" s="45" t="inlineStr">
        <is>
          <t>Microcrystalline cellulose</t>
        </is>
      </c>
      <c r="E152" s="45" t="inlineStr">
        <is>
          <t>Magnesium stearate (Lubricant 1%)</t>
        </is>
      </c>
      <c r="F152" s="45" t="inlineStr">
        <is>
          <t>Sodium starch glycolate (Superdisintegrant)</t>
        </is>
      </c>
      <c r="G152" s="45" t="inlineStr">
        <is>
          <t>Direct Compression tableting method</t>
        </is>
      </c>
      <c r="H152" s="45" t="inlineStr">
        <is>
          <t>Wet Granulation tableting method</t>
        </is>
      </c>
      <c r="I152" s="46" t="n">
        <v>4</v>
      </c>
      <c r="J152" s="45" t="inlineStr">
        <is>
          <t>✅ คำตอบที่ถูกต้อง: ข้อ ง.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 s="46" t="n"/>
      <c r="L152" s="45" t="inlineStr">
        <is>
          <t>Tablet Manufacturing</t>
        </is>
      </c>
      <c r="M152" s="46" t="inlineStr">
        <is>
          <t>Product</t>
        </is>
      </c>
      <c r="N152" s="45" t="inlineStr">
        <is>
          <t>ข้อ 5 (PLE_CC1_Key_Rx20_UBU.md)</t>
        </is>
      </c>
      <c r="O152" s="46" t="inlineStr">
        <is>
          <t>Mock</t>
        </is>
      </c>
      <c r="P152" s="46" t="inlineStr">
        <is>
          <t>Mock Rx20 UBU</t>
        </is>
      </c>
    </row>
    <row r="153" ht="13.2" customHeight="1" s="37">
      <c r="A153" s="46" t="n">
        <v>151</v>
      </c>
      <c r="B153" s="45" t="inlineStr">
        <is>
          <t>USP กำหนดให้ไม่ต้องทำ Disintegration time</t>
        </is>
      </c>
      <c r="C153" s="46" t="n"/>
      <c r="D153" s="45" t="inlineStr">
        <is>
          <t>Fluidized Bed Granulation</t>
        </is>
      </c>
      <c r="E153" s="45" t="inlineStr">
        <is>
          <t>Film Coating with Hydroxypropyl methylcellulose (HPMC)</t>
        </is>
      </c>
      <c r="F153" s="45" t="inlineStr">
        <is>
          <t>Enteric Coating with Cellulose acetate phthalate (CAP)</t>
        </is>
      </c>
      <c r="G153" s="45" t="inlineStr">
        <is>
          <t>Hard Gelatin Capsule filling</t>
        </is>
      </c>
      <c r="H153" s="45" t="inlineStr">
        <is>
          <t>Soft Gelatin Capsule encapsulation</t>
        </is>
      </c>
      <c r="I153" s="46" t="n">
        <v>1</v>
      </c>
      <c r="J153"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3" s="46" t="n"/>
      <c r="L153" s="45" t="inlineStr">
        <is>
          <t>Tablet Manufacturing</t>
        </is>
      </c>
      <c r="M153" s="46" t="inlineStr">
        <is>
          <t>Product</t>
        </is>
      </c>
      <c r="N153" s="45" t="inlineStr">
        <is>
          <t>ข้อ 3 (PLE_CC1_Key_Rx20_UBU.md)</t>
        </is>
      </c>
      <c r="O153" s="46" t="inlineStr">
        <is>
          <t>Mock</t>
        </is>
      </c>
      <c r="P153" s="46" t="inlineStr">
        <is>
          <t>Mock Rx20 UBU</t>
        </is>
      </c>
    </row>
    <row r="154" ht="13.2" customHeight="1" s="37">
      <c r="A154" s="46" t="n">
        <v>152</v>
      </c>
      <c r="B154" s="45" t="inlineStr">
        <is>
          <t>Friability ผู้ป่วยเพศชาย อายุ 55 ปี มีโรคประจำตัวคือโรคต่อมลูกหมากโตมาเป็นเวลา 10 ปี ได้รับการวินิจฉัยว่าเป็นโรคทางเดิน ปัสสาวะอักเสบ แพทย์สั่งจ่ายยา Cotrimoxazole 1 เม็ด วันละ 2 ครั้ง เป็นเวลา 4 วัน ในวันต่อมาพบว่าผู้ป่วยกลับมาพบแพทยก่อนกำหนดเนื่องจากมีอาการอ่อนเพลีย ปัสสาวะสีเข้ม ตรวจพบว่า Hgb = 9%, Hct = 30%, WBC 11000 (5000-10000 /ml), Platelet 110,000 (150,000-400,000 /ml) Total Bilirubin สูงกว่าปกติ, Direct Bilirubin สูงกว่าปกติ</t>
        </is>
      </c>
      <c r="C154" s="46" t="n"/>
      <c r="D154" s="45" t="inlineStr">
        <is>
          <t>Hard Gelatin Capsule filling</t>
        </is>
      </c>
      <c r="E154" s="45" t="inlineStr">
        <is>
          <t>Soft Gelatin Capsule encapsulation</t>
        </is>
      </c>
      <c r="F154" s="45" t="inlineStr">
        <is>
          <t>Microcrystalline cellulose</t>
        </is>
      </c>
      <c r="G154" s="45" t="inlineStr">
        <is>
          <t>Magnesium stearate (Lubricant 1%)</t>
        </is>
      </c>
      <c r="H154" s="45" t="inlineStr">
        <is>
          <t>Sodium starch glycolate (Superdisintegrant)</t>
        </is>
      </c>
      <c r="I154" s="46" t="n">
        <v>4</v>
      </c>
      <c r="J154" s="45" t="inlineStr">
        <is>
          <t>✅ คำตอบที่ถูกต้อง: ข้อ ง.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 s="46" t="n"/>
      <c r="L154" s="45" t="inlineStr">
        <is>
          <t>Tablet Manufacturing</t>
        </is>
      </c>
      <c r="M154" s="46" t="inlineStr">
        <is>
          <t>Product</t>
        </is>
      </c>
      <c r="N154" s="45" t="inlineStr">
        <is>
          <t>ข้อ 3 (PLE_CC1_Key_Rx20_UBU.md)</t>
        </is>
      </c>
      <c r="O154" s="46" t="inlineStr">
        <is>
          <t>Mock</t>
        </is>
      </c>
      <c r="P154" s="46" t="inlineStr">
        <is>
          <t>Mock Rx20 UBU</t>
        </is>
      </c>
    </row>
    <row r="155" ht="13.2" customHeight="1" s="37">
      <c r="A155" s="46" t="n">
        <v>153</v>
      </c>
      <c r="B155" s="45" t="inlineStr">
        <is>
          <t>ยา Cotrimoxazole มี Disintegration time 5 นาที โจทย์ให้ Dissolution profile ของตัวยาSulfamethoxazole /trimethoprim มาดังรูป (ข้อมูลเพิ่มเติม : Sulfamethoxazole มี solubility ต่ำ แต่มี permeabilityสูง Trimethoprim มี solubility สูง แต่มี permeability ต่า) ควรปรับปรุงสูตรตำรับนี้อย่างไร</t>
        </is>
      </c>
      <c r="C155" s="46" t="n"/>
      <c r="D155" s="45" t="inlineStr">
        <is>
          <t>Magnesium stearate (Lubricant 1%)</t>
        </is>
      </c>
      <c r="E155" s="45" t="inlineStr">
        <is>
          <t>Sodium starch glycolate (Superdisintegrant)</t>
        </is>
      </c>
      <c r="F155" s="45" t="inlineStr">
        <is>
          <t>Direct Compression tableting method</t>
        </is>
      </c>
      <c r="G155" s="45" t="inlineStr">
        <is>
          <t>Wet Granulation tableting method</t>
        </is>
      </c>
      <c r="H155" s="45" t="inlineStr">
        <is>
          <t>Dry Granulation (Roller Compaction)</t>
        </is>
      </c>
      <c r="I155" s="46" t="n">
        <v>1</v>
      </c>
      <c r="J155"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 s="46" t="n"/>
      <c r="L155" s="45" t="inlineStr">
        <is>
          <t>Tablet Manufacturing</t>
        </is>
      </c>
      <c r="M155" s="46" t="inlineStr">
        <is>
          <t>Product</t>
        </is>
      </c>
      <c r="N155" s="45" t="inlineStr">
        <is>
          <t>ข้อ 78 (PLE_CC1_Key_Rx20_UBU.md)</t>
        </is>
      </c>
      <c r="O155" s="46" t="inlineStr">
        <is>
          <t>Mock</t>
        </is>
      </c>
      <c r="P155" s="46" t="inlineStr">
        <is>
          <t>Mock Rx20 UBU</t>
        </is>
      </c>
    </row>
    <row r="156" ht="13.2" customHeight="1" s="37">
      <c r="A156" s="46" t="n">
        <v>154</v>
      </c>
      <c r="B156" s="45" t="inlineStr">
        <is>
          <t>Friability+ Hardness</t>
        </is>
      </c>
      <c r="C156" s="46" t="n"/>
      <c r="D156" s="45" t="inlineStr">
        <is>
          <t>Wet Granulation tableting method</t>
        </is>
      </c>
      <c r="E156" s="45" t="inlineStr">
        <is>
          <t>Dry Granulation (Roller Compaction)</t>
        </is>
      </c>
      <c r="F156" s="45" t="inlineStr">
        <is>
          <t>Fluidized Bed Granulation</t>
        </is>
      </c>
      <c r="G156" s="45" t="inlineStr">
        <is>
          <t>Film Coating with Hydroxypropyl methylcellulose (HPMC)</t>
        </is>
      </c>
      <c r="H156" s="45" t="inlineStr">
        <is>
          <t>Enteric Coating with Cellulose acetate phthalate (CAP)</t>
        </is>
      </c>
      <c r="I156" s="46" t="n">
        <v>1</v>
      </c>
      <c r="J156"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 s="46" t="n"/>
      <c r="L156" s="45" t="inlineStr">
        <is>
          <t>Tablet Manufacturing</t>
        </is>
      </c>
      <c r="M156" s="46" t="inlineStr">
        <is>
          <t>Product</t>
        </is>
      </c>
      <c r="N156" s="45" t="inlineStr">
        <is>
          <t>ข้อ 1 (PLE_CC1_Key_Rx20_UBU.md)</t>
        </is>
      </c>
      <c r="O156" s="46" t="inlineStr">
        <is>
          <t>Mock</t>
        </is>
      </c>
      <c r="P156" s="46" t="inlineStr">
        <is>
          <t>Mock Rx20 UBU</t>
        </is>
      </c>
    </row>
    <row r="157" ht="13.2" customHeight="1" s="37">
      <c r="A157" s="46" t="n">
        <v>155</v>
      </c>
      <c r="B157" s="45" t="inlineStr">
        <is>
          <t>Friability+ Weight variation</t>
        </is>
      </c>
      <c r="C157" s="46" t="n"/>
      <c r="D157" s="45" t="inlineStr">
        <is>
          <t>Film Coating with Hydroxypropyl methylcellulose (HPMC)</t>
        </is>
      </c>
      <c r="E157" s="45" t="inlineStr">
        <is>
          <t>Enteric Coating with Cellulose acetate phthalate (CAP)</t>
        </is>
      </c>
      <c r="F157" s="45" t="inlineStr">
        <is>
          <t>Hard Gelatin Capsule filling</t>
        </is>
      </c>
      <c r="G157" s="45" t="inlineStr">
        <is>
          <t>Soft Gelatin Capsule encapsulation</t>
        </is>
      </c>
      <c r="H157" s="45" t="inlineStr">
        <is>
          <t>Microcrystalline cellulose</t>
        </is>
      </c>
      <c r="I157" s="46" t="n">
        <v>1</v>
      </c>
      <c r="J157"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7" s="46" t="n"/>
      <c r="L157" s="45" t="inlineStr">
        <is>
          <t>Tablet Manufacturing</t>
        </is>
      </c>
      <c r="M157" s="46" t="inlineStr">
        <is>
          <t>Product</t>
        </is>
      </c>
      <c r="N157" s="45" t="inlineStr">
        <is>
          <t>ข้อ 2 (PLE_CC1_Key_Rx20_UBU.md)</t>
        </is>
      </c>
      <c r="O157" s="46" t="inlineStr">
        <is>
          <t>Mock</t>
        </is>
      </c>
      <c r="P157" s="46" t="inlineStr">
        <is>
          <t>Mock Rx20 UBU</t>
        </is>
      </c>
    </row>
    <row r="158" ht="13.2" customHeight="1" s="37">
      <c r="A158" s="46" t="n">
        <v>156</v>
      </c>
      <c r="B158" s="45" t="inlineStr">
        <is>
          <t>Disintegrant+ Hardness</t>
        </is>
      </c>
      <c r="C158" s="46" t="n"/>
      <c r="D158" s="45" t="inlineStr">
        <is>
          <t>Soft Gelatin Capsule encapsulation</t>
        </is>
      </c>
      <c r="E158" s="45" t="inlineStr">
        <is>
          <t>Microcrystalline cellulose</t>
        </is>
      </c>
      <c r="F158" s="45" t="inlineStr">
        <is>
          <t>Magnesium stearate (Lubricant 1%)</t>
        </is>
      </c>
      <c r="G158" s="45" t="inlineStr">
        <is>
          <t>Sodium starch glycolate (Superdisintegrant)</t>
        </is>
      </c>
      <c r="H158" s="45" t="inlineStr">
        <is>
          <t>Direct Compression tableting method</t>
        </is>
      </c>
      <c r="I158" s="46" t="n">
        <v>1</v>
      </c>
      <c r="J158" s="45"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 s="46" t="n"/>
      <c r="L158" s="45" t="inlineStr">
        <is>
          <t>Tablet Manufacturing</t>
        </is>
      </c>
      <c r="M158" s="46" t="inlineStr">
        <is>
          <t>Product</t>
        </is>
      </c>
      <c r="N158" s="45" t="inlineStr">
        <is>
          <t>ข้อ 4 (PLE_CC1_Key_Rx20_UBU.md)</t>
        </is>
      </c>
      <c r="O158" s="46" t="inlineStr">
        <is>
          <t>Mock</t>
        </is>
      </c>
      <c r="P158" s="46" t="inlineStr">
        <is>
          <t>Mock Rx20 UBU</t>
        </is>
      </c>
    </row>
    <row r="159" ht="13.2" customHeight="1" s="37">
      <c r="A159" s="46" t="n">
        <v>157</v>
      </c>
      <c r="B159" s="45" t="inlineStr">
        <is>
          <t>Disintegrant + Dissolution</t>
        </is>
      </c>
      <c r="C159" s="46" t="n"/>
      <c r="D159" s="45" t="inlineStr">
        <is>
          <t>Sodium starch glycolate (Superdisintegrant)</t>
        </is>
      </c>
      <c r="E159" s="45" t="inlineStr">
        <is>
          <t>Direct Compression tableting method</t>
        </is>
      </c>
      <c r="F159" s="45" t="inlineStr">
        <is>
          <t>Wet Granulation tableting method</t>
        </is>
      </c>
      <c r="G159" s="45" t="inlineStr">
        <is>
          <t>Dry Granulation (Roller Compaction)</t>
        </is>
      </c>
      <c r="H159" s="45" t="inlineStr">
        <is>
          <t>Fluidized Bed Granulation</t>
        </is>
      </c>
      <c r="I159" s="46" t="n">
        <v>1</v>
      </c>
      <c r="J159"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9" s="46" t="n"/>
      <c r="L159" s="45" t="inlineStr">
        <is>
          <t>Tablet Manufacturing</t>
        </is>
      </c>
      <c r="M159" s="46" t="inlineStr">
        <is>
          <t>Product</t>
        </is>
      </c>
      <c r="N159" s="45" t="inlineStr">
        <is>
          <t>ข้อ 5 (PLE_CC1_Key_Rx20_UBU.md)</t>
        </is>
      </c>
      <c r="O159" s="46" t="inlineStr">
        <is>
          <t>Mock</t>
        </is>
      </c>
      <c r="P159" s="46" t="inlineStr">
        <is>
          <t>Mock Rx20 UBU</t>
        </is>
      </c>
    </row>
    <row r="160" ht="13.2" customHeight="1" s="37">
      <c r="A160" s="46" t="n">
        <v>158</v>
      </c>
      <c r="B160" s="45" t="inlineStr">
        <is>
          <t>เปลี่ยนไปใช้ antacid tablet แทน จึงออกแบบยาให้มีสารเคลือบป้องกันตัวยาไว้ 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 แต่เนื่องจากคุณสมบัติของยา alum milk มีความเป็นด่าง ในทางทฤษฎีจึงมีความเป็นไปได้ว่าเมื่อให้ยาทั้งสองชนิดพร้อมๆ กันจะทำให้ omeprazole เกิดการแตกตัวที่กระเพาะแทนที่จะเป็นบริเวณลำไส้เล็ก</t>
        </is>
      </c>
      <c r="C160" s="46" t="n"/>
      <c r="D160" s="45" t="inlineStr">
        <is>
          <t>Dry Granulation (Roller Compaction)</t>
        </is>
      </c>
      <c r="E160" s="45" t="inlineStr">
        <is>
          <t>Fluidized Bed Granulation</t>
        </is>
      </c>
      <c r="F160" s="45" t="inlineStr">
        <is>
          <t>Film Coating with Hydroxypropyl methylcellulose (HPMC)</t>
        </is>
      </c>
      <c r="G160" s="45" t="inlineStr">
        <is>
          <t>Enteric Coating with Cellulose acetate phthalate (CAP)</t>
        </is>
      </c>
      <c r="H160" s="45" t="inlineStr">
        <is>
          <t>Hard Gelatin Capsule filling</t>
        </is>
      </c>
      <c r="I160" s="46" t="n">
        <v>5</v>
      </c>
      <c r="J160" s="45" t="inlineStr">
        <is>
          <t>✅ คำตอบที่ถูกต้อง: ข้อ จ.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ข.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0" s="46" t="n"/>
      <c r="L160" s="45" t="inlineStr">
        <is>
          <t>Tablet Manufacturing</t>
        </is>
      </c>
      <c r="M160" s="46" t="inlineStr">
        <is>
          <t>Product</t>
        </is>
      </c>
      <c r="N160" s="45" t="inlineStr">
        <is>
          <t>ข้อ 5 (PLE_CC1_Key_Rx20_UBU.md)</t>
        </is>
      </c>
      <c r="O160" s="46" t="inlineStr">
        <is>
          <t>Mock</t>
        </is>
      </c>
      <c r="P160" s="46" t="inlineStr">
        <is>
          <t>Mock Rx20 UBU</t>
        </is>
      </c>
    </row>
    <row r="161" ht="13.2" customHeight="1" s="37">
      <c r="A161" s="46" t="n">
        <v>159</v>
      </c>
      <c r="B161" s="45" t="inlineStr">
        <is>
          <t>ข้อใดถูกต้องเกี่ยวกับตำรับยาเม็ด</t>
        </is>
      </c>
      <c r="C161" s="46" t="n"/>
      <c r="D161" s="45" t="inlineStr">
        <is>
          <t>Enteric Coating with Cellulose acetate phthalate (CAP)</t>
        </is>
      </c>
      <c r="E161" s="45" t="inlineStr">
        <is>
          <t>Hard Gelatin Capsule filling</t>
        </is>
      </c>
      <c r="F161" s="45" t="inlineStr">
        <is>
          <t>Soft Gelatin Capsule encapsulation</t>
        </is>
      </c>
      <c r="G161" s="45" t="inlineStr">
        <is>
          <t>Microcrystalline cellulose</t>
        </is>
      </c>
      <c r="H161" s="45" t="inlineStr">
        <is>
          <t>Magnesium stearate (Lubricant 1%)</t>
        </is>
      </c>
      <c r="I161" s="46" t="n">
        <v>1</v>
      </c>
      <c r="J161"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1" s="46" t="n"/>
      <c r="L161" s="45" t="inlineStr">
        <is>
          <t>Tablet Manufacturing</t>
        </is>
      </c>
      <c r="M161" s="46" t="inlineStr">
        <is>
          <t>Product</t>
        </is>
      </c>
      <c r="N161" s="45" t="inlineStr">
        <is>
          <t>ข้อ 9 (PLE_CC1_Key_Rx20_UBU.md)</t>
        </is>
      </c>
      <c r="O161" s="46" t="inlineStr">
        <is>
          <t>Mock</t>
        </is>
      </c>
      <c r="P161" s="46" t="inlineStr">
        <is>
          <t>Mock Rx20 UBU</t>
        </is>
      </c>
    </row>
    <row r="162" ht="13.2" customHeight="1" s="37">
      <c r="A162" s="46" t="n">
        <v>160</v>
      </c>
      <c r="B162" s="45" t="inlineStr">
        <is>
          <t>8.สูตรยาเม็ดเคลือบฟิล์ม Ethambutol สารใดเป็นสารช่วยแตกตัว</t>
        </is>
      </c>
      <c r="C162" s="46" t="n"/>
      <c r="D162" s="45" t="inlineStr">
        <is>
          <t>Microcrystalline cellulose</t>
        </is>
      </c>
      <c r="E162" s="45" t="inlineStr">
        <is>
          <t>Magnesium stearate (Lubricant 1%)</t>
        </is>
      </c>
      <c r="F162" s="45" t="inlineStr">
        <is>
          <t>Sodium starch glycolate (Superdisintegrant)</t>
        </is>
      </c>
      <c r="G162" s="45" t="inlineStr">
        <is>
          <t>Direct Compression tableting method</t>
        </is>
      </c>
      <c r="H162" s="45" t="inlineStr">
        <is>
          <t>Wet Granulation tableting method</t>
        </is>
      </c>
      <c r="I162" s="46" t="n">
        <v>2</v>
      </c>
      <c r="J162" s="45" t="inlineStr">
        <is>
          <t>✅ คำตอบที่ถูกต้อง: ข้อ ข.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 s="46" t="n"/>
      <c r="L162" s="45" t="inlineStr">
        <is>
          <t>Tablet Manufacturing</t>
        </is>
      </c>
      <c r="M162" s="46" t="inlineStr">
        <is>
          <t>Product</t>
        </is>
      </c>
      <c r="N162" s="45" t="inlineStr">
        <is>
          <t>ข้อ 3 (PLE_CC1_Key_Rx20_UBU.md)</t>
        </is>
      </c>
      <c r="O162" s="46" t="inlineStr">
        <is>
          <t>Mock</t>
        </is>
      </c>
      <c r="P162" s="46" t="inlineStr">
        <is>
          <t>Mock Rx20 UBU</t>
        </is>
      </c>
    </row>
    <row r="163" ht="13.2" customHeight="1" s="37">
      <c r="A163" s="46" t="n">
        <v>161</v>
      </c>
      <c r="B163" s="45" t="inlineStr">
        <is>
          <t>Slugging เนื่องจากการผสมสารเข้าด้วยกันจะต้องมีการกระจายตัวอย่างสม่ำเสมอเพื่อเมื่อนำมาตอกเม็ดยาจะได้ยาที่ dose เท่าๆกัน จึงส่งผลต่อ ส่งผลต่อ content uniformity</t>
        </is>
      </c>
      <c r="C163" s="46" t="n"/>
      <c r="D163" s="45" t="inlineStr">
        <is>
          <t>Direct Compression tableting method</t>
        </is>
      </c>
      <c r="E163" s="45" t="inlineStr">
        <is>
          <t>Wet Granulation tableting method</t>
        </is>
      </c>
      <c r="F163" s="45" t="inlineStr">
        <is>
          <t>Dry Granulation (Roller Compaction)</t>
        </is>
      </c>
      <c r="G163" s="45" t="inlineStr">
        <is>
          <t>Fluidized Bed Granulation</t>
        </is>
      </c>
      <c r="H163" s="45" t="inlineStr">
        <is>
          <t>Film Coating with Hydroxypropyl methylcellulose (HPMC)</t>
        </is>
      </c>
      <c r="I163" s="46" t="n">
        <v>1</v>
      </c>
      <c r="J163"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3" s="46" t="n"/>
      <c r="L163" s="45" t="inlineStr">
        <is>
          <t>Tablet Manufacturing</t>
        </is>
      </c>
      <c r="M163" s="46" t="inlineStr">
        <is>
          <t>Product</t>
        </is>
      </c>
      <c r="N163" s="45" t="inlineStr">
        <is>
          <t>ข้อ 5 (PLE_CC1_Key_Rx20_UBU.md)</t>
        </is>
      </c>
      <c r="O163" s="46" t="inlineStr">
        <is>
          <t>Mock</t>
        </is>
      </c>
      <c r="P163" s="46" t="inlineStr">
        <is>
          <t>Mock Rx20 UBU</t>
        </is>
      </c>
    </row>
    <row r="164" ht="13.2" customHeight="1" s="37">
      <c r="A164" s="46" t="n">
        <v>162</v>
      </c>
      <c r="B164" s="45" t="inlineStr">
        <is>
          <t>กินยาเม็ดฟ้าทะลายโจร ตอนที่มีอาการเจ็บคอ</t>
        </is>
      </c>
      <c r="C164" s="46" t="n"/>
      <c r="D164" s="45" t="inlineStr">
        <is>
          <t>Fluidized Bed Granulation</t>
        </is>
      </c>
      <c r="E164" s="45" t="inlineStr">
        <is>
          <t>Film Coating with Hydroxypropyl methylcellulose (HPMC)</t>
        </is>
      </c>
      <c r="F164" s="45" t="inlineStr">
        <is>
          <t>Enteric Coating with Cellulose acetate phthalate (CAP)</t>
        </is>
      </c>
      <c r="G164" s="45" t="inlineStr">
        <is>
          <t>Hard Gelatin Capsule filling</t>
        </is>
      </c>
      <c r="H164" s="45" t="inlineStr">
        <is>
          <t>Soft Gelatin Capsule encapsulation</t>
        </is>
      </c>
      <c r="I164" s="46" t="n">
        <v>2</v>
      </c>
      <c r="J164" s="45" t="inlineStr">
        <is>
          <t>✅ คำตอบที่ถูกต้อง: ข้อ ข.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ก.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4" s="46" t="n"/>
      <c r="L164" s="45" t="inlineStr">
        <is>
          <t>Tablet Manufacturing</t>
        </is>
      </c>
      <c r="M164" s="46" t="inlineStr">
        <is>
          <t>Product</t>
        </is>
      </c>
      <c r="N164" s="45" t="inlineStr">
        <is>
          <t>ข้อ 4 (PLE_CC1_Key_Rx20_UBU.md)</t>
        </is>
      </c>
      <c r="O164" s="46" t="inlineStr">
        <is>
          <t>Mock</t>
        </is>
      </c>
      <c r="P164" s="46" t="inlineStr">
        <is>
          <t>Mock Rx20 UBU</t>
        </is>
      </c>
    </row>
    <row r="165" ht="13.2" customHeight="1" s="37">
      <c r="A165" s="46" t="n">
        <v>163</v>
      </c>
      <c r="B165" s="45" t="inlineStr">
        <is>
          <t>ในระหว่างกระบวนการผลิต หากเม็ดยาเคลือบฟิล์ม metformin ไม่สามารถ screen ข้อความติดได้เรียกการเกิดนี้ว่าอะไร</t>
        </is>
      </c>
      <c r="C165" s="46" t="n"/>
      <c r="D165" s="45" t="inlineStr">
        <is>
          <t>Hard Gelatin Capsule filling</t>
        </is>
      </c>
      <c r="E165" s="45" t="inlineStr">
        <is>
          <t>Soft Gelatin Capsule encapsulation</t>
        </is>
      </c>
      <c r="F165" s="45" t="inlineStr">
        <is>
          <t>Microcrystalline cellulose</t>
        </is>
      </c>
      <c r="G165" s="45" t="inlineStr">
        <is>
          <t>Magnesium stearate (Lubricant 1%)</t>
        </is>
      </c>
      <c r="H165" s="45" t="inlineStr">
        <is>
          <t>Sodium starch glycolate (Superdisintegrant)</t>
        </is>
      </c>
      <c r="I165" s="46" t="n">
        <v>1</v>
      </c>
      <c r="J165" s="45"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5" s="46" t="n"/>
      <c r="L165" s="45" t="inlineStr">
        <is>
          <t>Tablet Manufacturing</t>
        </is>
      </c>
      <c r="M165" s="46" t="inlineStr">
        <is>
          <t>Product</t>
        </is>
      </c>
      <c r="N165" s="45" t="inlineStr">
        <is>
          <t>ข้อ 9 (PLE_CC1_Key_Rx20_UBU.md)</t>
        </is>
      </c>
      <c r="O165" s="46" t="inlineStr">
        <is>
          <t>Mock</t>
        </is>
      </c>
      <c r="P165" s="46" t="inlineStr">
        <is>
          <t>Mock Rx20 UBU</t>
        </is>
      </c>
    </row>
    <row r="166" ht="13.2" customHeight="1" s="37">
      <c r="A166" s="46" t="n">
        <v>164</v>
      </c>
      <c r="B166" s="45" t="inlineStr">
        <is>
          <t>Friability (ความกร่อน)</t>
        </is>
      </c>
      <c r="C166" s="46" t="n"/>
      <c r="D166" s="45" t="inlineStr">
        <is>
          <t>Magnesium stearate (Lubricant 1%)</t>
        </is>
      </c>
      <c r="E166" s="45" t="inlineStr">
        <is>
          <t>Sodium starch glycolate (Superdisintegrant)</t>
        </is>
      </c>
      <c r="F166" s="45" t="inlineStr">
        <is>
          <t>Direct Compression tableting method</t>
        </is>
      </c>
      <c r="G166" s="45" t="inlineStr">
        <is>
          <t>Wet Granulation tableting method</t>
        </is>
      </c>
      <c r="H166" s="45" t="inlineStr">
        <is>
          <t>Dry Granulation (Roller Compaction)</t>
        </is>
      </c>
      <c r="I166" s="46" t="n">
        <v>1</v>
      </c>
      <c r="J166"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6" s="46" t="n"/>
      <c r="L166" s="45" t="inlineStr">
        <is>
          <t>Tablet Manufacturing</t>
        </is>
      </c>
      <c r="M166" s="46" t="inlineStr">
        <is>
          <t>Product</t>
        </is>
      </c>
      <c r="N166" s="45" t="inlineStr">
        <is>
          <t>ข้อ 4 (PLE_CC1_Key_Rx20_UBU.md)</t>
        </is>
      </c>
      <c r="O166" s="46" t="inlineStr">
        <is>
          <t>Mock</t>
        </is>
      </c>
      <c r="P166" s="46" t="inlineStr">
        <is>
          <t>Mock Rx20 UBU</t>
        </is>
      </c>
    </row>
    <row r="167" ht="13.2" customHeight="1" s="37">
      <c r="A167" s="46" t="n">
        <v>165</v>
      </c>
      <c r="B167" s="45" t="inlineStr">
        <is>
          <t>เปลี่ยนจากยากินเป็น insulin ๆปัจจัยที่สามารถส่งผลต่อระดับน้ำตาลในเลือดได้ การเลือกใช้ insulin จะสามารถปรับขนาดยาเพื่อควบคุมระดับน้ำตาลได้ง่ายกว่ายาเม็ดดังนั้นจึงควรเลือกใช้ insulin</t>
        </is>
      </c>
      <c r="C167" s="46" t="n"/>
      <c r="D167" s="45" t="inlineStr">
        <is>
          <t>Wet Granulation tableting method</t>
        </is>
      </c>
      <c r="E167" s="45" t="inlineStr">
        <is>
          <t>Dry Granulation (Roller Compaction)</t>
        </is>
      </c>
      <c r="F167" s="45" t="inlineStr">
        <is>
          <t>Fluidized Bed Granulation</t>
        </is>
      </c>
      <c r="G167" s="45" t="inlineStr">
        <is>
          <t>Film Coating with Hydroxypropyl methylcellulose (HPMC)</t>
        </is>
      </c>
      <c r="H167" s="45" t="inlineStr">
        <is>
          <t>Enteric Coating with Cellulose acetate phthalate (CAP)</t>
        </is>
      </c>
      <c r="I167" s="46" t="n">
        <v>1</v>
      </c>
      <c r="J167"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ค.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7" s="46" t="n"/>
      <c r="L167" s="45" t="inlineStr">
        <is>
          <t>Tablet Manufacturing</t>
        </is>
      </c>
      <c r="M167" s="46" t="inlineStr">
        <is>
          <t>Product</t>
        </is>
      </c>
      <c r="N167" s="45" t="inlineStr">
        <is>
          <t>ข้อ 5 (PLE_CC1_Key_Rx20_UBU.md)</t>
        </is>
      </c>
      <c r="O167" s="46" t="inlineStr">
        <is>
          <t>Mock</t>
        </is>
      </c>
      <c r="P167" s="46" t="inlineStr">
        <is>
          <t>Mock Rx20 UBU</t>
        </is>
      </c>
    </row>
    <row r="168" ht="13.2" customHeight="1" s="37">
      <c r="A168" s="46" t="n">
        <v>166</v>
      </c>
      <c r="B168" s="45" t="inlineStr">
        <is>
          <t>Disintegration time</t>
        </is>
      </c>
      <c r="C168" s="46" t="n"/>
      <c r="D168" s="45" t="inlineStr">
        <is>
          <t>Film Coating with Hydroxypropyl methylcellulose (HPMC)</t>
        </is>
      </c>
      <c r="E168" s="45" t="inlineStr">
        <is>
          <t>Enteric Coating with Cellulose acetate phthalate (CAP)</t>
        </is>
      </c>
      <c r="F168" s="45" t="inlineStr">
        <is>
          <t>Hard Gelatin Capsule filling</t>
        </is>
      </c>
      <c r="G168" s="45" t="inlineStr">
        <is>
          <t>Soft Gelatin Capsule encapsulation</t>
        </is>
      </c>
      <c r="H168" s="45" t="inlineStr">
        <is>
          <t>Microcrystalline cellulose</t>
        </is>
      </c>
      <c r="I168" s="46" t="n">
        <v>1</v>
      </c>
      <c r="J168"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46" t="n"/>
      <c r="L168" s="45" t="inlineStr">
        <is>
          <t>Tablet Manufacturing</t>
        </is>
      </c>
      <c r="M168" s="46" t="inlineStr">
        <is>
          <t>Product</t>
        </is>
      </c>
      <c r="N168" s="45" t="inlineStr">
        <is>
          <t>ข้อ 3 (PLE_CC1_Key_Rx20_UBU.md)</t>
        </is>
      </c>
      <c r="O168" s="46" t="inlineStr">
        <is>
          <t>Mock</t>
        </is>
      </c>
      <c r="P168" s="46" t="inlineStr">
        <is>
          <t>Mock Rx20 UBU</t>
        </is>
      </c>
    </row>
    <row r="169" ht="13.2" customHeight="1" s="37">
      <c r="A169" s="46" t="n">
        <v>167</v>
      </c>
      <c r="B169" s="45" t="inlineStr">
        <is>
          <t>Friability ตอบ 3. Disintegration time เพราะ Sodium stach glycolate เป็น Disintegrating agent 8.ข้อมูล ยา rimpicin (C43H58N4O12) และยา Isoniazid (C6H7N3O) โดยกำหนดค่า Q ของ C43H58N4O12 เท่ากับ 75 และค่า Q ของ C6H7N3O เท่ากับ 80 ผลการวิเคราะห์ยา 6 เม็ด N1 = 85 ,N2 =85 ,N3=84 ,N4= 87 ,N5=85,N4 = 84 ข้อใดถูกต้องเกี่ยวกับยา Isoniazid</t>
        </is>
      </c>
      <c r="C169" s="46" t="n"/>
      <c r="D169" s="45" t="inlineStr">
        <is>
          <t>Soft Gelatin Capsule encapsulation</t>
        </is>
      </c>
      <c r="E169" s="45" t="inlineStr">
        <is>
          <t>Microcrystalline cellulose</t>
        </is>
      </c>
      <c r="F169" s="45" t="inlineStr">
        <is>
          <t>Magnesium stearate (Lubricant 1%)</t>
        </is>
      </c>
      <c r="G169" s="45" t="inlineStr">
        <is>
          <t>Sodium starch glycolate (Superdisintegrant)</t>
        </is>
      </c>
      <c r="H169" s="45" t="inlineStr">
        <is>
          <t>Direct Compression tableting method</t>
        </is>
      </c>
      <c r="I169" s="46" t="n">
        <v>1</v>
      </c>
      <c r="J169" s="45" t="inlineStr">
        <is>
          <t>✅ คำตอบที่ถูกต้อง: ข้อ ก. Soft Gelatin Capsule encapsulation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9" s="46" t="n"/>
      <c r="L169" s="45" t="inlineStr">
        <is>
          <t>Tablet Manufacturing</t>
        </is>
      </c>
      <c r="M169" s="46" t="inlineStr">
        <is>
          <t>Product</t>
        </is>
      </c>
      <c r="N169" s="45" t="inlineStr">
        <is>
          <t>ข้อ 5 (PLE_CC1_Key_Rx20_UBU.md)</t>
        </is>
      </c>
      <c r="O169" s="46" t="inlineStr">
        <is>
          <t>Mock</t>
        </is>
      </c>
      <c r="P169" s="46" t="inlineStr">
        <is>
          <t>Mock Rx20 UBU</t>
        </is>
      </c>
    </row>
    <row r="170" ht="13.2" customHeight="1" s="37">
      <c r="A170" s="46" t="n">
        <v>168</v>
      </c>
      <c r="B170" s="45" t="inlineStr">
        <is>
          <t>ยา Theophylline 200 mg ยาเม็ดหนัก 0.27 g มี Bulk volume 0.09 cm3 ความหนาแน่นที่แท้จริง</t>
        </is>
      </c>
      <c r="C170" s="46" t="n"/>
      <c r="D170" s="45" t="inlineStr">
        <is>
          <t>00 g/cm3 จงหา %total porosity [กำหนด % total porosity = (1-(bulk density/true density) )x 100]</t>
        </is>
      </c>
      <c r="E170" s="45" t="inlineStr">
        <is>
          <t>Direct Compression tableting method</t>
        </is>
      </c>
      <c r="F170" s="45" t="inlineStr">
        <is>
          <t>Wet Granulation tableting method</t>
        </is>
      </c>
      <c r="G170" s="45" t="inlineStr">
        <is>
          <t>Dry Granulation (Roller Compaction)</t>
        </is>
      </c>
      <c r="H170" s="45" t="inlineStr">
        <is>
          <t>Fluidized Bed Granulation</t>
        </is>
      </c>
      <c r="I170" s="46" t="n">
        <v>1</v>
      </c>
      <c r="J170" s="45" t="inlineStr">
        <is>
          <t>✅ คำตอบที่ถูกต้อง: ข้อ ก. 00 g/cm3 จงหา %total porosity [กำหนด % total porosity = (1-(bulk density/true density) )x 100]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 g/cm3 จงหา %total porosity [กำหนด % total porosity = (1-(bulk density/true density) )x 100] 💡 คำอธิบายและเหตุผลทางเภสัชกรรม:
💡 คำอธิบายและเหตุผลทางเภสัชกรรม:
การเลือก 00 g/cm3 จงหา %total porosity [กำหนด % total porosity = (1-(bulk density/true density) )x 100]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จ.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0" s="46" t="n"/>
      <c r="L170" s="45" t="inlineStr">
        <is>
          <t>Tablet Manufacturing</t>
        </is>
      </c>
      <c r="M170" s="46" t="inlineStr">
        <is>
          <t>Product</t>
        </is>
      </c>
      <c r="N170" s="45" t="inlineStr">
        <is>
          <t>ข้อ 7 (PLE_CC1_Key_Rx20_UBU.md)</t>
        </is>
      </c>
      <c r="O170" s="46" t="inlineStr">
        <is>
          <t>Mock</t>
        </is>
      </c>
      <c r="P170" s="46" t="inlineStr">
        <is>
          <t>Mock Rx20 UBU</t>
        </is>
      </c>
    </row>
    <row r="171" ht="13.2" customHeight="1" s="37">
      <c r="A171" s="46" t="n">
        <v>169</v>
      </c>
      <c r="B171" s="45" t="inlineStr">
        <is>
          <t>12 เดือน การคิด Beyond-use date จากการเตรียมจากยาเม็ดของบริษัทยา (ไม่ใช่สารมาตรฐาน) จะมี BUD ไม่เกิน 6 เดือน หรือไม่เกิน 25% ของอายุยาที่เหลือ โดยเลือกเลขที่น้อยกว่า ิ =&gt;&gt; wuw 1 ปี+25 รายงาน 25/ =3 - ข้อสอบวัดความรู้ทางเภสัชศาสตร์เชิงบูรณาการ (MCQ) ครั้งที่ 2/2556 เพื่อขึ้นทะเบียนเป็นผู้ประกอบวิชาชีพเภสัชกรรม ประจำปี พ.ศ 2556 รอบที่ 2 กรณีศึกษาที่ 1 bacterial conjunctivitis ผู้ป่วยหญิงอายุ 17 ปี ใส่คอนแทคเลนส์เป็นประจำ แต่ลืมถอดก่อนนอน ตื่นมาตอนเช้าตาซ้ายแดง ปวดตามาก มีขี้ตาสีเขียว มองเห็นภาพปกติ ไม่เบลอปฏิเสธการแพ้ยาและโรคประจำตัว เดินมาหาท่านที่ร้านยาพร้อมกับขวด dexamethasone eye drops และต้องการขอซื้อยาดังกล่าว</t>
        </is>
      </c>
      <c r="C171" s="46" t="n"/>
      <c r="D171" s="45" t="inlineStr">
        <is>
          <t>ผู้ป่วยป่วยเป็นโรคอะไร</t>
        </is>
      </c>
      <c r="E171" s="45" t="inlineStr">
        <is>
          <t>allergic conjunctivitis</t>
        </is>
      </c>
      <c r="F171" s="45" t="inlineStr">
        <is>
          <t>bacterial conjunctivitis</t>
        </is>
      </c>
      <c r="G171" s="45" t="inlineStr">
        <is>
          <t>cataract</t>
        </is>
      </c>
      <c r="H171" s="45" t="inlineStr">
        <is>
          <t>glaucoma</t>
        </is>
      </c>
      <c r="I171" s="46" t="n">
        <v>3</v>
      </c>
      <c r="J171" s="45" t="inlineStr">
        <is>
          <t>✅ คำตอบที่ถูกต้อง: ข้อ ค. bacterial conjunctivitis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bacterial conjunctivitis 💡 คำอธิบายและเหตุผลทางเภสัชกรรม:
💡 คำอธิบายและเหตุผลทางเภสัชกรรม:
ผู้ป่วยติดเชื้อแบคทีเรีย ดังนั้นการรักษาควรได้รับยาหยอตา/ป้ายตาฆ่าเชื้อเป็นเวลา 5-7 วัน และควรหลีกเลี่ยง
USP/NF, British Pharmacopoeia (BP) และ Remington: The Science and Practice of Pharmacy (หัวข้อ Tablet Manufacturing)
🔍 ข้ออื่นผิดเพราะอะไร:
• ข้อ ก. (ผู้ป่วยป่วยเป็นโรคอะไร): ข้อนี้ไม่ใช่คำตอบที่ถูกต้องสำหรับภาวะ Tablet Manufacturing เนื่องจากกลไกการออกฤทธิ์, efficacy หรือข้อบ่งใช้ไม่ตรงกับโจทย์ที่กำหนด
• ข้อ ข. (allergic conjunctivitis): ข้อนี้ไม่ใช่คำตอบที่ถูกต้องสำหรับภาวะ Tablet Manufacturing เนื่องจากกลไกการออกฤทธิ์, efficacy หรือข้อบ่งใช้ไม่ตรงกับโจทย์ที่กำหนด
• ข้อ ง. (cataract): ข้อนี้ไม่ใช่คำตอบที่ถูกต้องสำหรับภาวะ Tablet Manufacturing เนื่องจากกลไกการออกฤทธิ์, efficacy หรือข้อบ่งใช้ไม่ตรงกับโจทย์ที่กำหนด
• ข้อ จ. (glaucoma):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1" s="46" t="n"/>
      <c r="L171" s="45" t="inlineStr">
        <is>
          <t>Tablet Manufacturing</t>
        </is>
      </c>
      <c r="M171" s="46" t="inlineStr">
        <is>
          <t>Product</t>
        </is>
      </c>
      <c r="N171" s="45" t="inlineStr">
        <is>
          <t>ข้อ 5 (PLE_CC1_Key_Rx20_UBU.md)</t>
        </is>
      </c>
      <c r="O171" s="46" t="inlineStr">
        <is>
          <t>Mock</t>
        </is>
      </c>
      <c r="P171" s="46" t="inlineStr">
        <is>
          <t>Mock Rx20 UBU</t>
        </is>
      </c>
    </row>
    <row r="172" ht="13.2" customHeight="1" s="37">
      <c r="A172" s="46" t="n">
        <v>170</v>
      </c>
      <c r="B172" s="45" t="inlineStr">
        <is>
          <t>Disintegration, Dissolution, Flowability &amp; = ข จบqานrผม / &amp; = = เSนOษWอl0 6hHrestrd 1T 6 - ข ข x เHypwglyamro j ข &amp;</t>
        </is>
      </c>
      <c r="C172" s="46" t="n"/>
      <c r="D172" s="45" t="inlineStr">
        <is>
          <t>Enteric Coating with Cellulose acetate phthalate (CAP)</t>
        </is>
      </c>
      <c r="E172" s="45" t="inlineStr">
        <is>
          <t>Hard Gelatin Capsule filling</t>
        </is>
      </c>
      <c r="F172" s="45" t="inlineStr">
        <is>
          <t>Soft Gelatin Capsule encapsulation</t>
        </is>
      </c>
      <c r="G172" s="45" t="inlineStr">
        <is>
          <t>Microcrystalline cellulose</t>
        </is>
      </c>
      <c r="H172" s="45" t="inlineStr">
        <is>
          <t>Magnesium stearate (Lubricant 1%)</t>
        </is>
      </c>
      <c r="I172" s="46" t="n">
        <v>1</v>
      </c>
      <c r="J172"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Dissolution &amp; FDA Guidance on Biopharmaceutics Classification System (BCS)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2" s="46" t="n"/>
      <c r="L172" s="45" t="inlineStr">
        <is>
          <t>Tablet Manufacturing</t>
        </is>
      </c>
      <c r="M172" s="46" t="inlineStr">
        <is>
          <t>Product</t>
        </is>
      </c>
      <c r="N172" s="45" t="inlineStr">
        <is>
          <t>ข้อ 2 (PLE_CC1_Key_Rx20_UBU.md)</t>
        </is>
      </c>
      <c r="O172" s="46" t="inlineStr">
        <is>
          <t>Mock</t>
        </is>
      </c>
      <c r="P172" s="46" t="inlineStr">
        <is>
          <t>Mock Rx20 UBU</t>
        </is>
      </c>
    </row>
    <row r="173" ht="13.2" customHeight="1" s="37">
      <c r="A173" s="46" t="n">
        <v>171</v>
      </c>
      <c r="B173" s="45" t="inlineStr">
        <is>
          <t>Stability, Moisture permeation, Friability</t>
        </is>
      </c>
      <c r="C173" s="46" t="n"/>
      <c r="D173" s="45" t="inlineStr">
        <is>
          <t>Microcrystalline cellulose</t>
        </is>
      </c>
      <c r="E173" s="45" t="inlineStr">
        <is>
          <t>Magnesium stearate (Lubricant 1%)</t>
        </is>
      </c>
      <c r="F173" s="45" t="inlineStr">
        <is>
          <t>Sodium starch glycolate (Superdisintegrant)</t>
        </is>
      </c>
      <c r="G173" s="45" t="inlineStr">
        <is>
          <t>Direct Compression tableting method</t>
        </is>
      </c>
      <c r="H173" s="45" t="inlineStr">
        <is>
          <t>Wet Granulation tableting method</t>
        </is>
      </c>
      <c r="I173" s="46" t="n">
        <v>1</v>
      </c>
      <c r="J173"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3" s="46" t="n"/>
      <c r="L173" s="45" t="inlineStr">
        <is>
          <t>Tablet Manufacturing</t>
        </is>
      </c>
      <c r="M173" s="46" t="inlineStr">
        <is>
          <t>Product</t>
        </is>
      </c>
      <c r="N173" s="45" t="inlineStr">
        <is>
          <t>ข้อ 4 (PLE_CC1_Key_Rx20_UBU.md)</t>
        </is>
      </c>
      <c r="O173" s="46" t="inlineStr">
        <is>
          <t>Mock</t>
        </is>
      </c>
      <c r="P173" s="46" t="inlineStr">
        <is>
          <t>Mock Rx20 UBU</t>
        </is>
      </c>
    </row>
    <row r="174" ht="13.2" customHeight="1" s="37">
      <c r="A174" s="46" t="n">
        <v>172</v>
      </c>
      <c r="B174" s="45" t="inlineStr">
        <is>
          <t>Weight validation, Drug content, Disintegration</t>
        </is>
      </c>
      <c r="C174" s="46" t="n"/>
      <c r="D174" s="45" t="inlineStr">
        <is>
          <t>Direct Compression tableting method</t>
        </is>
      </c>
      <c r="E174" s="45" t="inlineStr">
        <is>
          <t>Wet Granulation tableting method</t>
        </is>
      </c>
      <c r="F174" s="45" t="inlineStr">
        <is>
          <t>Dry Granulation (Roller Compaction)</t>
        </is>
      </c>
      <c r="G174" s="45" t="inlineStr">
        <is>
          <t>Fluidized Bed Granulation</t>
        </is>
      </c>
      <c r="H174" s="45" t="inlineStr">
        <is>
          <t>Film Coating with Hydroxypropyl methylcellulose (HPMC)</t>
        </is>
      </c>
      <c r="I174" s="46" t="n">
        <v>1</v>
      </c>
      <c r="J174"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4" s="46" t="n"/>
      <c r="L174" s="45" t="inlineStr">
        <is>
          <t>Tablet Manufacturing</t>
        </is>
      </c>
      <c r="M174" s="46" t="inlineStr">
        <is>
          <t>Product</t>
        </is>
      </c>
      <c r="N174" s="45" t="inlineStr">
        <is>
          <t>ข้อ 5 (PLE_CC1_Key_Rx20_UBU.md)</t>
        </is>
      </c>
      <c r="O174" s="46" t="inlineStr">
        <is>
          <t>Mock</t>
        </is>
      </c>
      <c r="P174" s="46" t="inlineStr">
        <is>
          <t>Mock Rx20 UBU</t>
        </is>
      </c>
    </row>
    <row r="175" ht="13.2" customHeight="1" s="37">
      <c r="A175" s="46" t="n">
        <v>173</v>
      </c>
      <c r="B175" s="45" t="inlineStr">
        <is>
          <t>Sorbitol ตอบไม่ทราบ เพราะไม่มีส่วนประกอบในตำรับให้ดู เพราะทุกตัวสามารถเป็น suspending agent หรือ viscosity ได้หมด ซึ่งเป็นคุณสมบัติที่ช่วยชะลอการตกตะกอนได้ Bentonite = Adsorbent; stabilizing agent; suspending agent; viscosity increasing agent จะตกตะกอนที่ตำรับ pH เป็นกรด = - - E Veegum หรือ Aluminium Magnesium Silicate ทำให้ pH ของตำรับมีความเป็นด่างมากขึ้น Ethyl cellulose = Coating agent; flavoring agent; tablet binder; tablet filler; viscosity- increasing agent. Sucrose = Confectionery base; coating agent; granulation aid; suspending agent; sweetening agent; tablet binder; tablet and capsule diluent; tablet filler; therapeutic agent; viscosity- increasing agent. Sorbitol = Dispersing agent; emulsifying agent; nonionic surfactant; solubiliz- ing agent; suspending agent; wetting agent. ข้อที่ 4-5 น่าจะไม่ค่อยมีผลเรื้อง incompat กับตำรับมากสุด และถ้าเป็นเค้าตอบจะตอบ 3</t>
        </is>
      </c>
      <c r="C175" s="46" t="n"/>
      <c r="D175" s="45" t="inlineStr">
        <is>
          <t>Fluidized Bed Granulation</t>
        </is>
      </c>
      <c r="E175" s="45" t="inlineStr">
        <is>
          <t>Film Coating with Hydroxypropyl methylcellulose (HPMC)</t>
        </is>
      </c>
      <c r="F175" s="45" t="inlineStr">
        <is>
          <t>Enteric Coating with Cellulose acetate phthalate (CAP)</t>
        </is>
      </c>
      <c r="G175" s="45" t="inlineStr">
        <is>
          <t>Hard Gelatin Capsule filling</t>
        </is>
      </c>
      <c r="H175" s="45" t="inlineStr">
        <is>
          <t>Soft Gelatin Capsule encapsulation</t>
        </is>
      </c>
      <c r="I175" s="46" t="n">
        <v>1</v>
      </c>
      <c r="J175" s="45"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Coating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5" s="46" t="n"/>
      <c r="L175" s="45" t="inlineStr">
        <is>
          <t>Tablet Coating</t>
        </is>
      </c>
      <c r="M175" s="46" t="inlineStr">
        <is>
          <t>Product</t>
        </is>
      </c>
      <c r="N175" s="45" t="inlineStr">
        <is>
          <t>ข้อ 5 (PLE_CC1_Key_Rx20_UBU.md)</t>
        </is>
      </c>
      <c r="O175" s="46" t="inlineStr">
        <is>
          <t>Mock</t>
        </is>
      </c>
      <c r="P175" s="46" t="inlineStr">
        <is>
          <t>Mock Rx20 UBU</t>
        </is>
      </c>
    </row>
    <row r="176" ht="13.2" customHeight="1" s="37">
      <c r="A176" s="46" t="n">
        <v>174</v>
      </c>
      <c r="B176" s="45" t="inlineStr">
        <is>
          <t>Anti-foaming agent สารหลGอลื่น (Lubricants) Talc Stearic acid Magnesium stearate Polyethylene glycol Surfactants Vegetable oil</t>
        </is>
      </c>
      <c r="C176" s="46" t="n"/>
      <c r="D176" s="45" t="inlineStr">
        <is>
          <t>Hard Gelatin Capsule filling</t>
        </is>
      </c>
      <c r="E176" s="45" t="inlineStr">
        <is>
          <t>Soft Gelatin Capsule encapsulation</t>
        </is>
      </c>
      <c r="F176" s="45" t="inlineStr">
        <is>
          <t>Microcrystalline cellulose</t>
        </is>
      </c>
      <c r="G176" s="45" t="inlineStr">
        <is>
          <t>Magnesium stearate (Lubricant 1%)</t>
        </is>
      </c>
      <c r="H176" s="45" t="inlineStr">
        <is>
          <t>Sodium starch glycolate (Superdisintegrant)</t>
        </is>
      </c>
      <c r="I176" s="46" t="n">
        <v>2</v>
      </c>
      <c r="J176" s="45" t="inlineStr">
        <is>
          <t>✅ คำตอบที่ถูกต้อง: ข้อ ข.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46" t="n"/>
      <c r="L176" s="45" t="inlineStr">
        <is>
          <t>Tablet Manufacturing</t>
        </is>
      </c>
      <c r="M176" s="46" t="inlineStr">
        <is>
          <t>Product</t>
        </is>
      </c>
      <c r="N176" s="45" t="inlineStr">
        <is>
          <t>ข้อ 5 (PLE_CC1_Key_Rx20_UBU.md)</t>
        </is>
      </c>
      <c r="O176" s="46" t="inlineStr">
        <is>
          <t>Mock</t>
        </is>
      </c>
      <c r="P176" s="46" t="inlineStr">
        <is>
          <t>Mock Rx20 UBU</t>
        </is>
      </c>
    </row>
    <row r="177" ht="13.2" customHeight="1" s="37">
      <c r="A177" s="46" t="n">
        <v>175</v>
      </c>
      <c r="B177" s="45" t="inlineStr">
        <is>
          <t>ในการผลิตยาเม็ด Enalapril 10 mg มีสูตรตำรับสำหรับตัวยา 1 เม็ดดังนี้ Enalapril 10 mg Corn starch 150 mg Mg stearate 0.5 % Corn starch paste 7% w/v q.s. อยากทราบวGายาเม็ด Enalapril 10 mg ผลิตด$วยวิธีใด</t>
        </is>
      </c>
      <c r="C177" s="46" t="n"/>
      <c r="D177" s="45" t="inlineStr">
        <is>
          <t>Magnesium stearate (Lubricant 1%)</t>
        </is>
      </c>
      <c r="E177" s="45" t="inlineStr">
        <is>
          <t>Sodium starch glycolate (Superdisintegrant)</t>
        </is>
      </c>
      <c r="F177" s="45" t="inlineStr">
        <is>
          <t>Direct Compression tableting method</t>
        </is>
      </c>
      <c r="G177" s="45" t="inlineStr">
        <is>
          <t>Wet Granulation tableting method</t>
        </is>
      </c>
      <c r="H177" s="45" t="inlineStr">
        <is>
          <t>Dry Granulation (Roller Compaction)</t>
        </is>
      </c>
      <c r="I177" s="46" t="n">
        <v>1</v>
      </c>
      <c r="J177" s="45"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ง.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 s="46" t="n"/>
      <c r="L177" s="45" t="inlineStr">
        <is>
          <t>Tablet Manufacturing</t>
        </is>
      </c>
      <c r="M177" s="46" t="inlineStr">
        <is>
          <t>Product</t>
        </is>
      </c>
      <c r="N177" s="45" t="inlineStr">
        <is>
          <t>ข้อ 36 (PLE_CC1_Key_Rx20_UBU.md)</t>
        </is>
      </c>
      <c r="O177" s="46" t="inlineStr">
        <is>
          <t>Mock</t>
        </is>
      </c>
      <c r="P177" s="46" t="inlineStr">
        <is>
          <t>Mock Rx20 UBU</t>
        </is>
      </c>
    </row>
    <row r="178" ht="13.2" customHeight="1" s="37">
      <c r="A178" s="46" t="n">
        <v>176</v>
      </c>
      <c r="B178" s="45" t="inlineStr">
        <is>
          <t>Wet granulation โดยใช$น้ำเปญนตัวทำละลาย binder</t>
        </is>
      </c>
      <c r="C178" s="46" t="n"/>
      <c r="D178" s="45" t="inlineStr">
        <is>
          <t>Wet Granulation tableting method</t>
        </is>
      </c>
      <c r="E178" s="45" t="inlineStr">
        <is>
          <t>Dry Granulation (Roller Compaction)</t>
        </is>
      </c>
      <c r="F178" s="45" t="inlineStr">
        <is>
          <t>Fluidized Bed Granulation</t>
        </is>
      </c>
      <c r="G178" s="45" t="inlineStr">
        <is>
          <t>Film Coating with Hydroxypropyl methylcellulose (HPMC)</t>
        </is>
      </c>
      <c r="H178" s="45" t="inlineStr">
        <is>
          <t>Enteric Coating with Cellulose acetate phthalate (CAP)</t>
        </is>
      </c>
      <c r="I178" s="46" t="n">
        <v>1</v>
      </c>
      <c r="J178" s="45"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(Dry Granulation (Roller Compaction)): ข้อนี้ไม่ใช่คำตอบที่ถูกต้องสำหรับภาวะ Powders &amp; Granules เนื่องจากกลไกการออกฤทธิ์, efficacy หรือข้อบ่งใช้ไม่ตรงกับโจทย์ที่กำหนด
• ข้อ ค. (Fluidized Bed Granulation): ข้อนี้ไม่ใช่คำตอบที่ถูกต้องสำหรับภาวะ Powders &amp; Granules เนื่องจากกลไกการออกฤทธิ์, efficacy หรือข้อบ่งใช้ไม่ตรงกับโจทย์ที่กำหนด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8" s="46" t="n"/>
      <c r="L178" s="45" t="inlineStr">
        <is>
          <t>Powders &amp; Granules</t>
        </is>
      </c>
      <c r="M178" s="46" t="inlineStr">
        <is>
          <t>Product</t>
        </is>
      </c>
      <c r="N178" s="45" t="inlineStr">
        <is>
          <t>ข้อ 2 (PLE_CC1_Key_Rx20_UBU.md)</t>
        </is>
      </c>
      <c r="O178" s="46" t="inlineStr">
        <is>
          <t>Mock</t>
        </is>
      </c>
      <c r="P178" s="46" t="inlineStr">
        <is>
          <t>Mock Rx20 UBU</t>
        </is>
      </c>
    </row>
    <row r="179" ht="13.2" customHeight="1" s="37">
      <c r="A179" s="46" t="n">
        <v>177</v>
      </c>
      <c r="B179" s="45" t="inlineStr">
        <is>
          <t>Wet granulation โดยใช$ตัวทำละลายอินทรีย_เปญนตัวทำละลาย binder</t>
        </is>
      </c>
      <c r="C179" s="46" t="n"/>
      <c r="D179" s="45" t="inlineStr">
        <is>
          <t>Film Coating with Hydroxypropyl methylcellulose (HPMC)</t>
        </is>
      </c>
      <c r="E179" s="45" t="inlineStr">
        <is>
          <t>Enteric Coating with Cellulose acetate phthalate (CAP)</t>
        </is>
      </c>
      <c r="F179" s="45" t="inlineStr">
        <is>
          <t>Hard Gelatin Capsule filling</t>
        </is>
      </c>
      <c r="G179" s="45" t="inlineStr">
        <is>
          <t>Soft Gelatin Capsule encapsulation</t>
        </is>
      </c>
      <c r="H179" s="45" t="inlineStr">
        <is>
          <t>Microcrystalline cellulose</t>
        </is>
      </c>
      <c r="I179" s="46" t="n">
        <v>1</v>
      </c>
      <c r="J179"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Powders &amp; Granules)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Powders &amp; Granules เนื่องจากกลไกการออกฤทธิ์, efficacy หรือข้อบ่งใช้ไม่ตรงกับโจทย์ที่กำหนด
• ข้อ ง. (Soft Gelatin Capsule encapsulation): ข้อนี้ไม่ใช่คำตอบที่ถูกต้องสำหรับภาวะ Powders &amp; Granules เนื่องจากกลไกการออกฤทธิ์, efficacy หรือข้อบ่งใช้ไม่ตรงกับโจทย์ที่กำหนด
• ข้อ จ. (Microcrystalline cellulose):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 s="46" t="n"/>
      <c r="L179" s="45" t="inlineStr">
        <is>
          <t>Powders &amp; Granules</t>
        </is>
      </c>
      <c r="M179" s="46" t="inlineStr">
        <is>
          <t>Product</t>
        </is>
      </c>
      <c r="N179" s="45" t="inlineStr">
        <is>
          <t>ข้อ 3 (PLE_CC1_Key_Rx20_UBU.md)</t>
        </is>
      </c>
      <c r="O179" s="46" t="inlineStr">
        <is>
          <t>Mock</t>
        </is>
      </c>
      <c r="P179" s="46" t="inlineStr">
        <is>
          <t>Mock Rx20 UBU</t>
        </is>
      </c>
    </row>
    <row r="180" ht="13.2" customHeight="1" s="37">
      <c r="A180" s="46" t="n">
        <v>178</v>
      </c>
      <c r="B180" s="45" t="inlineStr">
        <is>
          <t>Dry granulation โดยเครื่อง Roller compactor</t>
        </is>
      </c>
      <c r="C180" s="46" t="n"/>
      <c r="D180" s="45" t="inlineStr">
        <is>
          <t>Soft Gelatin Capsule encapsulation</t>
        </is>
      </c>
      <c r="E180" s="45" t="inlineStr">
        <is>
          <t>Microcrystalline cellulose</t>
        </is>
      </c>
      <c r="F180" s="45" t="inlineStr">
        <is>
          <t>Magnesium stearate (Lubricant 1%)</t>
        </is>
      </c>
      <c r="G180" s="45" t="inlineStr">
        <is>
          <t>Sodium starch glycolate (Superdisintegrant)</t>
        </is>
      </c>
      <c r="H180" s="45" t="inlineStr">
        <is>
          <t>Direct Compression tableting method</t>
        </is>
      </c>
      <c r="I180" s="46" t="n">
        <v>4</v>
      </c>
      <c r="J180" s="45" t="inlineStr">
        <is>
          <t>✅ คำตอบที่ถูกต้อง: ข้อ ง.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Powders &amp; Granules)
🔍 ข้ออื่นผิดเพราะอะไร:
• ข้อ ก. (Soft Gelatin Capsule encapsulation):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ข้อนี้ไม่ใช่คำตอบที่ถูกต้องสำหรับภาวะ Powders &amp; Granules เนื่องจากกลไกการออกฤทธิ์, efficacy หรือข้อบ่งใช้ไม่ตรงกับโจทย์ที่กำหนด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(Direct Compression tableting method):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 s="46" t="n"/>
      <c r="L180" s="45" t="inlineStr">
        <is>
          <t>Powders &amp; Granules</t>
        </is>
      </c>
      <c r="M180" s="46" t="inlineStr">
        <is>
          <t>Product</t>
        </is>
      </c>
      <c r="N180" s="45" t="inlineStr">
        <is>
          <t>ข้อ 5 (PLE_CC1_Key_Rx20_UBU.md)</t>
        </is>
      </c>
      <c r="O180" s="46" t="inlineStr">
        <is>
          <t>Mock</t>
        </is>
      </c>
      <c r="P180" s="46" t="inlineStr">
        <is>
          <t>Mock Rx20 UBU</t>
        </is>
      </c>
    </row>
    <row r="181" ht="13.2" customHeight="1" s="37">
      <c r="A181" s="46" t="n">
        <v>179</v>
      </c>
      <c r="B181" s="45" t="inlineStr">
        <is>
          <t>เมื่อเดินสายการผลิตยาเม็ด Enalapril 10 mg พบป[ญหาวGา เม็ดยาที่ตอกออกมาเกิดการแยกฝา (Capping) อยากทราบวGาจะแก$ป[ญหาดังกลGาวได$อยGางไร</t>
        </is>
      </c>
      <c r="C181" s="46" t="n"/>
      <c r="D181" s="45" t="inlineStr">
        <is>
          <t>Sodium starch glycolate (Superdisintegrant)</t>
        </is>
      </c>
      <c r="E181" s="45" t="inlineStr">
        <is>
          <t>Direct Compression tableting method</t>
        </is>
      </c>
      <c r="F181" s="45" t="inlineStr">
        <is>
          <t>Wet Granulation tableting method</t>
        </is>
      </c>
      <c r="G181" s="45" t="inlineStr">
        <is>
          <t>Dry Granulation (Roller Compaction)</t>
        </is>
      </c>
      <c r="H181" s="45" t="inlineStr">
        <is>
          <t>Fluidized Bed Granulation</t>
        </is>
      </c>
      <c r="I181" s="46" t="n">
        <v>1</v>
      </c>
      <c r="J181" s="45"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Defects)
🔍 ข้ออื่นผิดเพราะอะไร:
• ข้อ ข. (Direct Compression tableting method): ข้อนี้ไม่ใช่คำตอบที่ถูกต้องสำหรับภาวะ Tablet Defects เนื่องจากกลไกการออกฤทธิ์, efficacy หรือข้อบ่งใช้ไม่ตรงกับโจทย์ที่กำหนด
• ข้อ ค. (Wet Granulation tableting method): ข้อนี้ไม่ใช่คำตอบที่ถูกต้องสำหรับภาวะ Tablet Defects เนื่องจากกลไกการออกฤทธิ์, efficacy หรือข้อบ่งใช้ไม่ตรงกับโจทย์ที่กำหนด
• ข้อ ง. (Dry Granulation (Roller Compaction)): ข้อนี้ไม่ใช่คำตอบที่ถูกต้องสำหรับภาวะ Tablet Defects เนื่องจากกลไกการออกฤทธิ์, efficacy หรือข้อบ่งใช้ไม่ตรงกับโจทย์ที่กำหนด
• ข้อ จ. (Fluidized Bed Granulation):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1" s="46" t="n"/>
      <c r="L181" s="45" t="inlineStr">
        <is>
          <t>Tablet Defects</t>
        </is>
      </c>
      <c r="M181" s="46" t="inlineStr">
        <is>
          <t>Product</t>
        </is>
      </c>
      <c r="N181" s="45" t="inlineStr">
        <is>
          <t>ข้อ 37 (PLE_CC1_Key_Rx20_UBU.md)</t>
        </is>
      </c>
      <c r="O181" s="46" t="inlineStr">
        <is>
          <t>Mock</t>
        </is>
      </c>
      <c r="P181" s="46" t="inlineStr">
        <is>
          <t>Mock Rx20 UBU</t>
        </is>
      </c>
    </row>
    <row r="182" ht="13.2" customHeight="1" s="37">
      <c r="A182" s="46" t="n">
        <v>180</v>
      </c>
      <c r="B182" s="45" t="inlineStr">
        <is>
          <t>ลดปริมาณ Binder ในตำรับ</t>
        </is>
      </c>
      <c r="C182" s="46" t="n"/>
      <c r="D182" s="45" t="inlineStr">
        <is>
          <t>Dry Granulation (Roller Compaction)</t>
        </is>
      </c>
      <c r="E182" s="45" t="inlineStr">
        <is>
          <t>Fluidized Bed Granulation</t>
        </is>
      </c>
      <c r="F182" s="45" t="inlineStr">
        <is>
          <t>Film Coating with Hydroxypropyl methylcellulose (HPMC)</t>
        </is>
      </c>
      <c r="G182" s="45" t="inlineStr">
        <is>
          <t>Enteric Coating with Cellulose acetate phthalate (CAP)</t>
        </is>
      </c>
      <c r="H182" s="45" t="inlineStr">
        <is>
          <t>Hard Gelatin Capsule filling</t>
        </is>
      </c>
      <c r="I182" s="46" t="n">
        <v>1</v>
      </c>
      <c r="J182" s="45"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2" s="46" t="n"/>
      <c r="L182" s="45" t="inlineStr">
        <is>
          <t>Tablet Manufacturing</t>
        </is>
      </c>
      <c r="M182" s="46" t="inlineStr">
        <is>
          <t>Product</t>
        </is>
      </c>
      <c r="N182" s="45" t="inlineStr">
        <is>
          <t>ข้อ 2 (PLE_CC1_Key_Rx20_UBU.md)</t>
        </is>
      </c>
      <c r="O182" s="46" t="inlineStr">
        <is>
          <t>Mock</t>
        </is>
      </c>
      <c r="P182" s="46" t="inlineStr">
        <is>
          <t>Mock Rx20 UBU</t>
        </is>
      </c>
    </row>
    <row r="183" ht="13.2" customHeight="1" s="37">
      <c r="A183" s="46" t="n">
        <v>181</v>
      </c>
      <c r="B183" s="45" t="inlineStr">
        <is>
          <t>Magnesium stearate เปญนสาร....</t>
        </is>
      </c>
      <c r="C183" s="46" t="n"/>
      <c r="D183" s="45" t="inlineStr">
        <is>
          <t>Enteric Coating with Cellulose acetate phthalate (CAP)</t>
        </is>
      </c>
      <c r="E183" s="45" t="inlineStr">
        <is>
          <t>Hard Gelatin Capsule filling</t>
        </is>
      </c>
      <c r="F183" s="45" t="inlineStr">
        <is>
          <t>Soft Gelatin Capsule encapsulation</t>
        </is>
      </c>
      <c r="G183" s="45" t="inlineStr">
        <is>
          <t>Microcrystalline cellulose</t>
        </is>
      </c>
      <c r="H183" s="45" t="inlineStr">
        <is>
          <t>Magnesium stearate (Lubricant 1%)</t>
        </is>
      </c>
      <c r="I183" s="46" t="n">
        <v>1</v>
      </c>
      <c r="J183"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 s="46" t="n"/>
      <c r="L183" s="45" t="inlineStr">
        <is>
          <t>Tablet Manufacturing</t>
        </is>
      </c>
      <c r="M183" s="46" t="inlineStr">
        <is>
          <t>Product</t>
        </is>
      </c>
      <c r="N183" s="45" t="inlineStr">
        <is>
          <t>ข้อ 4 (PLE_CC1_Key_Rx20_UBU.md)</t>
        </is>
      </c>
      <c r="O183" s="46" t="inlineStr">
        <is>
          <t>Mock</t>
        </is>
      </c>
      <c r="P183" s="46" t="inlineStr">
        <is>
          <t>Mock Rx20 UBU</t>
        </is>
      </c>
    </row>
    <row r="184" ht="13.2" customHeight="1" s="37">
      <c r="A184" s="46" t="n">
        <v>182</v>
      </c>
      <c r="B184" s="45" t="inlineStr">
        <is>
          <t>ยาเม็ด calcium carbonate เกิด capping ข้อใดไม่ใช่วิธีแก้ปัญหาดังกล่าว</t>
        </is>
      </c>
      <c r="C184" s="46" t="n"/>
      <c r="D184" s="45" t="inlineStr">
        <is>
          <t>Microcrystalline cellulose</t>
        </is>
      </c>
      <c r="E184" s="45" t="inlineStr">
        <is>
          <t>Magnesium stearate (Lubricant 1%)</t>
        </is>
      </c>
      <c r="F184" s="45" t="inlineStr">
        <is>
          <t>Sodium starch glycolate (Superdisintegrant)</t>
        </is>
      </c>
      <c r="G184" s="45" t="inlineStr">
        <is>
          <t>Direct Compression tableting method</t>
        </is>
      </c>
      <c r="H184" s="45" t="inlineStr">
        <is>
          <t>Wet Granulation tableting method</t>
        </is>
      </c>
      <c r="I184" s="46" t="n">
        <v>1</v>
      </c>
      <c r="J184" s="45" t="inlineStr">
        <is>
          <t>✅ คำตอบที่ถูกต้อง: ข้อ ก. Microcrystalline cellulose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Defects โดยมี clinical efficacy สูงสุดในการรักษาและมี safety profile ที่เหมาะสม
USP/NF, British Pharmacopoeia (BP) และ Remington: The Science and Practice of Pharmacy (หัวข้อ Tablet Defects)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Defects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4" s="46" t="n"/>
      <c r="L184" s="45" t="inlineStr">
        <is>
          <t>Tablet Defects</t>
        </is>
      </c>
      <c r="M184" s="46" t="inlineStr">
        <is>
          <t>Product</t>
        </is>
      </c>
      <c r="N184" s="45" t="inlineStr">
        <is>
          <t>ข้อ 6 (PLE_CC1_Key_Rx20_UBU.md)</t>
        </is>
      </c>
      <c r="O184" s="46" t="inlineStr">
        <is>
          <t>Mock</t>
        </is>
      </c>
      <c r="P184" s="46" t="inlineStr">
        <is>
          <t>Mock Rx20 UBU</t>
        </is>
      </c>
    </row>
    <row r="185" ht="13.2" customHeight="1" s="37">
      <c r="A185" s="46" t="n">
        <v>183</v>
      </c>
      <c r="B185" s="45" t="inlineStr">
        <is>
          <t>Acyclovir tablet ก็ให้ยาฆ่าเชื้อแบคทีเรีย</t>
        </is>
      </c>
      <c r="C185" s="46" t="n"/>
      <c r="D185" s="45" t="inlineStr">
        <is>
          <t>Direct Compression tableting method</t>
        </is>
      </c>
      <c r="E185" s="45" t="inlineStr">
        <is>
          <t>Wet Granulation tableting method</t>
        </is>
      </c>
      <c r="F185" s="45" t="inlineStr">
        <is>
          <t>Dry Granulation (Roller Compaction)</t>
        </is>
      </c>
      <c r="G185" s="45" t="inlineStr">
        <is>
          <t>Fluidized Bed Granulation</t>
        </is>
      </c>
      <c r="H185" s="45" t="inlineStr">
        <is>
          <t>Film Coating with Hydroxypropyl methylcellulose (HPMC)</t>
        </is>
      </c>
      <c r="I185" s="46" t="n">
        <v>2</v>
      </c>
      <c r="J185" s="45" t="inlineStr">
        <is>
          <t>✅ คำตอบที่ถูกต้อง: ข้อ ข.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5" s="46" t="n"/>
      <c r="L185" s="45" t="inlineStr">
        <is>
          <t>Tablet Manufacturing</t>
        </is>
      </c>
      <c r="M185" s="46" t="inlineStr">
        <is>
          <t>Product</t>
        </is>
      </c>
      <c r="N185" s="45" t="inlineStr">
        <is>
          <t>ข้อ 5 (PLE_CC1_Key_Rx20_UBU.md)</t>
        </is>
      </c>
      <c r="O185" s="46" t="inlineStr">
        <is>
          <t>Mock</t>
        </is>
      </c>
      <c r="P185" s="46" t="inlineStr">
        <is>
          <t>Mock Rx20 UBU</t>
        </is>
      </c>
    </row>
    <row r="186" ht="13.2" customHeight="1" s="37">
      <c r="A186" s="46" t="n">
        <v>184</v>
      </c>
      <c r="B186" s="45" t="inlineStr">
        <is>
          <t>การวิเคราะห์ที่ไม่ต้องทำในการวิเคราะห์วัตถุดิบ XXX Tablet</t>
        </is>
      </c>
      <c r="C186" s="46" t="n"/>
      <c r="D186" s="45" t="inlineStr">
        <is>
          <t>Fluidized Bed Granulation</t>
        </is>
      </c>
      <c r="E186" s="45" t="inlineStr">
        <is>
          <t>Film Coating with Hydroxypropyl methylcellulose (HPMC)</t>
        </is>
      </c>
      <c r="F186" s="45" t="inlineStr">
        <is>
          <t>Enteric Coating with Cellulose acetate phthalate (CAP)</t>
        </is>
      </c>
      <c r="G186" s="45" t="inlineStr">
        <is>
          <t>Hard Gelatin Capsule filling</t>
        </is>
      </c>
      <c r="H186" s="45" t="inlineStr">
        <is>
          <t>Soft Gelatin Capsule encapsulation</t>
        </is>
      </c>
      <c r="I186" s="46" t="n">
        <v>1</v>
      </c>
      <c r="J186" s="45" t="inlineStr">
        <is>
          <t>✅ คำตอบที่ถูกต้อง: ข้อ ก. Fluidized Bed Granulation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จ.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6" s="46" t="n"/>
      <c r="L186" s="45" t="inlineStr">
        <is>
          <t>Tablet Manufacturing</t>
        </is>
      </c>
      <c r="M186" s="46" t="inlineStr">
        <is>
          <t>Product</t>
        </is>
      </c>
      <c r="N186" s="45" t="inlineStr">
        <is>
          <t>ข้อ 3 (PLE_CC1_Key_Rx20_UBU.md)</t>
        </is>
      </c>
      <c r="O186" s="46" t="inlineStr">
        <is>
          <t>Mock</t>
        </is>
      </c>
      <c r="P186" s="46" t="inlineStr">
        <is>
          <t>Mock Rx20 UBU</t>
        </is>
      </c>
    </row>
    <row r="187" ht="13.2" customHeight="1" s="37">
      <c r="A187" s="46" t="n">
        <v>185</v>
      </c>
      <c r="B187" s="45" t="inlineStr">
        <is>
          <t>ในการผลิต Azithromycin สามารถใช้สารใดเป็น Superdisintegrant</t>
        </is>
      </c>
      <c r="C187" s="46" t="n"/>
      <c r="D187" s="45" t="inlineStr">
        <is>
          <t>Pregelatinized starch</t>
        </is>
      </c>
      <c r="E187" s="45" t="inlineStr">
        <is>
          <t>Sodium lauryl sulfate</t>
        </is>
      </c>
      <c r="F187" s="45" t="inlineStr">
        <is>
          <t>Croscarmellose sodium</t>
        </is>
      </c>
      <c r="G187" s="45" t="inlineStr">
        <is>
          <t>HPMC</t>
        </is>
      </c>
      <c r="H187" s="45" t="inlineStr">
        <is>
          <t>Lactose</t>
        </is>
      </c>
      <c r="I187" s="46" t="n">
        <v>3</v>
      </c>
      <c r="J187" s="45" t="inlineStr">
        <is>
          <t>✅ คำตอบที่ถูกต้อง: ข้อ ค.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ก. (Pregelatinized starch): ข้อนี้ไม่ใช่คำตอบที่ถูกต้องสำหรับภาวะ Tablet Manufacturing เนื่องจากกลไกการออกฤทธิ์, efficacy หรือข้อบ่งใช้ไม่ตรงกับโจทย์ที่กำหนด
• ข้อ ข. (Sodium lauryl sulfate): ข้อนี้ไม่ใช่คำตอบที่ถูกต้องสำหรับภาวะ Tablet Manufacturing เนื่องจากกลไกการออกฤทธิ์, efficacy หรือข้อบ่งใช้ไม่ตรงกับโจทย์ที่กำหนด
• ข้อ ง. (HPMC): เป็น Hydroxypropyl methylcellulose ใช้เป็น Film coating polymer ที่ละลายในกระเพาะอาหาร และใช้เป็น Hydrophilic matrix สำหรับ sustained release tablets
• ข้อ จ.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7" s="46" t="n"/>
      <c r="L187" s="45" t="inlineStr">
        <is>
          <t>Tablet Manufacturing</t>
        </is>
      </c>
      <c r="M187" s="46" t="inlineStr">
        <is>
          <t>Product</t>
        </is>
      </c>
      <c r="N187" s="45" t="inlineStr">
        <is>
          <t>ข้อ 26 (PLE_CC1_Key_Rx20_UBU.md)</t>
        </is>
      </c>
      <c r="O187" s="46" t="inlineStr">
        <is>
          <t>Mock</t>
        </is>
      </c>
      <c r="P187" s="46" t="inlineStr">
        <is>
          <t>Mock Rx20 UBU</t>
        </is>
      </c>
    </row>
    <row r="188" ht="13.2" customHeight="1" s="37">
      <c r="A188" s="46" t="n">
        <v>186</v>
      </c>
      <c r="B188" s="45" t="inlineStr">
        <is>
          <t>การผสม Magnesium stearate กับ granule ในขั้นตอนสุดท้าย ใช้เครื่องมือใด</t>
        </is>
      </c>
      <c r="C188" s="46" t="n"/>
      <c r="D188" s="45" t="inlineStr">
        <is>
          <t>High speed mixer</t>
        </is>
      </c>
      <c r="E188" s="45" t="inlineStr">
        <is>
          <t>Planetary mixer</t>
        </is>
      </c>
      <c r="F188" s="45" t="inlineStr">
        <is>
          <t>Sigma blade mixer</t>
        </is>
      </c>
      <c r="G188" s="45" t="inlineStr">
        <is>
          <t>Double-cone mixer</t>
        </is>
      </c>
      <c r="H188" s="45" t="inlineStr">
        <is>
          <t>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t>
        </is>
      </c>
      <c r="I188" s="46" t="n">
        <v>2</v>
      </c>
      <c r="J188" s="45" t="inlineStr">
        <is>
          <t>✅ คำตอบที่ถูกต้อง: ข้อ ข. Planetary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Planetary mixer 💡 คำอธิบายและเหตุผลทางเภสัชกรรม:
💡 คำอธิบายและเหตุผลทางเภสัชกรรม:
การเลือก Planetary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(High speed mixer): ข้อนี้ไม่ใช่คำตอบที่ถูกต้องสำหรับภาวะ Powders &amp; Granules เนื่องจากกลไกการออกฤทธิ์, efficacy หรือข้อบ่งใช้ไม่ตรงกับโจทย์ที่กำหนด
• ข้อ ค. (Sigma blade mixer): ข้อนี้ไม่ใช่คำตอบที่ถูกต้องสำหรับภาวะ Powders &amp; Granules เนื่องจากกลไกการออกฤทธิ์, efficacy หรือข้อบ่งใช้ไม่ตรงกับโจทย์ที่กำหนด
• ข้อ ง. (Double-cone mixer): ข้อนี้ไม่ใช่คำตอบที่ถูกต้องสำหรับภาวะ Powders &amp; Granules เนื่องจากกลไกการออกฤทธิ์, efficacy หรือข้อบ่งใช้ไม่ตรงกับโจทย์ที่กำหนด
• ข้อ จ. (Roller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 เป็น Thiazide diuretic ลด plasma volume แต่อาจทำให้เกิด hypokalemia, hyponatremia, hyperuricemia และ hyperglycemia และ efficacy ลดลงมากเมื่อ eGFR &lt; 30 mL/min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8" s="46" t="n"/>
      <c r="L188" s="45" t="inlineStr">
        <is>
          <t>Powders &amp; Granules</t>
        </is>
      </c>
      <c r="M188" s="46" t="inlineStr">
        <is>
          <t>Product</t>
        </is>
      </c>
      <c r="N188" s="45" t="inlineStr">
        <is>
          <t>ข้อ 37 (PLE_CC1_Key_Rx20_UBU.md)</t>
        </is>
      </c>
      <c r="O188" s="46" t="inlineStr">
        <is>
          <t>Mock</t>
        </is>
      </c>
      <c r="P188" s="46" t="inlineStr">
        <is>
          <t>Mock Rx20 UBU</t>
        </is>
      </c>
    </row>
    <row r="189" ht="13.2" customHeight="1" s="37">
      <c r="A189" s="46" t="n">
        <v>187</v>
      </c>
      <c r="B189" s="45" t="inlineStr">
        <is>
          <t>เพราะเหตุใด Omeprazole จึงต้องทำเป็น Enteric-coated tablet</t>
        </is>
      </c>
      <c r="C189" s="46" t="n"/>
      <c r="D189" s="45" t="inlineStr">
        <is>
          <t>Acid labile</t>
        </is>
      </c>
      <c r="E189" s="45" t="inlineStr">
        <is>
          <t>Heat labile</t>
        </is>
      </c>
      <c r="F189" s="45" t="inlineStr">
        <is>
          <t>high molecular weight</t>
        </is>
      </c>
      <c r="G189" s="45" t="inlineStr">
        <is>
          <t>short half-life</t>
        </is>
      </c>
      <c r="H189" s="45" t="inlineStr">
        <is>
          <t>lipophilicity</t>
        </is>
      </c>
      <c r="I189" s="46" t="n">
        <v>1</v>
      </c>
      <c r="J189" s="45" t="inlineStr">
        <is>
          <t>✅ คำตอบที่ถูกต้อง: ข้อ ก. Acid labile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Acid labile 💡 คำอธิบายและเหตุผลทางเภสัชกรรม:
💡 คำอธิบายและเหตุผลทางเภสัชกรรม:
การเลือก Acid labile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(Heat labile): ข้อนี้ไม่ใช่คำตอบที่ถูกต้องสำหรับภาวะ Tablet Coating เนื่องจากกลไกการออกฤทธิ์, efficacy หรือข้อบ่งใช้ไม่ตรงกับโจทย์ที่กำหนด
• ข้อ ค. (high molecular weight): ข้อนี้ไม่ใช่คำตอบที่ถูกต้องสำหรับภาวะ Tablet Coating เนื่องจากกลไกการออกฤทธิ์, efficacy หรือข้อบ่งใช้ไม่ตรงกับโจทย์ที่กำหนด
• ข้อ ง. (short half-life): ข้อนี้ไม่ใช่คำตอบที่ถูกต้องสำหรับภาวะ Tablet Coating เนื่องจากกลไกการออกฤทธิ์, efficacy หรือข้อบ่งใช้ไม่ตรงกับโจทย์ที่กำหนด
• ข้อ จ. (lipophilicity):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9" s="46" t="n"/>
      <c r="L189" s="45" t="inlineStr">
        <is>
          <t>Tablet Coating</t>
        </is>
      </c>
      <c r="M189" s="46" t="inlineStr">
        <is>
          <t>Product</t>
        </is>
      </c>
      <c r="N189" s="45" t="inlineStr">
        <is>
          <t>ข้อ 51 (PLE_CC1_Key_Rx20_UBU.md)</t>
        </is>
      </c>
      <c r="O189" s="46" t="inlineStr">
        <is>
          <t>Mock</t>
        </is>
      </c>
      <c r="P189" s="46" t="inlineStr">
        <is>
          <t>Mock Rx20 UBU</t>
        </is>
      </c>
    </row>
    <row r="190" ht="13.2" customHeight="1" s="37">
      <c r="A190" s="46" t="n">
        <v>188</v>
      </c>
      <c r="B190" s="45" t="inlineStr">
        <is>
          <t>Metformin 500 mg tablet มีปัญหาน้ำหนักเม็ดยาไม่สม่ำเสมอแก้ปัญหาได้โดยวิธีเติมสารใด</t>
        </is>
      </c>
      <c r="C190" s="46" t="n"/>
      <c r="D190" s="45" t="inlineStr">
        <is>
          <t>Colloidal silicon dioxide + Talcum</t>
        </is>
      </c>
      <c r="E190" s="45" t="inlineStr">
        <is>
          <t>Lactose + Corn starch</t>
        </is>
      </c>
      <c r="F190" s="45" t="inlineStr">
        <is>
          <t>Sodium starch glycolate + …</t>
        </is>
      </c>
      <c r="G190" s="45" t="inlineStr">
        <is>
          <t>Magnesium stearte + Lactose</t>
        </is>
      </c>
      <c r="H190" s="45" t="inlineStr">
        <is>
          <t>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t>
        </is>
      </c>
      <c r="I190" s="46" t="n">
        <v>3</v>
      </c>
      <c r="J190" s="45" t="inlineStr">
        <is>
          <t>✅ คำตอบที่ถูกต้อง: ข้อ ค. Sodium starch glycolate +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 … 💡 คำอธิบายและเหตุผลทางเภสัชกรรม:
💡 คำอธิบายและเหตุผลทางเภสัชกรรม:
เป็น amphoteric ถ้าเกิด hydrolysis ไปแล้วจะ COOH แล้วก็ตอนแตกตัวจะได้ประจุ - 2 ที่ แล้วก็มี NH 2 ที่ ผู้ป่วยหญิงคู่ มีอาการตกขาว ไม่มีกลิ่น ไม่มีฟอง มีอาการคันมาก เป็นมา 4 ครั้งในหนึ่งปี ใช้ clotrimazole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ก. (Colloidal silicon dioxide + Talcum): เป็น Glidant และ Lubricant เสริม แต่มีคุณสมบัติ hydrophobic ต้องควบคุมปริมาณให้เหมาะสม (มักใช้ 1-5%)
• ข้อ ข. (Lactose + Corn starch): เป็น Diluent / Filler ยอดนิยม ละลายน้ำได้ดี ให้ mouthfeel ที่ดี แต่เกิด Maillard reaction (เม็ดยาเปลี่ยนเป็นสีน้ำตาล) เมื่อผสมกับ primary amine drugs
• ข้อ ง. (Magnesium stearte + Lactose): เป็น Diluent / Filler ยอดนิยม ละลายน้ำได้ดี ให้ mouthfeel ที่ดี แต่เกิด Maillard reaction (เม็ดยาเปลี่ยนเป็นสีน้ำตาล) เมื่อผสมกับ primary amine drugs
• ข้อ จ. (Crosslinked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0" s="46" t="n"/>
      <c r="L190" s="45" t="inlineStr">
        <is>
          <t>Tablet Manufacturing</t>
        </is>
      </c>
      <c r="M190" s="46" t="inlineStr">
        <is>
          <t>Product</t>
        </is>
      </c>
      <c r="N190" s="45" t="inlineStr">
        <is>
          <t>ข้อ 25 (PLE_CC1_Key_Rx20_UBU.md)</t>
        </is>
      </c>
      <c r="O190" s="46" t="inlineStr">
        <is>
          <t>Mock</t>
        </is>
      </c>
      <c r="P190" s="46" t="inlineStr">
        <is>
          <t>Mock Rx20 UBU</t>
        </is>
      </c>
    </row>
    <row r="191" ht="13.2" customHeight="1" s="37">
      <c r="A191" s="46" t="n">
        <v>189</v>
      </c>
      <c r="B191" s="45" t="inlineStr">
        <is>
          <t>dosage form ของ clotrimazole vaginal tablet สามารถเรียกอีกชื่อหนึ่งได้ว่าอะไร</t>
        </is>
      </c>
      <c r="C191" s="46" t="n"/>
      <c r="D191" s="45" t="inlineStr">
        <is>
          <t>lozenges</t>
        </is>
      </c>
      <c r="E191" s="45" t="inlineStr">
        <is>
          <t>troches</t>
        </is>
      </c>
      <c r="F191" s="45" t="inlineStr">
        <is>
          <t>pessaries</t>
        </is>
      </c>
      <c r="G191" s="45" t="inlineStr">
        <is>
          <t>enemas</t>
        </is>
      </c>
      <c r="H191" s="45" t="inlineStr">
        <is>
          <t>pills</t>
        </is>
      </c>
      <c r="I191" s="46" t="n">
        <v>3</v>
      </c>
      <c r="J191" s="45" t="inlineStr">
        <is>
          <t>✅ คำตอบที่ถูกต้อง: ข้อ ค. pessaries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pessaries 💡 คำอธิบายและเหตุผลทางเภสัชกรรม:
💡 คำอธิบายและเหตุผลทางเภสัชกรรม:
การเลือก pessaries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(lozenges): ข้อนี้ไม่ใช่คำตอบที่ถูกต้องสำหรับภาวะ Tablet Manufacturing เนื่องจากกลไกการออกฤทธิ์, efficacy หรือข้อบ่งใช้ไม่ตรงกับโจทย์ที่กำหนด
• ข้อ ข. (troches): ข้อนี้ไม่ใช่คำตอบที่ถูกต้องสำหรับภาวะ Tablet Manufacturing เนื่องจากกลไกการออกฤทธิ์, efficacy หรือข้อบ่งใช้ไม่ตรงกับโจทย์ที่กำหนด
• ข้อ ง. (enemas): ข้อนี้ไม่ใช่คำตอบที่ถูกต้องสำหรับภาวะ Tablet Manufacturing เนื่องจากกลไกการออกฤทธิ์, efficacy หรือข้อบ่งใช้ไม่ตรงกับโจทย์ที่กำหนด
• ข้อ จ. (pills):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1" s="46" t="n"/>
      <c r="L191" s="45" t="inlineStr">
        <is>
          <t>Tablet Manufacturing</t>
        </is>
      </c>
      <c r="M191" s="46" t="inlineStr">
        <is>
          <t>Product</t>
        </is>
      </c>
      <c r="N191" s="45" t="inlineStr">
        <is>
          <t>ข้อ 34 (PLE_CC1_Key_Rx20_UBU.md)</t>
        </is>
      </c>
      <c r="O191" s="46" t="inlineStr">
        <is>
          <t>Mock</t>
        </is>
      </c>
      <c r="P191" s="46" t="inlineStr">
        <is>
          <t>Mock Rx20 UBU</t>
        </is>
      </c>
    </row>
    <row r="192" ht="13.2" customHeight="1" s="37">
      <c r="A192" s="46" t="n">
        <v>190</v>
      </c>
      <c r="B192" s="45" t="inlineStr">
        <is>
          <t>ให้สูตรตำรับ Finasteride 5 mg tablet Finasteride 5 mg tablet Finasteride Spray dried Lactose Talcum Magnesium stearate Film coating solution HPMC, PVP, Talc, Water หากพบว่า film ร่อนหลุดออกจากเม็ดได้ง่าย น่าจะเกิดจากสาเหตุใด</t>
        </is>
      </c>
      <c r="C192" s="46" t="n"/>
      <c r="D192" s="45" t="inlineStr">
        <is>
          <t>เม็ดยามีความ Hydrophobic มากเกินไป</t>
        </is>
      </c>
      <c r="E192" s="45" t="inlineStr">
        <is>
          <t>ตำรับฟิล์มขาด Plasticizer</t>
        </is>
      </c>
      <c r="F192" s="45" t="inlineStr">
        <is>
          <t>ตำรับฟิล์มขาด Anti-tacking agent</t>
        </is>
      </c>
      <c r="G192" s="45" t="inlineStr">
        <is>
          <t>ความเข้มข้นของตำรับฟิล์มน้อยเกินไป</t>
        </is>
      </c>
      <c r="H192" s="45" t="inlineStr">
        <is>
          <t>เม็ดยาชื้นเกินไป การเตรียมฟิล์มเคลือบยา ส่วนประกอบสำคัญให้น้ำยาเคลือบดี ไม่ขาดร่อนคือการใส่ plasticizer</t>
        </is>
      </c>
      <c r="I192" s="46" t="n">
        <v>2</v>
      </c>
      <c r="J192" s="45" t="inlineStr">
        <is>
          <t>✅ คำตอบที่ถูกต้อง: ข้อ ข. ตำรับฟิล์มขาด Plasticizer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ตำรับฟิล์มขาด Plasticizer 💡 คำอธิบายและเหตุผลทางเภสัชกรรม:
💡 คำอธิบายและเหตุผลทางเภสัชกรรม:
เพื่อให้น้ำยายืดหยุ่นพอจะคลุมยาได้ทั้งเม็ด ตัวอย่างเช่น PEG, PG, Castor oil, Dibutyl sebacate เป็นต้น
USP/NF, British Pharmacopoeia (BP) และ Remington: The Science and Practice of Pharmacy (หัวข้อ Tablet Coating)
🔍 ข้ออื่นผิดเพราะอะไร:
• ข้อ ก. (เม็ดยามีความ Hydrophobic มากเกินไป): ข้อนี้ไม่ใช่คำตอบที่ถูกต้องสำหรับภาวะ Tablet Coating เนื่องจากกลไกการออกฤทธิ์, efficacy หรือข้อบ่งใช้ไม่ตรงกับโจทย์ที่กำหนด
• ข้อ ค. (ตำรับฟิล์มขาด Anti-tacking agent): ข้อนี้ไม่ใช่คำตอบที่ถูกต้องสำหรับภาวะ Tablet Coating เนื่องจากกลไกการออกฤทธิ์, efficacy หรือข้อบ่งใช้ไม่ตรงกับโจทย์ที่กำหนด
• ข้อ ง. (ความเข้มข้นของตำรับฟิล์มน้อยเกินไป): ข้อนี้ไม่ใช่คำตอบที่ถูกต้องสำหรับภาวะ Tablet Coating เนื่องจากกลไกการออกฤทธิ์, efficacy หรือข้อบ่งใช้ไม่ตรงกับโจทย์ที่กำหนด
• ข้อ จ. (เม็ดยาชื้นเกินไป การเตรียมฟิล์มเคลือบยา ส่วนประกอบสำคัญให้น้ำยาเคลือบดี ไม่ขาดร่อนคือการใส่ plasticizer):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 s="46" t="n"/>
      <c r="L192" s="45" t="inlineStr">
        <is>
          <t>Tablet Coating</t>
        </is>
      </c>
      <c r="M192" s="46" t="inlineStr">
        <is>
          <t>Product</t>
        </is>
      </c>
      <c r="N192" s="45" t="inlineStr">
        <is>
          <t>ข้อ 70 (PLE_CC1_Key_Rx20_UBU.md)</t>
        </is>
      </c>
      <c r="O192" s="46" t="inlineStr">
        <is>
          <t>Mock</t>
        </is>
      </c>
      <c r="P192" s="46" t="inlineStr">
        <is>
          <t>Mock Rx20 UBU</t>
        </is>
      </c>
    </row>
    <row r="193" ht="13.2" customHeight="1" s="37">
      <c r="A193" s="46" t="n">
        <v>191</v>
      </c>
      <c r="B193" s="45" t="inlineStr">
        <is>
          <t>Magnesium stearate ทำหน้าที่อะไร</t>
        </is>
      </c>
      <c r="C193" s="46" t="n"/>
      <c r="D193" s="45" t="inlineStr">
        <is>
          <t>เพิ่มมวลของเม็ดยา</t>
        </is>
      </c>
      <c r="E193" s="45" t="inlineStr">
        <is>
          <t>ทำให้เม็ดยาแข็งขึ้น</t>
        </is>
      </c>
      <c r="F193" s="45" t="inlineStr">
        <is>
          <t>ทำให้เม็ดยาเกาะกันได้ดีขึ้น</t>
        </is>
      </c>
      <c r="G193" s="45" t="inlineStr">
        <is>
          <t>ช่วยทำให้เม็ดยามีความแข็งมากขึ้น</t>
        </is>
      </c>
      <c r="H193" s="45" t="inlineStr">
        <is>
          <t>ทำให้ไม่ติด punch-die</t>
        </is>
      </c>
      <c r="I193" s="46" t="n">
        <v>5</v>
      </c>
      <c r="J193" s="45" t="inlineStr">
        <is>
          <t>✅ คำตอบที่ถูกต้อง: ข้อ จ. ทำให้ไม่ติด punch-die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ทำให้ไม่ติด punch-die 💡 คำอธิบายและเหตุผลทางเภสัชกรรม:
💡 คำอธิบายและเหตุผลทางเภสัชกรรม:
การเลือก ทำให้ไม่ติด punch-die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(เพิ่มมวลของเม็ดยา): ข้อนี้ไม่ใช่คำตอบที่ถูกต้องสำหรับภาวะ Tablet Manufacturing เนื่องจากกลไกการออกฤทธิ์, efficacy หรือข้อบ่งใช้ไม่ตรงกับโจทย์ที่กำหนด
• ข้อ ข. (ทำให้เม็ดยาแข็งขึ้น): ข้อนี้ไม่ใช่คำตอบที่ถูกต้องสำหรับภาวะ Tablet Manufacturing เนื่องจากกลไกการออกฤทธิ์, efficacy หรือข้อบ่งใช้ไม่ตรงกับโจทย์ที่กำหนด
• ข้อ ค. (ทำให้เม็ดยาเกาะกันได้ดีขึ้น): ข้อนี้ไม่ใช่คำตอบที่ถูกต้องสำหรับภาวะ Tablet Manufacturing เนื่องจากกลไกการออกฤทธิ์, efficacy หรือข้อบ่งใช้ไม่ตรงกับโจทย์ที่กำหนด
• ข้อ ง. (ช่วยทำให้เม็ดยามีความแข็งมากขึ้น):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3" s="46" t="n"/>
      <c r="L193" s="45" t="inlineStr">
        <is>
          <t>Tablet Manufacturing</t>
        </is>
      </c>
      <c r="M193" s="46" t="inlineStr">
        <is>
          <t>Product</t>
        </is>
      </c>
      <c r="N193" s="45" t="inlineStr">
        <is>
          <t>ข้อ 88 (PLE_CC1_Key_Rx20_UBU.md)</t>
        </is>
      </c>
      <c r="O193" s="46" t="inlineStr">
        <is>
          <t>Mock</t>
        </is>
      </c>
      <c r="P193" s="46" t="inlineStr">
        <is>
          <t>Mock Rx20 UBU</t>
        </is>
      </c>
    </row>
    <row r="194" ht="13.2" customHeight="1" s="37">
      <c r="A194" s="46" t="n">
        <v>192</v>
      </c>
      <c r="B194" s="45" t="inlineStr">
        <is>
          <t>ยาเม็ดสีฟ้าขาว แบ่งจากบริษัท A บรรจุใส่กระปุก 3 กระปุก โดยติดฉลากใหม่ว่า “พอนสะแตน”</t>
        </is>
      </c>
      <c r="C194" s="46" t="n"/>
      <c r="D194" s="45" t="inlineStr">
        <is>
          <t>Enteric Coating with Cellulose acetate phthalate (CAP)</t>
        </is>
      </c>
      <c r="E194" s="45" t="inlineStr">
        <is>
          <t>Hard Gelatin Capsule filling</t>
        </is>
      </c>
      <c r="F194" s="45" t="inlineStr">
        <is>
          <t>Soft Gelatin Capsule encapsulation</t>
        </is>
      </c>
      <c r="G194" s="45" t="inlineStr">
        <is>
          <t>Microcrystalline cellulose</t>
        </is>
      </c>
      <c r="H194" s="45" t="inlineStr">
        <is>
          <t>Magnesium stearate (Lubricant 1%)</t>
        </is>
      </c>
      <c r="I194" s="46" t="n">
        <v>1</v>
      </c>
      <c r="J194" s="45"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ค.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ง.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4" s="46" t="n"/>
      <c r="L194" s="45" t="inlineStr">
        <is>
          <t>Tablet Manufacturing</t>
        </is>
      </c>
      <c r="M194" s="46" t="inlineStr">
        <is>
          <t>Product</t>
        </is>
      </c>
      <c r="N194" s="45" t="inlineStr">
        <is>
          <t>ข้อ 2 (PLE_CC1_Key_Rx20_UBU.md)</t>
        </is>
      </c>
      <c r="O194" s="46" t="inlineStr">
        <is>
          <t>Mock</t>
        </is>
      </c>
      <c r="P194" s="46" t="inlineStr">
        <is>
          <t>Mock Rx20 UBU</t>
        </is>
      </c>
    </row>
    <row r="195" ht="13.2" customHeight="1" s="37">
      <c r="A195" s="46" t="n">
        <v>193</v>
      </c>
      <c r="B195" s="45" t="inlineStr">
        <is>
          <t>ยาเม็ดกลมสีเหลือง และเม็ดกลมสีขาว จัดเป็นชุดใส่ซอง เตรียมไว้ล่วงหน้า เขียนฉลากว่า แก้ปวด จำนวน 36 ซอง</t>
        </is>
      </c>
      <c r="C195" s="46" t="n"/>
      <c r="D195" s="45" t="inlineStr">
        <is>
          <t>Microcrystalline cellulose</t>
        </is>
      </c>
      <c r="E195" s="45" t="inlineStr">
        <is>
          <t>Magnesium stearate (Lubricant 1%)</t>
        </is>
      </c>
      <c r="F195" s="45" t="inlineStr">
        <is>
          <t>Sodium starch glycolate (Superdisintegrant)</t>
        </is>
      </c>
      <c r="G195" s="45" t="inlineStr">
        <is>
          <t>Direct Compression tableting method</t>
        </is>
      </c>
      <c r="H195" s="45" t="inlineStr">
        <is>
          <t>Wet Granulation tableting method</t>
        </is>
      </c>
      <c r="I195" s="46" t="n">
        <v>1</v>
      </c>
      <c r="J195" s="45"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จ.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5" s="46" t="n"/>
      <c r="L195" s="45" t="inlineStr">
        <is>
          <t>Tablet Manufacturing</t>
        </is>
      </c>
      <c r="M195" s="46" t="inlineStr">
        <is>
          <t>Product</t>
        </is>
      </c>
      <c r="N195" s="45" t="inlineStr">
        <is>
          <t>ข้อ 3 (PLE_CC1_Key_Rx20_UBU.md)</t>
        </is>
      </c>
      <c r="O195" s="46" t="inlineStr">
        <is>
          <t>Mock</t>
        </is>
      </c>
      <c r="P195" s="46" t="inlineStr">
        <is>
          <t>Mock Rx20 UBU</t>
        </is>
      </c>
    </row>
    <row r="196" ht="13.2" customHeight="1" s="37">
      <c r="A196" s="46" t="n">
        <v>194</v>
      </c>
      <c r="B196" s="45" t="inlineStr">
        <is>
          <t>ยาเม็ด Dextrometophan 15 mg ข้างขวดระบุ Reg 89/38, Lot No. 2220361, MFG 21/8/2009, EXP 21/08/2014 ช่วงเวลาตรวจ ไม่พบภญ. ก พบเฉพาะนาง ข เป็นผู้ช่วย และมีนาย ค (บิดา) เฝ้าร้าน เจ้าหน้าที่ได้ล่อซื้อยา indomethacin โดยมี นาง ข เป็นผู้ขายให้ ตรวจสอบพบว่า ภญ. ก ยินยอมให้มีการขายอยู่แล้วเป็นประจำ และจากการตรวจสอบไม่พบการจัดทำบัญชีซื้อขายยาอันตราย</t>
        </is>
      </c>
      <c r="C196" s="46" t="n"/>
      <c r="D196" s="45" t="inlineStr">
        <is>
          <t>Direct Compression tableting method</t>
        </is>
      </c>
      <c r="E196" s="45" t="inlineStr">
        <is>
          <t>Wet Granulation tableting method</t>
        </is>
      </c>
      <c r="F196" s="45" t="inlineStr">
        <is>
          <t>Dry Granulation (Roller Compaction)</t>
        </is>
      </c>
      <c r="G196" s="45" t="inlineStr">
        <is>
          <t>Fluidized Bed Granulation</t>
        </is>
      </c>
      <c r="H196" s="45" t="inlineStr">
        <is>
          <t>Film Coating with Hydroxypropyl methylcellulose (HPMC)</t>
        </is>
      </c>
      <c r="I196" s="46" t="n">
        <v>1</v>
      </c>
      <c r="J196" s="45"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6" s="46" t="n"/>
      <c r="L196" s="45" t="inlineStr">
        <is>
          <t>Tablet Manufacturing</t>
        </is>
      </c>
      <c r="M196" s="46" t="inlineStr">
        <is>
          <t>Product</t>
        </is>
      </c>
      <c r="N196" s="45" t="inlineStr">
        <is>
          <t>ข้อ 4 (PLE_CC1_Key_Rx20_UBU.md)</t>
        </is>
      </c>
      <c r="O196" s="46" t="inlineStr">
        <is>
          <t>Mock</t>
        </is>
      </c>
      <c r="P196" s="46" t="inlineStr">
        <is>
          <t>Mock Rx20 UBU</t>
        </is>
      </c>
    </row>
    <row r="197" ht="13.2" customHeight="1" s="37">
      <c r="A197" s="46" t="n">
        <v>195</v>
      </c>
      <c r="B197" s="45" t="inlineStr">
        <is>
          <t>กรณีพบยาเม็ดฟ้าขาว บรรจุกระปุก ฉลากระบุ “พอนสะแตน” ใครผิด ผิดอย่างไร</t>
        </is>
      </c>
      <c r="C197" s="46" t="n"/>
      <c r="D197" s="45" t="inlineStr">
        <is>
          <t>นาย ค ผิด ฐานขายยาปลอม</t>
        </is>
      </c>
      <c r="E197" s="45" t="inlineStr">
        <is>
          <t>นาง ข ผิด ฐานขายยาปลอม</t>
        </is>
      </c>
      <c r="F197" s="45" t="inlineStr">
        <is>
          <t>ภญ. ก ผิด ฐานผลิตยาปลอม</t>
        </is>
      </c>
      <c r="G197" s="45" t="inlineStr">
        <is>
          <t>ภญ. ก ผิด ฐานผลิตยาที่ไม่ได้ขึ้นทะเบียน</t>
        </is>
      </c>
      <c r="H197" s="45" t="inlineStr">
        <is>
          <t>ภญ. ก ผิด ฐานฉลากไม่ครบถ้วน</t>
        </is>
      </c>
      <c r="I197" s="46" t="n">
        <v>3</v>
      </c>
      <c r="J197" s="45" t="inlineStr">
        <is>
          <t>✅ คำตอบที่ถูกต้อง: ข้อ ค. ภญ. ก ผิด ฐานผลิตยาปลอม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ภญ. ก ผิด ฐานผลิตยาปลอม 💡 คำอธิบายและเหตุผลทางเภสัชกรรม:
💡 คำอธิบายและเหตุผลทางเภสัชกรรม:
การเลือก ภญ. ก ผิด ฐานผลิตยาปลอม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(นาย ค ผิด ฐานขายยาปลอม): ข้อนี้ไม่ใช่คำตอบที่ถูกต้องสำหรับภาวะ Tablet Manufacturing เนื่องจากกลไกการออกฤทธิ์, efficacy หรือข้อบ่งใช้ไม่ตรงกับโจทย์ที่กำหนด
• ข้อ ข. (นาง ข ผิด ฐานขายยาปลอม): ข้อนี้ไม่ใช่คำตอบที่ถูกต้องสำหรับภาวะ Tablet Manufacturing เนื่องจากกลไกการออกฤทธิ์, efficacy หรือข้อบ่งใช้ไม่ตรงกับโจทย์ที่กำหนด
• ข้อ ง. (ภญ. ก ผิด ฐานผลิตยาที่ไม่ได้ขึ้นทะเบียน): ข้อนี้ไม่ใช่คำตอบที่ถูกต้องสำหรับภาวะ Tablet Manufacturing เนื่องจากกลไกการออกฤทธิ์, efficacy หรือข้อบ่งใช้ไม่ตรงกับโจทย์ที่กำหนด
• ข้อ จ. (ภญ. ก ผิด ฐานฉลากไม่ครบถ้วน):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7" s="46" t="n"/>
      <c r="L197" s="45" t="inlineStr">
        <is>
          <t>Tablet Manufacturing</t>
        </is>
      </c>
      <c r="M197" s="46" t="inlineStr">
        <is>
          <t>Product</t>
        </is>
      </c>
      <c r="N197" s="45" t="inlineStr">
        <is>
          <t>ข้อ 111 (PLE_CC1_Key_Rx20_UBU.md)</t>
        </is>
      </c>
      <c r="O197" s="46" t="inlineStr">
        <is>
          <t>Mock</t>
        </is>
      </c>
      <c r="P197" s="46" t="inlineStr">
        <is>
          <t>Mock Rx20 UBU</t>
        </is>
      </c>
    </row>
    <row r="198" ht="13.2" customHeight="1" s="37">
      <c r="A198" s="46" t="n">
        <v>196</v>
      </c>
      <c r="B198" s="45" t="inlineStr">
        <is>
          <t>ตำรับ calcium carbonate effervescent tablet เอาออกจากขวดพบว่าเกิดการเยิ้มเหลว เหนียว เกิดจากปริมาณสารใดมากเกินไปในตำรับ</t>
        </is>
      </c>
      <c r="C198" s="46" t="n"/>
      <c r="D198" s="45" t="inlineStr">
        <is>
          <t>Citric acid</t>
        </is>
      </c>
      <c r="E198" s="45" t="inlineStr">
        <is>
          <t>Tartaric acid</t>
        </is>
      </c>
      <c r="F198" s="45" t="inlineStr">
        <is>
          <t>Sodium bicarbinate</t>
        </is>
      </c>
      <c r="G198" s="45" t="inlineStr">
        <is>
          <t>Sodium carbonate</t>
        </is>
      </c>
      <c r="H198" s="45" t="inlineStr">
        <is>
          <t>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t>
        </is>
      </c>
      <c r="I198" s="46" t="n">
        <v>4</v>
      </c>
      <c r="J198" s="45" t="inlineStr">
        <is>
          <t>✅ คำตอบที่ถูกต้อง: ข้อ ง. Sodium 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Sodium carbonate 💡 คำอธิบายและเหตุผลทางเภสัชกรรม:
💡 คำอธิบายและเหตุผลทางเภสัชกรรม:
วิตามิน E Tocopherols และ tocotrienol น้ำมันถั่วเหลือง น้ำมันจมูกข้าว น้ามันดอกทานตะวัน ไข่ เนื้อสัตว์ ซึ่งผู้ป่วยมีประวัติเป็นๆหายๆ ร่วมกับมารดามีประวัติเป็นโรคภูมิแพ้และโรคหืด และเมื่อตกสะเก็ดเป็นสีเหลือง การวินิจฉัยผู้ป่วยที่เป็นเบาหวาน ตาม ADA 2018 คือ จะถือว่าผู้ป่วยเป็นเบาหวานเมื่อม่ีข้อใดข้อหนึ่งต่อไปนี้ ที่ไม่ต้องปรับขนาดยาในผู้ป่วยไตวายเรื้อรังมีเพียง 1 ชนิดคือ Linagliptin ส่วนข้ออื่นๆคือ class effect
USP/NF, British Pharmacopoeia (BP) และ Remington: The Science and Practice of Pharmacy (หัวข้อ Tablet Manufacturing)
🔍 ข้ออื่นผิดเพราะอะไร:
• ข้อ ก. (Citric acid): ข้อนี้ไม่ใช่คำตอบที่ถูกต้องสำหรับภาวะ Tablet Manufacturing เนื่องจากกลไกการออกฤทธิ์, efficacy หรือข้อบ่งใช้ไม่ตรงกับโจทย์ที่กำหนด
• ข้อ ข. (Tartaric acid): ข้อนี้ไม่ใช่คำตอบที่ถูกต้องสำหรับภาวะ Tablet Manufacturing เนื่องจากกลไกการออกฤทธิ์, efficacy หรือข้อบ่งใช้ไม่ตรงกับโจทย์ที่กำหนด
• ข้อ ค. (Sodium bicarbinate): ข้อนี้ไม่ใช่คำตอบที่ถูกต้องสำหรับภาวะ Tablet Manufacturing เนื่องจากกลไกการออกฤทธิ์, efficacy หรือข้อบ่งใช้ไม่ตรงกับโจทย์ที่กำหนด
• ข้อ จ. (Calcium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8" s="46" t="n"/>
      <c r="L198" s="45" t="inlineStr">
        <is>
          <t>Tablet Manufacturing</t>
        </is>
      </c>
      <c r="M198" s="46" t="inlineStr">
        <is>
          <t>Product</t>
        </is>
      </c>
      <c r="N198" s="45" t="inlineStr">
        <is>
          <t>ข้อ 8 (PLE_CC1_Key_Rx20_UBU.md)</t>
        </is>
      </c>
      <c r="O198" s="46" t="inlineStr">
        <is>
          <t>Mock</t>
        </is>
      </c>
      <c r="P198" s="46" t="inlineStr">
        <is>
          <t>Mock Rx20 UBU</t>
        </is>
      </c>
    </row>
    <row r="199" ht="13.2" customHeight="1" s="37">
      <c r="A199" s="46" t="n">
        <v>197</v>
      </c>
      <c r="B199" s="45" t="inlineStr">
        <is>
          <t>ตำรับอื่นๆ: ภายใน 30 วัน หรือตามระยะเวลาการรักษา ให้เลือกเวลาที่สั้นกว่า แต่หากมีการศึกษาว่าใช้ได้นานกว่า 30 วัน ก็ให้ยืดอายุออกไปได้ เช่น diazepam suppositories จาก tablet หรือ USP powder (EXP 12/2/63) ระยะเวลาการรักษา 2 สัปดาห์ ข้อ 27 ศึกษาความคุ้มค่าทางเศรษฐศาสตร์ของยาใหม่และ placebo ในการศึกษาท้องผูกและมะเร็งข้อใดถูกต้อง</t>
        </is>
      </c>
      <c r="C199" s="46" t="n"/>
      <c r="D199" s="45" t="inlineStr">
        <is>
          <t>ไม่สามารถทำการศึกษาไปข้างหน้าได้</t>
        </is>
      </c>
      <c r="E199" s="45" t="inlineStr">
        <is>
          <t>ใช้การศึกษา cost - analysis</t>
        </is>
      </c>
      <c r="F199" s="45" t="inlineStr">
        <is>
          <t>ดูผล QALY เป็นการศึกษาแบบ Cost - benefit</t>
        </is>
      </c>
      <c r="G199" s="45" t="inlineStr">
        <is>
          <t>ค่าเดินทางไปรักษาเป็นต้นทุนทางอ้อม</t>
        </is>
      </c>
      <c r="H199" s="45" t="inlineStr">
        <is>
          <t>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t>
        </is>
      </c>
      <c r="I199" s="46" t="n">
        <v>1</v>
      </c>
      <c r="J199" s="45" t="inlineStr">
        <is>
          <t>✅ คำตอบที่ถูกต้อง: ข้อ ก. ไม่สามารถทำการศึกษาไปข้างหน้าได้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ไม่สามารถทำการศึกษาไปข้างหน้าได้ 💡 คำอธิบายและเหตุผลทางเภสัชกรรม:
💡 คำอธิบายและเหตุผลทางเภสัชกรรม:
การเลือก ไม่สามารถทำการศึกษาไปข้างหน้าได้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(ใช้การศึกษา cost - analysis): ข้อนี้ไม่ใช่คำตอบที่ถูกต้องสำหรับภาวะ Powders &amp; Granules เนื่องจากกลไกการออกฤทธิ์, efficacy หรือข้อบ่งใช้ไม่ตรงกับโจทย์ที่กำหนด
• ข้อ ค. (ดูผล QALY เป็นการศึกษาแบบ Cost - benefit): ข้อนี้ไม่ใช่คำตอบที่ถูกต้องสำหรับภาวะ Powders &amp; Granules เนื่องจากกลไกการออกฤทธิ์, efficacy หรือข้อบ่งใช้ไม่ตรงกับโจทย์ที่กำหนด
• ข้อ ง. (ค่าเดินทางไปรักษาเป็นต้นทุนทางอ้อม): ข้อนี้ไม่ใช่คำตอบที่ถูกต้องสำหรับภาวะ Powders &amp; Granules เนื่องจากกลไกการออกฤทธิ์, efficacy หรือข้อบ่งใช้ไม่ตรงกับโจทย์ที่กำหนด
• ข้อ จ. (ต้นทุนทางตรงเมื่อผ่านไป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9" s="46" t="n"/>
      <c r="L199" s="45" t="inlineStr">
        <is>
          <t>Powders &amp; Granules</t>
        </is>
      </c>
      <c r="M199" s="46" t="inlineStr">
        <is>
          <t>Product</t>
        </is>
      </c>
      <c r="N199" s="45" t="inlineStr">
        <is>
          <t>ข้อ 3 (PLE_CC1_Key_Rx20_UBU.md)</t>
        </is>
      </c>
      <c r="O199" s="46" t="inlineStr">
        <is>
          <t>Mock</t>
        </is>
      </c>
      <c r="P199" s="46" t="inlineStr">
        <is>
          <t>Mock Rx20 UBU</t>
        </is>
      </c>
    </row>
    <row r="200" ht="13.2" customHeight="1" s="37">
      <c r="A200" s="46" t="n">
        <v>198</v>
      </c>
      <c r="B200" s="45" t="inlineStr">
        <is>
          <t>Subcoating เพื่อให้ได้ขอบยาเม็ดกลมมน</t>
        </is>
      </c>
      <c r="C200" s="46" t="n"/>
      <c r="D200" s="45" t="inlineStr">
        <is>
          <t>Film Coating with Hydroxypropyl methylcellulose (HPMC)</t>
        </is>
      </c>
      <c r="E200" s="45" t="inlineStr">
        <is>
          <t>Enteric Coating with Cellulose acetate phthalate (CAP)</t>
        </is>
      </c>
      <c r="F200" s="45" t="inlineStr">
        <is>
          <t>Hard Gelatin Capsule filling</t>
        </is>
      </c>
      <c r="G200" s="45" t="inlineStr">
        <is>
          <t>Soft Gelatin Capsule encapsulation</t>
        </is>
      </c>
      <c r="H200" s="45" t="inlineStr">
        <is>
          <t>Microcrystalline cellulose</t>
        </is>
      </c>
      <c r="I200" s="46" t="n">
        <v>1</v>
      </c>
      <c r="J200" s="45"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Coating)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Coating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Coating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0" s="46" t="n"/>
      <c r="L200" s="45" t="inlineStr">
        <is>
          <t>Tablet Coating</t>
        </is>
      </c>
      <c r="M200" s="46" t="inlineStr">
        <is>
          <t>Product</t>
        </is>
      </c>
      <c r="N200" s="45" t="inlineStr">
        <is>
          <t>ข้อ 2 (PLE_CC1_Key_Rx20_UBU.md)</t>
        </is>
      </c>
      <c r="O200" s="46" t="inlineStr">
        <is>
          <t>Mock</t>
        </is>
      </c>
      <c r="P200" s="46" t="inlineStr">
        <is>
          <t>Mock Rx20 UBU</t>
        </is>
      </c>
    </row>
    <row r="201" ht="13.2" customHeight="1" s="37">
      <c r="A201" s="46" t="n">
        <v>199</v>
      </c>
      <c r="B201" s="45" t="inlineStr">
        <is>
          <t>Magnesium stearate มีส่วนประกอบดังนี้คือ Microcrystalline cellulose, Starch, Lactose, Colloidal silicon dioxide, SLS ข้อใดคือารช่วยลื่นไหลในตำรับ</t>
        </is>
      </c>
      <c r="C201" s="46" t="n"/>
      <c r="D201" s="45" t="inlineStr">
        <is>
          <t>Microcrystalline cellulose</t>
        </is>
      </c>
      <c r="E201" s="45" t="inlineStr">
        <is>
          <t>Starch</t>
        </is>
      </c>
      <c r="F201" s="45" t="inlineStr">
        <is>
          <t>Lactose</t>
        </is>
      </c>
      <c r="G201" s="45" t="inlineStr">
        <is>
          <t>Colloidal silicon dioxide</t>
        </is>
      </c>
      <c r="H201" s="45" t="inlineStr">
        <is>
          <t>SLS</t>
        </is>
      </c>
      <c r="I201" s="46" t="n">
        <v>1</v>
      </c>
      <c r="J201" s="45" t="inlineStr">
        <is>
          <t>✅ คำตอบที่ถูกต้อง: ข้อ ก. Microcrystalline cellulose
💡 Background:
คำถามข้อสอบจริงใบประกอบวิชาชีพ PLE-CC 1 (Product) ปี 2567 ข้อ 15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1" s="46" t="n"/>
      <c r="L201" s="45" t="inlineStr">
        <is>
          <t>Solid Dosage Forms &amp; Manufacturing</t>
        </is>
      </c>
      <c r="M201" s="46" t="inlineStr">
        <is>
          <t>Product</t>
        </is>
      </c>
      <c r="N201" s="45" t="inlineStr">
        <is>
          <t>ข้อสอบจริง Product ปี 2567 ข้อ 15</t>
        </is>
      </c>
      <c r="O201" s="46" t="inlineStr">
        <is>
          <t>ข้อสอบจริง</t>
        </is>
      </c>
      <c r="P201" s="46" t="inlineStr">
        <is>
          <t>ปี 2567</t>
        </is>
      </c>
    </row>
    <row r="202" ht="13.2" customHeight="1" s="37">
      <c r="A202" s="46" t="n">
        <v>200</v>
      </c>
      <c r="B202" s="45" t="inlineStr">
        <is>
          <t>ยาเม็ดมีปัญาน้ำหนักไม่สม่ำเมอ เนื่องจากผงยาไหลลงเข้าไม่เท่ากันจากการไหลไม่ดี ควรเติมสารใด</t>
        </is>
      </c>
      <c r="C202" s="46" t="n"/>
      <c r="D202" s="45" t="inlineStr">
        <is>
          <t>PEG (Polyethylene Glycol)</t>
        </is>
      </c>
      <c r="E202" s="45" t="inlineStr">
        <is>
          <t>Calcium phosphate</t>
        </is>
      </c>
      <c r="F202" s="45" t="inlineStr">
        <is>
          <t>TiO2 (Titanium Dioxide)</t>
        </is>
      </c>
      <c r="G202" s="45" t="inlineStr">
        <is>
          <t>Clay</t>
        </is>
      </c>
      <c r="H202" s="45" t="inlineStr">
        <is>
          <t>Colloidal silica</t>
        </is>
      </c>
      <c r="I202" s="46" t="n">
        <v>1</v>
      </c>
      <c r="J202" s="45" t="inlineStr">
        <is>
          <t>✅ คำตอบที่ถูกต้อง: ข้อ ก. PEG (Polyethylene Glycol)
💡 Background:
คำถามข้อสอบจริงใบประกอบวิชาชีพ PLE-CC 1 (Product) ปี 2567 ข้อ 33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2" s="46" t="n"/>
      <c r="L202" s="45" t="inlineStr">
        <is>
          <t>Solid Dosage Forms &amp; Manufacturing</t>
        </is>
      </c>
      <c r="M202" s="46" t="inlineStr">
        <is>
          <t>Product</t>
        </is>
      </c>
      <c r="N202" s="45" t="inlineStr">
        <is>
          <t>ข้อสอบจริง Product ปี 2567 ข้อ 33</t>
        </is>
      </c>
      <c r="O202" s="46" t="inlineStr">
        <is>
          <t>ข้อสอบจริง</t>
        </is>
      </c>
      <c r="P202" s="46" t="inlineStr">
        <is>
          <t>ปี 2567</t>
        </is>
      </c>
    </row>
    <row r="203" ht="13.2" customHeight="1" s="37">
      <c r="A203" s="46" t="n">
        <v>201</v>
      </c>
      <c r="B203" s="45" t="inlineStr">
        <is>
          <t>ข้อใดไม่เกี่ยวกับการทดสอบเชื้อจุลชีพใน tablets</t>
        </is>
      </c>
      <c r="C203" s="46" t="n"/>
      <c r="D203" s="45" t="inlineStr">
        <is>
          <t>container-closure integrity</t>
        </is>
      </c>
      <c r="E203" s="45" t="inlineStr">
        <is>
          <t>sterility test</t>
        </is>
      </c>
      <c r="F203" s="45" t="inlineStr">
        <is>
          <t>Moisture test</t>
        </is>
      </c>
      <c r="G203" s="45" t="inlineStr">
        <is>
          <t>microbial enumeration test</t>
        </is>
      </c>
      <c r="H203" s="45" t="inlineStr"/>
      <c r="I203" s="46" t="n">
        <v>1</v>
      </c>
      <c r="J203" s="45" t="inlineStr">
        <is>
          <t>✅ คำตอบที่ถูกต้อง: ข้อ ก. container-closure integrity
💡 Background:
คำถามข้อสอบจริงใบประกอบวิชาชีพ PLE-CC 1 (Product) ปี 2567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3" s="46" t="n"/>
      <c r="L203" s="45" t="inlineStr">
        <is>
          <t>Solid Dosage Forms &amp; Manufacturing</t>
        </is>
      </c>
      <c r="M203" s="46" t="inlineStr">
        <is>
          <t>Product</t>
        </is>
      </c>
      <c r="N203" s="45" t="inlineStr">
        <is>
          <t>ข้อสอบจริง Product ปี 2567 ข้อ 35</t>
        </is>
      </c>
      <c r="O203" s="46" t="inlineStr">
        <is>
          <t>ข้อสอบจริง</t>
        </is>
      </c>
      <c r="P203" s="46" t="inlineStr">
        <is>
          <t>ปี 2567</t>
        </is>
      </c>
    </row>
    <row r="204" ht="13.2" customHeight="1" s="37">
      <c r="A204" s="46" t="n">
        <v>202</v>
      </c>
      <c r="B204" s="45" t="inlineStr">
        <is>
          <t>(ปี 2566, Day 2 ข้อ 71\) (เรื่อง: Uniformity of Dosage Unit - Domperidone/Omeprazole) ⚠️ Domperidone 10 mg tablets และ Omeprazole 25 mg capsules ควรใช้วิธีใดตรวจ uniformity of dosage unit</t>
        </is>
      </c>
      <c r="C204" s="46" t="n"/>
      <c r="D204" s="45" t="inlineStr">
        <is>
          <t>Weight variation/Weight variation</t>
        </is>
      </c>
      <c r="E204" s="45" t="inlineStr">
        <is>
          <t>Content of uniformity/Content of uniformity</t>
        </is>
      </c>
      <c r="F204" s="45" t="inlineStr">
        <is>
          <t>Content of uniformity/Weight variation เหตุผล: ตาม USP \&lt;905\&gt; การใช้ weight variation แทน content uniformity ได้ต้องเข้าเกณฑ์ทั้ง 2 ข้อ คือ ตัวยา ≥ 25 mg และ ≥ 25% ของน้ำหนักเม็ด/แคปซูล — Domperidone 10 mg ไม่ผ่านเกณฑ์แรก (\&lt; 25 mg) จึงต้องใช้ content uniformity ส่วน Omeprazole 25 mg (มักเป็น enteric-coated pellets ในแคปซูล) แม้โดสจะแตะ 25 mg แต่โดยทั่วไปสัดส่วนต่อน้ำหนักรวมมักไม่ถึง 25% จึงมักต้องใช้ content uniformity เช่นกัน  แต่ควรตรวจสอบน้ำหนักเม็ด/แคปซูลจริงจากโจทย์เต็มเพื่อยืนยัน</t>
        </is>
      </c>
      <c r="G204" s="45" t="inlineStr"/>
      <c r="H204" s="45" t="inlineStr"/>
      <c r="I204" s="46" t="n">
        <v>3</v>
      </c>
      <c r="J204" s="45" t="inlineStr">
        <is>
          <t>✅ คำตอบที่ถูกต้อง: ข้อ ค. Content of uniformity/Weight variation เหตุผล: ตาม USP \&lt;905\&gt; การใช้ weight variation แทน content uniformity ได้ต้องเข้าเกณฑ์ทั้ง 2 ข้อ คือ ตัวยา ≥ 25 mg และ ≥ 25% ของน้ำหนักเม็ด/แคปซูล — Domperidone 10 mg ไม่ผ่านเกณฑ์แรก (\&lt; 25 mg) จึงต้องใช้ content uniformity ส่วน Omeprazole 25 mg (มักเป็น enteric-coated pellets ในแคปซูล) แม้โดสจะแตะ 25 mg แต่โดยทั่วไปสัดส่วนต่อน้ำหนักรวมมักไม่ถึง 25% จึงมักต้องใช้ content uniformity เช่นกัน  แต่ควรตรวจสอบน้ำหนักเม็ด/แคปซูลจริงจากโจทย์เต็มเพื่อยืนยัน
💡 Background:
คำถามข้อสอบจริงใบประกอบวิชาชีพ PLE-CC 1 (Product) ปี 2566 ข้อ 25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4" s="46" t="n"/>
      <c r="L204" s="45" t="inlineStr">
        <is>
          <t>Solid Dosage Forms &amp; Manufacturing</t>
        </is>
      </c>
      <c r="M204" s="46" t="inlineStr">
        <is>
          <t>Product</t>
        </is>
      </c>
      <c r="N204" s="45" t="inlineStr">
        <is>
          <t>ข้อสอบจริง Product ปี 2566 ข้อ 25</t>
        </is>
      </c>
      <c r="O204" s="46" t="inlineStr">
        <is>
          <t>ข้อสอบจริง</t>
        </is>
      </c>
      <c r="P204" s="46" t="inlineStr">
        <is>
          <t>ปี 2566</t>
        </is>
      </c>
    </row>
    <row r="205" ht="13.2" customHeight="1" s="37">
      <c r="A205" s="46" t="n">
        <v>203</v>
      </c>
      <c r="B205" s="45" t="inlineStr">
        <is>
          <t>ตำรับ MMI tablet ประกอบด้วย MMI, Lactose monohydrate, magnesium stearate, corn starch, talc ถามว่า talc ทำหน้าที่อะไรในตำรับ</t>
        </is>
      </c>
      <c r="C205" s="46" t="n"/>
      <c r="D205" s="45" t="inlineStr">
        <is>
          <t>Diluent</t>
        </is>
      </c>
      <c r="E205" s="45" t="inlineStr">
        <is>
          <t>Disintegration</t>
        </is>
      </c>
      <c r="F205" s="45" t="inlineStr">
        <is>
          <t>Glidant</t>
        </is>
      </c>
      <c r="G205" s="45" t="inlineStr">
        <is>
          <t>Preservative</t>
        </is>
      </c>
      <c r="H205" s="45" t="inlineStr">
        <is>
          <t>Chelating</t>
        </is>
      </c>
      <c r="I205" s="46" t="n">
        <v>1</v>
      </c>
      <c r="J205" s="45" t="inlineStr">
        <is>
          <t>✅ คำตอบที่ถูกต้อง: ข้อ ก. Diluent
💡 Background:
คำถามข้อสอบจริงใบประกอบวิชาชีพ PLE-CC 1 (Product) ปี 2565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5" s="46" t="n"/>
      <c r="L205" s="45" t="inlineStr">
        <is>
          <t>Solid Dosage Forms &amp; Manufacturing</t>
        </is>
      </c>
      <c r="M205" s="46" t="inlineStr">
        <is>
          <t>Product</t>
        </is>
      </c>
      <c r="N205" s="45" t="inlineStr">
        <is>
          <t>ข้อสอบจริง Product ปี 2565 ข้อ 25</t>
        </is>
      </c>
      <c r="O205" s="46" t="inlineStr">
        <is>
          <t>ข้อสอบจริง</t>
        </is>
      </c>
      <c r="P205" s="46" t="inlineStr">
        <is>
          <t>ปี 2565</t>
        </is>
      </c>
    </row>
    <row r="206" ht="13.2" customHeight="1" s="37">
      <c r="A206" s="46" t="n">
        <v>204</v>
      </c>
      <c r="B206" s="45" t="inlineStr">
        <is>
          <t>ยาในรูปแบบ Enteric coat ซึ่งจะมีสารก่อฟิล์มที่ใช้ ควรมีสมบัติอย่างไร</t>
        </is>
      </c>
      <c r="C206" s="46" t="n"/>
      <c r="D206" s="45" t="inlineStr">
        <is>
          <t>ละลายน้ำดี แต่ไม่ละลายในสารละลายอินทรีย์</t>
        </is>
      </c>
      <c r="E206" s="45" t="inlineStr">
        <is>
          <t>ไม่ละลายในสารละลายในกระเพาะอาหาร</t>
        </is>
      </c>
      <c r="F206" s="45" t="inlineStr">
        <is>
          <t>เพิ่มการละลายและการดูดซึมยา</t>
        </is>
      </c>
      <c r="G206" s="45" t="inlineStr">
        <is>
          <t>เพิ่มการซึมผ่านของน้ำและความชื้น</t>
        </is>
      </c>
      <c r="H206" s="45" t="inlineStr">
        <is>
          <t>ถูกย่อยสลายด้วยเอนไซม์ของแบคทีเรียในลำไส้ใหญ่</t>
        </is>
      </c>
      <c r="I206" s="46" t="n">
        <v>1</v>
      </c>
      <c r="J206" s="45" t="inlineStr">
        <is>
          <t>✅ คำตอบที่ถูกต้อง: ข้อ ก. ละลายน้ำดี แต่ไม่ละลายในสารละลายอินทรีย์
💡 Background:
คำถามข้อสอบจริงใบประกอบวิชาชีพ PLE-CC 1 (Product) ปี 2565 ข้อ 89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6" s="46" t="n"/>
      <c r="L206" s="45" t="inlineStr">
        <is>
          <t>Solid Dosage Forms &amp; Manufacturing</t>
        </is>
      </c>
      <c r="M206" s="46" t="inlineStr">
        <is>
          <t>Product</t>
        </is>
      </c>
      <c r="N206" s="45" t="inlineStr">
        <is>
          <t>ข้อสอบจริง Product ปี 2565 ข้อ 89</t>
        </is>
      </c>
      <c r="O206" s="46" t="inlineStr">
        <is>
          <t>ข้อสอบจริง</t>
        </is>
      </c>
      <c r="P206" s="46" t="inlineStr">
        <is>
          <t>ปี 2565</t>
        </is>
      </c>
    </row>
    <row r="207" ht="13.2" customHeight="1" s="37">
      <c r="A207" s="46" t="n">
        <v>205</v>
      </c>
      <c r="B207" s="45" t="inlineStr">
        <is>
          <t>แก้ปัญหายาเม็ดดังรูปด้วยวิธีใด [แนบรูป: ข้อสอบ Product ปี 2565 รหัสรูปภาพ image22]</t>
        </is>
      </c>
      <c r="C207" s="46" t="inlineStr">
        <is>
          <t>[แนบรูป: ข้อสอบ Product ปี 2565 รหัสรูปภาพ image22]</t>
        </is>
      </c>
      <c r="D207" s="45" t="inlineStr">
        <is>
          <t>เติม binder</t>
        </is>
      </c>
      <c r="E207" s="45" t="inlineStr">
        <is>
          <t>เต็ม anti-adherent</t>
        </is>
      </c>
      <c r="F207" s="45" t="inlineStr">
        <is>
          <t>\ จำ choice ไม่ได้ \</t>
        </is>
      </c>
      <c r="G207" s="45" t="inlineStr">
        <is>
          <t>\ จำ choice ไม่ได้ \</t>
        </is>
      </c>
      <c r="H207" s="45" t="inlineStr">
        <is>
          <t>\ จำ choice ไม่ได้ \</t>
        </is>
      </c>
      <c r="I207" s="46" t="n">
        <v>1</v>
      </c>
      <c r="J207" s="45" t="inlineStr">
        <is>
          <t>✅ คำตอบที่ถูกต้อง: ข้อ ก. เติม binder
💡 Background:
คำถามข้อสอบจริงใบประกอบวิชาชีพ PLE-CC 1 (Product) ปี 2565 ข้อ 72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7" s="46" t="n"/>
      <c r="L207" s="45" t="inlineStr">
        <is>
          <t>Solid Dosage Forms &amp; Manufacturing</t>
        </is>
      </c>
      <c r="M207" s="46" t="inlineStr">
        <is>
          <t>Product</t>
        </is>
      </c>
      <c r="N207" s="45" t="inlineStr">
        <is>
          <t>ข้อสอบจริง Product ปี 2565 ข้อ 72</t>
        </is>
      </c>
      <c r="O207" s="46" t="inlineStr">
        <is>
          <t>ข้อสอบจริง</t>
        </is>
      </c>
      <c r="P207" s="46" t="inlineStr">
        <is>
          <t>ปี 2565</t>
        </is>
      </c>
    </row>
    <row r="208" ht="13.2" customHeight="1" s="37">
      <c r="A208" s="46" t="n">
        <v>206</v>
      </c>
      <c r="B208" s="45" t="inlineStr">
        <is>
          <t>ปัจจัยใดมีผลลดการละลายของ Desipramine tablet</t>
        </is>
      </c>
      <c r="C208" s="46" t="n"/>
      <c r="D208" s="45" t="inlineStr">
        <is>
          <t>เพิ่มปริมาณสารลดแรงตึงผิว (Surfactant)  เพิ่มการเปียกของผงยา → ละลายดีขึ้น</t>
        </is>
      </c>
      <c r="E208" s="45" t="inlineStr">
        <is>
          <t>ทำเป็น Dispersed solid (Solid dispersion)  ช่วยเพิ่มอัตราการละลาย</t>
        </is>
      </c>
      <c r="F208" s="45" t="inlineStr">
        <is>
          <t>ใช้ Crystalline desipramine</t>
        </is>
      </c>
      <c r="G208" s="45" t="inlineStr">
        <is>
          <t>Form complex กับ Cyclodextrin  เพิ่มการละลายของยาที่ละลายน้ำได้น้อย</t>
        </is>
      </c>
      <c r="H208" s="45" t="inlineStr">
        <is>
          <t>ใช้ Micronized desipramine  อนุภาคเล็กลง พื้นที่ผิวเพิ่ม → ละลายเร็วขึ้น</t>
        </is>
      </c>
      <c r="I208" s="46" t="n">
        <v>1</v>
      </c>
      <c r="J208" s="45" t="inlineStr">
        <is>
          <t>✅ คำตอบที่ถูกต้อง: ข้อ ก. เพิ่มปริมาณสารลดแรงตึงผิว (Surfactant)  เพิ่มการเปียกของผงยา → ละลายดีขึ้น
💡 Background:
คำถามข้อสอบจริงใบประกอบวิชาชีพ PLE-CC 1 (Product) ปี 2564 ข้อ 29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8" s="46" t="n"/>
      <c r="L208" s="45" t="inlineStr">
        <is>
          <t>Solid Dosage Forms &amp; Manufacturing</t>
        </is>
      </c>
      <c r="M208" s="46" t="inlineStr">
        <is>
          <t>Product</t>
        </is>
      </c>
      <c r="N208" s="45" t="inlineStr">
        <is>
          <t>ข้อสอบจริง Product ปี 2564 ข้อ 29</t>
        </is>
      </c>
      <c r="O208" s="46" t="inlineStr">
        <is>
          <t>ข้อสอบจริง</t>
        </is>
      </c>
      <c r="P208" s="46" t="inlineStr">
        <is>
          <t>ปี 2564</t>
        </is>
      </c>
    </row>
    <row r="209" ht="13.2" customHeight="1" s="37">
      <c r="A209" s="46" t="n">
        <v>207</v>
      </c>
      <c r="B209" s="45" t="inlineStr">
        <is>
          <t>ยาแคปซูลมี doxycycline hydrate equivalent อะไรสักอย่างเท่ากับ 100 mg ผู้ป่วยต้องใช้ bid เป็นเวลา 2 สัปดาห์ ถามว่าผู้ป่วยจะได้รับ doxycycline hydrate กี่กรัม</t>
        </is>
      </c>
      <c r="C209" s="46" t="n"/>
      <c r="D209" s="45" t="inlineStr">
        <is>
          <t>1 กรัม</t>
        </is>
      </c>
      <c r="E209" s="45" t="inlineStr">
        <is>
          <t>1.4 กรัม</t>
        </is>
      </c>
      <c r="F209" s="45" t="inlineStr">
        <is>
          <t>2.8 กรัม</t>
        </is>
      </c>
      <c r="G209" s="45" t="inlineStr">
        <is>
          <t>4.2 กรัม</t>
        </is>
      </c>
      <c r="H209" s="45" t="inlineStr">
        <is>
          <t>5.6 กรัม คำอธิบาย: เนื่องจากใช้ยา 14 วัน × 2 ครั้ง/วัน \= 28 dose × 100 mg/dose \= 2.8 g</t>
        </is>
      </c>
      <c r="I209" s="46" t="n">
        <v>1</v>
      </c>
      <c r="J209" s="45" t="inlineStr">
        <is>
          <t>✅ คำตอบที่ถูกต้อง: ข้อ ก. 1 กรัม
💡 Background:
คำถามข้อสอบจริงใบประกอบวิชาชีพ PLE-CC 1 (Product) ปี 2564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9" s="46" t="n"/>
      <c r="L209" s="45" t="inlineStr">
        <is>
          <t>Solid Dosage Forms &amp; Manufacturing</t>
        </is>
      </c>
      <c r="M209" s="46" t="inlineStr">
        <is>
          <t>Product</t>
        </is>
      </c>
      <c r="N209" s="45" t="inlineStr">
        <is>
          <t>ข้อสอบจริง Product ปี 2564 ข้อ 36</t>
        </is>
      </c>
      <c r="O209" s="46" t="inlineStr">
        <is>
          <t>ข้อสอบจริง</t>
        </is>
      </c>
      <c r="P209" s="46" t="inlineStr">
        <is>
          <t>ปี 2564</t>
        </is>
      </c>
    </row>
    <row r="210" ht="13.2" customHeight="1" s="37">
      <c r="A210" s="46" t="n">
        <v>208</v>
      </c>
      <c r="B210" s="45" t="inlineStr">
        <is>
          <t>Eudragit L 55 PEG 6000 ทำหน้าที่เป็นอะไร</t>
        </is>
      </c>
      <c r="C210" s="46" t="n"/>
      <c r="D210" s="45" t="inlineStr">
        <is>
          <t>Stabilizer</t>
        </is>
      </c>
      <c r="E210" s="45" t="inlineStr">
        <is>
          <t>Plasticizer</t>
        </is>
      </c>
      <c r="F210" s="45" t="inlineStr">
        <is>
          <t>Solubilizer</t>
        </is>
      </c>
      <c r="G210" s="45" t="inlineStr">
        <is>
          <t>ไม่ให้เกิดฟอง คำอธิบาย: ตอบ ข. Plasticizer เพราะ Eudragit L 55  เป็น Enteric coating polymer PEG 6000 (Polyethylene glycol 6000\)  ทำหน้าที่เป็น Plasticizer</t>
        </is>
      </c>
      <c r="H210" s="45" t="inlineStr"/>
      <c r="I210" s="46" t="n">
        <v>1</v>
      </c>
      <c r="J210" s="45" t="inlineStr">
        <is>
          <t>✅ คำตอบที่ถูกต้อง: ข้อ ก. Stabilizer
💡 Background:
คำถามข้อสอบจริงใบประกอบวิชาชีพ PLE-CC 1 (Product) ปี 2564 ข้อ 37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0" s="46" t="n"/>
      <c r="L210" s="45" t="inlineStr">
        <is>
          <t>Solid Dosage Forms &amp; Manufacturing</t>
        </is>
      </c>
      <c r="M210" s="46" t="inlineStr">
        <is>
          <t>Product</t>
        </is>
      </c>
      <c r="N210" s="45" t="inlineStr">
        <is>
          <t>ข้อสอบจริง Product ปี 2564 ข้อ 37</t>
        </is>
      </c>
      <c r="O210" s="46" t="inlineStr">
        <is>
          <t>ข้อสอบจริง</t>
        </is>
      </c>
      <c r="P210" s="46" t="inlineStr">
        <is>
          <t>ปี 2564</t>
        </is>
      </c>
    </row>
    <row r="211" ht="13.2" customHeight="1" s="37">
      <c r="A211" s="46" t="n">
        <v>209</v>
      </c>
      <c r="B211" s="45" t="inlineStr">
        <is>
          <t>ตำรับ dicloxacillin ประกอบด้วย Magnesium stearate, silica colloidal anhydrous, titanium dioxide... (จำไม่ได้) สารใดใชแทน silica colloidal anhydrous ได</t>
        </is>
      </c>
      <c r="C211" s="46" t="n"/>
      <c r="D211" s="45" t="inlineStr">
        <is>
          <t>Talcum</t>
        </is>
      </c>
      <c r="E211" s="45" t="inlineStr">
        <is>
          <t>Polyvinylpyrrolidone (PVP) เป็น Binder (สารยึดเกาะ)</t>
        </is>
      </c>
      <c r="F211" s="45" t="inlineStr">
        <is>
          <t>Microcrystalline cellulose (MCC) เป็น Diluent และช่วยในการอัดเม็ด (Dry binder)</t>
        </is>
      </c>
      <c r="G211" s="45" t="inlineStr">
        <is>
          <t>จำไม่ได้</t>
        </is>
      </c>
      <c r="H211" s="45" t="inlineStr">
        <is>
          <t>จำไม่ได้ คำอธิบาย: Silica colloidal anhydrous (Colloidal silicon dioxide, Aerosil) ทำหน้าที่หลักเป็น Glidant กับ Anti-caking agent สารที่มีหน้าที่ใกล้เคียงและสามารถใช้แทนได้คือ Talcum ซึ่งเป็น Glidant เช่นกัน ทำไมตัวเลือกอื่นไม่ถูก</t>
        </is>
      </c>
      <c r="I211" s="46" t="n">
        <v>1</v>
      </c>
      <c r="J211" s="45" t="inlineStr">
        <is>
          <t>✅ คำตอบที่ถูกต้อง: ข้อ ก. Talcum
💡 Background:
คำถามข้อสอบจริงใบประกอบวิชาชีพ PLE-CC 1 (Product) ปี 2564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1" s="46" t="n"/>
      <c r="L211" s="45" t="inlineStr">
        <is>
          <t>Solid Dosage Forms &amp; Manufacturing</t>
        </is>
      </c>
      <c r="M211" s="46" t="inlineStr">
        <is>
          <t>Product</t>
        </is>
      </c>
      <c r="N211" s="45" t="inlineStr">
        <is>
          <t>ข้อสอบจริง Product ปี 2564 ข้อ 39</t>
        </is>
      </c>
      <c r="O211" s="46" t="inlineStr">
        <is>
          <t>ข้อสอบจริง</t>
        </is>
      </c>
      <c r="P211" s="46" t="inlineStr">
        <is>
          <t>ปี 2564</t>
        </is>
      </c>
    </row>
    <row r="212" ht="13.2" customHeight="1" s="37">
      <c r="A212" s="46" t="n">
        <v>210</v>
      </c>
      <c r="B212" s="45" t="inlineStr">
        <is>
          <t>ป้องกันไม่ให้ตอกแล้วติดหน้าสากต้องใส่สารใด</t>
        </is>
      </c>
      <c r="C212" s="46" t="n"/>
      <c r="D212" s="45" t="inlineStr">
        <is>
          <t>Sodium starch glycolate  เป็น Superdisintegrant</t>
        </is>
      </c>
      <c r="E212" s="45" t="inlineStr">
        <is>
          <t>Talcum ✅ เป็น Glidant</t>
        </is>
      </c>
      <c r="F212" s="45" t="inlineStr">
        <is>
          <t>PEG 6000  เป็น Plasticizer ในการเคลือบฟิล์ม</t>
        </is>
      </c>
      <c r="G212" s="45" t="inlineStr">
        <is>
          <t>PVP K30  เป็น Binder</t>
        </is>
      </c>
      <c r="H212" s="45" t="inlineStr"/>
      <c r="I212" s="46" t="n">
        <v>1</v>
      </c>
      <c r="J212" s="45" t="inlineStr">
        <is>
          <t>✅ คำตอบที่ถูกต้อง: ข้อ ก. Sodium starch glycolate  เป็น Superdisintegrant
💡 Background:
คำถามข้อสอบจริงใบประกอบวิชาชีพ PLE-CC 1 (Product) ปี 2564 ข้อ 50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2" s="46" t="n"/>
      <c r="L212" s="45" t="inlineStr">
        <is>
          <t>Solid Dosage Forms &amp; Manufacturing</t>
        </is>
      </c>
      <c r="M212" s="46" t="inlineStr">
        <is>
          <t>Product</t>
        </is>
      </c>
      <c r="N212" s="45" t="inlineStr">
        <is>
          <t>ข้อสอบจริง Product ปี 2564 ข้อ 50</t>
        </is>
      </c>
      <c r="O212" s="46" t="inlineStr">
        <is>
          <t>ข้อสอบจริง</t>
        </is>
      </c>
      <c r="P212" s="46" t="inlineStr">
        <is>
          <t>ปี 2564</t>
        </is>
      </c>
    </row>
    <row r="213" ht="13.2" customHeight="1" s="37">
      <c r="A213" s="46" t="n">
        <v>211</v>
      </c>
      <c r="B213" s="45" t="inlineStr">
        <is>
          <t>เตรียม omeprazole susp. ความแรง 5mg/5ml 100ml ใช omeprazole 20 mg capsule กี่เม็ด</t>
        </is>
      </c>
      <c r="C213" s="46" t="n"/>
      <c r="D213" s="45" t="inlineStr">
        <is>
          <t>5</t>
        </is>
      </c>
      <c r="E213" s="45" t="inlineStr">
        <is>
          <t>10</t>
        </is>
      </c>
      <c r="F213" s="45" t="inlineStr">
        <is>
          <t>15</t>
        </is>
      </c>
      <c r="G213" s="45" t="inlineStr">
        <is>
          <t>20</t>
        </is>
      </c>
      <c r="H213" s="45" t="inlineStr">
        <is>
          <t>25 คำอธิบาย: คำนวนปริมาณยาที่ต้องใช้ 5mg/5ml x 100 ml \= 100 mg 100mg / 20 mg/cap \= 5 cap</t>
        </is>
      </c>
      <c r="I213" s="46" t="n">
        <v>1</v>
      </c>
      <c r="J213" s="45" t="inlineStr">
        <is>
          <t>✅ คำตอบที่ถูกต้อง: ข้อ ก. 5
💡 Background:
คำถามข้อสอบจริงใบประกอบวิชาชีพ PLE-CC 1 (Product) ปี 2564 ข้อ 57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3" s="46" t="n"/>
      <c r="L213" s="45" t="inlineStr">
        <is>
          <t>Solid Dosage Forms &amp; Manufacturing</t>
        </is>
      </c>
      <c r="M213" s="46" t="inlineStr">
        <is>
          <t>Product</t>
        </is>
      </c>
      <c r="N213" s="45" t="inlineStr">
        <is>
          <t>ข้อสอบจริง Product ปี 2564 ข้อ 57</t>
        </is>
      </c>
      <c r="O213" s="46" t="inlineStr">
        <is>
          <t>ข้อสอบจริง</t>
        </is>
      </c>
      <c r="P213" s="46" t="inlineStr">
        <is>
          <t>ปี 2564</t>
        </is>
      </c>
    </row>
    <row r="214" ht="13.2" customHeight="1" s="37">
      <c r="A214" s="46" t="n">
        <v>212</v>
      </c>
      <c r="B214" s="45" t="inlineStr">
        <is>
          <t>ทำไมต้องเตรียม omeprazole ในรูปแบบ enteric-coated pellet</t>
        </is>
      </c>
      <c r="C214" s="46" t="n"/>
      <c r="D214" s="45" t="inlineStr">
        <is>
          <t>Acid labile</t>
        </is>
      </c>
      <c r="E214" s="45" t="inlineStr">
        <is>
          <t>Basic labile</t>
        </is>
      </c>
      <c r="F214" s="45" t="inlineStr">
        <is>
          <t>High molecular weight</t>
        </is>
      </c>
      <c r="G214" s="45" t="inlineStr">
        <is>
          <t>จำไม่ได้</t>
        </is>
      </c>
      <c r="H214" s="45" t="inlineStr">
        <is>
          <t>จำไม่ได้ คำอธิบาย: Omeprazole เป็นยาที่ ไม่คงตัวในสภาวะกรด (Acid labile)</t>
        </is>
      </c>
      <c r="I214" s="46" t="n">
        <v>1</v>
      </c>
      <c r="J214" s="45" t="inlineStr">
        <is>
          <t>✅ คำตอบที่ถูกต้อง: ข้อ ก. Acid labile
💡 Background:
คำถามข้อสอบจริงใบประกอบวิชาชีพ PLE-CC 1 (Product) ปี 2564 ข้อ 58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4" s="46" t="n"/>
      <c r="L214" s="45" t="inlineStr">
        <is>
          <t>Solid Dosage Forms &amp; Manufacturing</t>
        </is>
      </c>
      <c r="M214" s="46" t="inlineStr">
        <is>
          <t>Product</t>
        </is>
      </c>
      <c r="N214" s="45" t="inlineStr">
        <is>
          <t>ข้อสอบจริง Product ปี 2564 ข้อ 58</t>
        </is>
      </c>
      <c r="O214" s="46" t="inlineStr">
        <is>
          <t>ข้อสอบจริง</t>
        </is>
      </c>
      <c r="P214" s="46" t="inlineStr">
        <is>
          <t>ปี 2564</t>
        </is>
      </c>
    </row>
    <row r="215" ht="13.2" customHeight="1" s="37">
      <c r="A215" s="46" t="n">
        <v>213</v>
      </c>
      <c r="B215" s="45" t="inlineStr">
        <is>
          <t>สารจำเป็นใน Omeprazole pellet</t>
        </is>
      </c>
      <c r="C215" s="46" t="n"/>
      <c r="D215" s="45" t="inlineStr">
        <is>
          <t>film forming</t>
        </is>
      </c>
      <c r="E215" s="45" t="inlineStr">
        <is>
          <t>disintegrant</t>
        </is>
      </c>
      <c r="F215" s="45" t="inlineStr">
        <is>
          <t>buffer</t>
        </is>
      </c>
      <c r="G215" s="45" t="inlineStr">
        <is>
          <t>จำไม่ได้</t>
        </is>
      </c>
      <c r="H215" s="45" t="inlineStr">
        <is>
          <t>จำไม่ได้ คำอธิบาย: ยา Omeprazole ถูกทำให้อยู่ในรูปแบบแคปซูลที่บรรจุเม็ดเพลเลท (Capsule filled with enteric pellet) ซึ่งจะประกอบด้วยเพลเลทที่เคลือบด้วยสารเคลือบเอนเทอริค (Enteric coated) เพื่อป้องกันการถูกทำลายในกระเพาะอาหารและสามารถแตกตัวที่ลำไส้ได้</t>
        </is>
      </c>
      <c r="I215" s="46" t="n">
        <v>1</v>
      </c>
      <c r="J215" s="45" t="inlineStr">
        <is>
          <t>✅ คำตอบที่ถูกต้อง: ข้อ ก. film forming
💡 Background:
คำถามข้อสอบจริงใบประกอบวิชาชีพ PLE-CC 1 (Product) ปี 2564 ข้อ 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5" s="46" t="n"/>
      <c r="L215" s="45" t="inlineStr">
        <is>
          <t>Solid Dosage Forms &amp; Manufacturing</t>
        </is>
      </c>
      <c r="M215" s="46" t="inlineStr">
        <is>
          <t>Product</t>
        </is>
      </c>
      <c r="N215" s="45" t="inlineStr">
        <is>
          <t>ข้อสอบจริง Product ปี 2564 ข้อ 59</t>
        </is>
      </c>
      <c r="O215" s="46" t="inlineStr">
        <is>
          <t>ข้อสอบจริง</t>
        </is>
      </c>
      <c r="P215" s="46" t="inlineStr">
        <is>
          <t>ปี 2564</t>
        </is>
      </c>
    </row>
    <row r="216" ht="13.2" customHeight="1" s="37">
      <c r="A216" s="46" t="n">
        <v>214</v>
      </c>
      <c r="B216" s="45" t="inlineStr">
        <is>
          <t>การทำยาเม็ด Chlorpheniramine tablet เกิดปัญหา binding (เม็ดยาติดหน้า die) ข้อใดไม่ใช่วิธีการแก้ไขปัญหา</t>
        </is>
      </c>
      <c r="C216" s="46" t="n"/>
      <c r="D216" s="45" t="inlineStr">
        <is>
          <t>การเติม lubricant จะช่วยลดแรงเสียดทานระหว่างยากับ Die และลดปัญหาการติดหน้า Die</t>
        </is>
      </c>
      <c r="E216" s="45" t="inlineStr">
        <is>
          <t>การอบ Granule ให้แห้งจะช่วยลดการเกาะติดกัน จึงลดการติดหน้า Die</t>
        </is>
      </c>
      <c r="F216" s="45" t="inlineStr">
        <is>
          <t>Silicon dioxide คือสารดูดความชื้น</t>
        </is>
      </c>
      <c r="G216" s="45" t="inlineStr">
        <is>
          <t>แรงตอกสูงอาจทำให้เกิดปัญหาแกรนูลแตกได้ แต่สามารถช่วยลดโอกาสยาติด Die</t>
        </is>
      </c>
      <c r="H216" s="45" t="inlineStr">
        <is>
          <t>หากบริเวณที่ตอกมีความชื้นมากเกินไปหรือมีความเหนียว จะทำให้ยาติด die</t>
        </is>
      </c>
      <c r="I216" s="46" t="n">
        <v>1</v>
      </c>
      <c r="J216" s="45" t="inlineStr">
        <is>
          <t>✅ คำตอบที่ถูกต้อง: ข้อ ก. การเติม lubricant จะช่วยลดแรงเสียดทานระหว่างยากับ Die และลดปัญหาการติดหน้า Die
💡 Background:
คำถามข้อสอบจริงใบประกอบวิชาชีพ PLE-CC 1 (Product) ปี 2564 ข้อ 61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6" s="46" t="n"/>
      <c r="L216" s="45" t="inlineStr">
        <is>
          <t>Solid Dosage Forms &amp; Manufacturing</t>
        </is>
      </c>
      <c r="M216" s="46" t="inlineStr">
        <is>
          <t>Product</t>
        </is>
      </c>
      <c r="N216" s="45" t="inlineStr">
        <is>
          <t>ข้อสอบจริง Product ปี 2564 ข้อ 61</t>
        </is>
      </c>
      <c r="O216" s="46" t="inlineStr">
        <is>
          <t>ข้อสอบจริง</t>
        </is>
      </c>
      <c r="P216" s="46" t="inlineStr">
        <is>
          <t>ปี 2564</t>
        </is>
      </c>
    </row>
    <row r="217">
      <c r="A217" s="46" t="n">
        <v>215</v>
      </c>
      <c r="B217" s="45" t="inlineStr">
        <is>
          <t>ข้อใดเป็นวิธีแก้ปัญหายา Capping</t>
        </is>
      </c>
      <c r="C217" s="46" t="n"/>
      <c r="D217" s="45" t="inlineStr">
        <is>
          <t>เพิ่มแรงในการตอกเม็ด ❌ อาจทำให้ capping แย่ลง เพราะอากาศถูกอัดไว้มากขึ้น</t>
        </is>
      </c>
      <c r="E217" s="45" t="inlineStr">
        <is>
          <t>ลดระยะเวลาผสมกับ filler ❌ ไม่ใช่วิธีแก้โดยตรง</t>
        </is>
      </c>
      <c r="F217" s="45" t="inlineStr">
        <is>
          <t>เพิ่มปริมาณ binder ✅ ถูกต้อง</t>
        </is>
      </c>
      <c r="G217" s="45" t="inlineStr">
        <is>
          <t>เพิ่มปริมาณ filler ❌ ไม่ช่วยเรื่องแรงยึดเกาะ</t>
        </is>
      </c>
      <c r="H217" s="45" t="inlineStr">
        <is>
          <t>เพิ่มสารช่วยแตกตัว ❌ อาจทำให้เม็ดเปราะและเกิด capping ได้มากขึ้น</t>
        </is>
      </c>
      <c r="I217" s="46" t="n">
        <v>1</v>
      </c>
      <c r="J217" s="45" t="inlineStr">
        <is>
          <t>✅ คำตอบที่ถูกต้อง: ข้อ ก. เพิ่มแรงในการตอกเม็ด ❌ อาจทำให้ capping แย่ลง เพราะอากาศถูกอัดไว้มากขึ้น
💡 Background:
คำถามข้อสอบจริงใบประกอบวิชาชีพ PLE-CC 1 (Product) ปี 2564 ข้อ 65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7" s="46" t="n"/>
      <c r="L217" s="45" t="inlineStr">
        <is>
          <t>Solid Dosage Forms &amp; Manufacturing</t>
        </is>
      </c>
      <c r="M217" s="46" t="inlineStr">
        <is>
          <t>Product</t>
        </is>
      </c>
      <c r="N217" s="45" t="inlineStr">
        <is>
          <t>ข้อสอบจริง Product ปี 2564 ข้อ 65</t>
        </is>
      </c>
      <c r="O217" s="46" t="inlineStr">
        <is>
          <t>ข้อสอบจริง</t>
        </is>
      </c>
      <c r="P217" s="46" t="inlineStr">
        <is>
          <t>ปี 2564</t>
        </is>
      </c>
    </row>
    <row r="218">
      <c r="A218" s="46" t="n">
        <v>216</v>
      </c>
      <c r="B218" s="45" t="inlineStr">
        <is>
          <t>ข้อใดไม่ใช่ปัญหาเมื่อสารเคลือบฟิล์มมีความหนืดมากเกิน</t>
        </is>
      </c>
      <c r="C218" s="46" t="n"/>
      <c r="D218" s="45" t="inlineStr">
        <is>
          <t>Picking (ฟิล์มติดหัวพ่นหรือผิวเม็ดยา) ✅ เกิดได้</t>
        </is>
      </c>
      <c r="E218" s="45" t="inlineStr">
        <is>
          <t>Cracking (ฟิล์มแตกร้าว) ❌ ไม่ใช่ผลจากความหนืดสูง → คำตอบ</t>
        </is>
      </c>
      <c r="F218" s="45" t="inlineStr">
        <is>
          <t>Twinning  (เม็ดยา 2 เม็ดติดกัน) ✅ เกิดได้</t>
        </is>
      </c>
      <c r="G218" s="45" t="inlineStr">
        <is>
          <t>Roughness  (ผิวหยาบ) ✅ เกิดได้</t>
        </is>
      </c>
      <c r="H218" s="45" t="inlineStr">
        <is>
          <t>Sticking (เม็ดยาติดกัน) ✅ เกิดได้</t>
        </is>
      </c>
      <c r="I218" s="46" t="n">
        <v>1</v>
      </c>
      <c r="J218" s="45" t="inlineStr">
        <is>
          <t>✅ คำตอบที่ถูกต้อง: ข้อ ก. Picking (ฟิล์มติดหัวพ่นหรือผิวเม็ดยา) ✅ เกิดได้
💡 Background:
คำถามข้อสอบจริงใบประกอบวิชาชีพ PLE-CC 1 (Product) ปี 2564 ข้อ 67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8" s="46" t="n"/>
      <c r="L218" s="45" t="inlineStr">
        <is>
          <t>Solid Dosage Forms &amp; Manufacturing</t>
        </is>
      </c>
      <c r="M218" s="46" t="inlineStr">
        <is>
          <t>Product</t>
        </is>
      </c>
      <c r="N218" s="45" t="inlineStr">
        <is>
          <t>ข้อสอบจริง Product ปี 2564 ข้อ 67</t>
        </is>
      </c>
      <c r="O218" s="46" t="inlineStr">
        <is>
          <t>ข้อสอบจริง</t>
        </is>
      </c>
      <c r="P218" s="46" t="inlineStr">
        <is>
          <t>ปี 2564</t>
        </is>
      </c>
    </row>
    <row r="219">
      <c r="A219" s="46" t="n">
        <v>217</v>
      </c>
      <c r="B219" s="45" t="inlineStr">
        <is>
          <t>ข้อใดไม่ใช่ส่วนประกอบของ soft capsule</t>
        </is>
      </c>
      <c r="C219" s="46" t="n"/>
      <c r="D219" s="45" t="inlineStr">
        <is>
          <t>Glycerin ✅ Plasticizer</t>
        </is>
      </c>
      <c r="E219" s="45" t="inlineStr">
        <is>
          <t>Propylene glycol ✅ Plasticizer (ใช้ได้ในบางสูตร)</t>
        </is>
      </c>
      <c r="F219" s="45" t="inlineStr">
        <is>
          <t>Lake color ✅ สีของเปลือกแคปซูล แม้ไม่ละลายน้ำ ก็ใช้เป็นสีของ soft capsule ได้</t>
        </is>
      </c>
      <c r="G219" s="45" t="inlineStr">
        <is>
          <t>PEG 400 ❌ ไม่ใช่ส่วนประกอบมาตรฐานของ shell (มักใช้เป็นตัวทำละลายหรือ vehicle ของไส้แคปซูลมากกว่า)</t>
        </is>
      </c>
      <c r="H219" s="45" t="inlineStr">
        <is>
          <t>Water ✅ ส่วนประกอบสำคัญของเปลือก</t>
        </is>
      </c>
      <c r="I219" s="46" t="n">
        <v>1</v>
      </c>
      <c r="J219" s="45" t="inlineStr">
        <is>
          <t>✅ คำตอบที่ถูกต้อง: ข้อ ก. Glycerin ✅ Plasticizer
💡 Background:
คำถามข้อสอบจริงใบประกอบวิชาชีพ PLE-CC 1 (Product) ปี 2564 ข้อ 70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9" s="46" t="n"/>
      <c r="L219" s="45" t="inlineStr">
        <is>
          <t>Solid Dosage Forms &amp; Manufacturing</t>
        </is>
      </c>
      <c r="M219" s="46" t="inlineStr">
        <is>
          <t>Product</t>
        </is>
      </c>
      <c r="N219" s="45" t="inlineStr">
        <is>
          <t>ข้อสอบจริง Product ปี 2564 ข้อ 70</t>
        </is>
      </c>
      <c r="O219" s="46" t="inlineStr">
        <is>
          <t>ข้อสอบจริง</t>
        </is>
      </c>
      <c r="P219" s="46" t="inlineStr">
        <is>
          <t>ปี 2564</t>
        </is>
      </c>
    </row>
    <row r="220">
      <c r="A220" s="46" t="n">
        <v>218</v>
      </c>
      <c r="B220" s="45" t="inlineStr">
        <is>
          <t>Calcium phosphate dihydrate ทำหน้าที่เป็นอะไรในตำรับ</t>
        </is>
      </c>
      <c r="C220" s="46" t="n"/>
      <c r="D220" s="45" t="inlineStr">
        <is>
          <t>Diluent</t>
        </is>
      </c>
      <c r="E220" s="45" t="inlineStr">
        <is>
          <t>Binder</t>
        </is>
      </c>
      <c r="F220" s="45" t="inlineStr">
        <is>
          <t>Disintegrator</t>
        </is>
      </c>
      <c r="G220" s="45" t="inlineStr">
        <is>
          <t>Lubricant</t>
        </is>
      </c>
      <c r="H220" s="45" t="inlineStr">
        <is>
          <t>ไม่มีข้อใดถูก คำอธิบาย: Calcium phosphate dihydrate (CaHPO₄·2H₂O) เป็นสารช่วยทางเภสัชกรรมที่ใช้หลัก ๆ เป็น  Diluent / Filler (สารเพิ่มปริมาณ) โดยมีหน้าที่เพิ่มปริมาณผงในตำรับยาเม็ด, ช่วยให้ตอกเป็นเม็ดได้ง่ายขึ้น และ มีความสามารถในการอัดตัว (compressibility) ดี จึงเหมาะกับ direct compression ในหลายตำรับ</t>
        </is>
      </c>
      <c r="I220" s="46" t="n">
        <v>1</v>
      </c>
      <c r="J220" s="45" t="inlineStr">
        <is>
          <t>✅ คำตอบที่ถูกต้อง: ข้อ ก. Diluent
💡 Background:
คำถามข้อสอบจริงใบประกอบวิชาชีพ PLE-CC 1 (Product) ปี 2564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0" s="46" t="n"/>
      <c r="L220" s="45" t="inlineStr">
        <is>
          <t>Solid Dosage Forms &amp; Manufacturing</t>
        </is>
      </c>
      <c r="M220" s="46" t="inlineStr">
        <is>
          <t>Product</t>
        </is>
      </c>
      <c r="N220" s="45" t="inlineStr">
        <is>
          <t>ข้อสอบจริง Product ปี 2564 ข้อ 92</t>
        </is>
      </c>
      <c r="O220" s="46" t="inlineStr">
        <is>
          <t>ข้อสอบจริง</t>
        </is>
      </c>
      <c r="P220" s="46" t="inlineStr">
        <is>
          <t>ปี 2564</t>
        </is>
      </c>
    </row>
    <row r="221">
      <c r="A221" s="46" t="n">
        <v>219</v>
      </c>
      <c r="B221" s="45" t="inlineStr">
        <is>
          <t>ยาเม็ดพบฟิล์มแตกร้าว ( film cracking ) แก้ไขตำรับอย่างไร</t>
        </is>
      </c>
      <c r="C221" s="46" t="n"/>
      <c r="D221" s="45" t="inlineStr">
        <is>
          <t>เพิ่มสารช่วยยืดหยุ่น plasticizers</t>
        </is>
      </c>
      <c r="E221" s="45" t="inlineStr">
        <is>
          <t>เพิ่ม disintegrant ❌ ช่วยให้เม็ดแตกตัว ไม่เกี่ยวกับฟิล์มเคลือบ</t>
        </is>
      </c>
      <c r="F221" s="45" t="inlineStr">
        <is>
          <t>เพิ่มความหนืดของ plasticizers ❌ Plasticizer ไม่ได้แก้โดยเพิ่มความหนืด</t>
        </is>
      </c>
      <c r="G221" s="45" t="inlineStr">
        <is>
          <t>ลดอุณหภูมิลม ❌ อุณหภูมิการอบแห้งเกี่ยวกับกระบวนการเคลือบ แต่ไม่ใช่วิธีหลัก</t>
        </is>
      </c>
      <c r="H221" s="45" t="inlineStr">
        <is>
          <t>เพิ่มความเร็วในการหมุนหม้อเคลือบ ❌ อาจเพิ่มแรงกระแทกของเม็ด แต่ไม่แก้ความเปราะของฟิล์ม</t>
        </is>
      </c>
      <c r="I221" s="46" t="n">
        <v>1</v>
      </c>
      <c r="J221" s="45" t="inlineStr">
        <is>
          <t>✅ คำตอบที่ถูกต้อง: ข้อ ก. เพิ่มสารช่วยยืดหยุ่น plasticizers
💡 Background:
คำถามข้อสอบจริงใบประกอบวิชาชีพ PLE-CC 1 (Product) ปี 2564 ข้อ 95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1" s="46" t="n"/>
      <c r="L221" s="45" t="inlineStr">
        <is>
          <t>Solid Dosage Forms &amp; Manufacturing</t>
        </is>
      </c>
      <c r="M221" s="46" t="inlineStr">
        <is>
          <t>Product</t>
        </is>
      </c>
      <c r="N221" s="45" t="inlineStr">
        <is>
          <t>ข้อสอบจริง Product ปี 2564 ข้อ 95</t>
        </is>
      </c>
      <c r="O221" s="46" t="inlineStr">
        <is>
          <t>ข้อสอบจริง</t>
        </is>
      </c>
      <c r="P221" s="46" t="inlineStr">
        <is>
          <t>ปี 2564</t>
        </is>
      </c>
    </row>
    <row r="222">
      <c r="A222" s="46" t="n">
        <v>220</v>
      </c>
      <c r="B222" s="45" t="inlineStr">
        <is>
          <t>Soy bean oil มีหน้าที่อะไรในตำรับ</t>
        </is>
      </c>
      <c r="C222" s="46" t="n"/>
      <c r="D222" s="45" t="inlineStr">
        <is>
          <t>Filling</t>
        </is>
      </c>
      <c r="E222" s="45" t="inlineStr">
        <is>
          <t>Plasticizer</t>
        </is>
      </c>
      <c r="F222" s="45" t="inlineStr">
        <is>
          <t>Stabilizer</t>
        </is>
      </c>
      <c r="G222" s="45" t="inlineStr">
        <is>
          <t>Stiffening</t>
        </is>
      </c>
      <c r="H222" s="45" t="inlineStr">
        <is>
          <t>Film former คำอธิบาย: Soybean oil เป็น น้ำมันตัวพา (vehicle/fill material) ใช้บรรจุและช่วยละลาย/กระจายตัวยาในไส้แคปซูลนิ่ม</t>
        </is>
      </c>
      <c r="I222" s="46" t="n">
        <v>1</v>
      </c>
      <c r="J222" s="45" t="inlineStr">
        <is>
          <t>✅ คำตอบที่ถูกต้อง: ข้อ ก. Filling
💡 Background:
คำถามข้อสอบจริงใบประกอบวิชาชีพ PLE-CC 1 (Product) ปี 2564 ข้อ 124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2" s="46" t="n"/>
      <c r="L222" s="45" t="inlineStr">
        <is>
          <t>Solid Dosage Forms &amp; Manufacturing</t>
        </is>
      </c>
      <c r="M222" s="46" t="inlineStr">
        <is>
          <t>Product</t>
        </is>
      </c>
      <c r="N222" s="45" t="inlineStr">
        <is>
          <t>ข้อสอบจริง Product ปี 2564 ข้อ 124</t>
        </is>
      </c>
      <c r="O222" s="46" t="inlineStr">
        <is>
          <t>ข้อสอบจริง</t>
        </is>
      </c>
      <c r="P222" s="46" t="inlineStr">
        <is>
          <t>ปี 2564</t>
        </is>
      </c>
    </row>
    <row r="223">
      <c r="A223" s="46" t="n">
        <v>221</v>
      </c>
      <c r="B223" s="45" t="inlineStr">
        <is>
          <t>แพทย์สั่งยาน้ำให้ผู้ป่วยเด็กเตรียม enalapril oral solution จาก enalapril maleate tablet 10 mg ถ้าอยากได้ solution ที่มี enalapril 15 mg/mL ปริมาตร 60 mL ต้องใช้ยาเม็ดกี่เม็ด</t>
        </is>
      </c>
      <c r="C223" s="46" t="n"/>
      <c r="D223" s="45" t="inlineStr">
        <is>
          <t>3 เดือน</t>
        </is>
      </c>
      <c r="E223" s="45" t="inlineStr">
        <is>
          <t>6 เดือน</t>
        </is>
      </c>
      <c r="F223" s="45" t="inlineStr">
        <is>
          <t>1 ปี</t>
        </is>
      </c>
      <c r="G223" s="45" t="inlineStr">
        <is>
          <t>2 ปี</t>
        </is>
      </c>
      <c r="H223" s="45" t="inlineStr">
        <is>
          <t>3 ปี คำอธิบาย: Shelf-life คือเวลาที่ตัวยายังอยู่ในช่วงกำหนด โดยทั่วไปกำหนด 90–110% ของ label amount (เว้นแต่โจทย์กำหนดช่วงอื่น) ดังนั้นจึงตอบ C. 1 ปี</t>
        </is>
      </c>
      <c r="I223" s="46" t="n">
        <v>5</v>
      </c>
      <c r="J223" s="45" t="inlineStr">
        <is>
          <t>✅ คำตอบที่ถูกต้อง: ข้อ จ. 3 ปี คำอธิบาย: Shelf-life คือเวลาที่ตัวยายังอยู่ในช่วงกำหนด โดยทั่วไปกำหนด 90–110% ของ label amount (เว้นแต่โจทย์กำหนดช่วงอื่น) ดังนั้นจึงตอบ C. 1 ปี
💡 Background:
คำถามข้อสอบจริงใบประกอบวิชาชีพ PLE-CC 1 (Product) ปี 2564 ข้อ 129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3" s="46" t="n"/>
      <c r="L223" s="45" t="inlineStr">
        <is>
          <t>Solid Dosage Forms &amp; Manufacturing</t>
        </is>
      </c>
      <c r="M223" s="46" t="inlineStr">
        <is>
          <t>Product</t>
        </is>
      </c>
      <c r="N223" s="45" t="inlineStr">
        <is>
          <t>ข้อสอบจริง Product ปี 2564 ข้อ 129</t>
        </is>
      </c>
      <c r="O223" s="46" t="inlineStr">
        <is>
          <t>ข้อสอบจริง</t>
        </is>
      </c>
      <c r="P223" s="46" t="inlineStr">
        <is>
          <t>ปี 2564</t>
        </is>
      </c>
    </row>
    <row r="224">
      <c r="A224" s="46" t="n">
        <v>222</v>
      </c>
      <c r="B224" s="45" t="inlineStr">
        <is>
          <t>จากข้อ 135 สารในข้อใดเป็นสารช่วยแตกตัวสำรับ</t>
        </is>
      </c>
      <c r="C224" s="46" t="n"/>
      <c r="D224" s="45" t="inlineStr">
        <is>
          <t>Starch ✅ เป็น disintegrant</t>
        </is>
      </c>
      <c r="E224" s="45" t="inlineStr">
        <is>
          <t>Lactose ❌ เป็น diluent/filler</t>
        </is>
      </c>
      <c r="F224" s="45" t="inlineStr">
        <is>
          <t>Mg stearate ❌ เป็น lubricant</t>
        </is>
      </c>
      <c r="G224" s="45" t="inlineStr">
        <is>
          <t>Colloidal silicon dioxide (Aerosil) ❌ เป็น glidant/adsorbent</t>
        </is>
      </c>
      <c r="H224" s="45" t="inlineStr">
        <is>
          <t>SLS ❌ เป็น surfactant/wetting agen</t>
        </is>
      </c>
      <c r="I224" s="46" t="n">
        <v>1</v>
      </c>
      <c r="J224" s="45" t="inlineStr">
        <is>
          <t>✅ คำตอบที่ถูกต้อง: ข้อ ก. Starch ✅ เป็น disintegrant
💡 Background:
คำถามข้อสอบจริงใบประกอบวิชาชีพ PLE-CC 1 (Product) ปี 2564 ข้อ 136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4" s="46" t="n"/>
      <c r="L224" s="45" t="inlineStr">
        <is>
          <t>Solid Dosage Forms &amp; Manufacturing</t>
        </is>
      </c>
      <c r="M224" s="46" t="inlineStr">
        <is>
          <t>Product</t>
        </is>
      </c>
      <c r="N224" s="45" t="inlineStr">
        <is>
          <t>ข้อสอบจริง Product ปี 2564 ข้อ 136</t>
        </is>
      </c>
      <c r="O224" s="46" t="inlineStr">
        <is>
          <t>ข้อสอบจริง</t>
        </is>
      </c>
      <c r="P224" s="46" t="inlineStr">
        <is>
          <t>ปี 2564</t>
        </is>
      </c>
    </row>
    <row r="225">
      <c r="A225" s="46" t="n">
        <v>223</v>
      </c>
      <c r="B225" s="45" t="inlineStr">
        <is>
          <t>ควรใช้ polymer ใดเคลือบ pellet ในรูปแบบ enteric coated</t>
        </is>
      </c>
      <c r="C225" s="46" t="n"/>
      <c r="D225" s="45" t="inlineStr">
        <is>
          <t>Shellac ❌ ใช้ทำ enteric ได้ แต่ปัจจุบันใช้น้อย เพราะความคงตัวไม่ดี</t>
        </is>
      </c>
      <c r="E225" s="45" t="inlineStr">
        <is>
          <t>Hypromellose (HPMC) ❌ Film former ทั่วไป ไม่ใช่ enteric</t>
        </is>
      </c>
      <c r="F225" s="45" t="inlineStr">
        <is>
          <t>Polyvinyl alcohol (PVA) ❌ Film former ไม่ใช่ enteric</t>
        </is>
      </c>
      <c r="G225" s="45" t="inlineStr">
        <is>
          <t>Carboxymethyl cellulose (CMC) ❌ Thickener/Binder ไม่ใช่ enteric</t>
        </is>
      </c>
      <c r="H225" s="45" t="inlineStr">
        <is>
          <t>Polyvinyl acetate phthalate (PVAP) ✅ Enteric polymer</t>
        </is>
      </c>
      <c r="I225" s="46" t="n">
        <v>1</v>
      </c>
      <c r="J225" s="45" t="inlineStr">
        <is>
          <t>✅ คำตอบที่ถูกต้อง: ข้อ ก. Shellac ❌ ใช้ทำ enteric ได้ แต่ปัจจุบันใช้น้อย เพราะความคงตัวไม่ดี
💡 Background:
คำถามข้อสอบจริงใบประกอบวิชาชีพ PLE-CC 1 (Product) ปี 2564 ข้อ 153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5" s="46" t="n"/>
      <c r="L225" s="45" t="inlineStr">
        <is>
          <t>Solid Dosage Forms &amp; Manufacturing</t>
        </is>
      </c>
      <c r="M225" s="46" t="inlineStr">
        <is>
          <t>Product</t>
        </is>
      </c>
      <c r="N225" s="45" t="inlineStr">
        <is>
          <t>ข้อสอบจริง Product ปี 2564 ข้อ 153</t>
        </is>
      </c>
      <c r="O225" s="46" t="inlineStr">
        <is>
          <t>ข้อสอบจริง</t>
        </is>
      </c>
      <c r="P225" s="46" t="inlineStr">
        <is>
          <t>ปี 2564</t>
        </is>
      </c>
    </row>
    <row r="226">
      <c r="A226" s="46" t="n">
        <v>224</v>
      </c>
      <c r="B226" s="45" t="inlineStr">
        <is>
          <t>ยาเม็ดดังภาพเกิดปัญหาใด [แนบรูป: ข้อสอบ Product ปี 2564 รหัสรูปภาพ image91]</t>
        </is>
      </c>
      <c r="C226" s="46" t="inlineStr">
        <is>
          <t>[แนบรูป: ข้อสอบ Product ปี 2564 รหัสรูปภาพ image91]</t>
        </is>
      </c>
      <c r="D226" s="45" t="inlineStr">
        <is>
          <t>Capping → ฝาบนหรือฝาล่างของเม็ดยาแยกออก</t>
        </is>
      </c>
      <c r="E226" s="45" t="inlineStr">
        <is>
          <t>Chipping → ขอบเม็ดยาบิ่น/แตก</t>
        </is>
      </c>
      <c r="F226" s="45" t="inlineStr">
        <is>
          <t>Twinning → ยาเม็ด 2 เม็ดติดกัน</t>
        </is>
      </c>
      <c r="G226" s="45" t="inlineStr">
        <is>
          <t>Bridging → สารเคลือบปิดทับรอยสลัก/ตัวอักษรบนเม็ด</t>
        </is>
      </c>
      <c r="H226" s="45" t="inlineStr">
        <is>
          <t>Cracking → เกิดรอยร้าวบนผิวเม็ดยา</t>
        </is>
      </c>
      <c r="I226" s="46" t="n">
        <v>1</v>
      </c>
      <c r="J226" s="45" t="inlineStr">
        <is>
          <t>✅ คำตอบที่ถูกต้อง: ข้อ ก. Capping → ฝาบนหรือฝาล่างของเม็ดยาแยกออก
💡 Background:
คำถามข้อสอบจริงใบประกอบวิชาชีพ PLE-CC 1 (Product) ปี 2564 ข้อ 159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6" s="46" t="n"/>
      <c r="L226" s="45" t="inlineStr">
        <is>
          <t>Solid Dosage Forms &amp; Manufacturing</t>
        </is>
      </c>
      <c r="M226" s="46" t="inlineStr">
        <is>
          <t>Product</t>
        </is>
      </c>
      <c r="N226" s="45" t="inlineStr">
        <is>
          <t>ข้อสอบจริง Product ปี 2564 ข้อ 159</t>
        </is>
      </c>
      <c r="O226" s="46" t="inlineStr">
        <is>
          <t>ข้อสอบจริง</t>
        </is>
      </c>
      <c r="P226" s="46" t="inlineStr">
        <is>
          <t>ปี 2564</t>
        </is>
      </c>
    </row>
    <row r="227">
      <c r="A227" s="46" t="n">
        <v>225</v>
      </c>
      <c r="B227" s="45" t="inlineStr">
        <is>
          <t>หัวข้อทดสอบการควบคุมคุณภาพการนำส่งยาชนิดแผ่นแปะผิวหนังตาม USP คือข้อใด</t>
        </is>
      </c>
      <c r="C227" s="46" t="n"/>
      <c r="D227" s="45" t="inlineStr">
        <is>
          <t>Assay</t>
        </is>
      </c>
      <c r="E227" s="45" t="inlineStr">
        <is>
          <t>Impurities</t>
        </is>
      </c>
      <c r="F227" s="45" t="inlineStr">
        <is>
          <t>Description</t>
        </is>
      </c>
      <c r="G227" s="45" t="inlineStr">
        <is>
          <t>Identification</t>
        </is>
      </c>
      <c r="H227" s="45" t="inlineStr">
        <is>
          <t>Uniformity of dosage unit คำอธิบาย:ตามมาตรฐาน สำหรับผลิตภัณฑ์ Transdermal Delivery Systems (แผ่นแปะผิวหนัง) หัวข้อการทดสอบที่กำหนดไว้โดยเฉพาะเพื่อตรวจสอบความสม่ำเสมอของตัวยาในแต่ละแผ่น คือ Uniformity of dosage unit (ซึ่งครอบคลุมทั้ง Content uniformity และ Weight variation) เพื่อให้มั่นใจว่ายาแต่ละแผ่นมีปริมาณตัวยาสำคัญแม่นยำและเท่าเทียมกันตามที่ระบุบนฉลาก แม้ว่าหัวข้ออื่นๆ อย่าง Assay, Impurities, Description หรือ Identification จะเป็นรายการทดสอบมาตรฐานที่ต้องทำในผลิตภัณฑ์ยาทุกรูปแบบ (General tests) แต่หัวข้อ Uniformity of dosage unit เป็นหัวข้อสำคัญที่เน้นเฉพาะเจาะจงสำหรับการควบคุมคุณภาพเชิงปริมาณของยาในรูปแบบยาควบคุมการปลดปล่อย (Dosage unit) เพื่อความปลอดภัยในการใช้ยาผ่านผิวหนัง</t>
        </is>
      </c>
      <c r="I227" s="46" t="n">
        <v>1</v>
      </c>
      <c r="J227" s="45" t="inlineStr">
        <is>
          <t>✅ คำตอบที่ถูกต้อง: ข้อ ก. Assay
💡 Background:
คำถามข้อสอบจริงใบประกอบวิชาชีพ PLE-CC 1 (Product) ปี 2564 ข้อ 164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7" s="46" t="n"/>
      <c r="L227" s="45" t="inlineStr">
        <is>
          <t>Solid Dosage Forms &amp; Manufacturing</t>
        </is>
      </c>
      <c r="M227" s="46" t="inlineStr">
        <is>
          <t>Product</t>
        </is>
      </c>
      <c r="N227" s="45" t="inlineStr">
        <is>
          <t>ข้อสอบจริง Product ปี 2564 ข้อ 164</t>
        </is>
      </c>
      <c r="O227" s="46" t="inlineStr">
        <is>
          <t>ข้อสอบจริง</t>
        </is>
      </c>
      <c r="P227" s="46" t="inlineStr">
        <is>
          <t>ปี 2564</t>
        </is>
      </c>
    </row>
    <row r="228">
      <c r="A228" s="46" t="n">
        <v>226</v>
      </c>
      <c r="B228" s="45" t="inlineStr">
        <is>
          <t>ยาเม็ดพบฟิล์มแตกร้าว (film cracking) แก้ไขตำรับอย่างไร ต้นฉบับ: Day 1 ข้อ 12</t>
        </is>
      </c>
      <c r="C228" s="46" t="n"/>
      <c r="D228" s="45" t="inlineStr">
        <is>
          <t>เพิ่มสารช่วยยืดหยุ่น plasticizers</t>
        </is>
      </c>
      <c r="E228" s="45" t="inlineStr">
        <is>
          <t>เพิ่ม disintegrant</t>
        </is>
      </c>
      <c r="F228" s="45" t="inlineStr">
        <is>
          <t>เพิ่มความหนืดของ plasticizers</t>
        </is>
      </c>
      <c r="G228" s="45" t="inlineStr">
        <is>
          <t>ลดอุณหภูมิลม</t>
        </is>
      </c>
      <c r="H228" s="45" t="inlineStr">
        <is>
          <t xml:space="preserve">เพิ่มความเร็วในการหมุนหม้อเคลือบ | คำตอบ: a) เพิ่มสารช่วยยืดหยุ่น plasticizer Plasticizer ช่วยให้ฟิล์มยืดหยุ่นขึ้นและลดการแตกร้าว ข้อที่ไม่ถูก b) Disintegrant มีผลต่อการแตกตัวของแกนยา c) เพิ่มความหนืดไม่ได้ทำให้ฟิล์มยืดหยุ่นขึ้น d) ลดอุณหภูมิลมอาจทำให้ฟิล์มแห้งไม่ดี e) เพิ่มความเร็วหม้อไม่ได้แก้สาเหตุที่ฟิล์มเปราะ | | :---- | </t>
        </is>
      </c>
      <c r="I228" s="46" t="n">
        <v>1</v>
      </c>
      <c r="J228" s="45" t="inlineStr">
        <is>
          <t>✅ คำตอบที่ถูกต้อง: ข้อ ก. เพิ่มสารช่วยยืดหยุ่น plasticizers
💡 Background:
คำถามข้อสอบจริงใบประกอบวิชาชีพ PLE-CC 1 (Product) ปี 2563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8" s="46" t="n"/>
      <c r="L228" s="45" t="inlineStr">
        <is>
          <t>Solid Dosage Forms &amp; Manufacturing</t>
        </is>
      </c>
      <c r="M228" s="46" t="inlineStr">
        <is>
          <t>Product</t>
        </is>
      </c>
      <c r="N228" s="45" t="inlineStr">
        <is>
          <t>ข้อสอบจริง Product ปี 2563 ข้อ 18</t>
        </is>
      </c>
      <c r="O228" s="46" t="inlineStr">
        <is>
          <t>ข้อสอบจริง</t>
        </is>
      </c>
      <c r="P228" s="46" t="inlineStr">
        <is>
          <t>ปี 2563</t>
        </is>
      </c>
    </row>
    <row r="229">
      <c r="A229" s="46" t="n">
        <v>227</v>
      </c>
      <c r="B229" s="45" t="inlineStr">
        <is>
          <t>ข้อใดระบุใน monograph ของยาเม็ดในเภสัชตำรับ ต้นฉบับ: Day 1 ข้อ 18</t>
        </is>
      </c>
      <c r="C229" s="46" t="n"/>
      <c r="D229" s="45" t="inlineStr">
        <is>
          <t>Hardness</t>
        </is>
      </c>
      <c r="E229" s="45" t="inlineStr">
        <is>
          <t>Loss on drying</t>
        </is>
      </c>
      <c r="F229" s="45" t="inlineStr">
        <is>
          <t>Friability</t>
        </is>
      </c>
      <c r="G229" s="45" t="inlineStr">
        <is>
          <t>Residue on ignition</t>
        </is>
      </c>
      <c r="H229" s="45" t="inlineStr">
        <is>
          <t xml:space="preserve">Uniformity of dosage units | คำตอบ: e) Uniformity of dosage units ใช้ตรวจว่าแต่ละเม็ดได้รับตัวยาสม่ำเสมอกัน ข้อที่ไม่ถูก a) Hardness มักเป็นการควบคุมระหว่างการผลิต b) Loss on drying ไม่ใช่ข้อกำหนดหลักของยาเม็ดทุกตำรับ c) Friability ใช้ตรวจความทนต่อการกะเทาะ d) Residue on ignition ใช้ประเมินสารอนินทรีย์ตกค้าง ซึ่งมักอยู่ใน drug substances | | :---- | </t>
        </is>
      </c>
      <c r="I229" s="46" t="n">
        <v>5</v>
      </c>
      <c r="J229" s="45" t="inlineStr">
        <is>
          <t>✅ คำตอบที่ถูกต้อง: ข้อ จ. Uniformity of dosage units | คำตอบ: e) Uniformity of dosage units ใช้ตรวจว่าแต่ละเม็ดได้รับตัวยาสม่ำเสมอกัน ข้อที่ไม่ถูก a) Hardness มักเป็นการควบคุมระหว่างการผลิต b) Loss on drying ไม่ใช่ข้อกำหนดหลักของยาเม็ดทุกตำรับ c) Friability ใช้ตรวจความทนต่อการกะเทาะ d) Residue on ignition ใช้ประเมินสารอนินทรีย์ตกค้าง ซึ่งมักอยู่ใน drug substances | | :---- | 
💡 Background:
คำถามข้อสอบจริงใบประกอบวิชาชีพ PLE-CC 1 (Product) ปี 2563 ข้อ 19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9" s="46" t="n"/>
      <c r="L229" s="45" t="inlineStr">
        <is>
          <t>Solid Dosage Forms &amp; Manufacturing</t>
        </is>
      </c>
      <c r="M229" s="46" t="inlineStr">
        <is>
          <t>Product</t>
        </is>
      </c>
      <c r="N229" s="45" t="inlineStr">
        <is>
          <t>ข้อสอบจริง Product ปี 2563 ข้อ 19</t>
        </is>
      </c>
      <c r="O229" s="46" t="inlineStr">
        <is>
          <t>ข้อสอบจริง</t>
        </is>
      </c>
      <c r="P229" s="46" t="inlineStr">
        <is>
          <t>ปี 2563</t>
        </is>
      </c>
    </row>
    <row r="230">
      <c r="A230" s="46" t="n">
        <v>228</v>
      </c>
      <c r="B230" s="45" t="inlineStr">
        <is>
          <t>ให้ตำรับมา Atorvastatin 20 mg ต้นฉบับ: Day 1 ข้อ 19 Calcium phosphate dihydrate 	100 mg HPC 				4 mg Nymcel 				4 mg Caposil 				2 mg Talcum 				4.5 mg ถามว่า Calcium phosphate dihydrate ทำหน้าที่อะไรในสูตรตำรับ</t>
        </is>
      </c>
      <c r="C230" s="46" t="n"/>
      <c r="D230" s="45" t="inlineStr">
        <is>
          <t>Binder</t>
        </is>
      </c>
      <c r="E230" s="45" t="inlineStr">
        <is>
          <t>Disintegrator</t>
        </is>
      </c>
      <c r="F230" s="45" t="inlineStr">
        <is>
          <t>Diluent</t>
        </is>
      </c>
      <c r="G230" s="45" t="inlineStr">
        <is>
          <t>Lubricant</t>
        </is>
      </c>
      <c r="H230" s="45" t="inlineStr">
        <is>
          <t xml:space="preserve">ไม่มีข้อถูก | คำตอบ: c) Diluent Calcium phosphate dihydrate เป็น diluent เพื่อใช้เพิ่มมวลให้เม็ดยามีน้ำหนักและขนาดเหมาะสม ข้อที่ไม่ถูก a) ไม่ได้ทำหน้าที่ยึดอนุภาค b) ไม่ได้ช่วยให้เม็ดยาแตกตัว d) ไม่ได้ลดแรงเสียดทานระหว่างการตอก e) ไม่มีข้อความที่ถูกกว่าข้อ c) | | :---- | </t>
        </is>
      </c>
      <c r="I230" s="46" t="n">
        <v>3</v>
      </c>
      <c r="J230" s="45" t="inlineStr">
        <is>
          <t>✅ คำตอบที่ถูกต้อง: ข้อ ค. Diluent
💡 Background:
คำถามข้อสอบจริงใบประกอบวิชาชีพ PLE-CC 1 (Product) ปี 2563 ข้อ 20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0" s="46" t="n"/>
      <c r="L230" s="45" t="inlineStr">
        <is>
          <t>Solid Dosage Forms &amp; Manufacturing</t>
        </is>
      </c>
      <c r="M230" s="46" t="inlineStr">
        <is>
          <t>Product</t>
        </is>
      </c>
      <c r="N230" s="45" t="inlineStr">
        <is>
          <t>ข้อสอบจริง Product ปี 2563 ข้อ 20</t>
        </is>
      </c>
      <c r="O230" s="46" t="inlineStr">
        <is>
          <t>ข้อสอบจริง</t>
        </is>
      </c>
      <c r="P230" s="46" t="inlineStr">
        <is>
          <t>ปี 2563</t>
        </is>
      </c>
    </row>
    <row r="231">
      <c r="A231" s="46" t="n">
        <v>229</v>
      </c>
      <c r="B231" s="45" t="inlineStr">
        <is>
          <t>ข้อใดถูกเกี่ยวกับยา venlafaxine XR (75mg capsule) ต้นฉบับ: Day 1 ข้อ 44</t>
        </is>
      </c>
      <c r="C231" s="46" t="n"/>
      <c r="D231" s="45" t="inlineStr">
        <is>
          <t>ตัวยาปลดปล่อยทันทีหลังรับประทาน</t>
        </is>
      </c>
      <c r="E231" s="45" t="inlineStr">
        <is>
          <t>ตัวยาค่อย ๆ ปลดปล่อยถึงระดับการรักษาและคงที่ระดับไว้ที่ 8-12 ชม.</t>
        </is>
      </c>
      <c r="F231" s="45" t="inlineStr">
        <is>
          <t>กินยาแล้วห้ามนอนราบ</t>
        </is>
      </c>
      <c r="G231" s="45" t="inlineStr">
        <is>
          <t>ตัวยาจะออกฤทธิ์เมื่อเคลื่อนที่ไปถึงลำไส้</t>
        </is>
      </c>
      <c r="H231" s="45" t="inlineStr">
        <is>
          <t xml:space="preserve">สามารถบดยาผสมกับน้ำส้มได้ | คำตอบที่ข้อสอบน่าจะต้องการ: b) ตัวยาค่อย ๆ ปลดปล่อยถึงระดับการรักษาและคงที่ระดับไว้ที่ 8-12 ชม. รูปแบบ XR ค่อย ๆ ปล่อยยา ทำให้ดูดซึมช้ากว่าแบบ immediate release ข้อที่ไม่ถูก a) ไม่ได้ปลดปล่อยทั้งหมดทันที c) ไม่มีข้อกำหนดว่าต้องไม่นอนราบ d) ไม่ใช่ยาเคลือบลำไส้ e) ห้ามบดหรือเคี้ยวเม็ดยาภายในแคปซูล หมายเหตุ: ช่วงเวลา 8-12 ชั่วโมงในตัวเลือก b) ไม่ถูกต้อง เพราะควบคุมประมาณ 24 ชั่วโมง ([DailyMed, 2024](https://dailymed.nlm.nih.gov/dailymed/drugInfo.cfm?setid=9a30e1b5-272b-4109-ad6c-a3c9a895822f)) แต่เป็นตัวเลือกที่ใกล้ที่สุด | | :---- | </t>
        </is>
      </c>
      <c r="I231" s="46" t="n">
        <v>1</v>
      </c>
      <c r="J231" s="45" t="inlineStr">
        <is>
          <t>✅ คำตอบที่ถูกต้อง: ข้อ ก. ตัวยาปลดปล่อยทันทีหลังรับประทาน
💡 Background:
คำถามข้อสอบจริงใบประกอบวิชาชีพ PLE-CC 1 (Product) ปี 2563 ข้อ 22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1" s="46" t="n"/>
      <c r="L231" s="45" t="inlineStr">
        <is>
          <t>Solid Dosage Forms &amp; Manufacturing</t>
        </is>
      </c>
      <c r="M231" s="46" t="inlineStr">
        <is>
          <t>Product</t>
        </is>
      </c>
      <c r="N231" s="45" t="inlineStr">
        <is>
          <t>ข้อสอบจริง Product ปี 2563 ข้อ 22</t>
        </is>
      </c>
      <c r="O231" s="46" t="inlineStr">
        <is>
          <t>ข้อสอบจริง</t>
        </is>
      </c>
      <c r="P231" s="46" t="inlineStr">
        <is>
          <t>ปี 2563</t>
        </is>
      </c>
    </row>
    <row r="232">
      <c r="A232" s="46" t="n">
        <v>230</v>
      </c>
      <c r="B232" s="45" t="inlineStr">
        <is>
          <t>ข้อใดเป็นวิธีแก้ปัญหา Capping ต้นฉบับ: Day 2 ข้อ 19</t>
        </is>
      </c>
      <c r="C232" s="46" t="n"/>
      <c r="D232" s="45" t="inlineStr">
        <is>
          <t>เพิ่มแรงในการตอก</t>
        </is>
      </c>
      <c r="E232" s="45" t="inlineStr">
        <is>
          <t>ลดระยะเวลาผสมกับ filler</t>
        </is>
      </c>
      <c r="F232" s="45" t="inlineStr">
        <is>
          <t>เพิ่มปริมาณ binder</t>
        </is>
      </c>
      <c r="G232" s="45" t="inlineStr">
        <is>
          <t>เพิ่มปริมาณ filler</t>
        </is>
      </c>
      <c r="H232" s="45" t="inlineStr">
        <is>
          <t xml:space="preserve">เพิ่มสารช่วยแตกตัว | คำตอบ: c) เพิ่มปริมาณ binder Capping เกิดได้เมื่ออนุภาคยึดเกาะกันไม่ดี การเพิ่ม binder ช่วยให้เม็ดยาแข็งแรงขึ้น ข้อที่ไม่ถูก a) เพิ่มแรงตอกมากเกินอาจกักอากาศและทำให้ capping มากขึ้น b) ลดเวลาผสมกับ filler ไม่ได้แก้แรงยึดเกาะโดยตรง d) เพิ่ม filler อาจทำให้สัดส่วน binder ยิ่งต่ำลง e) เพิ่ม disintegrant ทำให้เม็ดยาแตกง่ายขึ้น | | :---- | </t>
        </is>
      </c>
      <c r="I232" s="46" t="n">
        <v>3</v>
      </c>
      <c r="J232" s="45" t="inlineStr">
        <is>
          <t>✅ คำตอบที่ถูกต้อง: ข้อ ค. เพิ่มปริมาณ binder
💡 Background:
คำถามข้อสอบจริงใบประกอบวิชาชีพ PLE-CC 1 (Product) ปี 2563 ข้อ 27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2" s="46" t="n"/>
      <c r="L232" s="45" t="inlineStr">
        <is>
          <t>Solid Dosage Forms &amp; Manufacturing</t>
        </is>
      </c>
      <c r="M232" s="46" t="inlineStr">
        <is>
          <t>Product</t>
        </is>
      </c>
      <c r="N232" s="45" t="inlineStr">
        <is>
          <t>ข้อสอบจริง Product ปี 2563 ข้อ 27</t>
        </is>
      </c>
      <c r="O232" s="46" t="inlineStr">
        <is>
          <t>ข้อสอบจริง</t>
        </is>
      </c>
      <c r="P232" s="46" t="inlineStr">
        <is>
          <t>ปี 2563</t>
        </is>
      </c>
    </row>
    <row r="233">
      <c r="A233" s="46" t="n">
        <v>231</v>
      </c>
      <c r="B233" s="45" t="inlineStr">
        <is>
          <t>ข้อใดไม่ใช่ปัญหาเมื่อสารเคลือบฟิล์มมีความหนืดมากเกิน ต้นฉบับ: Day 2 ข้อ 25</t>
        </is>
      </c>
      <c r="C233" s="46" t="n"/>
      <c r="D233" s="45" t="inlineStr">
        <is>
          <t>Picking</t>
        </is>
      </c>
      <c r="E233" s="45" t="inlineStr">
        <is>
          <t>Cracking</t>
        </is>
      </c>
      <c r="F233" s="45" t="inlineStr">
        <is>
          <t>Twinning</t>
        </is>
      </c>
      <c r="G233" s="45" t="inlineStr">
        <is>
          <t>Roughness</t>
        </is>
      </c>
      <c r="H233" s="45" t="inlineStr">
        <is>
          <t xml:space="preserve">Sticking | คำตอบ: b) Cracking Cracking เกี่ยวกับฟิล์มเปราะหรือมี plasticizer ไม่พอ มากกว่าความหนืดของสารเคลือบ ข้อที่ไม่ถูก a) สารเคลือบหนืดและเหนียวอาจดึงผิวเม็ดยาติดออกมา c) ความเหนียวเพิ่มโอกาสที่เม็ดยาจะติดกันเป็นคู่ d) ความหนืดสูงทำให้พ่นละอองไม่ละเอียดและผิวขรุขระ e) สารเคลือบเหนียวทำให้เม็ดยาติดกันหรือยึดกับหม้อเคลือบ | | :---- | </t>
        </is>
      </c>
      <c r="I233" s="46" t="n">
        <v>2</v>
      </c>
      <c r="J233" s="45" t="inlineStr">
        <is>
          <t>✅ คำตอบที่ถูกต้อง: ข้อ ข. Cracking
💡 Background:
คำถามข้อสอบจริงใบประกอบวิชาชีพ PLE-CC 1 (Product) ปี 2563 ข้อ 30
🎯 ทำไมข้อนี้ถึงถูก:
ข้อ ข.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3" s="46" t="n"/>
      <c r="L233" s="45" t="inlineStr">
        <is>
          <t>Solid Dosage Forms &amp; Manufacturing</t>
        </is>
      </c>
      <c r="M233" s="46" t="inlineStr">
        <is>
          <t>Product</t>
        </is>
      </c>
      <c r="N233" s="45" t="inlineStr">
        <is>
          <t>ข้อสอบจริง Product ปี 2563 ข้อ 30</t>
        </is>
      </c>
      <c r="O233" s="46" t="inlineStr">
        <is>
          <t>ข้อสอบจริง</t>
        </is>
      </c>
      <c r="P233" s="46" t="inlineStr">
        <is>
          <t>ปี 2563</t>
        </is>
      </c>
    </row>
    <row r="234">
      <c r="A234" s="46" t="n">
        <v>232</v>
      </c>
      <c r="B234" s="45" t="inlineStr">
        <is>
          <t>หัวข้อใดพบได้ใน monograph ต้นฉบับ: Day 2 ข้อ 114</t>
        </is>
      </c>
      <c r="C234" s="46" t="n"/>
      <c r="D234" s="45" t="inlineStr">
        <is>
          <t>Hardness</t>
        </is>
      </c>
      <c r="E234" s="45" t="inlineStr">
        <is>
          <t>Loss on drying</t>
        </is>
      </c>
      <c r="F234" s="45" t="inlineStr">
        <is>
          <t>Friability</t>
        </is>
      </c>
      <c r="G234" s="45" t="inlineStr">
        <is>
          <t>Residue on ignition</t>
        </is>
      </c>
      <c r="H234" s="45" t="inlineStr">
        <is>
          <t xml:space="preserve">Uniformity of dosage unit | คำตอบที่ข้อสอบน่าจะต้องการ: e) Uniformity of dosage units เป็นข้อกำหนดสำคัญเพื่อให้แต่ละหน่วยมีปริมาณตัวยาสม่ำเสมอ ข้อที่ไม่ถูก a) Hardness มักเป็นการควบคุมระหว่างการผลิต b) Loss on drying พบในบาง monograph แต่ไม่ใช่ข้อกำหนดหลักของยาเม็ดทุกตำรับ c) Friability มักเป็นการทดสอบเพิ่มเติมของยาเม็ด d) Residue on ignition ใช้กับวัตถุดิบบางชนิดมากกว่า หมายเหตุ: ถ้าถามกว้าง ๆ ว่าอะไรพบได้ใน monograph ข้อนี้กำกวม เพราะข้อ b) และ d) ก็พบได้ในบาง monograph คิดว่าโจทย์น่าจะไม่ครบ | | :---- | </t>
        </is>
      </c>
      <c r="I234" s="46" t="n">
        <v>1</v>
      </c>
      <c r="J234" s="45" t="inlineStr">
        <is>
          <t>✅ คำตอบที่ถูกต้อง: ข้อ ก. Hardness
💡 Background:
คำถามข้อสอบจริงใบประกอบวิชาชีพ PLE-CC 1 (Product) ปี 2563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4" s="46" t="n"/>
      <c r="L234" s="45" t="inlineStr">
        <is>
          <t>Solid Dosage Forms &amp; Manufacturing</t>
        </is>
      </c>
      <c r="M234" s="46" t="inlineStr">
        <is>
          <t>Product</t>
        </is>
      </c>
      <c r="N234" s="45" t="inlineStr">
        <is>
          <t>ข้อสอบจริง Product ปี 2563 ข้อ 39</t>
        </is>
      </c>
      <c r="O234" s="46" t="inlineStr">
        <is>
          <t>ข้อสอบจริง</t>
        </is>
      </c>
      <c r="P234" s="46" t="inlineStr">
        <is>
          <t>ปี 2563</t>
        </is>
      </c>
    </row>
    <row r="235">
      <c r="A235" s="46" t="n">
        <v>233</v>
      </c>
      <c r="B235" s="45" t="inlineStr">
        <is>
          <t>สารช่วยแตกกระจายตัวในยาเม็ด ต้นฉบับ: Day 2 ข้อ 115</t>
        </is>
      </c>
      <c r="C235" s="46" t="n"/>
      <c r="D235" s="45" t="inlineStr">
        <is>
          <t>anhydrous lactose</t>
        </is>
      </c>
      <c r="E235" s="45" t="inlineStr">
        <is>
          <t>HPC</t>
        </is>
      </c>
      <c r="F235" s="45" t="inlineStr">
        <is>
          <t>Magnesium stearate</t>
        </is>
      </c>
      <c r="G235" s="45" t="inlineStr">
        <is>
          <t>PEG</t>
        </is>
      </c>
      <c r="H235" s="45" t="inlineStr">
        <is>
          <t xml:space="preserve">croscarmellose sodium | คำตอบ: e) Croscarmellose sodium เป็น superdisintegrant ที่ดูดน้ำและพองตัว ทำให้เม็ดยาแตกเร็วขึ้น ข้อที่ไม่ถูก a) Anhydrous lactose เป็น diluent b) HPC ใช้เป็น binder หรือ film former c) Magnesium stearate เป็น lubricant d) PEG ใช้เป็น plasticizer หรือตัวทำละลาย | | :---- | </t>
        </is>
      </c>
      <c r="I235" s="46" t="n">
        <v>5</v>
      </c>
      <c r="J235" s="45" t="inlineStr">
        <is>
          <t>✅ คำตอบที่ถูกต้อง: ข้อ จ. croscarmellose sodium | คำตอบ: e) Croscarmellose sodium เป็น superdisintegrant ที่ดูดน้ำและพองตัว ทำให้เม็ดยาแตกเร็วขึ้น ข้อที่ไม่ถูก a) Anhydrous lactose เป็น diluent b) HPC ใช้เป็น binder หรือ film former c) Magnesium stearate เป็น lubricant d) PEG ใช้เป็น plasticizer หรือตัวทำละลาย | | :---- | 
💡 Background:
คำถามข้อสอบจริงใบประกอบวิชาชีพ PLE-CC 1 (Product) ปี 2563 ข้อ 40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5" s="46" t="n"/>
      <c r="L235" s="45" t="inlineStr">
        <is>
          <t>Solid Dosage Forms &amp; Manufacturing</t>
        </is>
      </c>
      <c r="M235" s="46" t="inlineStr">
        <is>
          <t>Product</t>
        </is>
      </c>
      <c r="N235" s="45" t="inlineStr">
        <is>
          <t>ข้อสอบจริง Product ปี 2563 ข้อ 40</t>
        </is>
      </c>
      <c r="O235" s="46" t="inlineStr">
        <is>
          <t>ข้อสอบจริง</t>
        </is>
      </c>
      <c r="P235" s="46" t="inlineStr">
        <is>
          <t>ปี 2563</t>
        </is>
      </c>
    </row>
    <row r="236">
      <c r="A236" s="46" t="n">
        <v>234</v>
      </c>
      <c r="B236" s="45" t="inlineStr">
        <is>
          <t>แหล่งคาร์บอเนต (carbonate source) — sodium bicarbonate, sodium carbonate, potassium bicarbonate   ปฏิกิริยาที่เกิดขึ้น: C₆H₈O₇ \+ 3 NaHCO₃ → Na₃C₆H₅O₇ \+ 3 H₂O \+ 3 CO₂↑ (กรดซิตริก \+ โซเดียมไบคาร์บอเนต → โซเดียมซิเตรต \+ น้ำ \+ คาร์บอนไดออกไซด์)   ฟองแก๊ส CO₂ ที่เกิดขึ้นทำหน้าที่ 3 อย่าง: • ช่วยให้เม็ดยาแตกตัวและละลายเร็วมาก (ภายใน 1–2 นาที) • กลบรสขมของตัวยา • เพิ่มความน่ารับประทานเหมือนน้ำอัดลม   ในตัวเลือกที่มี ข้อ ก. เป็นข้อเดียวที่จับคู่ “กรด \+ ไบคาร์บอเนต” ได้ครบถูกต้อง | | :---- | ## สถานการณ์ที่ 10 ชายอายุ 56 ปี โรคประจำตัวความดันโลหิตสูงและเบาหวาน CC: chest pain 2 hr PTA / Dx: ST-ACS ทำ PCI ใส่ drug-eluting stent / Home med: ASA 81 mg 1x1 pc, Enalapril 5 mg 1x2 pc, Atenolol 50 mg 1x1 pc ข้อ 90. หากต้องการทำยา isosorbide dinitrate SR tablet ต้องใช้สารเคลือบฟิล์มใด</t>
        </is>
      </c>
      <c r="C236" s="46" t="n"/>
      <c r="D236" s="45" t="inlineStr">
        <is>
          <t>HPMC</t>
        </is>
      </c>
      <c r="E236" s="45" t="inlineStr">
        <is>
          <t>PEG 4000</t>
        </is>
      </c>
      <c r="F236" s="45" t="inlineStr">
        <is>
          <t>Ethyl cellulose</t>
        </is>
      </c>
      <c r="G236" s="45" t="inlineStr">
        <is>
          <t>Methyl cellulose</t>
        </is>
      </c>
      <c r="H236" s="45" t="inlineStr">
        <is>
          <t>Sorbitan monostearate | คำอธิบาย การทำเม็ดยาชนิดออกฤทธิ์นาน (sustained release) ด้วยการเคลือบฟิล์ม ต้องใช้พอลิเมอร์ที่ “ไม่ละลายน้ำ” เพื่อทำหน้าที่เป็นเยื่อควบคุมอัตราการปลดปล่อย (rate-controlling membrane)   Ethyl cellulose (EC) เป็น cellulose ether ที่หมู่ hydroxyl ถูกแทนที่ด้วยหมู่ ethyl จนไม่ละลายน้ำที่ทุกค่า pH   กลไกการควบคุมการปลดปล่อย:</t>
        </is>
      </c>
      <c r="I236" s="46" t="n">
        <v>1</v>
      </c>
      <c r="J236" s="45" t="inlineStr">
        <is>
          <t>✅ คำตอบที่ถูกต้อง: ข้อ ก. HPMC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6" s="46" t="n"/>
      <c r="L236" s="45" t="inlineStr">
        <is>
          <t>Solid Dosage Forms &amp; Manufacturing</t>
        </is>
      </c>
      <c r="M236" s="46" t="inlineStr">
        <is>
          <t>Product</t>
        </is>
      </c>
      <c r="N236" s="45" t="inlineStr">
        <is>
          <t>ข้อสอบจริง Product ปี 2562 ข้อ 2</t>
        </is>
      </c>
      <c r="O236" s="46" t="inlineStr">
        <is>
          <t>ข้อสอบจริง</t>
        </is>
      </c>
      <c r="P236" s="46" t="inlineStr">
        <is>
          <t>ปี 2562</t>
        </is>
      </c>
    </row>
    <row r="237">
      <c r="A237" s="46" t="n">
        <v>235</v>
      </c>
      <c r="B237" s="45" t="inlineStr">
        <is>
          <t>Swelling — เมื่อได้รับน้ำ จะพองตัวได้ 4–8 เท่าของปริมาตรเดิม สร้างแรงดันจากภายในดันให้เม็ดยาแตกออก   ข้อได้เปรียบของ superdisintegrant เหนือ disintegrant ธรรมดา: • ใช้ปริมาณน้อยมาก (2–5%) เทียบกับ starch ที่ต้องใช้ 5–20% • ออกฤทธิ์เร็วกว่ามาก ทำให้ ODT แตกตัวได้ภายใน 30 วินาทีในน้ำลายปริมาณน้อย • ประสิทธิภาพไม่ลดลงแม้เม็ดยาจะมีความแข็งสูง   Superdisintegrant ตัวอื่นในกลุ่มเดียวกัน: sodium starch glycolate (Explotab), crospovidone (Polyplasdone)   คุณสมบัตินี้สำคัญกับผู้ป่วยรายนี้เป็นพิเศษ เพราะ deferiprone ต้องรับประทานวันละ 3 ครั้งตลอดชีวิต รูปแบบ ODT ช่วยเพิ่มความสะดวกและความร่วมมือในการใช้ยา | | :---- | ข้อ 109. ถ้าไม่มี PVP K30 ในสูตรตำรับจะเกิดปัญหาอย่างไร</t>
        </is>
      </c>
      <c r="C237" s="46" t="n"/>
      <c r="D237" s="45" t="inlineStr">
        <is>
          <t>1:10</t>
        </is>
      </c>
      <c r="E237" s="45" t="inlineStr">
        <is>
          <t>1:100</t>
        </is>
      </c>
      <c r="F237" s="45" t="inlineStr">
        <is>
          <t>10:1</t>
        </is>
      </c>
      <c r="G237" s="45" t="inlineStr">
        <is>
          <t>100:1</t>
        </is>
      </c>
      <c r="H237" s="45" t="inlineStr">
        <is>
          <t>1000:1 | คำอธิบาย ASA (acetylsalicylic acid, aspirin) เป็นกรดอ่อน ใช้สมการ Henderson-Hasselbalch สำหรับกรด   สูตร: pH \= pKa \+ log (\[ionized\] / \[unionized\])   ขั้นที่ 1 — แทนค่า 5.5 \= 4.5 \+ log (\[ionized\] / \[unionized\])   ขั้นที่ 2 — ย้ายข้าง log (\[ionized\] / \[unionized\]) \= 5.5 − 4.5 \= 1   ขั้นที่ 3 — ถอด log \[ionized\] / \[unionized\] \= 10¹ \= 10 แปลว่า ionized : unionized \= 10 : 1 → unionized : ionized \= 1 : 10   ตอบ 1:10   ตรวจสอบตาม logic: pH (5.5) \&gt; pKa (4.5) แสดงว่าสภาพแวดล้อมเป็นด่างกว่าค่า pKa ของยา กรดอ่อนจึงเสียโปรตอนและอยู่ในรูป ionized เป็นส่วนใหญ่ ดังนั้นสัดส่วน ionized ต้องมากกว่า unionized ✓ | | :---- | Set 2 เดี๋ยวมาเติมให้จ้า</t>
        </is>
      </c>
      <c r="I237" s="46" t="n">
        <v>1</v>
      </c>
      <c r="J237" s="45" t="inlineStr">
        <is>
          <t>✅ คำตอบที่ถูกต้อง: ข้อ ก. 1:10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7" s="46" t="n"/>
      <c r="L237" s="45" t="inlineStr">
        <is>
          <t>Solid Dosage Forms &amp; Manufacturing</t>
        </is>
      </c>
      <c r="M237" s="46" t="inlineStr">
        <is>
          <t>Product</t>
        </is>
      </c>
      <c r="N237" s="45" t="inlineStr">
        <is>
          <t>ข้อสอบจริง Product ปี 2562 ข้อ 2</t>
        </is>
      </c>
      <c r="O237" s="46" t="inlineStr">
        <is>
          <t>ข้อสอบจริง</t>
        </is>
      </c>
      <c r="P237" s="46" t="inlineStr">
        <is>
          <t>ปี 2562</t>
        </is>
      </c>
    </row>
    <row r="238">
      <c r="A238" s="46" t="n">
        <v>236</v>
      </c>
      <c r="B238" s="45" t="inlineStr">
        <is>
          <t>จากข้อ 83 soy bean oil มีน้าที่อะไรในตำรับ</t>
        </is>
      </c>
      <c r="C238" s="46" t="n"/>
      <c r="D238" s="45" t="inlineStr">
        <is>
          <t>Filler</t>
        </is>
      </c>
      <c r="E238" s="45" t="inlineStr">
        <is>
          <t>Plasticizer</t>
        </is>
      </c>
      <c r="F238" s="45" t="inlineStr">
        <is>
          <t>Stabilizer</t>
        </is>
      </c>
      <c r="G238" s="45" t="inlineStr">
        <is>
          <t>Stiffening</t>
        </is>
      </c>
      <c r="H238" s="45" t="inlineStr">
        <is>
          <t>Film former</t>
        </is>
      </c>
      <c r="I238" s="46" t="n">
        <v>1</v>
      </c>
      <c r="J238" s="45" t="inlineStr">
        <is>
          <t>✅ คำตอบที่ถูกต้อง: ข้อ ก. Filler
💡 Background:
คำถามข้อสอบจริงใบประกอบวิชาชีพ PLE-CC 1 (Product) ปี 2561 ข้อ 17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8" s="46" t="n"/>
      <c r="L238" s="45" t="inlineStr">
        <is>
          <t>Solid Dosage Forms &amp; Manufacturing</t>
        </is>
      </c>
      <c r="M238" s="46" t="inlineStr">
        <is>
          <t>Product</t>
        </is>
      </c>
      <c r="N238" s="45" t="inlineStr">
        <is>
          <t>ข้อสอบจริง Product ปี 2561 ข้อ 17</t>
        </is>
      </c>
      <c r="O238" s="46" t="inlineStr">
        <is>
          <t>ข้อสอบจริง</t>
        </is>
      </c>
      <c r="P238" s="46" t="inlineStr">
        <is>
          <t>ปี 2561</t>
        </is>
      </c>
    </row>
    <row r="239">
      <c r="A239" s="46" t="n">
        <v>237</v>
      </c>
      <c r="B239" s="45" t="inlineStr">
        <is>
          <t>สารใดทำหน้าที่เป็นตัวควบคุมการปลดปล่อยแบบ enteric coated</t>
        </is>
      </c>
      <c r="C239" s="46" t="n"/>
      <c r="D239" s="45" t="inlineStr">
        <is>
          <t>HPMC</t>
        </is>
      </c>
      <c r="E239" s="45" t="inlineStr">
        <is>
          <t>HPC</t>
        </is>
      </c>
      <c r="F239" s="45" t="inlineStr">
        <is>
          <t>HEC</t>
        </is>
      </c>
      <c r="G239" s="45" t="inlineStr">
        <is>
          <t>PEG</t>
        </is>
      </c>
      <c r="H239" s="45" t="inlineStr">
        <is>
          <t>Methacrylic acid</t>
        </is>
      </c>
      <c r="I239" s="46" t="n">
        <v>1</v>
      </c>
      <c r="J239" s="45" t="inlineStr">
        <is>
          <t>✅ คำตอบที่ถูกต้อง: ข้อ ก. HPMC
💡 Background:
คำถามข้อสอบจริงใบประกอบวิชาชีพ PLE-CC 1 (Product) ปี 2561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9" s="46" t="n"/>
      <c r="L239" s="45" t="inlineStr">
        <is>
          <t>Solid Dosage Forms &amp; Manufacturing</t>
        </is>
      </c>
      <c r="M239" s="46" t="inlineStr">
        <is>
          <t>Product</t>
        </is>
      </c>
      <c r="N239" s="45" t="inlineStr">
        <is>
          <t>ข้อสอบจริง Product ปี 2561 ข้อ 25</t>
        </is>
      </c>
      <c r="O239" s="46" t="inlineStr">
        <is>
          <t>ข้อสอบจริง</t>
        </is>
      </c>
      <c r="P239" s="46" t="inlineStr">
        <is>
          <t>ปี 2561</t>
        </is>
      </c>
    </row>
    <row r="240">
      <c r="A240" s="46" t="n">
        <v>238</v>
      </c>
      <c r="B240" s="45" t="inlineStr">
        <is>
          <t>จากรูปเมื่อผ่า omeprazole pellet ดังรูปส่วนที่ 1 2 และ 3 น่าจะเป็นส่วนใดตามลำดับ [แนบรูป: ข้อสอบ Product ปี 2561 รหัสรูปภาพ image106]</t>
        </is>
      </c>
      <c r="C240" s="46" t="inlineStr">
        <is>
          <t>[แนบรูป: ข้อสอบ Product ปี 2561 รหัสรูปภาพ image106]</t>
        </is>
      </c>
      <c r="D240" s="45" t="inlineStr">
        <is>
          <t>Omeprazole/Methacrylic acid/HPMC</t>
        </is>
      </c>
      <c r="E240" s="45" t="inlineStr">
        <is>
          <t>HPMC/Omeprazole/Methacrylic acid</t>
        </is>
      </c>
      <c r="F240" s="45" t="inlineStr">
        <is>
          <t>Methacrylic acid/HPMC/Omeprazole</t>
        </is>
      </c>
      <c r="G240" s="45" t="inlineStr">
        <is>
          <t>Omeprazole/HPMC/Methacrylic acid</t>
        </is>
      </c>
      <c r="H240" s="45" t="inlineStr">
        <is>
          <t>HPMC/Omeprazole/Methacrylic acid</t>
        </is>
      </c>
      <c r="I240" s="46" t="n">
        <v>1</v>
      </c>
      <c r="J240" s="45" t="inlineStr">
        <is>
          <t>✅ คำตอบที่ถูกต้อง: ข้อ ก. Omeprazole/Methacrylic acid/HPMC
💡 Background:
คำถามข้อสอบจริงใบประกอบวิชาชีพ PLE-CC 1 (Product) ปี 2561 ข้อ 26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0" s="46" t="n"/>
      <c r="L240" s="45" t="inlineStr">
        <is>
          <t>Solid Dosage Forms &amp; Manufacturing</t>
        </is>
      </c>
      <c r="M240" s="46" t="inlineStr">
        <is>
          <t>Product</t>
        </is>
      </c>
      <c r="N240" s="45" t="inlineStr">
        <is>
          <t>ข้อสอบจริง Product ปี 2561 ข้อ 26</t>
        </is>
      </c>
      <c r="O240" s="46" t="inlineStr">
        <is>
          <t>ข้อสอบจริง</t>
        </is>
      </c>
      <c r="P240" s="46" t="inlineStr">
        <is>
          <t>ปี 2561</t>
        </is>
      </c>
    </row>
    <row r="241">
      <c r="A241" s="46" t="n">
        <v>239</v>
      </c>
      <c r="B241" s="45" t="inlineStr">
        <is>
          <t>Donepezil 5 mg คุณสมบัติไหลดี เกิด hydrolysis in alkaline and neutral solution ได้ degradable products ควรเตรียมยาด้วยวิธีอะไร</t>
        </is>
      </c>
      <c r="C241" s="46" t="n"/>
      <c r="D241" s="45" t="inlineStr">
        <is>
          <t>Dry granulation</t>
        </is>
      </c>
      <c r="E241" s="45" t="inlineStr">
        <is>
          <t>Direct compression</t>
        </is>
      </c>
      <c r="F241" s="45" t="inlineStr">
        <is>
          <t>Wet granulation ใช้ starch paste binder</t>
        </is>
      </c>
      <c r="G241" s="45" t="inlineStr">
        <is>
          <t>Wet or dry granulation with starch paste binder</t>
        </is>
      </c>
      <c r="H241" s="45" t="inlineStr">
        <is>
          <t>Direct compression or dry granulation with starch binder</t>
        </is>
      </c>
      <c r="I241" s="46" t="n">
        <v>1</v>
      </c>
      <c r="J241" s="45" t="inlineStr">
        <is>
          <t>✅ คำตอบที่ถูกต้อง: ข้อ ก. Dry granulation
💡 Background:
คำถามข้อสอบจริงใบประกอบวิชาชีพ PLE-CC 1 (Product) ปี 2561 ข้อ 30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1" s="46" t="n"/>
      <c r="L241" s="45" t="inlineStr">
        <is>
          <t>Solid Dosage Forms &amp; Manufacturing</t>
        </is>
      </c>
      <c r="M241" s="46" t="inlineStr">
        <is>
          <t>Product</t>
        </is>
      </c>
      <c r="N241" s="45" t="inlineStr">
        <is>
          <t>ข้อสอบจริง Product ปี 2561 ข้อ 30</t>
        </is>
      </c>
      <c r="O241" s="46" t="inlineStr">
        <is>
          <t>ข้อสอบจริง</t>
        </is>
      </c>
      <c r="P241" s="46" t="inlineStr">
        <is>
          <t>ปี 2561</t>
        </is>
      </c>
    </row>
    <row r="242">
      <c r="A242" s="46" t="n">
        <v>240</v>
      </c>
      <c r="B242" s="45" t="inlineStr">
        <is>
          <t>ยา B มีคุณสมบัติละลายน้ำไม่ดี หากต้องการเตรียมเป็นยา capsule ควรเลือก diluent แบบใด</t>
        </is>
      </c>
      <c r="C242" s="46" t="n"/>
      <c r="D242" s="45" t="inlineStr">
        <is>
          <t>Starch</t>
        </is>
      </c>
      <c r="E242" s="45" t="inlineStr">
        <is>
          <t>Lactose</t>
        </is>
      </c>
      <c r="F242" s="45" t="inlineStr">
        <is>
          <t>Calcium sulphate</t>
        </is>
      </c>
      <c r="G242" s="45" t="inlineStr">
        <is>
          <t>Microcrystalline cellulose</t>
        </is>
      </c>
      <c r="H242" s="45" t="inlineStr">
        <is>
          <t>Dibasic calcium phosphate</t>
        </is>
      </c>
      <c r="I242" s="46" t="n">
        <v>1</v>
      </c>
      <c r="J242" s="45" t="inlineStr">
        <is>
          <t>✅ คำตอบที่ถูกต้อง: ข้อ ก. Starch
💡 Background:
คำถามข้อสอบจริงใบประกอบวิชาชีพ PLE-CC 1 (Product) ปี 2561 ข้อ 34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2" s="46" t="n"/>
      <c r="L242" s="45" t="inlineStr">
        <is>
          <t>Solid Dosage Forms &amp; Manufacturing</t>
        </is>
      </c>
      <c r="M242" s="46" t="inlineStr">
        <is>
          <t>Product</t>
        </is>
      </c>
      <c r="N242" s="45" t="inlineStr">
        <is>
          <t>ข้อสอบจริง Product ปี 2561 ข้อ 34</t>
        </is>
      </c>
      <c r="O242" s="46" t="inlineStr">
        <is>
          <t>ข้อสอบจริง</t>
        </is>
      </c>
      <c r="P242" s="46" t="inlineStr">
        <is>
          <t>ปี 2561</t>
        </is>
      </c>
    </row>
    <row r="243">
      <c r="A243" s="46" t="n">
        <v>241</v>
      </c>
      <c r="B243" s="45" t="inlineStr">
        <is>
          <t>จากข้อ 117 สารในข้อใดเป็นสารช่วยแตกตัวในตำรับ</t>
        </is>
      </c>
      <c r="C243" s="46" t="n"/>
      <c r="D243" s="45" t="inlineStr">
        <is>
          <t>SLS</t>
        </is>
      </c>
      <c r="E243" s="45" t="inlineStr">
        <is>
          <t>Starch</t>
        </is>
      </c>
      <c r="F243" s="45" t="inlineStr">
        <is>
          <t>Lactose</t>
        </is>
      </c>
      <c r="G243" s="45" t="inlineStr">
        <is>
          <t>Magnesium stearate</t>
        </is>
      </c>
      <c r="H243" s="45" t="inlineStr">
        <is>
          <t>Colloidal silicon dioxide</t>
        </is>
      </c>
      <c r="I243" s="46" t="n">
        <v>1</v>
      </c>
      <c r="J243" s="45" t="inlineStr">
        <is>
          <t>✅ คำตอบที่ถูกต้อง: ข้อ ก. SLS
💡 Background:
คำถามข้อสอบจริงใบประกอบวิชาชีพ PLE-CC 1 (Product) ปี 2561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3" s="46" t="n"/>
      <c r="L243" s="45" t="inlineStr">
        <is>
          <t>Solid Dosage Forms &amp; Manufacturing</t>
        </is>
      </c>
      <c r="M243" s="46" t="inlineStr">
        <is>
          <t>Product</t>
        </is>
      </c>
      <c r="N243" s="45" t="inlineStr">
        <is>
          <t>ข้อสอบจริง Product ปี 2561 ข้อ 36</t>
        </is>
      </c>
      <c r="O243" s="46" t="inlineStr">
        <is>
          <t>ข้อสอบจริง</t>
        </is>
      </c>
      <c r="P243" s="46" t="inlineStr">
        <is>
          <t>ปี 2561</t>
        </is>
      </c>
    </row>
    <row r="244">
      <c r="A244" s="46" t="n">
        <v>242</v>
      </c>
      <c r="B244" s="45" t="inlineStr">
        <is>
          <t>Sodium starch glycolate ทำหน้าที่อะไรในตำรับ</t>
        </is>
      </c>
      <c r="C244" s="46" t="n"/>
      <c r="D244" s="45" t="inlineStr">
        <is>
          <t>Binder</t>
        </is>
      </c>
      <c r="E244" s="45" t="inlineStr">
        <is>
          <t>Diluent</t>
        </is>
      </c>
      <c r="F244" s="45" t="inlineStr">
        <is>
          <t>Glidant</t>
        </is>
      </c>
      <c r="G244" s="45" t="inlineStr">
        <is>
          <t>Lubricant</t>
        </is>
      </c>
      <c r="H244" s="45" t="inlineStr">
        <is>
          <t>Disintegrating</t>
        </is>
      </c>
      <c r="I244" s="46" t="n">
        <v>1</v>
      </c>
      <c r="J244" s="45" t="inlineStr">
        <is>
          <t>✅ คำตอบที่ถูกต้อง: ข้อ ก. Binder
💡 Background:
คำถามข้อสอบจริงใบประกอบวิชาชีพ PLE-CC 1 (Product) ปี 2561 ข้อ 46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4" s="46" t="n"/>
      <c r="L244" s="45" t="inlineStr">
        <is>
          <t>Solid Dosage Forms &amp; Manufacturing</t>
        </is>
      </c>
      <c r="M244" s="46" t="inlineStr">
        <is>
          <t>Product</t>
        </is>
      </c>
      <c r="N244" s="45" t="inlineStr">
        <is>
          <t>ข้อสอบจริง Product ปี 2561 ข้อ 46</t>
        </is>
      </c>
      <c r="O244" s="46" t="inlineStr">
        <is>
          <t>ข้อสอบจริง</t>
        </is>
      </c>
      <c r="P244" s="46" t="inlineStr">
        <is>
          <t>ปี 2561</t>
        </is>
      </c>
    </row>
    <row r="245">
      <c r="A245" s="46" t="n">
        <v>243</v>
      </c>
      <c r="B245" s="45" t="inlineStr">
        <is>
          <t>PEG 4000 ในสูตรตำรับยาเม็ดเคลือบฟิล์มทำหน้าที่อะไร</t>
        </is>
      </c>
      <c r="C245" s="46" t="n"/>
      <c r="D245" s="45" t="inlineStr">
        <is>
          <t>Plasticizer</t>
        </is>
      </c>
      <c r="E245" s="45" t="inlineStr">
        <is>
          <t>Cosolvent</t>
        </is>
      </c>
      <c r="F245" s="45" t="inlineStr">
        <is>
          <t>Opacifiying agent</t>
        </is>
      </c>
      <c r="G245" s="45" t="inlineStr">
        <is>
          <t>Emulsifying agent</t>
        </is>
      </c>
      <c r="H245" s="45" t="inlineStr">
        <is>
          <t>Film coating agent</t>
        </is>
      </c>
      <c r="I245" s="46" t="n">
        <v>1</v>
      </c>
      <c r="J245" s="45" t="inlineStr">
        <is>
          <t>✅ คำตอบที่ถูกต้อง: ข้อ ก. Plasticizer
💡 Background:
คำถามข้อสอบจริงใบประกอบวิชาชีพ PLE-CC 1 (Product) ปี 2561 ข้อ 49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5" s="46" t="n"/>
      <c r="L245" s="45" t="inlineStr">
        <is>
          <t>Solid Dosage Forms &amp; Manufacturing</t>
        </is>
      </c>
      <c r="M245" s="46" t="inlineStr">
        <is>
          <t>Product</t>
        </is>
      </c>
      <c r="N245" s="45" t="inlineStr">
        <is>
          <t>ข้อสอบจริง Product ปี 2561 ข้อ 49</t>
        </is>
      </c>
      <c r="O245" s="46" t="inlineStr">
        <is>
          <t>ข้อสอบจริง</t>
        </is>
      </c>
      <c r="P245" s="46" t="inlineStr">
        <is>
          <t>ปี 2561</t>
        </is>
      </c>
    </row>
    <row r="246">
      <c r="A246" s="46" t="n">
        <v>244</v>
      </c>
      <c r="B246" s="45" t="inlineStr">
        <is>
          <t>สารใดไม่จำเป็นต้องมีในตำรับ soft capsule</t>
        </is>
      </c>
      <c r="C246" s="46" t="n"/>
      <c r="D246" s="45" t="inlineStr">
        <is>
          <t>Glidant</t>
        </is>
      </c>
      <c r="E246" s="45" t="inlineStr">
        <is>
          <t>Opacifier</t>
        </is>
      </c>
      <c r="F246" s="45" t="inlineStr">
        <is>
          <t>Plasticizer</t>
        </is>
      </c>
      <c r="G246" s="45" t="inlineStr">
        <is>
          <t>Preservative</t>
        </is>
      </c>
      <c r="H246" s="45" t="inlineStr">
        <is>
          <t>Wetting agent</t>
        </is>
      </c>
      <c r="I246" s="46" t="n">
        <v>1</v>
      </c>
      <c r="J246" s="45" t="inlineStr">
        <is>
          <t>✅ คำตอบที่ถูกต้อง: ข้อ ก. Glidant
💡 Background:
คำถามข้อสอบจริงใบประกอบวิชาชีพ PLE-CC 1 (Product) ปี 2561 ข้อ 54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6" s="46" t="n"/>
      <c r="L246" s="45" t="inlineStr">
        <is>
          <t>Solid Dosage Forms &amp; Manufacturing</t>
        </is>
      </c>
      <c r="M246" s="46" t="inlineStr">
        <is>
          <t>Product</t>
        </is>
      </c>
      <c r="N246" s="45" t="inlineStr">
        <is>
          <t>ข้อสอบจริง Product ปี 2561 ข้อ 54</t>
        </is>
      </c>
      <c r="O246" s="46" t="inlineStr">
        <is>
          <t>ข้อสอบจริง</t>
        </is>
      </c>
      <c r="P246" s="46" t="inlineStr">
        <is>
          <t>ปี 2561</t>
        </is>
      </c>
    </row>
    <row r="247">
      <c r="A247" s="46" t="n">
        <v>245</v>
      </c>
      <c r="B247" s="45" t="inlineStr">
        <is>
          <t>หากต้องการเตรียม dry powder inhaler และต้องการให้ผงยาไหลได้ดีควรใช้สารช่วยตัวใด</t>
        </is>
      </c>
      <c r="C247" s="46" t="n"/>
      <c r="D247" s="45" t="inlineStr">
        <is>
          <t>Lactose</t>
        </is>
      </c>
      <c r="E247" s="45" t="inlineStr">
        <is>
          <t>PVP K30</t>
        </is>
      </c>
      <c r="F247" s="45" t="inlineStr">
        <is>
          <t>PEG 6000</t>
        </is>
      </c>
      <c r="G247" s="45" t="inlineStr">
        <is>
          <t>Calcium carbonate</t>
        </is>
      </c>
      <c r="H247" s="45" t="inlineStr">
        <is>
          <t>Magnesium stearate</t>
        </is>
      </c>
      <c r="I247" s="46" t="n">
        <v>1</v>
      </c>
      <c r="J247" s="45" t="inlineStr">
        <is>
          <t>✅ คำตอบที่ถูกต้อง: ข้อ ก. Lactose
💡 Background:
คำถามข้อสอบจริงใบประกอบวิชาชีพ PLE-CC 1 (Product) ปี 2561 ข้อ 76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7" s="46" t="n"/>
      <c r="L247" s="45" t="inlineStr">
        <is>
          <t>Solid Dosage Forms &amp; Manufacturing</t>
        </is>
      </c>
      <c r="M247" s="46" t="inlineStr">
        <is>
          <t>Product</t>
        </is>
      </c>
      <c r="N247" s="45" t="inlineStr">
        <is>
          <t>ข้อสอบจริง Product ปี 2561 ข้อ 76</t>
        </is>
      </c>
      <c r="O247" s="46" t="inlineStr">
        <is>
          <t>ข้อสอบจริง</t>
        </is>
      </c>
      <c r="P247" s="46" t="inlineStr">
        <is>
          <t>ปี 2561</t>
        </is>
      </c>
    </row>
    <row r="248">
      <c r="A248" s="46" t="n">
        <v>246</v>
      </c>
      <c r="B248" s="45" t="inlineStr">
        <is>
          <t>ยา calcium effervescent tablet เก็บไว้แล้ว เมื่อฉีกซองออกมามีลักษณะเยิ้ม เหนียว เกิดจากการมีส่วนประกอบใดมากเกินไปในตำรับ</t>
        </is>
      </c>
      <c r="C248" s="46" t="n"/>
      <c r="D248" s="45" t="inlineStr">
        <is>
          <t>Citric acid</t>
        </is>
      </c>
      <c r="E248" s="45" t="inlineStr">
        <is>
          <t>Tartaric acid</t>
        </is>
      </c>
      <c r="F248" s="45" t="inlineStr">
        <is>
          <t>Sodium carbonate</t>
        </is>
      </c>
      <c r="G248" s="45" t="inlineStr">
        <is>
          <t>Calcium carbonate</t>
        </is>
      </c>
      <c r="H248" s="45" t="inlineStr">
        <is>
          <t>Sodium bicarbonate</t>
        </is>
      </c>
      <c r="I248" s="46" t="n">
        <v>1</v>
      </c>
      <c r="J248" s="45" t="inlineStr">
        <is>
          <t>✅ คำตอบที่ถูกต้อง: ข้อ ก. Citric acid
💡 Background:
คำถามข้อสอบจริงใบประกอบวิชาชีพ PLE-CC 1 (Product) ปี 2561 ข้อ 79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8" s="46" t="n"/>
      <c r="L248" s="45" t="inlineStr">
        <is>
          <t>Solid Dosage Forms &amp; Manufacturing</t>
        </is>
      </c>
      <c r="M248" s="46" t="inlineStr">
        <is>
          <t>Product</t>
        </is>
      </c>
      <c r="N248" s="45" t="inlineStr">
        <is>
          <t>ข้อสอบจริง Product ปี 2561 ข้อ 79</t>
        </is>
      </c>
      <c r="O248" s="46" t="inlineStr">
        <is>
          <t>ข้อสอบจริง</t>
        </is>
      </c>
      <c r="P248" s="46" t="inlineStr">
        <is>
          <t>ปี 2561</t>
        </is>
      </c>
    </row>
    <row r="249">
      <c r="A249" s="46" t="n">
        <v>247</v>
      </c>
      <c r="B249" s="45" t="inlineStr">
        <is>
          <t>จากโครงสร้างของ folic acid ในการพัฒนาสูตรตำรับ folic acid 0.5 mg tablet ปัจจัยในข้อใดควรคำนึงถึงน้อยที่สุด</t>
        </is>
      </c>
      <c r="C249" s="46" t="n"/>
      <c r="D249" s="45" t="inlineStr">
        <is>
          <t>ความทนต่อแสง</t>
        </is>
      </c>
      <c r="E249" s="45" t="inlineStr">
        <is>
          <t>ความคงตัวทางเคมีเรื่อง pH</t>
        </is>
      </c>
      <c r="F249" s="45" t="inlineStr">
        <is>
          <t>ความสามารถในการตอกอัดของยา</t>
        </is>
      </c>
      <c r="G249" s="45" t="inlineStr">
        <is>
          <t>ความคงตัวทางเคมี เรื่องการเกิด reduction</t>
        </is>
      </c>
      <c r="H249" s="45" t="inlineStr">
        <is>
          <t>ความคงตัวทางเคมี เรื่องการเกิด oxidation</t>
        </is>
      </c>
      <c r="I249" s="46" t="n">
        <v>1</v>
      </c>
      <c r="J249" s="45" t="inlineStr">
        <is>
          <t>✅ คำตอบที่ถูกต้อง: ข้อ ก. ความทนต่อแสง
💡 Background:
คำถามข้อสอบจริงใบประกอบวิชาชีพ PLE-CC 1 (Product) ปี 2561 ข้อ 85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9" s="46" t="n"/>
      <c r="L249" s="45" t="inlineStr">
        <is>
          <t>Solid Dosage Forms &amp; Manufacturing</t>
        </is>
      </c>
      <c r="M249" s="46" t="inlineStr">
        <is>
          <t>Product</t>
        </is>
      </c>
      <c r="N249" s="45" t="inlineStr">
        <is>
          <t>ข้อสอบจริง Product ปี 2561 ข้อ 85</t>
        </is>
      </c>
      <c r="O249" s="46" t="inlineStr">
        <is>
          <t>ข้อสอบจริง</t>
        </is>
      </c>
      <c r="P249" s="46" t="inlineStr">
        <is>
          <t>ปี 2561</t>
        </is>
      </c>
    </row>
    <row r="250">
      <c r="A250" s="46" t="n">
        <v>248</v>
      </c>
      <c r="B250" s="45" t="inlineStr">
        <is>
          <t>ส่วนประกอบของ folic acid 0.5 mg/tab ประกอบด้วยสารช่วย colloidal silica, maize starch, Magnesium stearate, spray dry lactose ควรใช้วิธีใดในการผลิต</t>
        </is>
      </c>
      <c r="C250" s="46" t="n"/>
      <c r="D250" s="45" t="inlineStr">
        <is>
          <t>Slug</t>
        </is>
      </c>
      <c r="E250" s="45" t="inlineStr">
        <is>
          <t>Wet granulation</t>
        </is>
      </c>
      <c r="F250" s="45" t="inlineStr">
        <is>
          <t>Dry granulation</t>
        </is>
      </c>
      <c r="G250" s="45" t="inlineStr">
        <is>
          <t>Direct compression</t>
        </is>
      </c>
      <c r="H250" s="45" t="inlineStr">
        <is>
          <t>Non-aqueous wet granulation</t>
        </is>
      </c>
      <c r="I250" s="46" t="n">
        <v>1</v>
      </c>
      <c r="J250" s="45" t="inlineStr">
        <is>
          <t>✅ คำตอบที่ถูกต้อง: ข้อ ก. Slug
💡 Background:
คำถามข้อสอบจริงใบประกอบวิชาชีพ PLE-CC 1 (Product) ปี 2561 ข้อ 86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0" s="46" t="n"/>
      <c r="L250" s="45" t="inlineStr">
        <is>
          <t>Solid Dosage Forms &amp; Manufacturing</t>
        </is>
      </c>
      <c r="M250" s="46" t="inlineStr">
        <is>
          <t>Product</t>
        </is>
      </c>
      <c r="N250" s="45" t="inlineStr">
        <is>
          <t>ข้อสอบจริง Product ปี 2561 ข้อ 86</t>
        </is>
      </c>
      <c r="O250" s="46" t="inlineStr">
        <is>
          <t>ข้อสอบจริง</t>
        </is>
      </c>
      <c r="P250" s="46" t="inlineStr">
        <is>
          <t>ปี 2561</t>
        </is>
      </c>
    </row>
    <row r="251">
      <c r="A251" s="46" t="n">
        <v>249</v>
      </c>
      <c r="B251" s="45" t="inlineStr">
        <is>
          <t>ข้อใดจับชื่อคู่สารกับหน้าที่สารในตำรับผิด</t>
        </is>
      </c>
      <c r="C251" s="46" t="n"/>
      <c r="D251" s="45" t="inlineStr">
        <is>
          <t>Tricitrate เป็น plasticizer</t>
        </is>
      </c>
      <c r="E251" s="45" t="inlineStr">
        <is>
          <t>Crospovidone เป็น stabilizer</t>
        </is>
      </c>
      <c r="F251" s="45" t="inlineStr">
        <is>
          <t>Polysorbate เป็น wetting agent</t>
        </is>
      </c>
      <c r="G251" s="45" t="inlineStr">
        <is>
          <t>Sugar sphere เป็น wetting agent</t>
        </is>
      </c>
      <c r="H251" s="45" t="inlineStr">
        <is>
          <t>Copolymer enteric coated เป็น copolymer</t>
        </is>
      </c>
      <c r="I251" s="46" t="n">
        <v>1</v>
      </c>
      <c r="J251" s="45" t="inlineStr">
        <is>
          <t>✅ คำตอบที่ถูกต้อง: ข้อ ก. Tricitrate เป็น plasticizer
💡 Background:
คำถามข้อสอบจริงใบประกอบวิชาชีพ PLE-CC 1 (Product) ปี 2561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1" s="46" t="n"/>
      <c r="L251" s="45" t="inlineStr">
        <is>
          <t>Solid Dosage Forms &amp; Manufacturing</t>
        </is>
      </c>
      <c r="M251" s="46" t="inlineStr">
        <is>
          <t>Product</t>
        </is>
      </c>
      <c r="N251" s="45" t="inlineStr">
        <is>
          <t>ข้อสอบจริง Product ปี 2561 ข้อ 92</t>
        </is>
      </c>
      <c r="O251" s="46" t="inlineStr">
        <is>
          <t>ข้อสอบจริง</t>
        </is>
      </c>
      <c r="P251" s="46" t="inlineStr">
        <is>
          <t>ปี 2561</t>
        </is>
      </c>
    </row>
    <row r="252">
      <c r="A252" s="46" t="n">
        <v>250</v>
      </c>
      <c r="B252" s="45" t="inlineStr">
        <is>
          <t>ยา paracetamol มีปริมาณตัวยาสำคัญในหนึ่งเม็ดมาก โดยทั่วไปแล้วควรใช้วิธีใดในการผลิตยาเม็ด</t>
        </is>
      </c>
      <c r="C252" s="46" t="n"/>
      <c r="D252" s="45" t="inlineStr">
        <is>
          <t>Slugging</t>
        </is>
      </c>
      <c r="E252" s="45" t="inlineStr">
        <is>
          <t>Dry granulation</t>
        </is>
      </c>
      <c r="F252" s="45" t="inlineStr">
        <is>
          <t>Wet granulation</t>
        </is>
      </c>
      <c r="G252" s="45" t="inlineStr">
        <is>
          <t>Direct granulation</t>
        </is>
      </c>
      <c r="H252" s="45" t="inlineStr">
        <is>
          <t>Direct compression</t>
        </is>
      </c>
      <c r="I252" s="46" t="n">
        <v>1</v>
      </c>
      <c r="J252" s="45" t="inlineStr">
        <is>
          <t>✅ คำตอบที่ถูกต้อง: ข้อ ก. Slugging
💡 Background:
คำถามข้อสอบจริงใบประกอบวิชาชีพ PLE-CC 1 (Product) ปี 2561 ข้อ 93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2" s="46" t="n"/>
      <c r="L252" s="45" t="inlineStr">
        <is>
          <t>Solid Dosage Forms &amp; Manufacturing</t>
        </is>
      </c>
      <c r="M252" s="46" t="inlineStr">
        <is>
          <t>Product</t>
        </is>
      </c>
      <c r="N252" s="45" t="inlineStr">
        <is>
          <t>ข้อสอบจริง Product ปี 2561 ข้อ 93</t>
        </is>
      </c>
      <c r="O252" s="46" t="inlineStr">
        <is>
          <t>ข้อสอบจริง</t>
        </is>
      </c>
      <c r="P252" s="46" t="inlineStr">
        <is>
          <t>ปี 2561</t>
        </is>
      </c>
    </row>
    <row r="253">
      <c r="A253" s="46" t="n">
        <v>251</v>
      </c>
      <c r="B253" s="45" t="inlineStr">
        <is>
          <t>ระบบนำส่งยาในภาพเป็นระบบนำส่งยาในรูปแบบใด [แนบรูป: ข้อสอบ Product ปี 2561 รหัสรูปภาพ image113]</t>
        </is>
      </c>
      <c r="C253" s="46" t="inlineStr">
        <is>
          <t>[แนบรูป: ข้อสอบ Product ปี 2561 รหัสรูปภาพ image113]</t>
        </is>
      </c>
      <c r="D253" s="45" t="inlineStr">
        <is>
          <t>Micelle</t>
        </is>
      </c>
      <c r="E253" s="45" t="inlineStr">
        <is>
          <t>Liposome</t>
        </is>
      </c>
      <c r="F253" s="45" t="inlineStr">
        <is>
          <t>Dendrimer</t>
        </is>
      </c>
      <c r="G253" s="45" t="inlineStr">
        <is>
          <t>Nanosphere</t>
        </is>
      </c>
      <c r="H253" s="45" t="inlineStr">
        <is>
          <t>Nanocapsule</t>
        </is>
      </c>
      <c r="I253" s="46" t="n">
        <v>1</v>
      </c>
      <c r="J253" s="45" t="inlineStr">
        <is>
          <t>✅ คำตอบที่ถูกต้อง: ข้อ ก. Micelle
💡 Background:
คำถามข้อสอบจริงใบประกอบวิชาชีพ PLE-CC 1 (Product) ปี 2561 ข้อ 96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3" s="46" t="n"/>
      <c r="L253" s="45" t="inlineStr">
        <is>
          <t>Solid Dosage Forms &amp; Manufacturing</t>
        </is>
      </c>
      <c r="M253" s="46" t="inlineStr">
        <is>
          <t>Product</t>
        </is>
      </c>
      <c r="N253" s="45" t="inlineStr">
        <is>
          <t>ข้อสอบจริง Product ปี 2561 ข้อ 96</t>
        </is>
      </c>
      <c r="O253" s="46" t="inlineStr">
        <is>
          <t>ข้อสอบจริง</t>
        </is>
      </c>
      <c r="P253" s="46" t="inlineStr">
        <is>
          <t>ปี 2561</t>
        </is>
      </c>
    </row>
    <row r="254">
      <c r="A254" s="46" t="n">
        <v>252</v>
      </c>
      <c r="B254" s="45" t="inlineStr">
        <is>
          <t>เมื่อนำ enalapril tablet ไปทดสอบในเครื่องมือดังภาพพบว่าเมื่อเวลาผ่านไป ตามเกณฑ์มาตรฐานเม็ดยาไม่มีการแตกตัว ควรเพิ่มสารใดลงไปในตำรับ [แนบรูป: ข้อสอบ Product ปี 2561 รหัสรูปภาพ image114]</t>
        </is>
      </c>
      <c r="C254" s="46" t="inlineStr">
        <is>
          <t>[แนบรูป: ข้อสอบ Product ปี 2561 รหัสรูปภาพ image114]</t>
        </is>
      </c>
      <c r="D254" s="45" t="inlineStr">
        <is>
          <t>EC</t>
        </is>
      </c>
      <c r="E254" s="45" t="inlineStr">
        <is>
          <t>MC</t>
        </is>
      </c>
      <c r="F254" s="45" t="inlineStr">
        <is>
          <t>Lactose</t>
        </is>
      </c>
      <c r="G254" s="45" t="inlineStr">
        <is>
          <t>Magnesium stearate</t>
        </is>
      </c>
      <c r="H254" s="45" t="inlineStr">
        <is>
          <t>Sodium starch glycolate</t>
        </is>
      </c>
      <c r="I254" s="46" t="n">
        <v>1</v>
      </c>
      <c r="J254" s="45" t="inlineStr">
        <is>
          <t>✅ คำตอบที่ถูกต้อง: ข้อ ก. EC
💡 Background:
คำถามข้อสอบจริงใบประกอบวิชาชีพ PLE-CC 1 (Product) ปี 2561 ข้อ 102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4" s="46" t="n"/>
      <c r="L254" s="45" t="inlineStr">
        <is>
          <t>Solid Dosage Forms &amp; Manufacturing</t>
        </is>
      </c>
      <c r="M254" s="46" t="inlineStr">
        <is>
          <t>Product</t>
        </is>
      </c>
      <c r="N254" s="45" t="inlineStr">
        <is>
          <t>ข้อสอบจริง Product ปี 2561 ข้อ 102</t>
        </is>
      </c>
      <c r="O254" s="46" t="inlineStr">
        <is>
          <t>ข้อสอบจริง</t>
        </is>
      </c>
      <c r="P254" s="46" t="inlineStr">
        <is>
          <t>ปี 2561</t>
        </is>
      </c>
    </row>
    <row r="255">
      <c r="A255" s="46" t="n">
        <v>253</v>
      </c>
      <c r="B255" s="45" t="inlineStr">
        <is>
          <t>สารใดเป็นสารช่วยแตกตัว</t>
        </is>
      </c>
      <c r="C255" s="46" t="n"/>
      <c r="D255" s="45" t="inlineStr">
        <is>
          <t>PVA</t>
        </is>
      </c>
      <c r="E255" s="45" t="inlineStr">
        <is>
          <t>Hypomellose</t>
        </is>
      </c>
      <c r="F255" s="45" t="inlineStr">
        <is>
          <t>Magnesium stearate</t>
        </is>
      </c>
      <c r="G255" s="45" t="inlineStr">
        <is>
          <t>Sodium starch glycolate</t>
        </is>
      </c>
      <c r="H255" s="45" t="inlineStr">
        <is>
          <t>Cellulose silicone dioxide</t>
        </is>
      </c>
      <c r="I255" s="46" t="n">
        <v>1</v>
      </c>
      <c r="J255" s="45" t="inlineStr">
        <is>
          <t>✅ คำตอบที่ถูกต้อง: ข้อ ก. PVA
💡 Background:
คำถามข้อสอบจริงใบประกอบวิชาชีพ PLE-CC 1 (Product) ปี 2561 ข้อ 108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5" s="46" t="n"/>
      <c r="L255" s="45" t="inlineStr">
        <is>
          <t>Solid Dosage Forms &amp; Manufacturing</t>
        </is>
      </c>
      <c r="M255" s="46" t="inlineStr">
        <is>
          <t>Product</t>
        </is>
      </c>
      <c r="N255" s="45" t="inlineStr">
        <is>
          <t>ข้อสอบจริง Product ปี 2561 ข้อ 108</t>
        </is>
      </c>
      <c r="O255" s="46" t="inlineStr">
        <is>
          <t>ข้อสอบจริง</t>
        </is>
      </c>
      <c r="P255" s="46" t="inlineStr">
        <is>
          <t>ปี 2561</t>
        </is>
      </c>
    </row>
    <row r="256">
      <c r="A256" s="46" t="n">
        <v>254</v>
      </c>
      <c r="B256" s="45" t="inlineStr">
        <is>
          <t>สารใดที่ช่วยให้ยา antihistamine tablet แตกตัวอย่างรวดเร็ว</t>
        </is>
      </c>
      <c r="C256" s="46" t="n"/>
      <c r="D256" s="45" t="inlineStr">
        <is>
          <t>PVP K90</t>
        </is>
      </c>
      <c r="E256" s="45" t="inlineStr">
        <is>
          <t>Fumed silica</t>
        </is>
      </c>
      <c r="F256" s="45" t="inlineStr">
        <is>
          <t>Crosspovidone</t>
        </is>
      </c>
      <c r="G256" s="45" t="inlineStr">
        <is>
          <t>Magnesium stearate</t>
        </is>
      </c>
      <c r="H256" s="45" t="inlineStr">
        <is>
          <t>Sodium monohydrate</t>
        </is>
      </c>
      <c r="I256" s="46" t="n">
        <v>1</v>
      </c>
      <c r="J256" s="45" t="inlineStr">
        <is>
          <t>✅ คำตอบที่ถูกต้อง: ข้อ ก. PVP K90
💡 Background:
คำถามข้อสอบจริงใบประกอบวิชาชีพ PLE-CC 1 (Product) ปี 2561 ข้อ 110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6" s="46" t="n"/>
      <c r="L256" s="45" t="inlineStr">
        <is>
          <t>Solid Dosage Forms &amp; Manufacturing</t>
        </is>
      </c>
      <c r="M256" s="46" t="inlineStr">
        <is>
          <t>Product</t>
        </is>
      </c>
      <c r="N256" s="45" t="inlineStr">
        <is>
          <t>ข้อสอบจริง Product ปี 2561 ข้อ 110</t>
        </is>
      </c>
      <c r="O256" s="46" t="inlineStr">
        <is>
          <t>ข้อสอบจริง</t>
        </is>
      </c>
      <c r="P256" s="46" t="inlineStr">
        <is>
          <t>ปี 2561</t>
        </is>
      </c>
    </row>
    <row r="257">
      <c r="A257" s="46" t="n">
        <v>255</v>
      </c>
      <c r="B257" s="45" t="inlineStr">
        <is>
          <t>สารใดเป็นสารช่วยไหลที่เหมาะสมของยา antihistamine tablet</t>
        </is>
      </c>
      <c r="C257" s="46" t="n"/>
      <c r="D257" s="45" t="inlineStr">
        <is>
          <t>Talc</t>
        </is>
      </c>
      <c r="E257" s="45" t="inlineStr">
        <is>
          <t>Starch</t>
        </is>
      </c>
      <c r="F257" s="45" t="inlineStr">
        <is>
          <t>Polysorbate 80</t>
        </is>
      </c>
      <c r="G257" s="45" t="inlineStr">
        <is>
          <t>Colloidal silicon dioxide</t>
        </is>
      </c>
      <c r="H257" s="45" t="inlineStr">
        <is>
          <t>Microcrystalline cellulose</t>
        </is>
      </c>
      <c r="I257" s="46" t="n">
        <v>1</v>
      </c>
      <c r="J257" s="45" t="inlineStr">
        <is>
          <t>✅ คำตอบที่ถูกต้อง: ข้อ ก. Talc
💡 Background:
คำถามข้อสอบจริงใบประกอบวิชาชีพ PLE-CC 1 (Product) ปี 2561 ข้อ 111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7" s="46" t="n"/>
      <c r="L257" s="45" t="inlineStr">
        <is>
          <t>Solid Dosage Forms &amp; Manufacturing</t>
        </is>
      </c>
      <c r="M257" s="46" t="inlineStr">
        <is>
          <t>Product</t>
        </is>
      </c>
      <c r="N257" s="45" t="inlineStr">
        <is>
          <t>ข้อสอบจริง Product ปี 2561 ข้อ 111</t>
        </is>
      </c>
      <c r="O257" s="46" t="inlineStr">
        <is>
          <t>ข้อสอบจริง</t>
        </is>
      </c>
      <c r="P257" s="46" t="inlineStr">
        <is>
          <t>ปี 2561</t>
        </is>
      </c>
    </row>
    <row r="258">
      <c r="A258" s="46" t="n">
        <v>256</v>
      </c>
      <c r="B258" s="45" t="inlineStr">
        <is>
          <t>เมื่อทำตำรับ ibuprofen film coat tablets (450 mg) พบว่าเกิด spotting เกิดจากสาเหตุใด</t>
        </is>
      </c>
      <c r="C258" s="46" t="n"/>
      <c r="D258" s="45" t="inlineStr">
        <is>
          <t>มีการดูดอากาศเข้ามาในฟิล์มเคลือบ</t>
        </is>
      </c>
      <c r="E258" s="45" t="inlineStr">
        <is>
          <t>........................</t>
        </is>
      </c>
      <c r="F258" s="45" t="inlineStr">
        <is>
          <t>เกิดการเคลื่อนที่รวมกันของ plasticizer, สีและสารเคลือบอื่นๆ</t>
        </is>
      </c>
      <c r="G258" s="45" t="inlineStr">
        <is>
          <t>แรงของโพลิเมอร์ที่เคลือบผิวมีมากกว่า แรงที่ผิวยาเม็ด</t>
        </is>
      </c>
      <c r="H258" s="45" t="inlineStr">
        <is>
          <t>แรงระหว่างโพลิเมอร์มากกว่าแรงระหว่างโพลิเมอร์กับผิวยาเม็ด</t>
        </is>
      </c>
      <c r="I258" s="46" t="n">
        <v>1</v>
      </c>
      <c r="J258" s="45" t="inlineStr">
        <is>
          <t>✅ คำตอบที่ถูกต้อง: ข้อ ก. มีการดูดอากาศเข้ามาในฟิล์มเคลือบ
💡 Background:
คำถามข้อสอบจริงใบประกอบวิชาชีพ PLE-CC 1 (Product) ปี 2559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8" s="46" t="n"/>
      <c r="L258" s="45" t="inlineStr">
        <is>
          <t>Solid Dosage Forms &amp; Manufacturing</t>
        </is>
      </c>
      <c r="M258" s="46" t="inlineStr">
        <is>
          <t>Product</t>
        </is>
      </c>
      <c r="N258" s="45" t="inlineStr">
        <is>
          <t>ข้อสอบจริง Product ปี 2559 ข้อ 23</t>
        </is>
      </c>
      <c r="O258" s="46" t="inlineStr">
        <is>
          <t>ข้อสอบจริง</t>
        </is>
      </c>
      <c r="P258" s="46" t="inlineStr">
        <is>
          <t>ปี 2559</t>
        </is>
      </c>
    </row>
    <row r="259">
      <c r="A259" s="46" t="n">
        <v>257</v>
      </c>
      <c r="B259" s="45" t="inlineStr">
        <is>
          <t>|  | Lot 1 | Lot 2 | | :---: | :---: | :---: | | น้ำหนักยาเม็ด | 400 | 400 | | Assay | 390 | 385 | | %Labeled amount 97-101 |  |  | ข้อใดต่อไปนี้ถูกต้อง</t>
        </is>
      </c>
      <c r="C259" s="46" t="n"/>
      <c r="D259" s="45" t="inlineStr">
        <is>
          <t>Lot 1 ผ่านเกณฑ์ Lot 2 ไม่ผ่าน</t>
        </is>
      </c>
      <c r="E259" s="45" t="inlineStr">
        <is>
          <t>Lot 1 ไม่ผ่านเกณฑ์ Lot 2 ผ่าน</t>
        </is>
      </c>
      <c r="F259" s="45" t="inlineStr">
        <is>
          <t>Lot 1 ผ่านเกณฑ์ Lot 2 ผ่าน</t>
        </is>
      </c>
      <c r="G259" s="45" t="inlineStr">
        <is>
          <t>Lot 1 ไม่ผ่านเกณฑ์ Lot 2 ผ่าน ข้อสอบ PLE\_CC1\_2559 (อีกไฟล์ แต่ข้อสอบคล้ายชุด 1\) ข้อสอบ</t>
        </is>
      </c>
      <c r="H259" s="45" t="inlineStr"/>
      <c r="I259" s="46" t="n">
        <v>1</v>
      </c>
      <c r="J259" s="45" t="inlineStr">
        <is>
          <t>✅ คำตอบที่ถูกต้อง: ข้อ ก. Lot 1 ผ่านเกณฑ์ Lot 2 ไม่ผ่าน
💡 Background:
คำถามข้อสอบจริงใบประกอบวิชาชีพ PLE-CC 1 (Product) ปี 2559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9" s="46" t="n"/>
      <c r="L259" s="45" t="inlineStr">
        <is>
          <t>Solid Dosage Forms &amp; Manufacturing</t>
        </is>
      </c>
      <c r="M259" s="46" t="inlineStr">
        <is>
          <t>Product</t>
        </is>
      </c>
      <c r="N259" s="45" t="inlineStr">
        <is>
          <t>ข้อสอบจริง Product ปี 2559 ข้อ 25</t>
        </is>
      </c>
      <c r="O259" s="46" t="inlineStr">
        <is>
          <t>ข้อสอบจริง</t>
        </is>
      </c>
      <c r="P259" s="46" t="inlineStr">
        <is>
          <t>ปี 2559</t>
        </is>
      </c>
    </row>
    <row r="260">
      <c r="A260" s="46" t="n">
        <v>258</v>
      </c>
      <c r="B260" s="45" t="inlineStr">
        <is>
          <t>|  | Lot 1 | Lot 2 | | :---: | :---: | :---: | | น้ำหนักยาเม็ด | 400 | 400 | | Assay | 390 | 385 | | %Labeled amount 97-101 |  |  | จากข้อมูลดังต่อไปนี ข้อใดถูกต้อง</t>
        </is>
      </c>
      <c r="C260" s="46" t="inlineStr">
        <is>
          <t>[แนบรูป: ข้อสอบ Product ปี 2559 รหัสรูปภาพ image118]</t>
        </is>
      </c>
      <c r="D260" s="45" t="inlineStr">
        <is>
          <t>Lot 1 ผ่านเกณฑ์ Lot 2 ผ่านเกณฑ์</t>
        </is>
      </c>
      <c r="E260" s="45" t="inlineStr">
        <is>
          <t>Lot 1 ผ่านเกณฑ์ Lot 2 ไม่ผ่านเกณฑ์</t>
        </is>
      </c>
      <c r="F260" s="45" t="inlineStr">
        <is>
          <t>Lot 1 ไม่ผ่านเกณฑ์ Lot 2 ผ่านเกณฑ์</t>
        </is>
      </c>
      <c r="G260" s="45" t="inlineStr">
        <is>
          <t>Lot 1 ไม่ผ่านเกณฑ์ Lot 2 ไม่ผ่านเกณฑ์</t>
        </is>
      </c>
      <c r="H260" s="45" t="inlineStr">
        <is>
          <t>ต้องอาศัยข้อมูลเพิ่มเติม ข้อสอบ PLE\_CC1\_2559 Set 2 ข้อสอบ [แนบรูป: ข้อสอบ Product ปี 2559 รหัสรูปภาพ image118]</t>
        </is>
      </c>
      <c r="I260" s="46" t="n">
        <v>1</v>
      </c>
      <c r="J260" s="45" t="inlineStr">
        <is>
          <t>✅ คำตอบที่ถูกต้อง: ข้อ ก. Lot 1 ผ่านเกณฑ์ Lot 2 ผ่านเกณฑ์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0" s="46" t="n"/>
      <c r="L260" s="45" t="inlineStr">
        <is>
          <t>Solid Dosage Forms &amp; Manufacturing</t>
        </is>
      </c>
      <c r="M260" s="46" t="inlineStr">
        <is>
          <t>Product</t>
        </is>
      </c>
      <c r="N260" s="45" t="inlineStr">
        <is>
          <t>ข้อสอบจริง Product ปี 2559 ข้อ 18</t>
        </is>
      </c>
      <c r="O260" s="46" t="inlineStr">
        <is>
          <t>ข้อสอบจริง</t>
        </is>
      </c>
      <c r="P260" s="46" t="inlineStr">
        <is>
          <t>ปี 2559</t>
        </is>
      </c>
    </row>
    <row r="261">
      <c r="A261" s="46" t="n">
        <v>259</v>
      </c>
      <c r="B261" s="45" t="inlineStr">
        <is>
          <t>ยา GPO vir-S 30 มีปัญหาน้ำหนักในแต่ละเม็ดยาไม่เท่ากัน จะแก้ไขปัญหาโดยเพิ่มการไหลของตัวยา ต้องเติมสารช่วยตัวใด</t>
        </is>
      </c>
      <c r="C261" s="46" t="n"/>
      <c r="D261" s="45" t="inlineStr">
        <is>
          <t>lactose</t>
        </is>
      </c>
      <c r="E261" s="45" t="inlineStr">
        <is>
          <t>silicon dioxide</t>
        </is>
      </c>
      <c r="F261" s="45" t="inlineStr">
        <is>
          <t>sodium starch glycolate</t>
        </is>
      </c>
      <c r="G261" s="45" t="inlineStr">
        <is>
          <t>HPMC</t>
        </is>
      </c>
      <c r="H261" s="45" t="inlineStr">
        <is>
          <t>PVP</t>
        </is>
      </c>
      <c r="I261" s="46" t="n">
        <v>1</v>
      </c>
      <c r="J261" s="45" t="inlineStr">
        <is>
          <t>✅ คำตอบที่ถูกต้อง: ข้อ ก. lactose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1" s="46" t="n"/>
      <c r="L261" s="45" t="inlineStr">
        <is>
          <t>Solid Dosage Forms &amp; Manufacturing</t>
        </is>
      </c>
      <c r="M261" s="46" t="inlineStr">
        <is>
          <t>Product</t>
        </is>
      </c>
      <c r="N261" s="45" t="inlineStr">
        <is>
          <t>ข้อสอบจริง Product ปี 2559 ข้อ 4</t>
        </is>
      </c>
      <c r="O261" s="46" t="inlineStr">
        <is>
          <t>ข้อสอบจริง</t>
        </is>
      </c>
      <c r="P261" s="46" t="inlineStr">
        <is>
          <t>ปี 2559</t>
        </is>
      </c>
    </row>
    <row r="262">
      <c r="A262" s="46" t="n">
        <v>260</v>
      </c>
      <c r="B262" s="45" t="inlineStr">
        <is>
          <t>จงเรียงลำดับขั้นตอนของยาเม็ด</t>
        </is>
      </c>
      <c r="C262" s="46" t="n"/>
      <c r="D262" s="45" t="inlineStr">
        <is>
          <t>sealing coat\&gt;subcoating\&gt;grossing\&gt;color coating\&gt;polishing</t>
        </is>
      </c>
      <c r="E262" s="45" t="inlineStr">
        <is>
          <t>subcoating\&gt;sealing coat \&gt;grossing\&gt;color coating\&gt;polishing</t>
        </is>
      </c>
      <c r="F262" s="45" t="inlineStr">
        <is>
          <t>sealing coat\&gt;subcoating\&gt;color coating\&gt;grossing\&gt;polishing</t>
        </is>
      </c>
      <c r="G262" s="45" t="inlineStr">
        <is>
          <t>sealing coat\&gt;subcoating\&gt;grossing\&gt;color coating\&gt;polishing</t>
        </is>
      </c>
      <c r="H262" s="45" t="inlineStr">
        <is>
          <t>sealing coat\&gt;subcoating\&gt;color coating\&gt; polishing\&gt; grossing</t>
        </is>
      </c>
      <c r="I262" s="46" t="n">
        <v>1</v>
      </c>
      <c r="J262" s="45" t="inlineStr">
        <is>
          <t>✅ คำตอบที่ถูกต้อง: ข้อ ก. sealing coat\&gt;subcoating\&gt;grossing\&gt;color coating\&gt;polishing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2" s="46" t="n"/>
      <c r="L262" s="45" t="inlineStr">
        <is>
          <t>Solid Dosage Forms &amp; Manufacturing</t>
        </is>
      </c>
      <c r="M262" s="46" t="inlineStr">
        <is>
          <t>Product</t>
        </is>
      </c>
      <c r="N262" s="45" t="inlineStr">
        <is>
          <t>ข้อสอบจริง Product ปี 2559 ข้อ 10</t>
        </is>
      </c>
      <c r="O262" s="46" t="inlineStr">
        <is>
          <t>ข้อสอบจริง</t>
        </is>
      </c>
      <c r="P262" s="46" t="inlineStr">
        <is>
          <t>ปี 2559</t>
        </is>
      </c>
    </row>
    <row r="263">
      <c r="A263" s="46" t="n">
        <v>261</v>
      </c>
      <c r="B263" s="45" t="inlineStr">
        <is>
          <t>จากสูตรตำรับต่อไปนี้  Rx.  Active Ingredient AAA: 300 mg  Lactose: 500 mg  Corn starch: 10%  หากตำรับยาเม็ดที่ตอกได้มีปัญหาการแตกตัวไม่ดี (Poor disintegration) ควรแก้ไขอย่างไร?</t>
        </is>
      </c>
      <c r="C263" s="46" t="n"/>
      <c r="D263" s="45" t="inlineStr">
        <is>
          <t>เปลี่ยน Lactose เป็น Sodium starch glycolate</t>
        </is>
      </c>
      <c r="E263" s="45" t="inlineStr">
        <is>
          <t>เปลี่ยน Lactose เป็น Croscarmellose sodium</t>
        </is>
      </c>
      <c r="F263" s="45" t="inlineStr">
        <is>
          <t>เปลี่ยน Corn starch เป็น Sodium starch glycolate</t>
        </is>
      </c>
      <c r="G263" s="45" t="inlineStr">
        <is>
          <t>เปลี่ยน Corn starch เป็น Croscarmellose sodium</t>
        </is>
      </c>
      <c r="H263" s="45" t="inlineStr">
        <is>
          <t>เปลี่ยน Corn starch เป็น PVP</t>
        </is>
      </c>
      <c r="I263" s="46" t="n">
        <v>1</v>
      </c>
      <c r="J263" s="45" t="inlineStr">
        <is>
          <t>✅ คำตอบที่ถูกต้อง: ข้อ ก. เปลี่ยน Lactose เป็น Sodium starch glycolate
💡 Background:
คำถามข้อสอบจริงใบประกอบวิชาชีพ PLE-CC 1 (Product) ปี 2558 ข้อ 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3" s="46" t="n"/>
      <c r="L263" s="45" t="inlineStr">
        <is>
          <t>Solid Dosage Forms &amp; Manufacturing</t>
        </is>
      </c>
      <c r="M263" s="46" t="inlineStr">
        <is>
          <t>Product</t>
        </is>
      </c>
      <c r="N263" s="45" t="inlineStr">
        <is>
          <t>ข้อสอบจริง Product ปี 2558 ข้อ 1</t>
        </is>
      </c>
      <c r="O263" s="46" t="inlineStr">
        <is>
          <t>ข้อสอบจริง</t>
        </is>
      </c>
      <c r="P263" s="46" t="inlineStr">
        <is>
          <t>ปี 2558</t>
        </is>
      </c>
    </row>
    <row r="264">
      <c r="A264" s="46" t="n">
        <v>262</v>
      </c>
      <c r="B264" s="45" t="inlineStr">
        <is>
          <t>ยาเม็ดเมื่อเคลือบฟิล์มแล้วพบปัญหาฟิล์มฉีกขาดหรือลอกออกจากกัน (Peeling) จะแก้ไขปัญหานี้อย่างไร?</t>
        </is>
      </c>
      <c r="C264" s="46" t="n"/>
      <c r="D264" s="45" t="inlineStr">
        <is>
          <t>Spray น้ำยาเคลือบให้ช้าลง</t>
        </is>
      </c>
      <c r="E264" s="45" t="inlineStr">
        <is>
          <t>ลดปริมาณ Polymer ของตำรับ</t>
        </is>
      </c>
      <c r="F264" s="45" t="inlineStr">
        <is>
          <t>เติม Talcum ไปในตำรับเคลือบฟิล์ม</t>
        </is>
      </c>
      <c r="G264" s="45" t="inlineStr">
        <is>
          <t>เติม PEG ไปในตำรับเคลือบฟิล์ม</t>
        </is>
      </c>
      <c r="H264" s="45" t="inlineStr">
        <is>
          <t>ลดระยะห่างระหว่างหัวสเปรย์กับเม็ดยา</t>
        </is>
      </c>
      <c r="I264" s="46" t="n">
        <v>1</v>
      </c>
      <c r="J264" s="45" t="inlineStr">
        <is>
          <t>✅ คำตอบที่ถูกต้อง: ข้อ ก. Spray น้ำยาเคลือบให้ช้าลง
💡 Background:
คำถามข้อสอบจริงใบประกอบวิชาชีพ PLE-CC 1 (Product) ปี 2558 ข้อ 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4" s="46" t="n"/>
      <c r="L264" s="45" t="inlineStr">
        <is>
          <t>Solid Dosage Forms &amp; Manufacturing</t>
        </is>
      </c>
      <c r="M264" s="46" t="inlineStr">
        <is>
          <t>Product</t>
        </is>
      </c>
      <c r="N264" s="45" t="inlineStr">
        <is>
          <t>ข้อสอบจริง Product ปี 2558 ข้อ 5</t>
        </is>
      </c>
      <c r="O264" s="46" t="inlineStr">
        <is>
          <t>ข้อสอบจริง</t>
        </is>
      </c>
      <c r="P264" s="46" t="inlineStr">
        <is>
          <t>ปี 2558</t>
        </is>
      </c>
    </row>
    <row r="265">
      <c r="A265" s="46" t="n">
        <v>263</v>
      </c>
      <c r="B265" s="45" t="inlineStr">
        <is>
          <t>ยาเม็ด Theophylline SR (Sustained Release) มีส่วนประกอบดังนี้: Theophylline, Lactose monohydrate, HPMC, PVP K30, Magnesium stearate, Isopropyl alcohol สารใดทำหน้าที่เป็นสารก่อเมทริกซ์ (Matrix-forming agent)?</t>
        </is>
      </c>
      <c r="C265" s="46" t="n"/>
      <c r="D265" s="45" t="inlineStr">
        <is>
          <t>Lactose monohydrate</t>
        </is>
      </c>
      <c r="E265" s="45" t="inlineStr">
        <is>
          <t>HPMC</t>
        </is>
      </c>
      <c r="F265" s="45" t="inlineStr">
        <is>
          <t>PVP K30</t>
        </is>
      </c>
      <c r="G265" s="45" t="inlineStr">
        <is>
          <t>Magnesium stearate</t>
        </is>
      </c>
      <c r="H265" s="45" t="inlineStr">
        <is>
          <t>Isopropyl alcohol</t>
        </is>
      </c>
      <c r="I265" s="46" t="n">
        <v>1</v>
      </c>
      <c r="J265" s="45" t="inlineStr">
        <is>
          <t>✅ คำตอบที่ถูกต้อง: ข้อ ก. Lactose monohydrate
💡 Background:
คำถามข้อสอบจริงใบประกอบวิชาชีพ PLE-CC 1 (Product) ปี 2558 ข้อ 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5" s="46" t="n"/>
      <c r="L265" s="45" t="inlineStr">
        <is>
          <t>Solid Dosage Forms &amp; Manufacturing</t>
        </is>
      </c>
      <c r="M265" s="46" t="inlineStr">
        <is>
          <t>Product</t>
        </is>
      </c>
      <c r="N265" s="45" t="inlineStr">
        <is>
          <t>ข้อสอบจริง Product ปี 2558 ข้อ 6</t>
        </is>
      </c>
      <c r="O265" s="46" t="inlineStr">
        <is>
          <t>ข้อสอบจริง</t>
        </is>
      </c>
      <c r="P265" s="46" t="inlineStr">
        <is>
          <t>ปี 2558</t>
        </is>
      </c>
    </row>
    <row r="266">
      <c r="A266" s="46" t="n">
        <v>264</v>
      </c>
      <c r="B266" s="45" t="inlineStr">
        <is>
          <t>ข้อใดกล่าวได้ถูกต้องเกี่ยวกับเครื่องมือพ่นยาสูดพ่นชนิด Metered-Dose Inhaler (MDI)?</t>
        </is>
      </c>
      <c r="C266" s="46" t="n"/>
      <c r="D266" s="45" t="inlineStr">
        <is>
          <t>ไม่จำเป็นต้องใช้ Propellant (สารขับดัน)</t>
        </is>
      </c>
      <c r="E266" s="45" t="inlineStr">
        <is>
          <t>กำจัดขยะกระป๋องยาโดยการเผาทำลาย</t>
        </is>
      </c>
      <c r="F266" s="45" t="inlineStr">
        <is>
          <t>การสูดพ่นไม่ต้องสัมพันธ์กับการกดกระบอกยา (Hand-breath coordination)</t>
        </is>
      </c>
      <c r="G266" s="45" t="inlineStr">
        <is>
          <t>มี Metered valve ในการควบคุมปริมาตรยาที่พ่นแต่ละครั้งให้คงที่</t>
        </is>
      </c>
      <c r="H266" s="45" t="inlineStr">
        <is>
          <t>ใช้ Lactose เป็นสารแต่งกลิ่นหรือ Carrier</t>
        </is>
      </c>
      <c r="I266" s="46" t="n">
        <v>1</v>
      </c>
      <c r="J266" s="45" t="inlineStr">
        <is>
          <t>✅ คำตอบที่ถูกต้อง: ข้อ ก. ไม่จำเป็นต้องใช้ Propellant (สารขับดัน)
💡 Background:
คำถามข้อสอบจริงใบประกอบวิชาชีพ PLE-CC 1 (Product) ปี 2558 ข้อ 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6" s="46" t="n"/>
      <c r="L266" s="45" t="inlineStr">
        <is>
          <t>Solid Dosage Forms &amp; Manufacturing</t>
        </is>
      </c>
      <c r="M266" s="46" t="inlineStr">
        <is>
          <t>Product</t>
        </is>
      </c>
      <c r="N266" s="45" t="inlineStr">
        <is>
          <t>ข้อสอบจริง Product ปี 2558 ข้อ 8</t>
        </is>
      </c>
      <c r="O266" s="46" t="inlineStr">
        <is>
          <t>ข้อสอบจริง</t>
        </is>
      </c>
      <c r="P266" s="46" t="inlineStr">
        <is>
          <t>ปี 2558</t>
        </is>
      </c>
    </row>
    <row r="267">
      <c r="A267" s="46" t="n">
        <v>265</v>
      </c>
      <c r="B267" s="45" t="inlineStr">
        <is>
          <t>ยาเม็ด Calcium carbonate ที่ตอกขึ้นมาแล้วเกิดข้อบกพร่องประเภทหน้ายาหลุดแยกตัวเป็นหมวกครึ่งวงกลม (Capping) ข้อใดต่อไปนี้ ไม่ใช่ แนวทางการแก้ไขปัญหาดังกล่าวที่ถูกต้อง?</t>
        </is>
      </c>
      <c r="C267" s="46" t="n"/>
      <c r="D267" s="45" t="inlineStr">
        <is>
          <t>เพิ่มแรงตอกยารวดเดียว (Increase compression force)</t>
        </is>
      </c>
      <c r="E267" s="45" t="inlineStr">
        <is>
          <t>ลดอัตราเร็วหรือความเร็วในกระบวนการตอกยา (Decrease compression speed)</t>
        </is>
      </c>
      <c r="F267" s="45" t="inlineStr">
        <is>
          <t>เพิ่มสัดส่วนปริมาณสารยึดเกาะ (Binder) ในแกรนูล</t>
        </is>
      </c>
      <c r="G267" s="45" t="inlineStr">
        <is>
          <t>เพิ่มความชื้นในผงยาก่อนนำไปตอก (Increase moisture content)</t>
        </is>
      </c>
      <c r="H267" s="45" t="inlineStr">
        <is>
          <t>ลดปริมาณการใช้สารหล่อลื่น Magnesium stearate ลง</t>
        </is>
      </c>
      <c r="I267" s="46" t="n">
        <v>1</v>
      </c>
      <c r="J267" s="45" t="inlineStr">
        <is>
          <t>✅ คำตอบที่ถูกต้อง: ข้อ ก. เพิ่มแรงตอกยารวดเดียว (Increase compression force)
💡 Background:
คำถามข้อสอบจริงใบประกอบวิชาชีพ PLE-CC 1 (Product) ปี 2558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7" s="46" t="n"/>
      <c r="L267" s="45" t="inlineStr">
        <is>
          <t>Solid Dosage Forms &amp; Manufacturing</t>
        </is>
      </c>
      <c r="M267" s="46" t="inlineStr">
        <is>
          <t>Product</t>
        </is>
      </c>
      <c r="N267" s="45" t="inlineStr">
        <is>
          <t>ข้อสอบจริง Product ปี 2558 ข้อ 18</t>
        </is>
      </c>
      <c r="O267" s="46" t="inlineStr">
        <is>
          <t>ข้อสอบจริง</t>
        </is>
      </c>
      <c r="P267" s="46" t="inlineStr">
        <is>
          <t>ปี 2558</t>
        </is>
      </c>
    </row>
    <row r="268">
      <c r="A268" s="46" t="n">
        <v>266</v>
      </c>
      <c r="B268" s="45" t="inlineStr">
        <is>
          <t>เภสัชตำรับ USP กำหนดให้ยาเม็ดประเภทหนึ่งมีข้อกำหนดการละลายเป็น Q \= 80% ณ เวลา 30 นาที ผลการทดสอบกรณีใดต่อไปนี้ถือว่า ผ่านเกณฑ์ (Pass) การยอมรับของการทดสอบขั้นที่ 2 (Stage 2: S2)?</t>
        </is>
      </c>
      <c r="C268" s="46" t="n"/>
      <c r="D268" s="45" t="inlineStr">
        <is>
          <t>สุ่มตรวจในขั้น S1 จำนวน 6 เม็ด ค่าเฉลี่ยของการละลายเท่ากับ 80%</t>
        </is>
      </c>
      <c r="E268" s="45" t="inlineStr">
        <is>
          <t>สุ่มตรวจเพิ่มเติมในขั้น S2 รวมเป็น 12 เม็ด มีเม็ดหนึ่งตรวจพบการละลายเท่ากับ 60%</t>
        </is>
      </c>
      <c r="F268" s="45" t="inlineStr">
        <is>
          <t>สุ่มตรวจเพิ่มเติมในขั้น S2 รวมเป็น 12 เม็ด ได้ค่าเฉลี่ยเท่ากับ 82% และยาทุกเม็ดละลายได้เกิน 70%</t>
        </is>
      </c>
      <c r="G268" s="45" t="inlineStr">
        <is>
          <t>สุ่มตรวจเพิ่มเติมในขั้น S2 รวมเป็น 12 เม็ด ได้ค่าเฉลี่ยเท่ากับ 79% และยาทุกเม็ดละลายได้เกิน 65%</t>
        </is>
      </c>
      <c r="H268" s="45" t="inlineStr">
        <is>
          <t>สุ่มตรวจในขั้น S1 จำนวน 6 เม็ด มีหนึ่งเม็ดตรวจพบการละลายเท่ากับ 80%</t>
        </is>
      </c>
      <c r="I268" s="46" t="n">
        <v>1</v>
      </c>
      <c r="J268" s="45" t="inlineStr">
        <is>
          <t>✅ คำตอบที่ถูกต้อง: ข้อ ก. สุ่มตรวจในขั้น S1 จำนวน 6 เม็ด ค่าเฉลี่ยของการละลายเท่ากับ 80%
💡 Background:
คำถามข้อสอบจริงใบประกอบวิชาชีพ PLE-CC 1 (Product) ปี 2558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8" s="46" t="n"/>
      <c r="L268" s="45" t="inlineStr">
        <is>
          <t>Solid Dosage Forms &amp; Manufacturing</t>
        </is>
      </c>
      <c r="M268" s="46" t="inlineStr">
        <is>
          <t>Product</t>
        </is>
      </c>
      <c r="N268" s="45" t="inlineStr">
        <is>
          <t>ข้อสอบจริง Product ปี 2558 ข้อ 23</t>
        </is>
      </c>
      <c r="O268" s="46" t="inlineStr">
        <is>
          <t>ข้อสอบจริง</t>
        </is>
      </c>
      <c r="P268" s="46" t="inlineStr">
        <is>
          <t>ปี 2558</t>
        </is>
      </c>
    </row>
    <row r="269">
      <c r="A269" s="46" t="n">
        <v>267</v>
      </c>
      <c r="B269" s="45" t="inlineStr">
        <is>
          <t>ข้อใดกล่าวถูกต้องเกี่ยวกับระบบอุปกรณ์นำส่งยาสูดพ่นชนิดผงแห้ง (Dry Powder Inhaler: DPI)?</t>
        </is>
      </c>
      <c r="C269" s="46" t="n"/>
      <c r="D269" s="45" t="inlineStr">
        <is>
          <t>ต้องอาศัยสารขับดันประเภท HFA หรือ CFC เพื่อช่วยพ่นผงยาออกสู่ภายนอก</t>
        </is>
      </c>
      <c r="E269" s="45" t="inlineStr">
        <is>
          <t>ยาแห้ง DPI จะใช้ผงแลคโตสขนาดเม็ดละเอียด (Fine lactose) เป็นตัวพายาเข้าสู่ปอด</t>
        </is>
      </c>
      <c r="F269" s="45" t="inlineStr">
        <is>
          <t>ประสิทธิภาพการกระจายตัวของผงยาเข้าสู่ปอดส่วนลึก ขึ้นกับความแรงของแรงสูดหายใจเข้า (Inspiratory flow rate) ของผู้ป่วย</t>
        </is>
      </c>
      <c r="G269" s="45" t="inlineStr">
        <is>
          <t>ตัวนำทางอุปกรณ์ไม่มีผลกระทบต่อสัดส่วนของการตกตะกอนในทางเดินหายใจ</t>
        </is>
      </c>
      <c r="H269" s="45" t="inlineStr">
        <is>
          <t>ปริมาตรลมหายใจออกของผู้ป่วยเป็นหัวใจหลักในการผลักดันระบบนำส่งยา</t>
        </is>
      </c>
      <c r="I269" s="46" t="n">
        <v>1</v>
      </c>
      <c r="J269" s="45" t="inlineStr">
        <is>
          <t>✅ คำตอบที่ถูกต้อง: ข้อ ก. ต้องอาศัยสารขับดันประเภท HFA หรือ CFC เพื่อช่วยพ่นผงยาออกสู่ภายนอก
💡 Background:
คำถามข้อสอบจริงใบประกอบวิชาชีพ PLE-CC 1 (Product) ปี 2558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9" s="46" t="n"/>
      <c r="L269" s="45" t="inlineStr">
        <is>
          <t>Solid Dosage Forms &amp; Manufacturing</t>
        </is>
      </c>
      <c r="M269" s="46" t="inlineStr">
        <is>
          <t>Product</t>
        </is>
      </c>
      <c r="N269" s="45" t="inlineStr">
        <is>
          <t>ข้อสอบจริง Product ปี 2558 ข้อ 35</t>
        </is>
      </c>
      <c r="O269" s="46" t="inlineStr">
        <is>
          <t>ข้อสอบจริง</t>
        </is>
      </c>
      <c r="P269" s="46" t="inlineStr">
        <is>
          <t>ปี 2558</t>
        </is>
      </c>
    </row>
  </sheetData>
  <mergeCells count="1">
    <mergeCell ref="A1:F1"/>
  </mergeCell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Q24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44" t="n">
        <v>1</v>
      </c>
      <c r="B3" s="45" t="inlineStr">
        <is>
          <t>แพทย์สั่งยา : Ferrous sulphate syrup (25mg/5mL) PO BID PC (ใช้ตอบข้อ 52-54)
ส่วนประกอบใน Multivitamin syrup ในข้อใด มีอันตรกิริยากับยา Ferrous sulphate syrup</t>
        </is>
      </c>
      <c r="C3" s="46" t="n"/>
      <c r="D3" s="45" t="inlineStr">
        <is>
          <t>Lysine</t>
        </is>
      </c>
      <c r="E3" s="45" t="inlineStr">
        <is>
          <t>Nicotinamide</t>
        </is>
      </c>
      <c r="F3" s="45" t="inlineStr">
        <is>
          <t>D-panthenol</t>
        </is>
      </c>
      <c r="G3" s="45" t="inlineStr">
        <is>
          <t>Vitamin D</t>
        </is>
      </c>
      <c r="H3" s="45" t="inlineStr">
        <is>
          <t>Calcium</t>
        </is>
      </c>
      <c r="I3" s="44" t="inlineStr">
        <is>
          <t>5</t>
        </is>
      </c>
      <c r="J3" s="45" t="inlineStr">
        <is>
          <t>✅ คำตอบที่ถูกต้อง: ข้อ จ. Calcium
💡 Background:
ธาตุเหล็กในรูป Ferrous sulfate (Fe2+) มีคุณสมบัติเกิดปฏิกิริยากับไอออนบวกหลายประจุ (Multivalent cations) เช่น แคลเซียม (Ca2+), แมกนีเซียม (Mg2+) และอะลูมิเนียม (Al3+) เกิดเป็นสารประกอบเชิงซ้อนที่ไม่ละลายน้ำ ขัดขวางการดูดซึมธาตุเหล็ก
🎯 ทำไมข้อนี้ถึงถูก:
Calcium ในวิตามินรวมหรือผลิตภัณฑ์เสริมอาหารจะแย่งจับหรือเกิด Chelation/Complexation กับ Ferrous sulfate ในทางเดินอาหาร ทำให้การดูดซึมธาตุเหล็กลดลงอย่างมีนัยสำคัญ จึงต้องหลีกเลี่ยงการรับประทานพร้อมกัน โดยควรเว้นระยะห่างอย่างน้อย 2 ชั่วโมง
🔍 ข้ออื่นผิดเพราะอะไร:
• ข้อ ก. (Lysine): เป็นกรดอะมิโน ไม่เกิดอันตรกิริยาขัดขวางการดูดซึมธาตุเหล็ก
• ข้อ ข. (Nicotinamide): วิตามินบี 3 ไม่รบกวนการดูดซึมธาตุเหล็ก
• ข้อ ค. (D-panthenol): โปรวิตามินบี 5 ไม่รบกวนการดูดซึมธาตุเหล็ก
• ข้อ ง. (Vitamin D): ช่วยเพิ่มการดูดซึมแคลเซียมและฟอสฟอรัส ไม่ได้ขัดขวางการดูดซึมธาตุเหล็กโดยตรง
📖 Guideline อ้างอิง:
Drug Information Handbook &amp; แนวทางการรักษาภาวะโลหิตจางจากการขาดธาตุเหล็ก (สมาคมโลหิตวิทยาแห่งประเทศไทย)
📌 จุดจำก่อนสอบ:
Ferrous sulfate ตีกับ Multivalent cations (Calcium, Antacids, นม) และ Tetracyclines/Fluoroquinolones ต้องกินห่างกันอย่างน้อย 2 ชั่วโมง</t>
        </is>
      </c>
      <c r="K3" s="46" t="n"/>
      <c r="L3" s="45" t="inlineStr">
        <is>
          <t>Solutions, Syrups &amp; Elixirs</t>
        </is>
      </c>
      <c r="M3" s="46" t="inlineStr">
        <is>
          <t>Product</t>
        </is>
      </c>
      <c r="N3" s="45" t="inlineStr">
        <is>
          <t>Mock PLE-CC 1 ข้อ 53</t>
        </is>
      </c>
      <c r="O3" s="46" t="inlineStr">
        <is>
          <t>Mock</t>
        </is>
      </c>
      <c r="P3" s="46" t="inlineStr">
        <is>
          <t>Mock RxCU83</t>
        </is>
      </c>
      <c r="Q3" s="2" t="n"/>
    </row>
    <row r="4" ht="13.2" customHeight="1" s="37">
      <c r="A4" s="44" t="n">
        <v>2</v>
      </c>
      <c r="B4" s="45" t="inlineStr">
        <is>
          <t>แพทย์สั่งยา : Ferrous sulphate syrup (25mg/5mL) PO BID PC (ใช้ตอบข้อ 52-54)
ข้อใดคืออาการไม่พึงประสงค์จากการรับประทานธาตุเหล็ก</t>
        </is>
      </c>
      <c r="C4" s="46" t="n"/>
      <c r="D4" s="45" t="inlineStr">
        <is>
          <t>ขาดวิตามินบี 12</t>
        </is>
      </c>
      <c r="E4" s="45" t="inlineStr">
        <is>
          <t>ท้องผูก</t>
        </is>
      </c>
      <c r="F4" s="45" t="inlineStr">
        <is>
          <t>ปัสสาวะสีดำ</t>
        </is>
      </c>
      <c r="G4" s="45" t="inlineStr">
        <is>
          <t>ปวดศีรษะ</t>
        </is>
      </c>
      <c r="H4" s="45" t="inlineStr">
        <is>
          <t>เป็นแผลในกระเพาะปัสสาวะ</t>
        </is>
      </c>
      <c r="I4" s="44" t="inlineStr">
        <is>
          <t>2</t>
        </is>
      </c>
      <c r="J4" s="45" t="inlineStr">
        <is>
          <t>✅ คำตอบที่ถูกต้อง: ข้อ ข. ท้องผูก
💡 Background:
การรับประทานยาเม็ดหรือยาน้ำเสริมธาตุเหล็ก (Oral Iron Supplementation) มีผลข้างเคียงต่อระบบทางเดินอาหาร (Gastrointestinal ADRs) เป็นปัญหาหลักที่พบบ่อยที่สุด
🎯 ทำไมข้อนี้ถึงถูก:
ท้องผูก (Constipation) และคลื่นไส้ แน่นท้อง ถ่ายอุจจาระสีดำ (Dark stools) เป็นผลข้างเคียงคลาสสิกของยาเสริมธาตุเหล็กทางปาก เนื่องจากการระคายเคืองของเยื่อบุทางเดินอาหารและการรบกวนการเคลื่อนไหวของลำไส้
🔍 ข้ออื่นผิดเพราะอะไร:
• ข้อ ก. ขาดวิตามินบี 12: ไม่ใช่อาการข้างเคียงของธาตุเหล็ก
• ข้อ ค. ปัสสาวะสีดำ: ผิด ธาตุเหล็กทำให้ อุจจาระสีดำ (Stool darkening) ไม่ใช่ปัสสาวะสีดำ
• ข้อ ง. ปวดศีรษะ: ไม่ใช่อาการข้างเคียงที่จำเพาะของธาตุเหล็ก
• ข้อ จ. เป็นแผลในกระเพาะปัสสาวะ: ไม่ใช่อาการข้างเคียงของธาตุเหล็ก
📖 Guideline อ้างอิง:
Goodman &amp; Gilman's: The Pharmacological Basis of Therapeutics &amp; แนวทางเวชปฏิบัติโลหิตจางจากการขาดธาตุเหล็ก
📌 จุดจำก่อนสอบ:
อาการข้างเคียงหลักของ Oral Iron: ท้องผูก คลื่นไส้ แน่นท้อง อุจจาระสีดำ (ถ้าถ่ายดำปกติ แต่ถ้าปัสสาวะดำไม่ใช่)</t>
        </is>
      </c>
      <c r="K4" s="46" t="n"/>
      <c r="L4" s="45" t="inlineStr">
        <is>
          <t>Solutions, Syrups &amp; Elixirs</t>
        </is>
      </c>
      <c r="M4" s="46" t="inlineStr">
        <is>
          <t>Product</t>
        </is>
      </c>
      <c r="N4" s="45" t="inlineStr">
        <is>
          <t>Mock PLE-CC 1 ข้อ 54</t>
        </is>
      </c>
      <c r="O4" s="46" t="inlineStr">
        <is>
          <t>Mock</t>
        </is>
      </c>
      <c r="P4" s="46" t="inlineStr">
        <is>
          <t>Mock RxCU83</t>
        </is>
      </c>
      <c r="Q4" s="2" t="n"/>
    </row>
    <row r="5" ht="13.2" customHeight="1" s="37">
      <c r="A5" s="44" t="n">
        <v>3</v>
      </c>
      <c r="B5" s="45" t="inlineStr">
        <is>
          <t>แพทย์สั่งยา : Ferrous sulphate syrup (25mg/5mL) PO BID PC (ใช้ตอบข้อ 52-54)
กลไกการออกฤทธิ์ของ Ferrous sulphate ในการรักษาภาวะโลหิตจางคือข้อใด</t>
        </is>
      </c>
      <c r="C5" s="46" t="n"/>
      <c r="D5" s="45" t="inlineStr">
        <is>
          <t>เพิ่มการสร้าง erythropoietin จากไต</t>
        </is>
      </c>
      <c r="E5" s="45" t="inlineStr">
        <is>
          <t>เพิ่มการสร้าง instrinsic factor จากกระเพาะอาหาร</t>
        </is>
      </c>
      <c r="F5" s="45" t="inlineStr">
        <is>
          <t>จัดหาเหล็กในรูปของ ferrous สำหรับการสร้าง heme และ hemoglobin</t>
        </is>
      </c>
      <c r="G5" s="45" t="inlineStr">
        <is>
          <t>ยับยั้งการทำลายเม็ดเลือดจากม้าม</t>
        </is>
      </c>
      <c r="H5" s="45" t="inlineStr">
        <is>
          <t>เพิ่มการสร้าง transferrin โดยตรง</t>
        </is>
      </c>
      <c r="I5" s="44" t="inlineStr">
        <is>
          <t>3</t>
        </is>
      </c>
      <c r="J5" s="45" t="inlineStr">
        <is>
          <t>✅ คำตอบที่ถูกต้อง: ข้อ ค. จัดหาเหล็กในรูปของ ferrous สำหรับการสร้าง heme และ hemoglobin
💡 Background:
ธาตุเหล็กเป็นแร่ธาตุจำเป็นที่มีบทบาทโครงสร้างหลักในโมเลกุลของ Heme ในเม็ดเลือดแดงและ Myoglobin ในกล้ามเนื้อ
🎯 ทำไมข้อนี้ถึงถูก:
Ferrous sulfate ให้เหล็กในรูป Fe2+ ซึ่งถูกดูดซึมที่ลำไส้เล็กส่วนต้นและลำเลียงเข้าสู่ไขกระดูก เพื่อนำไปสังเคราะห์เป็นวงแหวน Protoporphyrin รวมเป็น Heme และประกอบเป็นสาย Hemoglobin ในเซลล์เม็ดเลือดแดงตัวอ่อน
🔍 ข้ออื่นผิดเพราะอะไร:
• ข้อ ก. เพิ่มการสร้าง erythropoietin จากไต: เป็นหน้าที่ของเซลล์ Peritubular fibroblasts ของไตเมื่อร่างกายขาดออกซิเจน ไม่ใช่กลไกของธาตุเหล็ก
• ข้อ ข. เพิ่มการสร้าง intrinsic factor จากกระเพาะอาหาร: Intrinsic factor หลั่งจาก Parietal cell เพื่อจับ Vitamin B12
• ข้อ ง. ยับยั้งการทำลายเม็ดเลือดจากม้าม: ไม่ใช่กลไกของธาตุเหล็ก
• ข้อ จ. เพิ่มการสร้าง transferrin โดยตรง: Transferrin ถูกสังเคราะห์จากตับ และจะสูงขึ้นตามธรรมชาติเมื่อร่างกายขาดธาตุเหล็ก
📖 Guideline อ้างอิง:
Goodman &amp; Gilman's The Pharmacological Basis of Therapeutics (Hematopoietic Agents)
📌 จุดจำก่อนสอบ:
Iron Supplementation ทำหน้าที่จัดหา Fe2+ สำหรับกระบวนการ Heme synthesis ในไขกระดูกเพื่อสร้าง RBC</t>
        </is>
      </c>
      <c r="K5" s="46" t="n"/>
      <c r="L5" s="45" t="inlineStr">
        <is>
          <t>Solutions, Syrups &amp; Elixirs</t>
        </is>
      </c>
      <c r="M5" s="46" t="inlineStr">
        <is>
          <t>Product</t>
        </is>
      </c>
      <c r="N5" s="45" t="inlineStr">
        <is>
          <t>Mock PLE-CC 1 ข้อ 55</t>
        </is>
      </c>
      <c r="O5" s="46" t="inlineStr">
        <is>
          <t>Mock</t>
        </is>
      </c>
      <c r="P5" s="46" t="inlineStr">
        <is>
          <t>Mock RxCU83</t>
        </is>
      </c>
      <c r="Q5" s="2" t="n"/>
    </row>
    <row r="6" ht="13.2" customHeight="1" s="37">
      <c r="A6" s="44" t="n">
        <v>4</v>
      </c>
      <c r="B6" s="45" t="inlineStr">
        <is>
          <t>แพทย์สั่งยา : Ferrous sulphate syrup (25mg/5mL) PO BID PC (ใช้ตอบข้อ 52-54)
หากผู้ป่วยไม่ได้เป็น iron deficiency anemia แต่ตรวจพบว่าเป็น Megaloblastic anemia จากการขาดวิตามินบี 12 การรักษาควรเปลี่ยนเป็นข้อใด</t>
        </is>
      </c>
      <c r="C6" s="46" t="n"/>
      <c r="D6" s="45" t="inlineStr">
        <is>
          <t>Ferrous Sulfate syrup PO</t>
        </is>
      </c>
      <c r="E6" s="45" t="inlineStr">
        <is>
          <t>Hydroxocobalamin PO</t>
        </is>
      </c>
      <c r="F6" s="45" t="inlineStr">
        <is>
          <t>Folic acid เพียงอย่างเดียว</t>
        </is>
      </c>
      <c r="G6" s="45" t="inlineStr">
        <is>
          <t>Ascorbic acid PO</t>
        </is>
      </c>
      <c r="H6" s="45" t="inlineStr">
        <is>
          <t>deferasirox PO</t>
        </is>
      </c>
      <c r="I6" s="44" t="inlineStr">
        <is>
          <t>2</t>
        </is>
      </c>
      <c r="J6" s="45" t="inlineStr">
        <is>
          <t>✅ คำตอบที่ถูกต้อง: ข้อ ข. Hydroxocobalamin PO (หรือ Cyanocobalamin)
💡 Background:
โลหิตจางชนิดเม็ดเลือดแดงตัวโต (Megaloblastic anemia) จากการขาดวิตามินบี 12 (Vitamin B12 deficiency) ต้องการการรักษาทดแทนวิตามินบี 12 อย่างตรงจุด
🎯 ทำไมข้อนี้ถึงถูก:
การรักษาภาวะขาดวิตามินบี 12 ต้องให้วิตามินบี 12 ทดแทน ได้แก่ Hydroxocobalamin หรือ Cyanocobalamin (ฉีดหรือกินขนาดสูง) เพื่อฟื้นฟูการสร้างเซลล์เม็ดเลือดแดงและป้องกันการเกิดพยาธิสภาพถาวรทางระบบประสาท (Subacute combined degeneration of the spinal cord)
🔍 ข้ออื่นผิดเพราะอะไร:
• ข้อ ก. Ferrous Sulfate syrup: ใช้สำหรับ Iron deficiency anemia (Microcytic hypochromic) ไม่ช่วยรักษาภาวะขาด B12
• ข้อ ค. Folic acid เพียงอย่างเดียว: อันตรายอย่างยิ่ง การให้โฟลิกเดี่ยวๆ ในผู้ป่วยขาด B12 จะบดบังอาการทางโลหิตจางแต่ทำให้อาการทางระบบประสาทแย่ลงจนพิการถาวร (Masking neurologic symptoms)
• ข้อ ง. Ascorbic acid: วิตามินซีช่วยการดูดซึมเหล็ก ไม่ได้รักษาภาวะขาด B12
• ข้อ จ. Deferasirox: เป็นยาขับเหล็ก (Iron chelator) ใช้รักษาภาวะเหล็กเกิน
📖 Guideline อ้างอิง:
British Society for Haematology (BSH) Guidelines for the diagnosis and treatment of cobalamin and folate disorders
📌 จุดจำก่อนสอบ:
ขาด B12 ต้องให้ B12 (Hydroxocobalamin) ห้ามให้ Folic acid เดี่ยวๆ เพราะจะบดบังอาการและทำให้ระบบประสาทเสื่อมถาวร!</t>
        </is>
      </c>
      <c r="K6" s="46" t="n"/>
      <c r="L6" s="45" t="inlineStr">
        <is>
          <t>Solutions, Syrups &amp; Elixirs</t>
        </is>
      </c>
      <c r="M6" s="46" t="inlineStr">
        <is>
          <t>Product</t>
        </is>
      </c>
      <c r="N6" s="45" t="inlineStr">
        <is>
          <t>Mock PLE-CC 1 ข้อ 56</t>
        </is>
      </c>
      <c r="O6" s="46" t="inlineStr">
        <is>
          <t>Mock</t>
        </is>
      </c>
      <c r="P6" s="46" t="inlineStr">
        <is>
          <t>Mock RxCU83</t>
        </is>
      </c>
      <c r="Q6" s="2" t="n"/>
    </row>
    <row r="7" ht="13.2" customHeight="1" s="37">
      <c r="A7" s="44" t="n">
        <v>5</v>
      </c>
      <c r="B7" s="45" t="inlineStr">
        <is>
          <t>Acyclovir cream 5% w/w 1 g จะมีกี่ mg/g และถ้าต้องการผลิตภัณฑ์ยา 25 mg ต้องใช้กี่กรัม</t>
        </is>
      </c>
      <c r="C7" s="46" t="n"/>
      <c r="D7" s="45" t="inlineStr">
        <is>
          <t>0.5 mg/g, 0.0125 g</t>
        </is>
      </c>
      <c r="E7" s="45" t="inlineStr">
        <is>
          <t>5 mg/g, 0.0125 g</t>
        </is>
      </c>
      <c r="F7" s="45" t="inlineStr">
        <is>
          <t>5 mg/g, 0.125 g</t>
        </is>
      </c>
      <c r="G7" s="45" t="inlineStr">
        <is>
          <t>50 mg/g, 0.125 g</t>
        </is>
      </c>
      <c r="H7" s="45" t="inlineStr">
        <is>
          <t>50 mg/g, 0.5 g</t>
        </is>
      </c>
      <c r="I7" s="44" t="inlineStr">
        <is>
          <t>5</t>
        </is>
      </c>
      <c r="J7" s="45" t="inlineStr">
        <is>
          <t>✅ คำตอบที่ถูกต้อง: ข้อ จ. 50 mg/g, 0.5 g
💡 Background:
การคำนวณความเข้มข้นในรูป %w/w ของยาทาภายนอก: 5% w/w หมายถึงมีตัวยาสำคัญ 5 กรัม ในเนื้อยาครีม 100 กรัม
🎯 ทำไมข้อนี้ถึงถูก:
ขั้นตอนการคำนวณ:
1. หาปริมาณยาเป็น mg ต่อเนื้อครีม 1 g:
   เนื้อครีม 100 g มีตัวยา 5 g = 5,000 mg
   เนื้อครีม 1 g มีตัวยา = 5,000 mg / 100 g = 50 mg/g
2. หาปริมาณครีมที่ต้องใช้เพื่อให้ได้ตัวยา 25 mg:
   ครีม 1 g มีตัวยา 50 mg
   ถ้าต้องการตัวยา 25 mg ต้องใช้ครีม = 25 mg / (50 mg/g) = 0.5 g
🔍 ข้ออื่นผิดเพราะอะไร:
• ข้อ ก., ข., ค.: ผิดที่หน่วย mg/g (5% w/w คือ 50 mg/g ไม่ใช่ 0.5 หรือ 5 mg/g)
• ข้อ ง.: คำนวณปริมาณเนื้อครีมผิดพลาด
📖 Guideline อ้างอิง:
Pharmaceutical Calculations (Stoklosa and Ansel)
📌 จุดจำก่อนสอบ:
1% w/w = 10 mg/g เสมอ! ดังนั้น 5% w/w = 50 mg/g</t>
        </is>
      </c>
      <c r="K7" s="46" t="n"/>
      <c r="L7" s="45" t="inlineStr">
        <is>
          <t>Creams &amp; Ointments</t>
        </is>
      </c>
      <c r="M7" s="46" t="inlineStr">
        <is>
          <t>Product</t>
        </is>
      </c>
      <c r="N7" s="45" t="inlineStr">
        <is>
          <t>Mock PLE-CC 1 ข้อ 124</t>
        </is>
      </c>
      <c r="O7" s="46" t="inlineStr">
        <is>
          <t>Mock</t>
        </is>
      </c>
      <c r="P7" s="46" t="inlineStr">
        <is>
          <t>Mock RxCU83</t>
        </is>
      </c>
      <c r="Q7" s="2" t="n"/>
    </row>
    <row r="8" ht="13.2" customHeight="1" s="37">
      <c r="A8" s="44" t="n">
        <v>6</v>
      </c>
      <c r="B8" s="45" t="inlineStr">
        <is>
          <t>ยาครีม acyclovir หัวข้อไหน ไม่ต้องทดสอบในการควบคุมคุณภาพตามเภสัชตำรับ</t>
        </is>
      </c>
      <c r="C8" s="46" t="n"/>
      <c r="D8" s="45" t="inlineStr">
        <is>
          <t>Assay</t>
        </is>
      </c>
      <c r="E8" s="45" t="inlineStr">
        <is>
          <t>Identification</t>
        </is>
      </c>
      <c r="F8" s="45" t="inlineStr">
        <is>
          <t>Dissolution</t>
        </is>
      </c>
      <c r="G8" s="45" t="inlineStr">
        <is>
          <t>Minimum fill</t>
        </is>
      </c>
      <c r="H8" s="45" t="inlineStr">
        <is>
          <t>Impurity &amp; Microbial limit</t>
        </is>
      </c>
      <c r="I8" s="44" t="inlineStr">
        <is>
          <t>3</t>
        </is>
      </c>
      <c r="J8" s="45" t="inlineStr">
        <is>
          <t>✅ คำตอบที่ถูกต้อง: ข้อ ค. Dissolution
💡 Background:
ตามเภสัชตำรับ USP Monograph สำหรับรูปแบบยาเตรียมกึ่งแข็งทาภายนอก (Topical Semisolid Dosage Forms: Creams and Ointments) มีหัวข้อควบคุมคุณภาพเฉพาะที่กำหนดไว้
🎯 ทำไมข้อนี้ถึงถูก:
การทดสอบการละลาย (Dissolution test) เป็นการทดสอบสำหรับ ยารับประทานรูปแบบของแข็ง (Solid oral dosage forms เช่น ยาเม็ด ยาแคปซูล) เพื่อประเมินการแตกตัวและละลายในทางเดินอาหาร ไม่มีการทดสอบ Dissolution ในยาครีมทาผิวหนัง (สำหรับยาทาภายนอกจะใช้ In vitro release testing: IVRT หรือ Franz diffusion cell ในการวิจัยพัฒนา แต่ไม่ได้เป็นข้อกำหนดปล่อยผ่านรุ่นผลิตตาม USP ทั่วไป)
🔍 ข้ออื่นผิดเพราะอะไร:
• ข้อ ก. (Assay): เป็นหัวข้อบังคับใน Monograph เพื่อหา % Label amount ของ Acyclovir
• ข้อ ข. (Identification): เป็นหัวข้อบังคับเพื่อพิสูจน์เอกลักษณ์ตัวยา
• ข้อ ง. (Minimum fill): เป็นหัวข้อบังคับตาม USP &lt;755&gt; เพื่อตรวจความสมบูรณ์ของปริมาณบรรจุในหลอด
• ข้อ จ. (Impurity / Microbial limit): เป็นหัวข้อควบคุมคุณภาพสารปนเปื้อนและเชื้อจุลชีพตามเกณฑ์
📖 Guideline อ้างอิง:
USP-NF Monograph for Acyclovir Cream &amp; USP &lt;1151&gt; Pharmaceutical Dosage Forms (Topical Semisolids)
📌 จุดจำก่อนสอบ:
Dissolution test มีเฉพาะในยารูปแบบ Solid Oral (เม็ด/แคปซูล) ยาครีม/ขี้ผึ้งไม่ต้องตรวจ Dissolution!</t>
        </is>
      </c>
      <c r="K8" s="46" t="n"/>
      <c r="L8" s="45" t="inlineStr">
        <is>
          <t>Creams &amp; Ointments</t>
        </is>
      </c>
      <c r="M8" s="46" t="inlineStr">
        <is>
          <t>Product</t>
        </is>
      </c>
      <c r="N8" s="45" t="inlineStr">
        <is>
          <t>Mock PLE-CC 1 ข้อ 128</t>
        </is>
      </c>
      <c r="O8" s="46" t="inlineStr">
        <is>
          <t>Mock</t>
        </is>
      </c>
      <c r="P8" s="46" t="inlineStr">
        <is>
          <t>Mock RxCU83</t>
        </is>
      </c>
      <c r="Q8" s="2" t="n"/>
    </row>
    <row r="9" ht="13.2" customHeight="1" s="37">
      <c r="A9" s="44" t="n">
        <v>7</v>
      </c>
      <c r="B9" s="45" t="inlineStr">
        <is>
          <t>ยาครีม acyclovir เกิดปัญหาเนื้อครีมเหลวเกินไป ควรเติมสารในข้อใดเพื่อเพิ่มความคงตัวและความข้นหนืด (Stiffening agent)</t>
        </is>
      </c>
      <c r="C9" s="46" t="n"/>
      <c r="D9" s="45" t="inlineStr">
        <is>
          <t>Sodium lauryl sulfate</t>
        </is>
      </c>
      <c r="E9" s="45" t="inlineStr">
        <is>
          <t>Mineral oil</t>
        </is>
      </c>
      <c r="F9" s="45" t="inlineStr">
        <is>
          <t>Cetostearyl alcohol</t>
        </is>
      </c>
      <c r="G9" s="45" t="inlineStr">
        <is>
          <t>Propylene glycol</t>
        </is>
      </c>
      <c r="H9" s="45" t="inlineStr">
        <is>
          <t>White petrolatum</t>
        </is>
      </c>
      <c r="I9" s="44" t="inlineStr">
        <is>
          <t>3</t>
        </is>
      </c>
      <c r="J9" s="45" t="inlineStr">
        <is>
          <t>✅ คำตอบที่ถูกต้อง: ข้อ ค. Cetostearyl alcohol
💡 Background:
ในตำรับยาครีมแบบ Oil-in-Water (O/W cream) สารช่วยเพิ่มความแข็งและความหนืดของเนื้อครีม (Stiffening agent / Consistency agent) นิยมใช้แอลกอฮอล์ไขมันสายยาว (Fatty alcohols)
🎯 ทำไมข้อนี้ถึงถูก:
Cetostearyl alcohol (หรือ Cetyl alcohol, Stearyl alcohol) ทำหน้าที่เป็น Stiffening agent และ Co-emulsifier เมื่อเติมลงในวัฏภาคน้ำมันของครีมจะช่วยสร้างโครงสร้างผลึกเหลว (Liquid crystalline network) ทำให้เนื้อครีมข้นขึ้น อยู่ตัว ไม่เหลวไหลเยิ้ม
🔍 ข้ออื่นผิดเพราะอะไร:
• ข้อ ก. Sodium lauryl sulfate (SLS): เป็น Emulsifying agent (Anionic surfactant) ไม่ใช่สารเพิ่มความหนืดหลัก
• ข้อ ข. Mineral oil: เป็นน้ำมันเหลว หากเติมเพิ่มจะยิ่งทำให้ตำรับเหลวลง
• ข้อ ง. Propylene glycol: เป็น Humectant และ Cosolvent ในวัฏภาคน้ำ ไม่ช่วยเพิ่มความข้นหนืดของโครงสร้างครีม
• ข้อ จ. White petrolatum: เป็นสารพื้นขี้ผึ้ง (Hydrocarbon base) มักใช้ใน Ointment มากกว่าการปรับความข้นของ O/W cream
📖 Guideline อ้างอิง:
Handbook of Pharmaceutical Excipients (Cetostearyl alcohol monograph) &amp; Ansel's Pharmaceutical Dosage Forms
📌 จุดจำก่อนสอบ:
Stiffening agents สำหรับยาครีม: Cetostearyl alcohol, Cetyl alcohol, Stearyl alcohol, Beeswax, Paraffin</t>
        </is>
      </c>
      <c r="K9" s="46" t="n"/>
      <c r="L9" s="45" t="inlineStr">
        <is>
          <t>Creams &amp; Ointments</t>
        </is>
      </c>
      <c r="M9" s="46" t="inlineStr">
        <is>
          <t>Product</t>
        </is>
      </c>
      <c r="N9" s="45" t="inlineStr">
        <is>
          <t>Mock PLE-CC 1 ข้อ 129</t>
        </is>
      </c>
      <c r="O9" s="46" t="inlineStr">
        <is>
          <t>Mock</t>
        </is>
      </c>
      <c r="P9" s="46" t="inlineStr">
        <is>
          <t>Mock RxCU83</t>
        </is>
      </c>
      <c r="Q9" s="2" t="n"/>
    </row>
    <row r="10" ht="13.2" customHeight="1" s="37">
      <c r="A10" s="44" t="n">
        <v>8</v>
      </c>
      <c r="B10" s="45" t="inlineStr">
        <is>
          <t>Acyclovir มี MW 225 ค่าความสามารถในการละลายน้ำ 2.5 mg/mL ในการเตรียมตำรับ Acyclovir cream 5% w/w ควรมีขั้นตอนการผสมอย่างไรจึงเหมาะสมที่สุด</t>
        </is>
      </c>
      <c r="C10" s="46" t="n"/>
      <c r="D10" s="45" t="inlineStr">
        <is>
          <t>ละลายในน้ำแล้วค่อยนำไปผสมเตรียมครีม</t>
        </is>
      </c>
      <c r="E10" s="45" t="inlineStr">
        <is>
          <t>ละลายใน phase น้ำแล้วค่อยไปผสมกับพื้นครีม</t>
        </is>
      </c>
      <c r="F10" s="45" t="inlineStr">
        <is>
          <t>กระจายกับ mineral oil แล้วค่อยไปผสมพื้นครีม</t>
        </is>
      </c>
      <c r="G10" s="45" t="inlineStr">
        <is>
          <t>กระจายกับ propylene glycol แล้วผสมกับพื้นครีม</t>
        </is>
      </c>
      <c r="H10" s="45" t="inlineStr">
        <is>
          <t>กระจายผงยากับพื้นครีมโดยตรง</t>
        </is>
      </c>
      <c r="I10" s="44" t="inlineStr">
        <is>
          <t>4</t>
        </is>
      </c>
      <c r="J10" s="45" t="inlineStr">
        <is>
          <t>✅ คำตอบที่ถูกต้อง: ข้อ ง. กระจายกับ propylene glycol แล้วผสมกับพื้นครีม (Levigation with Propylene glycol)
💡 Background:
Acyclovir มีความสามารถในการละลายน้ำต่ำมาก (ละลายน้ำได้เพียงประมาณ 2.5 mg/mL) แต่ในตำรับครีมมีความเข้มข้นถึง 5% w/w (50 mg/g) ซึ่งเกินขีดจำกัดการละลายในน้ำหลายเท่า ตัวยาจึงต้องอยู่ในรูปของอนุภาคแขวนลอยในเนื้อครีม (Suspension cream)
🎯 ทำไมข้อนี้ถึงถูก:
ในการเตรียมยาทาแบบแขวนลอย ต้องทำให้อนุภาคผงยามีขนาดเล็กละเอียดและเปียกอย่างสม่ำเสมอด้วยการ Levigation โดยใช้ของเหลวที่เข้ากันได้กับวัฏภาคต่อเนื่องของครีม Propylene glycol ทำหน้าที่เป็น Levigating agent และ Cosolvent ที่เข้ากันได้ดีกับ O/W cream base ทำให้ผงยากระจายตัวเนียนเรียบ ไม่จับกันเป็นก้อนสาก
🔍 ข้ออื่นผิดเพราะอะไร:
• ข้อ ก. และ ข. ละลายในน้ำ: ปริมาณน้ำในสูตรไม่เพียงพอที่จะละลาย Acyclovir 5% ได้ทั้งหมดอย่างแน่นอน
• ข้อ ค. กระจายกับ mineral oil: Mineral oil เป็นวัฏภาคน้ำมันที่ไม่เข้ากันกับผงยาขั้วสูงและอาจทำให้เกิดการแยกชั้นใน O/W cream
• ข้อ จ. กระจายยากับพื้นครีมโดยตรง: เม็ดผงยาจะไม่เปียก เกิดการเกาะกลุ่ม (Grittiness) เนื้อครีมสากระคายเคืองผิว
📖 Guideline อ้างอิง:
Remington: The Science and Practice of Pharmacy &amp; Allen's Compounded Formulations
📌 จุดจำก่อนสอบ:
Acyclovir 5% cream เป็น Suspension cream ต้อง Levigate ผงยากับ Propylene glycol ก่อนผสมเข้ากับ O/W emulsion base</t>
        </is>
      </c>
      <c r="K10" s="46" t="n"/>
      <c r="L10" s="45" t="inlineStr">
        <is>
          <t>Creams &amp; Ointments</t>
        </is>
      </c>
      <c r="M10" s="46" t="inlineStr">
        <is>
          <t>Product</t>
        </is>
      </c>
      <c r="N10" s="45" t="inlineStr">
        <is>
          <t>Mock PLE-CC 1 ข้อ 132</t>
        </is>
      </c>
      <c r="O10" s="46" t="inlineStr">
        <is>
          <t>Mock</t>
        </is>
      </c>
      <c r="P10" s="46" t="inlineStr">
        <is>
          <t>Mock RxCU83</t>
        </is>
      </c>
      <c r="Q10" s="2" t="n"/>
    </row>
    <row r="11" ht="13.2" customHeight="1" s="37">
      <c r="A11" s="44" t="n">
        <v>9</v>
      </c>
      <c r="B11" s="45" t="inlineStr">
        <is>
          <t>Aluminum hydroxide (AH) gel ปริมาตร 100 mL มี equivalent of Aluminum oxide อยู่ 4 g หากต้องการเตรียมตำรับ AH gel ปริมาตร 500 mL โดยใช้ AHC compressed gel (มีความเข้มข้น Aluminum oxide 10% w/w) จะต้องใช้ AHC compressed gel ปริมาณเท่าใด</t>
        </is>
      </c>
      <c r="C11" s="46" t="n"/>
      <c r="D11" s="45" t="inlineStr">
        <is>
          <t>20 g</t>
        </is>
      </c>
      <c r="E11" s="45" t="inlineStr">
        <is>
          <t>200 g</t>
        </is>
      </c>
      <c r="F11" s="45" t="inlineStr">
        <is>
          <t>40 g</t>
        </is>
      </c>
      <c r="G11" s="45" t="inlineStr">
        <is>
          <t>400 g</t>
        </is>
      </c>
      <c r="H11" s="45" t="inlineStr">
        <is>
          <t>100 g</t>
        </is>
      </c>
      <c r="I11" s="44" t="inlineStr">
        <is>
          <t>2</t>
        </is>
      </c>
      <c r="J11" s="45" t="inlineStr">
        <is>
          <t>✅ คำตอบที่ถูกต้อง: ข้อ ข. 200 g
💡 Background:
การคำนวณการเตรียม Aluminum Hydroxide Gel จาก Aluminum Hydroxide Compressed Gel (AHC) ซึ่งเป็นสารกึ่งสำเร็จรูปเข้มข้น
🎯 ทำไมข้อนี้ถึงถูก:
ขั้นตอนการคำนวณ:
1. หาปริมาณ Aluminum oxide ที่ต้องการในตำรับสุดท้าย (AH gel 500 mL):
   AH gel ปริมาตร 100 mL มี Aluminum oxide = 4 g
   ดังนั้น AH gel ปริมาตร 500 mL ต้องใช้ Aluminum oxide = 4 g × (500 / 100) = 20 g
2. คำนวณหาปริมาณ AHC compress gel (10% w/w):
   AHC compress gel เข้มข้น 10% w/w หมายถึง ในเนื้อเจล 100 g มี Aluminum oxide 10 g
   ถ้าต้องการ Aluminum oxide 20 g ต้องใช้ AHC gel = (20 g × 100 g) / 10 g = 200 g
🔍 ข้ออื่นผิดเพราะอะไร:
• ข้อ ก. 20 g: เป็นปริมาณเฉพาะเนื้อ Aluminum oxide บริสุทธิ์ที่ต้องการ ไม่ใช่ปริมาณเนื้อเจล AHC
• ข้อ ค., ง., จ.: เป็นผลลัพธ์จากการคำนวณสัดส่วนผิดพลาด
📖 Guideline อ้างอิง:
USP Monograph on Aluminum Hydroxide Gel &amp; Pharmaceutical Calculations
📌 จุดจำก่อนสอบ:
คำนวณ 2 สเต็ป: หาปริมาณสารออกฤทธิ์รวมที่ต้องการก่อน แล้วค่อยเทียบกับ %w/w ของสารตั้งต้นเข้มข้น</t>
        </is>
      </c>
      <c r="K11" s="46" t="n"/>
      <c r="L11" s="45" t="inlineStr">
        <is>
          <t>Suspensions &amp; Gels</t>
        </is>
      </c>
      <c r="M11" s="46" t="inlineStr">
        <is>
          <t>Product</t>
        </is>
      </c>
      <c r="N11" s="45" t="inlineStr">
        <is>
          <t>ข้อสอบเก่า 2567 ข้อ 12</t>
        </is>
      </c>
      <c r="O11" s="46" t="inlineStr">
        <is>
          <t>ข้อสอบเก่า</t>
        </is>
      </c>
      <c r="P11" s="44" t="inlineStr">
        <is>
          <t>2567</t>
        </is>
      </c>
      <c r="Q11" s="2" t="n"/>
    </row>
    <row r="12" ht="13.2" customHeight="1" s="37">
      <c r="A12" s="44" t="n">
        <v>10</v>
      </c>
      <c r="B12" s="45" t="inlineStr">
        <is>
          <t>Glycerin suppository (ตำรับที่ใช้ stearic acid) เกิดปฏิกิริยาระหว่าง Sodium carbonate และ Stearic acid ข้อใดต่อไปนี้กล่าวถูกต้อง</t>
        </is>
      </c>
      <c r="C12" s="46" t="n"/>
      <c r="D12" s="45" t="inlineStr">
        <is>
          <t>Stearic acid ทำให้ตำรับมีความแข็ง</t>
        </is>
      </c>
      <c r="E12" s="45" t="inlineStr">
        <is>
          <t>Sodium carbonate ทำให้ตำรับมีความแข็ง</t>
        </is>
      </c>
      <c r="F12" s="45" t="inlineStr">
        <is>
          <t>Stearic acid สามารถละลายใน rectal fluid ทำให้ปลดปล่อยตัวยาสำคัญได้</t>
        </is>
      </c>
      <c r="G12" s="45" t="inlineStr">
        <is>
          <t>Sodium stearate เป็น Soap ทำให้ตำรับมีความคงตัว</t>
        </is>
      </c>
      <c r="H12" s="45" t="inlineStr">
        <is>
          <t>ตำรับนี้เหมือน Gelatinized glycerin base</t>
        </is>
      </c>
      <c r="I12" s="44" t="inlineStr">
        <is>
          <t>4</t>
        </is>
      </c>
      <c r="J12" s="45" t="inlineStr">
        <is>
          <t>✅ คำตอบที่ถูกต้อง: ข้อ ง. Sodium stearate เป็น Soap ทำให้ตำรับมีความคงตัว
💡 Background:
ตำรับยาเหน็บกลีเซอรีน (Glycerin Suppositories USP) มีการเตรียมโดยใช้กลไกการเกิดสบู่ในระหว่างเตรียม (In situ soap formation)
🎯 ทำไมข้อนี้ถึงถูก:
เมื่อนำ Stearic acid (กรดไขมัน) มาทำปฏิกิริยากับด่าง Sodium carbonate (หรือ Sodium hydroxide) จะเกิดปฏิกิริยา Saponification ได้ผลิตภัณฑ์คือ Sodium stearate ซึ่งทำหน้าที่เป็น สบู่ (Soap base / Solidifying agent) สร้างโครงข่ายเจลแข็งกักเก็บ Glycerin (91% w/w) ไว้ภายใน ทำให้ยาเหน็บคงรูปแข็งตัวที่อุณหภูมิห้องและคงตัวได้ดี
🔍 ข้ออื่นผิดเพราะอะไร:
• ข้อ ก. และ ข.: ลำพัง Stearic acid หรือ Sodium carbonate เดี่ยวๆ ไม่ได้ทำให้ตำรับเกิดโครงสร้างแท่งเหน็บ ต้องเกิดเป็น Sodium stearate ก่อน
• ข้อ ค. Stearic acid ละลายใน rectal fluid: Stearic acid ไม่ละลายน้ำ กลไกการออกฤทธิ์ของ Glycerin suppository คือการดึงน้ำและระคายเคืองกระตุ้นการขับถ่าย (Osmotic &amp; local irritant laxative)
• ข้อ จ. ตำรับนี้เหมือน Gelatinized glycerin: ผิด Gelatinized glycerin ใช้เจลาตินเป็นเบส ไม่ได้ใช้สบู่ Sodium stearate
📖 Guideline อ้างอิง:
USP-NF Monograph for Glycerin Suppositories &amp; Ansel's Pharmaceutical Dosage Forms
📌 จุดจำก่อนสอบ:
Glycerin suppository (Stearic acid + Na2CO3) = In situ saponification ได้ Sodium stearate เป็นตัวขึ้นโครงสร้างแท่งยาเหน็บ</t>
        </is>
      </c>
      <c r="K12" s="46" t="n"/>
      <c r="L12" s="45" t="inlineStr">
        <is>
          <t>Suppositories</t>
        </is>
      </c>
      <c r="M12" s="46" t="inlineStr">
        <is>
          <t>Product</t>
        </is>
      </c>
      <c r="N12" s="45" t="inlineStr">
        <is>
          <t>ข้อสอบเก่า 2567 ข้อ 13</t>
        </is>
      </c>
      <c r="O12" s="46" t="inlineStr">
        <is>
          <t>ข้อสอบเก่า</t>
        </is>
      </c>
      <c r="P12" s="44" t="inlineStr">
        <is>
          <t>2567</t>
        </is>
      </c>
      <c r="Q12" s="2" t="n"/>
    </row>
    <row r="13" ht="13.2" customHeight="1" s="37">
      <c r="A13" s="44" t="n">
        <v>11</v>
      </c>
      <c r="B13" s="45" t="inlineStr">
        <is>
          <t>ตำรับ hard gelatin capsule ไม่จำเป็นต้องทำการทดสอบคุณภาพตามเภสัชตำรับในหัวข้อใด</t>
        </is>
      </c>
      <c r="C13" s="46" t="n"/>
      <c r="D13" s="45" t="inlineStr">
        <is>
          <t>Dissolution</t>
        </is>
      </c>
      <c r="E13" s="45" t="inlineStr">
        <is>
          <t>Friability</t>
        </is>
      </c>
      <c r="F13" s="45" t="inlineStr">
        <is>
          <t>Microbial enumeration test</t>
        </is>
      </c>
      <c r="G13" s="45" t="inlineStr">
        <is>
          <t>Uniformity of dosage units</t>
        </is>
      </c>
      <c r="H13" s="45" t="inlineStr">
        <is>
          <t>Disintegration</t>
        </is>
      </c>
      <c r="I13" s="44" t="inlineStr">
        <is>
          <t>2</t>
        </is>
      </c>
      <c r="J13" s="45" t="inlineStr">
        <is>
          <t>✅ คำตอบที่ถูกต้อง: ข้อ ข. Friability (การทดสอบความกร่อน)
💡 Background:
ตามเกณฑ์มาตรฐานเภสัชตำรับ USP &lt;1216&gt; Tablet Friability การทดสอบความกร่อนได้รับการออกแบบมาสำหรับ ยาเม็ดแบบไม่เคลือบ (Uncoated tablets) เพื่อประเมินความทนทานต่อการขัดสีและการแตกหักระหว่างการบรรจุและการขนส่ง
🎯 ทำไมข้อนี้ถึงถูก:
เปลือกของแคปซูลเจลาตินแข็ง (Hard gelatin capsule shell) มีความเหนียวและยืดหยุ่นในตัวเอง ไม่เกิดการหลุดลุ่ยเป็นผงหรือการกร่อนจากการขัดสีเหมือนยาเม็ด USP จึง ไม่ได้กำหนด ให้ต้องทดสอบ Friability ในยาแคปซูล
🔍 ข้ออื่นผิดเพราะอะไร:
• ข้อ ก. (Dissolution): เป็นหัวข้อควบคุมคุณภาพหลักเพื่อประเมินการปลดปล่อยตัวยา
• ข้อ ค. (Microbial enumeration test): บังคับตรวจการปนเปื้อนจุลชีพตาม USP &lt;61&gt;
• ข้อ ง. (Uniformity of dosage units): บังคับตรวจความสม่ำเสมอของขนาดยาตาม USP &lt;905&gt; (ด้วย Weight Variation หรือ Content Uniformity)
• ข้อ จ. (Disintegration): เป็นการทดสอบการแตกตัวของเปลือกแคปซูลตาม USP &lt;701&gt;
📖 Guideline อ้างอิง:
USP &lt;1216&gt; Tablet Friability &amp; USP &lt;1151&gt; Pharmaceutical Dosage Forms (Capsules)
📌 จุดจำก่อนสอบ:
Friability ทดสอบเฉพาะ ยาเม็ดไม่เคลือบ (Uncoated tablet) เท่านั้น แคปซูลและยาเม็ดเคลือบไม่ต้องทำ Friability!</t>
        </is>
      </c>
      <c r="K13" s="46" t="n"/>
      <c r="L13" s="45" t="inlineStr">
        <is>
          <t>Capsules &amp; Quality Control</t>
        </is>
      </c>
      <c r="M13" s="46" t="inlineStr">
        <is>
          <t>Product</t>
        </is>
      </c>
      <c r="N13" s="45" t="inlineStr">
        <is>
          <t>ข้อสอบเก่า 2567 ข้อ 14</t>
        </is>
      </c>
      <c r="O13" s="46" t="inlineStr">
        <is>
          <t>ข้อสอบเก่า</t>
        </is>
      </c>
      <c r="P13" s="44" t="inlineStr">
        <is>
          <t>2567</t>
        </is>
      </c>
      <c r="Q13" s="2" t="n"/>
    </row>
    <row r="14" ht="13.2" customHeight="1" s="37">
      <c r="A14" s="44" t="n">
        <v>12</v>
      </c>
      <c r="B14" s="45" t="inlineStr">
        <is>
          <t>ตำรับยาครีมที่มี Sodium Lauryl Sulfate (SLS) เป็นสารช่วยก่ออิมัลชัน จัดเป็นครีมประเภทใด</t>
        </is>
      </c>
      <c r="C14" s="46" t="n"/>
      <c r="D14" s="45" t="inlineStr">
        <is>
          <t>Vanishing cream</t>
        </is>
      </c>
      <c r="E14" s="45" t="inlineStr">
        <is>
          <t>Cold cream</t>
        </is>
      </c>
      <c r="F14" s="45" t="inlineStr">
        <is>
          <t>Anionic cream</t>
        </is>
      </c>
      <c r="G14" s="45" t="inlineStr">
        <is>
          <t>Cationic cream</t>
        </is>
      </c>
      <c r="H14" s="45" t="inlineStr">
        <is>
          <t>Nonionic cream</t>
        </is>
      </c>
      <c r="I14" s="44" t="inlineStr">
        <is>
          <t>3</t>
        </is>
      </c>
      <c r="J14" s="45" t="inlineStr">
        <is>
          <t>✅ คำตอบที่ถูกต้อง: ข้อ ค. Anionic cream
💡 Background:
Sodium Lauryl Sulfate (SLS) เป็นสารลดแรงตึงผิวชนิดประจุลบ (Anionic surfactant) ซึ่งเมื่อนำมาใช้เป็น Emulsifying agent ในตำรับยาครีมประเภท Oil-in-Water (O/W emulsion) จะสร้างประจุลบที่ผิวของหยดอนุภาคน้ำมัน
🎯 ทำไมข้อนี้ถึงถูก:
ตำรับยาครีมที่มี SLS เป็นสารก่ออิมัลชันหลัก จัดเป็นครีมประเภท Anionic cream (O/W emulsion) โดยอาศัยแรงผลักกันทางไฟฟ้าระหว่างประจุลบ (Electrostatic repulsion) ช่วยป้องกันไม่ให้อนุภาคไขมันเกิดการรวมตัว (Coalescence)
🔍 ข้ออื่นผิดเพราะอะไร:
• ข้อ ก. Vanishing cream: มักใช้กรดสเตียริกกับด่าง (Stearic acid + KOH / TEA) ได้สเตียเรตเป็นสารก่ออิมัลชัน
• ข้อ ข. Cold cream: เป็น W/O emulsion ที่ใช้ Beeswax ร่วมกับ Borax ได้ Sodium cerotate
• ข้อ ง. Cationic cream: ใช้ประจุบวก เช่น Cetrimide หรือ Benzalkonium chloride
• ข้อ จ. Nonionic cream: ใช้สารกลุ่มไม่มีประจุ เช่น Spans (Sorbitan esters) และ Tweens (Polysorbates)
📖 Guideline อ้างอิง:
Handbook of Pharmaceutical Excipients (Sodium Lauryl Sulfate Monograph) &amp; Ansel's Pharmaceutical Dosage Forms
📌 จุดจำก่อนสอบ:
SLS = Anionic surfactant -&gt; ผลิตภัณฑ์ครีมที่ใช้ SLS จึงจัดเป็น Anionic O/W cream เสมอ</t>
        </is>
      </c>
      <c r="K14" s="46" t="n"/>
      <c r="L14" s="45" t="inlineStr">
        <is>
          <t>Creams &amp; Emulsions</t>
        </is>
      </c>
      <c r="M14" s="46" t="inlineStr">
        <is>
          <t>Product</t>
        </is>
      </c>
      <c r="N14" s="45" t="inlineStr">
        <is>
          <t>ข้อสอบเก่า 2566 Day 2 ข้อ 81</t>
        </is>
      </c>
      <c r="O14" s="46" t="inlineStr">
        <is>
          <t>ข้อสอบเก่า</t>
        </is>
      </c>
      <c r="P14" s="44" t="inlineStr">
        <is>
          <t>2566</t>
        </is>
      </c>
      <c r="Q14" s="2" t="n"/>
    </row>
    <row r="15" ht="13.2" customHeight="1" s="37">
      <c r="A15" s="44" t="n">
        <v>13</v>
      </c>
      <c r="B15" s="45" t="inlineStr">
        <is>
          <t>Topical capsaicin</t>
        </is>
      </c>
      <c r="C15" s="46" t="n"/>
      <c r="D15" s="45" t="inlineStr">
        <is>
          <t>Liquid &amp; Semisolid</t>
        </is>
      </c>
      <c r="E15" s="45" t="inlineStr">
        <is>
          <t>Simple Syrup USP (85% w/v Sucrose)</t>
        </is>
      </c>
      <c r="F15" s="45" t="inlineStr">
        <is>
          <t>Elixir with 10-20% Alcohol cosolvent</t>
        </is>
      </c>
      <c r="G15" s="45" t="inlineStr">
        <is>
          <t>Flocculated Oral Suspension with Xanthan Gum</t>
        </is>
      </c>
      <c r="H15" s="45" t="inlineStr">
        <is>
          <t>Deflocculated Suspension formulation</t>
        </is>
      </c>
      <c r="I15" s="44" t="inlineStr">
        <is>
          <t>1</t>
        </is>
      </c>
      <c r="J15" s="45"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(Simple Syrup USP (85% w/v Sucrose)): ข้อนี้ไม่ใช่คำตอบที่ถูกต้องสำหรับภาวะ Solutions, Syrups &amp; Elixirs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Solutions, Syrups &amp; Elixirs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Solutions, Syrups &amp; Elixirs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15" s="46" t="n"/>
      <c r="L15" s="45" t="inlineStr">
        <is>
          <t>Solutions, Syrups &amp; Elixirs</t>
        </is>
      </c>
      <c r="M15" s="46" t="inlineStr">
        <is>
          <t>Liquid &amp; Semisolid</t>
        </is>
      </c>
      <c r="N15" s="45" t="inlineStr">
        <is>
          <t>PLE-CC1 ปี 2566 Day 1 ข้อ 3</t>
        </is>
      </c>
      <c r="O15" s="46" t="inlineStr">
        <is>
          <t>ข้อสอบจริง</t>
        </is>
      </c>
      <c r="P15" s="46" t="inlineStr">
        <is>
          <t>ปี 2566</t>
        </is>
      </c>
    </row>
    <row r="16" ht="13.2" customHeight="1" s="37">
      <c r="A16" s="44" t="n">
        <v>14</v>
      </c>
      <c r="B16" s="45" t="inlineStr">
        <is>
          <t>Fusidic acid cream</t>
        </is>
      </c>
      <c r="C16" s="46" t="n"/>
      <c r="D16" s="45" t="inlineStr">
        <is>
          <t>Liquid &amp; Semisolid</t>
        </is>
      </c>
      <c r="E16" s="45" t="inlineStr">
        <is>
          <t>Deflocculated Suspension formulation</t>
        </is>
      </c>
      <c r="F16" s="45" t="inlineStr">
        <is>
          <t>O/W Emulsion stabilized by Polysorbate 80 / Span 80</t>
        </is>
      </c>
      <c r="G16" s="45" t="inlineStr">
        <is>
          <t>W/O Emulsion with Sorbitan monooleate</t>
        </is>
      </c>
      <c r="H16" s="45" t="inlineStr">
        <is>
          <t>Carbopol 940 hydrogel neutralized with Triethanolamine</t>
        </is>
      </c>
      <c r="I16" s="44" t="inlineStr">
        <is>
          <t>1</t>
        </is>
      </c>
      <c r="J16"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46" t="n"/>
      <c r="L16" s="45" t="inlineStr">
        <is>
          <t>Creams &amp; Ointments</t>
        </is>
      </c>
      <c r="M16" s="46" t="inlineStr">
        <is>
          <t>Liquid &amp; Semisolid</t>
        </is>
      </c>
      <c r="N16" s="45" t="inlineStr">
        <is>
          <t>PLE-CC1 ปี 2566 Day 1 ข้อ 2</t>
        </is>
      </c>
      <c r="O16" s="46" t="inlineStr">
        <is>
          <t>ข้อสอบจริง</t>
        </is>
      </c>
      <c r="P16" s="46" t="inlineStr">
        <is>
          <t>ปี 2566</t>
        </is>
      </c>
    </row>
    <row r="17" ht="13.2" customHeight="1" s="37">
      <c r="A17" s="44" t="n">
        <v>15</v>
      </c>
      <c r="B17" s="45" t="inlineStr">
        <is>
          <t>Bactricin ointment</t>
        </is>
      </c>
      <c r="C17" s="46" t="n"/>
      <c r="D17" s="45" t="inlineStr">
        <is>
          <t>Liquid &amp; Semisolid</t>
        </is>
      </c>
      <c r="E17" s="45" t="inlineStr">
        <is>
          <t>Carbopol 940 hydrogel neutralized with Triethanolamine</t>
        </is>
      </c>
      <c r="F17" s="45" t="inlineStr">
        <is>
          <t>Oleaginous Ointment base (White Petrolatum)</t>
        </is>
      </c>
      <c r="G17" s="45" t="inlineStr">
        <is>
          <t>Absorption Ointment base (Lanolin USP)</t>
        </is>
      </c>
      <c r="H17" s="45" t="inlineStr">
        <is>
          <t>Fatty Suppository base (Hard Fat / Witepsol)</t>
        </is>
      </c>
      <c r="I17" s="44" t="inlineStr">
        <is>
          <t>1</t>
        </is>
      </c>
      <c r="J17"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46" t="n"/>
      <c r="L17" s="45" t="inlineStr">
        <is>
          <t>Creams &amp; Ointments</t>
        </is>
      </c>
      <c r="M17" s="46" t="inlineStr">
        <is>
          <t>Liquid &amp; Semisolid</t>
        </is>
      </c>
      <c r="N17" s="45" t="inlineStr">
        <is>
          <t>PLE-CC1 ปี 2566 Day 1 ข้อ 3</t>
        </is>
      </c>
      <c r="O17" s="46" t="inlineStr">
        <is>
          <t>ข้อสอบจริง</t>
        </is>
      </c>
      <c r="P17" s="46" t="inlineStr">
        <is>
          <t>ปี 2566</t>
        </is>
      </c>
    </row>
    <row r="18" ht="13.2" customHeight="1" s="37">
      <c r="A18" s="44" t="n">
        <v>16</v>
      </c>
      <c r="B18" s="45" t="inlineStr">
        <is>
          <t>Chloramphenicol ointment</t>
        </is>
      </c>
      <c r="C18" s="46" t="n"/>
      <c r="D18" s="45" t="inlineStr">
        <is>
          <t>Liquid &amp; Semisolid</t>
        </is>
      </c>
      <c r="E18" s="45" t="inlineStr">
        <is>
          <t>Fatty Suppository base (Hard Fat / Witepsol)</t>
        </is>
      </c>
      <c r="F18" s="45" t="inlineStr">
        <is>
          <t>Simple Syrup USP (85% w/v Sucrose)</t>
        </is>
      </c>
      <c r="G18" s="45" t="inlineStr">
        <is>
          <t>Elixir with 10-20% Alcohol cosolvent</t>
        </is>
      </c>
      <c r="H18" s="45" t="inlineStr">
        <is>
          <t>Flocculated Oral Suspension with Xanthan Gum</t>
        </is>
      </c>
      <c r="I18" s="44" t="inlineStr">
        <is>
          <t>1</t>
        </is>
      </c>
      <c r="J18"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ค.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46" t="n"/>
      <c r="L18" s="45" t="inlineStr">
        <is>
          <t>Creams &amp; Ointments</t>
        </is>
      </c>
      <c r="M18" s="46" t="inlineStr">
        <is>
          <t>Liquid &amp; Semisolid</t>
        </is>
      </c>
      <c r="N18" s="45" t="inlineStr">
        <is>
          <t>PLE-CC1 ปี 2566 Day 1 ข้อ 4</t>
        </is>
      </c>
      <c r="O18" s="46" t="inlineStr">
        <is>
          <t>ข้อสอบจริง</t>
        </is>
      </c>
      <c r="P18" s="46" t="inlineStr">
        <is>
          <t>ปี 2566</t>
        </is>
      </c>
    </row>
    <row r="19" ht="13.2" customHeight="1" s="37">
      <c r="A19" s="44" t="n">
        <v>17</v>
      </c>
      <c r="B19" s="45" t="inlineStr">
        <is>
          <t>Social … ผู้หญิงมีลูกกำลังให้นมบุตรอยากได้ยาคุมออกฤทธิ์ทันทีควรใช้อะไร ผลข้างเคียงของการใช้ยาคุมระยะยาว Dextromethorphan ต้องทำบัญชีขย.อะไร→ ขย.11 ยาน้ำแขวนตะกอนแยกชั้นเขย่าแล้วไม่เข้ากันเรียกว่าอะไร ยาสมุนไพรแก้ปวดทางเดินปัสสาวะ(น่าจะกระเจี๊ยบแดง) Vitamin C เพิ่มการดูดซึมIron ให้สูตรตำรับให้สารให้มวลโมเลกุลให้คำนวณความเข้มข้นเป็นmol/L or mmol/L การเตรียมความพร้อมในการเลิกบุหรี่ผู้ป่วยมีวางแผนมีวันจะเลิกเเล้ว→ น่าจะpreparation หลักการผู้ป่วยอยากสูบบุหรี่ควรทำไง5D (เลิกบุหรี่สไลด์พี่ยศ) มีพวกเรื่องbiosimilar ด้วยประมาณ2-3 ข้อ</t>
        </is>
      </c>
      <c r="C19" s="46" t="n"/>
      <c r="D19" s="45" t="inlineStr">
        <is>
          <t>Liquid &amp; Semisolid</t>
        </is>
      </c>
      <c r="E19" s="45" t="inlineStr">
        <is>
          <t>Flocculated Oral Suspension with Xanthan Gum</t>
        </is>
      </c>
      <c r="F19" s="45" t="inlineStr">
        <is>
          <t>Deflocculated Suspension formulation</t>
        </is>
      </c>
      <c r="G19" s="45" t="inlineStr">
        <is>
          <t>O/W Emulsion stabilized by Polysorbate 80 / Span 80</t>
        </is>
      </c>
      <c r="H19" s="45" t="inlineStr">
        <is>
          <t>W/O Emulsion with Sorbitan monooleate</t>
        </is>
      </c>
      <c r="I19" s="44" t="inlineStr">
        <is>
          <t>1</t>
        </is>
      </c>
      <c r="J19" s="45"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(Flocculated Oral Suspension with Xanthan Gum): ข้อนี้ไม่ใช่คำตอบที่ถูกต้องสำหรับภาวะ Solutions, Syrups &amp; Elixirs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Solutions, Syrups &amp; Elixirs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46" t="n"/>
      <c r="L19" s="45" t="inlineStr">
        <is>
          <t>Solutions, Syrups &amp; Elixirs</t>
        </is>
      </c>
      <c r="M19" s="46" t="inlineStr">
        <is>
          <t>Liquid &amp; Semisolid</t>
        </is>
      </c>
      <c r="N19" s="45" t="inlineStr">
        <is>
          <t>PLE-CC1 ปี 2566 Day 1 ข้อ 3</t>
        </is>
      </c>
      <c r="O19" s="46" t="inlineStr">
        <is>
          <t>ข้อสอบจริง</t>
        </is>
      </c>
      <c r="P19" s="46" t="inlineStr">
        <is>
          <t>ปี 2566</t>
        </is>
      </c>
    </row>
    <row r="20" ht="13.2" customHeight="1" s="37">
      <c r="A20" s="44" t="n">
        <v>18</v>
      </c>
      <c r="B20" s="45" t="inlineStr">
        <is>
          <t>สามาถเตรียมได้ด้วยวิธีemulsion method</t>
        </is>
      </c>
      <c r="C20" s="46" t="n"/>
      <c r="D20" s="45" t="inlineStr">
        <is>
          <t>Liquid &amp; Semisolid</t>
        </is>
      </c>
      <c r="E20" s="45" t="inlineStr">
        <is>
          <t>W/O Emulsion with Sorbitan monooleate</t>
        </is>
      </c>
      <c r="F20" s="45" t="inlineStr">
        <is>
          <t>Carbopol 940 hydrogel neutralized with Triethanolamine</t>
        </is>
      </c>
      <c r="G20" s="45" t="inlineStr">
        <is>
          <t>Oleaginous Ointment base (White Petrolatum)</t>
        </is>
      </c>
      <c r="H20" s="45" t="inlineStr">
        <is>
          <t>Absorption Ointment base (Lanolin USP)</t>
        </is>
      </c>
      <c r="I20" s="44" t="inlineStr">
        <is>
          <t>1</t>
        </is>
      </c>
      <c r="J20" s="45" t="inlineStr">
        <is>
          <t>✅ คำตอบที่ถูกต้อง: ข้อ ก. Liquid &amp; Semisolid
💡 Background:
การบริบาลผู้ป่วยในกลุ่มโรค Emulsions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0" s="46" t="n"/>
      <c r="L20" s="45" t="inlineStr">
        <is>
          <t>Emulsions</t>
        </is>
      </c>
      <c r="M20" s="46" t="inlineStr">
        <is>
          <t>Liquid &amp; Semisolid</t>
        </is>
      </c>
      <c r="N20" s="45" t="inlineStr">
        <is>
          <t>PLE-CC1 ปี 2566 Day 2 ข้อ 2</t>
        </is>
      </c>
      <c r="O20" s="46" t="inlineStr">
        <is>
          <t>ข้อสอบจริง</t>
        </is>
      </c>
      <c r="P20" s="46" t="inlineStr">
        <is>
          <t>ปี 2566</t>
        </is>
      </c>
    </row>
    <row r="21" ht="13.2" customHeight="1" s="37">
      <c r="A21" s="44" t="n">
        <v>19</v>
      </c>
      <c r="B21" s="45" t="inlineStr">
        <is>
          <t>O/W Emulsion base</t>
        </is>
      </c>
      <c r="C21" s="46" t="n"/>
      <c r="D21" s="45" t="inlineStr">
        <is>
          <t>Liquid &amp; Semisolid</t>
        </is>
      </c>
      <c r="E21" s="45" t="inlineStr">
        <is>
          <t>Absorption Ointment base (Lanolin USP)</t>
        </is>
      </c>
      <c r="F21" s="45" t="inlineStr">
        <is>
          <t>Fatty Suppository base (Hard Fat / Witepsol)</t>
        </is>
      </c>
      <c r="G21" s="45" t="inlineStr">
        <is>
          <t>Simple Syrup USP (85% w/v Sucrose)</t>
        </is>
      </c>
      <c r="H21" s="45" t="inlineStr">
        <is>
          <t>Elixir with 10-20% Alcohol cosolvent</t>
        </is>
      </c>
      <c r="I21" s="44" t="inlineStr">
        <is>
          <t>1</t>
        </is>
      </c>
      <c r="J21" s="45" t="inlineStr">
        <is>
          <t>✅ คำตอบที่ถูกต้อง: ข้อ ก. Liquid &amp; Semisolid
💡 Background:
การบริบาลผู้ป่วยในกลุ่มโรค Emulsions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ง. (Simple Syrup USP (85% w/v Sucrose)): ข้อนี้ไม่ใช่คำตอบที่ถูกต้องสำหรับภาวะ Emulsions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Emulsions เนื่องจากกลไกการออกฤทธิ์, efficacy หรือข้อบ่งใช้ไม่ตรงกับโจทย์ที่กำหนด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1" s="46" t="n"/>
      <c r="L21" s="45" t="inlineStr">
        <is>
          <t>Emulsions</t>
        </is>
      </c>
      <c r="M21" s="46" t="inlineStr">
        <is>
          <t>Liquid &amp; Semisolid</t>
        </is>
      </c>
      <c r="N21" s="45" t="inlineStr">
        <is>
          <t>PLE-CC1 ปี 2566 Day 2 ข้อ 2</t>
        </is>
      </c>
      <c r="O21" s="46" t="inlineStr">
        <is>
          <t>ข้อสอบจริง</t>
        </is>
      </c>
      <c r="P21" s="46" t="inlineStr">
        <is>
          <t>ปี 2566</t>
        </is>
      </c>
    </row>
    <row r="22" ht="13.2" customHeight="1" s="37">
      <c r="A22" s="44" t="n">
        <v>20</v>
      </c>
      <c r="B22" s="45" t="inlineStr">
        <is>
          <t>ให้สูตรตำรับที่มีSLS มาถามว่าเป็นครีมประเภทไหน ตัวเลือก</t>
        </is>
      </c>
      <c r="C22" s="46" t="n"/>
      <c r="D22" s="45" t="inlineStr">
        <is>
          <t>Liquid &amp; Semisolid</t>
        </is>
      </c>
      <c r="E22" s="45" t="inlineStr">
        <is>
          <t>Elixir with 10-20% Alcohol cosolvent</t>
        </is>
      </c>
      <c r="F22" s="45" t="inlineStr">
        <is>
          <t>Flocculated Oral Suspension with Xanthan Gum</t>
        </is>
      </c>
      <c r="G22" s="45" t="inlineStr">
        <is>
          <t>Deflocculated Suspension formulation</t>
        </is>
      </c>
      <c r="H22" s="45" t="inlineStr">
        <is>
          <t>O/W Emulsion stabilized by Polysorbate 80 / Span 80</t>
        </is>
      </c>
      <c r="I22" s="44" t="inlineStr">
        <is>
          <t>1</t>
        </is>
      </c>
      <c r="J22"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46" t="n"/>
      <c r="L22" s="45" t="inlineStr">
        <is>
          <t>Creams &amp; Ointments</t>
        </is>
      </c>
      <c r="M22" s="46" t="inlineStr">
        <is>
          <t>Liquid &amp; Semisolid</t>
        </is>
      </c>
      <c r="N22" s="45" t="inlineStr">
        <is>
          <t>PLE-CC1 ปี 2566 Day 2 ข้อ 81</t>
        </is>
      </c>
      <c r="O22" s="46" t="inlineStr">
        <is>
          <t>ข้อสอบจริง</t>
        </is>
      </c>
      <c r="P22" s="46" t="inlineStr">
        <is>
          <t>ปี 2566</t>
        </is>
      </c>
    </row>
    <row r="23" ht="13.2" customHeight="1" s="37">
      <c r="A23" s="44" t="n">
        <v>21</v>
      </c>
      <c r="B23" s="45" t="inlineStr">
        <is>
          <t>Vanishing cream</t>
        </is>
      </c>
      <c r="C23" s="46" t="n"/>
      <c r="D23" s="45" t="inlineStr">
        <is>
          <t>Liquid &amp; Semisolid</t>
        </is>
      </c>
      <c r="E23" s="45" t="inlineStr">
        <is>
          <t>O/W Emulsion stabilized by Polysorbate 80 / Span 80</t>
        </is>
      </c>
      <c r="F23" s="45" t="inlineStr">
        <is>
          <t>W/O Emulsion with Sorbitan monooleate</t>
        </is>
      </c>
      <c r="G23" s="45" t="inlineStr">
        <is>
          <t>Carbopol 940 hydrogel neutralized with Triethanolamine</t>
        </is>
      </c>
      <c r="H23" s="45" t="inlineStr">
        <is>
          <t>Oleaginous Ointment base (White Petrolatum)</t>
        </is>
      </c>
      <c r="I23" s="44" t="inlineStr">
        <is>
          <t>1</t>
        </is>
      </c>
      <c r="J23"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46" t="n"/>
      <c r="L23" s="45" t="inlineStr">
        <is>
          <t>Creams &amp; Ointments</t>
        </is>
      </c>
      <c r="M23" s="46" t="inlineStr">
        <is>
          <t>Liquid &amp; Semisolid</t>
        </is>
      </c>
      <c r="N23" s="45" t="inlineStr">
        <is>
          <t>PLE-CC1 ปี 2566 Day 2 ข้อ 1</t>
        </is>
      </c>
      <c r="O23" s="46" t="inlineStr">
        <is>
          <t>ข้อสอบจริง</t>
        </is>
      </c>
      <c r="P23" s="46" t="inlineStr">
        <is>
          <t>ปี 2566</t>
        </is>
      </c>
    </row>
    <row r="24" ht="13.2" customHeight="1" s="37">
      <c r="A24" s="44" t="n">
        <v>22</v>
      </c>
      <c r="B24" s="45" t="inlineStr">
        <is>
          <t>หากต้องการตั้งตำรับยาน้ำแขวนตะกอน Methimazole สารในข้อใดจัดเป็นสารช่วยเปียก (Wetting agent) ที่เหมาะสมที่สุดสำหรับตำรับยารับประทาน</t>
        </is>
      </c>
      <c r="C24" s="46" t="n"/>
      <c r="D24" s="45" t="inlineStr">
        <is>
          <t>Purified water</t>
        </is>
      </c>
      <c r="E24" s="45" t="inlineStr">
        <is>
          <t>Glycerin</t>
        </is>
      </c>
      <c r="F24" s="45" t="inlineStr">
        <is>
          <t>Mineral oil</t>
        </is>
      </c>
      <c r="G24" s="45" t="inlineStr">
        <is>
          <t>Benzyl alcohol</t>
        </is>
      </c>
      <c r="H24" s="45" t="inlineStr">
        <is>
          <t>Alcohol</t>
        </is>
      </c>
      <c r="I24" s="44" t="inlineStr">
        <is>
          <t>2</t>
        </is>
      </c>
      <c r="J24" s="45" t="inlineStr">
        <is>
          <t>✅ คำตอบที่ถูกต้อง: ข้อ ข. Glycerin
💡 Background:
ในการเตรียมยาน้ำแขวนตะกอน (Oral Suspension) จากผงยาที่มีคุณสมบัติไม่ชอบน้ำหรือไม่เปียกน้ำง่าย จำเป็นต้องใช้สารช่วยเปียก (Wetting agent) เพื่อลดแรงตึงผิวและไล่อากาศที่เกาะบนผิวอนุภาค
🎯 ทำไมข้อนี้ถึงถูก:
Glycerin เป็นสารช่วยเปียกชนิดของเหลวชอบน้ำ (Hydrophilic liquid wetting agent) ที่มีความปลอดภัยสูงสำหรับการรับประทาน สามารถแทรกซึมเข้าสู่รูพรุนของกลุ่มผงยา methimazole ช่วยให้ผงยาเปียกและกระจายตัวในน้ำได้ง่ายขึ้นอย่างสม่ำเสมอ
🔍 ข้ออื่นผิดเพราะอะไร:
• ข้อ ก. Purified water: เป็นตัวกลาง (Vehicle) หลัก แต่ไม่สามารถลดแรงตึงผิวระหว่างผงยากับน้ำได้ดีพอ
• ข้อ ค. Mineral oil: เป็นสารไม่มีขั้ว ไม่ผสมกับน้ำและไม่เหมาะเป็น wetting agent สำหรับยาน้ำรับประทาน
• ข้อ ง. Benzyl alcohol: เป็นสารกันเสีย (Preservative) และยาชาเฉพาะที่ ไม่ใช่ wetting agent ทางปาก
• ข้อ จ. Alcohol: มีฤทธิ์ทำให้ระคายเคืองและมีข้อจำกัดในการใช้เป็น wetting agent สำหรับยาน้ำรับประทาน
📖 Guideline อ้างอิง:
Remington: The Science and Practice of Pharmacy &amp; Allen's Compounded Formulations
📌 จุดจำก่อนสอบ:
Wetting agent ยาน้ำรับประทานที่ปลอดภัยและนิยมสูงสุด: Glycerin, Propylene glycol, Sorbitol</t>
        </is>
      </c>
      <c r="K24" s="46" t="n"/>
      <c r="L24" s="45" t="inlineStr">
        <is>
          <t>Suspensions &amp; Wetting Agents</t>
        </is>
      </c>
      <c r="M24" s="46" t="inlineStr">
        <is>
          <t>Product</t>
        </is>
      </c>
      <c r="N24" s="45" t="inlineStr">
        <is>
          <t>ข้อสอบเก่า 2565 Day 1 ข้อ 26</t>
        </is>
      </c>
      <c r="O24" s="46" t="inlineStr">
        <is>
          <t>ข้อสอบเก่า</t>
        </is>
      </c>
      <c r="P24" s="44" t="inlineStr">
        <is>
          <t>2565</t>
        </is>
      </c>
      <c r="Q24" s="2" t="n"/>
    </row>
    <row r="25" ht="13.2" customHeight="1" s="37">
      <c r="A25" s="44" t="n">
        <v>23</v>
      </c>
      <c r="B25" s="45" t="inlineStr">
        <is>
          <t>physicochemical properties แบบไหนทำใหtransdermal patch ออกฤทธิ์ดีที่สุด …………………..………………………………..………………………………..………………………………..……………………………….. ………………………………..………………………………..………………………………..………………………………..…………………… Hint: Choice เปMน Molecular weight, Melting po PLE-CC1 Preparation 2565 เฉลยโดย MUPY53 กรณีศึกษา 10 คนไขมีอาการปวดฟ¢นเนื่องจากผ;าฟ¢นคุด เหงือกบวม ไม;มีหนอง กิน ibuprofen แลวเกิดผื่นแดงราบ สลับนูน เคยใชdiclofenac gel ทาแกปวด แลวไม;มีอาการแพ</t>
        </is>
      </c>
      <c r="C25" s="46" t="n"/>
      <c r="D25" s="45" t="inlineStr">
        <is>
          <t>Liquid &amp; Semisolid</t>
        </is>
      </c>
      <c r="E25" s="45" t="inlineStr">
        <is>
          <t>Simple Syrup USP (85% w/v Sucrose)</t>
        </is>
      </c>
      <c r="F25" s="45" t="inlineStr">
        <is>
          <t>Elixir with 10-20% Alcohol cosolvent</t>
        </is>
      </c>
      <c r="G25" s="45" t="inlineStr">
        <is>
          <t>Flocculated Oral Suspension with Xanthan Gum</t>
        </is>
      </c>
      <c r="H25" s="45" t="inlineStr">
        <is>
          <t>Deflocculated Suspension formulation</t>
        </is>
      </c>
      <c r="I25" s="44" t="inlineStr">
        <is>
          <t>1</t>
        </is>
      </c>
      <c r="J25" s="45" t="inlineStr">
        <is>
          <t>✅ คำตอบที่ถูกต้อง: ข้อ ก. Liquid &amp; Semisolid
💡 Background:
การบริบาลผู้ป่วยในกลุ่มโรค Gels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ข้อนี้ไม่ใช่คำตอบที่ถูกต้องสำหรับภาวะ Gels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Gels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25" s="46" t="n"/>
      <c r="L25" s="45" t="inlineStr">
        <is>
          <t>Gels</t>
        </is>
      </c>
      <c r="M25" s="46" t="inlineStr">
        <is>
          <t>Liquid &amp; Semisolid</t>
        </is>
      </c>
      <c r="N25" s="45" t="inlineStr">
        <is>
          <t>PLE_CC1_2565_Day1_Key ข้อ 48</t>
        </is>
      </c>
      <c r="O25" s="46" t="inlineStr">
        <is>
          <t>ข้อสอบจริง</t>
        </is>
      </c>
      <c r="P25" s="46" t="inlineStr">
        <is>
          <t>ปี 2565</t>
        </is>
      </c>
    </row>
    <row r="26" ht="13.2" customHeight="1" s="37">
      <c r="A26" s="44" t="n">
        <v>24</v>
      </c>
      <c r="B26" s="45" t="inlineStr">
        <is>
          <t>ถาไดยา suspension ตองทำไงถึงจะทำใหมียาตกตะกอนนอนกน (sedimentation rate) นอยที่สุด ในโจท9บอก;าเ"น antihistamineไ1&lt;วง ยาสา?ญประCDาน แF antihistamine G เ"นยาสา?ญประCDาน Hอ CPM Iง&lt;วง ไ1แJใจ;าโจท9หมายLงยาMวไหน??</t>
        </is>
      </c>
      <c r="C26" s="46" t="n"/>
      <c r="D26" s="45" t="inlineStr">
        <is>
          <t>Liquid &amp; Semisolid</t>
        </is>
      </c>
      <c r="E26" s="45" t="inlineStr">
        <is>
          <t>Deflocculated Suspension formulation</t>
        </is>
      </c>
      <c r="F26" s="45" t="inlineStr">
        <is>
          <t>O/W Emulsion stabilized by Polysorbate 80 / Span 80</t>
        </is>
      </c>
      <c r="G26" s="45" t="inlineStr">
        <is>
          <t>W/O Emulsion with Sorbitan monooleate</t>
        </is>
      </c>
      <c r="H26" s="45" t="inlineStr">
        <is>
          <t>Carbopol 940 hydrogel neutralized with Triethanolamine</t>
        </is>
      </c>
      <c r="I26" s="44" t="inlineStr">
        <is>
          <t>1</t>
        </is>
      </c>
      <c r="J26" s="45" t="inlineStr">
        <is>
          <t>✅ คำตอบที่ถูกต้อง: ข้อ ก. Liquid &amp; Semisolid
💡 Background:
การบริบาลผู้ป่วยในกลุ่มโรค Suspensions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(Deflocculated Suspension formulation): ข้อนี้ไม่ใช่คำตอบที่ถูกต้องสำหรับภาวะ Suspensions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Suspensions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Controlled Flocculation: อนุภาคจับตัวเป็นกลุ่มหลวมๆ (floccules) ตกตะกอนเร็วแต่ไม่เกิด hard cake และเขย่ากระจายตัวใหม่ได้ง่าย (redispersible)
• Sedimentation Volume (F): สัดส่วนปริมาตรตะกอนขั้นสุดท้ายต่อปริมาตรเริ่มต้น อุดมคติ F = 1 (ไม่เกิดการแยกชั้น)
• Suspending Agents: ใช้ Hydrophilic polymers (Xanthan gum, CMC, Carbopol) เพิ่มความหนืดของตัวกลางตามกฎของ Stokes' Law เพื่อชะลอการตกตะกอน</t>
        </is>
      </c>
      <c r="K26" s="46" t="n"/>
      <c r="L26" s="45" t="inlineStr">
        <is>
          <t>Suspensions</t>
        </is>
      </c>
      <c r="M26" s="46" t="inlineStr">
        <is>
          <t>Liquid &amp; Semisolid</t>
        </is>
      </c>
      <c r="N26" s="45" t="inlineStr">
        <is>
          <t>PLE_CC1_2565_Day1_Key ข้อ 84</t>
        </is>
      </c>
      <c r="O26" s="46" t="inlineStr">
        <is>
          <t>ข้อสอบจริง</t>
        </is>
      </c>
      <c r="P26" s="46" t="inlineStr">
        <is>
          <t>ปี 2565</t>
        </is>
      </c>
    </row>
    <row r="27" ht="13.2" customHeight="1" s="37">
      <c r="A27" s="44" t="n">
        <v>25</v>
      </c>
      <c r="B27" s="45" t="inlineStr">
        <is>
          <t>ขอใดไม;ถูกตอง Hydrolysis : ยาใน?ถามAอ Valacyclovir เ;น prodrug ของ Acyclovir โดยจะเปEยนเ;น active form Fวย enzyme BPHL (valacyclovir hydrolase) GานปHIJยา Hydrolysis t a -ne) armtee ((ขอfเgยวชาญjวน กkด)) เ;นประเภทของ Transdermal drug delivery system Monolith or matrix system &gt; ยาจะละลายอLใน matrix หNอในOป suspension &gt; เPอแGนแปะQดRบSวหTง ยาสามารถUดVมไFWนXYแปะ &gt; Zตราการปลดป[อยยาไ%คงY (Higuchi model) เPอ เXยบRบ reservoir system</t>
        </is>
      </c>
      <c r="C27" s="46" t="n"/>
      <c r="D27" s="45" t="inlineStr">
        <is>
          <t>Liquid &amp; Semisolid</t>
        </is>
      </c>
      <c r="E27" s="45" t="inlineStr">
        <is>
          <t>เปMน reservoir device</t>
        </is>
      </c>
      <c r="F27" s="45" t="inlineStr">
        <is>
          <t>ปลดปล;อยยาไดนานขึ้น</t>
        </is>
      </c>
      <c r="G27" s="45" t="inlineStr">
        <is>
          <t>ชื่อระบบ monolithic</t>
        </is>
      </c>
      <c r="H27" s="45" t="inlineStr">
        <is>
          <t>ยากระจายใน matrix</t>
        </is>
      </c>
      <c r="I27" s="44" t="inlineStr">
        <is>
          <t>1</t>
        </is>
      </c>
      <c r="J27" s="45" t="inlineStr">
        <is>
          <t>✅ คำตอบที่ถูกต้อง: ข้อ ก. Liquid &amp; Semisolid
💡 Background:
การบริบาลผู้ป่วยในกลุ่มโรค Suspensions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(เปMน reservoir device): ข้อนี้ไม่ใช่คำตอบที่ถูกต้องสำหรับภาวะ Suspensions เนื่องจากกลไกการออกฤทธิ์, efficacy หรือข้อบ่งใช้ไม่ตรงกับโจทย์ที่กำหนด
• ข้อ ค. (ปลดปล;อยยาไดนานขึ้น): ข้อนี้ไม่ใช่คำตอบที่ถูกต้องสำหรับภาวะ Suspensions เนื่องจากกลไกการออกฤทธิ์, efficacy หรือข้อบ่งใช้ไม่ตรงกับโจทย์ที่กำหนด
• ข้อ ง. (ชื่อระบบ monolithic): ข้อนี้ไม่ใช่คำตอบที่ถูกต้องสำหรับภาวะ Suspensions เนื่องจากกลไกการออกฤทธิ์, efficacy หรือข้อบ่งใช้ไม่ตรงกับโจทย์ที่กำหนด
• ข้อ จ. (ยากระจายใน matrix): ข้อนี้ไม่ใช่คำตอบที่ถูกต้องสำหรับภาวะ Suspensions เนื่องจากกลไกการออกฤทธิ์, efficacy หรือข้อบ่งใช้ไม่ตรงกับโจทย์ที่กำหนด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7" s="46" t="n"/>
      <c r="L27" s="45" t="inlineStr">
        <is>
          <t>Suspensions</t>
        </is>
      </c>
      <c r="M27" s="46" t="inlineStr">
        <is>
          <t>Liquid &amp; Semisolid</t>
        </is>
      </c>
      <c r="N27" s="45" t="inlineStr">
        <is>
          <t>PLE_CC1_2565_Day1_Key ข้อ 91</t>
        </is>
      </c>
      <c r="O27" s="46" t="inlineStr">
        <is>
          <t>ข้อสอบจริง</t>
        </is>
      </c>
      <c r="P27" s="46" t="inlineStr">
        <is>
          <t>ปี 2565</t>
        </is>
      </c>
      <c r="Q27" s="2" t="n"/>
    </row>
    <row r="28" ht="13.2" customHeight="1" s="37">
      <c r="A28" s="44" t="n">
        <v>26</v>
      </c>
      <c r="B28" s="45" t="inlineStr">
        <is>
          <t>ในการควบคุมคุณภาพยาเตรียม Hydrocortisone cream 1% ตามมาตรฐานเภสัชตำรับ จะใช้วิธีการวิเคราะห์ใดในการหาปริมาณตัวยาสำคัญ (Assay) จึงมีความจำเพาะและแม่นยำสูงสุด</t>
        </is>
      </c>
      <c r="C28" s="46" t="n"/>
      <c r="D28" s="45" t="inlineStr">
        <is>
          <t>UV-Visible spectrophotometry</t>
        </is>
      </c>
      <c r="E28" s="45" t="inlineStr">
        <is>
          <t>High Performance Thin Layer Chromatography (HPTLC)</t>
        </is>
      </c>
      <c r="F28" s="45" t="inlineStr">
        <is>
          <t>High Performance Liquid Chromatography (HPLC)</t>
        </is>
      </c>
      <c r="G28" s="45" t="inlineStr">
        <is>
          <t>Raman spectroscopy</t>
        </is>
      </c>
      <c r="H28" s="45" t="inlineStr">
        <is>
          <t>Infrared spectroscopy (IR)</t>
        </is>
      </c>
      <c r="I28" s="44" t="inlineStr">
        <is>
          <t>3</t>
        </is>
      </c>
      <c r="J28" s="45" t="inlineStr">
        <is>
          <t>✅ คำตอบที่ถูกต้อง: ข้อ ค. HPLC (High Performance Liquid Chromatography)
💡 Background:
ยาเตรียมกึ่งแข็ง เช่น Hydrocortisone cream 1% มีส่วนประกอบของกระสายยาที่ซับซ้อน (Cream base matrix: Mineral oil, Propylene glycol, Emulsifiers, Preservatives) ซึ่งอาจรบกวนการวิเคราะห์
🎯 ทำไมข้อนี้ถึงถูก:
ตามเภสัชตำรับ USP Monograph วิธีมาตรฐานในการตรวจหาปริมาณตัวยาสำคัญ (Assay) ของ Hydrocortisone cream คือ เทคนิค HPLC (High Performance Liquid Chromatography) ร่วมกับ UV Detector เนื่องจากมี Specificity สูง สามารถแยกตัวยาสำคัญออกจากส่วนประกอบอื่นของเนื้อครีมและสารสลายตัว (Degradants) ได้อย่างแม่นยำ
🔍 ข้ออื่นผิดเพราะอะไร:
• ข้อ ก. UV spectrophotometry: ส่วนประกอบอื่นในครีมและสารกันเสีย (เช่น Parabens) มีการดูดกลืนแสง UV รบกวนสัญญาณตัวยา
• ข้อ ข. HPTLC: นิยมใช้สำหรับการพิสูจน์เอกลักษณ์หรือคัดกรองสารปนเปื้อนเบื้องต้น ความแม่นยำเชิงปริมาณต่ำกว่า HPLC
• ข้อ ง. Raman spectroscopy: ไม่ใช่วิธีมาตรฐานใน USP สำหรับการตรวจวิเคราะห์หา %Assay ในตำรับครีม
📖 Guideline อ้างอิง:
USP-NF Monograph for Hydrocortisone Cream (Assay section)
📌 จุดจำก่อนสอบ:
การหา Assay ของยาครีม/ขี้ผึ้งในเภสัชตำรับ USP: วิธีมาตรฐานสากลคือ HPLC เสมอ เพราะตัดการรบกวนจากกระสายยาได้ดีเยี่ยม</t>
        </is>
      </c>
      <c r="K28" s="46" t="n"/>
      <c r="L28" s="45" t="inlineStr">
        <is>
          <t>Semisolid QC &amp; Chromatography</t>
        </is>
      </c>
      <c r="M28" s="46" t="inlineStr">
        <is>
          <t>Product</t>
        </is>
      </c>
      <c r="N28" s="45" t="inlineStr">
        <is>
          <t>ข้อสอบเก่า 2565 Day 2 ข้อ 38</t>
        </is>
      </c>
      <c r="O28" s="46" t="inlineStr">
        <is>
          <t>ข้อสอบเก่า</t>
        </is>
      </c>
      <c r="P28" s="44" t="inlineStr">
        <is>
          <t>2565</t>
        </is>
      </c>
      <c r="Q28" s="2" t="n"/>
    </row>
    <row r="29" ht="13.2" customHeight="1" s="37">
      <c r="A29" s="44" t="n">
        <v>27</v>
      </c>
      <c r="B29" s="45" t="inlineStr">
        <is>
          <t>จากสูตรตำรับการเตรียม Rifampicin suspension สารกลุ่มใดในตำรับทำหน้าที่เป็นตัวทำละลายร่วม (Co-solvents)</t>
        </is>
      </c>
      <c r="C29" s="46" t="n"/>
      <c r="D29" s="45" t="inlineStr">
        <is>
          <t>Glycerin, PEG, ascorbic acid</t>
        </is>
      </c>
      <c r="E29" s="45" t="inlineStr">
        <is>
          <t>Glycerin, PEG, sorbitol solution</t>
        </is>
      </c>
      <c r="F29" s="45" t="inlineStr">
        <is>
          <t>PEG, ascorbic acid, Saccharin</t>
        </is>
      </c>
      <c r="G29" s="45" t="inlineStr">
        <is>
          <t>Ascorbic acid, sorbitol solution, EDTA</t>
        </is>
      </c>
      <c r="H29" s="45" t="inlineStr">
        <is>
          <t>Ascorbic acid, EDTA, Saccharin</t>
        </is>
      </c>
      <c r="I29" s="44" t="inlineStr">
        <is>
          <t>2</t>
        </is>
      </c>
      <c r="J29" s="45" t="inlineStr">
        <is>
          <t>✅ คำตอบที่ถูกต้อง: ข้อ ข. Glycerin, PEG, Sorbitol solution
💡 Background:
สารช่วยทำละลายร่วม (Co-solvents) คือสารที่มีขั้วปานกลางที่เติมลงในตำรับน้ำเพื่อเพิ่มความสามารถในการละลายของตัวยาที่ละลายน้ำได้ยาก โดยลดค่า Dielectric constant ของน้ำลง
🎯 ทำไมข้อนี้ถึงถูก:
Glycerin, PEG (Polyethylene glycol เช่น PEG 400) และ Sorbitol solution ล้วนจัดเป็น Co-solvents ที่ปลอดภัยและนิยมใช้ร่วมกันในสูตรตำรับยาน้ำรับประทาน เพื่อเพิ่มการละลายและเป็น Humectant ช่วยเพิ่มความคงตัวทางกายภาพ
🔍 ข้ออื่นผิดเพราะอะไร:
• ข้อ ก., ค., ง., จ.: มี Ascorbic acid หรือ EDTA ซึ่งทำหน้าที่เป็น Antioxidant / Chelating agent ไม่ใช่ Co-solvent และมี Saccharin ซึ่งเป็น Sweetening agent
📖 Guideline อ้างอิง:
Handbook of Pharmaceutical Excipients &amp; Ansel's Pharmaceutical Dosage Forms and Drug Delivery Systems
📌 จุดจำก่อนสอบ:
Co-solvents ยาน้ำรับประทาน: Glycerin, Propylene glycol, Polyethylene glycol (PEG), และ Sorbitol</t>
        </is>
      </c>
      <c r="K29" s="46" t="n"/>
      <c r="L29" s="45" t="inlineStr">
        <is>
          <t>Suspensions &amp; Co-solvents</t>
        </is>
      </c>
      <c r="M29" s="46" t="inlineStr">
        <is>
          <t>Product</t>
        </is>
      </c>
      <c r="N29" s="45" t="inlineStr">
        <is>
          <t>ข้อสอบเก่า 2565 Day 2 ข้อ 54</t>
        </is>
      </c>
      <c r="O29" s="46" t="inlineStr">
        <is>
          <t>ข้อสอบเก่า</t>
        </is>
      </c>
      <c r="P29" s="44" t="inlineStr">
        <is>
          <t>2565</t>
        </is>
      </c>
      <c r="Q29" s="2" t="n"/>
    </row>
    <row r="30" ht="13.2" customHeight="1" s="37">
      <c r="A30" s="44" t="n">
        <v>28</v>
      </c>
      <c r="B30" s="45" t="inlineStr">
        <is>
          <t>จากสูตรตำรับ Aluminum hydroxide paste (ประกอบด้วย Aluminum hydroxide, Glycerol, Sorbitol, Methylparaben, Propylparaben, Purified water) ข้อใดต่อไปนี้กล่าวถูกต้อง</t>
        </is>
      </c>
      <c r="C30" s="46" t="n"/>
      <c r="D30" s="45" t="inlineStr">
        <is>
          <t>ใช้ Sorbitol กับ Glycerol เพื่อเป็นสารเพิ่มความหนืดหลักของตำรับ</t>
        </is>
      </c>
      <c r="E30" s="45" t="inlineStr">
        <is>
          <t>ตำรับนี้ไม่สามารถแต่งกลิ่นรส (Flavoring agent) ได้เนื่องจากตัวยาเสื่อมสลาย</t>
        </is>
      </c>
      <c r="F30" s="45" t="inlineStr">
        <is>
          <t>Methyl cellulose เป็นสารให้ความหนืดชนิดไม่มีประจุ (Nonionic polymer) ที่เข้ากันได้ดีกับตัวยา</t>
        </is>
      </c>
      <c r="G30" s="45" t="inlineStr">
        <is>
          <t>Methylparaben และ Propylparaben ทำหน้าที่เป็น Antioxidants ป้องกันการเกิด oxidation</t>
        </is>
      </c>
      <c r="H30" s="45" t="inlineStr">
        <is>
          <t>Glycerol และ Sorbitol ทำหน้าที่เป็น Emulsifying agent ประจุลบ</t>
        </is>
      </c>
      <c r="I30" s="44" t="inlineStr">
        <is>
          <t>3</t>
        </is>
      </c>
      <c r="J30" s="45" t="inlineStr">
        <is>
          <t>✅ คำตอบที่ถูกต้อง: ข้อ ค. Methyl cellulose เป็นสารให้ความหนืดที่ไม่มีประจุ (Nonionic thickening agent)
💡 Background:
สารประกอบพอลิเมอร์กลุ่มเซลลูโลสดัดแปลง (Cellulose derivatives) ถูกนำมาใช้เป็น Suspending agent หรือ Thickening agent ในยาน้ำแขวนตะกอน เพื่อควบคุมความหนืดและป้องกันการตกตะกอนนอนก้นแบบ Caking
🎯 ทำไมข้อนี้ถึงถูก:
Methyl cellulose (MC) เป็นพอลิเมอร์ชนิดไม่มีประจุ (Nonionic polymer) จึงมีความคงตัวสูง ไม่เกิดปฏิกิริยากับไอออนบวกหลายประจุ เช่น Al3+ ใน Aluminum hydroxide paste ทำให้ตำรับคงตัวได้ดี ไม่เกิดการจับตัวเป็นก้อนแข็ง
🔍 ข้ออื่นผิดเพราะอะไร:
• ข้อ ก. Sorbitol กับ Glycerol ในสูตรทำหน้าที่เป็น Sweetening agent และ Cosolvent/Humectant
• ข้อ ข. ตำรับอาจมีการเติมสารแต่งกลิ่นรส (Flavoring agent) เพื่อกลบรสเฝื่อนของอะลูมิเนียม
• ข้อ ง. Methylparaben และ Propylparaben ทำหน้าที่เป็น สารกันเสีย (Antimicrobial preservatives) ไม่ใช่ Antioxidants
📖 Guideline อ้างอิง:
Handbook of Pharmaceutical Excipients (Methylcellulose monograph) &amp; USP Monograph for Aluminum Hydroxide Gel
📌 จุดจำก่อนสอบ:
Methylcellulose = Nonionic polymer ไม่ตกตะกอนกับไอออนบวกของโลหะ (Al3+, Ca2+, Mg2+)</t>
        </is>
      </c>
      <c r="K30" s="46" t="n"/>
      <c r="L30" s="45" t="inlineStr">
        <is>
          <t>Suspensions &amp; Excipients</t>
        </is>
      </c>
      <c r="M30" s="46" t="inlineStr">
        <is>
          <t>Product</t>
        </is>
      </c>
      <c r="N30" s="45" t="inlineStr">
        <is>
          <t>ข้อสอบเก่า 2565 Day 2 ข้อ 79</t>
        </is>
      </c>
      <c r="O30" s="46" t="inlineStr">
        <is>
          <t>ข้อสอบเก่า</t>
        </is>
      </c>
      <c r="P30" s="44" t="inlineStr">
        <is>
          <t>2565</t>
        </is>
      </c>
      <c r="Q30" s="2" t="n"/>
    </row>
    <row r="31" ht="13.2" customHeight="1" s="37">
      <c r="A31" s="44" t="n">
        <v>29</v>
      </c>
      <c r="B31" s="45" t="inlineStr">
        <is>
          <t>ยาอะไรที่ไม่ได้ช่วยให้โรคไม่ดำเนินไปของ RA Choice มี NSAIDs สำหรับ topical capsaicin แนะนำให้ใช้ได้ในผู้ป่วย knee OA (weak recommended) แต่ไม่แนะนำให้ใช้ในผู้ป่วย hand OA (weak recommended against) ดังนั้นถ้าผู้ป่วยเป็น knee OA ก็ตอบข้อ b) แต่ถ้าผู้ป่วยเป็น hand OA inhibitors) หรือ omeprazole (PPIs) https://www.rheumatology.org/Portals/0/Files/Osteoarthritis- Guideline-Early-View-2019.pdf</t>
        </is>
      </c>
      <c r="C31" s="46" t="n"/>
      <c r="D31" s="45" t="inlineStr">
        <is>
          <t>Liquid &amp; Semisolid</t>
        </is>
      </c>
      <c r="E31" s="45" t="inlineStr">
        <is>
          <t>Absorption Ointment base (Lanolin USP)</t>
        </is>
      </c>
      <c r="F31" s="45" t="inlineStr">
        <is>
          <t>Fatty Suppository base (Hard Fat / Witepsol)</t>
        </is>
      </c>
      <c r="G31" s="45" t="inlineStr">
        <is>
          <t>Simple Syrup USP (85% w/v Sucrose)</t>
        </is>
      </c>
      <c r="H31" s="45" t="inlineStr">
        <is>
          <t>Elixir with 10-20% Alcohol cosolvent</t>
        </is>
      </c>
      <c r="I31" s="44" t="inlineStr">
        <is>
          <t>1</t>
        </is>
      </c>
      <c r="J31" s="45" t="inlineStr">
        <is>
          <t>✅ คำตอบที่ถูกต้อง: ข้อ ก. Liquid &amp; Semisolid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(Absorption Ointment base (Lanolin USP)): ข้อนี้ไม่ใช่คำตอบที่ถูกต้องสำหรับภาวะ Solutions, Syrups &amp; Elixirs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Solutions, Syrups &amp; Elixirs เนื่องจากกลไกการออกฤทธิ์, efficacy หรือข้อบ่งใช้ไม่ตรงกับโจทย์ที่กำหนด
• ข้อ ง. (Simple Syrup USP (85% w/v Sucrose)): ข้อนี้ไม่ใช่คำตอบที่ถูกต้องสำหรับภาวะ Solutions, Syrups &amp; Elixirs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31" s="46" t="n"/>
      <c r="L31" s="45" t="inlineStr">
        <is>
          <t>Solutions, Syrups &amp; Elixirs</t>
        </is>
      </c>
      <c r="M31" s="46" t="inlineStr">
        <is>
          <t>Liquid &amp; Semisolid</t>
        </is>
      </c>
      <c r="N31" s="45" t="inlineStr">
        <is>
          <t>PLE_CC1_2564_All_Key ข้อ 31</t>
        </is>
      </c>
      <c r="O31" s="46" t="inlineStr">
        <is>
          <t>ข้อสอบจริง</t>
        </is>
      </c>
      <c r="P31" s="46" t="inlineStr">
        <is>
          <t>ปี 2564</t>
        </is>
      </c>
    </row>
    <row r="32" ht="13.2" customHeight="1" s="37">
      <c r="A32" s="44" t="n">
        <v>30</v>
      </c>
      <c r="B32" s="45" t="inlineStr">
        <is>
          <t>ยาที่แสดงชื่อหรือเครื่องหมายของผู้ผลิต หรือ ที่ตั้งสถานที่ยาที่ไม่ใช่ความจริง เช่น ครีมกวนหลังบ้านแต่เอา logo มหิดลมาปิด</t>
        </is>
      </c>
      <c r="C32" s="46" t="n"/>
      <c r="D32" s="45" t="inlineStr">
        <is>
          <t>Liquid &amp; Semisolid</t>
        </is>
      </c>
      <c r="E32" s="45" t="inlineStr">
        <is>
          <t>Elixir with 10-20% Alcohol cosolvent</t>
        </is>
      </c>
      <c r="F32" s="45" t="inlineStr">
        <is>
          <t>Flocculated Oral Suspension with Xanthan Gum</t>
        </is>
      </c>
      <c r="G32" s="45" t="inlineStr">
        <is>
          <t>Deflocculated Suspension formulation</t>
        </is>
      </c>
      <c r="H32" s="45" t="inlineStr">
        <is>
          <t>O/W Emulsion stabilized by Polysorbate 80 / Span 80</t>
        </is>
      </c>
      <c r="I32" s="44" t="inlineStr">
        <is>
          <t>1</t>
        </is>
      </c>
      <c r="J32"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46" t="n"/>
      <c r="L32" s="45" t="inlineStr">
        <is>
          <t>Creams &amp; Ointments</t>
        </is>
      </c>
      <c r="M32" s="46" t="inlineStr">
        <is>
          <t>Liquid &amp; Semisolid</t>
        </is>
      </c>
      <c r="N32" s="45" t="inlineStr">
        <is>
          <t>PLE_CC1_2564_All_Key ข้อ 3</t>
        </is>
      </c>
      <c r="O32" s="46" t="inlineStr">
        <is>
          <t>ข้อสอบจริง</t>
        </is>
      </c>
      <c r="P32" s="46" t="inlineStr">
        <is>
          <t>ปี 2564</t>
        </is>
      </c>
    </row>
    <row r="33" ht="13.2" customHeight="1" s="37">
      <c r="A33" s="44" t="n">
        <v>31</v>
      </c>
      <c r="B33" s="45" t="inlineStr">
        <is>
          <t>ถ้าลูกเกิดมาแล้วแม่มี VL 20 ลูกจะต้องได้รับ zidovudine syrup ไปอีกเท่าไหร่? (หมายถึงเวลารึป่ะ)</t>
        </is>
      </c>
      <c r="C33" s="46" t="n"/>
      <c r="D33" s="45" t="inlineStr">
        <is>
          <t>Liquid &amp; Semisolid</t>
        </is>
      </c>
      <c r="E33" s="45" t="inlineStr">
        <is>
          <t>O/W Emulsion stabilized by Polysorbate 80 / Span 80</t>
        </is>
      </c>
      <c r="F33" s="45" t="inlineStr">
        <is>
          <t>W/O Emulsion with Sorbitan monooleate</t>
        </is>
      </c>
      <c r="G33" s="45" t="inlineStr">
        <is>
          <t>Carbopol 940 hydrogel neutralized with Triethanolamine</t>
        </is>
      </c>
      <c r="H33" s="45" t="inlineStr">
        <is>
          <t>Oleaginous Ointment base (White Petrolatum)</t>
        </is>
      </c>
      <c r="I33" s="44" t="inlineStr">
        <is>
          <t>1</t>
        </is>
      </c>
      <c r="J33" s="45"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Solutions, Syrups &amp; Elixirs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Solutions, Syrups &amp; Elixirs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Solutions, Syrups &amp; Elixirs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46" t="n"/>
      <c r="L33" s="45" t="inlineStr">
        <is>
          <t>Solutions, Syrups &amp; Elixirs</t>
        </is>
      </c>
      <c r="M33" s="46" t="inlineStr">
        <is>
          <t>Liquid &amp; Semisolid</t>
        </is>
      </c>
      <c r="N33" s="45" t="inlineStr">
        <is>
          <t>PLE_CC1_2564_All_Key ข้อ 77</t>
        </is>
      </c>
      <c r="O33" s="46" t="inlineStr">
        <is>
          <t>ข้อสอบจริง</t>
        </is>
      </c>
      <c r="P33" s="46" t="inlineStr">
        <is>
          <t>ปี 2564</t>
        </is>
      </c>
    </row>
    <row r="34" ht="13.2" customHeight="1" s="37">
      <c r="A34" s="44" t="n">
        <v>32</v>
      </c>
      <c r="B34" s="45" t="inlineStr">
        <is>
          <t>ตำรับประกอบด้วย ตัวยาสำคัญ, MCC, Lactose, disintegrant สักตัว, Mg stearate แล้ว Shell ประกอบด้วย gelatin, Titanium dioxide, iron oxide ถามว่าเป็นรูปแบบไหน</t>
        </is>
      </c>
      <c r="C34" s="46" t="n"/>
      <c r="D34" s="45" t="inlineStr">
        <is>
          <t>Liquid &amp; Semisolid</t>
        </is>
      </c>
      <c r="E34" s="45" t="inlineStr">
        <is>
          <t>Oleaginous Ointment base (White Petrolatum)</t>
        </is>
      </c>
      <c r="F34" s="45" t="inlineStr">
        <is>
          <t>Absorption Ointment base (Lanolin USP)</t>
        </is>
      </c>
      <c r="G34" s="45" t="inlineStr">
        <is>
          <t>Fatty Suppository base (Hard Fat / Witepsol)</t>
        </is>
      </c>
      <c r="H34" s="45" t="inlineStr">
        <is>
          <t>Simple Syrup USP (85% w/v Sucrose)</t>
        </is>
      </c>
      <c r="I34" s="44" t="inlineStr">
        <is>
          <t>1</t>
        </is>
      </c>
      <c r="J34" s="45" t="inlineStr">
        <is>
          <t>✅ คำตอบที่ถูกต้อง: ข้อ ก. Liquid &amp; Semisolid
💡 Background:
การบริบาลผู้ป่วยในกลุ่มโรค Gels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Gels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Gels เนื่องจากกลไกการออกฤทธิ์, efficacy หรือข้อบ่งใช้ไม่ตรงกับโจทย์ที่กำหนด
• ข้อ จ. (Simple Syrup USP (85% w/v Sucrose)): ข้อนี้ไม่ใช่คำตอบที่ถูกต้องสำหรับภาวะ Gels เนื่องจากกลไกการออกฤทธิ์, efficacy หรือข้อบ่งใช้ไม่ตรงกับโจทย์ที่กำหนด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46" t="n"/>
      <c r="L34" s="45" t="inlineStr">
        <is>
          <t>Gels</t>
        </is>
      </c>
      <c r="M34" s="46" t="inlineStr">
        <is>
          <t>Liquid &amp; Semisolid</t>
        </is>
      </c>
      <c r="N34" s="45" t="inlineStr">
        <is>
          <t>PLE_CC1_2564_All_Key ข้อ 131</t>
        </is>
      </c>
      <c r="O34" s="46" t="inlineStr">
        <is>
          <t>ข้อสอบจริง</t>
        </is>
      </c>
      <c r="P34" s="46" t="inlineStr">
        <is>
          <t>ปี 2564</t>
        </is>
      </c>
    </row>
    <row r="35" ht="13.2" customHeight="1" s="37">
      <c r="A35" s="44" t="n">
        <v>33</v>
      </c>
      <c r="B35" s="45" t="inlineStr">
        <is>
          <t>Hard capsule เพราะยาเป็นผงและส่วนประกอบของshell ประกอบด้วย gelatin และ titanium dioxide, iron dioxide ซึ่งเป็น opacifier ถ้าเป็น soft capsule ในส่วนของ shell จะประกอบด้วย gelatin + glycerin หรือ polyhydric alcohol เช่น sorbitol จาก สรุป Mcq ceutic / Ansel's Pharmaceutical Dosage Forms and Drug Delivery Systems [11 ed.] ............................................................................................................................................................................................................. recall bias O D เฉลยข้อสอบ PLE-CC1 ครั้งที่12/2564 วันที่ 1-2 : MUPY 50</t>
        </is>
      </c>
      <c r="C35" s="46" t="n"/>
      <c r="D35" s="45" t="inlineStr">
        <is>
          <t>Liquid &amp; Semisolid</t>
        </is>
      </c>
      <c r="E35" s="45" t="inlineStr">
        <is>
          <t>Simple Syrup USP (85% w/v Sucrose)</t>
        </is>
      </c>
      <c r="F35" s="45" t="inlineStr">
        <is>
          <t>Elixir with 10-20% Alcohol cosolvent</t>
        </is>
      </c>
      <c r="G35" s="45" t="inlineStr">
        <is>
          <t>Flocculated Oral Suspension with Xanthan Gum</t>
        </is>
      </c>
      <c r="H35" s="45" t="inlineStr">
        <is>
          <t>Deflocculated Suspension formulation</t>
        </is>
      </c>
      <c r="I35" s="44" t="inlineStr">
        <is>
          <t>1</t>
        </is>
      </c>
      <c r="J35" s="45" t="inlineStr">
        <is>
          <t>✅ คำตอบที่ถูกต้อง: ข้อ ก. Liquid &amp; Semisolid
💡 Background:
การรักษาโรคติดเชื้อแบคทีเรีย (Gels)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ข้อนี้ไม่ใช่คำตอบที่ถูกต้องสำหรับภาวะ Gels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Gels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46" t="n"/>
      <c r="L35" s="45" t="inlineStr">
        <is>
          <t>Gels</t>
        </is>
      </c>
      <c r="M35" s="46" t="inlineStr">
        <is>
          <t>Liquid &amp; Semisolid</t>
        </is>
      </c>
      <c r="N35" s="45" t="inlineStr">
        <is>
          <t>PLE_CC1_2564_All_Key ข้อ 2</t>
        </is>
      </c>
      <c r="O35" s="46" t="inlineStr">
        <is>
          <t>ข้อสอบจริง</t>
        </is>
      </c>
      <c r="P35" s="46" t="inlineStr">
        <is>
          <t>ปี 2564</t>
        </is>
      </c>
    </row>
    <row r="36" ht="13.2" customHeight="1" s="37">
      <c r="A36" s="44" t="n">
        <v>34</v>
      </c>
      <c r="B36" s="45" t="inlineStr">
        <is>
          <t>ข้อใดถูกเกี่ยวกับคำแนะนำการใฬ้ยาทาครีม BS ที่มี steroid เป็นอษค์ประกอบ</t>
        </is>
      </c>
      <c r="C36" s="46" t="n"/>
      <c r="D36" s="45" t="inlineStr">
        <is>
          <t>Liquid &amp; Semisolid</t>
        </is>
      </c>
      <c r="E36" s="45" t="inlineStr">
        <is>
          <t>ใฬ้ปริมาณน้อย</t>
        </is>
      </c>
      <c r="F36" s="45" t="inlineStr">
        <is>
          <t>ใฬ้ติดต่อกันไม่เกิน 2 วัน</t>
        </is>
      </c>
      <c r="G36" s="45" t="inlineStr">
        <is>
          <t>ทาแล้วใฬ้พลาสเตอร์ปิด ษ. ใฬ้ได้กับแผล ส. ทาทุก 6 ฬม. RA</t>
        </is>
      </c>
      <c r="H36" s="45" t="inlineStr">
        <is>
          <t>Carbopol 940 hydrogel neutralized with Triethanolamine</t>
        </is>
      </c>
      <c r="I36" s="44" t="inlineStr">
        <is>
          <t>1</t>
        </is>
      </c>
      <c r="J36"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ข้อนี้ไม่ใช่คำตอบที่ถูกต้องสำหรับภาวะ Creams &amp; Ointments เนื่องจากกลไกการออกฤทธิ์, efficacy หรือข้อบ่งใช้ไม่ตรงกับโจทย์ที่กำหนด
• ข้อ ค. (ใฬ้ติดต่อกันไม่เกิน 2 วัน): ข้อนี้ไม่ใช่คำตอบที่ถูกต้องสำหรับภาวะ Creams &amp; Ointments เนื่องจากกลไกการออกฤทธิ์, efficacy หรือข้อบ่งใช้ไม่ตรงกับโจทย์ที่กำหนด
• ข้อ ง. (ทาแล้วใฬ้พลาสเตอร์ปิด ษ. ใฬ้ได้กับแผล ส. ทาทุก 6 ฬม. RA): ข้อนี้ไม่ใช่คำตอบที่ถูกต้องสำหรับภาวะ Creams &amp; Ointments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46" t="n"/>
      <c r="L36" s="45" t="inlineStr">
        <is>
          <t>Creams &amp; Ointments</t>
        </is>
      </c>
      <c r="M36" s="46" t="inlineStr">
        <is>
          <t>Liquid &amp; Semisolid</t>
        </is>
      </c>
      <c r="N36" s="45" t="inlineStr">
        <is>
          <t>PLE_CC1_2563_Q ข้อ 42</t>
        </is>
      </c>
      <c r="O36" s="46" t="inlineStr">
        <is>
          <t>ข้อสอบจริง</t>
        </is>
      </c>
      <c r="P36" s="46" t="inlineStr">
        <is>
          <t>ปี 2563</t>
        </is>
      </c>
    </row>
    <row r="37" ht="13.2" customHeight="1" s="37">
      <c r="A37" s="44" t="n">
        <v>35</v>
      </c>
      <c r="B37" s="45" t="inlineStr">
        <is>
          <t>ข้อใดถูกเกี่ยวกับคำแนะนำการใฬ้ยาทาครีม BA ที่มี steroid (ที่ตำรับประกอบด้วย Steroids + ketolytic agent) เป็นอษค์ประกอบ</t>
        </is>
      </c>
      <c r="C37" s="46" t="n"/>
      <c r="D37" s="45" t="inlineStr">
        <is>
          <t>Liquid &amp; Semisolid</t>
        </is>
      </c>
      <c r="E37" s="45" t="inlineStr">
        <is>
          <t>ใฬ้ปริมาณน้อย</t>
        </is>
      </c>
      <c r="F37" s="45" t="inlineStr">
        <is>
          <t>ใฬ้ติดต่อกันไม่เกิน 2 วัน</t>
        </is>
      </c>
      <c r="G37" s="45" t="inlineStr">
        <is>
          <t>ทาแล้วใฬ้พลาสเตอร์ปิด ษ. ใฬ้ได้กับแผล ส. ทาทุก 6 ฬม. GERD</t>
        </is>
      </c>
      <c r="H37" s="45" t="inlineStr">
        <is>
          <t>Fatty Suppository base (Hard Fat / Witepsol)</t>
        </is>
      </c>
      <c r="I37" s="44" t="inlineStr">
        <is>
          <t>1</t>
        </is>
      </c>
      <c r="J37" s="45" t="inlineStr">
        <is>
          <t>✅ คำตอบที่ถูกต้อง: ข้อ ก. Liquid &amp; Semisolid
💡 Background:
การบริบาลผู้ป่วยในกลุ่มโรค Creams &amp; Ointments มุ่งเน้นการควบคุมโรคและลดความเสี่ยงต่อภาวะแทรกซ้อนด้วย evidence-based pharmacotherapy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ข้อนี้ไม่ใช่คำตอบที่ถูกต้องสำหรับภาวะ Creams &amp; Ointments เนื่องจากกลไกการออกฤทธิ์, efficacy หรือข้อบ่งใช้ไม่ตรงกับโจทย์ที่กำหนด
• ข้อ ค. (ใฬ้ติดต่อกันไม่เกิน 2 วัน): ข้อนี้ไม่ใช่คำตอบที่ถูกต้องสำหรับภาวะ Creams &amp; Ointments เนื่องจากกลไกการออกฤทธิ์, efficacy หรือข้อบ่งใช้ไม่ตรงกับโจทย์ที่กำหนด
• ข้อ ง. (ทาแล้วใฬ้พลาสเตอร์ปิด ษ. ใฬ้ได้กับแผล ส. ทาทุก 6 ฬม. GERD): ข้อนี้ไม่ใช่คำตอบที่ถูกต้องสำหรับภาวะ Creams &amp; Ointments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46" t="n"/>
      <c r="L37" s="45" t="inlineStr">
        <is>
          <t>Creams &amp; Ointments</t>
        </is>
      </c>
      <c r="M37" s="46" t="inlineStr">
        <is>
          <t>Liquid &amp; Semisolid</t>
        </is>
      </c>
      <c r="N37" s="45" t="inlineStr">
        <is>
          <t>PLE_CC1_2563_Q ข้อ 83</t>
        </is>
      </c>
      <c r="O37" s="46" t="inlineStr">
        <is>
          <t>ข้อสอบจริง</t>
        </is>
      </c>
      <c r="P37" s="46" t="inlineStr">
        <is>
          <t>ปี 2563</t>
        </is>
      </c>
    </row>
    <row r="38" ht="13.2" customHeight="1" s="37">
      <c r="A38" s="46" t="n">
        <v>36</v>
      </c>
      <c r="B38" s="45" t="inlineStr">
        <is>
          <t>ข้อใดไม่ถูกต้องเกี่ยวกับการใช้ capsaicin gel wei.2 X ↑ziseeideigered</t>
        </is>
      </c>
      <c r="C38" s="46" t="n"/>
      <c r="D38" s="45" t="inlineStr">
        <is>
          <t>ทายานี้วันละ 3-4 ครั้งต่อวัน</t>
        </is>
      </c>
      <c r="E38" s="45" t="inlineStr">
        <is>
          <t>ใช้ยานี้สม่ำเสมอจึงจะเห็นประสิทธิผล</t>
        </is>
      </c>
      <c r="F38" s="45" t="inlineStr">
        <is>
          <t>ถูนวดบริเวณที่ปวดหลังทายานี้อย่างน้อย 5 นาที</t>
        </is>
      </c>
      <c r="G38" s="45" t="inlineStr">
        <is>
          <t>หลังทายานี้ต้องล้างมือด้วยน้ำสะอาดและสบู่ทุกครั้ง</t>
        </is>
      </c>
      <c r="H38" s="45" t="inlineStr">
        <is>
          <t>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t>
        </is>
      </c>
      <c r="I38" s="46" t="n">
        <v>1</v>
      </c>
      <c r="J38" s="45" t="inlineStr">
        <is>
          <t>✅ คำตอบที่ถูกต้อง: ข้อ ก. ทายานี้วันละ 3-4 ครั้งต่อวัน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ทายานี้วันละ 3-4 ครั้งต่อวัน 💡 คำอธิบายและเหตุผลทางเภสัชกรรม:
💡 คำอธิบายและเหตุผลทางเภสัชกรรม:
การเลือก ทายานี้วันละ 3-4 ครั้งต่อวัน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(ใช้ยานี้สม่ำเสมอจึงจะเห็นประสิทธิผล): ข้อนี้ไม่ใช่คำตอบที่ถูกต้องสำหรับภาวะ Gels เนื่องจากกลไกการออกฤทธิ์, efficacy หรือข้อบ่งใช้ไม่ตรงกับโจทย์ที่กำหนด
• ข้อ ค. (ถูนวดบริเวณที่ปวดหลังทายานี้อย่างน้อย 5 นาที): ข้อนี้ไม่ใช่คำตอบที่ถูกต้องสำหรับภาวะ Gels เนื่องจากกลไกการออกฤทธิ์, efficacy หรือข้อบ่งใช้ไม่ตรงกับโจทย์ที่กำหนด
• ข้อ ง. (หลังทายานี้ต้องล้างมือด้วยน้ำสะอาดและสบู่ทุกครั้ง): ข้อนี้ไม่ใช่คำตอบที่ถูกต้องสำหรับภาวะ Gels เนื่องจากกลไกการออกฤทธิ์, efficacy หรือข้อบ่งใช้ไม่ตรงกับโจทย์ที่กำหนด
• ข้อ จ.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46" t="n"/>
      <c r="L38" s="45" t="inlineStr">
        <is>
          <t>Gels</t>
        </is>
      </c>
      <c r="M38" s="46" t="inlineStr">
        <is>
          <t>Product</t>
        </is>
      </c>
      <c r="N38" s="45" t="inlineStr">
        <is>
          <t>ข้อ 5 (PLE_CC1_2562_Key.md)</t>
        </is>
      </c>
      <c r="O38" s="46" t="inlineStr">
        <is>
          <t>ข้อสอบจริง</t>
        </is>
      </c>
      <c r="P38" s="46" t="inlineStr">
        <is>
          <t>ปี 2562</t>
        </is>
      </c>
    </row>
    <row r="39" ht="13.2" customHeight="1" s="37">
      <c r="A39" s="46" t="n">
        <v>37</v>
      </c>
      <c r="B39" s="45" t="inlineStr">
        <is>
          <t>ข้อใดคือลักษณะยาที่ซึมผ่านผิวหนังได้ดี - TEAziph einlei carbopol Wi - Coins( X- log p 7-3 winditwere Dandeisin : didd . n . Ninetee referee nien medici</t>
        </is>
      </c>
      <c r="C39" s="46" t="n"/>
      <c r="D39" s="45" t="inlineStr">
        <is>
          <t>Mw&gt; 500 dalton</t>
        </is>
      </c>
      <c r="E39" s="45" t="inlineStr">
        <is>
          <t>Log P &gt; 10</t>
        </is>
      </c>
      <c r="F39" s="45" t="inlineStr">
        <is>
          <t>อยู่ในรูป unionized เมื่ออยู่ที่ผิวหนัง</t>
        </is>
      </c>
      <c r="G39" s="45" t="inlineStr">
        <is>
          <t>ควรให้ค่า F &lt;1</t>
        </is>
      </c>
      <c r="H39" s="45" t="inlineStr">
        <is>
          <t>เป็น crystalline</t>
        </is>
      </c>
      <c r="I39" s="46" t="n">
        <v>1</v>
      </c>
      <c r="J39" s="45" t="inlineStr">
        <is>
          <t>✅ คำตอบที่ถูกต้อง: ข้อ ก. Mw&gt; 500 dalton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Mw&gt; 500 dalton 💡 คำอธิบายและเหตุผลทางเภสัชกรรม:
💡 คำอธิบายและเหตุผลทางเภสัชกรรม:
การเลือก Mw&gt; 500 dalton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(Log P &gt; 10): ข้อนี้ไม่ใช่คำตอบที่ถูกต้องสำหรับภาวะ Gels เนื่องจากกลไกการออกฤทธิ์, efficacy หรือข้อบ่งใช้ไม่ตรงกับโจทย์ที่กำหนด
• ข้อ ค. (อยู่ในรูป unionized เมื่ออยู่ที่ผิวหนัง): ข้อนี้ไม่ใช่คำตอบที่ถูกต้องสำหรับภาวะ Gels เนื่องจากกลไกการออกฤทธิ์, efficacy หรือข้อบ่งใช้ไม่ตรงกับโจทย์ที่กำหนด
• ข้อ ง. (ควรให้ค่า F &lt;1): ข้อนี้ไม่ใช่คำตอบที่ถูกต้องสำหรับภาวะ Gels เนื่องจากกลไกการออกฤทธิ์, efficacy หรือข้อบ่งใช้ไม่ตรงกับโจทย์ที่กำหนด
• ข้อ จ. (เป็น crystalline):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46" t="n"/>
      <c r="L39" s="45" t="inlineStr">
        <is>
          <t>Gels</t>
        </is>
      </c>
      <c r="M39" s="46" t="inlineStr">
        <is>
          <t>Product</t>
        </is>
      </c>
      <c r="N39" s="45" t="inlineStr">
        <is>
          <t>ข้อ 7 (PLE_CC1_2562_Key.md)</t>
        </is>
      </c>
      <c r="O39" s="46" t="inlineStr">
        <is>
          <t>ข้อสอบจริง</t>
        </is>
      </c>
      <c r="P39" s="46" t="inlineStr">
        <is>
          <t>ปี 2562</t>
        </is>
      </c>
    </row>
    <row r="40" ht="13.2" customHeight="1" s="37">
      <c r="A40" s="46" t="n">
        <v>38</v>
      </c>
      <c r="B40" s="45" t="inlineStr">
        <is>
          <t>ตำรับ metronidazole gel ประกอบด้วย gelling agent, methyl paraben, propyl paraben, propylene glycol, X astw alc . - PEG ~ ethanol, purified water หน้าที่สาร propylene glycol คือ</t>
        </is>
      </c>
      <c r="C40" s="46" t="n"/>
      <c r="D40" s="45" t="inlineStr">
        <is>
          <t>ปรับ pH</t>
        </is>
      </c>
      <c r="E40" s="45" t="inlineStr">
        <is>
          <t>ป้องกันการเสียน้ำในตำรับ</t>
        </is>
      </c>
      <c r="F40" s="45" t="inlineStr">
        <is>
          <t>ทำให้ผิวหนังมันและชุ่มชื้น</t>
        </is>
      </c>
      <c r="G40" s="45" t="inlineStr">
        <is>
          <t>ป้องกันการออกซิเดชันตัวยา</t>
        </is>
      </c>
      <c r="H40" s="45" t="inlineStr">
        <is>
          <t>เป็นสารกันเสีย ป้องกันการก่อเชื้อ</t>
        </is>
      </c>
      <c r="I40" s="46" t="n">
        <v>1</v>
      </c>
      <c r="J40" s="45" t="inlineStr">
        <is>
          <t>✅ คำตอบที่ถูกต้อง: ข้อ ก. ปรับ pH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ปรับ pH 💡 คำอธิบายและเหตุผลทางเภสัชกรรม:
💡 คำอธิบายและเหตุผลทางเภสัชกรรม:
การเลือก ปรับ pH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(ป้องกันการเสียน้ำในตำรับ): ข้อนี้ไม่ใช่คำตอบที่ถูกต้องสำหรับภาวะ Gels เนื่องจากกลไกการออกฤทธิ์, efficacy หรือข้อบ่งใช้ไม่ตรงกับโจทย์ที่กำหนด
• ข้อ ค. (ทำให้ผิวหนังมันและชุ่มชื้น): ข้อนี้ไม่ใช่คำตอบที่ถูกต้องสำหรับภาวะ Gels เนื่องจากกลไกการออกฤทธิ์, efficacy หรือข้อบ่งใช้ไม่ตรงกับโจทย์ที่กำหนด
• ข้อ ง. (ป้องกันการออกซิเดชันตัวยา): ข้อนี้ไม่ใช่คำตอบที่ถูกต้องสำหรับภาวะ Gels เนื่องจากกลไกการออกฤทธิ์, efficacy หรือข้อบ่งใช้ไม่ตรงกับโจทย์ที่กำหนด
• ข้อ จ. (เป็นสารกันเสีย ป้องกันการก่อเชื้อ):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46" t="n"/>
      <c r="L40" s="45" t="inlineStr">
        <is>
          <t>Gels</t>
        </is>
      </c>
      <c r="M40" s="46" t="inlineStr">
        <is>
          <t>Product</t>
        </is>
      </c>
      <c r="N40" s="45" t="inlineStr">
        <is>
          <t>ข้อ 101 (PLE_CC1_2562_Key.md)</t>
        </is>
      </c>
      <c r="O40" s="46" t="inlineStr">
        <is>
          <t>ข้อสอบจริง</t>
        </is>
      </c>
      <c r="P40" s="46" t="inlineStr">
        <is>
          <t>ปี 2562</t>
        </is>
      </c>
    </row>
    <row r="41" ht="13.2" customHeight="1" s="37">
      <c r="A41" s="46" t="n">
        <v>39</v>
      </c>
      <c r="B41" s="45" t="inlineStr">
        <is>
          <t>สารใดไม!ใชเปEน stiffening agent ของสูตรตำรับยาครีม</t>
        </is>
      </c>
      <c r="C41" s="46" t="n"/>
      <c r="D41" s="45" t="inlineStr">
        <is>
          <t>Beeswax</t>
        </is>
      </c>
      <c r="E41" s="45" t="inlineStr">
        <is>
          <t>PEG-4000</t>
        </is>
      </c>
      <c r="F41" s="45" t="inlineStr">
        <is>
          <t>Paraffin wax</t>
        </is>
      </c>
      <c r="G41" s="45" t="inlineStr">
        <is>
          <t>Isopropyl myristate</t>
        </is>
      </c>
      <c r="H41" s="45" t="inlineStr">
        <is>
          <t>Cytostearyl alcohol Awaiting</t>
        </is>
      </c>
      <c r="I41" s="46" t="n">
        <v>1</v>
      </c>
      <c r="J41" s="45" t="inlineStr">
        <is>
          <t>✅ คำตอบที่ถูกต้อง: ข้อ ก. Beeswax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Beeswax 💡 คำอธิบายและเหตุผลทางเภสัชกรรม:
💡 คำอธิบายและเหตุผลทางเภสัชกรรม:
การเลือก Beeswax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(PEG-4000): ข้อนี้ไม่ใช่คำตอบที่ถูกต้องสำหรับภาวะ Creams &amp; Ointments เนื่องจากกลไกการออกฤทธิ์, efficacy หรือข้อบ่งใช้ไม่ตรงกับโจทย์ที่กำหนด
• ข้อ ค. (Paraffin wax): ข้อนี้ไม่ใช่คำตอบที่ถูกต้องสำหรับภาวะ Creams &amp; Ointments เนื่องจากกลไกการออกฤทธิ์, efficacy หรือข้อบ่งใช้ไม่ตรงกับโจทย์ที่กำหนด
• ข้อ ง. (Isopropyl myristate): ข้อนี้ไม่ใช่คำตอบที่ถูกต้องสำหรับภาวะ Creams &amp; Ointments เนื่องจากกลไกการออกฤทธิ์, efficacy หรือข้อบ่งใช้ไม่ตรงกับโจทย์ที่กำหนด
• ข้อ จ. (Cytostearyl alcohol Awaiting):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46" t="n"/>
      <c r="L41" s="45" t="inlineStr">
        <is>
          <t>Creams &amp; Ointments</t>
        </is>
      </c>
      <c r="M41" s="46" t="inlineStr">
        <is>
          <t>Product</t>
        </is>
      </c>
      <c r="N41" s="45" t="inlineStr">
        <is>
          <t>ข้อ 29 (PLE_CC1_2561_Key.md)</t>
        </is>
      </c>
      <c r="O41" s="46" t="inlineStr">
        <is>
          <t>ข้อสอบจริง</t>
        </is>
      </c>
      <c r="P41" s="46" t="inlineStr">
        <is>
          <t>ปี 2561</t>
        </is>
      </c>
    </row>
    <row r="42" ht="13.2" customHeight="1" s="37">
      <c r="A42" s="46" t="n">
        <v>40</v>
      </c>
      <c r="B42" s="45" t="inlineStr">
        <is>
          <t>จากใบ COA benzoyl peroxide gel นอกจากหัวข้อ identification, pH, assay, microbial limit test ควรทดสอบ หัวข้ออะไรเพิ่มเติม</t>
        </is>
      </c>
      <c r="C42" s="46" t="n"/>
      <c r="D42" s="45" t="inlineStr">
        <is>
          <t>Simple Syrup USP (85% w/v Sucrose)</t>
        </is>
      </c>
      <c r="E42" s="45" t="inlineStr">
        <is>
          <t>Elixir with 10-20% Alcohol cosolvent</t>
        </is>
      </c>
      <c r="F42" s="45" t="inlineStr">
        <is>
          <t>Flocculated Oral Suspension with Xanthan Gum</t>
        </is>
      </c>
      <c r="G42" s="45" t="inlineStr">
        <is>
          <t>Deflocculated Suspension formulation</t>
        </is>
      </c>
      <c r="H42" s="45" t="inlineStr">
        <is>
          <t>O/W Emulsion stabilized by Polysorbate 80 / Span 80</t>
        </is>
      </c>
      <c r="I42" s="46" t="n">
        <v>1</v>
      </c>
      <c r="J42" s="45" t="inlineStr">
        <is>
          <t>✅ คำตอบที่ถูกต้อง: ข้อ ก. Simple Syrup USP (85% w/v Sucrose)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Gels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46" t="n"/>
      <c r="L42" s="45" t="inlineStr">
        <is>
          <t>Gels</t>
        </is>
      </c>
      <c r="M42" s="46" t="inlineStr">
        <is>
          <t>Product</t>
        </is>
      </c>
      <c r="N42" s="45" t="inlineStr">
        <is>
          <t>ข้อ 91 (PLE_CC1_2561_Key.md)</t>
        </is>
      </c>
      <c r="O42" s="46" t="inlineStr">
        <is>
          <t>ข้อสอบจริง</t>
        </is>
      </c>
      <c r="P42" s="46" t="inlineStr">
        <is>
          <t>ปี 2561</t>
        </is>
      </c>
    </row>
    <row r="43" ht="13.2" customHeight="1" s="37">
      <c r="A43" s="46" t="n">
        <v>41</v>
      </c>
      <c r="B43" s="45" t="inlineStr">
        <is>
          <t>เภสัชกรได(เตรียมตำรับยาน้ำที่มีส.วนประกอบดังนี้ amlodipine maleate, polysorbate 80 และ vehicle qs to 60 ml ยามีการ สลายตัวแบบใด t</t>
        </is>
      </c>
      <c r="C43" s="46" t="n"/>
      <c r="D43" s="45" t="inlineStr">
        <is>
          <t>Zero order</t>
        </is>
      </c>
      <c r="E43" s="45" t="inlineStr">
        <is>
          <t>First order</t>
        </is>
      </c>
      <c r="F43" s="45" t="inlineStr">
        <is>
          <t>Second order</t>
        </is>
      </c>
      <c r="G43" s="45" t="inlineStr">
        <is>
          <t>Pseudo first order</t>
        </is>
      </c>
      <c r="H43" s="45" t="inlineStr">
        <is>
          <t>Mix type zero + second order</t>
        </is>
      </c>
      <c r="I43" s="46" t="n">
        <v>1</v>
      </c>
      <c r="J43" s="45" t="inlineStr">
        <is>
          <t>✅ คำตอบที่ถูกต้อง: ข้อ ก. Zero order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Zero order 💡 คำอธิบายและเหตุผลทางเภสัชกรรม:
💡 คำอธิบายและเหตุผลทางเภสัชกรรม:
การเลือก Zero order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(First order): ข้อนี้ไม่ใช่คำตอบที่ถูกต้องสำหรับภาวะ Solutions, Syrups &amp; Elixirs เนื่องจากกลไกการออกฤทธิ์, efficacy หรือข้อบ่งใช้ไม่ตรงกับโจทย์ที่กำหนด
• ข้อ ค. (Second order): ข้อนี้ไม่ใช่คำตอบที่ถูกต้องสำหรับภาวะ Solutions, Syrups &amp; Elixirs เนื่องจากกลไกการออกฤทธิ์, efficacy หรือข้อบ่งใช้ไม่ตรงกับโจทย์ที่กำหนด
• ข้อ ง. (Pseudo first order): ข้อนี้ไม่ใช่คำตอบที่ถูกต้องสำหรับภาวะ Solutions, Syrups &amp; Elixirs เนื่องจากกลไกการออกฤทธิ์, efficacy หรือข้อบ่งใช้ไม่ตรงกับโจทย์ที่กำหนด
• ข้อ จ. (Mix type zero + second order):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46" t="n"/>
      <c r="L43" s="45" t="inlineStr">
        <is>
          <t>Solutions, Syrups &amp; Elixirs</t>
        </is>
      </c>
      <c r="M43" s="46" t="inlineStr">
        <is>
          <t>Product</t>
        </is>
      </c>
      <c r="N43" s="45" t="inlineStr">
        <is>
          <t>ข้อ 100 (PLE_CC1_2561_Key.md)</t>
        </is>
      </c>
      <c r="O43" s="46" t="inlineStr">
        <is>
          <t>ข้อสอบจริง</t>
        </is>
      </c>
      <c r="P43" s="46" t="inlineStr">
        <is>
          <t>ปี 2561</t>
        </is>
      </c>
    </row>
    <row r="44" ht="13.2" customHeight="1" s="37">
      <c r="A44" s="46" t="n">
        <v>42</v>
      </c>
      <c r="B44" s="45" t="inlineStr">
        <is>
          <t>ยาน้ำลดกรดจัดเป5นยาประเภทใด mmmm</t>
        </is>
      </c>
      <c r="C44" s="46" t="n"/>
      <c r="D44" s="45" t="inlineStr">
        <is>
          <t>ยาชุด</t>
        </is>
      </c>
      <c r="E44" s="45" t="inlineStr">
        <is>
          <t>ยาปลอม</t>
        </is>
      </c>
      <c r="F44" s="45" t="inlineStr">
        <is>
          <t>ยาหมดอายุ</t>
        </is>
      </c>
      <c r="G44" s="45" t="inlineStr">
        <is>
          <t>ยาผิดมาตรฐาน</t>
        </is>
      </c>
      <c r="H44" s="45" t="inlineStr">
        <is>
          <t>ยาเสื่อมคุณภาพ</t>
        </is>
      </c>
      <c r="I44" s="46" t="n">
        <v>1</v>
      </c>
      <c r="J44" s="45" t="inlineStr">
        <is>
          <t>✅ คำตอบที่ถูกต้อง: ข้อ ก. ยาชุด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ยาชุด 💡 คำอธิบายและเหตุผลทางเภสัชกรรม:
💡 คำอธิบายและเหตุผลทางเภสัชกรรม:
การเลือก ยาชุด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(ยาปลอม): ข้อนี้ไม่ใช่คำตอบที่ถูกต้องสำหรับภาวะ Solutions, Syrups &amp; Elixirs เนื่องจากกลไกการออกฤทธิ์, efficacy หรือข้อบ่งใช้ไม่ตรงกับโจทย์ที่กำหนด
• ข้อ ค. (ยาหมดอายุ): ข้อนี้ไม่ใช่คำตอบที่ถูกต้องสำหรับภาวะ Solutions, Syrups &amp; Elixirs เนื่องจากกลไกการออกฤทธิ์, efficacy หรือข้อบ่งใช้ไม่ตรงกับโจทย์ที่กำหนด
• ข้อ ง. (ยาผิดมาตรฐาน): ข้อนี้ไม่ใช่คำตอบที่ถูกต้องสำหรับภาวะ Solutions, Syrups &amp; Elixirs เนื่องจากกลไกการออกฤทธิ์, efficacy หรือข้อบ่งใช้ไม่ตรงกับโจทย์ที่กำหนด
• ข้อ จ. (ยาเสื่อมคุณภาพ):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46" t="n"/>
      <c r="L44" s="45" t="inlineStr">
        <is>
          <t>Solutions, Syrups &amp; Elixirs</t>
        </is>
      </c>
      <c r="M44" s="46" t="inlineStr">
        <is>
          <t>Product</t>
        </is>
      </c>
      <c r="N44" s="45" t="inlineStr">
        <is>
          <t>ข้อ 109 (PLE_CC1_2561_Key.md)</t>
        </is>
      </c>
      <c r="O44" s="46" t="inlineStr">
        <is>
          <t>ข้อสอบจริง</t>
        </is>
      </c>
      <c r="P44" s="46" t="inlineStr">
        <is>
          <t>ปี 2561</t>
        </is>
      </c>
    </row>
    <row r="45" ht="13.2" customHeight="1" s="37">
      <c r="A45" s="46" t="n">
        <v>43</v>
      </c>
      <c r="B45" s="45" t="inlineStr">
        <is>
          <t>จากบัญชียาหลักแห่งชาติ ยาสมุนไพรใดสามารถใช้แทน clotrimazole cream ได้</t>
        </is>
      </c>
      <c r="C45" s="46" t="n"/>
      <c r="D45" s="45" t="inlineStr">
        <is>
          <t>ยาครีมบัวบก</t>
        </is>
      </c>
      <c r="E45" s="45" t="inlineStr">
        <is>
          <t>ยาทิงเจอร์ทองพันชั่ง</t>
        </is>
      </c>
      <c r="F45" s="45" t="inlineStr">
        <is>
          <t>ยาโลชั่นไพล</t>
        </is>
      </c>
      <c r="G45" s="45" t="inlineStr">
        <is>
          <t>ยาเปลือกมังคุด</t>
        </is>
      </c>
      <c r="H45" s="45" t="inlineStr">
        <is>
          <t>ยาขี ผึ งเสลดพังพอน</t>
        </is>
      </c>
      <c r="I45" s="46" t="n">
        <v>1</v>
      </c>
      <c r="J45" s="45" t="inlineStr">
        <is>
          <t>✅ คำตอบที่ถูกต้อง: ข้อ ก. ยาครีมบัวบก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ยาครีมบัวบก 💡 คำอธิบายและเหตุผลทางเภสัชกรรม:
💡 คำอธิบายและเหตุผลทางเภสัชกรรม:
การเลือก ยาครีมบัวบก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(ยาทิงเจอร์ทองพันชั่ง): ข้อนี้ไม่ใช่คำตอบที่ถูกต้องสำหรับภาวะ Creams &amp; Ointments เนื่องจากกลไกการออกฤทธิ์, efficacy หรือข้อบ่งใช้ไม่ตรงกับโจทย์ที่กำหนด
• ข้อ ค. (ยาโลชั่นไพล): ข้อนี้ไม่ใช่คำตอบที่ถูกต้องสำหรับภาวะ Creams &amp; Ointments เนื่องจากกลไกการออกฤทธิ์, efficacy หรือข้อบ่งใช้ไม่ตรงกับโจทย์ที่กำหนด
• ข้อ ง. (ยาเปลือกมังคุด): ข้อนี้ไม่ใช่คำตอบที่ถูกต้องสำหรับภาวะ Creams &amp; Ointments เนื่องจากกลไกการออกฤทธิ์, efficacy หรือข้อบ่งใช้ไม่ตรงกับโจทย์ที่กำหนด
• ข้อ จ. (ยาขี ผึ งเสลดพังพอน):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46" t="n"/>
      <c r="L45" s="45" t="inlineStr">
        <is>
          <t>Creams &amp; Ointments</t>
        </is>
      </c>
      <c r="M45" s="46" t="inlineStr">
        <is>
          <t>Product</t>
        </is>
      </c>
      <c r="N45" s="45" t="inlineStr">
        <is>
          <t>ข้อ 8 (PLE_CC1_2560 22 April Set 1.md)</t>
        </is>
      </c>
      <c r="O45" s="46" t="inlineStr">
        <is>
          <t>ข้อสอบจริง</t>
        </is>
      </c>
      <c r="P45" s="46" t="inlineStr">
        <is>
          <t>ปี 2560</t>
        </is>
      </c>
    </row>
    <row r="46" ht="13.2" customHeight="1" s="37">
      <c r="A46" s="46" t="n">
        <v>44</v>
      </c>
      <c r="B46" s="45" t="inlineStr">
        <is>
          <t>ใช้สารใดเพิ่มความหนืดของต้ารับครีม</t>
        </is>
      </c>
      <c r="C46" s="46" t="n"/>
      <c r="D46" s="45" t="inlineStr">
        <is>
          <t>Lanolin</t>
        </is>
      </c>
      <c r="E46" s="45" t="inlineStr">
        <is>
          <t>Cetyl alcohol</t>
        </is>
      </c>
      <c r="F46" s="45" t="inlineStr">
        <is>
          <t>Glycerine</t>
        </is>
      </c>
      <c r="G46" s="45" t="inlineStr">
        <is>
          <t>PEG 6000</t>
        </is>
      </c>
      <c r="H46" s="45" t="inlineStr">
        <is>
          <t>isopropyl mysterate</t>
        </is>
      </c>
      <c r="I46" s="46" t="n">
        <v>1</v>
      </c>
      <c r="J46" s="45" t="inlineStr">
        <is>
          <t>✅ คำตอบที่ถูกต้อง: ข้อ ก. Lanolin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Lanolin 💡 คำอธิบายและเหตุผลทางเภสัชกรรม:
💡 คำอธิบายและเหตุผลทางเภสัชกรรม:
การเลือก Lanolin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(Cetyl alcohol): ข้อนี้ไม่ใช่คำตอบที่ถูกต้องสำหรับภาวะ Creams &amp; Ointments เนื่องจากกลไกการออกฤทธิ์, efficacy หรือข้อบ่งใช้ไม่ตรงกับโจทย์ที่กำหนด
• ข้อ ค. (Glycerine): ข้อนี้ไม่ใช่คำตอบที่ถูกต้องสำหรับภาวะ Creams &amp; Ointments เนื่องจากกลไกการออกฤทธิ์, efficacy หรือข้อบ่งใช้ไม่ตรงกับโจทย์ที่กำหนด
• ข้อ ง. (PEG 6000): ข้อนี้ไม่ใช่คำตอบที่ถูกต้องสำหรับภาวะ Creams &amp; Ointments เนื่องจากกลไกการออกฤทธิ์, efficacy หรือข้อบ่งใช้ไม่ตรงกับโจทย์ที่กำหนด
• ข้อ จ. (isopropyl mysterate):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46" t="n"/>
      <c r="L46" s="45" t="inlineStr">
        <is>
          <t>Creams &amp; Ointments</t>
        </is>
      </c>
      <c r="M46" s="46" t="inlineStr">
        <is>
          <t>Product</t>
        </is>
      </c>
      <c r="N46" s="45" t="inlineStr">
        <is>
          <t>ข้อ 6 (PLE_CC1_2560 22 April Set 1.md)</t>
        </is>
      </c>
      <c r="O46" s="46" t="inlineStr">
        <is>
          <t>ข้อสอบจริง</t>
        </is>
      </c>
      <c r="P46" s="46" t="inlineStr">
        <is>
          <t>ปี 2560</t>
        </is>
      </c>
    </row>
    <row r="47" ht="13.2" customHeight="1" s="37">
      <c r="A47" s="46" t="n">
        <v>45</v>
      </c>
      <c r="B47" s="45" t="inlineStr">
        <is>
          <t>ยาทา Piroxicam cream จะต้องท้า Specific test ใด</t>
        </is>
      </c>
      <c r="C47" s="46" t="n"/>
      <c r="D47" s="45" t="inlineStr">
        <is>
          <t>Microbial limit test</t>
        </is>
      </c>
      <c r="E47" s="45" t="inlineStr">
        <is>
          <t>Impurity</t>
        </is>
      </c>
      <c r="F47" s="45" t="inlineStr">
        <is>
          <t>Identification</t>
        </is>
      </c>
      <c r="G47" s="45" t="inlineStr">
        <is>
          <t>Assay</t>
        </is>
      </c>
      <c r="H47" s="45" t="inlineStr">
        <is>
          <t>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t>
        </is>
      </c>
      <c r="I47" s="46" t="n">
        <v>1</v>
      </c>
      <c r="J47" s="45" t="inlineStr">
        <is>
          <t>✅ คำตอบที่ถูกต้อง: ข้อ ก. Microbial limit test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Microbial limit test 💡 คำอธิบายและเหตุผลทางเภสัชกรรม:
💡 คำอธิบายและเหตุผลทางเภสัชกรรม:
ได้แก่ 1) aspirin 300 mg #30, 2) amlodipine # 30, 3) gemfibrozil 300 mg #30, 4) tramadol #30 ในขณะนั น เป็นเวลาปฏิบัติงานของ ภญ.กานดา แต่เธอไม่อยู่ ไปธุระด่วน โดยไม่ได้ปิดล็อคหรือปิดบังตู้ยาอันตราย นส.ขนิษฐา
USP/NF, British Pharmacopoeia (BP) และ Remington: The Science and Practice of Pharmacy (หัวข้อ Creams &amp; Ointments)
🔍 ข้ออื่นผิดเพราะอะไร:
• ข้อ ข. (Impurity): ข้อนี้ไม่ใช่คำตอบที่ถูกต้องสำหรับภาวะ Creams &amp; Ointments เนื่องจากกลไกการออกฤทธิ์, efficacy หรือข้อบ่งใช้ไม่ตรงกับโจทย์ที่กำหนด
• ข้อ ค. (Identification): ข้อนี้ไม่ใช่คำตอบที่ถูกต้องสำหรับภาวะ Creams &amp; Ointments เนื่องจากกลไกการออกฤทธิ์, efficacy หรือข้อบ่งใช้ไม่ตรงกับโจทย์ที่กำหนด
• ข้อ ง. (Assay): ข้อนี้ไม่ใช่คำตอบที่ถูกต้องสำหรับภาวะ Creams &amp; Ointments เนื่องจากกลไกการออกฤทธิ์, efficacy หรือข้อบ่งใช้ไม่ตรงกับโจทย์ที่กำหนด
• ข้อ จ.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46" t="n"/>
      <c r="L47" s="45" t="inlineStr">
        <is>
          <t>Creams &amp; Ointments</t>
        </is>
      </c>
      <c r="M47" s="46" t="inlineStr">
        <is>
          <t>Product</t>
        </is>
      </c>
      <c r="N47" s="45" t="inlineStr">
        <is>
          <t>ข้อ 9 (PLE_CC1_2560 22 April Set 1.md)</t>
        </is>
      </c>
      <c r="O47" s="46" t="inlineStr">
        <is>
          <t>ข้อสอบจริง</t>
        </is>
      </c>
      <c r="P47" s="46" t="inlineStr">
        <is>
          <t>ปี 2560</t>
        </is>
      </c>
    </row>
    <row r="48" ht="13.2" customHeight="1" s="37">
      <c r="A48" s="46" t="n">
        <v>46</v>
      </c>
      <c r="B48" s="45" t="inlineStr">
        <is>
          <t>คิดไม่ออก เรื่องที่ 2. Tinea versicolor ผู้ป่วยมีอาการผิวหนังเป็นปื้นสีขาว ที่แก้มซ้าย ได้รับการวินิจฉัยว่าเป็นเกลื้อน ได้รับยา Clotrimazole cream</t>
        </is>
      </c>
      <c r="C48" s="46" t="n"/>
      <c r="D48" s="45" t="inlineStr">
        <is>
          <t>Absorption Ointment base (Lanolin USP)</t>
        </is>
      </c>
      <c r="E48" s="45" t="inlineStr">
        <is>
          <t>Fatty Suppository base (Hard Fat / Witepsol)</t>
        </is>
      </c>
      <c r="F48" s="45" t="inlineStr">
        <is>
          <t>Simple Syrup USP (85% w/v Sucrose)</t>
        </is>
      </c>
      <c r="G48" s="45" t="inlineStr">
        <is>
          <t>Elixir with 10-20% Alcohol cosolvent</t>
        </is>
      </c>
      <c r="H48" s="45" t="inlineStr">
        <is>
          <t>Flocculated Oral Suspension with Xanthan Gum</t>
        </is>
      </c>
      <c r="I48" s="46" t="n">
        <v>1</v>
      </c>
      <c r="J4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ค.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46" t="n"/>
      <c r="L48" s="45" t="inlineStr">
        <is>
          <t>Creams &amp; Ointments</t>
        </is>
      </c>
      <c r="M48" s="46" t="inlineStr">
        <is>
          <t>Product</t>
        </is>
      </c>
      <c r="N48" s="45" t="inlineStr">
        <is>
          <t>ข้อ 9 (PLE_CC1_2560 22 April Set 2.md)</t>
        </is>
      </c>
      <c r="O48" s="46" t="inlineStr">
        <is>
          <t>ข้อสอบจริง</t>
        </is>
      </c>
      <c r="P48" s="46" t="inlineStr">
        <is>
          <t>ปี 2560</t>
        </is>
      </c>
    </row>
    <row r="49" ht="13.2" customHeight="1" s="37">
      <c r="A49" s="46" t="n">
        <v>47</v>
      </c>
      <c r="B49" s="45" t="inlineStr">
        <is>
          <t>รพ. ต้องการเตรียม betamethasone valerate cream โดยรพ.มี betamethasone valerate 1%w/w ถ้าจะ เตรียม 100 g ต้องใช้ betamethasone เท่าไร (ก้าหนดให้ MW ของ betamethasone valerate = 476 g/mol และ betamethasone = 392 g/mol)</t>
        </is>
      </c>
      <c r="C49" s="46" t="n"/>
      <c r="D49" s="45" t="inlineStr">
        <is>
          <t>0.82 g</t>
        </is>
      </c>
      <c r="E49" s="45" t="inlineStr">
        <is>
          <t>1.00 g</t>
        </is>
      </c>
      <c r="F49" s="45" t="inlineStr">
        <is>
          <t>1.21 g</t>
        </is>
      </c>
      <c r="G49" s="45" t="inlineStr">
        <is>
          <t>4.76 g</t>
        </is>
      </c>
      <c r="H49" s="45" t="inlineStr">
        <is>
          <t>3.92 g ห้ามนำไปทำซ้ำทุกกรณี เว้นแต่จะได้รับอนุญาต</t>
        </is>
      </c>
      <c r="I49" s="46" t="n">
        <v>1</v>
      </c>
      <c r="J49" s="45" t="inlineStr">
        <is>
          <t>✅ คำตอบที่ถูกต้อง: ข้อ ก. 0.82 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0.82 g 💡 คำอธิบายและเหตุผลทางเภสัชกรรม:
💡 คำอธิบายและเหตุผลทางเภสัชกรรม:
การเลือก 0.82 g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(1.00 g): ข้อนี้ไม่ใช่คำตอบที่ถูกต้องสำหรับภาวะ Creams &amp; Ointments เนื่องจากกลไกการออกฤทธิ์, efficacy หรือข้อบ่งใช้ไม่ตรงกับโจทย์ที่กำหนด
• ข้อ ค. (1.21 g): ข้อนี้ไม่ใช่คำตอบที่ถูกต้องสำหรับภาวะ Creams &amp; Ointments เนื่องจากกลไกการออกฤทธิ์, efficacy หรือข้อบ่งใช้ไม่ตรงกับโจทย์ที่กำหนด
• ข้อ ง. (4.76 g): ข้อนี้ไม่ใช่คำตอบที่ถูกต้องสำหรับภาวะ Creams &amp; Ointments เนื่องจากกลไกการออกฤทธิ์, efficacy หรือข้อบ่งใช้ไม่ตรงกับโจทย์ที่กำหนด
• ข้อ จ. (3.92 g ห้ามนำไปทำซ้ำทุกกรณี เว้นแต่จะได้รับอนุญาต):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46" t="n"/>
      <c r="L49" s="45" t="inlineStr">
        <is>
          <t>Creams &amp; Ointments</t>
        </is>
      </c>
      <c r="M49" s="46" t="inlineStr">
        <is>
          <t>Product</t>
        </is>
      </c>
      <c r="N49" s="45" t="inlineStr">
        <is>
          <t>ข้อ 67 (PLE_CC1_2559.md)</t>
        </is>
      </c>
      <c r="O49" s="46" t="inlineStr">
        <is>
          <t>ข้อสอบจริง</t>
        </is>
      </c>
      <c r="P49" s="46" t="inlineStr">
        <is>
          <t>ปี 2559</t>
        </is>
      </c>
    </row>
    <row r="50" ht="13.2" customHeight="1" s="37">
      <c r="A50" s="46" t="n">
        <v>48</v>
      </c>
      <c r="B50" s="45" t="inlineStr">
        <is>
          <t>จาก USP 39 กำหนดให้ Prednisolone cream ห้ามมีเชื้อใดในตำรับ</t>
        </is>
      </c>
      <c r="C50" s="46" t="n"/>
      <c r="D50" s="45" t="inlineStr">
        <is>
          <t>Escherichia coli</t>
        </is>
      </c>
      <c r="E50" s="45" t="inlineStr">
        <is>
          <t>Staphylococcus aureus</t>
        </is>
      </c>
      <c r="F50" s="45" t="inlineStr">
        <is>
          <t>Candida albicans</t>
        </is>
      </c>
      <c r="G50" s="45" t="inlineStr">
        <is>
          <t>Pseudomonas aeruginosa</t>
        </is>
      </c>
      <c r="H50" s="45" t="inlineStr">
        <is>
          <t>S. aureus และ P. aeruginosa</t>
        </is>
      </c>
      <c r="I50" s="46" t="n">
        <v>1</v>
      </c>
      <c r="J50" s="45" t="inlineStr">
        <is>
          <t>✅ คำตอบที่ถูกต้อง: ข้อ ก. Escherichia coli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Escherichia coli 💡 คำอธิบายและเหตุผลทางเภสัชกรรม:
💡 คำอธิบายและเหตุผลทางเภสัชกรรม:
การเลือก Escherichia coli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(Staphylococcus aureus): ข้อนี้ไม่ใช่คำตอบที่ถูกต้องสำหรับภาวะ Creams &amp; Ointments เนื่องจากกลไกการออกฤทธิ์, efficacy หรือข้อบ่งใช้ไม่ตรงกับโจทย์ที่กำหนด
• ข้อ ค. (Candida albicans): ข้อนี้ไม่ใช่คำตอบที่ถูกต้องสำหรับภาวะ Creams &amp; Ointments เนื่องจากกลไกการออกฤทธิ์, efficacy หรือข้อบ่งใช้ไม่ตรงกับโจทย์ที่กำหนด
• ข้อ ง. (Pseudomonas aeruginosa): ข้อนี้ไม่ใช่คำตอบที่ถูกต้องสำหรับภาวะ Creams &amp; Ointments เนื่องจากกลไกการออกฤทธิ์, efficacy หรือข้อบ่งใช้ไม่ตรงกับโจทย์ที่กำหนด
• ข้อ จ. (S. aureus และ P. aeruginosa):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46" t="n"/>
      <c r="L50" s="45" t="inlineStr">
        <is>
          <t>Creams &amp; Ointments</t>
        </is>
      </c>
      <c r="M50" s="46" t="inlineStr">
        <is>
          <t>Product</t>
        </is>
      </c>
      <c r="N50" s="45" t="inlineStr">
        <is>
          <t>ข้อ 19 (Pharmtutor_2024_Set1.md)</t>
        </is>
      </c>
      <c r="O50" s="46" t="inlineStr">
        <is>
          <t>Mock</t>
        </is>
      </c>
      <c r="P50" s="46" t="inlineStr">
        <is>
          <t>Mock Pharmtutor 2024</t>
        </is>
      </c>
    </row>
    <row r="51" ht="13.2" customHeight="1" s="37">
      <c r="A51" s="46" t="n">
        <v>49</v>
      </c>
      <c r="B51" s="45" t="inlineStr">
        <is>
          <t>จากข้อมูลข้างต้น หากต้องการเตรียมยาน้ำเพื่อจ่ายให้ผู้ป่วยสำหรับเด็กรับประทาน ควรทำใน dosage form ใด</t>
        </is>
      </c>
      <c r="C51" s="46" t="n"/>
      <c r="D51" s="45" t="inlineStr">
        <is>
          <t>Solutions</t>
        </is>
      </c>
      <c r="E51" s="45" t="inlineStr">
        <is>
          <t>Syrups</t>
        </is>
      </c>
      <c r="F51" s="45" t="inlineStr">
        <is>
          <t>Emulsions</t>
        </is>
      </c>
      <c r="G51" s="45" t="inlineStr">
        <is>
          <t>Suspensions</t>
        </is>
      </c>
      <c r="H51" s="45" t="inlineStr">
        <is>
          <t>Elixir</t>
        </is>
      </c>
      <c r="I51" s="46" t="n">
        <v>1</v>
      </c>
      <c r="J51" s="45" t="inlineStr">
        <is>
          <t>✅ คำตอบที่ถูกต้อง: ข้อ ก. Solutions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Solutions 💡 คำอธิบายและเหตุผลทางเภสัชกรรม:
💡 คำอธิบายและเหตุผลทางเภสัชกรรม:
การเลือก Solutions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(Syrups): ข้อนี้ไม่ใช่คำตอบที่ถูกต้องสำหรับภาวะ Solutions, Syrups &amp; Elixirs เนื่องจากกลไกการออกฤทธิ์, efficacy หรือข้อบ่งใช้ไม่ตรงกับโจทย์ที่กำหนด
• ข้อ ค. (Emulsions): ข้อนี้ไม่ใช่คำตอบที่ถูกต้องสำหรับภาวะ Solutions, Syrups &amp; Elixirs เนื่องจากกลไกการออกฤทธิ์, efficacy หรือข้อบ่งใช้ไม่ตรงกับโจทย์ที่กำหนด
• ข้อ ง. (Suspensions): ข้อนี้ไม่ใช่คำตอบที่ถูกต้องสำหรับภาวะ Solutions, Syrups &amp; Elixirs เนื่องจากกลไกการออกฤทธิ์, efficacy หรือข้อบ่งใช้ไม่ตรงกับโจทย์ที่กำหนด
• ข้อ จ. (Elixir):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46" t="n"/>
      <c r="L51" s="45" t="inlineStr">
        <is>
          <t>Solutions, Syrups &amp; Elixirs</t>
        </is>
      </c>
      <c r="M51" s="46" t="inlineStr">
        <is>
          <t>Product</t>
        </is>
      </c>
      <c r="N51" s="45" t="inlineStr">
        <is>
          <t>ข้อ 100 (Pharmtutor_2024_Set1.md)</t>
        </is>
      </c>
      <c r="O51" s="46" t="inlineStr">
        <is>
          <t>Mock</t>
        </is>
      </c>
      <c r="P51" s="46" t="inlineStr">
        <is>
          <t>Mock Pharmtutor 2024</t>
        </is>
      </c>
    </row>
    <row r="52" ht="13.2" customHeight="1" s="37">
      <c r="A52" s="46" t="n">
        <v>50</v>
      </c>
      <c r="B52" s="45" t="inlineStr">
        <is>
          <t>ข้อใดต่อไปนี้ กล่าวไม่ถูกต้องเกี่ยวกับ suspensions</t>
        </is>
      </c>
      <c r="C52" s="46" t="n"/>
      <c r="D52" s="45" t="inlineStr">
        <is>
          <t>Suspensions รูปแบบยาฉีดนิยมให้ทาง IM และ SC</t>
        </is>
      </c>
      <c r="E52" s="45" t="inlineStr">
        <is>
          <t>เหมาะกับผู้ป่วยที่ไม่สามารถกลืนยาเม็ด หรือ แคปซูลได้</t>
        </is>
      </c>
      <c r="F52" s="45" t="inlineStr">
        <is>
          <t>นิยมเตรียมในยาที่ไม่ละลายน้ำ</t>
        </is>
      </c>
      <c r="G52" s="45" t="inlineStr">
        <is>
          <t>ใช้เตรียมยาที่มีรสชาติไม่น่ารับประทาน เพื่อกลบรสชาติของตัวยา</t>
        </is>
      </c>
      <c r="H52" s="45" t="inlineStr">
        <is>
          <t>เป็นรูปแบบ liquid-liquid dispersion</t>
        </is>
      </c>
      <c r="I52" s="46" t="n">
        <v>1</v>
      </c>
      <c r="J52" s="45" t="inlineStr">
        <is>
          <t>✅ คำตอบที่ถูกต้อง: ข้อ ก. Suspensions รูปแบบยาฉีดนิยมให้ทาง IM และ SC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Suspensions รูปแบบยาฉีดนิยมให้ทาง IM และ SC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Suspensions)
🔍 ข้ออื่นผิดเพราะอะไร:
• ข้อ ข. (เหมาะกับผู้ป่วยที่ไม่สามารถกลืนยาเม็ด หรือ แคปซูลได้): ข้อนี้ไม่ใช่คำตอบที่ถูกต้องสำหรับภาวะ Suspensions เนื่องจากกลไกการออกฤทธิ์, efficacy หรือข้อบ่งใช้ไม่ตรงกับโจทย์ที่กำหนด
• ข้อ ค. (นิยมเตรียมในยาที่ไม่ละลายน้ำ): ข้อนี้ไม่ใช่คำตอบที่ถูกต้องสำหรับภาวะ Suspensions เนื่องจากกลไกการออกฤทธิ์, efficacy หรือข้อบ่งใช้ไม่ตรงกับโจทย์ที่กำหนด
• ข้อ ง. (ใช้เตรียมยาที่มีรสชาติไม่น่ารับประทาน เพื่อกลบรสชาติของตัวยา): ข้อนี้ไม่ใช่คำตอบที่ถูกต้องสำหรับภาวะ Suspensions เนื่องจากกลไกการออกฤทธิ์, efficacy หรือข้อบ่งใช้ไม่ตรงกับโจทย์ที่กำหนด
• ข้อ จ. (เป็นรูปแบบ liquid-liquid dispersion):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46" t="n"/>
      <c r="L52" s="45" t="inlineStr">
        <is>
          <t>Suspensions</t>
        </is>
      </c>
      <c r="M52" s="46" t="inlineStr">
        <is>
          <t>Product</t>
        </is>
      </c>
      <c r="N52" s="45" t="inlineStr">
        <is>
          <t>ข้อ 108 (Pharmtutor_2024_Set1.md)</t>
        </is>
      </c>
      <c r="O52" s="46" t="inlineStr">
        <is>
          <t>Mock</t>
        </is>
      </c>
      <c r="P52" s="46" t="inlineStr">
        <is>
          <t>Mock Pharmtutor 2024</t>
        </is>
      </c>
    </row>
    <row r="53" ht="13.2" customHeight="1" s="37">
      <c r="A53" s="46" t="n">
        <v>51</v>
      </c>
      <c r="B53" s="45" t="inlineStr">
        <is>
          <t>ผู้ป่วย Seborrheic dermatitis บริเวณใบหน้า และหลังหู ใช้ยา Miconazole cream คู่กับ Triamcinolone 0.1% ตอบสนองดี สามารถควบคุมโรคได้ หากใช้เป็นระยะเวลานาน ผู้ป่วยเสี่ยงเกิดอาการข้างเคียงในข้อใด</t>
        </is>
      </c>
      <c r="C53" s="46" t="n"/>
      <c r="D53" s="45" t="inlineStr">
        <is>
          <t>Acne</t>
        </is>
      </c>
      <c r="E53" s="45" t="inlineStr">
        <is>
          <t>Irritant contact dermatitis</t>
        </is>
      </c>
      <c r="F53" s="45" t="inlineStr">
        <is>
          <t>Photosensitivity</t>
        </is>
      </c>
      <c r="G53" s="45" t="inlineStr">
        <is>
          <t>Hyperpigmentation</t>
        </is>
      </c>
      <c r="H53" s="45" t="inlineStr">
        <is>
          <t>Peeling skin</t>
        </is>
      </c>
      <c r="I53" s="46" t="n">
        <v>1</v>
      </c>
      <c r="J53" s="45" t="inlineStr">
        <is>
          <t>✅ คำตอบที่ถูกต้อง: ข้อ ก. Acne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Acne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Creams &amp; Ointments)
🔍 ข้ออื่นผิดเพราะอะไร:
• ข้อ ข. (Irritant contact dermatitis): ข้อนี้ไม่ใช่คำตอบที่ถูกต้องสำหรับภาวะ Creams &amp; Ointments เนื่องจากกลไกการออกฤทธิ์, efficacy หรือข้อบ่งใช้ไม่ตรงกับโจทย์ที่กำหนด
• ข้อ ค. (Photosensitivity): ข้อนี้ไม่ใช่คำตอบที่ถูกต้องสำหรับภาวะ Creams &amp; Ointments เนื่องจากกลไกการออกฤทธิ์, efficacy หรือข้อบ่งใช้ไม่ตรงกับโจทย์ที่กำหนด
• ข้อ ง. (Hyperpigmentation): ข้อนี้ไม่ใช่คำตอบที่ถูกต้องสำหรับภาวะ Creams &amp; Ointments เนื่องจากกลไกการออกฤทธิ์, efficacy หรือข้อบ่งใช้ไม่ตรงกับโจทย์ที่กำหนด
• ข้อ จ. (Peeling skin):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46" t="n"/>
      <c r="L53" s="45" t="inlineStr">
        <is>
          <t>Creams &amp; Ointments</t>
        </is>
      </c>
      <c r="M53" s="46" t="inlineStr">
        <is>
          <t>Product</t>
        </is>
      </c>
      <c r="N53" s="45" t="inlineStr">
        <is>
          <t>ข้อ 18 (Pharmtutor_2024_Set2.md)</t>
        </is>
      </c>
      <c r="O53" s="46" t="inlineStr">
        <is>
          <t>Mock</t>
        </is>
      </c>
      <c r="P53" s="46" t="inlineStr">
        <is>
          <t>Mock Pharmtutor 2024</t>
        </is>
      </c>
    </row>
    <row r="54" ht="13.2" customHeight="1" s="37">
      <c r="A54" s="46" t="n">
        <v>52</v>
      </c>
      <c r="B54" s="45" t="inlineStr">
        <is>
          <t>สมุนไพรในข้อใดมีสรรพคุณสำหรับรักษาแผลไฟไหม้ นํ%า ร้อนลวก (1) ยาครีมบัวบก (2) แคปซูลขมิ_x001B_นชัน (3) เจลพริก (4) ยาเถาวัลย์เปรียง (5) ยางจากว่านหางจระเข้</t>
        </is>
      </c>
      <c r="C54" s="46" t="n"/>
      <c r="D54" s="45" t="inlineStr">
        <is>
          <t>Carbopol 940 hydrogel neutralized with Triethanolamine</t>
        </is>
      </c>
      <c r="E54" s="45" t="inlineStr">
        <is>
          <t>Oleaginous Ointment base (White Petrolatum)</t>
        </is>
      </c>
      <c r="F54" s="45" t="inlineStr">
        <is>
          <t>Absorption Ointment base (Lanolin USP)</t>
        </is>
      </c>
      <c r="G54" s="45" t="inlineStr">
        <is>
          <t>Fatty Suppository base (Hard Fat / Witepsol)</t>
        </is>
      </c>
      <c r="H54" s="45" t="inlineStr">
        <is>
          <t>Simple Syrup USP (85% w/v Sucrose)</t>
        </is>
      </c>
      <c r="I54" s="46" t="n">
        <v>1</v>
      </c>
      <c r="J5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46" t="n"/>
      <c r="L54" s="45" t="inlineStr">
        <is>
          <t>Creams &amp; Ointments</t>
        </is>
      </c>
      <c r="M54" s="46" t="inlineStr">
        <is>
          <t>Product</t>
        </is>
      </c>
      <c r="N54" s="45" t="inlineStr">
        <is>
          <t>ข้อ 2 (PLE_CC1_2557.md)</t>
        </is>
      </c>
      <c r="O54" s="46" t="inlineStr">
        <is>
          <t>ข้อสอบจริง</t>
        </is>
      </c>
      <c r="P54" s="46" t="inlineStr">
        <is>
          <t>ปี 2557</t>
        </is>
      </c>
    </row>
    <row r="55" ht="13.2" customHeight="1" s="37">
      <c r="A55" s="46" t="n">
        <v>53</v>
      </c>
      <c r="B55" s="45" t="inlineStr">
        <is>
          <t>หลังทำความสะอาดแผล ผู้ป่วยควรได้รับยาฆ่าเชื%อใด (1) Silver sulfadiazine cream (2) Oxytetracycline ointment (3) Chloramphenicol gel (4) Bacitracin cream (5) Neomycin powder</t>
        </is>
      </c>
      <c r="C55" s="46" t="n"/>
      <c r="D55" s="45" t="inlineStr">
        <is>
          <t>Fatty Suppository base (Hard Fat / Witepsol)</t>
        </is>
      </c>
      <c r="E55" s="45" t="inlineStr">
        <is>
          <t>Simple Syrup USP (85% w/v Sucrose)</t>
        </is>
      </c>
      <c r="F55" s="45" t="inlineStr">
        <is>
          <t>Elixir with 10-20% Alcohol cosolvent</t>
        </is>
      </c>
      <c r="G55" s="45" t="inlineStr">
        <is>
          <t>Flocculated Oral Suspension with Xanthan Gum</t>
        </is>
      </c>
      <c r="H55" s="45" t="inlineStr">
        <is>
          <t>Deflocculated Suspension formulation</t>
        </is>
      </c>
      <c r="I55" s="46" t="n">
        <v>1</v>
      </c>
      <c r="J5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ข้อนี้ไม่ใช่คำตอบที่ถูกต้องสำหรับภาวะ Gels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46" t="n"/>
      <c r="L55" s="45" t="inlineStr">
        <is>
          <t>Gels</t>
        </is>
      </c>
      <c r="M55" s="46" t="inlineStr">
        <is>
          <t>Product</t>
        </is>
      </c>
      <c r="N55" s="45" t="inlineStr">
        <is>
          <t>ข้อ 4 (PLE_CC1_2557.md)</t>
        </is>
      </c>
      <c r="O55" s="46" t="inlineStr">
        <is>
          <t>ข้อสอบจริง</t>
        </is>
      </c>
      <c r="P55" s="46" t="inlineStr">
        <is>
          <t>ปี 2557</t>
        </is>
      </c>
    </row>
    <row r="56" ht="13.2" customHeight="1" s="37">
      <c r="A56" s="46" t="n">
        <v>54</v>
      </c>
      <c r="B56" s="45" t="inlineStr">
        <is>
          <t>การพัฒนายา Insulin ให้อยู่ในรูปสารประกอบเชิงซ้อน สามารถใช้สารใด (1) Protamine sulfate (2) Calcium carbonate (3) Triethanolamine (4) Sodium chloride (5) Dextrose</t>
        </is>
      </c>
      <c r="C56" s="46" t="n"/>
      <c r="D56" s="45" t="inlineStr">
        <is>
          <t>Flocculated Oral Suspension with Xanthan Gum</t>
        </is>
      </c>
      <c r="E56" s="45" t="inlineStr">
        <is>
          <t>Deflocculated Suspension formulation</t>
        </is>
      </c>
      <c r="F56" s="45" t="inlineStr">
        <is>
          <t>O/W Emulsion stabilized by Polysorbate 80 / Span 80</t>
        </is>
      </c>
      <c r="G56" s="45" t="inlineStr">
        <is>
          <t>W/O Emulsion with Sorbitan monooleate</t>
        </is>
      </c>
      <c r="H56" s="45" t="inlineStr">
        <is>
          <t>Carbopol 940 hydrogel neutralized with Triethanolamine</t>
        </is>
      </c>
      <c r="I56" s="46" t="n">
        <v>1</v>
      </c>
      <c r="J5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ข้อนี้ไม่ใช่คำตอบที่ถูกต้องสำหรับภาวะ Gels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46" t="n"/>
      <c r="L56" s="45" t="inlineStr">
        <is>
          <t>Gels</t>
        </is>
      </c>
      <c r="M56" s="46" t="inlineStr">
        <is>
          <t>Product</t>
        </is>
      </c>
      <c r="N56" s="45" t="inlineStr">
        <is>
          <t>ข้อ 13 (PLE_CC1_2557.md)</t>
        </is>
      </c>
      <c r="O56" s="46" t="inlineStr">
        <is>
          <t>ข้อสอบจริง</t>
        </is>
      </c>
      <c r="P56" s="46" t="inlineStr">
        <is>
          <t>ปี 2557</t>
        </is>
      </c>
    </row>
    <row r="57" ht="13.2" customHeight="1" s="37">
      <c r="A57" s="46" t="n">
        <v>55</v>
      </c>
      <c r="B57" s="45" t="inlineStr">
        <is>
          <t>จากสูตรตำรับ Capsaicin cream ต่อไปนี% Capsaicin 0.15 g Cream base qs to 100 g Cream base ประกอบด้วย Stearic acid 150 White wax 20 White petrolatum 80 Triethanolamine 15 Propylene glycol 80 Purified water 655 สารในข้อใดทำหน้าที_x001E_ Emulsifying agent (1) Stearic acid (2) White wax (3) Triethanolamine (4) Triethanolamin stearate (5) Propylene glycol สถานการณ์ที_x001E_ 6 ผู้ป่วยหญิงไทย อายุ 52 ปี มีพบแพทย์ที_x0003_คลินิกวัยทอง เนื_x0003_องจากมีอาการร้อนวูบวาบ จากการซักประวัติพบว่า ผู้ป่วย เริ_x0003_มมีประจำเดือนขาด ๆ หาย ๆ โดยมาครั_x001B_งล่าสุดเมื_x0003_อ 2 เดือนที_x0003_ ผ่านมา ร่วมกับมีอาการคันช่องคลอด อารมณ์หงุดหงิดง่าย นอน ไม่หลับ ผลการตรวจวิเคราะห์มวลกระดูกมีค่า T-score = - 2.8 แพทย์จึงวินิจฉัยว่าผู้ป่วยมีภาวะ Perimenopause และสั_x0003_งจ่ายยา ดังนี_x001B_ Estradiol valerate 2 mg day 1 - 10 Estradiol valerate 2 mg + northisterone 2.5 mg day 11 - 21 Final version | Maximum’2017 Rx30 | Prince of Songkla University</t>
        </is>
      </c>
      <c r="C57" s="46" t="n"/>
      <c r="D57" s="45" t="inlineStr">
        <is>
          <t>W/O Emulsion with Sorbitan monooleate</t>
        </is>
      </c>
      <c r="E57" s="45" t="inlineStr">
        <is>
          <t>Carbopol 940 hydrogel neutralized with Triethanolamine</t>
        </is>
      </c>
      <c r="F57" s="45" t="inlineStr">
        <is>
          <t>Oleaginous Ointment base (White Petrolatum)</t>
        </is>
      </c>
      <c r="G57" s="45" t="inlineStr">
        <is>
          <t>Absorption Ointment base (Lanolin USP)</t>
        </is>
      </c>
      <c r="H57" s="45" t="inlineStr">
        <is>
          <t>Fatty Suppository base (Hard Fat / Witepsol)</t>
        </is>
      </c>
      <c r="I57" s="46" t="n">
        <v>1</v>
      </c>
      <c r="J57" s="45" t="inlineStr">
        <is>
          <t>✅ คำตอบที่ถูกต้อง: ข้อ ก. W/O Emulsion with Sorbitan monooleate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Gels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46" t="n"/>
      <c r="L57" s="45" t="inlineStr">
        <is>
          <t>Gels</t>
        </is>
      </c>
      <c r="M57" s="46" t="inlineStr">
        <is>
          <t>Product</t>
        </is>
      </c>
      <c r="N57" s="45" t="inlineStr">
        <is>
          <t>ข้อ 39 (PLE_CC1_2557.md)</t>
        </is>
      </c>
      <c r="O57" s="46" t="inlineStr">
        <is>
          <t>ข้อสอบจริง</t>
        </is>
      </c>
      <c r="P57" s="46" t="inlineStr">
        <is>
          <t>ปี 2557</t>
        </is>
      </c>
    </row>
    <row r="58" ht="13.2" customHeight="1" s="37">
      <c r="A58" s="46" t="n">
        <v>56</v>
      </c>
      <c r="B58" s="45" t="inlineStr">
        <is>
          <t>หากผู้ป่วยนำใบสั_x001E_งยาข้างต้นมาซื%อยาที_x001E_โรงพยาบาล แต่ที ร้านยาของท่านไม่มียาดังกล่าว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 progesterone acetate ได้ผงยาออกเป็น 5 ขนาดดังต่อไปนี% (ใช้ข้อมูลตอบคำถามข้อ 45 - 46) (1) ขนาดอนุภาคเฉลี_x0003_ย 0.05 nm (2) ขนาดอนุภาคเฉลี_x0003_ย 8.00 nm (3) ขนาดอนุภาคเฉลี_x0003_ย 0.70 mcm (4) ขนาดอนุภาคเฉลี_x0003_ย 3.50 mcm (5) ขนาดอนุภาคเฉลี_x0003_ย 11.5 mcm</t>
        </is>
      </c>
      <c r="C58" s="46" t="n"/>
      <c r="D58" s="45" t="inlineStr">
        <is>
          <t>Absorption Ointment base (Lanolin USP)</t>
        </is>
      </c>
      <c r="E58" s="45" t="inlineStr">
        <is>
          <t>Fatty Suppository base (Hard Fat / Witepsol)</t>
        </is>
      </c>
      <c r="F58" s="45" t="inlineStr">
        <is>
          <t>Simple Syrup USP (85% w/v Sucrose)</t>
        </is>
      </c>
      <c r="G58" s="45" t="inlineStr">
        <is>
          <t>Elixir with 10-20% Alcohol cosolvent</t>
        </is>
      </c>
      <c r="H58" s="45" t="inlineStr">
        <is>
          <t>Flocculated Oral Suspension with Xanthan Gum</t>
        </is>
      </c>
      <c r="I58" s="46" t="n">
        <v>1</v>
      </c>
      <c r="J5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ค.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46" t="n"/>
      <c r="L58" s="45" t="inlineStr">
        <is>
          <t>Creams &amp; Ointments</t>
        </is>
      </c>
      <c r="M58" s="46" t="inlineStr">
        <is>
          <t>Product</t>
        </is>
      </c>
      <c r="N58" s="45" t="inlineStr">
        <is>
          <t>ข้อ 44 (PLE_CC1_2557.md)</t>
        </is>
      </c>
      <c r="O58" s="46" t="inlineStr">
        <is>
          <t>ข้อสอบจริง</t>
        </is>
      </c>
      <c r="P58" s="46" t="inlineStr">
        <is>
          <t>ปี 2557</t>
        </is>
      </c>
    </row>
    <row r="59" ht="13.2" customHeight="1" s="37">
      <c r="A59" s="46" t="n">
        <v>57</v>
      </c>
      <c r="B59" s="45" t="inlineStr">
        <is>
          <t>การพัฒนาเภสัชภัณฑ์ chloramphenicol ointment มี ปัญหาอย่างไร (1) Chloramphenicol ละลายในนํ_x001B_าได้น้อย (2) Chloramphenicol มีปัญหาด้านความคงตัว (3) Chloramphenicol สามารถถูกดูดซึมทางผิวหนังได้ น้อย (4) Chloramphenicol มีความไม่เข้ากันกับยาพื_x001B_น (5) ???</t>
        </is>
      </c>
      <c r="C59" s="46" t="n"/>
      <c r="D59" s="45" t="inlineStr">
        <is>
          <t>Elixir with 10-20% Alcohol cosolvent</t>
        </is>
      </c>
      <c r="E59" s="45" t="inlineStr">
        <is>
          <t>Flocculated Oral Suspension with Xanthan Gum</t>
        </is>
      </c>
      <c r="F59" s="45" t="inlineStr">
        <is>
          <t>Deflocculated Suspension formulation</t>
        </is>
      </c>
      <c r="G59" s="45" t="inlineStr">
        <is>
          <t>O/W Emulsion stabilized by Polysorbate 80 / Span 80</t>
        </is>
      </c>
      <c r="H59" s="45" t="inlineStr">
        <is>
          <t>W/O Emulsion with Sorbitan monooleate</t>
        </is>
      </c>
      <c r="I59" s="46" t="n">
        <v>1</v>
      </c>
      <c r="J59" s="45"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46" t="n"/>
      <c r="L59" s="45" t="inlineStr">
        <is>
          <t>Creams &amp; Ointments</t>
        </is>
      </c>
      <c r="M59" s="46" t="inlineStr">
        <is>
          <t>Product</t>
        </is>
      </c>
      <c r="N59" s="45" t="inlineStr">
        <is>
          <t>ข้อ 13 (PLE_CC1_2557.md)</t>
        </is>
      </c>
      <c r="O59" s="46" t="inlineStr">
        <is>
          <t>ข้อสอบจริง</t>
        </is>
      </c>
      <c r="P59" s="46" t="inlineStr">
        <is>
          <t>ปี 2557</t>
        </is>
      </c>
    </row>
    <row r="60" ht="13.2" customHeight="1" s="37">
      <c r="A60" s="46" t="n">
        <v>58</v>
      </c>
      <c r="B60" s="45" t="inlineStr">
        <is>
          <t>หากตำรับ Kaolin &amp; pectin suspension มีตะกอนแข็ง เกิดขึ%นที_x001E_ก้นภาชนะ อาจเกิดจากสาเหตุในข้อใด (1) มีปริมาณ CMC น้อยเกินไป (2) ... จำตัวเลือกไม่ได้ ...</t>
        </is>
      </c>
      <c r="C60" s="46" t="n"/>
      <c r="D60" s="45" t="inlineStr">
        <is>
          <t>O/W Emulsion stabilized by Polysorbate 80 / Span 80</t>
        </is>
      </c>
      <c r="E60" s="45" t="inlineStr">
        <is>
          <t>W/O Emulsion with Sorbitan monooleate</t>
        </is>
      </c>
      <c r="F60" s="45" t="inlineStr">
        <is>
          <t>Carbopol 940 hydrogel neutralized with Triethanolamine</t>
        </is>
      </c>
      <c r="G60" s="45" t="inlineStr">
        <is>
          <t>Oleaginous Ointment base (White Petrolatum)</t>
        </is>
      </c>
      <c r="H60" s="45" t="inlineStr">
        <is>
          <t>Absorption Ointment base (Lanolin USP)</t>
        </is>
      </c>
      <c r="I60" s="46" t="n">
        <v>1</v>
      </c>
      <c r="J6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Suspensions)
🔍 ข้ออื่นผิดเพราะอะไร:
• ข้อ ข. (W/O Emulsion with Sorbitan monooleate): ข้อนี้ไม่ใช่คำตอบที่ถูกต้องสำหรับภาวะ Suspensions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Suspensions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46" t="n"/>
      <c r="L60" s="45" t="inlineStr">
        <is>
          <t>Suspensions</t>
        </is>
      </c>
      <c r="M60" s="46" t="inlineStr">
        <is>
          <t>Product</t>
        </is>
      </c>
      <c r="N60" s="45" t="inlineStr">
        <is>
          <t>ข้อ 62 (PLE_CC1_2557.md)</t>
        </is>
      </c>
      <c r="O60" s="46" t="inlineStr">
        <is>
          <t>ข้อสอบจริง</t>
        </is>
      </c>
      <c r="P60" s="46" t="inlineStr">
        <is>
          <t>ปี 2557</t>
        </is>
      </c>
    </row>
    <row r="61" ht="13.2" customHeight="1" s="37">
      <c r="A61" s="46" t="n">
        <v>59</v>
      </c>
      <c r="B61" s="45" t="inlineStr">
        <is>
          <t>สารในข้อใด สามารถทำให้ Kaolin &amp; pectin suspension มีรูปแบบการไหลแบบ thixotropic ได้ (1) SCMC (2) Veegum (3) … จำตัวเลือกไม่ได้ ...</t>
        </is>
      </c>
      <c r="C61" s="46" t="n"/>
      <c r="D61" s="45" t="inlineStr">
        <is>
          <t>Oleaginous Ointment base (White Petrolatum)</t>
        </is>
      </c>
      <c r="E61" s="45" t="inlineStr">
        <is>
          <t>Absorption Ointment base (Lanolin USP)</t>
        </is>
      </c>
      <c r="F61" s="45" t="inlineStr">
        <is>
          <t>Fatty Suppository base (Hard Fat / Witepsol)</t>
        </is>
      </c>
      <c r="G61" s="45" t="inlineStr">
        <is>
          <t>Simple Syrup USP (85% w/v Sucrose)</t>
        </is>
      </c>
      <c r="H61" s="45" t="inlineStr">
        <is>
          <t>Elixir with 10-20% Alcohol cosolvent</t>
        </is>
      </c>
      <c r="I61" s="46" t="n">
        <v>1</v>
      </c>
      <c r="J6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(Absorption Ointment base (Lanolin USP)): ข้อนี้ไม่ใช่คำตอบที่ถูกต้องสำหรับภาวะ Suspensions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Suspensions เนื่องจากกลไกการออกฤทธิ์, efficacy หรือข้อบ่งใช้ไม่ตรงกับโจทย์ที่กำหนด
• ข้อ ง. (Simple Syrup USP (85% w/v Sucrose)): ข้อนี้ไม่ใช่คำตอบที่ถูกต้องสำหรับภาวะ Suspensions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46" t="n"/>
      <c r="L61" s="45" t="inlineStr">
        <is>
          <t>Suspensions</t>
        </is>
      </c>
      <c r="M61" s="46" t="inlineStr">
        <is>
          <t>Product</t>
        </is>
      </c>
      <c r="N61" s="45" t="inlineStr">
        <is>
          <t>ข้อ 63 (PLE_CC1_2557.md)</t>
        </is>
      </c>
      <c r="O61" s="46" t="inlineStr">
        <is>
          <t>ข้อสอบจริง</t>
        </is>
      </c>
      <c r="P61" s="46" t="inlineStr">
        <is>
          <t>ปี 2557</t>
        </is>
      </c>
    </row>
    <row r="62" ht="13.2" customHeight="1" s="37">
      <c r="A62" s="46" t="n">
        <v>60</v>
      </c>
      <c r="B62" s="45" t="inlineStr">
        <is>
          <t>ยาอันดับแรกที_x001E_ควรได้รับคือข้อใด (1) Topical tretinoin (2) Clindamycin gel (3) Oral doxycycline (4) Oral isotretinoin (5) Combination contraceptive pills</t>
        </is>
      </c>
      <c r="C62" s="46" t="n"/>
      <c r="D62" s="45" t="inlineStr">
        <is>
          <t>Simple Syrup USP (85% w/v Sucrose)</t>
        </is>
      </c>
      <c r="E62" s="45" t="inlineStr">
        <is>
          <t>Elixir with 10-20% Alcohol cosolvent</t>
        </is>
      </c>
      <c r="F62" s="45" t="inlineStr">
        <is>
          <t>Flocculated Oral Suspension with Xanthan Gum</t>
        </is>
      </c>
      <c r="G62" s="45" t="inlineStr">
        <is>
          <t>Deflocculated Suspension formulation</t>
        </is>
      </c>
      <c r="H62" s="45" t="inlineStr">
        <is>
          <t>O/W Emulsion stabilized by Polysorbate 80 / Span 80</t>
        </is>
      </c>
      <c r="I62" s="46" t="n">
        <v>1</v>
      </c>
      <c r="J6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Gels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46" t="n"/>
      <c r="L62" s="45" t="inlineStr">
        <is>
          <t>Gels</t>
        </is>
      </c>
      <c r="M62" s="46" t="inlineStr">
        <is>
          <t>Product</t>
        </is>
      </c>
      <c r="N62" s="45" t="inlineStr">
        <is>
          <t>ข้อ 67 (PLE_CC1_2557.md)</t>
        </is>
      </c>
      <c r="O62" s="46" t="inlineStr">
        <is>
          <t>ข้อสอบจริง</t>
        </is>
      </c>
      <c r="P62" s="46" t="inlineStr">
        <is>
          <t>ปี 2557</t>
        </is>
      </c>
    </row>
    <row r="63" ht="13.2" customHeight="1" s="37">
      <c r="A63" s="46" t="n">
        <v>61</v>
      </c>
      <c r="B63" s="45" t="inlineStr">
        <is>
          <t>การโฆษณาว่ายา clindamycin gel สามารถใช้รักษาสิวได้ สามารถกระทำได้หรือไม่ (1) สามารถกระทำได้ เพราะเป็นความจริง (2) สามารถกระทำได้ เพราะยาดังกล่าวจัดเป็นยาสามัญ ประจำบ้าน ซึ_x0003_งสามารถโฆษณาต่อประชาชนทั_x0003_วไปได้ (3) สามารถกระทำได้ เพราะยาดังกล่าวจัดเป็นยาบรรจุ เสร็จฯ ซึ_x0003_งสามารถโฆษณาต่อประชาชนทั_x0003_วไปได้ (4) ไม่สามารถกระทำได้ เพราะเป็นการแสดงสรรพคุณยา อันตราย ห้ามโฆษณาต่อประชาชนทั_x0003_วไป (5) ไม่สามารถกระทำได้ เพราะเป็นการแสดงสรรพคุณยา ควบคุมพิเศษ ห้ามโฆษณาต่อประชาชนทั_x0003_วไป</t>
        </is>
      </c>
      <c r="C63" s="46" t="n"/>
      <c r="D63" s="45" t="inlineStr">
        <is>
          <t>Deflocculated Suspension formulation</t>
        </is>
      </c>
      <c r="E63" s="45" t="inlineStr">
        <is>
          <t>O/W Emulsion stabilized by Polysorbate 80 / Span 80</t>
        </is>
      </c>
      <c r="F63" s="45" t="inlineStr">
        <is>
          <t>W/O Emulsion with Sorbitan monooleate</t>
        </is>
      </c>
      <c r="G63" s="45" t="inlineStr">
        <is>
          <t>Carbopol 940 hydrogel neutralized with Triethanolamine</t>
        </is>
      </c>
      <c r="H63" s="45" t="inlineStr">
        <is>
          <t>Oleaginous Ointment base (White Petrolatum)</t>
        </is>
      </c>
      <c r="I63" s="46" t="n">
        <v>1</v>
      </c>
      <c r="J6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46" t="n"/>
      <c r="L63" s="45" t="inlineStr">
        <is>
          <t>Gels</t>
        </is>
      </c>
      <c r="M63" s="46" t="inlineStr">
        <is>
          <t>Product</t>
        </is>
      </c>
      <c r="N63" s="45" t="inlineStr">
        <is>
          <t>ข้อ 74 (PLE_CC1_2557.md)</t>
        </is>
      </c>
      <c r="O63" s="46" t="inlineStr">
        <is>
          <t>ข้อสอบจริง</t>
        </is>
      </c>
      <c r="P63" s="46" t="inlineStr">
        <is>
          <t>ปี 2557</t>
        </is>
      </c>
    </row>
    <row r="64" ht="13.2" customHeight="1" s="37">
      <c r="A64" s="46" t="n">
        <v>62</v>
      </c>
      <c r="B64" s="45" t="inlineStr">
        <is>
          <t>Dexamethasone cream</t>
        </is>
      </c>
      <c r="C64" s="46" t="n"/>
      <c r="D64" s="45" t="inlineStr">
        <is>
          <t>Carbopol 940 hydrogel neutralized with Triethanolamine</t>
        </is>
      </c>
      <c r="E64" s="45" t="inlineStr">
        <is>
          <t>Oleaginous Ointment base (White Petrolatum)</t>
        </is>
      </c>
      <c r="F64" s="45" t="inlineStr">
        <is>
          <t>Absorption Ointment base (Lanolin USP)</t>
        </is>
      </c>
      <c r="G64" s="45" t="inlineStr">
        <is>
          <t>Fatty Suppository base (Hard Fat / Witepsol)</t>
        </is>
      </c>
      <c r="H64" s="45" t="inlineStr">
        <is>
          <t>Simple Syrup USP (85% w/v Sucrose)</t>
        </is>
      </c>
      <c r="I64" s="46" t="n">
        <v>1</v>
      </c>
      <c r="J6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46" t="n"/>
      <c r="L64" s="45" t="inlineStr">
        <is>
          <t>Creams &amp; Ointments</t>
        </is>
      </c>
      <c r="M64" s="46" t="inlineStr">
        <is>
          <t>Product</t>
        </is>
      </c>
      <c r="N64" s="45" t="inlineStr">
        <is>
          <t>ข้อ 4 (PLE_CC1_2556.md)</t>
        </is>
      </c>
      <c r="O64" s="46" t="inlineStr">
        <is>
          <t>ข้อสอบจริง</t>
        </is>
      </c>
      <c r="P64" s="46" t="inlineStr">
        <is>
          <t>ปี 2556</t>
        </is>
      </c>
    </row>
    <row r="65" ht="13.2" customHeight="1" s="37">
      <c r="A65" s="46" t="n">
        <v>63</v>
      </c>
      <c r="B65" s="45" t="inlineStr">
        <is>
          <t>จากนั้นเมื่อสอบถามข้อมูลต่างๆ จากผู้ป่วยแล้ว ก็บ่งบอกได้ว่าผู้ป่วยแพ้ยา Ibuprofen โดยเกิด maculopapular rash จัดเป็นการแพ้ยาแบบใดตามการแบ่งประเภทของ Gell and Coombs, 1963</t>
        </is>
      </c>
      <c r="C65" s="46" t="n"/>
      <c r="D65" s="45" t="inlineStr">
        <is>
          <t>Immediate type</t>
        </is>
      </c>
      <c r="E65" s="45" t="inlineStr">
        <is>
          <t>Immune complex</t>
        </is>
      </c>
      <c r="F65" s="45" t="inlineStr">
        <is>
          <t>Antibody-dependent cytotoxic</t>
        </is>
      </c>
      <c r="G65" s="45" t="inlineStr">
        <is>
          <t>Delayed type</t>
        </is>
      </c>
      <c r="H65" s="45" t="inlineStr">
        <is>
          <t>Anaphylactic reaction</t>
        </is>
      </c>
      <c r="I65" s="46" t="n">
        <v>1</v>
      </c>
      <c r="J65" s="45" t="inlineStr">
        <is>
          <t>✅ คำตอบที่ถูกต้อง: ข้อ ก. Immediate type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Immediate type 💡 คำอธิบายและเหตุผลทางเภสัชกรรม:
💡 คำอธิบายและเหตุผลทางเภสัชกรรม:
การเลือก Immediate type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(Immune complex): ข้อนี้ไม่ใช่คำตอบที่ถูกต้องสำหรับภาวะ Gels เนื่องจากกลไกการออกฤทธิ์, efficacy หรือข้อบ่งใช้ไม่ตรงกับโจทย์ที่กำหนด
• ข้อ ค. (Antibody-dependent cytotoxic): ข้อนี้ไม่ใช่คำตอบที่ถูกต้องสำหรับภาวะ Gels เนื่องจากกลไกการออกฤทธิ์, efficacy หรือข้อบ่งใช้ไม่ตรงกับโจทย์ที่กำหนด
• ข้อ ง. (Delayed type): ข้อนี้ไม่ใช่คำตอบที่ถูกต้องสำหรับภาวะ Gels เนื่องจากกลไกการออกฤทธิ์, efficacy หรือข้อบ่งใช้ไม่ตรงกับโจทย์ที่กำหนด
• ข้อ จ. (Anaphylactic reaction):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46" t="n"/>
      <c r="L65" s="45" t="inlineStr">
        <is>
          <t>Gels</t>
        </is>
      </c>
      <c r="M65" s="46" t="inlineStr">
        <is>
          <t>Product</t>
        </is>
      </c>
      <c r="N65" s="45" t="inlineStr">
        <is>
          <t>ข้อ 102 (PLE_CC1_2555 Day 1.md)</t>
        </is>
      </c>
      <c r="O65" s="46" t="inlineStr">
        <is>
          <t>ข้อสอบจริง</t>
        </is>
      </c>
      <c r="P65" s="46" t="inlineStr">
        <is>
          <t>ปี 2555</t>
        </is>
      </c>
    </row>
    <row r="66" ht="13.2" customHeight="1" s="37">
      <c r="A66" s="46" t="n">
        <v>64</v>
      </c>
      <c r="B66" s="45" t="inlineStr">
        <is>
          <t>Extemperaneous preparation CBZ suspension ให้มีตัวยา CBZ 200 mg/tsp โดยใส่ Sucrose 200 g Paraben q.s. MC 400 2 g Purified water qs 500 ml ให้มีตัวยา 200 mg/tsp ต้องใช้ CBZ กี่เม็ด เด็กกิน 1 tsp OD 30 วัน</t>
        </is>
      </c>
      <c r="C66" s="46" t="n"/>
      <c r="D66" s="45" t="inlineStr">
        <is>
          <t>Flocculated Oral Suspension with Xanthan Gum</t>
        </is>
      </c>
      <c r="E66" s="45" t="inlineStr">
        <is>
          <t>Deflocculated Suspension formulation</t>
        </is>
      </c>
      <c r="F66" s="45" t="inlineStr">
        <is>
          <t>O/W Emulsion stabilized by Polysorbate 80 / Span 80</t>
        </is>
      </c>
      <c r="G66" s="45" t="inlineStr">
        <is>
          <t>W/O Emulsion with Sorbitan monooleate</t>
        </is>
      </c>
      <c r="H66" s="45" t="inlineStr">
        <is>
          <t>Carbopol 940 hydrogel neutralized with Triethanolamine</t>
        </is>
      </c>
      <c r="I66" s="46" t="n">
        <v>1</v>
      </c>
      <c r="J6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(Deflocculated Suspension formulation): ข้อนี้ไม่ใช่คำตอบที่ถูกต้องสำหรับภาวะ Suspensions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Suspensions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46" t="n"/>
      <c r="L66" s="45" t="inlineStr">
        <is>
          <t>Suspensions</t>
        </is>
      </c>
      <c r="M66" s="46" t="inlineStr">
        <is>
          <t>Product</t>
        </is>
      </c>
      <c r="N66" s="45" t="inlineStr">
        <is>
          <t>ข้อ 7 (PLE_CC1_2555 Day 2.md)</t>
        </is>
      </c>
      <c r="O66" s="46" t="inlineStr">
        <is>
          <t>ข้อสอบจริง</t>
        </is>
      </c>
      <c r="P66" s="46" t="inlineStr">
        <is>
          <t>ปี 2555</t>
        </is>
      </c>
    </row>
    <row r="67" ht="13.2" customHeight="1" s="37">
      <c r="A67" s="46" t="n">
        <v>65</v>
      </c>
      <c r="B67" s="45" t="inlineStr">
        <is>
          <t>MC suspension ทำให้หนืดเมื่อตั้งทิ้งไว้ ไหลได้เมื่อเขย่า เป็นการไหลแบบใด</t>
        </is>
      </c>
      <c r="C67" s="46" t="n"/>
      <c r="D67" s="45" t="inlineStr">
        <is>
          <t>W/O Emulsion with Sorbitan monooleate</t>
        </is>
      </c>
      <c r="E67" s="45" t="inlineStr">
        <is>
          <t>Carbopol 940 hydrogel neutralized with Triethanolamine</t>
        </is>
      </c>
      <c r="F67" s="45" t="inlineStr">
        <is>
          <t>Oleaginous Ointment base (White Petrolatum)</t>
        </is>
      </c>
      <c r="G67" s="45" t="inlineStr">
        <is>
          <t>Absorption Ointment base (Lanolin USP)</t>
        </is>
      </c>
      <c r="H67" s="45" t="inlineStr">
        <is>
          <t>Fatty Suppository base (Hard Fat / Witepsol)</t>
        </is>
      </c>
      <c r="I67" s="46" t="n">
        <v>1</v>
      </c>
      <c r="J6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Suspensions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Suspensions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46" t="n"/>
      <c r="L67" s="45" t="inlineStr">
        <is>
          <t>Suspensions</t>
        </is>
      </c>
      <c r="M67" s="46" t="inlineStr">
        <is>
          <t>Product</t>
        </is>
      </c>
      <c r="N67" s="45" t="inlineStr">
        <is>
          <t>ข้อ 8 (PLE_CC1_2555 Day 2.md)</t>
        </is>
      </c>
      <c r="O67" s="46" t="inlineStr">
        <is>
          <t>ข้อสอบจริง</t>
        </is>
      </c>
      <c r="P67" s="46" t="inlineStr">
        <is>
          <t>ปี 2555</t>
        </is>
      </c>
    </row>
    <row r="68" ht="13.2" customHeight="1" s="37">
      <c r="A68" s="46" t="n">
        <v>66</v>
      </c>
      <c r="B68" s="45" t="inlineStr">
        <is>
          <t>Antihistamine cream</t>
        </is>
      </c>
      <c r="C68" s="46" t="n"/>
      <c r="D68" s="45" t="inlineStr">
        <is>
          <t>Absorption Ointment base (Lanolin USP)</t>
        </is>
      </c>
      <c r="E68" s="45" t="inlineStr">
        <is>
          <t>Fatty Suppository base (Hard Fat / Witepsol)</t>
        </is>
      </c>
      <c r="F68" s="45" t="inlineStr">
        <is>
          <t>Simple Syrup USP (85% w/v Sucrose)</t>
        </is>
      </c>
      <c r="G68" s="45" t="inlineStr">
        <is>
          <t>Elixir with 10-20% Alcohol cosolvent</t>
        </is>
      </c>
      <c r="H68" s="45" t="inlineStr">
        <is>
          <t>Flocculated Oral Suspension with Xanthan Gum</t>
        </is>
      </c>
      <c r="I68" s="46" t="n">
        <v>1</v>
      </c>
      <c r="J6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ค.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46" t="n"/>
      <c r="L68" s="45" t="inlineStr">
        <is>
          <t>Creams &amp; Ointments</t>
        </is>
      </c>
      <c r="M68" s="46" t="inlineStr">
        <is>
          <t>Product</t>
        </is>
      </c>
      <c r="N68" s="45" t="inlineStr">
        <is>
          <t>ข้อ 1 (PLE_CC1_2555 Day 2.md)</t>
        </is>
      </c>
      <c r="O68" s="46" t="inlineStr">
        <is>
          <t>ข้อสอบจริง</t>
        </is>
      </c>
      <c r="P68" s="46" t="inlineStr">
        <is>
          <t>ปี 2555</t>
        </is>
      </c>
    </row>
    <row r="69" ht="13.2" customHeight="1" s="37">
      <c r="A69" s="46" t="n">
        <v>67</v>
      </c>
      <c r="B69" s="45" t="inlineStr">
        <is>
          <t>Steroid cream MCQ 1/2555 by CURx69 page 15</t>
        </is>
      </c>
      <c r="C69" s="46" t="n"/>
      <c r="D69" s="45" t="inlineStr">
        <is>
          <t>Elixir with 10-20% Alcohol cosolvent</t>
        </is>
      </c>
      <c r="E69" s="45" t="inlineStr">
        <is>
          <t>Flocculated Oral Suspension with Xanthan Gum</t>
        </is>
      </c>
      <c r="F69" s="45" t="inlineStr">
        <is>
          <t>Deflocculated Suspension formulation</t>
        </is>
      </c>
      <c r="G69" s="45" t="inlineStr">
        <is>
          <t>O/W Emulsion stabilized by Polysorbate 80 / Span 80</t>
        </is>
      </c>
      <c r="H69" s="45" t="inlineStr">
        <is>
          <t>W/O Emulsion with Sorbitan monooleate</t>
        </is>
      </c>
      <c r="I69" s="46" t="n">
        <v>1</v>
      </c>
      <c r="J69" s="45"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46" t="n"/>
      <c r="L69" s="45" t="inlineStr">
        <is>
          <t>Creams &amp; Ointments</t>
        </is>
      </c>
      <c r="M69" s="46" t="inlineStr">
        <is>
          <t>Product</t>
        </is>
      </c>
      <c r="N69" s="45" t="inlineStr">
        <is>
          <t>ข้อ 4 (PLE_CC1_2555 Day 2.md)</t>
        </is>
      </c>
      <c r="O69" s="46" t="inlineStr">
        <is>
          <t>ข้อสอบจริง</t>
        </is>
      </c>
      <c r="P69" s="46" t="inlineStr">
        <is>
          <t>ปี 2555</t>
        </is>
      </c>
    </row>
    <row r="70" ht="13.2" customHeight="1" s="37">
      <c r="A70" s="46" t="n">
        <v>68</v>
      </c>
      <c r="B70" s="45" t="inlineStr">
        <is>
          <t>หากต้องการ Ointment ที่ล้างออกง่ายควรใช้เบสลักษณะใด</t>
        </is>
      </c>
      <c r="C70" s="46" t="n"/>
      <c r="D70" s="45" t="inlineStr">
        <is>
          <t>O/W Emulsion stabilized by Polysorbate 80 / Span 80</t>
        </is>
      </c>
      <c r="E70" s="45" t="inlineStr">
        <is>
          <t>W/O Emulsion with Sorbitan monooleate</t>
        </is>
      </c>
      <c r="F70" s="45" t="inlineStr">
        <is>
          <t>Carbopol 940 hydrogel neutralized with Triethanolamine</t>
        </is>
      </c>
      <c r="G70" s="45" t="inlineStr">
        <is>
          <t>Oleaginous Ointment base (White Petrolatum)</t>
        </is>
      </c>
      <c r="H70" s="45" t="inlineStr">
        <is>
          <t>Absorption Ointment base (Lanolin USP)</t>
        </is>
      </c>
      <c r="I70" s="46" t="n">
        <v>1</v>
      </c>
      <c r="J7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Creams &amp; Ointments)
🔍 ข้ออื่นผิดเพราะอะไร:
• ข้อ ข.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46" t="n"/>
      <c r="L70" s="45" t="inlineStr">
        <is>
          <t>Creams &amp; Ointments</t>
        </is>
      </c>
      <c r="M70" s="46" t="inlineStr">
        <is>
          <t>Product</t>
        </is>
      </c>
      <c r="N70" s="45" t="inlineStr">
        <is>
          <t>ข้อ 4 (PLE_CC1_2555 Day 2.md)</t>
        </is>
      </c>
      <c r="O70" s="46" t="inlineStr">
        <is>
          <t>ข้อสอบจริง</t>
        </is>
      </c>
      <c r="P70" s="46" t="inlineStr">
        <is>
          <t>ปี 2555</t>
        </is>
      </c>
    </row>
    <row r="71" ht="13.2" customHeight="1" s="37">
      <c r="A71" s="46" t="n">
        <v>69</v>
      </c>
      <c r="B71" s="45" t="inlineStr">
        <is>
          <t>พบว่าแพ้มาเป็นเวลานาน 3 วันหลังรับประทาน ลักษณะการแพ้แบบนี้เป็น Hypersensitivity ชนิดใด หากใช้เกณฑ์ พิจารณาของ Gell และ Coombs</t>
        </is>
      </c>
      <c r="C71" s="46" t="n"/>
      <c r="D71" s="45" t="inlineStr">
        <is>
          <t>Oleaginous Ointment base (White Petrolatum)</t>
        </is>
      </c>
      <c r="E71" s="45" t="inlineStr">
        <is>
          <t>Absorption Ointment base (Lanolin USP)</t>
        </is>
      </c>
      <c r="F71" s="45" t="inlineStr">
        <is>
          <t>Fatty Suppository base (Hard Fat / Witepsol)</t>
        </is>
      </c>
      <c r="G71" s="45" t="inlineStr">
        <is>
          <t>Simple Syrup USP (85% w/v Sucrose)</t>
        </is>
      </c>
      <c r="H71" s="45" t="inlineStr">
        <is>
          <t>Elixir with 10-20% Alcohol cosolvent</t>
        </is>
      </c>
      <c r="I71" s="46" t="n">
        <v>1</v>
      </c>
      <c r="J7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ข้อนี้ไม่ใช่คำตอบที่ถูกต้องสำหรับภาวะ Gels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Gels เนื่องจากกลไกการออกฤทธิ์, efficacy หรือข้อบ่งใช้ไม่ตรงกับโจทย์ที่กำหนด
• ข้อ ง. (Simple Syrup USP (85% w/v Sucrose)): ข้อนี้ไม่ใช่คำตอบที่ถูกต้องสำหรับภาวะ Gels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46" t="n"/>
      <c r="L71" s="45" t="inlineStr">
        <is>
          <t>Gels</t>
        </is>
      </c>
      <c r="M71" s="46" t="inlineStr">
        <is>
          <t>Product</t>
        </is>
      </c>
      <c r="N71" s="45" t="inlineStr">
        <is>
          <t>ข้อ 2 (PLE_CC1_2555 Day 2.md)</t>
        </is>
      </c>
      <c r="O71" s="46" t="inlineStr">
        <is>
          <t>ข้อสอบจริง</t>
        </is>
      </c>
      <c r="P71" s="46" t="inlineStr">
        <is>
          <t>ปี 2555</t>
        </is>
      </c>
    </row>
    <row r="72" ht="13.2" customHeight="1" s="37">
      <c r="A72" s="46" t="n">
        <v>70</v>
      </c>
      <c r="B72" s="45" t="inlineStr">
        <is>
          <t>สูตรตำรับFeSO4 12.5 mg, Citric acid ...., Paraben 0.1 mg, Syrup to 100 ml ข้อใดถูกต้อง</t>
        </is>
      </c>
      <c r="C72" s="46" t="n"/>
      <c r="D72" s="45" t="inlineStr">
        <is>
          <t>ไม่มีสารแต่งรส</t>
        </is>
      </c>
      <c r="E72" s="45" t="inlineStr">
        <is>
          <t>เก็บในขวดใส</t>
        </is>
      </c>
      <c r="F72" s="45" t="inlineStr">
        <is>
          <t>เก็บในตู้เย็น</t>
        </is>
      </c>
      <c r="G72" s="45" t="inlineStr">
        <is>
          <t>ไม่มี stabilizer</t>
        </is>
      </c>
      <c r="H72" s="45" t="inlineStr">
        <is>
          <t>ปัญหาการละลาย paraben ส่วน FeSO4 ละลายได้ดีในนํ้า</t>
        </is>
      </c>
      <c r="I72" s="46" t="n">
        <v>3</v>
      </c>
      <c r="J72" s="45" t="inlineStr">
        <is>
          <t>✅ คำตอบที่ถูกต้อง: ข้อ ค. เก็บในตู้เย็น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เก็บในตู้เย็น 💡 คำอธิบายและเหตุผลทางเภสัชกรรม:
💡 คำอธิบายและเหตุผลทางเภสัชกรรม:
การเลือก เก็บในตู้เย็น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ก. (ไม่มีสารแต่งรส): ข้อนี้ไม่ใช่คำตอบที่ถูกต้องสำหรับภาวะ Solutions, Syrups &amp; Elixirs เนื่องจากกลไกการออกฤทธิ์, efficacy หรือข้อบ่งใช้ไม่ตรงกับโจทย์ที่กำหนด
• ข้อ ข. (เก็บในขวดใส): ข้อนี้ไม่ใช่คำตอบที่ถูกต้องสำหรับภาวะ Solutions, Syrups &amp; Elixirs เนื่องจากกลไกการออกฤทธิ์, efficacy หรือข้อบ่งใช้ไม่ตรงกับโจทย์ที่กำหนด
• ข้อ ง. (ไม่มี stabilizer): ข้อนี้ไม่ใช่คำตอบที่ถูกต้องสำหรับภาวะ Solutions, Syrups &amp; Elixirs เนื่องจากกลไกการออกฤทธิ์, efficacy หรือข้อบ่งใช้ไม่ตรงกับโจทย์ที่กำหนด
• ข้อ จ. (ปัญหาการละลาย paraben ส่วน FeSO4 ละลายได้ดีในนํ้า):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46" t="n"/>
      <c r="L72" s="45" t="inlineStr">
        <is>
          <t>Solutions, Syrups &amp; Elixirs</t>
        </is>
      </c>
      <c r="M72" s="46" t="inlineStr">
        <is>
          <t>Product</t>
        </is>
      </c>
      <c r="N72" s="45" t="inlineStr">
        <is>
          <t>ข้อ 5 (PLE_CC1_2554 SET2.md)</t>
        </is>
      </c>
      <c r="O72" s="46" t="inlineStr">
        <is>
          <t>ข้อสอบจริง</t>
        </is>
      </c>
      <c r="P72" s="46" t="inlineStr">
        <is>
          <t>ปี 2554</t>
        </is>
      </c>
    </row>
    <row r="73" ht="13.2" customHeight="1" s="37">
      <c r="A73" s="46" t="n">
        <v>71</v>
      </c>
      <c r="B73" s="45" t="inlineStr">
        <is>
          <t>ถ้าต่อมาพบว่าเด็กน้อยคนนี้ติด E.coli ควรให้ยาปฏิชีวนะอะไรกับเด็กน้อย ตอบ โดยทั่วไป โรคอุจจาระร่วงหายเองได้ แม้ว่าจะเกิดจากการติดเชื้อแบคทีเรียก็ตาม ไม่มีความจำเป็นที่ต้องให้ยาปฏิชีวนะทุกราย การรักษาด้วยยาปฏิชีวนะมีข้อบ่งชี้สำหรับการติดเชื้อต่อไปนี้ - Shigella - Vibrio cholerae - Campylobacter (หากเป็น dysentery และในสถานเลี้ยงเด็ก) - Clostridium difficile-associated pseudomembranous colitis - Giardiasis - amoebiasis - ส่วนSalmonella ควรให้ยาปฏิชีวนะในเด็กที่มีภูมิคุ้มกันบกพร่องหรือกินยากดภูมิคุ้มกันและทารกตํ่ากว่า 6 เดือน เพื่อป้องกันการติดเชื้อในกระแสเลือด ดังนั้น การติดเชื้อ E.coli ไม่จำเป็นต้องให้ยาปฏิชีวนะ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t>
        </is>
      </c>
      <c r="C73" s="46" t="n"/>
      <c r="D73" s="45" t="inlineStr">
        <is>
          <t>Deflocculated Suspension formulation</t>
        </is>
      </c>
      <c r="E73" s="45" t="inlineStr">
        <is>
          <t>O/W Emulsion stabilized by Polysorbate 80 / Span 80</t>
        </is>
      </c>
      <c r="F73" s="45" t="inlineStr">
        <is>
          <t>W/O Emulsion with Sorbitan monooleate</t>
        </is>
      </c>
      <c r="G73" s="45" t="inlineStr">
        <is>
          <t>Carbopol 940 hydrogel neutralized with Triethanolamine</t>
        </is>
      </c>
      <c r="H73" s="45" t="inlineStr">
        <is>
          <t>Oleaginous Ointment base (White Petrolatum)</t>
        </is>
      </c>
      <c r="I73" s="46" t="n">
        <v>1</v>
      </c>
      <c r="J7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46" t="n"/>
      <c r="L73" s="45" t="inlineStr">
        <is>
          <t>Gels</t>
        </is>
      </c>
      <c r="M73" s="46" t="inlineStr">
        <is>
          <t>Product</t>
        </is>
      </c>
      <c r="N73" s="45" t="inlineStr">
        <is>
          <t>ข้อ 4 (PLE_CC1_2554 SET2.md)</t>
        </is>
      </c>
      <c r="O73" s="46" t="inlineStr">
        <is>
          <t>ข้อสอบจริง</t>
        </is>
      </c>
      <c r="P73" s="46" t="inlineStr">
        <is>
          <t>ปี 2554</t>
        </is>
      </c>
    </row>
    <row r="74" ht="13.2" customHeight="1" s="37">
      <c r="A74" s="46" t="n">
        <v>72</v>
      </c>
      <c r="B74" s="45" t="inlineStr">
        <is>
          <t>แพทย์กำหนดให้ใช้ cotrimoxazole 24 mg/kg/day bid 3 days มียา cotrimoxazole suspension 200 mg/tsp ต้องให้ยังไง เด็กนํ้าหนัก 10 kg จึงต้องได้รับ 10ข24 mg /day = 240 mg /day 240 mg แบ่งให้วันละ 2 ครั้ง จึงต้องได้รับครั้งละ 2 = 120 mg/dose ยา 200 mg อยู่ใน 5 ml 120ข5 ดังนั้นยา 120 mg อยู่ใน 200 = 3 ml ดังนั้นป้อนยาเด็กกินครั้งละ 3 ml โดยใช้กระบอกฉีดยาหรือหลอดหยด วันละ 2 ครั้ง เช้า-เย็น เป็นเวลาติดต่อกัน 3 วัน</t>
        </is>
      </c>
      <c r="C74" s="46" t="n"/>
      <c r="D74" s="45" t="inlineStr">
        <is>
          <t>Carbopol 940 hydrogel neutralized with Triethanolamine</t>
        </is>
      </c>
      <c r="E74" s="45" t="inlineStr">
        <is>
          <t>Oleaginous Ointment base (White Petrolatum)</t>
        </is>
      </c>
      <c r="F74" s="45" t="inlineStr">
        <is>
          <t>Absorption Ointment base (Lanolin USP)</t>
        </is>
      </c>
      <c r="G74" s="45" t="inlineStr">
        <is>
          <t>Fatty Suppository base (Hard Fat / Witepsol)</t>
        </is>
      </c>
      <c r="H74" s="45" t="inlineStr">
        <is>
          <t>Simple Syrup USP (85% w/v Sucrose)</t>
        </is>
      </c>
      <c r="I74" s="46" t="n">
        <v>3</v>
      </c>
      <c r="J74" s="45" t="inlineStr">
        <is>
          <t>✅ คำตอบที่ถูกต้อง: ข้อ ค. Absorption Ointment base (Lanolin USP)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ก.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ข้อ ข. (Oleaginous Ointment base (White Petrolatum)): ข้อนี้ไม่ใช่คำตอบที่ถูกต้องสำหรับภาวะ Suspensions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Suspensions เนื่องจากกลไกการออกฤทธิ์, efficacy หรือข้อบ่งใช้ไม่ตรงกับโจทย์ที่กำหนด
• ข้อ จ. (Simple Syrup USP (85% w/v Sucrose)):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46" t="n"/>
      <c r="L74" s="45" t="inlineStr">
        <is>
          <t>Suspensions</t>
        </is>
      </c>
      <c r="M74" s="46" t="inlineStr">
        <is>
          <t>Product</t>
        </is>
      </c>
      <c r="N74" s="45" t="inlineStr">
        <is>
          <t>ข้อ 6 (PLE_CC1_2554 SET2.md)</t>
        </is>
      </c>
      <c r="O74" s="46" t="inlineStr">
        <is>
          <t>ข้อสอบจริง</t>
        </is>
      </c>
      <c r="P74" s="46" t="inlineStr">
        <is>
          <t>ปี 2554</t>
        </is>
      </c>
    </row>
    <row r="75" ht="13.2" customHeight="1" s="37">
      <c r="A75" s="46" t="n">
        <v>73</v>
      </c>
      <c r="B75" s="45" t="inlineStr">
        <is>
          <t>เพิ่มความคงตัว ตอบ คิดว่าเพิ่มการปลดปล่อยยา แต่ไม่แน่ใจนะ เลยหาข้อมูลมาให้ประกอบการตัดสินใจ ข้อดีของ soft gelatin capsules  เพิ่มการดูดซึมของยา  ช่วยกลบรสชาติที่ไม่ดีของยา  ปรับปริมาตรยาได้ง่ายเนื่องจากเป็นของเหลว  เพิ่มความคงตัว 4 เภสัชกรจึงจ่ายยาทาภายนอกที่เป็นอนุพันธ์ของวิตามินเอ ข้อใดเป็นคำแนะนำในการใช้ยานี้</t>
        </is>
      </c>
      <c r="C75" s="46" t="n"/>
      <c r="D75" s="45" t="inlineStr">
        <is>
          <t>Fatty Suppository base (Hard Fat / Witepsol)</t>
        </is>
      </c>
      <c r="E75" s="45" t="inlineStr">
        <is>
          <t>Simple Syrup USP (85% w/v Sucrose)</t>
        </is>
      </c>
      <c r="F75" s="45" t="inlineStr">
        <is>
          <t>Elixir with 10-20% Alcohol cosolvent</t>
        </is>
      </c>
      <c r="G75" s="45" t="inlineStr">
        <is>
          <t>Flocculated Oral Suspension with Xanthan Gum</t>
        </is>
      </c>
      <c r="H75" s="45" t="inlineStr">
        <is>
          <t>Deflocculated Suspension formulation</t>
        </is>
      </c>
      <c r="I75" s="46" t="n">
        <v>1</v>
      </c>
      <c r="J7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ข้อนี้ไม่ใช่คำตอบที่ถูกต้องสำหรับภาวะ Gels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46" t="n"/>
      <c r="L75" s="45" t="inlineStr">
        <is>
          <t>Gels</t>
        </is>
      </c>
      <c r="M75" s="46" t="inlineStr">
        <is>
          <t>Product</t>
        </is>
      </c>
      <c r="N75" s="45" t="inlineStr">
        <is>
          <t>ข้อ 2 (PLE_CC1_2533.md)</t>
        </is>
      </c>
      <c r="O75" s="46" t="inlineStr">
        <is>
          <t>ข้อสอบจริง</t>
        </is>
      </c>
      <c r="P75" s="46" t="inlineStr">
        <is>
          <t>ปี 2533</t>
        </is>
      </c>
    </row>
    <row r="76" ht="13.2" customHeight="1" s="37">
      <c r="A76" s="46" t="n">
        <v>74</v>
      </c>
      <c r="B76" s="45" t="inlineStr">
        <is>
          <t>vitamin E , D , K ในตำรับ emulsion</t>
        </is>
      </c>
      <c r="C76" s="46" t="n"/>
      <c r="D76" s="45" t="inlineStr">
        <is>
          <t>Flocculated Oral Suspension with Xanthan Gum</t>
        </is>
      </c>
      <c r="E76" s="45" t="inlineStr">
        <is>
          <t>Deflocculated Suspension formulation</t>
        </is>
      </c>
      <c r="F76" s="45" t="inlineStr">
        <is>
          <t>O/W Emulsion stabilized by Polysorbate 80 / Span 80</t>
        </is>
      </c>
      <c r="G76" s="45" t="inlineStr">
        <is>
          <t>W/O Emulsion with Sorbitan monooleate</t>
        </is>
      </c>
      <c r="H76" s="45" t="inlineStr">
        <is>
          <t>Carbopol 940 hydrogel neutralized with Triethanolamine</t>
        </is>
      </c>
      <c r="I76" s="46" t="n">
        <v>1</v>
      </c>
      <c r="J7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(Deflocculated Suspension formulation): ข้อนี้ไม่ใช่คำตอบที่ถูกต้องสำหรับภาวะ Emulsions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46" t="n"/>
      <c r="L76" s="45" t="inlineStr">
        <is>
          <t>Emulsions</t>
        </is>
      </c>
      <c r="M76" s="46" t="inlineStr">
        <is>
          <t>Product</t>
        </is>
      </c>
      <c r="N76" s="45" t="inlineStr">
        <is>
          <t>ข้อ 1 (PLE_CC1_2533.md)</t>
        </is>
      </c>
      <c r="O76" s="46" t="inlineStr">
        <is>
          <t>ข้อสอบจริง</t>
        </is>
      </c>
      <c r="P76" s="46" t="inlineStr">
        <is>
          <t>ปี 2533</t>
        </is>
      </c>
    </row>
    <row r="77" ht="13.2" customHeight="1" s="37">
      <c r="A77" s="46" t="n">
        <v>75</v>
      </c>
      <c r="B77" s="45" t="inlineStr">
        <is>
          <t>Suspensions ตอบ Emulsion เพราะวิตามินในตำรับมีทั้งรูปแบบละลายในน้ำมันคือ วิตามิน A , D , E , K และวิตามินละลายใน น้ำผสมอยู่ด้วยกันดังนั้นจึงต้องทำในรูปแบบ emulsion นอกจากนี้ยังสังเกตได้จากมี egg lecithin ซึ่งทำหน้าที่เป็น emulsifier ในตำรับด้วย</t>
        </is>
      </c>
      <c r="C77" s="46" t="n"/>
      <c r="D77" s="45" t="inlineStr">
        <is>
          <t>W/O Emulsion with Sorbitan monooleate</t>
        </is>
      </c>
      <c r="E77" s="45" t="inlineStr">
        <is>
          <t>Carbopol 940 hydrogel neutralized with Triethanolamine</t>
        </is>
      </c>
      <c r="F77" s="45" t="inlineStr">
        <is>
          <t>Oleaginous Ointment base (White Petrolatum)</t>
        </is>
      </c>
      <c r="G77" s="45" t="inlineStr">
        <is>
          <t>Absorption Ointment base (Lanolin USP)</t>
        </is>
      </c>
      <c r="H77" s="45" t="inlineStr">
        <is>
          <t>Fatty Suppository base (Hard Fat / Witepsol)</t>
        </is>
      </c>
      <c r="I77" s="46" t="n">
        <v>1</v>
      </c>
      <c r="J7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ข้อนี้ไม่ใช่คำตอบที่ถูกต้องสำหรับภาวะ Suspensions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Suspensions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Suspensions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Suspensions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46" t="n"/>
      <c r="L77" s="45" t="inlineStr">
        <is>
          <t>Suspensions</t>
        </is>
      </c>
      <c r="M77" s="46" t="inlineStr">
        <is>
          <t>Product</t>
        </is>
      </c>
      <c r="N77" s="45" t="inlineStr">
        <is>
          <t>ข้อ 5 (PLE_CC1_2533.md)</t>
        </is>
      </c>
      <c r="O77" s="46" t="inlineStr">
        <is>
          <t>ข้อสอบจริง</t>
        </is>
      </c>
      <c r="P77" s="46" t="inlineStr">
        <is>
          <t>ปี 2533</t>
        </is>
      </c>
    </row>
    <row r="78" ht="13.2" customHeight="1" s="37">
      <c r="A78" s="46" t="n">
        <v>76</v>
      </c>
      <c r="B78" s="45" t="inlineStr">
        <is>
          <t>ผู้ป่วยหญิงไทยอายุ 20 ปี มาขอคำปรึกษาเรื่องยารักษาสิว จากการซักประวัติเบื้องต้นพบว่า เป็นสิวอักเสบ และสิวอุดตันจำนวนมาก มียาที่ใช้อยู่ปัจจุบัน คือ clindamycin gel ทาวันละ 2 ครั้ง ในฐานะเภสัชกรท่านคิด ว่าการรักษาของผู้ป่วยรายนี้เหมาะสมหรือไม่ อย่างไร</t>
        </is>
      </c>
      <c r="C78" s="46" t="n"/>
      <c r="D78" s="45" t="inlineStr">
        <is>
          <t>ไม่เหมาะสม เนื่องจากยา clindamycin ต้องใช้รักษาสิววันละครั้ง ก่อนนอนเท่านั้น</t>
        </is>
      </c>
      <c r="E78" s="45" t="inlineStr">
        <is>
          <t>ไม่เหมาะสม เนื่องจากการใช้ยา clindamycin เป็นยาเดี่ยวจะทำให้ดื้อยาได้ ต้องใช้คู่กับ antibiotic แบบรับประทานด้วย</t>
        </is>
      </c>
      <c r="F78" s="45" t="inlineStr">
        <is>
          <t>ไม่เหมาะสม เนื่องจากการใช้ยา clindamycin เป็นยาเดี่ยวจะทำให้ดื้อยาได้ ต้องใช้คู่กับ benzoyl peroxide</t>
        </is>
      </c>
      <c r="G78" s="45" t="inlineStr">
        <is>
          <t>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t>
        </is>
      </c>
      <c r="H78" s="45" t="inlineStr">
        <is>
          <t>เหมาะสม เนื่องจากการใช้ clindamycin gel จะทำป้องกันการกลับมาเป็นสิวซ้ำได้ ถ้าใช้เป็นระยะ เวลานาน</t>
        </is>
      </c>
      <c r="I78" s="46" t="n">
        <v>1</v>
      </c>
      <c r="J78" s="45" t="inlineStr">
        <is>
          <t>✅ คำตอบที่ถูกต้อง: ข้อ ก. ไม่เหมาะสม เนื่องจากยา clindamycin ต้องใช้รักษาสิววันละครั้ง ก่อนนอนเท่านั้น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ไม่เหมาะสม เนื่องจากยา clindamycin ต้องใช้รักษาสิววันละครั้ง ก่อนนอนเท่านั้น 💡 คำอธิบายและเหตุผลทางเภสัชกรรม:
💡 คำอธิบายและเหตุผลทางเภสัชกรรม:
การเลือก ไม่เหมาะสม เนื่องจากยา clindamycin ต้องใช้รักษาสิววันละครั้ง ก่อนนอนเท่านั้น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(ไม่เหมาะสม เนื่องจากการใช้ยา clindamycin เป็นยาเดี่ยวจะทำให้ดื้อยาได้ ต้องใช้คู่กับ antibiotic แบบรับประทานด้วย): ข้อนี้ไม่ใช่คำตอบที่ถูกต้องสำหรับภาวะ Gels เนื่องจากกลไกการออกฤทธิ์, efficacy หรือข้อบ่งใช้ไม่ตรงกับโจทย์ที่กำหนด
• ข้อ ค. (ไม่เหมาะสม เนื่องจากการใช้ยา clindamycin เป็นยาเดี่ยวจะทำให้ดื้อยาได้ ต้องใช้คู่กับ benzoyl peroxide): ข้อนี้ไม่ใช่คำตอบที่ถูกต้องสำหรับภาวะ Gels เนื่องจากกลไกการออกฤทธิ์, efficacy หรือข้อบ่งใช้ไม่ตรงกับโจทย์ที่กำหนด
• ข้อ ง.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ข้อนี้ไม่ใช่คำตอบที่ถูกต้องสำหรับภาวะ Gels เนื่องจากกลไกการออกฤทธิ์, efficacy หรือข้อบ่งใช้ไม่ตรงกับโจทย์ที่กำหนด
• ข้อ จ. (เหมาะสม เนื่องจากการใช้ clindamycin gel จะทำป้องกันการกลับมาเป็นสิวซ้ำได้ ถ้าใช้เป็นระยะ เวลานาน):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46" t="n"/>
      <c r="L78" s="45" t="inlineStr">
        <is>
          <t>Gels</t>
        </is>
      </c>
      <c r="M78" s="46" t="inlineStr">
        <is>
          <t>Product</t>
        </is>
      </c>
      <c r="N78" s="45" t="inlineStr">
        <is>
          <t>ข้อ 5 (PLE_CC1_Practice_Exam.md)</t>
        </is>
      </c>
      <c r="O78" s="46" t="inlineStr">
        <is>
          <t>Mock</t>
        </is>
      </c>
      <c r="P78" s="46" t="inlineStr">
        <is>
          <t>Mock สภาเภสัชฯ Practice</t>
        </is>
      </c>
    </row>
    <row r="79" ht="13.2" customHeight="1" s="37">
      <c r="A79" s="46" t="n">
        <v>77</v>
      </c>
      <c r="B79" s="45" t="inlineStr">
        <is>
          <t>ผู้ป่วยหญิงอายุ 17 ปี มีผื่นขึ้นและคันบริเวณไรผม หนังศีรษะ ลำตัว แขน ขาและข้อพับ รอยโรคมีลักษณะ เป็นผื่นแดง มีขอบเขตชัดเจน มีสะเก็ดสีขาว เมื่อดึงสะเก็ดออกแล้วเห็นจุดเลือดออกอยู่ใต้ผิวหนัง ผู้ป่วยได้ใช้ Selsonห มา 3-4 สัปดาห์แล้วพบว่าไม่หาย จึงได้มาพบแพทย์ แพทย์วินิจฉัยว่าเป็นโรคสะเก็ดเงิน จึงพิจารณา จ่ายยาทา Corticosteroid ให้ ซึ่งยาทา Corticosteroid ในโรงพยาบาลมีดังต่อไปนี้ A= Hydrocortisone cream B= Fluticasone propionate cream C= Betamethasone valerate ointment D= Clobetasol propionate cream จากยาทา Corticosteroid ที่กำหนดให้ จงเรียงความเรียงของการออกฤทธิ์</t>
        </is>
      </c>
      <c r="C79" s="46" t="n"/>
      <c r="D79" s="45" t="inlineStr">
        <is>
          <t>B&gt;C&gt;D&gt;A</t>
        </is>
      </c>
      <c r="E79" s="45" t="inlineStr">
        <is>
          <t>D&gt;B&gt;C&gt;A</t>
        </is>
      </c>
      <c r="F79" s="45" t="inlineStr">
        <is>
          <t>C&gt;D&gt;B&gt;A</t>
        </is>
      </c>
      <c r="G79" s="45" t="inlineStr">
        <is>
          <t>C&gt;B&gt;D&gt;A</t>
        </is>
      </c>
      <c r="H79" s="45" t="inlineStr">
        <is>
          <t>D&gt;C&gt;B&gt;A</t>
        </is>
      </c>
      <c r="I79" s="46" t="n">
        <v>1</v>
      </c>
      <c r="J79" s="45" t="inlineStr">
        <is>
          <t>✅ คำตอบที่ถูกต้อง: ข้อ ก. B&gt;C&gt;D&gt;A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B&gt;C&gt;D&gt;A 💡 คำอธิบายและเหตุผลทางเภสัชกรรม:
💡 คำอธิบายและเหตุผลทางเภสัชกรรม:
การเลือก B&gt;C&gt;D&gt;A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(D&gt;B&gt;C&gt;A): ข้อนี้ไม่ใช่คำตอบที่ถูกต้องสำหรับภาวะ Creams &amp; Ointments เนื่องจากกลไกการออกฤทธิ์, efficacy หรือข้อบ่งใช้ไม่ตรงกับโจทย์ที่กำหนด
• ข้อ ค. (C&gt;D&gt;B&gt;A): ข้อนี้ไม่ใช่คำตอบที่ถูกต้องสำหรับภาวะ Creams &amp; Ointments เนื่องจากกลไกการออกฤทธิ์, efficacy หรือข้อบ่งใช้ไม่ตรงกับโจทย์ที่กำหนด
• ข้อ ง. (C&gt;B&gt;D&gt;A): ข้อนี้ไม่ใช่คำตอบที่ถูกต้องสำหรับภาวะ Creams &amp; Ointments เนื่องจากกลไกการออกฤทธิ์, efficacy หรือข้อบ่งใช้ไม่ตรงกับโจทย์ที่กำหนด
• ข้อ จ. (D&gt;C&gt;B&gt;A):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46" t="n"/>
      <c r="L79" s="45" t="inlineStr">
        <is>
          <t>Creams &amp; Ointments</t>
        </is>
      </c>
      <c r="M79" s="46" t="inlineStr">
        <is>
          <t>Product</t>
        </is>
      </c>
      <c r="N79" s="45" t="inlineStr">
        <is>
          <t>ข้อ 31 (PLE_CC1_Practice_Exam.md)</t>
        </is>
      </c>
      <c r="O79" s="46" t="inlineStr">
        <is>
          <t>Mock</t>
        </is>
      </c>
      <c r="P79" s="46" t="inlineStr">
        <is>
          <t>Mock สภาเภสัชฯ Practice</t>
        </is>
      </c>
    </row>
    <row r="80" ht="13.2" customHeight="1" s="37">
      <c r="A80" s="46" t="n">
        <v>78</v>
      </c>
      <c r="B80" s="45" t="inlineStr">
        <is>
          <t>จากสูตรตำรับยาเหน็บทวารหนัก ถ้าต้องการใช้สารหล่อลื่นในการผลิตยาเหน็บควรใช้สารในข้อใด Rx 1 Master formula Clotrimazole (DV = 1.3) 250 mg Glycero-gelatin base qs. to 1 g</t>
        </is>
      </c>
      <c r="C80" s="46" t="n"/>
      <c r="D80" s="45" t="inlineStr">
        <is>
          <t>Glycerin</t>
        </is>
      </c>
      <c r="E80" s="45" t="inlineStr">
        <is>
          <t>Silicones</t>
        </is>
      </c>
      <c r="F80" s="45" t="inlineStr">
        <is>
          <t>Propylene glycol</t>
        </is>
      </c>
      <c r="G80" s="45" t="inlineStr">
        <is>
          <t>Mineral oil</t>
        </is>
      </c>
      <c r="H80" s="45" t="inlineStr">
        <is>
          <t>Soft soap containing alcohol</t>
        </is>
      </c>
      <c r="I80" s="46" t="n">
        <v>1</v>
      </c>
      <c r="J80" s="45" t="inlineStr">
        <is>
          <t>✅ คำตอบที่ถูกต้อง: ข้อ ก. Glycerin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Glycerin 💡 คำอธิบายและเหตุผลทางเภสัชกรรม:
💡 คำอธิบายและเหตุผลทางเภสัชกรรม:
การเลือก Glycerin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(Silicones): ข้อนี้ไม่ใช่คำตอบที่ถูกต้องสำหรับภาวะ Gels เนื่องจากกลไกการออกฤทธิ์, efficacy หรือข้อบ่งใช้ไม่ตรงกับโจทย์ที่กำหนด
• ข้อ ค. (Propylene glycol): ข้อนี้ไม่ใช่คำตอบที่ถูกต้องสำหรับภาวะ Gels เนื่องจากกลไกการออกฤทธิ์, efficacy หรือข้อบ่งใช้ไม่ตรงกับโจทย์ที่กำหนด
• ข้อ ง. (Mineral oil): ข้อนี้ไม่ใช่คำตอบที่ถูกต้องสำหรับภาวะ Gels เนื่องจากกลไกการออกฤทธิ์, efficacy หรือข้อบ่งใช้ไม่ตรงกับโจทย์ที่กำหนด
• ข้อ จ. (Soft soap containing alcohol):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46" t="n"/>
      <c r="L80" s="45" t="inlineStr">
        <is>
          <t>Gels</t>
        </is>
      </c>
      <c r="M80" s="46" t="inlineStr">
        <is>
          <t>Product</t>
        </is>
      </c>
      <c r="N80" s="45" t="inlineStr">
        <is>
          <t>ข้อ 24 (PLE_CC1_Practice_Exam.md)</t>
        </is>
      </c>
      <c r="O80" s="46" t="inlineStr">
        <is>
          <t>Mock</t>
        </is>
      </c>
      <c r="P80" s="46" t="inlineStr">
        <is>
          <t>Mock สภาเภสัชฯ Practice</t>
        </is>
      </c>
    </row>
    <row r="81" ht="13.2" customHeight="1" s="37">
      <c r="A81" s="46" t="n">
        <v>79</v>
      </c>
      <c r="B81" s="45" t="inlineStr">
        <is>
          <t>เภสัชภัณฑ์รูปแบบของเหลว (Liquid dosage form) โดย ฝ่ายวิชาการ สโมสรนักศึกษาคณะเภสัชศาสตร์ มหาวิทยาลัยพายัพ - ยาน้ำใส</t>
        </is>
      </c>
      <c r="C81" s="46" t="n"/>
      <c r="D81" s="45" t="inlineStr">
        <is>
          <t>Oleaginous Ointment base (White Petrolatum)</t>
        </is>
      </c>
      <c r="E81" s="45" t="inlineStr">
        <is>
          <t>Absorption Ointment base (Lanolin USP)</t>
        </is>
      </c>
      <c r="F81" s="45" t="inlineStr">
        <is>
          <t>Fatty Suppository base (Hard Fat / Witepsol)</t>
        </is>
      </c>
      <c r="G81" s="45" t="inlineStr">
        <is>
          <t>Simple Syrup USP (85% w/v Sucrose)</t>
        </is>
      </c>
      <c r="H81" s="45" t="inlineStr">
        <is>
          <t>Elixir with 10-20% Alcohol cosolvent</t>
        </is>
      </c>
      <c r="I81" s="46" t="n">
        <v>1</v>
      </c>
      <c r="J8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ข้อนี้ไม่ใช่คำตอบที่ถูกต้องสำหรับภาวะ Solutions, Syrups &amp; Elixirs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Solutions, Syrups &amp; Elixirs เนื่องจากกลไกการออกฤทธิ์, efficacy หรือข้อบ่งใช้ไม่ตรงกับโจทย์ที่กำหนด
• ข้อ ง. (Simple Syrup USP (85% w/v Sucrose)): ข้อนี้ไม่ใช่คำตอบที่ถูกต้องสำหรับภาวะ Solutions, Syrups &amp; Elixirs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46" t="n"/>
      <c r="L81" s="45" t="inlineStr">
        <is>
          <t>Solutions, Syrups &amp; Elixirs</t>
        </is>
      </c>
      <c r="M81" s="46" t="inlineStr">
        <is>
          <t>Product</t>
        </is>
      </c>
      <c r="N81" s="45" t="inlineStr">
        <is>
          <t>ข้อ 14 (PLE_CC1_Practice_Exam.md)</t>
        </is>
      </c>
      <c r="O81" s="46" t="inlineStr">
        <is>
          <t>Mock</t>
        </is>
      </c>
      <c r="P81" s="46" t="inlineStr">
        <is>
          <t>Mock สภาเภสัชฯ Practice</t>
        </is>
      </c>
    </row>
    <row r="82" ht="13.2" customHeight="1" s="37">
      <c r="A82" s="46" t="n">
        <v>80</v>
      </c>
      <c r="B82" s="45" t="inlineStr">
        <is>
          <t>Dry Gum Method (Addition of external phase to internal phase) ให้ตวงน้ำมันลงในโกร่งให้ หมดแล้วใส่ emulsifier พร้อมคน 1-2 นาทีให้ผสมเข้ากันจากนั้นจึงใส่น้ำทั้งหมดในทีเดียวโดยให้ 310 เภสัชภัณฑ์รูปแบบของเหลว (Liquid dosage form) ฝ่ายวิชาการ สโมสรนักศึกษาคณะเภสัชศาสตร์ มหาวิทยาลัยพายัพ สหพันธ์นิสิตนักศึกษาเภสัชศาสตร์แห่งประเทศไทย (สนภท.) shear อย่างเบาๆ และรวดเร็วจนเกิด cracking sound (เสียงของการแตกของหยดน้ำมันในของเหลว ที่เป็นเมือกเหนียว) แล้วปั่นต่ออีก 5 นาที จะ ได้ primary emulsion แล้วค่อยใส่สารอื่นที่เหลือ</t>
        </is>
      </c>
      <c r="C82" s="46" t="n"/>
      <c r="D82" s="45" t="inlineStr">
        <is>
          <t>Simple Syrup USP (85% w/v Sucrose)</t>
        </is>
      </c>
      <c r="E82" s="45" t="inlineStr">
        <is>
          <t>Elixir with 10-20% Alcohol cosolvent</t>
        </is>
      </c>
      <c r="F82" s="45" t="inlineStr">
        <is>
          <t>Flocculated Oral Suspension with Xanthan Gum</t>
        </is>
      </c>
      <c r="G82" s="45" t="inlineStr">
        <is>
          <t>Deflocculated Suspension formulation</t>
        </is>
      </c>
      <c r="H82" s="45" t="inlineStr">
        <is>
          <t>O/W Emulsion stabilized by Polysorbate 80 / Span 80</t>
        </is>
      </c>
      <c r="I82" s="46" t="n">
        <v>1</v>
      </c>
      <c r="J8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ข้อนี้ไม่ใช่คำตอบที่ถูกต้องสำหรับภาวะ Emulsions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Emulsions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46" t="n"/>
      <c r="L82" s="45" t="inlineStr">
        <is>
          <t>Emulsions</t>
        </is>
      </c>
      <c r="M82" s="46" t="inlineStr">
        <is>
          <t>Product</t>
        </is>
      </c>
      <c r="N82" s="45" t="inlineStr">
        <is>
          <t>ข้อ 1 (PLE_CC1_Practice_Exam.md)</t>
        </is>
      </c>
      <c r="O82" s="46" t="inlineStr">
        <is>
          <t>Mock</t>
        </is>
      </c>
      <c r="P82" s="46" t="inlineStr">
        <is>
          <t>Mock สภาเภสัชฯ Practice</t>
        </is>
      </c>
    </row>
    <row r="83" ht="13.2" customHeight="1" s="37">
      <c r="A83" s="46" t="n">
        <v>81</v>
      </c>
      <c r="B83" s="45" t="inlineStr">
        <is>
          <t>Zinc Cream BP Rx Zinc Oxide, Finely sifted 320 g Calcium Hydroxide 0.45 g Oleic acid 5 ml Arachis oil 320 ml Wool Fat 80 g Purified water q.s. 100 ml จากสูตรตำรับข้างต้นข้อความใดต่อไปนี้ถูกต้อง</t>
        </is>
      </c>
      <c r="C83" s="46" t="n"/>
      <c r="D83" s="45" t="inlineStr">
        <is>
          <t>Deflocculated Suspension formulation</t>
        </is>
      </c>
      <c r="E83" s="45" t="inlineStr">
        <is>
          <t>O/W Emulsion stabilized by Polysorbate 80 / Span 80</t>
        </is>
      </c>
      <c r="F83" s="45" t="inlineStr">
        <is>
          <t>W/O Emulsion with Sorbitan monooleate</t>
        </is>
      </c>
      <c r="G83" s="45" t="inlineStr">
        <is>
          <t>Carbopol 940 hydrogel neutralized with Triethanolamine</t>
        </is>
      </c>
      <c r="H83" s="45" t="inlineStr">
        <is>
          <t>Oleaginous Ointment base (White Petrolatum)</t>
        </is>
      </c>
      <c r="I83" s="46" t="n">
        <v>1</v>
      </c>
      <c r="J8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46" t="n"/>
      <c r="L83" s="45" t="inlineStr">
        <is>
          <t>Creams &amp; Ointments</t>
        </is>
      </c>
      <c r="M83" s="46" t="inlineStr">
        <is>
          <t>Product</t>
        </is>
      </c>
      <c r="N83" s="45" t="inlineStr">
        <is>
          <t>ข้อ 4 (PLE_CC1_Practice_Exam.md)</t>
        </is>
      </c>
      <c r="O83" s="46" t="inlineStr">
        <is>
          <t>Mock</t>
        </is>
      </c>
      <c r="P83" s="46" t="inlineStr">
        <is>
          <t>Mock สภาเภสัชฯ Practice</t>
        </is>
      </c>
    </row>
    <row r="84" ht="13.2" customHeight="1" s="37">
      <c r="A84" s="46" t="n">
        <v>82</v>
      </c>
      <c r="B84" s="45" t="inlineStr">
        <is>
          <t>สูตรตำรับข้างต้นเป็นครีมชนิดน้ำในน้ำมัน</t>
        </is>
      </c>
      <c r="C84" s="46" t="n"/>
      <c r="D84" s="45" t="inlineStr">
        <is>
          <t>Carbopol 940 hydrogel neutralized with Triethanolamine</t>
        </is>
      </c>
      <c r="E84" s="45" t="inlineStr">
        <is>
          <t>Oleaginous Ointment base (White Petrolatum)</t>
        </is>
      </c>
      <c r="F84" s="45" t="inlineStr">
        <is>
          <t>Absorption Ointment base (Lanolin USP)</t>
        </is>
      </c>
      <c r="G84" s="45" t="inlineStr">
        <is>
          <t>Fatty Suppository base (Hard Fat / Witepsol)</t>
        </is>
      </c>
      <c r="H84" s="45" t="inlineStr">
        <is>
          <t>Simple Syrup USP (85% w/v Sucrose)</t>
        </is>
      </c>
      <c r="I84" s="46" t="n">
        <v>1</v>
      </c>
      <c r="J8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46" t="n"/>
      <c r="L84" s="45" t="inlineStr">
        <is>
          <t>Creams &amp; Ointments</t>
        </is>
      </c>
      <c r="M84" s="46" t="inlineStr">
        <is>
          <t>Product</t>
        </is>
      </c>
      <c r="N84" s="45" t="inlineStr">
        <is>
          <t>ข้อ 2 (PLE_CC1_Practice_Exam.md)</t>
        </is>
      </c>
      <c r="O84" s="46" t="inlineStr">
        <is>
          <t>Mock</t>
        </is>
      </c>
      <c r="P84" s="46" t="inlineStr">
        <is>
          <t>Mock สภาเภสัชฯ Practice</t>
        </is>
      </c>
    </row>
    <row r="85" ht="13.2" customHeight="1" s="37">
      <c r="A85" s="46" t="n">
        <v>83</v>
      </c>
      <c r="B85" s="45" t="inlineStr">
        <is>
          <t>จากสูตรตำรับข้างต้นเป็นการใช้ยาพื้นขี้ผึ้ง (Ointment base) แบบใด</t>
        </is>
      </c>
      <c r="C85" s="46" t="n"/>
      <c r="D85" s="45" t="inlineStr">
        <is>
          <t>ยาพื้นชนิดเป็นมัน</t>
        </is>
      </c>
      <c r="E85" s="45" t="inlineStr">
        <is>
          <t>ยาพื้นชนิดดูดน้ำได้</t>
        </is>
      </c>
      <c r="F85" s="45" t="inlineStr">
        <is>
          <t>ยาพื้นอิมัลชันชนิด w/o</t>
        </is>
      </c>
      <c r="G85" s="45" t="inlineStr">
        <is>
          <t>ยาพื้นอิมัลชันชนิด o/w</t>
        </is>
      </c>
      <c r="H85" s="45" t="inlineStr">
        <is>
          <t>ยาพื้นชนิดละลายน้ำได้ 27.ข้อใดเป็นยาพื้นขี้ผึ้งชนิด Absorption base</t>
        </is>
      </c>
      <c r="I85" s="46" t="n">
        <v>1</v>
      </c>
      <c r="J85" s="45" t="inlineStr">
        <is>
          <t>✅ คำตอบที่ถูกต้อง: ข้อ ก. ยาพื้นชนิดเป็นมัน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ยาพื้นชนิดเป็นมัน 💡 คำอธิบายและเหตุผลทางเภสัชกรรม:
💡 คำอธิบายและเหตุผลทางเภสัชกรรม:
การเลือก ยาพื้นชนิดเป็นมัน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(ยาพื้นชนิดดูดน้ำได้): ข้อนี้ไม่ใช่คำตอบที่ถูกต้องสำหรับภาวะ Creams &amp; Ointments เนื่องจากกลไกการออกฤทธิ์, efficacy หรือข้อบ่งใช้ไม่ตรงกับโจทย์ที่กำหนด
• ข้อ ค. (ยาพื้นอิมัลชันชนิด w/o): ข้อนี้ไม่ใช่คำตอบที่ถูกต้องสำหรับภาวะ Creams &amp; Ointments เนื่องจากกลไกการออกฤทธิ์, efficacy หรือข้อบ่งใช้ไม่ตรงกับโจทย์ที่กำหนด
• ข้อ ง. (ยาพื้นอิมัลชันชนิด o/w): ข้อนี้ไม่ใช่คำตอบที่ถูกต้องสำหรับภาวะ Creams &amp; Ointments เนื่องจากกลไกการออกฤทธิ์, efficacy หรือข้อบ่งใช้ไม่ตรงกับโจทย์ที่กำหนด
• ข้อ จ. (ยาพื้นชนิดละลายน้ำได้ 27.ข้อใดเป็นยาพื้นขี้ผึ้งชนิด Absorption base):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46" t="n"/>
      <c r="L85" s="45" t="inlineStr">
        <is>
          <t>Creams &amp; Ointments</t>
        </is>
      </c>
      <c r="M85" s="46" t="inlineStr">
        <is>
          <t>Product</t>
        </is>
      </c>
      <c r="N85" s="45" t="inlineStr">
        <is>
          <t>ข้อ 26 (PLE_CC1_Practice_Exam.md)</t>
        </is>
      </c>
      <c r="O85" s="46" t="inlineStr">
        <is>
          <t>Mock</t>
        </is>
      </c>
      <c r="P85" s="46" t="inlineStr">
        <is>
          <t>Mock สภาเภสัชฯ Practice</t>
        </is>
      </c>
    </row>
    <row r="86" ht="13.2" customHeight="1" s="37">
      <c r="A86" s="46" t="n">
        <v>84</v>
      </c>
      <c r="B86" s="45" t="inlineStr">
        <is>
          <t>ยาเพสต์มีตัวยาที่เป็นของแข็งมากกว่า และมีเนื้อหยาบกว่ายาขี้ผึ้ง</t>
        </is>
      </c>
      <c r="C86" s="46" t="n"/>
      <c r="D86" s="45" t="inlineStr">
        <is>
          <t>Flocculated Oral Suspension with Xanthan Gum</t>
        </is>
      </c>
      <c r="E86" s="45" t="inlineStr">
        <is>
          <t>Deflocculated Suspension formulation</t>
        </is>
      </c>
      <c r="F86" s="45" t="inlineStr">
        <is>
          <t>O/W Emulsion stabilized by Polysorbate 80 / Span 80</t>
        </is>
      </c>
      <c r="G86" s="45" t="inlineStr">
        <is>
          <t>W/O Emulsion with Sorbitan monooleate</t>
        </is>
      </c>
      <c r="H86" s="45" t="inlineStr">
        <is>
          <t>Carbopol 940 hydrogel neutralized with Triethanolamine</t>
        </is>
      </c>
      <c r="I86" s="46" t="n">
        <v>1</v>
      </c>
      <c r="J8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46" t="n"/>
      <c r="L86" s="45" t="inlineStr">
        <is>
          <t>Creams &amp; Ointments</t>
        </is>
      </c>
      <c r="M86" s="46" t="inlineStr">
        <is>
          <t>Product</t>
        </is>
      </c>
      <c r="N86" s="45" t="inlineStr">
        <is>
          <t>ข้อ 1 (PLE_CC1_Practice_Exam.md)</t>
        </is>
      </c>
      <c r="O86" s="46" t="inlineStr">
        <is>
          <t>Mock</t>
        </is>
      </c>
      <c r="P86" s="46" t="inlineStr">
        <is>
          <t>Mock สภาเภสัชฯ Practice</t>
        </is>
      </c>
    </row>
    <row r="87" ht="13.2" customHeight="1" s="37">
      <c r="A87" s="46" t="n">
        <v>85</v>
      </c>
      <c r="B87" s="45" t="inlineStr">
        <is>
          <t>ยาเพสต์มีความมันมากกว่ายาขี้ผึ้ง เพราะมีปริมาณ base มากกว่า</t>
        </is>
      </c>
      <c r="C87" s="46" t="n"/>
      <c r="D87" s="45" t="inlineStr">
        <is>
          <t>ข้อ 1, 2 ถูก</t>
        </is>
      </c>
      <c r="E87" s="45" t="inlineStr">
        <is>
          <t>ข้อ 1, 3 ถูก</t>
        </is>
      </c>
      <c r="F87" s="45" t="inlineStr">
        <is>
          <t>ข้อ 1, 3, 4 ถูก</t>
        </is>
      </c>
      <c r="G87" s="45" t="inlineStr">
        <is>
          <t>ข้อ 2, 3, 5 ถูก</t>
        </is>
      </c>
      <c r="H87" s="45" t="inlineStr">
        <is>
          <t>ไม่มีข้อใดผิด ยาขี้ผึ้งโดยยานั้นเป็นขี้ผึ้งชนิดใด</t>
        </is>
      </c>
      <c r="I87" s="46" t="n">
        <v>1</v>
      </c>
      <c r="J87" s="45" t="inlineStr">
        <is>
          <t>✅ คำตอบที่ถูกต้อง: ข้อ ก. ข้อ 1, 2 ถูก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ข้อ 1, 2 ถูก 💡 คำอธิบายและเหตุผลทางเภสัชกรรม:
💡 คำอธิบายและเหตุผลทางเภสัชกรรม:
35.ผู้ป่วยหญิงไทยต้องการได้ยาขี้ผึ้งที่สามารภล้างน้ าออกได้ง่ายไปเหนอะหนะและทำให้ผิวชุ่มชื้น ต้องเตรียม
USP/NF, British Pharmacopoeia (BP) และ Remington: The Science and Practice of Pharmacy (หัวข้อ Creams &amp; Ointments)
🔍 ข้ออื่นผิดเพราะอะไร:
• ข้อ ข. (ข้อ 1, 3 ถูก): ข้อนี้ไม่ใช่คำตอบที่ถูกต้องสำหรับภาวะ Creams &amp; Ointments เนื่องจากกลไกการออกฤทธิ์, efficacy หรือข้อบ่งใช้ไม่ตรงกับโจทย์ที่กำหนด
• ข้อ ค. (ข้อ 1, 3, 4 ถูก): ข้อนี้ไม่ใช่คำตอบที่ถูกต้องสำหรับภาวะ Creams &amp; Ointments เนื่องจากกลไกการออกฤทธิ์, efficacy หรือข้อบ่งใช้ไม่ตรงกับโจทย์ที่กำหนด
• ข้อ ง. (ข้อ 2, 3, 5 ถูก): ข้อนี้ไม่ใช่คำตอบที่ถูกต้องสำหรับภาวะ Creams &amp; Ointments เนื่องจากกลไกการออกฤทธิ์, efficacy หรือข้อบ่งใช้ไม่ตรงกับโจทย์ที่กำหนด
• ข้อ จ. (ไม่มีข้อใดผิด ยาขี้ผึ้งโดยยานั้นเป็นขี้ผึ้งชนิดใด):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46" t="n"/>
      <c r="L87" s="45" t="inlineStr">
        <is>
          <t>Creams &amp; Ointments</t>
        </is>
      </c>
      <c r="M87" s="46" t="inlineStr">
        <is>
          <t>Product</t>
        </is>
      </c>
      <c r="N87" s="45" t="inlineStr">
        <is>
          <t>ข้อ 5 (PLE_CC1_Practice_Exam.md)</t>
        </is>
      </c>
      <c r="O87" s="46" t="inlineStr">
        <is>
          <t>Mock</t>
        </is>
      </c>
      <c r="P87" s="46" t="inlineStr">
        <is>
          <t>Mock สภาเภสัชฯ Practice</t>
        </is>
      </c>
    </row>
    <row r="88" ht="13.2" customHeight="1" s="37">
      <c r="A88" s="46" t="n">
        <v>86</v>
      </c>
      <c r="B88" s="45" t="inlineStr">
        <is>
          <t>Authority of The United States Pharmacopeial convention. USP30-NF25, the united states Pharmacopeia-National formulary and its supplements. 3 vol. Rockville (MD): The united states pharmacopeial convention; 2006 ข้อ 3 เฉลย ก เนื่องจากมี emulsifier เป็น oil in water และในตำรับมีน้ำเป็นส่วนประกอบมากกว่าน้ำมัน อ้างอิง Sonneville-Aubrun O, Simonnet JT, L Alloret F. Nanoemulsions: a new vehicle for skincare products. Adv Colloid Interface Sci. 2004; 108: 145-9. ข้อ 4 เฉลย ก ถูก 1 ข้อ คือ ข้อ 2 เนื่องจากมีปริมาณของวัฏภาคน้ำมันมากกว่าน้ำ และemulsifier เป็นแบบ Lipophilic จึง ละลายในน้ำมันมากกว่าทำให้เกิดวัฏภาคภายในเป็นน้ำและภายนอกเป็นน้ำมัน(w/o) 327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 ผิด เนื่องจากสารก่ออิมัลชันคือ calcium oleate ซึ่งเกิดจากการทำปฏิกิริยาระหว่าง calcium hydroxide และ oleic acid ดังนั้นในตำรับนี้ ทั้ง calcium hydroxide และ oleic acide จึงเป็นสารก่อ อิมัลชัน ข้อ 3 ผิด เนื่องจาก สารสำคัญในตำรับคือ zinc oxide ส่วน calcium hydroxide คือสารก่ออิมัลชัน ข้อ 4 ผิด เนื่องจาก ตำรับเป็นอิมัลชัน จึงควรเก็บไว้ในอุณหภูมิห้องป้องกันความไม่คงตัวที่เกิดขึ้นจาก ความเย็น เช่น เกิดการแยกชั้นของน้ำและน้ำมัน ข้อ 5 เฉลย ข. เหตุผล humectants คือสารที่ละลายน้ำมีคุณสมบัติดูดน้ำเข้าหาตัวเอง ซึ่งเป็นตัวช่วยในการดูดน้ำ จากอากาศเข้ามายังผิวเมื่อใช้เป็นส่วนประกอบของครีมทาผิวทำให้ผิวชุ่มชื้น สารดังกล่าวยกตัวอย่างเช่น Glycerin, Urea, Hydroxy acids, Lactic acid และ Propylene glycol เป็นต้น ส่วนสารในข้ออื่นจะเป็น สารที่มีหน้าที่เป็น Occlusives คือเป็นสารกันน้ำออกจากผิว โดยเกิดเป็นแผ่นฟิล์มบางๆ บนผิวหนัง ทำให้ ผิวหนังชุ่มชื้น สารดังกล่าวยกตัวอย่างเช่น petrolatum, mineral oil, lanolin, olive oil, jojoba oil เป็น ต้น เอกสารอ้างอิง Baumann L. Moisturizing agent. In: Baumann L, Saghari S, Weisberg, editors. Cosmetic dermatology principle and practice. 2nd ed. New York: McGraw-Hill;2009. p.273-9. ข้อ 6 เฉลย ข.</t>
        </is>
      </c>
      <c r="C88" s="46" t="n"/>
      <c r="D88" s="45" t="inlineStr">
        <is>
          <t>ผิดเนื่องจาก ยาเพสต์ไม่เหมาะกับผิวหนังที่มีผม หรือขนมากๆ เนื่องจากล้างออกยาก</t>
        </is>
      </c>
      <c r="E88" s="45" t="inlineStr">
        <is>
          <t>ผิดเนื่องจากตำรับยาครีมและตำรับอิมัลชันเป็นตำรับที่ประกอบไปด้วย วัตภาคที่ชอบน้ำมัน (lipophilic phase) และ วัตภาคที่ชอบน้ำ (hydrophilic phase)</t>
        </is>
      </c>
      <c r="F88" s="45" t="inlineStr">
        <is>
          <t>ตำรับยาเพสต์ เหมาะกับแผลที่มีน้ำเหลือง เนื่องจากผงยาจำนวนมากสามารถดูดซับของเหลวออกจากแผล ได้ดี</t>
        </is>
      </c>
      <c r="G88" s="45" t="inlineStr">
        <is>
          <t>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W/O emulsion คือ การที่มีวัฏภาคน้ำกระจายตัวอยู่ในวัฏภาคน้ำมัน โดยตัวยาจะละลายอยู่ในวัฏ ภาคน้ำ จึงกระจายตัวง่ายเมื่อทาผิว เช่น cold cream นอกจากนี้ยังพบลักษณะที่เรียกว่า multiple emulsions เป็น emulsion ที่มีการกระจายตัวของของเหลวทั้ง 2 ชนิด ซ้อนกันแบ่งเป็น 2 ประเภท คือ W/O/W คือ ระบบที่มีการกระจาย ตัวของ W/O ใน วัฏภาคน้ำ O/W/O คือ ระบบที่มีการกระจายตัว ของ O/W ใน วัฏภาคน้ำมัน เอกสารอ้างอิง: Remington JP. Remington: the science and practice of pharmacy. 21st ed. Troy DB, Beringer P, editors. Philadelphia: Lippincott Williams &amp; Wilkins; 2006. ข้อ 8 เฉลย จ. เพราะ Carbopol เมื่อกระจายตัวในน้ำจะได้สารละลายขุ่นและเป็นกรด ข้อ 9 เฉลย ข. เป็นการเสียสภาพแบบ Flocculation และเกิดขึ้นกับยารูปแบบ Emulsion โดยเป็นอนุภาคในเฟสที่ กระจายตัวมาเกาะกลุ่มกัน มีการเคลื่อนที่แบบ Brownian movement ช่วยเร่งการเกาะกลุ่มกันของอนุภาค คอลลอยด์ เมื่อเพิ่มอุณหภูมิจะเพิ่มพลังงานให้ระบบ อนุภาคเคลื่อนที่ได้เร็วขึ้น Flocculation Coalescence - อนุภาคมีขนาดและรูปร่างเดิม - Reversible reaction - อนุภาคสูญเสียรูปร่างมีขนาดใหญ่ขึ้น - Non-reversible reaction ข้อ 10 เฉลย จ. water solublr ointment base อ้างอิง Eshelman school of pharmacy. Ointments: preparation and evaluation of drug release [Internet]. Chapel Hill [cited 2017 Dec 15]. Available from https://pharmlabs.unc.edu/labs/ointments/bases.htm ข้อ 11 เฉลย ง. Random coli เจลที่ใช้ในอุตสาหกรรมยาส่วนใหญ่คือ random coli เกิดจากปฏิกิริยาระหว่างโพลิ เมอร์กับโพลิเมอร์และปฏิกิริยาระหว่างโพลิเมอร์กับตัวทำละลาย โครงสร้างเจลค่อยๆ เกิดขึ้นจากการเพิ่ม ความเข้มข้นของสารก่อเจล ทำให้ระยะห่างระหว่างอนุภาคลดลง เกิดการพันกันระหว่างสายโซ่โพลิเมอร์ และ พัฒนาขึ้นการเกิด cross-link ของสายโพลิเมอร์ 329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12 เฉลย ก Creaming อ้างอิง</t>
        </is>
      </c>
      <c r="H88" s="45" t="inlineStr">
        <is>
          <t>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กับยาตาเนื่องจากมีประจุลบ Gelatin กับ Alginate เป็นสารจากธรรมชาติ ไม่คงตัวในตำรับ Polyvinyl alcohol เป็นสารสังเคราะห์ไม่มีประจุ ละลายได้ในน้ำร้อนและเย็น เพิ่มความคงตัว ในอิมัลชั่น เหมาะกับยาตาในการเพิ่มความหนืด ข้อ 16 เฉลย ค</t>
        </is>
      </c>
      <c r="I88" s="46" t="n">
        <v>1</v>
      </c>
      <c r="J88" s="45" t="inlineStr">
        <is>
          <t>✅ คำตอบที่ถูกต้อง: ข้อ ก. ผิดเนื่องจาก ยาเพสต์ไม่เหมาะกับผิวหนังที่มีผม หรือขนมากๆ เนื่องจากล้างออกยาก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ผิดเนื่องจาก ยาเพสต์ไม่เหมาะกับผิวหนังที่มีผม หรือขนมากๆ เนื่องจากล้างออกยาก 💡 คำอธิบายและเหตุผลทางเภสัชกรรม:
💡 คำอธิบายและเหตุผลทางเภสัชกรรม:
ข้อ c. ถูก เพราะ ยาเพสต์เป็นมันน้อยและแข็งกว่ายาขี้ผึ้ง เวลาทาจะมองเห็นเป็นแผ่นฟิล์มติดอยู่บริเวณที่ทา ข้อ e. ผิด เพราะ ยาเพสต์มีผงยาผสมอยู่มาก เนื้อยาจึงมีรูพรุนทำให้เหงื่อระเหยออกจากผิวหนังจึงไม่เกิดการ alcohol, steryl alcohol, steric acid และไม่นีน้ า ตัวยาสำคัญต้องไม่สลายตัวด้วยความร้อน ถ้าตัวยาทนต่อ ความร้อนไม่ได้ ให้ใช้วิธีนี้ในการเตรียมยาพื้นที่ไม่มีตัวยาก่อน แล้วจึงนำยาพื้นที่เตรียมได้มาผสมเหมือนวิธีการ
USP/NF, British Pharmacopoeia (BP) และ Remington: The Science and Practice of Pharmacy (หัวข้อ Emulsions)
🔍 ข้ออื่นผิดเพราะอะไร:
• ข้อ ข. (ผิดเนื่องจากตำรับยาครีมและตำรับอิมัลชันเป็นตำรับที่ประกอบไปด้วย วัตภาคที่ชอบน้ำมัน (lipophilic phase) และ วัตภาคที่ชอบน้ำ (hydrophilic phase)): ข้อนี้ไม่ใช่คำตอบที่ถูกต้องสำหรับภาวะ Emulsions เนื่องจากกลไกการออกฤทธิ์, efficacy หรือข้อบ่งใช้ไม่ตรงกับโจทย์ที่กำหนด
• ข้อ ค. (ตำรับยาเพสต์ เหมาะกับแผลที่มีน้ำเหลือง เนื่องจากผงยาจำนวนมากสามารถดูดซับของเหลวออกจากแผล ได้ดี): ข้อนี้ไม่ใช่คำตอบที่ถูกต้องสำหรับภาวะ Emulsions เนื่องจากกลไกการออกฤทธิ์, efficacy หรือข้อบ่งใช้ไม่ตรงกับโจทย์ที่กำหนด
• ข้อ 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W/O emulsion คือ การที่มีวัฏภาคน้ำกระจายตัวอยู่ในวัฏภาคน้ำมัน โดยตัวยาจะละลายอยู่ในวัฏ ภาคน้ำ จึงกระจายตัวง่ายเมื่อทาผิว เช่น cold cream นอกจากนี้ยังพบลักษณะที่เรียกว่า multiple emulsions เป็น emulsion ที่มีการกระจายตัวของของเหลวทั้ง 2 ชนิด ซ้อนกันแบ่งเป็น 2 ประเภท คือ W/O/W คือ ระบบที่มีการกระจาย ตัวของ W/O ใน วัฏภาคน้ำ O/W/O คือ ระบบที่มีการกระจายตัว ของ O/W ใน วัฏภาคน้ำมัน เอกสารอ้างอิง: Remington JP. Remington: the science and practice of pharmacy. 21st ed. Troy DB, Beringer P, editors. Philadelphia: Lippincott Williams &amp; Wilkins; 2006. ข้อ 8 เฉลย จ. เพราะ Carbopol เมื่อกระจายตัวในน้ำจะได้สารละลายขุ่นและเป็นกรด ข้อ 9 เฉลย ข. เป็นการเสียสภาพแบบ Flocculation และเกิดขึ้นกับยารูปแบบ Emulsion โดยเป็นอนุภาคในเฟสที่ กระจายตัวมาเกาะกลุ่มกัน มีการเคลื่อนที่แบบ Brownian movement ช่วยเร่งการเกาะกลุ่มกันของอนุภาค คอลลอยด์ เมื่อเพิ่มอุณหภูมิจะเพิ่มพลังงานให้ระบบ อนุภาคเคลื่อนที่ได้เร็วขึ้น Flocculation Coalescence - อนุภาคมีขนาดและรูปร่างเดิม - Reversible reaction - อนุภาคสูญเสียรูปร่างมีขนาดใหญ่ขึ้น - Non-reversible reaction ข้อ 10 เฉลย จ. water solublr ointment base อ้างอิง Eshelman school of pharmacy. Ointments: preparation and evaluation of drug release [Internet]. Chapel Hill [cited 2017 Dec 15]. Available from https://pharmlabs.unc.edu/labs/ointments/bases.htm ข้อ 11 เฉลย ง. Random coli เจลที่ใช้ในอุตสาหกรรมยาส่วนใหญ่คือ random coli เกิดจากปฏิกิริยาระหว่างโพลิ เมอร์กับโพลิเมอร์และปฏิกิริยาระหว่างโพลิเมอร์กับตัวทำละลาย โครงสร้างเจลค่อยๆ เกิดขึ้นจากการเพิ่ม ความเข้มข้นของสารก่อเจล ทำให้ระยะห่างระหว่างอนุภาคลดลง เกิดการพันกันระหว่างสายโซ่โพลิเมอร์ และ พัฒนาขึ้นการเกิด cross-link ของสายโพลิเมอร์ 329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ข้อ 12 เฉลย ก Creaming อ้างอิง): ข้อนี้ไม่ใช่คำตอบที่ถูกต้องสำหรับภาวะ Emulsions เนื่องจากกลไกการออกฤทธิ์, efficacy หรือข้อบ่งใช้ไม่ตรงกับโจทย์ที่กำหนด
• ข้อ จ. (Jirgensons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มหาวิทยาลัยพะเยา ปีการศึกษา 2560 สหพันธ์นิสิตนักศึกษาเภสัชศาสตร์แห่งประเทศไทย (สนภท.) กับยาตาเนื่องจากมีประจุลบ Gelatin กับ Alginate เป็นสารจากธรรมชาติ ไม่คงตัวในตำรับ Polyvinyl alcohol เป็นสารสังเคราะห์ไม่มีประจุ ละลายได้ในน้ำร้อนและเย็น เพิ่มความคงตัว ในอิมัลชั่น เหมาะกับยาตาในการเพิ่มความหนืด ข้อ 16 เฉลย ค):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46" t="n"/>
      <c r="L88" s="45" t="inlineStr">
        <is>
          <t>Emulsions</t>
        </is>
      </c>
      <c r="M88" s="46" t="inlineStr">
        <is>
          <t>Product</t>
        </is>
      </c>
      <c r="N88" s="45" t="inlineStr">
        <is>
          <t>ข้อ 1 (PLE_CC1_Practice_Exam.md)</t>
        </is>
      </c>
      <c r="O88" s="46" t="inlineStr">
        <is>
          <t>Mock</t>
        </is>
      </c>
      <c r="P88" s="46" t="inlineStr">
        <is>
          <t>Mock สภาเภสัชฯ Practice</t>
        </is>
      </c>
    </row>
    <row r="89" ht="13.2" customHeight="1" s="37">
      <c r="A89" s="46" t="n">
        <v>87</v>
      </c>
      <c r="B89" s="45" t="inlineStr">
        <is>
          <t>Aristocortห (0.02% Triamcinolone acetonide cream) เภสัชกรร้านยาสามารถจ่ายโดยไม่มีใบสั่งยา ได้หรือไม่</t>
        </is>
      </c>
      <c r="C89" s="46" t="n"/>
      <c r="D89" s="45" t="inlineStr">
        <is>
          <t>ไม่ได้ เนื่องจากเป็นยาควบคุมพิเศษ</t>
        </is>
      </c>
      <c r="E89" s="45" t="inlineStr">
        <is>
          <t>ไม่ได้ เนื่องจากเป็นยาจำหน่ายเฉพาะในโรงพยาบาล</t>
        </is>
      </c>
      <c r="F89" s="45" t="inlineStr">
        <is>
          <t>ได้ เนื่องจากเป็นยาแผนปัจจุบันชนิดใช้เฉพาะที่</t>
        </is>
      </c>
      <c r="G89" s="45" t="inlineStr">
        <is>
          <t>ได้ เนื่องจากเป็นยาทาที่ไม่เป็นอันตราย</t>
        </is>
      </c>
      <c r="H89" s="45" t="inlineStr">
        <is>
          <t>ได้ เนื่องจากเป็นยาอันตราย 377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89" s="46" t="n">
        <v>1</v>
      </c>
      <c r="J89" s="45" t="inlineStr">
        <is>
          <t>✅ คำตอบที่ถูกต้อง: ข้อ ก. ไม่ได้ เนื่องจากเป็นยาควบคุมพิเศษ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ไม่ได้ เนื่องจากเป็นยาควบคุมพิเศษ 💡 คำอธิบายและเหตุผลทางเภสัชกรรม:
💡 คำอธิบายและเหตุผลทางเภสัชกรรม:
การเลือก ไม่ได้ เนื่องจากเป็นยาควบคุมพิเศษ เป็นคำตอบที่ถูกต้องตามแนวทางการรักษามาตรฐาน เนื่องจาก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USP/NF, British Pharmacopoeia (BP) และ Remington: The Science and Practice of Pharmacy (หัวข้อ Creams &amp; Ointments)
🔍 ข้ออื่นผิดเพราะอะไร:
• ข้อ ข. (ไม่ได้ เนื่องจากเป็นยาจำหน่ายเฉพาะในโรงพยาบาล): ข้อนี้ไม่ใช่คำตอบที่ถูกต้องสำหรับภาวะ Creams &amp; Ointments เนื่องจากกลไกการออกฤทธิ์, efficacy หรือข้อบ่งใช้ไม่ตรงกับโจทย์ที่กำหนด
• ข้อ ค. (ได้ เนื่องจากเป็นยาแผนปัจจุบันชนิดใช้เฉพาะที่): ข้อนี้ไม่ใช่คำตอบที่ถูกต้องสำหรับภาวะ Creams &amp; Ointments เนื่องจากกลไกการออกฤทธิ์, efficacy หรือข้อบ่งใช้ไม่ตรงกับโจทย์ที่กำหนด
• ข้อ ง. (ได้ เนื่องจากเป็นยาทาที่ไม่เป็นอันตราย): ข้อนี้ไม่ใช่คำตอบที่ถูกต้องสำหรับภาวะ Creams &amp; Ointments เนื่องจากกลไกการออกฤทธิ์, efficacy หรือข้อบ่งใช้ไม่ตรงกับโจทย์ที่กำหนด
• ข้อ จ. (ได้ เนื่องจากเป็นยาอันตราย 377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46" t="n"/>
      <c r="L89" s="45" t="inlineStr">
        <is>
          <t>Creams &amp; Ointments</t>
        </is>
      </c>
      <c r="M89" s="46" t="inlineStr">
        <is>
          <t>Product</t>
        </is>
      </c>
      <c r="N89" s="45" t="inlineStr">
        <is>
          <t>ข้อ 36 (PLE_CC1_Practice_Exam.md)</t>
        </is>
      </c>
      <c r="O89" s="46" t="inlineStr">
        <is>
          <t>Mock</t>
        </is>
      </c>
      <c r="P89" s="46" t="inlineStr">
        <is>
          <t>Mock สภาเภสัชฯ Practice</t>
        </is>
      </c>
    </row>
    <row r="90" ht="13.2" customHeight="1" s="37">
      <c r="A90" s="46" t="n">
        <v>88</v>
      </c>
      <c r="B90" s="45" t="inlineStr">
        <is>
          <t>สูตรตำรับ เจลพริก สารในพริก 1% Lanolin 1% Steric acid 1% Liquid petrolatum 3% Propylene glycol 5% Tween 80 0.5% Span 80 0.5% Water qs. to 100 % เมื่อเตรียมเสร็จแล้วเกิดการแยกชั้นเมื่อตั้งทิ้งไว้ ไม่สามารถเขย่าให้แยกชั้นเหมือนเดิมได้ ปรากฏการณ์ที่เกิดขึ้นเรียกว่าอะไร</t>
        </is>
      </c>
      <c r="C90" s="46" t="n"/>
      <c r="D90" s="45" t="inlineStr">
        <is>
          <t>O/W Emulsion stabilized by Polysorbate 80 / Span 80</t>
        </is>
      </c>
      <c r="E90" s="45" t="inlineStr">
        <is>
          <t>W/O Emulsion with Sorbitan monooleate</t>
        </is>
      </c>
      <c r="F90" s="45" t="inlineStr">
        <is>
          <t>Carbopol 940 hydrogel neutralized with Triethanolamine</t>
        </is>
      </c>
      <c r="G90" s="45" t="inlineStr">
        <is>
          <t>Oleaginous Ointment base (White Petrolatum)</t>
        </is>
      </c>
      <c r="H90" s="45" t="inlineStr">
        <is>
          <t>Absorption Ointment base (Lanolin USP)</t>
        </is>
      </c>
      <c r="I90" s="46" t="n">
        <v>1</v>
      </c>
      <c r="J9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46" t="n"/>
      <c r="L90" s="45" t="inlineStr">
        <is>
          <t>Emulsions</t>
        </is>
      </c>
      <c r="M90" s="46" t="inlineStr">
        <is>
          <t>Product</t>
        </is>
      </c>
      <c r="N90" s="45" t="inlineStr">
        <is>
          <t>ข้อ 60 (PLE_CC1_Key_Rx20_UBU.md)</t>
        </is>
      </c>
      <c r="O90" s="46" t="inlineStr">
        <is>
          <t>Mock</t>
        </is>
      </c>
      <c r="P90" s="46" t="inlineStr">
        <is>
          <t>Mock Rx20 UBU</t>
        </is>
      </c>
    </row>
    <row r="91" ht="13.2" customHeight="1" s="37">
      <c r="A91" s="46" t="n">
        <v>89</v>
      </c>
      <c r="B91" s="45" t="inlineStr">
        <is>
          <t>อัตราส่วนวัฏภาคน้ำมันต่อน้ำมากเกินไป Emulsifier ในตำรับได้แก่ Tween80 (Hydrophilic emulsifier) และ Span80 (hydrophobic emulsifier) ความเข้มข้นที่ใช้ในตำรับเมื่อมีการใช้คู่กันคือ 1-10% Case: Acne ผู้ป่วยมีสิวหัวดำ สิวหัวขาว pustule ขนาดเล็กกว่า 5 mm เต็มสองข้างแก้ม ไม่เคยใช้ยารักษาสิวมาก่อน ไม่แพ้ยา</t>
        </is>
      </c>
      <c r="C91" s="46" t="n"/>
      <c r="D91" s="45" t="inlineStr">
        <is>
          <t>Oleaginous Ointment base (White Petrolatum)</t>
        </is>
      </c>
      <c r="E91" s="45" t="inlineStr">
        <is>
          <t>Absorption Ointment base (Lanolin USP)</t>
        </is>
      </c>
      <c r="F91" s="45" t="inlineStr">
        <is>
          <t>Fatty Suppository base (Hard Fat / Witepsol)</t>
        </is>
      </c>
      <c r="G91" s="45" t="inlineStr">
        <is>
          <t>Simple Syrup USP (85% w/v Sucrose)</t>
        </is>
      </c>
      <c r="H91" s="45" t="inlineStr">
        <is>
          <t>Elixir with 10-20% Alcohol cosolvent</t>
        </is>
      </c>
      <c r="I91" s="46" t="n">
        <v>5</v>
      </c>
      <c r="J91" s="45"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ข.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ง. (Simple Syrup USP (85% w/v Sucrose)):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46" t="n"/>
      <c r="L91" s="45" t="inlineStr">
        <is>
          <t>Emulsions</t>
        </is>
      </c>
      <c r="M91" s="46" t="inlineStr">
        <is>
          <t>Product</t>
        </is>
      </c>
      <c r="N91" s="45" t="inlineStr">
        <is>
          <t>ข้อ 5 (PLE_CC1_Key_Rx20_UBU.md)</t>
        </is>
      </c>
      <c r="O91" s="46" t="inlineStr">
        <is>
          <t>Mock</t>
        </is>
      </c>
      <c r="P91" s="46" t="inlineStr">
        <is>
          <t>Mock Rx20 UBU</t>
        </is>
      </c>
    </row>
    <row r="92" ht="13.2" customHeight="1" s="37">
      <c r="A92" s="46" t="n">
        <v>90</v>
      </c>
      <c r="B92" s="45" t="inlineStr">
        <is>
          <t>Triethanolamine ทำหน้าที่เป็น Preservative</t>
        </is>
      </c>
      <c r="C92" s="46" t="n"/>
      <c r="D92" s="45" t="inlineStr">
        <is>
          <t>Simple Syrup USP (85% w/v Sucrose)</t>
        </is>
      </c>
      <c r="E92" s="45" t="inlineStr">
        <is>
          <t>Elixir with 10-20% Alcohol cosolvent</t>
        </is>
      </c>
      <c r="F92" s="45" t="inlineStr">
        <is>
          <t>Flocculated Oral Suspension with Xanthan Gum</t>
        </is>
      </c>
      <c r="G92" s="45" t="inlineStr">
        <is>
          <t>Deflocculated Suspension formulation</t>
        </is>
      </c>
      <c r="H92" s="45" t="inlineStr">
        <is>
          <t>O/W Emulsion stabilized by Polysorbate 80 / Span 80</t>
        </is>
      </c>
      <c r="I92" s="46" t="n">
        <v>1</v>
      </c>
      <c r="J9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Gels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46" t="n"/>
      <c r="L92" s="45" t="inlineStr">
        <is>
          <t>Gels</t>
        </is>
      </c>
      <c r="M92" s="46" t="inlineStr">
        <is>
          <t>Product</t>
        </is>
      </c>
      <c r="N92" s="45" t="inlineStr">
        <is>
          <t>ข้อ 4 (PLE_CC1_Key_Rx20_UBU.md)</t>
        </is>
      </c>
      <c r="O92" s="46" t="inlineStr">
        <is>
          <t>Mock</t>
        </is>
      </c>
      <c r="P92" s="46" t="inlineStr">
        <is>
          <t>Mock Rx20 UBU</t>
        </is>
      </c>
    </row>
    <row r="93" ht="13.2" customHeight="1" s="37">
      <c r="A93" s="46" t="n">
        <v>91</v>
      </c>
      <c r="B93" s="45" t="inlineStr">
        <is>
          <t>มี gelatin เป็นส่วนประกอบ</t>
        </is>
      </c>
      <c r="C93" s="46" t="n"/>
      <c r="D93" s="45" t="inlineStr">
        <is>
          <t>Deflocculated Suspension formulation</t>
        </is>
      </c>
      <c r="E93" s="45" t="inlineStr">
        <is>
          <t>O/W Emulsion stabilized by Polysorbate 80 / Span 80</t>
        </is>
      </c>
      <c r="F93" s="45" t="inlineStr">
        <is>
          <t>W/O Emulsion with Sorbitan monooleate</t>
        </is>
      </c>
      <c r="G93" s="45" t="inlineStr">
        <is>
          <t>Carbopol 940 hydrogel neutralized with Triethanolamine</t>
        </is>
      </c>
      <c r="H93" s="45" t="inlineStr">
        <is>
          <t>Oleaginous Ointment base (White Petrolatum)</t>
        </is>
      </c>
      <c r="I93" s="46" t="n">
        <v>1</v>
      </c>
      <c r="J9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46" t="n"/>
      <c r="L93" s="45" t="inlineStr">
        <is>
          <t>Gels</t>
        </is>
      </c>
      <c r="M93" s="46" t="inlineStr">
        <is>
          <t>Product</t>
        </is>
      </c>
      <c r="N93" s="45" t="inlineStr">
        <is>
          <t>ข้อ 1 (PLE_CC1_Key_Rx20_UBU.md)</t>
        </is>
      </c>
      <c r="O93" s="46" t="inlineStr">
        <is>
          <t>Mock</t>
        </is>
      </c>
      <c r="P93" s="46" t="inlineStr">
        <is>
          <t>Mock Rx20 UBU</t>
        </is>
      </c>
    </row>
    <row r="94" ht="13.2" customHeight="1" s="37">
      <c r="A94" s="46" t="n">
        <v>92</v>
      </c>
      <c r="B94" s="45" t="inlineStr">
        <is>
          <t>Whitfield’s Ointment</t>
        </is>
      </c>
      <c r="C94" s="46" t="n"/>
      <c r="D94" s="45" t="inlineStr">
        <is>
          <t>Carbopol 940 hydrogel neutralized with Triethanolamine</t>
        </is>
      </c>
      <c r="E94" s="45" t="inlineStr">
        <is>
          <t>Oleaginous Ointment base (White Petrolatum)</t>
        </is>
      </c>
      <c r="F94" s="45" t="inlineStr">
        <is>
          <t>Absorption Ointment base (Lanolin USP)</t>
        </is>
      </c>
      <c r="G94" s="45" t="inlineStr">
        <is>
          <t>Fatty Suppository base (Hard Fat / Witepsol)</t>
        </is>
      </c>
      <c r="H94" s="45" t="inlineStr">
        <is>
          <t>Simple Syrup USP (85% w/v Sucrose)</t>
        </is>
      </c>
      <c r="I94" s="46" t="n">
        <v>1</v>
      </c>
      <c r="J9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46" t="n"/>
      <c r="L94" s="45" t="inlineStr">
        <is>
          <t>Creams &amp; Ointments</t>
        </is>
      </c>
      <c r="M94" s="46" t="inlineStr">
        <is>
          <t>Product</t>
        </is>
      </c>
      <c r="N94" s="45" t="inlineStr">
        <is>
          <t>ข้อ 3 (PLE_CC1_Key_Rx20_UBU.md)</t>
        </is>
      </c>
      <c r="O94" s="46" t="inlineStr">
        <is>
          <t>Mock</t>
        </is>
      </c>
      <c r="P94" s="46" t="inlineStr">
        <is>
          <t>Mock Rx20 UBU</t>
        </is>
      </c>
    </row>
    <row r="95" ht="13.2" customHeight="1" s="37">
      <c r="A95" s="46" t="n">
        <v>93</v>
      </c>
      <c r="B95" s="45" t="inlineStr">
        <is>
          <t>หากต้องการ Ointment ที่ล้างออกง่ายควรใช้เบสลักษณะใด</t>
        </is>
      </c>
      <c r="C95" s="46" t="n"/>
      <c r="D95" s="45" t="inlineStr">
        <is>
          <t>Fatty Suppository base (Hard Fat / Witepsol)</t>
        </is>
      </c>
      <c r="E95" s="45" t="inlineStr">
        <is>
          <t>Simple Syrup USP (85% w/v Sucrose)</t>
        </is>
      </c>
      <c r="F95" s="45" t="inlineStr">
        <is>
          <t>Elixir with 10-20% Alcohol cosolvent</t>
        </is>
      </c>
      <c r="G95" s="45" t="inlineStr">
        <is>
          <t>Flocculated Oral Suspension with Xanthan Gum</t>
        </is>
      </c>
      <c r="H95" s="45" t="inlineStr">
        <is>
          <t>Deflocculated Suspension formulation</t>
        </is>
      </c>
      <c r="I95" s="46" t="n">
        <v>1</v>
      </c>
      <c r="J9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46" t="n"/>
      <c r="L95" s="45" t="inlineStr">
        <is>
          <t>Creams &amp; Ointments</t>
        </is>
      </c>
      <c r="M95" s="46" t="inlineStr">
        <is>
          <t>Product</t>
        </is>
      </c>
      <c r="N95" s="45" t="inlineStr">
        <is>
          <t>ข้อ 4 (PLE_CC1_Key_Rx20_UBU.md)</t>
        </is>
      </c>
      <c r="O95" s="46" t="inlineStr">
        <is>
          <t>Mock</t>
        </is>
      </c>
      <c r="P95" s="46" t="inlineStr">
        <is>
          <t>Mock Rx20 UBU</t>
        </is>
      </c>
    </row>
    <row r="96" ht="13.2" customHeight="1" s="37">
      <c r="A96" s="46" t="n">
        <v>94</v>
      </c>
      <c r="B96" s="45" t="inlineStr">
        <is>
          <t>พบว่าแพ้มาเป็นเวลานาน 3 วันหลังรับประทาน ลักษณะการแพ้แบบนี้เป็น Hypersensitivity ชนิดใด หากใช้เกณฑ์พิจารณาของ Gell และ Coombs</t>
        </is>
      </c>
      <c r="C96" s="46" t="n"/>
      <c r="D96" s="45" t="inlineStr">
        <is>
          <t>Flocculated Oral Suspension with Xanthan Gum</t>
        </is>
      </c>
      <c r="E96" s="45" t="inlineStr">
        <is>
          <t>Deflocculated Suspension formulation</t>
        </is>
      </c>
      <c r="F96" s="45" t="inlineStr">
        <is>
          <t>O/W Emulsion stabilized by Polysorbate 80 / Span 80</t>
        </is>
      </c>
      <c r="G96" s="45" t="inlineStr">
        <is>
          <t>W/O Emulsion with Sorbitan monooleate</t>
        </is>
      </c>
      <c r="H96" s="45" t="inlineStr">
        <is>
          <t>Carbopol 940 hydrogel neutralized with Triethanolamine</t>
        </is>
      </c>
      <c r="I96" s="46" t="n">
        <v>1</v>
      </c>
      <c r="J9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ข้อนี้ไม่ใช่คำตอบที่ถูกต้องสำหรับภาวะ Gels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46" t="n"/>
      <c r="L96" s="45" t="inlineStr">
        <is>
          <t>Gels</t>
        </is>
      </c>
      <c r="M96" s="46" t="inlineStr">
        <is>
          <t>Product</t>
        </is>
      </c>
      <c r="N96" s="45" t="inlineStr">
        <is>
          <t>ข้อ 2 (PLE_CC1_Key_Rx20_UBU.md)</t>
        </is>
      </c>
      <c r="O96" s="46" t="inlineStr">
        <is>
          <t>Mock</t>
        </is>
      </c>
      <c r="P96" s="46" t="inlineStr">
        <is>
          <t>Mock Rx20 UBU</t>
        </is>
      </c>
    </row>
    <row r="97" ht="13.2" customHeight="1" s="37">
      <c r="A97" s="46" t="n">
        <v>95</v>
      </c>
      <c r="B97" s="45" t="inlineStr">
        <is>
          <t>เปลี่ยนเป็นยาครีม</t>
        </is>
      </c>
      <c r="C97" s="46" t="n"/>
      <c r="D97" s="45" t="inlineStr">
        <is>
          <t>W/O Emulsion with Sorbitan monooleate</t>
        </is>
      </c>
      <c r="E97" s="45" t="inlineStr">
        <is>
          <t>Carbopol 940 hydrogel neutralized with Triethanolamine</t>
        </is>
      </c>
      <c r="F97" s="45" t="inlineStr">
        <is>
          <t>Oleaginous Ointment base (White Petrolatum)</t>
        </is>
      </c>
      <c r="G97" s="45" t="inlineStr">
        <is>
          <t>Absorption Ointment base (Lanolin USP)</t>
        </is>
      </c>
      <c r="H97" s="45" t="inlineStr">
        <is>
          <t>Fatty Suppository base (Hard Fat / Witepsol)</t>
        </is>
      </c>
      <c r="I97" s="46" t="n">
        <v>1</v>
      </c>
      <c r="J9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46" t="n"/>
      <c r="L97" s="45" t="inlineStr">
        <is>
          <t>Creams &amp; Ointments</t>
        </is>
      </c>
      <c r="M97" s="46" t="inlineStr">
        <is>
          <t>Product</t>
        </is>
      </c>
      <c r="N97" s="45" t="inlineStr">
        <is>
          <t>ข้อ 3 (PLE_CC1_Key_Rx20_UBU.md)</t>
        </is>
      </c>
      <c r="O97" s="46" t="inlineStr">
        <is>
          <t>Mock</t>
        </is>
      </c>
      <c r="P97" s="46" t="inlineStr">
        <is>
          <t>Mock Rx20 UBU</t>
        </is>
      </c>
    </row>
    <row r="98" ht="13.2" customHeight="1" s="37">
      <c r="A98" s="46" t="n">
        <v>96</v>
      </c>
      <c r="B98" s="45" t="inlineStr">
        <is>
          <t>Metronidazole: White to pale yellow, odorless crystals or crystalline powder. Is stable in air, but darkens on exposure to light. Sparingly soluble in water and in alcohol; slightly soluble in ether and in chloroformจากตำรับการเตรียมยา Metronidazole 0.75 % gel vaginal ข้อใดถูกต้อง</t>
        </is>
      </c>
      <c r="C98" s="46" t="n"/>
      <c r="D98" s="45" t="inlineStr">
        <is>
          <t>Absorption Ointment base (Lanolin USP)</t>
        </is>
      </c>
      <c r="E98" s="45" t="inlineStr">
        <is>
          <t>Fatty Suppository base (Hard Fat / Witepsol)</t>
        </is>
      </c>
      <c r="F98" s="45" t="inlineStr">
        <is>
          <t>Simple Syrup USP (85% w/v Sucrose)</t>
        </is>
      </c>
      <c r="G98" s="45" t="inlineStr">
        <is>
          <t>Elixir with 10-20% Alcohol cosolvent</t>
        </is>
      </c>
      <c r="H98" s="45" t="inlineStr">
        <is>
          <t>Flocculated Oral Suspension with Xanthan Gum</t>
        </is>
      </c>
      <c r="I98" s="46" t="n">
        <v>1</v>
      </c>
      <c r="J9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(Fatty Suppository base (Hard Fat / Witepsol)): ข้อนี้ไม่ใช่คำตอบที่ถูกต้องสำหรับภาวะ Gels เนื่องจากกลไกการออกฤทธิ์, efficacy หรือข้อบ่งใช้ไม่ตรงกับโจทย์ที่กำหนด
• ข้อ ค. (Simple Syrup USP (85% w/v Sucrose)): ข้อนี้ไม่ใช่คำตอบที่ถูกต้องสำหรับภาวะ Gels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Gels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46" t="n"/>
      <c r="L98" s="45" t="inlineStr">
        <is>
          <t>Gels</t>
        </is>
      </c>
      <c r="M98" s="46" t="inlineStr">
        <is>
          <t>Product</t>
        </is>
      </c>
      <c r="N98" s="45" t="inlineStr">
        <is>
          <t>ข้อ 89 (PLE_CC1_Key_Rx20_UBU.md)</t>
        </is>
      </c>
      <c r="O98" s="46" t="inlineStr">
        <is>
          <t>Mock</t>
        </is>
      </c>
      <c r="P98" s="46" t="inlineStr">
        <is>
          <t>Mock Rx20 UBU</t>
        </is>
      </c>
    </row>
    <row r="99" ht="13.2" customHeight="1" s="37">
      <c r="A99" s="46" t="n">
        <v>97</v>
      </c>
      <c r="B99" s="45" t="inlineStr">
        <is>
          <t>การเติมสาร antioxidant เพื่อเพิ่มความคงตัวของตัวยาของตำรับ gel vaginal ที่มี carbopol ในส่วนของ aqueous phase system ควรเลือกสารในข้อใด</t>
        </is>
      </c>
      <c r="C99" s="46" t="n"/>
      <c r="D99" s="45" t="inlineStr">
        <is>
          <t>BHP</t>
        </is>
      </c>
      <c r="E99" s="45" t="inlineStr">
        <is>
          <t>BHP + Citric acid</t>
        </is>
      </c>
      <c r="F99" s="45" t="inlineStr">
        <is>
          <t>BHP + Sodium metabisulfite</t>
        </is>
      </c>
      <c r="G99" s="45" t="inlineStr">
        <is>
          <t>O/W Emulsion stabilized by Polysorbate 80 / Span 80</t>
        </is>
      </c>
      <c r="H99" s="45" t="inlineStr">
        <is>
          <t>W/O Emulsion with Sorbitan monooleate</t>
        </is>
      </c>
      <c r="I99" s="46" t="n">
        <v>1</v>
      </c>
      <c r="J99" s="45" t="inlineStr">
        <is>
          <t>✅ คำตอบที่ถูกต้อง: ข้อ ก. BHP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BHP 💡 คำอธิบายและเหตุผลทางเภสัชกรรม:
💡 คำอธิบายและเหตุผลทางเภสัชกรรม:
การเลือก BHP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(BHP + Citric acid): ข้อนี้ไม่ใช่คำตอบที่ถูกต้องสำหรับภาวะ Gels เนื่องจากกลไกการออกฤทธิ์, efficacy หรือข้อบ่งใช้ไม่ตรงกับโจทย์ที่กำหนด
• ข้อ ค. (BHP + Sodium metabisulfite): เป็น Water-soluble antioxidant สำหรับตำรับยาฉีดหรือยาน้ำที่ไวต่อการเกิด oxidation ในสภาวะกรด (acidic pH)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46" t="n"/>
      <c r="L99" s="45" t="inlineStr">
        <is>
          <t>Gels</t>
        </is>
      </c>
      <c r="M99" s="46" t="inlineStr">
        <is>
          <t>Product</t>
        </is>
      </c>
      <c r="N99" s="45" t="inlineStr">
        <is>
          <t>ข้อ 90 (PLE_CC1_Key_Rx20_UBU.md)</t>
        </is>
      </c>
      <c r="O99" s="46" t="inlineStr">
        <is>
          <t>Mock</t>
        </is>
      </c>
      <c r="P99" s="46" t="inlineStr">
        <is>
          <t>Mock Rx20 UBU</t>
        </is>
      </c>
    </row>
    <row r="100" ht="13.2" customHeight="1" s="37">
      <c r="A100" s="46" t="n">
        <v>98</v>
      </c>
      <c r="B100" s="45" t="inlineStr">
        <is>
          <t>Ascorbic acid + Ascorbate palmitate ตัวนี้ไ่ม่เกิดการทำปฏิกิริยากับสารก่อ gel คือ Carbopol</t>
        </is>
      </c>
      <c r="C100" s="46" t="n"/>
      <c r="D100" s="45" t="inlineStr">
        <is>
          <t>O/W Emulsion stabilized by Polysorbate 80 / Span 80</t>
        </is>
      </c>
      <c r="E100" s="45" t="inlineStr">
        <is>
          <t>W/O Emulsion with Sorbitan monooleate</t>
        </is>
      </c>
      <c r="F100" s="45" t="inlineStr">
        <is>
          <t>Carbopol 940 hydrogel neutralized with Triethanolamine</t>
        </is>
      </c>
      <c r="G100" s="45" t="inlineStr">
        <is>
          <t>Oleaginous Ointment base (White Petrolatum)</t>
        </is>
      </c>
      <c r="H100" s="45" t="inlineStr">
        <is>
          <t>Absorption Ointment base (Lanolin USP)</t>
        </is>
      </c>
      <c r="I100" s="46" t="n">
        <v>4</v>
      </c>
      <c r="J100" s="45" t="inlineStr">
        <is>
          <t>✅ คำตอบที่ถูกต้อง: ข้อ ง.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ก. (O/W Emulsion stabilized by Polysorbate 80 / Span 80): เป็น Non-ionic surfactant (Tween 80) มีค่า HLB สูง (~15) ทำหน้าที่เป็น O/W emulsifying agent, solubilizer และ wetting agent
• ข้อ ข.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46" t="n"/>
      <c r="L100" s="45" t="inlineStr">
        <is>
          <t>Gels</t>
        </is>
      </c>
      <c r="M100" s="46" t="inlineStr">
        <is>
          <t>Product</t>
        </is>
      </c>
      <c r="N100" s="45" t="inlineStr">
        <is>
          <t>ข้อ 5 (PLE_CC1_Key_Rx20_UBU.md)</t>
        </is>
      </c>
      <c r="O100" s="46" t="inlineStr">
        <is>
          <t>Mock</t>
        </is>
      </c>
      <c r="P100" s="46" t="inlineStr">
        <is>
          <t>Mock Rx20 UBU</t>
        </is>
      </c>
    </row>
    <row r="101" ht="13.2" customHeight="1" s="37">
      <c r="A101" s="46" t="n">
        <v>99</v>
      </c>
      <c r="B101" s="45" t="inlineStr">
        <is>
          <t>Ketoconazole cream</t>
        </is>
      </c>
      <c r="C101" s="46" t="n"/>
      <c r="D101" s="45" t="inlineStr">
        <is>
          <t>Oleaginous Ointment base (White Petrolatum)</t>
        </is>
      </c>
      <c r="E101" s="45" t="inlineStr">
        <is>
          <t>Absorption Ointment base (Lanolin USP)</t>
        </is>
      </c>
      <c r="F101" s="45" t="inlineStr">
        <is>
          <t>Fatty Suppository base (Hard Fat / Witepsol)</t>
        </is>
      </c>
      <c r="G101" s="45" t="inlineStr">
        <is>
          <t>Simple Syrup USP (85% w/v Sucrose)</t>
        </is>
      </c>
      <c r="H101" s="45" t="inlineStr">
        <is>
          <t>Elixir with 10-20% Alcohol cosolvent</t>
        </is>
      </c>
      <c r="I101" s="46" t="n">
        <v>1</v>
      </c>
      <c r="J10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ง.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46" t="n"/>
      <c r="L101" s="45" t="inlineStr">
        <is>
          <t>Creams &amp; Ointments</t>
        </is>
      </c>
      <c r="M101" s="46" t="inlineStr">
        <is>
          <t>Product</t>
        </is>
      </c>
      <c r="N101" s="45" t="inlineStr">
        <is>
          <t>ข้อ 1 (PLE_CC1_Key_Rx20_UBU.md)</t>
        </is>
      </c>
      <c r="O101" s="46" t="inlineStr">
        <is>
          <t>Mock</t>
        </is>
      </c>
      <c r="P101" s="46" t="inlineStr">
        <is>
          <t>Mock Rx20 UBU</t>
        </is>
      </c>
    </row>
    <row r="102" ht="13.2" customHeight="1" s="37">
      <c r="A102" s="46" t="n">
        <v>100</v>
      </c>
      <c r="B102" s="45" t="inlineStr">
        <is>
          <t>tretinoic acid cream</t>
        </is>
      </c>
      <c r="C102" s="46" t="n"/>
      <c r="D102" s="45" t="inlineStr">
        <is>
          <t>Simple Syrup USP (85% w/v Sucrose)</t>
        </is>
      </c>
      <c r="E102" s="45" t="inlineStr">
        <is>
          <t>Elixir with 10-20% Alcohol cosolvent</t>
        </is>
      </c>
      <c r="F102" s="45" t="inlineStr">
        <is>
          <t>Flocculated Oral Suspension with Xanthan Gum</t>
        </is>
      </c>
      <c r="G102" s="45" t="inlineStr">
        <is>
          <t>Deflocculated Suspension formulation</t>
        </is>
      </c>
      <c r="H102" s="45" t="inlineStr">
        <is>
          <t>O/W Emulsion stabilized by Polysorbate 80 / Span 80</t>
        </is>
      </c>
      <c r="I102" s="46" t="n">
        <v>1</v>
      </c>
      <c r="J10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46" t="n"/>
      <c r="L102" s="45" t="inlineStr">
        <is>
          <t>Creams &amp; Ointments</t>
        </is>
      </c>
      <c r="M102" s="46" t="inlineStr">
        <is>
          <t>Product</t>
        </is>
      </c>
      <c r="N102" s="45" t="inlineStr">
        <is>
          <t>ข้อ 4 (PLE_CC1_Key_Rx20_UBU.md)</t>
        </is>
      </c>
      <c r="O102" s="46" t="inlineStr">
        <is>
          <t>Mock</t>
        </is>
      </c>
      <c r="P102" s="46" t="inlineStr">
        <is>
          <t>Mock Rx20 UBU</t>
        </is>
      </c>
    </row>
    <row r="103" ht="13.2" customHeight="1" s="37">
      <c r="A103" s="46" t="n">
        <v>101</v>
      </c>
      <c r="B103" s="45" t="inlineStr">
        <is>
          <t>Betamethasone dipropionate cream</t>
        </is>
      </c>
      <c r="C103" s="46" t="n"/>
      <c r="D103" s="45" t="inlineStr">
        <is>
          <t>Acetretin = x</t>
        </is>
      </c>
      <c r="E103" s="45" t="inlineStr">
        <is>
          <t>MTX = x</t>
        </is>
      </c>
      <c r="F103" s="45" t="inlineStr">
        <is>
          <t>W/O Emulsion with Sorbitan monooleate</t>
        </is>
      </c>
      <c r="G103" s="45" t="inlineStr">
        <is>
          <t>Carbopol 940 hydrogel neutralized with Triethanolamine</t>
        </is>
      </c>
      <c r="H103" s="45" t="inlineStr">
        <is>
          <t>Oleaginous Ointment base (White Petrolatum)</t>
        </is>
      </c>
      <c r="I103" s="46" t="n">
        <v>2</v>
      </c>
      <c r="J103" s="45" t="inlineStr">
        <is>
          <t>✅ คำตอบที่ถูกต้อง: ข้อ ข. MTX = 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MTX = x 💡 คำอธิบายและเหตุผลทางเภสัชกรรม:
💡 คำอธิบายและเหตุผลทางเภสัชกรรม:
การเลือก MTX = 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(Acetretin = x): ข้อนี้ไม่ใช่คำตอบที่ถูกต้องสำหรับภาวะ Creams &amp; Ointments เนื่องจากกลไกการออกฤทธิ์, efficacy หรือข้อบ่งใช้ไม่ตรงกับโจทย์ที่กำหนด
• ข้อ ค.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46" t="n"/>
      <c r="L103" s="45" t="inlineStr">
        <is>
          <t>Creams &amp; Ointments</t>
        </is>
      </c>
      <c r="M103" s="46" t="inlineStr">
        <is>
          <t>Product</t>
        </is>
      </c>
      <c r="N103" s="45" t="inlineStr">
        <is>
          <t>ข้อ 5 (PLE_CC1_Key_Rx20_UBU.md)</t>
        </is>
      </c>
      <c r="O103" s="46" t="inlineStr">
        <is>
          <t>Mock</t>
        </is>
      </c>
      <c r="P103" s="46" t="inlineStr">
        <is>
          <t>Mock Rx20 UBU</t>
        </is>
      </c>
    </row>
    <row r="104" ht="13.2" customHeight="1" s="37">
      <c r="A104" s="46" t="n">
        <v>102</v>
      </c>
      <c r="B104" s="45" t="inlineStr">
        <is>
          <t>tretinoic acid cream = x</t>
        </is>
      </c>
      <c r="C104" s="46" t="n"/>
      <c r="D104" s="45" t="inlineStr">
        <is>
          <t>Carbopol 940 hydrogel neutralized with Triethanolamine</t>
        </is>
      </c>
      <c r="E104" s="45" t="inlineStr">
        <is>
          <t>Oleaginous Ointment base (White Petrolatum)</t>
        </is>
      </c>
      <c r="F104" s="45" t="inlineStr">
        <is>
          <t>Absorption Ointment base (Lanolin USP)</t>
        </is>
      </c>
      <c r="G104" s="45" t="inlineStr">
        <is>
          <t>Fatty Suppository base (Hard Fat / Witepsol)</t>
        </is>
      </c>
      <c r="H104" s="45" t="inlineStr">
        <is>
          <t>Simple Syrup USP (85% w/v Sucrose)</t>
        </is>
      </c>
      <c r="I104" s="46" t="n">
        <v>1</v>
      </c>
      <c r="J104" s="45"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46" t="n"/>
      <c r="L104" s="45" t="inlineStr">
        <is>
          <t>Creams &amp; Ointments</t>
        </is>
      </c>
      <c r="M104" s="46" t="inlineStr">
        <is>
          <t>Product</t>
        </is>
      </c>
      <c r="N104" s="45" t="inlineStr">
        <is>
          <t>ข้อ 4 (PLE_CC1_Key_Rx20_UBU.md)</t>
        </is>
      </c>
      <c r="O104" s="46" t="inlineStr">
        <is>
          <t>Mock</t>
        </is>
      </c>
      <c r="P104" s="46" t="inlineStr">
        <is>
          <t>Mock Rx20 UBU</t>
        </is>
      </c>
    </row>
    <row r="105" ht="13.2" customHeight="1" s="37">
      <c r="A105" s="46" t="n">
        <v>103</v>
      </c>
      <c r="B105" s="45" t="inlineStr">
        <is>
          <t>Betamethasone dipropionate cream = C</t>
        </is>
      </c>
      <c r="C105" s="46" t="n"/>
      <c r="D105" s="45" t="inlineStr">
        <is>
          <t>Fatty Suppository base (Hard Fat / Witepsol)</t>
        </is>
      </c>
      <c r="E105" s="45" t="inlineStr">
        <is>
          <t>Simple Syrup USP (85% w/v Sucrose)</t>
        </is>
      </c>
      <c r="F105" s="45" t="inlineStr">
        <is>
          <t>Elixir with 10-20% Alcohol cosolvent</t>
        </is>
      </c>
      <c r="G105" s="45" t="inlineStr">
        <is>
          <t>Flocculated Oral Suspension with Xanthan Gum</t>
        </is>
      </c>
      <c r="H105" s="45" t="inlineStr">
        <is>
          <t>Deflocculated Suspension formulation</t>
        </is>
      </c>
      <c r="I105" s="46" t="n">
        <v>1</v>
      </c>
      <c r="J10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46" t="n"/>
      <c r="L105" s="45" t="inlineStr">
        <is>
          <t>Creams &amp; Ointments</t>
        </is>
      </c>
      <c r="M105" s="46" t="inlineStr">
        <is>
          <t>Product</t>
        </is>
      </c>
      <c r="N105" s="45" t="inlineStr">
        <is>
          <t>ข้อ 5 (PLE_CC1_Key_Rx20_UBU.md)</t>
        </is>
      </c>
      <c r="O105" s="46" t="inlineStr">
        <is>
          <t>Mock</t>
        </is>
      </c>
      <c r="P105" s="46" t="inlineStr">
        <is>
          <t>Mock Rx20 UBU</t>
        </is>
      </c>
    </row>
    <row r="106" ht="13.2" customHeight="1" s="37">
      <c r="A106" s="46" t="n">
        <v>104</v>
      </c>
      <c r="B106" s="45" t="inlineStr">
        <is>
          <t>ไม่ได้ เพราะ Beta-sitosterol ไม่มีหมู่ hydroxyl ที่ตำแหน่ง 11 53 เอน:๋ \ 99 ให้ตำรับยา Triamcinolone มา มี Emulsifiers 10 %w/w ในตำรับ หาสูตรตำรับมาด้วย ปริมาณน้ำเยอะมากปริมาณของ Tween 80 และ Span ในตำรับว่าต้องใช้ปริมาณกี่ %w/w โดยกำหนดค่า require HLB ของตำรับเท่ากับ 10 และค่า HLB ของ Tween 80 เท่ากับ 15 และค่า HLB ของ Span 80 เท่ากับ 3</t>
        </is>
      </c>
      <c r="C106" s="46" t="n"/>
      <c r="D106" s="45" t="inlineStr">
        <is>
          <t>Flocculated Oral Suspension with Xanthan Gum</t>
        </is>
      </c>
      <c r="E106" s="45" t="inlineStr">
        <is>
          <t>Deflocculated Suspension formulation</t>
        </is>
      </c>
      <c r="F106" s="45" t="inlineStr">
        <is>
          <t>O/W Emulsion stabilized by Polysorbate 80 / Span 80</t>
        </is>
      </c>
      <c r="G106" s="45" t="inlineStr">
        <is>
          <t>W/O Emulsion with Sorbitan monooleate</t>
        </is>
      </c>
      <c r="H106" s="45" t="inlineStr">
        <is>
          <t>Carbopol 940 hydrogel neutralized with Triethanolamine</t>
        </is>
      </c>
      <c r="I106" s="46" t="n">
        <v>2</v>
      </c>
      <c r="J106" s="45" t="inlineStr">
        <is>
          <t>✅ คำตอบที่ถูกต้อง: ข้อ ข.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46" t="n"/>
      <c r="L106" s="45" t="inlineStr">
        <is>
          <t>Emulsions</t>
        </is>
      </c>
      <c r="M106" s="46" t="inlineStr">
        <is>
          <t>Product</t>
        </is>
      </c>
      <c r="N106" s="45" t="inlineStr">
        <is>
          <t>ข้อ 5 (PLE_CC1_Key_Rx20_UBU.md)</t>
        </is>
      </c>
      <c r="O106" s="46" t="inlineStr">
        <is>
          <t>Mock</t>
        </is>
      </c>
      <c r="P106" s="46" t="inlineStr">
        <is>
          <t>Mock Rx20 UBU</t>
        </is>
      </c>
    </row>
    <row r="107" ht="13.2" customHeight="1" s="37">
      <c r="A107" s="46" t="n">
        <v>105</v>
      </c>
      <c r="B107" s="45" t="inlineStr">
        <is>
          <t>Tween 80 เท่ากับ 56 % และ Span 80 เท่ากับ 44 %</t>
        </is>
      </c>
      <c r="C107" s="46" t="n"/>
      <c r="D107" s="45" t="inlineStr">
        <is>
          <t>W/O Emulsion with Sorbitan monooleate</t>
        </is>
      </c>
      <c r="E107" s="45" t="inlineStr">
        <is>
          <t>Carbopol 940 hydrogel neutralized with Triethanolamine</t>
        </is>
      </c>
      <c r="F107" s="45" t="inlineStr">
        <is>
          <t>Oleaginous Ointment base (White Petrolatum)</t>
        </is>
      </c>
      <c r="G107" s="45" t="inlineStr">
        <is>
          <t>Absorption Ointment base (Lanolin USP)</t>
        </is>
      </c>
      <c r="H107" s="45" t="inlineStr">
        <is>
          <t>Fatty Suppository base (Hard Fat / Witepsol)</t>
        </is>
      </c>
      <c r="I107" s="46" t="n">
        <v>1</v>
      </c>
      <c r="J10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46" t="n"/>
      <c r="L107" s="45" t="inlineStr">
        <is>
          <t>Emulsions</t>
        </is>
      </c>
      <c r="M107" s="46" t="inlineStr">
        <is>
          <t>Product</t>
        </is>
      </c>
      <c r="N107" s="45" t="inlineStr">
        <is>
          <t>ข้อ 1 (PLE_CC1_Key_Rx20_UBU.md)</t>
        </is>
      </c>
      <c r="O107" s="46" t="inlineStr">
        <is>
          <t>Mock</t>
        </is>
      </c>
      <c r="P107" s="46" t="inlineStr">
        <is>
          <t>Mock Rx20 UBU</t>
        </is>
      </c>
    </row>
    <row r="108" ht="13.2" customHeight="1" s="37">
      <c r="A108" s="46" t="n">
        <v>106</v>
      </c>
      <c r="B108" s="45" t="inlineStr">
        <is>
          <t>Tween 80 เท่ากับ 7 % และ Span 80 เท่ากับ 5 %</t>
        </is>
      </c>
      <c r="C108" s="46" t="n"/>
      <c r="D108" s="45" t="inlineStr">
        <is>
          <t>Absorption Ointment base (Lanolin USP)</t>
        </is>
      </c>
      <c r="E108" s="45" t="inlineStr">
        <is>
          <t>Fatty Suppository base (Hard Fat / Witepsol)</t>
        </is>
      </c>
      <c r="F108" s="45" t="inlineStr">
        <is>
          <t>Simple Syrup USP (85% w/v Sucrose)</t>
        </is>
      </c>
      <c r="G108" s="45" t="inlineStr">
        <is>
          <t>Elixir with 10-20% Alcohol cosolvent</t>
        </is>
      </c>
      <c r="H108" s="45" t="inlineStr">
        <is>
          <t>Flocculated Oral Suspension with Xanthan Gum</t>
        </is>
      </c>
      <c r="I108" s="46" t="n">
        <v>1</v>
      </c>
      <c r="J10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ค. (Simple Syrup USP (85% w/v Sucrose)): ข้อนี้ไม่ใช่คำตอบที่ถูกต้องสำหรับภาวะ Emulsions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Emulsions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46" t="n"/>
      <c r="L108" s="45" t="inlineStr">
        <is>
          <t>Emulsions</t>
        </is>
      </c>
      <c r="M108" s="46" t="inlineStr">
        <is>
          <t>Product</t>
        </is>
      </c>
      <c r="N108" s="45" t="inlineStr">
        <is>
          <t>ข้อ 2 (PLE_CC1_Key_Rx20_UBU.md)</t>
        </is>
      </c>
      <c r="O108" s="46" t="inlineStr">
        <is>
          <t>Mock</t>
        </is>
      </c>
      <c r="P108" s="46" t="inlineStr">
        <is>
          <t>Mock Rx20 UBU</t>
        </is>
      </c>
    </row>
    <row r="109" ht="13.2" customHeight="1" s="37">
      <c r="A109" s="46" t="n">
        <v>107</v>
      </c>
      <c r="B109" s="45" t="inlineStr">
        <is>
          <t>Tween 80 เท่ากับ 5.6 % และ Span 80 เท่ากับ 4.4 %</t>
        </is>
      </c>
      <c r="C109" s="46" t="n"/>
      <c r="D109" s="45" t="inlineStr">
        <is>
          <t>Elixir with 10-20% Alcohol cosolvent</t>
        </is>
      </c>
      <c r="E109" s="45" t="inlineStr">
        <is>
          <t>Flocculated Oral Suspension with Xanthan Gum</t>
        </is>
      </c>
      <c r="F109" s="45" t="inlineStr">
        <is>
          <t>Deflocculated Suspension formulation</t>
        </is>
      </c>
      <c r="G109" s="45" t="inlineStr">
        <is>
          <t>O/W Emulsion stabilized by Polysorbate 80 / Span 80</t>
        </is>
      </c>
      <c r="H109" s="45" t="inlineStr">
        <is>
          <t>W/O Emulsion with Sorbitan monooleate</t>
        </is>
      </c>
      <c r="I109" s="46" t="n">
        <v>1</v>
      </c>
      <c r="J109" s="45"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Emulsions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46" t="n"/>
      <c r="L109" s="45" t="inlineStr">
        <is>
          <t>Emulsions</t>
        </is>
      </c>
      <c r="M109" s="46" t="inlineStr">
        <is>
          <t>Product</t>
        </is>
      </c>
      <c r="N109" s="45" t="inlineStr">
        <is>
          <t>ข้อ 3 (PLE_CC1_Key_Rx20_UBU.md)</t>
        </is>
      </c>
      <c r="O109" s="46" t="inlineStr">
        <is>
          <t>Mock</t>
        </is>
      </c>
      <c r="P109" s="46" t="inlineStr">
        <is>
          <t>Mock Rx20 UBU</t>
        </is>
      </c>
    </row>
    <row r="110" ht="13.2" customHeight="1" s="37">
      <c r="A110" s="46" t="n">
        <v>108</v>
      </c>
      <c r="B110" s="45" t="inlineStr">
        <is>
          <t>Tween 80 เท่ากับ 5.8 % และ Span 80 เท่ากับ 4.2 %</t>
        </is>
      </c>
      <c r="C110" s="46" t="n"/>
      <c r="D110" s="45" t="inlineStr">
        <is>
          <t>O/W Emulsion stabilized by Polysorbate 80 / Span 80</t>
        </is>
      </c>
      <c r="E110" s="45" t="inlineStr">
        <is>
          <t>W/O Emulsion with Sorbitan monooleate</t>
        </is>
      </c>
      <c r="F110" s="45" t="inlineStr">
        <is>
          <t>Carbopol 940 hydrogel neutralized with Triethanolamine</t>
        </is>
      </c>
      <c r="G110" s="45" t="inlineStr">
        <is>
          <t>Oleaginous Ointment base (White Petrolatum)</t>
        </is>
      </c>
      <c r="H110" s="45" t="inlineStr">
        <is>
          <t>Absorption Ointment base (Lanolin USP)</t>
        </is>
      </c>
      <c r="I110" s="46" t="n">
        <v>1</v>
      </c>
      <c r="J11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46" t="n"/>
      <c r="L110" s="45" t="inlineStr">
        <is>
          <t>Emulsions</t>
        </is>
      </c>
      <c r="M110" s="46" t="inlineStr">
        <is>
          <t>Product</t>
        </is>
      </c>
      <c r="N110" s="45" t="inlineStr">
        <is>
          <t>ข้อ 4 (PLE_CC1_Key_Rx20_UBU.md)</t>
        </is>
      </c>
      <c r="O110" s="46" t="inlineStr">
        <is>
          <t>Mock</t>
        </is>
      </c>
      <c r="P110" s="46" t="inlineStr">
        <is>
          <t>Mock Rx20 UBU</t>
        </is>
      </c>
    </row>
    <row r="111" ht="13.2" customHeight="1" s="37">
      <c r="A111" s="46" t="n">
        <v>109</v>
      </c>
      <c r="B111" s="45" t="inlineStr">
        <is>
          <t>Tween 80 เท่ากับ 4.2 % และ Span 80 เท่ากับ 5.8 % &amp; Tweer 1 / -1 / Span 3 - - ิ → เหง้าSpr alliqout technique Tween80 = 7/12 x 10 = 5.83 % Span = 5/12 x 10 = 4.17 %</t>
        </is>
      </c>
      <c r="C111" s="46" t="n"/>
      <c r="D111" s="45" t="inlineStr">
        <is>
          <t>Oleaginous Ointment base (White Petrolatum)</t>
        </is>
      </c>
      <c r="E111" s="45" t="inlineStr">
        <is>
          <t>Absorption Ointment base (Lanolin USP)</t>
        </is>
      </c>
      <c r="F111" s="45" t="inlineStr">
        <is>
          <t>Fatty Suppository base (Hard Fat / Witepsol)</t>
        </is>
      </c>
      <c r="G111" s="45" t="inlineStr">
        <is>
          <t>Simple Syrup USP (85% w/v Sucrose)</t>
        </is>
      </c>
      <c r="H111" s="45" t="inlineStr">
        <is>
          <t>Elixir with 10-20% Alcohol cosolvent</t>
        </is>
      </c>
      <c r="I111" s="46" t="n">
        <v>5</v>
      </c>
      <c r="J111" s="45"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ข.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ง. (Simple Syrup USP (85% w/v Sucrose)):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46" t="n"/>
      <c r="L111" s="45" t="inlineStr">
        <is>
          <t>Emulsions</t>
        </is>
      </c>
      <c r="M111" s="46" t="inlineStr">
        <is>
          <t>Product</t>
        </is>
      </c>
      <c r="N111" s="45" t="inlineStr">
        <is>
          <t>ข้อ 5 (PLE_CC1_Key_Rx20_UBU.md)</t>
        </is>
      </c>
      <c r="O111" s="46" t="inlineStr">
        <is>
          <t>Mock</t>
        </is>
      </c>
      <c r="P111" s="46" t="inlineStr">
        <is>
          <t>Mock Rx20 UBU</t>
        </is>
      </c>
    </row>
    <row r="112" ht="13.2" customHeight="1" s="37">
      <c r="A112" s="46" t="n">
        <v>110</v>
      </c>
      <c r="B112" s="45" t="inlineStr">
        <is>
          <t>O/W เนื่องจากตำรับดังกล่าวมีส่วนของวัฏภาคน้ำสูงกว่าวัฏภาคน้ำมัน และมีค่า HLB ของ Emulsifier ที่สูง</t>
        </is>
      </c>
      <c r="C112" s="46" t="n"/>
      <c r="D112" s="45" t="inlineStr">
        <is>
          <t>Simple Syrup USP (85% w/v Sucrose)</t>
        </is>
      </c>
      <c r="E112" s="45" t="inlineStr">
        <is>
          <t>Elixir with 10-20% Alcohol cosolvent</t>
        </is>
      </c>
      <c r="F112" s="45" t="inlineStr">
        <is>
          <t>Flocculated Oral Suspension with Xanthan Gum</t>
        </is>
      </c>
      <c r="G112" s="45" t="inlineStr">
        <is>
          <t>Deflocculated Suspension formulation</t>
        </is>
      </c>
      <c r="H112" s="45" t="inlineStr">
        <is>
          <t>O/W Emulsion stabilized by Polysorbate 80 / Span 80</t>
        </is>
      </c>
      <c r="I112" s="46" t="n">
        <v>1</v>
      </c>
      <c r="J112" s="45"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ข้อนี้ไม่ใช่คำตอบที่ถูกต้องสำหรับภาวะ Emulsions เนื่องจากกลไกการออกฤทธิ์, efficacy หรือข้อบ่งใช้ไม่ตรงกับโจทย์ที่กำหนด
• ข้อ ค.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Emulsions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46" t="n"/>
      <c r="L112" s="45" t="inlineStr">
        <is>
          <t>Emulsions</t>
        </is>
      </c>
      <c r="M112" s="46" t="inlineStr">
        <is>
          <t>Product</t>
        </is>
      </c>
      <c r="N112" s="45" t="inlineStr">
        <is>
          <t>ข้อ 1 (PLE_CC1_Key_Rx20_UBU.md)</t>
        </is>
      </c>
      <c r="O112" s="46" t="inlineStr">
        <is>
          <t>Mock</t>
        </is>
      </c>
      <c r="P112" s="46" t="inlineStr">
        <is>
          <t>Mock Rx20 UBU</t>
        </is>
      </c>
    </row>
    <row r="113" ht="13.2" customHeight="1" s="37">
      <c r="A113" s="46" t="n">
        <v>111</v>
      </c>
      <c r="B113" s="45" t="inlineStr">
        <is>
          <t>W/O เนื่องจากตำรับดังกล่าวมีส่วนของวัฏภาคน้ำมันสูงกว่าวัฏภาคน้ำ และมีค่า HLB ของ Emulsifier ที่สูง</t>
        </is>
      </c>
      <c r="C113" s="46" t="n"/>
      <c r="D113" s="45" t="inlineStr">
        <is>
          <t>Deflocculated Suspension formulation</t>
        </is>
      </c>
      <c r="E113" s="45" t="inlineStr">
        <is>
          <t>O/W Emulsion stabilized by Polysorbate 80 / Span 80</t>
        </is>
      </c>
      <c r="F113" s="45" t="inlineStr">
        <is>
          <t>W/O Emulsion with Sorbitan monooleate</t>
        </is>
      </c>
      <c r="G113" s="45" t="inlineStr">
        <is>
          <t>Carbopol 940 hydrogel neutralized with Triethanolamine</t>
        </is>
      </c>
      <c r="H113" s="45" t="inlineStr">
        <is>
          <t>Oleaginous Ointment base (White Petrolatum)</t>
        </is>
      </c>
      <c r="I113" s="46" t="n">
        <v>1</v>
      </c>
      <c r="J11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46" t="n"/>
      <c r="L113" s="45" t="inlineStr">
        <is>
          <t>Emulsions</t>
        </is>
      </c>
      <c r="M113" s="46" t="inlineStr">
        <is>
          <t>Product</t>
        </is>
      </c>
      <c r="N113" s="45" t="inlineStr">
        <is>
          <t>ข้อ 3 (PLE_CC1_Key_Rx20_UBU.md)</t>
        </is>
      </c>
      <c r="O113" s="46" t="inlineStr">
        <is>
          <t>Mock</t>
        </is>
      </c>
      <c r="P113" s="46" t="inlineStr">
        <is>
          <t>Mock Rx20 UBU</t>
        </is>
      </c>
    </row>
    <row r="114" ht="13.2" customHeight="1" s="37">
      <c r="A114" s="46" t="n">
        <v>112</v>
      </c>
      <c r="B114" s="45" t="inlineStr">
        <is>
          <t>เนื่องจากตำรับดังกล่าวมีการใช้ Tween และ Span ซึ่งเป็น Emulsifier ชนิด Non-ionic surfactant Emulsifier ที่สูง</t>
        </is>
      </c>
      <c r="C114" s="46" t="n"/>
      <c r="D114" s="45" t="inlineStr">
        <is>
          <t>Carbopol 940 hydrogel neutralized with Triethanolamine</t>
        </is>
      </c>
      <c r="E114" s="45" t="inlineStr">
        <is>
          <t>Oleaginous Ointment base (White Petrolatum)</t>
        </is>
      </c>
      <c r="F114" s="45" t="inlineStr">
        <is>
          <t>Absorption Ointment base (Lanolin USP)</t>
        </is>
      </c>
      <c r="G114" s="45" t="inlineStr">
        <is>
          <t>Fatty Suppository base (Hard Fat / Witepsol)</t>
        </is>
      </c>
      <c r="H114" s="45" t="inlineStr">
        <is>
          <t>Simple Syrup USP (85% w/v Sucrose)</t>
        </is>
      </c>
      <c r="I114" s="46" t="n">
        <v>4</v>
      </c>
      <c r="J114" s="45" t="inlineStr">
        <is>
          <t>✅ คำตอบที่ถูกต้อง: ข้อ ง.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ข.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ข้อ จ. (Simple Syrup USP (85% w/v Sucrose)):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46" t="n"/>
      <c r="L114" s="45" t="inlineStr">
        <is>
          <t>Emulsions</t>
        </is>
      </c>
      <c r="M114" s="46" t="inlineStr">
        <is>
          <t>Product</t>
        </is>
      </c>
      <c r="N114" s="45" t="inlineStr">
        <is>
          <t>ข้อ 5 (PLE_CC1_Key_Rx20_UBU.md)</t>
        </is>
      </c>
      <c r="O114" s="46" t="inlineStr">
        <is>
          <t>Mock</t>
        </is>
      </c>
      <c r="P114" s="46" t="inlineStr">
        <is>
          <t>Mock Rx20 UBU</t>
        </is>
      </c>
    </row>
    <row r="115" ht="13.2" customHeight="1" s="37">
      <c r="A115" s="46" t="n">
        <v>113</v>
      </c>
      <c r="B115" s="45" t="inlineStr">
        <is>
          <t>ยาครีมอิมัลชันที่แยกชั้นออกจากกัน</t>
        </is>
      </c>
      <c r="C115" s="46" t="n"/>
      <c r="D115" s="45" t="inlineStr">
        <is>
          <t>Fatty Suppository base (Hard Fat / Witepsol)</t>
        </is>
      </c>
      <c r="E115" s="45" t="inlineStr">
        <is>
          <t>Simple Syrup USP (85% w/v Sucrose)</t>
        </is>
      </c>
      <c r="F115" s="45" t="inlineStr">
        <is>
          <t>Elixir with 10-20% Alcohol cosolvent</t>
        </is>
      </c>
      <c r="G115" s="45" t="inlineStr">
        <is>
          <t>Flocculated Oral Suspension with Xanthan Gum</t>
        </is>
      </c>
      <c r="H115" s="45" t="inlineStr">
        <is>
          <t>Deflocculated Suspension formulation</t>
        </is>
      </c>
      <c r="I115" s="46" t="n">
        <v>1</v>
      </c>
      <c r="J11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46" t="n"/>
      <c r="L115" s="45" t="inlineStr">
        <is>
          <t>Creams &amp; Ointments</t>
        </is>
      </c>
      <c r="M115" s="46" t="inlineStr">
        <is>
          <t>Product</t>
        </is>
      </c>
      <c r="N115" s="45" t="inlineStr">
        <is>
          <t>ข้อ 1 (PLE_CC1_Key_Rx20_UBU.md)</t>
        </is>
      </c>
      <c r="O115" s="46" t="inlineStr">
        <is>
          <t>Mock</t>
        </is>
      </c>
      <c r="P115" s="46" t="inlineStr">
        <is>
          <t>Mock Rx20 UBU</t>
        </is>
      </c>
    </row>
    <row r="116" ht="13.2" customHeight="1" s="37">
      <c r="A116" s="46" t="n">
        <v>114</v>
      </c>
      <c r="B116" s="45" t="inlineStr">
        <is>
          <t>การศึกษาทางพฤกษเคมี พบว่าผลการทดลองผ่าน Mayer’s test ให้ผลเป็นสีครีม และ Dragendorff’s test ได้เป็นตะกอนสีส้ม สารพฤกษเคมีควรจะเป็นสารใด แWXงมาจนโรคYวน?</t>
        </is>
      </c>
      <c r="C116" s="46" t="n"/>
      <c r="D116" s="45" t="inlineStr">
        <is>
          <t>Flocculated Oral Suspension with Xanthan Gum</t>
        </is>
      </c>
      <c r="E116" s="45" t="inlineStr">
        <is>
          <t>Deflocculated Suspension formulation</t>
        </is>
      </c>
      <c r="F116" s="45" t="inlineStr">
        <is>
          <t>O/W Emulsion stabilized by Polysorbate 80 / Span 80</t>
        </is>
      </c>
      <c r="G116" s="45" t="inlineStr">
        <is>
          <t>W/O Emulsion with Sorbitan monooleate</t>
        </is>
      </c>
      <c r="H116" s="45" t="inlineStr">
        <is>
          <t>Carbopol 940 hydrogel neutralized with Triethanolamine</t>
        </is>
      </c>
      <c r="I116" s="46" t="n">
        <v>1</v>
      </c>
      <c r="J11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46" t="n"/>
      <c r="L116" s="45" t="inlineStr">
        <is>
          <t>Creams &amp; Ointments</t>
        </is>
      </c>
      <c r="M116" s="46" t="inlineStr">
        <is>
          <t>Product</t>
        </is>
      </c>
      <c r="N116" s="45" t="inlineStr">
        <is>
          <t>ข้อ 4 (PLE_CC1_Key_Rx20_UBU.md)</t>
        </is>
      </c>
      <c r="O116" s="46" t="inlineStr">
        <is>
          <t>Mock</t>
        </is>
      </c>
      <c r="P116" s="46" t="inlineStr">
        <is>
          <t>Mock Rx20 UBU</t>
        </is>
      </c>
    </row>
    <row r="117" ht="13.2" customHeight="1" s="37">
      <c r="A117" s="46" t="n">
        <v>115</v>
      </c>
      <c r="B117" s="45" t="inlineStr">
        <is>
          <t>Reducing sugar Mayer’s test ให้ผลเป็นสีครีม และ Dragendorff’s test ได้เป็นตะกอนสีส้ม คือผลการทดสอบสารกลุ่ม Alkaloids</t>
        </is>
      </c>
      <c r="C117" s="46" t="n"/>
      <c r="D117" s="45" t="inlineStr">
        <is>
          <t>W/O Emulsion with Sorbitan monooleate</t>
        </is>
      </c>
      <c r="E117" s="45" t="inlineStr">
        <is>
          <t>Carbopol 940 hydrogel neutralized with Triethanolamine</t>
        </is>
      </c>
      <c r="F117" s="45" t="inlineStr">
        <is>
          <t>Oleaginous Ointment base (White Petrolatum)</t>
        </is>
      </c>
      <c r="G117" s="45" t="inlineStr">
        <is>
          <t>Absorption Ointment base (Lanolin USP)</t>
        </is>
      </c>
      <c r="H117" s="45" t="inlineStr">
        <is>
          <t>Fatty Suppository base (Hard Fat / Witepsol)</t>
        </is>
      </c>
      <c r="I117" s="46" t="n">
        <v>1</v>
      </c>
      <c r="J11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46" t="n"/>
      <c r="L117" s="45" t="inlineStr">
        <is>
          <t>Creams &amp; Ointments</t>
        </is>
      </c>
      <c r="M117" s="46" t="inlineStr">
        <is>
          <t>Product</t>
        </is>
      </c>
      <c r="N117" s="45" t="inlineStr">
        <is>
          <t>ข้อ 5 (PLE_CC1_Key_Rx20_UBU.md)</t>
        </is>
      </c>
      <c r="O117" s="46" t="inlineStr">
        <is>
          <t>Mock</t>
        </is>
      </c>
      <c r="P117" s="46" t="inlineStr">
        <is>
          <t>Mock Rx20 UBU</t>
        </is>
      </c>
    </row>
    <row r="118" ht="13.2" customHeight="1" s="37">
      <c r="A118" s="46" t="n">
        <v>116</v>
      </c>
      <c r="B118" s="45" t="inlineStr">
        <is>
          <t>เป็น noninonic surfactant เพื่อเลียนแบบสภาวะในกระเพาะอาหาร</t>
        </is>
      </c>
      <c r="C118" s="46" t="n"/>
      <c r="D118" s="45" t="inlineStr">
        <is>
          <t>Absorption Ointment base (Lanolin USP)</t>
        </is>
      </c>
      <c r="E118" s="45" t="inlineStr">
        <is>
          <t>Fatty Suppository base (Hard Fat / Witepsol)</t>
        </is>
      </c>
      <c r="F118" s="45" t="inlineStr">
        <is>
          <t>Simple Syrup USP (85% w/v Sucrose)</t>
        </is>
      </c>
      <c r="G118" s="45" t="inlineStr">
        <is>
          <t>Elixir with 10-20% Alcohol cosolvent</t>
        </is>
      </c>
      <c r="H118" s="45" t="inlineStr">
        <is>
          <t>Flocculated Oral Suspension with Xanthan Gum</t>
        </is>
      </c>
      <c r="I118" s="46" t="n">
        <v>1</v>
      </c>
      <c r="J118" s="45"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ค. (Simple Syrup USP (85% w/v Sucrose)): ข้อนี้ไม่ใช่คำตอบที่ถูกต้องสำหรับภาวะ Emulsions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Emulsions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46" t="n"/>
      <c r="L118" s="45" t="inlineStr">
        <is>
          <t>Emulsions</t>
        </is>
      </c>
      <c r="M118" s="46" t="inlineStr">
        <is>
          <t>Product</t>
        </is>
      </c>
      <c r="N118" s="45" t="inlineStr">
        <is>
          <t>ข้อ 1 (PLE_CC1_Key_Rx20_UBU.md)</t>
        </is>
      </c>
      <c r="O118" s="46" t="inlineStr">
        <is>
          <t>Mock</t>
        </is>
      </c>
      <c r="P118" s="46" t="inlineStr">
        <is>
          <t>Mock Rx20 UBU</t>
        </is>
      </c>
    </row>
    <row r="119" ht="13.2" customHeight="1" s="37">
      <c r="A119" s="46" t="n">
        <v>117</v>
      </c>
      <c r="B119" s="45" t="inlineStr">
        <is>
          <t>ตำรับ phenylephrine และ Brompheniramine มา ให้ค่าการละลายของทั้ง 2 ตัวมา (freely soluble ใน.... ประมาณนี้) ในตำรับมี simple syrup, sorbitol, glycerine, purified water ประมาณนี่แหละ แล้วให้เรียง order of mixing ให้ถูกต้อง ตอบ 1088 8.9 0.35032 0.3- 0.64 /</t>
        </is>
      </c>
      <c r="C119" s="46" t="n"/>
      <c r="D119" s="45" t="inlineStr">
        <is>
          <t>Elixir with 10-20% Alcohol cosolvent</t>
        </is>
      </c>
      <c r="E119" s="45" t="inlineStr">
        <is>
          <t>Flocculated Oral Suspension with Xanthan Gum</t>
        </is>
      </c>
      <c r="F119" s="45" t="inlineStr">
        <is>
          <t>Deflocculated Suspension formulation</t>
        </is>
      </c>
      <c r="G119" s="45" t="inlineStr">
        <is>
          <t>O/W Emulsion stabilized by Polysorbate 80 / Span 80</t>
        </is>
      </c>
      <c r="H119" s="45" t="inlineStr">
        <is>
          <t>W/O Emulsion with Sorbitan monooleate</t>
        </is>
      </c>
      <c r="I119" s="46" t="n">
        <v>1</v>
      </c>
      <c r="J119" s="45" t="inlineStr">
        <is>
          <t>✅ คำตอบที่ถูกต้อง: ข้อ ก. Elixir with 10-20% Alcohol cosolvent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(Flocculated Oral Suspension with Xanthan Gum): ข้อนี้ไม่ใช่คำตอบที่ถูกต้องสำหรับภาวะ Solutions, Syrups &amp; Elixirs เนื่องจากกลไกการออกฤทธิ์, efficacy หรือข้อบ่งใช้ไม่ตรงกับโจทย์ที่กำหนด
• ข้อ ค. (Deflocculated Suspension formulation): ข้อนี้ไม่ใช่คำตอบที่ถูกต้องสำหรับภาวะ Solutions, Syrups &amp; Elixirs เนื่องจากกลไกการออกฤทธิ์, efficacy หรือข้อบ่งใช้ไม่ตรงกับโจทย์ที่กำหนด
• ข้อ ง. (O/W Emulsion stabilized by Polysorbate 80 / Span 80): เป็น Non-ionic surfactant (Tween 80) มีค่า HLB สูง (~15) ทำหน้าที่เป็น O/W emulsifying agent, solubilizer และ wetting agent
• ข้อ จ. (W/O Emulsion with Sorbitan monooleate):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46" t="n"/>
      <c r="L119" s="45" t="inlineStr">
        <is>
          <t>Solutions, Syrups &amp; Elixirs</t>
        </is>
      </c>
      <c r="M119" s="46" t="inlineStr">
        <is>
          <t>Product</t>
        </is>
      </c>
      <c r="N119" s="45" t="inlineStr">
        <is>
          <t>ข้อ 73 (PLE_CC1_Key_Rx20_UBU.md)</t>
        </is>
      </c>
      <c r="O119" s="46" t="inlineStr">
        <is>
          <t>Mock</t>
        </is>
      </c>
      <c r="P119" s="46" t="inlineStr">
        <is>
          <t>Mock Rx20 UBU</t>
        </is>
      </c>
    </row>
    <row r="120" ht="13.2" customHeight="1" s="37">
      <c r="A120" s="46" t="n">
        <v>118</v>
      </c>
      <c r="B120" s="45" t="inlineStr">
        <is>
          <t>Surfactants: - Anionic surfactants: Sodium laurate, Sodium sterate, Magnesium sterate, Calcium oleate, Triethanolamine oleate, Sodium lauryl sulfate (SLS), Sodium lauryl sulfate (SLS) - Cationic surfactants: Benzalkonium - Amphoteric surfactants: lecithin, polypeptide, proteins - Nonionic surfactants: Sorbitan esters (Spanห), Polysorbate (Tweenห), Poloxamer</t>
        </is>
      </c>
      <c r="C120" s="46" t="n"/>
      <c r="D120" s="45" t="inlineStr">
        <is>
          <t>O/W Emulsion stabilized by Polysorbate 80 / Span 80</t>
        </is>
      </c>
      <c r="E120" s="45" t="inlineStr">
        <is>
          <t>W/O Emulsion with Sorbitan monooleate</t>
        </is>
      </c>
      <c r="F120" s="45" t="inlineStr">
        <is>
          <t>Carbopol 940 hydrogel neutralized with Triethanolamine</t>
        </is>
      </c>
      <c r="G120" s="45" t="inlineStr">
        <is>
          <t>Oleaginous Ointment base (White Petrolatum)</t>
        </is>
      </c>
      <c r="H120" s="45" t="inlineStr">
        <is>
          <t>Absorption Ointment base (Lanolin USP)</t>
        </is>
      </c>
      <c r="I120" s="46" t="n">
        <v>1</v>
      </c>
      <c r="J120" s="45"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ข้อนี้ไม่ใช่คำตอบที่ถูกต้องสำหรับภาวะ Emulsions เนื่องจากกลไกการออกฤทธิ์, efficacy หรือข้อบ่งใช้ไม่ตรงกับโจทย์ที่กำหนด
• ข้อ ค. (Carbopol 940 hydrogel neutralized with Triethanolamine): ข้อนี้ไม่ใช่คำตอบที่ถูกต้องสำหรับภาวะ Emulsions เนื่องจากกลไกการออกฤทธิ์, efficacy หรือข้อบ่งใช้ไม่ตรงกับโจทย์ที่กำหนด
• ข้อ ง. (Oleaginous Ointment base (White Petrolatum)): ข้อนี้ไม่ใช่คำตอบที่ถูกต้องสำหรับภาวะ Emulsions เนื่องจากกลไกการออกฤทธิ์, efficacy หรือข้อบ่งใช้ไม่ตรงกับโจทย์ที่กำหนด
• ข้อ จ. (Absorption Ointment base (Lanolin USP)):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46" t="n"/>
      <c r="L120" s="45" t="inlineStr">
        <is>
          <t>Emulsions</t>
        </is>
      </c>
      <c r="M120" s="46" t="inlineStr">
        <is>
          <t>Product</t>
        </is>
      </c>
      <c r="N120" s="45" t="inlineStr">
        <is>
          <t>ข้อ 1 (PLE_CC1_Key_Rx20_UBU.md)</t>
        </is>
      </c>
      <c r="O120" s="46" t="inlineStr">
        <is>
          <t>Mock</t>
        </is>
      </c>
      <c r="P120" s="46" t="inlineStr">
        <is>
          <t>Mock Rx20 UBU</t>
        </is>
      </c>
    </row>
    <row r="121" ht="13.2" customHeight="1" s="37">
      <c r="A121" s="46" t="n">
        <v>119</v>
      </c>
      <c r="B121" s="45" t="inlineStr">
        <is>
          <t>Hydrophilic colloids: acacia, tragacanth, pectic, sodium alginate, gelatin, Cellulose derivative( Methylcellulose, sodium carboxy methylcellulose, ethylcellulose</t>
        </is>
      </c>
      <c r="C121" s="46" t="n"/>
      <c r="D121" s="45" t="inlineStr">
        <is>
          <t>Oleaginous Ointment base (White Petrolatum)</t>
        </is>
      </c>
      <c r="E121" s="45" t="inlineStr">
        <is>
          <t>Absorption Ointment base (Lanolin USP)</t>
        </is>
      </c>
      <c r="F121" s="45" t="inlineStr">
        <is>
          <t>Fatty Suppository base (Hard Fat / Witepsol)</t>
        </is>
      </c>
      <c r="G121" s="45" t="inlineStr">
        <is>
          <t>Simple Syrup USP (85% w/v Sucrose)</t>
        </is>
      </c>
      <c r="H121" s="45" t="inlineStr">
        <is>
          <t>Elixir with 10-20% Alcohol cosolvent</t>
        </is>
      </c>
      <c r="I121" s="46" t="n">
        <v>1</v>
      </c>
      <c r="J12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ข้อนี้ไม่ใช่คำตอบที่ถูกต้องสำหรับภาวะ Gels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Gels เนื่องจากกลไกการออกฤทธิ์, efficacy หรือข้อบ่งใช้ไม่ตรงกับโจทย์ที่กำหนด
• ข้อ ง. (Simple Syrup USP (85% w/v Sucrose)): ข้อนี้ไม่ใช่คำตอบที่ถูกต้องสำหรับภาวะ Gels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46" t="n"/>
      <c r="L121" s="45" t="inlineStr">
        <is>
          <t>Gels</t>
        </is>
      </c>
      <c r="M121" s="46" t="inlineStr">
        <is>
          <t>Product</t>
        </is>
      </c>
      <c r="N121" s="45" t="inlineStr">
        <is>
          <t>ข้อ 2 (PLE_CC1_Key_Rx20_UBU.md)</t>
        </is>
      </c>
      <c r="O121" s="46" t="inlineStr">
        <is>
          <t>Mock</t>
        </is>
      </c>
      <c r="P121" s="46" t="inlineStr">
        <is>
          <t>Mock Rx20 UBU</t>
        </is>
      </c>
    </row>
    <row r="122" ht="13.2" customHeight="1" s="37">
      <c r="A122" s="46" t="n">
        <v>120</v>
      </c>
      <c r="B122" s="45" t="inlineStr">
        <is>
          <t>หากผู$ป&amp;วยนำใบสั่งยาข$างต$นมาซื้อยาทีโรงพยาบาล แตGที่ร$านยาของทGานไมGมียาดังกลGาว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medroxyprogesterone acetate ได$ผงยาออกเปญน 5 ขนาดดังตGอไปนี้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122" s="46" t="n"/>
      <c r="D122" s="45" t="inlineStr">
        <is>
          <t>Simple Syrup USP (85% w/v Sucrose)</t>
        </is>
      </c>
      <c r="E122" s="45" t="inlineStr">
        <is>
          <t>Elixir with 10-20% Alcohol cosolvent</t>
        </is>
      </c>
      <c r="F122" s="45" t="inlineStr">
        <is>
          <t>Flocculated Oral Suspension with Xanthan Gum</t>
        </is>
      </c>
      <c r="G122" s="45" t="inlineStr">
        <is>
          <t>Deflocculated Suspension formulation</t>
        </is>
      </c>
      <c r="H122" s="45" t="inlineStr">
        <is>
          <t>O/W Emulsion stabilized by Polysorbate 80 / Span 80</t>
        </is>
      </c>
      <c r="I122" s="46" t="n">
        <v>3</v>
      </c>
      <c r="J122" s="45" t="inlineStr">
        <is>
          <t>✅ คำตอบที่ถูกต้อง: ข้อ ค.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ข.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ง.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46" t="n"/>
      <c r="L122" s="45" t="inlineStr">
        <is>
          <t>Creams &amp; Ointments</t>
        </is>
      </c>
      <c r="M122" s="46" t="inlineStr">
        <is>
          <t>Product</t>
        </is>
      </c>
      <c r="N122" s="45" t="inlineStr">
        <is>
          <t>ข้อ 44 (PLE_CC1_Key_Rx20_UBU.md)</t>
        </is>
      </c>
      <c r="O122" s="46" t="inlineStr">
        <is>
          <t>Mock</t>
        </is>
      </c>
      <c r="P122" s="46" t="inlineStr">
        <is>
          <t>Mock Rx20 UBU</t>
        </is>
      </c>
    </row>
    <row r="123" ht="13.2" customHeight="1" s="37">
      <c r="A123" s="46" t="n">
        <v>121</v>
      </c>
      <c r="B123" s="45" t="inlineStr">
        <is>
          <t>วิทยุโฆษณาชุมชน โฆษณาวGา .” รักษาสิว นึกถึง clindamycin gel” ทำได$หรือไมG</t>
        </is>
      </c>
      <c r="C123" s="46" t="n"/>
      <c r="D123" s="45" t="inlineStr">
        <is>
          <t>Deflocculated Suspension formulation</t>
        </is>
      </c>
      <c r="E123" s="45" t="inlineStr">
        <is>
          <t>O/W Emulsion stabilized by Polysorbate 80 / Span 80</t>
        </is>
      </c>
      <c r="F123" s="45" t="inlineStr">
        <is>
          <t>W/O Emulsion with Sorbitan monooleate</t>
        </is>
      </c>
      <c r="G123" s="45" t="inlineStr">
        <is>
          <t>Carbopol 940 hydrogel neutralized with Triethanolamine</t>
        </is>
      </c>
      <c r="H123" s="45" t="inlineStr">
        <is>
          <t>Oleaginous Ointment base (White Petrolatum)</t>
        </is>
      </c>
      <c r="I123" s="46" t="n">
        <v>1</v>
      </c>
      <c r="J123" s="45"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ข้อนี้ไม่ใช่คำตอบที่ถูกต้องสำหรับภาวะ Gels เนื่องจากกลไกการออกฤทธิ์, efficacy หรือข้อบ่งใช้ไม่ตรงกับโจทย์ที่กำหนด
• ข้อ ง. (Carbopol 940 hydrogel neutralized with Triethanolamine): ข้อนี้ไม่ใช่คำตอบที่ถูกต้องสำหรับภาวะ Gels เนื่องจากกลไกการออกฤทธิ์, efficacy หรือข้อบ่งใช้ไม่ตรงกับโจทย์ที่กำหนด
• ข้อ จ. (Oleaginous Ointment base (White Petrolatum)): ข้อนี้ไม่ใช่คำตอบที่ถูกต้องสำหรับภาวะ Gels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46" t="n"/>
      <c r="L123" s="45" t="inlineStr">
        <is>
          <t>Gels</t>
        </is>
      </c>
      <c r="M123" s="46" t="inlineStr">
        <is>
          <t>Product</t>
        </is>
      </c>
      <c r="N123" s="45" t="inlineStr">
        <is>
          <t>ข้อ 9 (PLE_CC1_Key_Rx20_UBU.md)</t>
        </is>
      </c>
      <c r="O123" s="46" t="inlineStr">
        <is>
          <t>Mock</t>
        </is>
      </c>
      <c r="P123" s="46" t="inlineStr">
        <is>
          <t>Mock Rx20 UBU</t>
        </is>
      </c>
    </row>
    <row r="124" ht="13.2" customHeight="1" s="37">
      <c r="A124" s="46" t="n">
        <v>122</v>
      </c>
      <c r="B124" s="45" t="inlineStr">
        <is>
          <t>หากใช$รGวมกับยาขี้ผึ้งปนายตา ให$ปนายตากGอนหยอดตา 30 นาที และข$อ 3. อาจมีอาการขมคอ การกดที่หัวตาหลังหยอดยาจะชGวยลดอาการได$</t>
        </is>
      </c>
      <c r="C124" s="46" t="n"/>
      <c r="D124" s="45" t="inlineStr">
        <is>
          <t>Carbopol 940 hydrogel neutralized with Triethanolamine</t>
        </is>
      </c>
      <c r="E124" s="45" t="inlineStr">
        <is>
          <t>Oleaginous Ointment base (White Petrolatum)</t>
        </is>
      </c>
      <c r="F124" s="45" t="inlineStr">
        <is>
          <t>Absorption Ointment base (Lanolin USP)</t>
        </is>
      </c>
      <c r="G124" s="45" t="inlineStr">
        <is>
          <t>Fatty Suppository base (Hard Fat / Witepsol)</t>
        </is>
      </c>
      <c r="H124" s="45" t="inlineStr">
        <is>
          <t>Simple Syrup USP (85% w/v Sucrose)</t>
        </is>
      </c>
      <c r="I124" s="46" t="n">
        <v>2</v>
      </c>
      <c r="J124" s="45" t="inlineStr">
        <is>
          <t>✅ คำตอบที่ถูกต้อง: ข้อ ข.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ค.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ง.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ข้อ จ.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46" t="n"/>
      <c r="L124" s="45" t="inlineStr">
        <is>
          <t>Creams &amp; Ointments</t>
        </is>
      </c>
      <c r="M124" s="46" t="inlineStr">
        <is>
          <t>Product</t>
        </is>
      </c>
      <c r="N124" s="45" t="inlineStr">
        <is>
          <t>ข้อ 5 (PLE_CC1_Key_Rx20_UBU.md)</t>
        </is>
      </c>
      <c r="O124" s="46" t="inlineStr">
        <is>
          <t>Mock</t>
        </is>
      </c>
      <c r="P124" s="46" t="inlineStr">
        <is>
          <t>Mock Rx20 UBU</t>
        </is>
      </c>
    </row>
    <row r="125" ht="13.2" customHeight="1" s="37">
      <c r="A125" s="46" t="n">
        <v>123</v>
      </c>
      <c r="B125" s="45" t="inlineStr">
        <is>
          <t>Chloramphenicol eye drop + Oxytetracycline ophthalmic ointment</t>
        </is>
      </c>
      <c r="C125" s="46" t="n"/>
      <c r="D125" s="45" t="inlineStr">
        <is>
          <t>Fatty Suppository base (Hard Fat / Witepsol)</t>
        </is>
      </c>
      <c r="E125" s="45" t="inlineStr">
        <is>
          <t>Simple Syrup USP (85% w/v Sucrose)</t>
        </is>
      </c>
      <c r="F125" s="45" t="inlineStr">
        <is>
          <t>Elixir with 10-20% Alcohol cosolvent</t>
        </is>
      </c>
      <c r="G125" s="45" t="inlineStr">
        <is>
          <t>Flocculated Oral Suspension with Xanthan Gum</t>
        </is>
      </c>
      <c r="H125" s="45" t="inlineStr">
        <is>
          <t>Deflocculated Suspension formulation</t>
        </is>
      </c>
      <c r="I125" s="46" t="n">
        <v>1</v>
      </c>
      <c r="J125" s="45"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ข้อนี้ไม่ใช่คำตอบที่ถูกต้องสำหรับภาวะ Creams &amp; Ointments เนื่องจากกลไกการออกฤทธิ์, efficacy หรือข้อบ่งใช้ไม่ตรงกับโจทย์ที่กำหนด
• ข้อ ค. (Elixir with 10-20% Alcohol cosolvent): ข้อนี้ไม่ใช่คำตอบที่ถูกต้องสำหรับภาวะ Creams &amp; Ointments เนื่องจากกลไกการออกฤทธิ์, efficacy หรือข้อบ่งใช้ไม่ตรงกับโจทย์ที่กำหนด
• ข้อ ง. (Flocculated Oral Suspension with Xanthan Gum): ข้อนี้ไม่ใช่คำตอบที่ถูกต้องสำหรับภาวะ Creams &amp; Ointments เนื่องจากกลไกการออกฤทธิ์, efficacy หรือข้อบ่งใช้ไม่ตรงกับโจทย์ที่กำหนด
• ข้อ จ.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46" t="n"/>
      <c r="L125" s="45" t="inlineStr">
        <is>
          <t>Creams &amp; Ointments</t>
        </is>
      </c>
      <c r="M125" s="46" t="inlineStr">
        <is>
          <t>Product</t>
        </is>
      </c>
      <c r="N125" s="45" t="inlineStr">
        <is>
          <t>ข้อ 3 (PLE_CC1_Key_Rx20_UBU.md)</t>
        </is>
      </c>
      <c r="O125" s="46" t="inlineStr">
        <is>
          <t>Mock</t>
        </is>
      </c>
      <c r="P125" s="46" t="inlineStr">
        <is>
          <t>Mock Rx20 UBU</t>
        </is>
      </c>
    </row>
    <row r="126" ht="13.2" customHeight="1" s="37">
      <c r="A126" s="46" t="n">
        <v>124</v>
      </c>
      <c r="B126" s="45" t="inlineStr">
        <is>
          <t>Oxytetracycline ophthalmic ointment + Gentamicin eye drop</t>
        </is>
      </c>
      <c r="C126" s="46" t="n"/>
      <c r="D126" s="45" t="inlineStr">
        <is>
          <t>Flocculated Oral Suspension with Xanthan Gum</t>
        </is>
      </c>
      <c r="E126" s="45" t="inlineStr">
        <is>
          <t>Deflocculated Suspension formulation</t>
        </is>
      </c>
      <c r="F126" s="45" t="inlineStr">
        <is>
          <t>O/W Emulsion stabilized by Polysorbate 80 / Span 80</t>
        </is>
      </c>
      <c r="G126" s="45" t="inlineStr">
        <is>
          <t>W/O Emulsion with Sorbitan monooleate</t>
        </is>
      </c>
      <c r="H126" s="45" t="inlineStr">
        <is>
          <t>Carbopol 940 hydrogel neutralized with Triethanolamine</t>
        </is>
      </c>
      <c r="I126" s="46" t="n">
        <v>1</v>
      </c>
      <c r="J126" s="45"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ข้อนี้ไม่ใช่คำตอบที่ถูกต้องสำหรับภาวะ Creams &amp; Ointments เนื่องจากกลไกการออกฤทธิ์, efficacy หรือข้อบ่งใช้ไม่ตรงกับโจทย์ที่กำหนด
• ข้อ ค. (O/W Emulsion stabilized by Polysorbate 80 / Span 80): เป็น Non-ionic surfactant (Tween 80) มีค่า HLB สูง (~15) ทำหน้าที่เป็น O/W emulsifying agent, solubilizer และ wetting agent
• ข้อ ง. (W/O Emulsion with Sorbitan monooleate): ข้อนี้ไม่ใช่คำตอบที่ถูกต้องสำหรับภาวะ Creams &amp; Ointments เนื่องจากกลไกการออกฤทธิ์, efficacy หรือข้อบ่งใช้ไม่ตรงกับโจทย์ที่กำหนด
• ข้อ จ.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46" t="n"/>
      <c r="L126" s="45" t="inlineStr">
        <is>
          <t>Creams &amp; Ointments</t>
        </is>
      </c>
      <c r="M126" s="46" t="inlineStr">
        <is>
          <t>Product</t>
        </is>
      </c>
      <c r="N126" s="45" t="inlineStr">
        <is>
          <t>ข้อ 4 (PLE_CC1_Key_Rx20_UBU.md)</t>
        </is>
      </c>
      <c r="O126" s="46" t="inlineStr">
        <is>
          <t>Mock</t>
        </is>
      </c>
      <c r="P126" s="46" t="inlineStr">
        <is>
          <t>Mock Rx20 UBU</t>
        </is>
      </c>
    </row>
    <row r="127" ht="13.2" customHeight="1" s="37">
      <c r="A127" s="46" t="n">
        <v>125</v>
      </c>
      <c r="B127" s="45" t="inlineStr">
        <is>
          <t>Polymixin B + Neomycin ointment</t>
        </is>
      </c>
      <c r="C127" s="46" t="n"/>
      <c r="D127" s="45" t="inlineStr">
        <is>
          <t>W/O Emulsion with Sorbitan monooleate</t>
        </is>
      </c>
      <c r="E127" s="45" t="inlineStr">
        <is>
          <t>Carbopol 940 hydrogel neutralized with Triethanolamine</t>
        </is>
      </c>
      <c r="F127" s="45" t="inlineStr">
        <is>
          <t>Oleaginous Ointment base (White Petrolatum)</t>
        </is>
      </c>
      <c r="G127" s="45" t="inlineStr">
        <is>
          <t>Absorption Ointment base (Lanolin USP)</t>
        </is>
      </c>
      <c r="H127" s="45" t="inlineStr">
        <is>
          <t>Fatty Suppository base (Hard Fat / Witepsol)</t>
        </is>
      </c>
      <c r="I127" s="46" t="n">
        <v>1</v>
      </c>
      <c r="J127" s="45"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ข้อนี้ไม่ใช่คำตอบที่ถูกต้องสำหรับภาวะ Creams &amp; Ointments เนื่องจากกลไกการออกฤทธิ์, efficacy หรือข้อบ่งใช้ไม่ตรงกับโจทย์ที่กำหนด
• ข้อ ค. (Oleaginous Ointment base (White Petrolatum)): ข้อนี้ไม่ใช่คำตอบที่ถูกต้องสำหรับภาวะ Creams &amp; Ointments เนื่องจากกลไกการออกฤทธิ์, efficacy หรือข้อบ่งใช้ไม่ตรงกับโจทย์ที่กำหนด
• ข้อ ง. (Absorption Ointment base (Lanolin USP)): ข้อนี้ไม่ใช่คำตอบที่ถูกต้องสำหรับภาวะ Creams &amp; Ointments เนื่องจากกลไกการออกฤทธิ์, efficacy หรือข้อบ่งใช้ไม่ตรงกับโจทย์ที่กำหนด
• ข้อ จ. (Fatty Suppository base (Hard Fat / Witepsol)):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46" t="n"/>
      <c r="L127" s="45" t="inlineStr">
        <is>
          <t>Creams &amp; Ointments</t>
        </is>
      </c>
      <c r="M127" s="46" t="inlineStr">
        <is>
          <t>Product</t>
        </is>
      </c>
      <c r="N127" s="45" t="inlineStr">
        <is>
          <t>ข้อ 2 (PLE_CC1_Key_Rx20_UBU.md)</t>
        </is>
      </c>
      <c r="O127" s="46" t="inlineStr">
        <is>
          <t>Mock</t>
        </is>
      </c>
      <c r="P127" s="46" t="inlineStr">
        <is>
          <t>Mock Rx20 UBU</t>
        </is>
      </c>
    </row>
    <row r="128" ht="13.2" customHeight="1" s="37">
      <c r="A128" s="46" t="n">
        <v>126</v>
      </c>
      <c r="B128" s="45" t="inlineStr">
        <is>
          <t>16 ไม่มีคำตอบ คิดได้ 11.97 Liquid parafin 30% 33.5% 30/33.5 x 12 = 10.75 HLB 11.97 Wool fat 2% 2/33.5 x 10 = 0.597 Stearyl alcohol 1.5%</t>
        </is>
      </c>
      <c r="C128" s="46" t="n"/>
      <c r="D128" s="45" t="inlineStr">
        <is>
          <t>5/33.5 x 14 = 0.627</t>
        </is>
      </c>
      <c r="E128" s="45" t="inlineStr">
        <is>
          <t>Fatty Suppository base (Hard Fat / Witepsol)</t>
        </is>
      </c>
      <c r="F128" s="45" t="inlineStr">
        <is>
          <t>Simple Syrup USP (85% w/v Sucrose)</t>
        </is>
      </c>
      <c r="G128" s="45" t="inlineStr">
        <is>
          <t>Elixir with 10-20% Alcohol cosolvent</t>
        </is>
      </c>
      <c r="H128" s="45" t="inlineStr">
        <is>
          <t>Flocculated Oral Suspension with Xanthan Gum</t>
        </is>
      </c>
      <c r="I128" s="46" t="n">
        <v>1</v>
      </c>
      <c r="J128" s="45" t="inlineStr">
        <is>
          <t>✅ คำตอบที่ถูกต้อง: ข้อ ก. 5/33.5 x 14 = 0.627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5/33.5 x 14 = 0.627 💡 คำอธิบายและเหตุผลทางเภสัชกรรม:
💡 คำอธิบายและเหตุผลทางเภสัชกรรม:
การเลือก 5/33.5 x 14 = 0.627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ข้อนี้ไม่ใช่คำตอบที่ถูกต้องสำหรับภาวะ Emulsions เนื่องจากกลไกการออกฤทธิ์, efficacy หรือข้อบ่งใช้ไม่ตรงกับโจทย์ที่กำหนด
• ข้อ ค. (Simple Syrup USP (85% w/v Sucrose)): ข้อนี้ไม่ใช่คำตอบที่ถูกต้องสำหรับภาวะ Emulsions เนื่องจากกลไกการออกฤทธิ์, efficacy หรือข้อบ่งใช้ไม่ตรงกับโจทย์ที่กำหนด
• ข้อ ง. (Elixir with 10-20% Alcohol cosolvent): ข้อนี้ไม่ใช่คำตอบที่ถูกต้องสำหรับภาวะ Emulsions เนื่องจากกลไกการออกฤทธิ์, efficacy หรือข้อบ่งใช้ไม่ตรงกับโจทย์ที่กำหนด
• ข้อ จ. (Flocculated Oral Suspension with Xanthan Gum): ข้อนี้ไม่ใช่คำตอบที่ถูกต้องสำหรับภาวะ Emulsions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46" t="n"/>
      <c r="L128" s="45" t="inlineStr">
        <is>
          <t>Emulsions</t>
        </is>
      </c>
      <c r="M128" s="46" t="inlineStr">
        <is>
          <t>Product</t>
        </is>
      </c>
      <c r="N128" s="45" t="inlineStr">
        <is>
          <t>ข้อ 4 (PLE_CC1_Key_Rx20_UBU.md)</t>
        </is>
      </c>
      <c r="O128" s="46" t="inlineStr">
        <is>
          <t>Mock</t>
        </is>
      </c>
      <c r="P128" s="46" t="inlineStr">
        <is>
          <t>Mock Rx20 UBU</t>
        </is>
      </c>
    </row>
    <row r="129" ht="13.2" customHeight="1" s="37">
      <c r="A129" s="46" t="n">
        <v>127</v>
      </c>
      <c r="B129" s="45" t="inlineStr">
        <is>
          <t>หากจะเปลี่ยนจากยา Clotrimazole cream เป็นยารูปแบบรับประทาน ควรใช้ยาใด</t>
        </is>
      </c>
      <c r="C129" s="46" t="n"/>
      <c r="D129" s="45" t="inlineStr">
        <is>
          <t>Ketoconazole</t>
        </is>
      </c>
      <c r="E129" s="45" t="inlineStr">
        <is>
          <t>Posaconazole</t>
        </is>
      </c>
      <c r="F129" s="45" t="inlineStr">
        <is>
          <t>Miconazole</t>
        </is>
      </c>
      <c r="G129" s="45" t="inlineStr">
        <is>
          <t>Fluconazole</t>
        </is>
      </c>
      <c r="H129" s="45" t="inlineStr">
        <is>
          <t>Griseofulvin หลังจากนั้นสักพักผู้ป่วยอาการไม่ดีขึ้น เมื่อไปพบแพทย์ แพทย์จ่ายยา Itraconazole มาให้รับประทาน</t>
        </is>
      </c>
      <c r="I129" s="46" t="n">
        <v>4</v>
      </c>
      <c r="J129" s="45" t="inlineStr">
        <is>
          <t>✅ คำตอบที่ถูกต้อง: ข้อ ง. Fluconazole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Fluconazole 💡 คำอธิบายและเหตุผลทางเภสัชกรรม:
💡 คำอธิบายและเหตุผลทางเภสัชกรรม:
การเลือก Fluconazole เป็นคำตอบที่ถูกต้องตามแนวทางการรักษามาตรฐาน เนื่องจาก เป็น Triazole antifungal เป็น first-line สำหรับ Candida albicans และ Cryptococcal maintenance therapy ขับออกทางไตเด่นชัดจึงต้องปรับ dose ตาม CrCl
USP/NF, British Pharmacopoeia (BP) และ Remington: The Science and Practice of Pharmacy (หัวข้อ Creams &amp; Ointments)
🔍 ข้ออื่นผิดเพราะอะไร:
• ข้อ ก. (Ketoconazole): ข้อนี้ไม่ใช่คำตอบที่ถูกต้องสำหรับภาวะ Creams &amp; Ointments เนื่องจากกลไกการออกฤทธิ์, efficacy หรือข้อบ่งใช้ไม่ตรงกับโจทย์ที่กำหนด
• ข้อ ข. (Posaconazole): ข้อนี้ไม่ใช่คำตอบที่ถูกต้องสำหรับภาวะ Creams &amp; Ointments เนื่องจากกลไกการออกฤทธิ์, efficacy หรือข้อบ่งใช้ไม่ตรงกับโจทย์ที่กำหนด
• ข้อ ค. (Miconazole): ข้อนี้ไม่ใช่คำตอบที่ถูกต้องสำหรับภาวะ Creams &amp; Ointments เนื่องจากกลไกการออกฤทธิ์, efficacy หรือข้อบ่งใช้ไม่ตรงกับโจทย์ที่กำหนด
• ข้อ จ. (Griseofulvin หลังจากนั้นสักพักผู้ป่วยอาการไม่ดีขึ้น เมื่อไปพบแพทย์ แพทย์จ่ายยา Itraconazole มาให้รับประทาน):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46" t="n"/>
      <c r="L129" s="45" t="inlineStr">
        <is>
          <t>Creams &amp; Ointments</t>
        </is>
      </c>
      <c r="M129" s="46" t="inlineStr">
        <is>
          <t>Product</t>
        </is>
      </c>
      <c r="N129" s="45" t="inlineStr">
        <is>
          <t>ข้อ 13 (PLE_CC1_Key_Rx20_UBU.md)</t>
        </is>
      </c>
      <c r="O129" s="46" t="inlineStr">
        <is>
          <t>Mock</t>
        </is>
      </c>
      <c r="P129" s="46" t="inlineStr">
        <is>
          <t>Mock Rx20 UBU</t>
        </is>
      </c>
    </row>
    <row r="130" ht="13.2" customHeight="1" s="37">
      <c r="A130" s="46" t="n">
        <v>128</v>
      </c>
      <c r="B130" s="45" t="inlineStr">
        <is>
          <t>ยาทา Piroxicam cream จะต้องทำ Specific test ในหัวข้อใด</t>
        </is>
      </c>
      <c r="C130" s="46" t="n"/>
      <c r="D130" s="45" t="inlineStr">
        <is>
          <t>Microbial limit test</t>
        </is>
      </c>
      <c r="E130" s="45" t="inlineStr">
        <is>
          <t>Impurity</t>
        </is>
      </c>
      <c r="F130" s="45" t="inlineStr">
        <is>
          <t>Identification</t>
        </is>
      </c>
      <c r="G130" s="45" t="inlineStr">
        <is>
          <t>Assay</t>
        </is>
      </c>
      <c r="H130" s="45" t="inlineStr">
        <is>
          <t>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t>
        </is>
      </c>
      <c r="I130" s="46" t="n">
        <v>2</v>
      </c>
      <c r="J130" s="45" t="inlineStr">
        <is>
          <t>✅ คำตอบที่ถูกต้อง: ข้อ ข. Impurity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Impurity 💡 คำอธิบายและเหตุผลทางเภสัชกรรม:
💡 คำอธิบายและเหตุผลทางเภสัชกรรม:
การเลือก Impurity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(Microbial limit test): ข้อนี้ไม่ใช่คำตอบที่ถูกต้องสำหรับภาวะ Creams &amp; Ointments เนื่องจากกลไกการออกฤทธิ์, efficacy หรือข้อบ่งใช้ไม่ตรงกับโจทย์ที่กำหนด
• ข้อ ค. (Identification): ข้อนี้ไม่ใช่คำตอบที่ถูกต้องสำหรับภาวะ Creams &amp; Ointments เนื่องจากกลไกการออกฤทธิ์, efficacy หรือข้อบ่งใช้ไม่ตรงกับโจทย์ที่กำหนด
• ข้อ ง. (Assay): ข้อนี้ไม่ใช่คำตอบที่ถูกต้องสำหรับภาวะ Creams &amp; Ointments เนื่องจากกลไกการออกฤทธิ์, efficacy หรือข้อบ่งใช้ไม่ตรงกับโจทย์ที่กำหนด
• ข้อ จ.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46" t="n"/>
      <c r="L130" s="45" t="inlineStr">
        <is>
          <t>Creams &amp; Ointments</t>
        </is>
      </c>
      <c r="M130" s="46" t="inlineStr">
        <is>
          <t>Product</t>
        </is>
      </c>
      <c r="N130" s="45" t="inlineStr">
        <is>
          <t>ข้อ 107 (PLE_CC1_Key_Rx20_UBU.md)</t>
        </is>
      </c>
      <c r="O130" s="46" t="inlineStr">
        <is>
          <t>Mock</t>
        </is>
      </c>
      <c r="P130" s="46" t="inlineStr">
        <is>
          <t>Mock Rx20 UBU</t>
        </is>
      </c>
    </row>
    <row r="131" ht="13.2" customHeight="1" s="37">
      <c r="A131" s="46" t="n">
        <v>129</v>
      </c>
      <c r="B131" s="45" t="inlineStr">
        <is>
          <t>ยาที่มี tramadol เป็นส่วนประกอบ ทั้งในตำรับยาเดี่ยว และยาสูตรผสมทุกรูปแบบ (๒) ยาที่มี dextromethorphan เป็นส่วนประกอบในตำรับยาเดี่ยวและยาสูตรผสม ทุกรูปแบบ (๓) ยาที่มีตัวยา antihistamine ตามรายการที่แนบท้ายประกาศ เฉพาะที่เป็นยารูปแบบยาน้ำ</t>
        </is>
      </c>
      <c r="C131" s="46" t="n"/>
      <c r="D131" s="45" t="inlineStr">
        <is>
          <t>Oleaginous Ointment base (White Petrolatum)</t>
        </is>
      </c>
      <c r="E131" s="45" t="inlineStr">
        <is>
          <t>Absorption Ointment base (Lanolin USP)</t>
        </is>
      </c>
      <c r="F131" s="45" t="inlineStr">
        <is>
          <t>Fatty Suppository base (Hard Fat / Witepsol)</t>
        </is>
      </c>
      <c r="G131" s="45" t="inlineStr">
        <is>
          <t>Simple Syrup USP (85% w/v Sucrose)</t>
        </is>
      </c>
      <c r="H131" s="45" t="inlineStr">
        <is>
          <t>Elixir with 10-20% Alcohol cosolvent</t>
        </is>
      </c>
      <c r="I131" s="46" t="n">
        <v>1</v>
      </c>
      <c r="J131" s="45"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ข้อนี้ไม่ใช่คำตอบที่ถูกต้องสำหรับภาวะ Solutions, Syrups &amp; Elixirs เนื่องจากกลไกการออกฤทธิ์, efficacy หรือข้อบ่งใช้ไม่ตรงกับโจทย์ที่กำหนด
• ข้อ ค. (Fatty Suppository base (Hard Fat / Witepsol)): ข้อนี้ไม่ใช่คำตอบที่ถูกต้องสำหรับภาวะ Solutions, Syrups &amp; Elixirs เนื่องจากกลไกการออกฤทธิ์, efficacy หรือข้อบ่งใช้ไม่ตรงกับโจทย์ที่กำหนด
• ข้อ ง. (Simple Syrup USP (85% w/v Sucrose)): ข้อนี้ไม่ใช่คำตอบที่ถูกต้องสำหรับภาวะ Solutions, Syrups &amp; Elixirs เนื่องจากกลไกการออกฤทธิ์, efficacy หรือข้อบ่งใช้ไม่ตรงกับโจทย์ที่กำหนด
• ข้อ จ. (Elixir with 10-20% Alcohol cosolvent):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46" t="n"/>
      <c r="L131" s="45" t="inlineStr">
        <is>
          <t>Solutions, Syrups &amp; Elixirs</t>
        </is>
      </c>
      <c r="M131" s="46" t="inlineStr">
        <is>
          <t>Product</t>
        </is>
      </c>
      <c r="N131" s="45" t="inlineStr">
        <is>
          <t>ข้อ ๑ (PLE_CC1_Key_Rx20_UBU.md)</t>
        </is>
      </c>
      <c r="O131" s="46" t="inlineStr">
        <is>
          <t>Mock</t>
        </is>
      </c>
      <c r="P131" s="46" t="inlineStr">
        <is>
          <t>Mock Rx20 UBU</t>
        </is>
      </c>
    </row>
    <row r="132" ht="13.2" customHeight="1" s="37">
      <c r="A132" s="46" t="n">
        <v>130</v>
      </c>
      <c r="B132" s="45" t="inlineStr">
        <is>
          <t>ผลิตภัณฑ์ยาน้ำข้างต้นไม่สามารถขายได้ในสถานที่ใด</t>
        </is>
      </c>
      <c r="C132" s="46" t="n"/>
      <c r="D132" s="45" t="inlineStr">
        <is>
          <t>ร้านขายสมุนไพร</t>
        </is>
      </c>
      <c r="E132" s="45" t="inlineStr">
        <is>
          <t>ร้านขายยาแผนปัจจุบัน</t>
        </is>
      </c>
      <c r="F132" s="45" t="inlineStr">
        <is>
          <t>ร้านขายยาส่งแผนปัจจุบัน</t>
        </is>
      </c>
      <c r="G132" s="45" t="inlineStr">
        <is>
          <t>ร้าน ขย.2</t>
        </is>
      </c>
      <c r="H132" s="45" t="inlineStr">
        <is>
          <t>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t>
        </is>
      </c>
      <c r="I132" s="46" t="n">
        <v>1</v>
      </c>
      <c r="J132" s="45" t="inlineStr">
        <is>
          <t>✅ คำตอบที่ถูกต้อง: ข้อ ก. ร้านขายสมุนไพร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(ร้านขายยาแผนปัจจุบัน): ข้อนี้ไม่ใช่คำตอบที่ถูกต้องสำหรับภาวะ Solutions, Syrups &amp; Elixirs เนื่องจากกลไกการออกฤทธิ์, efficacy หรือข้อบ่งใช้ไม่ตรงกับโจทย์ที่กำหนด
• ข้อ ค. (ร้านขายยาส่งแผนปัจจุบัน): ข้อนี้ไม่ใช่คำตอบที่ถูกต้องสำหรับภาวะ Solutions, Syrups &amp; Elixirs เนื่องจากกลไกการออกฤทธิ์, efficacy หรือข้อบ่งใช้ไม่ตรงกับโจทย์ที่กำหนด
• ข้อ ง. (ร้าน ขย.2): ข้อนี้ไม่ใช่คำตอบที่ถูกต้องสำหรับภาวะ Solutions, Syrups &amp; Elixirs เนื่องจากกลไกการออกฤทธิ์, efficacy หรือข้อบ่งใช้ไม่ตรงกับโจทย์ที่กำหนด
• ข้อ จ. (ร้านขายยาแผนโบราณ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46" t="n"/>
      <c r="L132" s="45" t="inlineStr">
        <is>
          <t>Solutions, Syrups &amp; Elixirs</t>
        </is>
      </c>
      <c r="M132" s="46" t="inlineStr">
        <is>
          <t>Product</t>
        </is>
      </c>
      <c r="N132" s="45" t="inlineStr">
        <is>
          <t>ข้อ 115 (PLE_CC1_Key_Rx20_UBU.md)</t>
        </is>
      </c>
      <c r="O132" s="46" t="inlineStr">
        <is>
          <t>Mock</t>
        </is>
      </c>
      <c r="P132" s="46" t="inlineStr">
        <is>
          <t>Mock Rx20 UBU</t>
        </is>
      </c>
    </row>
    <row r="133" ht="13.2" customHeight="1" s="37">
      <c r="A133" s="46" t="n">
        <v>131</v>
      </c>
      <c r="B133" s="45" t="inlineStr">
        <is>
          <t>ปัจจัยใดไม่ส่งผลต่อชนิดของครีม</t>
        </is>
      </c>
      <c r="C133" s="46" t="n"/>
      <c r="D133" s="45" t="inlineStr">
        <is>
          <t>ลำดับการผสม</t>
        </is>
      </c>
      <c r="E133" s="45" t="inlineStr">
        <is>
          <t>ชนิดของสารก่ออิมัลชั่น</t>
        </is>
      </c>
      <c r="F133" s="45" t="inlineStr">
        <is>
          <t>ปริมาณรวมของสารก่ออิมัลชั่น</t>
        </is>
      </c>
      <c r="G133" s="45" t="inlineStr">
        <is>
          <t>สัดส่วนของสารก่ออิมัลชั่น</t>
        </is>
      </c>
      <c r="H133" s="45" t="inlineStr">
        <is>
          <t>สัดส่วนของน้ำมันต่อน้ำ</t>
        </is>
      </c>
      <c r="I133" s="46" t="n">
        <v>1</v>
      </c>
      <c r="J133" s="45" t="inlineStr">
        <is>
          <t>✅ คำตอบที่ถูกต้อง: ข้อ ก. ลำดับการผสม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ลำดับการผสม 💡 คำอธิบายและเหตุผลทางเภสัชกรรม:
💡 คำอธิบายและเหตุผลทางเภสัชกรรม:
การเลือก ลำดับการผสม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(ชนิดของสารก่ออิมัลชั่น): ข้อนี้ไม่ใช่คำตอบที่ถูกต้องสำหรับภาวะ Creams &amp; Ointments เนื่องจากกลไกการออกฤทธิ์, efficacy หรือข้อบ่งใช้ไม่ตรงกับโจทย์ที่กำหนด
• ข้อ ค. (ปริมาณรวมของสารก่ออิมัลชั่น): ข้อนี้ไม่ใช่คำตอบที่ถูกต้องสำหรับภาวะ Creams &amp; Ointments เนื่องจากกลไกการออกฤทธิ์, efficacy หรือข้อบ่งใช้ไม่ตรงกับโจทย์ที่กำหนด
• ข้อ ง. (สัดส่วนของสารก่ออิมัลชั่น): ข้อนี้ไม่ใช่คำตอบที่ถูกต้องสำหรับภาวะ Creams &amp; Ointments เนื่องจากกลไกการออกฤทธิ์, efficacy หรือข้อบ่งใช้ไม่ตรงกับโจทย์ที่กำหนด
• ข้อ จ. (สัดส่วนของน้ำมันต่อน้ำ): ข้อนี้ไม่ใช่คำตอบที่ถูกต้องสำหรับภาวะ Creams &amp; Ointments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46" t="n"/>
      <c r="L133" s="45" t="inlineStr">
        <is>
          <t>Creams &amp; Ointments</t>
        </is>
      </c>
      <c r="M133" s="46" t="inlineStr">
        <is>
          <t>Product</t>
        </is>
      </c>
      <c r="N133" s="45" t="inlineStr">
        <is>
          <t>ข้อ 8 (PLE_CC1_Key_Rx20_UBU.md)</t>
        </is>
      </c>
      <c r="O133" s="46" t="inlineStr">
        <is>
          <t>Mock</t>
        </is>
      </c>
      <c r="P133" s="46" t="inlineStr">
        <is>
          <t>Mock Rx20 UBU</t>
        </is>
      </c>
    </row>
    <row r="134" ht="13.2" customHeight="1" s="37">
      <c r="A134" s="46" t="n">
        <v>132</v>
      </c>
      <c r="B134" s="45" t="inlineStr">
        <is>
          <t>จากสูตรยาน้ำ cetirizine มี Sodium citrate และ acetic acid เป็น buffer โดยตัวยา cetirizine มีความคงตัวที่ pH = 5.5 แต่ตัว acetic acid มี pka เท่ากับ 4.76 จงหา molar ratio ของ sodium citrate ต่อ acetic acid เท่าไร (ให้มวลโมเลกุลของ sodium citrate = 60 และ acetic acid = 84)</t>
        </is>
      </c>
      <c r="C134" s="46" t="n"/>
      <c r="D134" s="45" t="inlineStr">
        <is>
          <t>10:1</t>
        </is>
      </c>
      <c r="E134" s="45" t="inlineStr">
        <is>
          <t>1:1</t>
        </is>
      </c>
      <c r="F134" s="47" t="n">
        <v>0.04861111111111111</v>
      </c>
      <c r="G134" s="47" t="n">
        <v>0.0625</v>
      </c>
      <c r="H134" s="47" t="n">
        <v>0.1111111111111111</v>
      </c>
      <c r="I134" s="46" t="n">
        <v>1</v>
      </c>
      <c r="J134" s="45" t="inlineStr">
        <is>
          <t>✅ คำตอบที่ถูกต้อง: ข้อ ก. 10:1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10:1 💡 คำอธิบายและเหตุผลทางเภสัชกรรม:
💡 คำอธิบายและเหตุผลทางเภสัชกรรม:
การเลือก 10:1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(1:1): ข้อนี้ไม่ใช่คำตอบที่ถูกต้องสำหรับภาวะ Solutions, Syrups &amp; Elixirs เนื่องจากกลไกการออกฤทธิ์, efficacy หรือข้อบ่งใช้ไม่ตรงกับโจทย์ที่กำหนด
• ข้อ ค. (1:10): ข้อนี้ไม่ใช่คำตอบที่ถูกต้องสำหรับภาวะ Solutions, Syrups &amp; Elixirs เนื่องจากกลไกการออกฤทธิ์, efficacy หรือข้อบ่งใช้ไม่ตรงกับโจทย์ที่กำหนด
• ข้อ ง. (1:30): ข้อนี้ไม่ใช่คำตอบที่ถูกต้องสำหรับภาวะ Solutions, Syrups &amp; Elixirs เนื่องจากกลไกการออกฤทธิ์, efficacy หรือข้อบ่งใช้ไม่ตรงกับโจทย์ที่กำหนด
• ข้อ จ. (1:100): ข้อนี้ไม่ใช่คำตอบที่ถูกต้องสำหรับภาวะ Solutions, Syrups &amp; Elixirs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46" t="n"/>
      <c r="L134" s="45" t="inlineStr">
        <is>
          <t>Solutions, Syrups &amp; Elixirs</t>
        </is>
      </c>
      <c r="M134" s="46" t="inlineStr">
        <is>
          <t>Product</t>
        </is>
      </c>
      <c r="N134" s="45" t="inlineStr">
        <is>
          <t>ข้อ 107 (PLE_CC1_Key_Rx20_UBU.md)</t>
        </is>
      </c>
      <c r="O134" s="46" t="inlineStr">
        <is>
          <t>Mock</t>
        </is>
      </c>
      <c r="P134" s="46" t="inlineStr">
        <is>
          <t>Mock Rx20 UBU</t>
        </is>
      </c>
    </row>
    <row r="135">
      <c r="A135" s="46" t="n">
        <v>133</v>
      </c>
      <c r="B135" s="45" t="inlineStr">
        <is>
          <t>ในการเตรียม Aspirin Suspension หากต้องการเติมสารบัฟเฟอร์ ปรับ pH ให้มี pH เท่ากับ 6.8 ภก.ควรจะใช้บัฟเฟอร์ใด</t>
        </is>
      </c>
      <c r="C135" s="46" t="n"/>
      <c r="D135" s="45" t="inlineStr">
        <is>
          <t>NaH2PO4 (pKa 7.21)/ Na2HPO4</t>
        </is>
      </c>
      <c r="E135" s="45" t="inlineStr">
        <is>
          <t>Na2HPO4 / Na3PO4</t>
        </is>
      </c>
      <c r="F135" s="45" t="inlineStr">
        <is>
          <t>Acetic acid (pKa 4.76)/ Sodium acetate</t>
        </is>
      </c>
      <c r="G135" s="45" t="inlineStr">
        <is>
          <t>Boric acid (pKa 8.24)/Sodium borate</t>
        </is>
      </c>
      <c r="H135" s="45" t="inlineStr">
        <is>
          <t>HCl/NaOH</t>
        </is>
      </c>
      <c r="I135" s="46" t="n">
        <v>1</v>
      </c>
      <c r="J135" s="45" t="inlineStr">
        <is>
          <t>✅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46" t="n"/>
      <c r="L135" s="45" t="inlineStr">
        <is>
          <t>Tablet Manufacturing</t>
        </is>
      </c>
      <c r="M135" s="46" t="inlineStr">
        <is>
          <t>Product</t>
        </is>
      </c>
      <c r="N135" s="45" t="inlineStr">
        <is>
          <t>ข้อ 7 Pharma Plus เล่มม่วง (เฉลยข้อ ก)</t>
        </is>
      </c>
      <c r="O135" s="46" t="inlineStr">
        <is>
          <t>Mock</t>
        </is>
      </c>
      <c r="P135" s="46" t="inlineStr">
        <is>
          <t>Pharma Plus เล่มม่วง</t>
        </is>
      </c>
    </row>
    <row r="136">
      <c r="A136" s="46" t="n">
        <v>134</v>
      </c>
      <c r="B136" s="45" t="inlineStr">
        <is>
          <t>ในการเตรียม aspirin suspension หากต้องการให้ยาตกตะกอนไม่เร็วเกินไป สารปรุงแต่งที่ต้องเติมคือ</t>
        </is>
      </c>
      <c r="C136" s="46" t="n"/>
      <c r="D136" s="45" t="inlineStr">
        <is>
          <t>Glycerin</t>
        </is>
      </c>
      <c r="E136" s="45" t="inlineStr">
        <is>
          <t>Tween 80</t>
        </is>
      </c>
      <c r="F136" s="45" t="inlineStr">
        <is>
          <t>Methylcellulose</t>
        </is>
      </c>
      <c r="G136" s="45" t="inlineStr">
        <is>
          <t>Aluminium chloride</t>
        </is>
      </c>
      <c r="H136" s="45" t="inlineStr">
        <is>
          <t>Sodium citrate</t>
        </is>
      </c>
      <c r="I136" s="46" t="n">
        <v>3</v>
      </c>
      <c r="J136" s="45" t="inlineStr">
        <is>
          <t>✅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46" t="n"/>
      <c r="L136" s="45" t="inlineStr">
        <is>
          <t>Tablet Manufacturing</t>
        </is>
      </c>
      <c r="M136" s="46" t="inlineStr">
        <is>
          <t>Product</t>
        </is>
      </c>
      <c r="N136" s="45" t="inlineStr">
        <is>
          <t>ข้อ 8 Pharma Plus เล่มม่วง (เฉลยข้อ ค)</t>
        </is>
      </c>
      <c r="O136" s="46" t="inlineStr">
        <is>
          <t>Mock</t>
        </is>
      </c>
      <c r="P136" s="46" t="inlineStr">
        <is>
          <t>Pharma Plus เล่มม่วง</t>
        </is>
      </c>
    </row>
    <row r="137">
      <c r="A137" s="46" t="n">
        <v>135</v>
      </c>
      <c r="B137" s="45" t="inlineStr">
        <is>
          <t>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t>
        </is>
      </c>
      <c r="C137" s="46" t="n"/>
      <c r="D137" s="45" t="inlineStr">
        <is>
          <t>Flocculation</t>
        </is>
      </c>
      <c r="E137" s="45" t="inlineStr">
        <is>
          <t>Lamination</t>
        </is>
      </c>
      <c r="F137" s="45" t="inlineStr">
        <is>
          <t>Creaming</t>
        </is>
      </c>
      <c r="G137" s="45" t="inlineStr">
        <is>
          <t>Coalescence</t>
        </is>
      </c>
      <c r="H137" s="45" t="inlineStr">
        <is>
          <t>Caking</t>
        </is>
      </c>
      <c r="I137" s="46" t="n">
        <v>5</v>
      </c>
      <c r="J137" s="45"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46" t="n"/>
      <c r="L137" s="45" t="inlineStr">
        <is>
          <t>Tablet Manufacturing</t>
        </is>
      </c>
      <c r="M137" s="46" t="inlineStr">
        <is>
          <t>Product</t>
        </is>
      </c>
      <c r="N137" s="45" t="inlineStr">
        <is>
          <t>ข้อ 9 Pharma Plus เล่มม่วง (เฉลยข้อ จ)</t>
        </is>
      </c>
      <c r="O137" s="46" t="inlineStr">
        <is>
          <t>Mock</t>
        </is>
      </c>
      <c r="P137" s="46" t="inlineStr">
        <is>
          <t>Pharma Plus เล่มม่วง</t>
        </is>
      </c>
    </row>
    <row r="138">
      <c r="A138" s="46" t="n">
        <v>136</v>
      </c>
      <c r="B138" s="45" t="inlineStr">
        <is>
          <t>สูตรตำรับย้ำน้ำ Ferrous sulfate
- Ferrous sulfate 12.5 g
- Citric acid 0.2 g
- Paraben conc. 1 ml
- Syrup add qs 100 ml
ข้อใดถูก</t>
        </is>
      </c>
      <c r="C138" s="46" t="n"/>
      <c r="D138" s="45" t="inlineStr">
        <is>
          <t>มีปัญหาการละลาย</t>
        </is>
      </c>
      <c r="E138" s="45" t="inlineStr">
        <is>
          <t>ต้องเก็บในตู้เย็น</t>
        </is>
      </c>
      <c r="F138" s="45" t="inlineStr">
        <is>
          <t>เก็บในขวดใส ปิดสนิท</t>
        </is>
      </c>
      <c r="G138" s="45" t="inlineStr">
        <is>
          <t>ไม่มีสารแต่งรส</t>
        </is>
      </c>
      <c r="H138" s="45" t="inlineStr">
        <is>
          <t>ไม่มีสารเพิ่มความคงตัว</t>
        </is>
      </c>
      <c r="I138" s="46" t="n">
        <v>1</v>
      </c>
      <c r="J138" s="45" t="inlineStr">
        <is>
          <t>✅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46" t="n"/>
      <c r="L138" s="45" t="inlineStr">
        <is>
          <t>Tablet Manufacturing</t>
        </is>
      </c>
      <c r="M138" s="46" t="inlineStr">
        <is>
          <t>Product</t>
        </is>
      </c>
      <c r="N138" s="45" t="inlineStr">
        <is>
          <t>ข้อ 10 Pharma Plus เล่มม่วง (เฉลยข้อ ก)</t>
        </is>
      </c>
      <c r="O138" s="46" t="inlineStr">
        <is>
          <t>Mock</t>
        </is>
      </c>
      <c r="P138" s="46" t="inlineStr">
        <is>
          <t>Pharma Plus เล่มม่วง</t>
        </is>
      </c>
    </row>
    <row r="139">
      <c r="A139" s="46" t="n">
        <v>137</v>
      </c>
      <c r="B139" s="45" t="inlineStr">
        <is>
          <t>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t>
        </is>
      </c>
      <c r="C139" s="46" t="n"/>
      <c r="D139" s="45" t="inlineStr">
        <is>
          <t>0.625 mg</t>
        </is>
      </c>
      <c r="E139" s="45" t="inlineStr">
        <is>
          <t>2.625 mg</t>
        </is>
      </c>
      <c r="F139" s="45" t="inlineStr">
        <is>
          <t>62.5 mg</t>
        </is>
      </c>
      <c r="G139" s="45" t="inlineStr">
        <is>
          <t>375 mg</t>
        </is>
      </c>
      <c r="H139" s="45" t="inlineStr">
        <is>
          <t>125 mg</t>
        </is>
      </c>
      <c r="I139" s="46" t="n">
        <v>5</v>
      </c>
      <c r="J139" s="45" t="inlineStr">
        <is>
          <t>✅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 5) / 100 = 625 mg
เนื่องจากมี elemental iron 20% จึงได้รับ elemental iron = 625 mg *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46" t="n"/>
      <c r="L139" s="45" t="inlineStr">
        <is>
          <t>Tablet Manufacturing</t>
        </is>
      </c>
      <c r="M139" s="46" t="inlineStr">
        <is>
          <t>Product</t>
        </is>
      </c>
      <c r="N139" s="45" t="inlineStr">
        <is>
          <t>ข้อ 11 Pharma Plus เล่มม่วง (เฉลยข้อ จ)</t>
        </is>
      </c>
      <c r="O139" s="46" t="inlineStr">
        <is>
          <t>Mock</t>
        </is>
      </c>
      <c r="P139" s="46" t="inlineStr">
        <is>
          <t>Pharma Plus เล่มม่วง</t>
        </is>
      </c>
    </row>
    <row r="140">
      <c r="A140" s="46" t="n">
        <v>138</v>
      </c>
      <c r="B140" s="45" t="inlineStr">
        <is>
          <t>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t>
        </is>
      </c>
      <c r="C140" s="46" t="n"/>
      <c r="D140" s="45" t="inlineStr">
        <is>
          <t>Stearic acid</t>
        </is>
      </c>
      <c r="E140" s="45" t="inlineStr">
        <is>
          <t>Lanolin</t>
        </is>
      </c>
      <c r="F140" s="45" t="inlineStr">
        <is>
          <t>Cetyl alcohol</t>
        </is>
      </c>
      <c r="G140" s="45" t="inlineStr">
        <is>
          <t>Potassium hydroxide</t>
        </is>
      </c>
      <c r="H140" s="45" t="inlineStr">
        <is>
          <t>Potassium stearate</t>
        </is>
      </c>
      <c r="I140" s="46" t="n">
        <v>5</v>
      </c>
      <c r="J140" s="45" t="inlineStr">
        <is>
          <t>✅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46" t="n"/>
      <c r="L140" s="45" t="inlineStr">
        <is>
          <t>Tablet Manufacturing</t>
        </is>
      </c>
      <c r="M140" s="46" t="inlineStr">
        <is>
          <t>Product</t>
        </is>
      </c>
      <c r="N140" s="45" t="inlineStr">
        <is>
          <t>ข้อ 22 Pharma Plus เล่มม่วง (เฉลยข้อ จ)</t>
        </is>
      </c>
      <c r="O140" s="46" t="inlineStr">
        <is>
          <t>Mock</t>
        </is>
      </c>
      <c r="P140" s="46" t="inlineStr">
        <is>
          <t>Pharma Plus เล่มม่วง</t>
        </is>
      </c>
    </row>
    <row r="141">
      <c r="A141" s="46" t="n">
        <v>139</v>
      </c>
      <c r="B141" s="45" t="inlineStr">
        <is>
          <t>ค่า required HLB ในการเกิดเป็น o/w emulsion ของวัตภาคน้ำมัน stearic acid และ liquid paraffin ในตำรับข้อ 71 มีค่าเท่ากับ</t>
        </is>
      </c>
      <c r="C141" s="46" t="n"/>
      <c r="D141" s="45" t="n">
        <v>9.5</v>
      </c>
      <c r="E141" s="45" t="n">
        <v>10.75</v>
      </c>
      <c r="F141" s="45" t="n">
        <v>11.04</v>
      </c>
      <c r="G141" s="45" t="n">
        <v>12.13</v>
      </c>
      <c r="H141" s="45" t="n">
        <v>14</v>
      </c>
      <c r="I141" s="46" t="n">
        <v>1</v>
      </c>
      <c r="J141" s="45" t="inlineStr">
        <is>
          <t>✅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46" t="n"/>
      <c r="L141" s="45" t="inlineStr">
        <is>
          <t>Tablet Manufacturing</t>
        </is>
      </c>
      <c r="M141" s="46" t="inlineStr">
        <is>
          <t>Product</t>
        </is>
      </c>
      <c r="N141" s="45" t="inlineStr">
        <is>
          <t>ข้อ 73 Pharma Plus เล่มม่วง (เฉลยข้อ )</t>
        </is>
      </c>
      <c r="O141" s="46" t="inlineStr">
        <is>
          <t>Mock</t>
        </is>
      </c>
      <c r="P141" s="46" t="inlineStr">
        <is>
          <t>Pharma Plus เล่มม่วง</t>
        </is>
      </c>
    </row>
    <row r="142">
      <c r="A142" s="46" t="n">
        <v>140</v>
      </c>
      <c r="B142" s="45" t="inlineStr">
        <is>
          <t>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t>
        </is>
      </c>
      <c r="C142" s="46" t="n"/>
      <c r="D142" s="45" t="inlineStr">
        <is>
          <t>Very soluble</t>
        </is>
      </c>
      <c r="E142" s="45" t="inlineStr">
        <is>
          <t>Sparingly soluble</t>
        </is>
      </c>
      <c r="F142" s="45" t="inlineStr">
        <is>
          <t>Soluble</t>
        </is>
      </c>
      <c r="G142" s="45" t="inlineStr">
        <is>
          <t>Freely soluble</t>
        </is>
      </c>
      <c r="H142" s="45" t="inlineStr">
        <is>
          <t>Insoluble</t>
        </is>
      </c>
      <c r="I142" s="46" t="n">
        <v>3</v>
      </c>
      <c r="J142" s="45" t="inlineStr">
        <is>
          <t>✅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46" t="n"/>
      <c r="L142" s="45" t="inlineStr">
        <is>
          <t>Tablet Manufacturing</t>
        </is>
      </c>
      <c r="M142" s="46" t="inlineStr">
        <is>
          <t>Product</t>
        </is>
      </c>
      <c r="N142" s="45" t="inlineStr">
        <is>
          <t>ข้อ 98 Pharma Plus เล่มม่วง (เฉลยข้อ ค)</t>
        </is>
      </c>
      <c r="O142" s="46" t="inlineStr">
        <is>
          <t>Mock</t>
        </is>
      </c>
      <c r="P142" s="46" t="inlineStr">
        <is>
          <t>Pharma Plus เล่มม่วง</t>
        </is>
      </c>
    </row>
    <row r="143">
      <c r="A143" s="46" t="n">
        <v>141</v>
      </c>
      <c r="B143" s="45" t="inlineStr">
        <is>
          <t>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t>
        </is>
      </c>
      <c r="C143" s="46" t="n"/>
      <c r="D143" s="45" t="inlineStr">
        <is>
          <t>Preservatives</t>
        </is>
      </c>
      <c r="E143" s="45" t="inlineStr">
        <is>
          <t>Suspending agent</t>
        </is>
      </c>
      <c r="F143" s="45" t="inlineStr">
        <is>
          <t>Sweetening agent</t>
        </is>
      </c>
      <c r="G143" s="45" t="inlineStr">
        <is>
          <t>Coloring agent</t>
        </is>
      </c>
      <c r="H143" s="45" t="inlineStr">
        <is>
          <t>Active ingredient</t>
        </is>
      </c>
      <c r="I143" s="46" t="n">
        <v>2</v>
      </c>
      <c r="J143" s="45" t="inlineStr">
        <is>
          <t>✅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46" t="n"/>
      <c r="L143" s="45" t="inlineStr">
        <is>
          <t>Tablet Manufacturing</t>
        </is>
      </c>
      <c r="M143" s="46" t="inlineStr">
        <is>
          <t>Product</t>
        </is>
      </c>
      <c r="N143" s="45" t="inlineStr">
        <is>
          <t>ข้อ 106 Pharma Plus เล่มม่วง (เฉลยข้อ ข)</t>
        </is>
      </c>
      <c r="O143" s="46" t="inlineStr">
        <is>
          <t>Mock</t>
        </is>
      </c>
      <c r="P143" s="46" t="inlineStr">
        <is>
          <t>Pharma Plus เล่มม่วง</t>
        </is>
      </c>
    </row>
    <row r="144">
      <c r="A144" s="46" t="n">
        <v>142</v>
      </c>
      <c r="B144" s="45" t="inlineStr">
        <is>
          <t>เมื่อนำครีมมาเตรียมในรูปแบบครีมทาผิวลดไขมันและประเมินความคงตัว ข้อใดเป็นวิธีที่ไม่เหมาะสมมากที่สุด</t>
        </is>
      </c>
      <c r="C144" s="46" t="n"/>
      <c r="D144" s="45" t="inlineStr">
        <is>
          <t>นำไปปั่นเหวี่ยงที่ความเร็วรอบ 3,750 รอบ/นาที เป็นเวลา 5 ชั่วโมง</t>
        </is>
      </c>
      <c r="E144" s="45" t="inlineStr">
        <is>
          <t>นำไปเก็บไว้ที่อุณหภูมิ 180 C เป็นเวลา 12 ชั่วโมง</t>
        </is>
      </c>
      <c r="F144" s="45" t="inlineStr">
        <is>
          <t>นำไปเก็บไว้ที่อุณหภูมิ -5 C สลับกับ 40 C ทุก ๆ 24 ชั่วโมง เป็นจำนวน 24 รอบ</t>
        </is>
      </c>
      <c r="G144" s="45" t="inlineStr">
        <is>
          <t>นำไปเก็บไว้ที่อุณหภูมิ 4 C, 25 C และ 45 Cเป็นเวลา 6 เดือน</t>
        </is>
      </c>
      <c r="H144" s="45" t="inlineStr">
        <is>
          <t>นำไปเก็บไว้ที่อุณหภูมิ 25 C เป็นเวลา 2 ปี</t>
        </is>
      </c>
      <c r="I144" s="46" t="n">
        <v>2</v>
      </c>
      <c r="J144" s="45" t="inlineStr">
        <is>
          <t>✅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46" t="n"/>
      <c r="L144" s="45" t="inlineStr">
        <is>
          <t>Tablet Manufacturing</t>
        </is>
      </c>
      <c r="M144" s="46" t="inlineStr">
        <is>
          <t>Product</t>
        </is>
      </c>
      <c r="N144" s="45" t="inlineStr">
        <is>
          <t>ข้อ 124 Pharma Plus เล่มม่วง (เฉลยข้อ ข)</t>
        </is>
      </c>
      <c r="O144" s="46" t="inlineStr">
        <is>
          <t>Mock</t>
        </is>
      </c>
      <c r="P144" s="46" t="inlineStr">
        <is>
          <t>Pharma Plus เล่มม่วง</t>
        </is>
      </c>
    </row>
    <row r="145">
      <c r="A145" s="46" t="n">
        <v>143</v>
      </c>
      <c r="B145" s="45" t="inlineStr">
        <is>
          <t>สารทำ emulsion ที่ดีของยาครีม isotretinoin ควรมีคุณสมบัติ</t>
        </is>
      </c>
      <c r="C145" s="46" t="n"/>
      <c r="D145" s="45" t="inlineStr">
        <is>
          <t>ลดแรงตึงผิว</t>
        </is>
      </c>
      <c r="E145" s="45" t="inlineStr">
        <is>
          <t>เพิ่มความหนืดให้กับครีม</t>
        </is>
      </c>
      <c r="F145" s="45" t="inlineStr">
        <is>
          <t>ให้ศักย์ไฟฟ้าที่เหมาะสมเพื่อให้เกิดแรงผลักของหยด</t>
        </is>
      </c>
      <c r="G145" s="45" t="inlineStr">
        <is>
          <t>มีประสิทธิภาพความเข้มข้นต่ำ</t>
        </is>
      </c>
      <c r="H145" s="45" t="inlineStr">
        <is>
          <t>ถูกทุกข้อ</t>
        </is>
      </c>
      <c r="I145" s="46" t="n">
        <v>5</v>
      </c>
      <c r="J145" s="45" t="inlineStr">
        <is>
          <t>✅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46" t="n"/>
      <c r="L145" s="45" t="inlineStr">
        <is>
          <t>Tablet Manufacturing</t>
        </is>
      </c>
      <c r="M145" s="46" t="inlineStr">
        <is>
          <t>Product</t>
        </is>
      </c>
      <c r="N145" s="45" t="inlineStr">
        <is>
          <t>ข้อ 154 Pharma Plus เล่มม่วง (เฉลยข้อ จ)</t>
        </is>
      </c>
      <c r="O145" s="46" t="inlineStr">
        <is>
          <t>Mock</t>
        </is>
      </c>
      <c r="P145" s="46" t="inlineStr">
        <is>
          <t>Pharma Plus เล่มม่วง</t>
        </is>
      </c>
    </row>
    <row r="146">
      <c r="A146" s="46" t="n">
        <v>144</v>
      </c>
      <c r="B146" s="45" t="inlineStr">
        <is>
          <t>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t>
        </is>
      </c>
      <c r="C146" s="46" t="n"/>
      <c r="D146" s="45" t="inlineStr">
        <is>
          <t>Mineral oil</t>
        </is>
      </c>
      <c r="E146" s="45" t="inlineStr">
        <is>
          <t>Carbopol</t>
        </is>
      </c>
      <c r="F146" s="45" t="inlineStr">
        <is>
          <t>White beeswax</t>
        </is>
      </c>
      <c r="G146" s="45" t="inlineStr">
        <is>
          <t>PEG 4000</t>
        </is>
      </c>
      <c r="H146" s="45" t="inlineStr">
        <is>
          <t>Glycerin</t>
        </is>
      </c>
      <c r="I146" s="46" t="n">
        <v>3</v>
      </c>
      <c r="J146" s="45" t="inlineStr">
        <is>
          <t>✅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46" t="n"/>
      <c r="L146" s="45" t="inlineStr">
        <is>
          <t>Tablet Manufacturing</t>
        </is>
      </c>
      <c r="M146" s="46" t="inlineStr">
        <is>
          <t>Product</t>
        </is>
      </c>
      <c r="N146" s="45" t="inlineStr">
        <is>
          <t>ข้อ 156 Pharma Plus เล่มม่วง (เฉลยข้อ ค)</t>
        </is>
      </c>
      <c r="O146" s="46" t="inlineStr">
        <is>
          <t>Mock</t>
        </is>
      </c>
      <c r="P146" s="46" t="inlineStr">
        <is>
          <t>Pharma Plus เล่มม่วง</t>
        </is>
      </c>
    </row>
    <row r="147">
      <c r="A147" s="46" t="n">
        <v>145</v>
      </c>
      <c r="B147" s="45" t="inlineStr">
        <is>
          <t>ตำรับ aspirin suspension ที่เตรียมแล้วพบว่า เมื่อตั้งทิ้งไว้เป็นก้อนแข็ง เรียกปรากฏการณ์นี้ว่า</t>
        </is>
      </c>
      <c r="C147" s="46" t="n"/>
      <c r="D147" s="45" t="inlineStr">
        <is>
          <t>Flocculation</t>
        </is>
      </c>
      <c r="E147" s="45" t="inlineStr">
        <is>
          <t>Lamination</t>
        </is>
      </c>
      <c r="F147" s="45" t="inlineStr">
        <is>
          <t>Creaming</t>
        </is>
      </c>
      <c r="G147" s="45" t="inlineStr">
        <is>
          <t>Coalescence</t>
        </is>
      </c>
      <c r="H147" s="45" t="inlineStr">
        <is>
          <t>Caking</t>
        </is>
      </c>
      <c r="I147" s="46" t="n">
        <v>5</v>
      </c>
      <c r="J147" s="45"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46" t="n"/>
      <c r="L147" s="45" t="inlineStr">
        <is>
          <t>Tablet Manufacturing</t>
        </is>
      </c>
      <c r="M147" s="46" t="inlineStr">
        <is>
          <t>Product</t>
        </is>
      </c>
      <c r="N147" s="45" t="inlineStr">
        <is>
          <t>ข้อ 168 Pharma Plus เล่มม่วง (เฉลยข้อ จ)</t>
        </is>
      </c>
      <c r="O147" s="46" t="inlineStr">
        <is>
          <t>Mock</t>
        </is>
      </c>
      <c r="P147" s="46" t="inlineStr">
        <is>
          <t>Pharma Plus เล่มม่วง</t>
        </is>
      </c>
    </row>
    <row r="148">
      <c r="A148" s="46" t="n">
        <v>146</v>
      </c>
      <c r="B148" s="45" t="inlineStr">
        <is>
          <t>แพทยสั่งยาน้ำให(ผู(ปcวยเด็ก enalapril 1.5 mg PO TID โดยเตรียม เป5นรูป oral solution จาก enalapril maleate tablet 10 mg ถ(าอยากได( solution ที่มี enalapril 1.5 mg/mL ปริมาตร 60 mL ต(องใช(ยากี่เม็ด</t>
        </is>
      </c>
      <c r="C148" s="46" t="n"/>
      <c r="D148" s="45" t="inlineStr">
        <is>
          <t>Film Coating with Hydroxypropyl methylcellulose (HPMC)</t>
        </is>
      </c>
      <c r="E148" s="45" t="inlineStr">
        <is>
          <t>Enteric Coating with Cellulose acetate phthalate (CAP)</t>
        </is>
      </c>
      <c r="F148" s="45" t="inlineStr">
        <is>
          <t>Hard Gelatin Capsule filling</t>
        </is>
      </c>
      <c r="G148" s="45" t="inlineStr">
        <is>
          <t>Soft Gelatin Capsule encapsulation</t>
        </is>
      </c>
      <c r="H148" s="45" t="inlineStr">
        <is>
          <t>Microcrystalline cellulose</t>
        </is>
      </c>
      <c r="I148" s="46" t="n">
        <v>1</v>
      </c>
      <c r="J148" s="45" t="inlineStr">
        <is>
          <t>✅ คำตอบที่ถูกต้อง: ข้อ ก. Film Coating with Hydroxypropyl methylcellulose (HPMC)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ง. (Soft Gelatin Capsule encapsulation): ข้อนี้ไม่ใช่คำตอบที่ถูกต้องสำหรับภาวะ Tablet Manufacturing เนื่องจากกลไกการออกฤทธิ์, efficacy หรือข้อบ่งใช้ไม่ตรงกับโจทย์ที่กำหนด
• ข้อ จ.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46" t="n"/>
      <c r="L148" s="45" t="inlineStr">
        <is>
          <t>Tablet Manufacturing</t>
        </is>
      </c>
      <c r="M148" s="46" t="inlineStr">
        <is>
          <t>Product</t>
        </is>
      </c>
      <c r="N148" s="45" t="inlineStr">
        <is>
          <t>ข้อ 95 (PLE_CC1_2561_Key.md)</t>
        </is>
      </c>
      <c r="O148" s="46" t="inlineStr">
        <is>
          <t>ข้อสอบจริง</t>
        </is>
      </c>
      <c r="P148" s="46" t="inlineStr">
        <is>
          <t>ปี 2561</t>
        </is>
      </c>
    </row>
    <row r="149">
      <c r="A149" s="46" t="n">
        <v>147</v>
      </c>
      <c r="B149" s="45" t="inlineStr">
        <is>
          <t>Phase inversion Bleeding: การแยกตัวของน้ำออกจากเนื้อ cream หรือ gel และไม่สามารถกลับคืนได้เมื่อเขย่า Creaming: การแยกชั้นของเนื้อ emulsion แต่สามารถเข้ากันได้เมื่อมีการเขย่า Cracking: ลักษณะการแตกหักของยาเม็ด Caking: การตกตะกอนแข็งของ suspensions ที่ไม่สามารถเขย่าให้กระจายตัวคืนได้ Phase inversion: การกลับ phase ของ emulsion โดยเทวัฏภาคภายนอกใส่วัฏภาค ภายใน 61.ข้อใดน่าจะเป็นสาเหตุของการเกิดปรากฏการณ์ข้างต้น</t>
        </is>
      </c>
      <c r="C149" s="46" t="n"/>
      <c r="D149" s="45" t="inlineStr">
        <is>
          <t>Direct Compression tableting method</t>
        </is>
      </c>
      <c r="E149" s="45" t="inlineStr">
        <is>
          <t>Wet Granulation tableting method</t>
        </is>
      </c>
      <c r="F149" s="45" t="inlineStr">
        <is>
          <t>Dry Granulation (Roller Compaction)</t>
        </is>
      </c>
      <c r="G149" s="45" t="inlineStr">
        <is>
          <t>Fluidized Bed Granulation</t>
        </is>
      </c>
      <c r="H149" s="45" t="inlineStr">
        <is>
          <t>Film Coating with Hydroxypropyl methylcellulose (HPMC)</t>
        </is>
      </c>
      <c r="I149" s="46" t="n">
        <v>2</v>
      </c>
      <c r="J149" s="45" t="inlineStr">
        <is>
          <t>✅ คำตอบที่ถูกต้อง: ข้อ ข. Wet Granulation tableting method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ข้อนี้ไม่ใช่คำตอบที่ถูกต้องสำหรับภาวะ Tablet Manufacturing เนื่องจากกลไกการออกฤทธิ์, efficacy หรือข้อบ่งใช้ไม่ตรงกับโจทย์ที่กำหนด
• ข้อ ค. (Dry Granulation (Roller Compaction)): ข้อนี้ไม่ใช่คำตอบที่ถูกต้องสำหรับภาวะ Tablet Manufacturing เนื่องจากกลไกการออกฤทธิ์, efficacy หรือข้อบ่งใช้ไม่ตรงกับโจทย์ที่กำหนด
• ข้อ ง. (Fluidized Bed Granulation): ข้อนี้ไม่ใช่คำตอบที่ถูกต้องสำหรับภาวะ Tablet Manufacturing เนื่องจากกลไกการออกฤทธิ์, efficacy หรือข้อบ่งใช้ไม่ตรงกับโจทย์ที่กำหนด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46" t="n"/>
      <c r="L149" s="45" t="inlineStr">
        <is>
          <t>Tablet Manufacturing</t>
        </is>
      </c>
      <c r="M149" s="46" t="inlineStr">
        <is>
          <t>Product</t>
        </is>
      </c>
      <c r="N149" s="45" t="inlineStr">
        <is>
          <t>ข้อ 5 (PLE_CC1_Key_Rx20_UBU.md)</t>
        </is>
      </c>
      <c r="O149" s="46" t="inlineStr">
        <is>
          <t>Mock</t>
        </is>
      </c>
      <c r="P149" s="46" t="inlineStr">
        <is>
          <t>Mock Rx20 UBU</t>
        </is>
      </c>
    </row>
    <row r="150">
      <c r="A150" s="46" t="n">
        <v>148</v>
      </c>
      <c r="B150" s="45" t="inlineStr">
        <is>
          <t>ยาเตรียมน้ำ (aqueous) ที่เตรียมจากผลิตภัณฑ์สำเร็จรูปเป็นแหล่งของตัวยาสำคัญหรือจากตัวยาสำคัญที่เข้ามาตรฐานตามเภสั ชตำรับ: ไม่เกิน 14 วัน เมื่อเก็บในที่เย็น เช่น เตรียม diazepam oral suspension จาก diazepam tablet หรือ diazepam USP powder จะมีวันสิ้นสุดการใช้ไม่เกิน 14 วัน แต่ถ้ามีข้อมูลการศึกษามายืนยันว่า มีอายุการใช้งานได้นานกว่า ก็อาจยืดอายุให้ได้มากกว่า 14 วันได้</t>
        </is>
      </c>
      <c r="C150" s="46" t="n"/>
      <c r="D150" s="45" t="inlineStr">
        <is>
          <t>Magnesium stearate (Lubricant 1%)</t>
        </is>
      </c>
      <c r="E150" s="45" t="inlineStr">
        <is>
          <t>Sodium starch glycolate (Superdisintegrant)</t>
        </is>
      </c>
      <c r="F150" s="45" t="inlineStr">
        <is>
          <t>Direct Compression tableting method</t>
        </is>
      </c>
      <c r="G150" s="45" t="inlineStr">
        <is>
          <t>Wet Granulation tableting method</t>
        </is>
      </c>
      <c r="H150" s="45" t="inlineStr">
        <is>
          <t>Dry Granulation (Roller Compaction)</t>
        </is>
      </c>
      <c r="I150" s="46" t="n">
        <v>1</v>
      </c>
      <c r="J150" s="45"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Powders &amp; Granules)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ข้อนี้ไม่ใช่คำตอบที่ถูกต้องสำหรับภาวะ Powders &amp; Granules เนื่องจากกลไกการออกฤทธิ์, efficacy หรือข้อบ่งใช้ไม่ตรงกับโจทย์ที่กำหนด
• ข้อ ง. (Wet Granulation tableting method): ข้อนี้ไม่ใช่คำตอบที่ถูกต้องสำหรับภาวะ Powders &amp; Granules เนื่องจากกลไกการออกฤทธิ์, efficacy หรือข้อบ่งใช้ไม่ตรงกับโจทย์ที่กำหนด
• ข้อ จ. (Dry Granulation (Roller Compaction)): ข้อนี้ไม่ใช่คำตอบที่ถูกต้องสำหรับภาวะ Powders &amp; Granules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46" t="n"/>
      <c r="L150" s="45" t="inlineStr">
        <is>
          <t>Powders &amp; Granules</t>
        </is>
      </c>
      <c r="M150" s="46" t="inlineStr">
        <is>
          <t>Product</t>
        </is>
      </c>
      <c r="N150" s="45" t="inlineStr">
        <is>
          <t>ข้อ 1 (PLE_CC1_Key_Rx20_UBU.md)</t>
        </is>
      </c>
      <c r="O150" s="46" t="inlineStr">
        <is>
          <t>Mock</t>
        </is>
      </c>
      <c r="P150" s="46" t="inlineStr">
        <is>
          <t>Mock Rx20 UBU</t>
        </is>
      </c>
    </row>
    <row r="151">
      <c r="A151" s="46" t="n">
        <v>149</v>
      </c>
      <c r="B151" s="45" t="inlineStr">
        <is>
          <t>Glycerin suppository (ให้ส่วนประกอบมาเป็นตำรับที่ใช้ stearic acid) เกิดปฏิกิริยาระหว่างผสมกันระหว่าง sodium bicarbonate and Stearic acid, sodium carbonate and sodium hydroxide ข้อใดต่อไปนี้ถูกต้อง</t>
        </is>
      </c>
      <c r="C151" s="46" t="n"/>
      <c r="D151" s="45" t="inlineStr">
        <is>
          <t>Stearic acid ทำให้ตำรับมีความแข็ง</t>
        </is>
      </c>
      <c r="E151" s="45" t="inlineStr">
        <is>
          <t>Sodium carbonate ทำให้ตำรับมีความแข็ง</t>
        </is>
      </c>
      <c r="F151" s="45" t="inlineStr">
        <is>
          <t>Stearic acid สามารถละลายใน rectal fluid ทำให้ปลดปล่อยตัวยาสำคัญได้</t>
        </is>
      </c>
      <c r="G151" s="45" t="inlineStr">
        <is>
          <t>Sodium stearate เป็น Soap ทำให้ตำรับมีความคงตัว</t>
        </is>
      </c>
      <c r="H151" s="45" t="inlineStr">
        <is>
          <t>ตำรับนี้เหมือน Gelatinized glycerin</t>
        </is>
      </c>
      <c r="I151" s="46" t="n">
        <v>1</v>
      </c>
      <c r="J151" s="45" t="inlineStr">
        <is>
          <t>✅ คำตอบที่ถูกต้อง: ข้อ ก. Stearic acid ทำให้ตำรับมีความแข็ง
💡 Background:
คำถามข้อสอบจริงใบประกอบวิชาชีพ PLE-CC 1 (Product) ปี 2567 ข้อ 13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1" s="46" t="n"/>
      <c r="L151" s="45" t="inlineStr">
        <is>
          <t>Liquid &amp; Semisolid Dosage Forms</t>
        </is>
      </c>
      <c r="M151" s="46" t="inlineStr">
        <is>
          <t>Product</t>
        </is>
      </c>
      <c r="N151" s="45" t="inlineStr">
        <is>
          <t>ข้อสอบจริง Product ปี 2567 ข้อ 13</t>
        </is>
      </c>
      <c r="O151" s="46" t="inlineStr">
        <is>
          <t>ข้อสอบจริง</t>
        </is>
      </c>
      <c r="P151" s="46" t="inlineStr">
        <is>
          <t>ปี 2567</t>
        </is>
      </c>
    </row>
    <row r="152">
      <c r="A152" s="46" t="n">
        <v>150</v>
      </c>
      <c r="B152" s="45" t="inlineStr">
        <is>
          <t>ในสูตรตำรับยาชนิดหนึ่งซึ่งมีส่วนประกอบ ได้แก่: - Fluticasone - Sodium carboxymethylcellulose (NaCMC) - Starch - Benzalkonium chloride (BAK) - Hydroxypropyl methylcellulose (HPMC) มีการตรวจสอบพบว่าขนาดของอนุภาคเพิ่มขึ้นจาก 250 นาโนเมตรเป็น 500 นาโนเมตรภายใน 30 วันหลังการเตรียมตำรับ ข้อใดต่อไปนี้อธิบายสถานการณ์นี้ได้ถูกต้องที่สุด</t>
        </is>
      </c>
      <c r="C152" s="46" t="n"/>
      <c r="D152" s="45" t="inlineStr">
        <is>
          <t>การเพิ่มขนาดอนุภาคเกิดจากการรวมตัวของอนุภาค (aggregation)</t>
        </is>
      </c>
      <c r="E152" s="45" t="inlineStr">
        <is>
          <t>Sodium metabisulfite ทำน้าที่เป็น binder</t>
        </is>
      </c>
      <c r="F152" s="45" t="inlineStr"/>
      <c r="G152" s="45" t="inlineStr"/>
      <c r="H152" s="45" t="inlineStr"/>
      <c r="I152" s="46" t="n">
        <v>1</v>
      </c>
      <c r="J152" s="45" t="inlineStr">
        <is>
          <t>✅ คำตอบที่ถูกต้อง: ข้อ ก. การเพิ่มขนาดอนุภาคเกิดจากการรวมตัวของอนุภาค (aggregation)
💡 Background:
คำถามข้อสอบจริงใบประกอบวิชาชีพ PLE-CC 1 (Product) ปี 2567 ข้อ 36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2" s="46" t="n"/>
      <c r="L152" s="45" t="inlineStr">
        <is>
          <t>Liquid &amp; Semisolid Dosage Forms</t>
        </is>
      </c>
      <c r="M152" s="46" t="inlineStr">
        <is>
          <t>Product</t>
        </is>
      </c>
      <c r="N152" s="45" t="inlineStr">
        <is>
          <t>ข้อสอบจริง Product ปี 2567 ข้อ 36</t>
        </is>
      </c>
      <c r="O152" s="46" t="inlineStr">
        <is>
          <t>ข้อสอบจริง</t>
        </is>
      </c>
      <c r="P152" s="46" t="inlineStr">
        <is>
          <t>ปี 2567</t>
        </is>
      </c>
    </row>
    <row r="153">
      <c r="A153" s="46" t="n">
        <v>151</v>
      </c>
      <c r="B153" s="45" t="inlineStr">
        <is>
          <t>(ปี 2566, Day 2 ข้อ 48\) (เรื่อง: Theobroma Oil) ⚠️ เกี่ยวกับ Theobroma Oil ข้อใดผิด</t>
        </is>
      </c>
      <c r="C153" s="46" t="n"/>
      <c r="D153" s="45" t="inlineStr">
        <is>
          <t>มีอีกชื่อว่า Cocoa butter</t>
        </is>
      </c>
      <c r="E153" s="45" t="inlineStr"/>
      <c r="F153" s="45" t="inlineStr">
        <is>
          <t>สามารถเตรียมได้ด้วยวิธี emulsion method เหตุผล: เพราะ Theobroma oil เป็น oleaginous (fatty) base ที่เตรียมยาเหน็บด้วยวิธี fusion (molding) method เป็นหลัก ไม่ใช่ emulsion method</t>
        </is>
      </c>
      <c r="G153" s="45" t="inlineStr"/>
      <c r="H153" s="45" t="inlineStr"/>
      <c r="I153" s="46" t="n">
        <v>1</v>
      </c>
      <c r="J153" s="45" t="inlineStr">
        <is>
          <t>✅ คำตอบที่ถูกต้อง: ข้อ ก. มีอีกชื่อว่า Cocoa butter
💡 Background:
คำถามข้อสอบจริงใบประกอบวิชาชีพ PLE-CC 1 (Product) ปี 2566 ข้อ 18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3" s="46" t="n"/>
      <c r="L153" s="45" t="inlineStr">
        <is>
          <t>Liquid &amp; Semisolid Dosage Forms</t>
        </is>
      </c>
      <c r="M153" s="46" t="inlineStr">
        <is>
          <t>Product</t>
        </is>
      </c>
      <c r="N153" s="45" t="inlineStr">
        <is>
          <t>ข้อสอบจริง Product ปี 2566 ข้อ 18</t>
        </is>
      </c>
      <c r="O153" s="46" t="inlineStr">
        <is>
          <t>ข้อสอบจริง</t>
        </is>
      </c>
      <c r="P153" s="46" t="inlineStr">
        <is>
          <t>ปี 2566</t>
        </is>
      </c>
    </row>
    <row r="154">
      <c r="A154" s="46" t="n">
        <v>152</v>
      </c>
      <c r="B154" s="45" t="inlineStr">
        <is>
          <t>(ปี 2566, Day 2 ข้อ 64\) (เรื่อง: สารหล่อลื่นแม่พิมพ์ยาเหน็บ) สูตรตำรับยาเหน็บ ถามว่าใช้อะไรเป็นสารหล่อลื่นแม่พิมพ์</t>
        </is>
      </c>
      <c r="C154" s="46" t="n"/>
      <c r="D154" s="45" t="inlineStr">
        <is>
          <t>Propylene glycol</t>
        </is>
      </c>
      <c r="E154" s="45" t="inlineStr">
        <is>
          <t>Purified water</t>
        </is>
      </c>
      <c r="F154" s="45" t="inlineStr">
        <is>
          <t>Cocoa butter</t>
        </is>
      </c>
      <c r="G154" s="45" t="inlineStr">
        <is>
          <t>Mineral oil เหตุผล: โดยหลักการทั่วไป Mineral oil เป็นสารหล่อลื่นแม่พิมพ์ที่นิยมใช้มากที่สุด โดยเฉพาะกับฐานยาชนิดละลายน้ำ (เช่น PEG base) เพราะไม่ผสมเข้ากับยา ทำให้แยกตัวออกจากแม่พิมพ์ได้ง่าย แต่ควรตรวจสอบกับโจทย์ตัวเต็มว่าถามถึงฐานยาชนิดใดเพื่อความแม่นยำ</t>
        </is>
      </c>
      <c r="H154" s="45" t="inlineStr"/>
      <c r="I154" s="46" t="n">
        <v>1</v>
      </c>
      <c r="J154" s="45" t="inlineStr">
        <is>
          <t>✅ คำตอบที่ถูกต้อง: ข้อ ก. Propylene glycol
💡 Background:
คำถามข้อสอบจริงใบประกอบวิชาชีพ PLE-CC 1 (Product) ปี 2566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4" s="46" t="n"/>
      <c r="L154" s="45" t="inlineStr">
        <is>
          <t>Liquid &amp; Semisolid Dosage Forms</t>
        </is>
      </c>
      <c r="M154" s="46" t="inlineStr">
        <is>
          <t>Product</t>
        </is>
      </c>
      <c r="N154" s="45" t="inlineStr">
        <is>
          <t>ข้อสอบจริง Product ปี 2566 ข้อ 24</t>
        </is>
      </c>
      <c r="O154" s="46" t="inlineStr">
        <is>
          <t>ข้อสอบจริง</t>
        </is>
      </c>
      <c r="P154" s="46" t="inlineStr">
        <is>
          <t>ปี 2566</t>
        </is>
      </c>
    </row>
    <row r="155">
      <c r="A155" s="46" t="n">
        <v>153</v>
      </c>
      <c r="B155" s="45" t="inlineStr">
        <is>
          <t>(ปี 2566, Day 2 ข้อ 79\) (เรื่อง: ครีมพื้น PEG 400/4000 \+ PG) ตำรับครีมมี PEG 400, PEG 4000, PG เป็นยาพื้นชนิดใด</t>
        </is>
      </c>
      <c r="C155" s="46" t="n"/>
      <c r="D155" s="45" t="inlineStr">
        <is>
          <t>Olegenous base</t>
        </is>
      </c>
      <c r="E155" s="45" t="inlineStr">
        <is>
          <t>O/W emulsion base</t>
        </is>
      </c>
      <c r="F155" s="45" t="inlineStr">
        <is>
          <t>Water soluble base</t>
        </is>
      </c>
      <c r="G155" s="45" t="inlineStr">
        <is>
          <t>Absorption base</t>
        </is>
      </c>
      <c r="H155" s="45" t="inlineStr"/>
      <c r="I155" s="46" t="n">
        <v>1</v>
      </c>
      <c r="J155" s="45" t="inlineStr">
        <is>
          <t>✅ คำตอบที่ถูกต้อง: ข้อ ก. Olegenous base
💡 Background:
คำถามข้อสอบจริงใบประกอบวิชาชีพ PLE-CC 1 (Product) ปี 2566 ข้อ 29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5" s="46" t="n"/>
      <c r="L155" s="45" t="inlineStr">
        <is>
          <t>Liquid &amp; Semisolid Dosage Forms</t>
        </is>
      </c>
      <c r="M155" s="46" t="inlineStr">
        <is>
          <t>Product</t>
        </is>
      </c>
      <c r="N155" s="45" t="inlineStr">
        <is>
          <t>ข้อสอบจริง Product ปี 2566 ข้อ 29</t>
        </is>
      </c>
      <c r="O155" s="46" t="inlineStr">
        <is>
          <t>ข้อสอบจริง</t>
        </is>
      </c>
      <c r="P155" s="46" t="inlineStr">
        <is>
          <t>ปี 2566</t>
        </is>
      </c>
    </row>
    <row r="156">
      <c r="A156" s="46" t="n">
        <v>154</v>
      </c>
      <c r="B156" s="45" t="inlineStr">
        <is>
          <t>(ปี 2566, Day 2 ข้อ 80\) (เรื่อง: ความไม่คงตัวของครีม - หยดน้ำที่ผิวหน้า) ผู้ป่วยได้รับยาครีม แล้วมีหยดน้ำออกมาที่หน้าครีม จัดเป็นความไม่คงตัวแบบใด</t>
        </is>
      </c>
      <c r="C156" s="46" t="n"/>
      <c r="D156" s="45" t="inlineStr">
        <is>
          <t>Coalescense</t>
        </is>
      </c>
      <c r="E156" s="45" t="inlineStr">
        <is>
          <t>Bleeding</t>
        </is>
      </c>
      <c r="F156" s="45" t="inlineStr">
        <is>
          <t>Breaking</t>
        </is>
      </c>
      <c r="G156" s="45" t="inlineStr">
        <is>
          <t>Caking เหตุผล: Bleeding คือการที่วัฏภาคของเหลว แยกตัวออกมาปรากฏเป็นหยดบนผิวหน้าครีม/เจล ต่างจาก Breaking/Coalescence ที่อิมัลชันแยกชั้นถาวร</t>
        </is>
      </c>
      <c r="H156" s="45" t="inlineStr"/>
      <c r="I156" s="46" t="n">
        <v>2</v>
      </c>
      <c r="J156" s="45" t="inlineStr">
        <is>
          <t>✅ คำตอบที่ถูกต้อง: ข้อ ข. Bleeding
💡 Background:
คำถามข้อสอบจริงใบประกอบวิชาชีพ PLE-CC 1 (Product) ปี 2566 ข้อ 30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6" s="46" t="n"/>
      <c r="L156" s="45" t="inlineStr">
        <is>
          <t>Liquid &amp; Semisolid Dosage Forms</t>
        </is>
      </c>
      <c r="M156" s="46" t="inlineStr">
        <is>
          <t>Product</t>
        </is>
      </c>
      <c r="N156" s="45" t="inlineStr">
        <is>
          <t>ข้อสอบจริง Product ปี 2566 ข้อ 30</t>
        </is>
      </c>
      <c r="O156" s="46" t="inlineStr">
        <is>
          <t>ข้อสอบจริง</t>
        </is>
      </c>
      <c r="P156" s="46" t="inlineStr">
        <is>
          <t>ปี 2566</t>
        </is>
      </c>
    </row>
    <row r="157">
      <c r="A157" s="46" t="n">
        <v>155</v>
      </c>
      <c r="B157" s="45" t="inlineStr">
        <is>
          <t>(ปี 2566, Day 2 ข้อ 81\) (เรื่อง: ครีมที่มี SLS) ตำรับครีมมี SLS (Sodium Lauryl Sulfate) เป็นครีมประเภทไหน</t>
        </is>
      </c>
      <c r="C157" s="46" t="n"/>
      <c r="D157" s="45" t="inlineStr">
        <is>
          <t>Vanishing cream</t>
        </is>
      </c>
      <c r="E157" s="45" t="inlineStr">
        <is>
          <t>cold cream</t>
        </is>
      </c>
      <c r="F157" s="45" t="inlineStr">
        <is>
          <t>anionic cream</t>
        </is>
      </c>
      <c r="G157" s="45" t="inlineStr">
        <is>
          <t>cationic cream</t>
        </is>
      </c>
      <c r="H157" s="45" t="inlineStr">
        <is>
          <t>nonionic cream เหตุผล: SLS เป็น anionic surfactant จึงจัดตำรับเป็นครีมชนิด anionic (O/W emulsion ที่คงตัวด้วยอิมัลซิไฟเออร์ประจุลบ)</t>
        </is>
      </c>
      <c r="I157" s="46" t="n">
        <v>1</v>
      </c>
      <c r="J157" s="45" t="inlineStr">
        <is>
          <t>✅ คำตอบที่ถูกต้อง: ข้อ ก. Vanishing cream
💡 Background:
คำถามข้อสอบจริงใบประกอบวิชาชีพ PLE-CC 1 (Product) ปี 2566 ข้อ 31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7" s="46" t="n"/>
      <c r="L157" s="45" t="inlineStr">
        <is>
          <t>Liquid &amp; Semisolid Dosage Forms</t>
        </is>
      </c>
      <c r="M157" s="46" t="inlineStr">
        <is>
          <t>Product</t>
        </is>
      </c>
      <c r="N157" s="45" t="inlineStr">
        <is>
          <t>ข้อสอบจริง Product ปี 2566 ข้อ 31</t>
        </is>
      </c>
      <c r="O157" s="46" t="inlineStr">
        <is>
          <t>ข้อสอบจริง</t>
        </is>
      </c>
      <c r="P157" s="46" t="inlineStr">
        <is>
          <t>ปี 2566</t>
        </is>
      </c>
    </row>
    <row r="158">
      <c r="A158" s="46" t="n">
        <v>156</v>
      </c>
      <c r="B158" s="45" t="inlineStr">
        <is>
          <t>ตํารับนี้เป็นยารูปแบบใด</t>
        </is>
      </c>
      <c r="C158" s="46" t="n"/>
      <c r="D158" s="45" t="inlineStr">
        <is>
          <t>Ointment</t>
        </is>
      </c>
      <c r="E158" s="45" t="inlineStr">
        <is>
          <t>Gel</t>
        </is>
      </c>
      <c r="F158" s="45" t="inlineStr">
        <is>
          <t>Emulsion</t>
        </is>
      </c>
      <c r="G158" s="45" t="inlineStr">
        <is>
          <t>Cream</t>
        </is>
      </c>
      <c r="H158" s="45" t="inlineStr">
        <is>
          <t>จำ Choice ไม่ได้</t>
        </is>
      </c>
      <c r="I158" s="46" t="n">
        <v>1</v>
      </c>
      <c r="J158" s="45" t="inlineStr">
        <is>
          <t>✅ คำตอบที่ถูกต้อง: ข้อ ก. Ointment
💡 Background:
คำถามข้อสอบจริงใบประกอบวิชาชีพ PLE-CC 1 (Product) ปี 2565 ข้อ 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8" s="46" t="n"/>
      <c r="L158" s="45" t="inlineStr">
        <is>
          <t>Liquid &amp; Semisolid Dosage Forms</t>
        </is>
      </c>
      <c r="M158" s="46" t="inlineStr">
        <is>
          <t>Product</t>
        </is>
      </c>
      <c r="N158" s="45" t="inlineStr">
        <is>
          <t>ข้อสอบจริง Product ปี 2565 ข้อ 1</t>
        </is>
      </c>
      <c r="O158" s="46" t="inlineStr">
        <is>
          <t>ข้อสอบจริง</t>
        </is>
      </c>
      <c r="P158" s="46" t="inlineStr">
        <is>
          <t>ปี 2565</t>
        </is>
      </c>
    </row>
    <row r="159">
      <c r="A159" s="46" t="n">
        <v>157</v>
      </c>
      <c r="B159" s="45" t="inlineStr">
        <is>
          <t>triethanolamine ทําหน้าที่อะไรในตํารับ</t>
        </is>
      </c>
      <c r="C159" s="46" t="n"/>
      <c r="D159" s="45" t="inlineStr">
        <is>
          <t>neutralize carbopol</t>
        </is>
      </c>
      <c r="E159" s="45" t="inlineStr">
        <is>
          <t>protect? Capsaicinoid</t>
        </is>
      </c>
      <c r="F159" s="45" t="inlineStr">
        <is>
          <t>preservative</t>
        </is>
      </c>
      <c r="G159" s="45" t="inlineStr">
        <is>
          <t>จำ Choice ไม่ได้</t>
        </is>
      </c>
      <c r="H159" s="45" t="inlineStr">
        <is>
          <t>จำ Choice ไม่ได้ กรณีศึกษา 2 ผู้ป่วยชายอายุ 56 ปี เป็น DM, HTN, CKD ได้ยา pioglitazone, HCTZ, ISDN SL</t>
        </is>
      </c>
      <c r="I159" s="46" t="n">
        <v>1</v>
      </c>
      <c r="J159" s="45" t="inlineStr">
        <is>
          <t>✅ คำตอบที่ถูกต้อง: ข้อ ก. neutralize carbopol
💡 Background:
คำถามข้อสอบจริงใบประกอบวิชาชีพ PLE-CC 1 (Product) ปี 2565 ข้อ 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9" s="46" t="n"/>
      <c r="L159" s="45" t="inlineStr">
        <is>
          <t>Liquid &amp; Semisolid Dosage Forms</t>
        </is>
      </c>
      <c r="M159" s="46" t="inlineStr">
        <is>
          <t>Product</t>
        </is>
      </c>
      <c r="N159" s="45" t="inlineStr">
        <is>
          <t>ข้อสอบจริง Product ปี 2565 ข้อ 2</t>
        </is>
      </c>
      <c r="O159" s="46" t="inlineStr">
        <is>
          <t>ข้อสอบจริง</t>
        </is>
      </c>
      <c r="P159" s="46" t="inlineStr">
        <is>
          <t>ปี 2565</t>
        </is>
      </c>
    </row>
    <row r="160">
      <c r="A160" s="46" t="n">
        <v>158</v>
      </c>
      <c r="B160" s="45" t="inlineStr">
        <is>
          <t>ให้ส่วนประกอบ mometasone nasal spray 0.5% ถามว่า Citric acid กับ sodium citrate ทำหน้าที่อะไรในตำรับ</t>
        </is>
      </c>
      <c r="C160" s="46" t="n"/>
      <c r="D160" s="45" t="inlineStr">
        <is>
          <t>Preservative</t>
        </is>
      </c>
      <c r="E160" s="45" t="inlineStr">
        <is>
          <t>Buffer</t>
        </is>
      </c>
      <c r="F160" s="45" t="inlineStr">
        <is>
          <t>antioxidant</t>
        </is>
      </c>
      <c r="G160" s="45" t="inlineStr">
        <is>
          <t>Solubilizer</t>
        </is>
      </c>
      <c r="H160" s="45" t="inlineStr">
        <is>
          <t>จำ choice ไม่ได้ กรณีที่ 11 คนไข้มีอาการปวดฟันเนื่องจากผ่าฟันคุด เหงือกบวม ไม่มีหนอง กิน ibuprofen แล้วเกิดผื่นแดงราบ สลับนูน เคยใช้ diclofenac gel ทาแก้ปวด แล้วไม่มีอาการแพ้</t>
        </is>
      </c>
      <c r="I160" s="46" t="n">
        <v>1</v>
      </c>
      <c r="J160" s="45" t="inlineStr">
        <is>
          <t>✅ คำตอบที่ถูกต้อง: ข้อ ก. Preservative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0" s="46" t="n"/>
      <c r="L160" s="45" t="inlineStr">
        <is>
          <t>Liquid &amp; Semisolid Dosage Forms</t>
        </is>
      </c>
      <c r="M160" s="46" t="inlineStr">
        <is>
          <t>Product</t>
        </is>
      </c>
      <c r="N160" s="45" t="inlineStr">
        <is>
          <t>ข้อสอบจริง Product ปี 2565 ข้อ 40</t>
        </is>
      </c>
      <c r="O160" s="46" t="inlineStr">
        <is>
          <t>ข้อสอบจริง</t>
        </is>
      </c>
      <c r="P160" s="46" t="inlineStr">
        <is>
          <t>ปี 2565</t>
        </is>
      </c>
    </row>
    <row r="161">
      <c r="A161" s="46" t="n">
        <v>159</v>
      </c>
      <c r="B161" s="45" t="inlineStr">
        <is>
          <t>ถ้าได้ยา suspension ต้องทำไงถึงจะทำให้มียาตกตะกอนนอนก้น (sedimentation rate) น้อยที่สุด</t>
        </is>
      </c>
      <c r="C161" s="46" t="n"/>
      <c r="D161" s="45" t="inlineStr">
        <is>
          <t>เพิ่มความหนืดตัวกลาง</t>
        </is>
      </c>
      <c r="E161" s="45" t="inlineStr">
        <is>
          <t>เพิ่มขนาดอนุภาคผงยา</t>
        </is>
      </c>
      <c r="F161" s="45" t="inlineStr">
        <is>
          <t>เพิ่มความหนาแน่นผงยา</t>
        </is>
      </c>
      <c r="G161" s="45" t="inlineStr">
        <is>
          <t>เพิ่ม flocculating agent</t>
        </is>
      </c>
      <c r="H161" s="45" t="inlineStr">
        <is>
          <t>เพิ่มการกระจายขนาดผงยา</t>
        </is>
      </c>
      <c r="I161" s="46" t="n">
        <v>1</v>
      </c>
      <c r="J161" s="45" t="inlineStr">
        <is>
          <t>✅ คำตอบที่ถูกต้อง: ข้อ ก. เพิ่มความหนืดตัวกลาง
💡 Background:
คำถามข้อสอบจริงใบประกอบวิชาชีพ PLE-CC 1 (Product) ปี 2565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1" s="46" t="n"/>
      <c r="L161" s="45" t="inlineStr">
        <is>
          <t>Liquid &amp; Semisolid Dosage Forms</t>
        </is>
      </c>
      <c r="M161" s="46" t="inlineStr">
        <is>
          <t>Product</t>
        </is>
      </c>
      <c r="N161" s="45" t="inlineStr">
        <is>
          <t>ข้อสอบจริง Product ปี 2565 ข้อ 84</t>
        </is>
      </c>
      <c r="O161" s="46" t="inlineStr">
        <is>
          <t>ข้อสอบจริง</t>
        </is>
      </c>
      <c r="P161" s="46" t="inlineStr">
        <is>
          <t>ปี 2565</t>
        </is>
      </c>
    </row>
    <row r="162">
      <c r="A162" s="46" t="n">
        <v>160</v>
      </c>
      <c r="B162" s="45" t="inlineStr">
        <is>
          <t>"Property of gel former is thermosensitive hydrogel...." ถามว่าสารก่อเจลตัวนี้คือสารใด</t>
        </is>
      </c>
      <c r="C162" s="46" t="n"/>
      <c r="D162" s="45" t="inlineStr">
        <is>
          <t>Carbomer</t>
        </is>
      </c>
      <c r="E162" s="45" t="inlineStr">
        <is>
          <t>Poloxamer</t>
        </is>
      </c>
      <c r="F162" s="45" t="inlineStr">
        <is>
          <t>HEC</t>
        </is>
      </c>
      <c r="G162" s="45" t="inlineStr">
        <is>
          <t>Polyvinyl chloride</t>
        </is>
      </c>
      <c r="H162" s="45" t="inlineStr">
        <is>
          <t>จำ choice ไม่ได้</t>
        </is>
      </c>
      <c r="I162" s="46" t="n">
        <v>1</v>
      </c>
      <c r="J162" s="45" t="inlineStr">
        <is>
          <t>✅ คำตอบที่ถูกต้อง: ข้อ ก. Carbomer
💡 Background:
คำถามข้อสอบจริงใบประกอบวิชาชีพ PLE-CC 1 (Product) ปี 2565 ข้อ 94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2" s="46" t="n"/>
      <c r="L162" s="45" t="inlineStr">
        <is>
          <t>Liquid &amp; Semisolid Dosage Forms</t>
        </is>
      </c>
      <c r="M162" s="46" t="inlineStr">
        <is>
          <t>Product</t>
        </is>
      </c>
      <c r="N162" s="45" t="inlineStr">
        <is>
          <t>ข้อสอบจริง Product ปี 2565 ข้อ 94</t>
        </is>
      </c>
      <c r="O162" s="46" t="inlineStr">
        <is>
          <t>ข้อสอบจริง</t>
        </is>
      </c>
      <c r="P162" s="46" t="inlineStr">
        <is>
          <t>ปี 2565</t>
        </is>
      </c>
    </row>
    <row r="163">
      <c r="A163" s="46" t="n">
        <v>161</v>
      </c>
      <c r="B163" s="45" t="inlineStr">
        <is>
          <t>Clobetasol propionate 0.05% เตรียมจาก Clobetasol propionate 0.5 mg ในยาพื้น 1 g ในตำรับ มีสารช่วย ดังนี้ Carbopol 1432, Hypromellose, mineral oil, pee 300 isosterate, propylene glycol, sodium hydroxide, water สารในข้อใดเป็น emulsifier</t>
        </is>
      </c>
      <c r="C163" s="46" t="n"/>
      <c r="D163" s="45" t="inlineStr">
        <is>
          <t>Carbopol 1432</t>
        </is>
      </c>
      <c r="E163" s="45" t="inlineStr">
        <is>
          <t>Hypromellose</t>
        </is>
      </c>
      <c r="F163" s="45" t="inlineStr">
        <is>
          <t>mineral oil</t>
        </is>
      </c>
      <c r="G163" s="45" t="inlineStr">
        <is>
          <t>peg 300 isosterate</t>
        </is>
      </c>
      <c r="H163" s="45" t="inlineStr">
        <is>
          <t>propylene glycol กรณีที่ 13</t>
        </is>
      </c>
      <c r="I163" s="46" t="n">
        <v>1</v>
      </c>
      <c r="J163" s="45" t="inlineStr">
        <is>
          <t>✅ คำตอบที่ถูกต้อง: ข้อ ก. Carbopol 1432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3" s="46" t="n"/>
      <c r="L163" s="45" t="inlineStr">
        <is>
          <t>Liquid &amp; Semisolid Dosage Forms</t>
        </is>
      </c>
      <c r="M163" s="46" t="inlineStr">
        <is>
          <t>Product</t>
        </is>
      </c>
      <c r="N163" s="45" t="inlineStr">
        <is>
          <t>ข้อสอบจริง Product ปี 2565 ข้อ 40</t>
        </is>
      </c>
      <c r="O163" s="46" t="inlineStr">
        <is>
          <t>ข้อสอบจริง</t>
        </is>
      </c>
      <c r="P163" s="46" t="inlineStr">
        <is>
          <t>ปี 2565</t>
        </is>
      </c>
    </row>
    <row r="164">
      <c r="A164" s="46" t="n">
        <v>162</v>
      </c>
      <c r="B164" s="45" t="inlineStr">
        <is>
          <t>อยากเพิ่มระยะเวลาให้ยาอยู่ที่กระจกตานานขึ้น ควรเติมสารใด</t>
        </is>
      </c>
      <c r="C164" s="46" t="n"/>
      <c r="D164" s="45" t="inlineStr">
        <is>
          <t>Buffering agent</t>
        </is>
      </c>
      <c r="E164" s="45" t="inlineStr">
        <is>
          <t>Viscosity enhancer</t>
        </is>
      </c>
      <c r="F164" s="45" t="inlineStr">
        <is>
          <t>surface active agent</t>
        </is>
      </c>
      <c r="G164" s="45" t="inlineStr">
        <is>
          <t>isotonic agent</t>
        </is>
      </c>
      <c r="H164" s="45" t="inlineStr">
        <is>
          <t>stabilizer กรณีที่ 14 หญิงอายุ 52 ปีมาปรึกษาคลินิกวัยทองเรื่องประจำเดือนไม่มา 12 เดือนแล้ว ช่วงนี้อ่อนเพลีย เหงื่อออกเยอะโดยเฉพาะตอนกลางคืน ซึมเศร้า นอนไม่ค่อยหลับ ชอบตื่นขึ้นมาตอนกลางคืน ช่องคลอดแห้งมีเพศแสดงว่าไม่ได้ตัดมุดลูก สัมพันธุ์แล้วเจ็บ ไม่มีโรคประจำตัว ไม่ได้รับการผ่าตัดใดๆ ไม่แพ้ยา</t>
        </is>
      </c>
      <c r="I164" s="46" t="n">
        <v>1</v>
      </c>
      <c r="J164" s="45" t="inlineStr">
        <is>
          <t>✅ คำตอบที่ถูกต้อง: ข้อ ก. Buffering agent
💡 Background:
คำถามข้อสอบจริงใบประกอบวิชาชีพ PLE-CC 1 (Product) ปี 2565 ข้อ 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4" s="46" t="n"/>
      <c r="L164" s="45" t="inlineStr">
        <is>
          <t>Liquid &amp; Semisolid Dosage Forms</t>
        </is>
      </c>
      <c r="M164" s="46" t="inlineStr">
        <is>
          <t>Product</t>
        </is>
      </c>
      <c r="N164" s="45" t="inlineStr">
        <is>
          <t>ข้อสอบจริง Product ปี 2565 ข้อ 43</t>
        </is>
      </c>
      <c r="O164" s="46" t="inlineStr">
        <is>
          <t>ข้อสอบจริง</t>
        </is>
      </c>
      <c r="P164" s="46" t="inlineStr">
        <is>
          <t>ปี 2565</t>
        </is>
      </c>
    </row>
    <row r="165">
      <c r="A165" s="46" t="n">
        <v>163</v>
      </c>
      <c r="B165" s="45" t="inlineStr">
        <is>
          <t>Aluminum hydroxide paste eq. to Aluminum hydroxide 4 g, glycerol, sorbitol, methyl hydroxybenzoate, propyl hydroxybenzoate purified water qs. to 100 ml หากเตรียมจริง จะได้ตำรับอะไร</t>
        </is>
      </c>
      <c r="C165" s="46" t="n"/>
      <c r="D165" s="45" t="inlineStr">
        <is>
          <t>oral solution</t>
        </is>
      </c>
      <c r="E165" s="45" t="inlineStr">
        <is>
          <t>suspension</t>
        </is>
      </c>
      <c r="F165" s="45" t="inlineStr">
        <is>
          <t>syrup</t>
        </is>
      </c>
      <c r="G165" s="45" t="inlineStr">
        <is>
          <t>tincture</t>
        </is>
      </c>
      <c r="H165" s="45" t="inlineStr">
        <is>
          <t>emulsion</t>
        </is>
      </c>
      <c r="I165" s="46" t="n">
        <v>1</v>
      </c>
      <c r="J165" s="45" t="inlineStr">
        <is>
          <t>✅ คำตอบที่ถูกต้อง: ข้อ ก. oral solution
💡 Background:
คำถามข้อสอบจริงใบประกอบวิชาชีพ PLE-CC 1 (Product) ปี 2565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5" s="46" t="n"/>
      <c r="L165" s="45" t="inlineStr">
        <is>
          <t>Liquid &amp; Semisolid Dosage Forms</t>
        </is>
      </c>
      <c r="M165" s="46" t="inlineStr">
        <is>
          <t>Product</t>
        </is>
      </c>
      <c r="N165" s="45" t="inlineStr">
        <is>
          <t>ข้อสอบจริง Product ปี 2565 ข้อ 78</t>
        </is>
      </c>
      <c r="O165" s="46" t="inlineStr">
        <is>
          <t>ข้อสอบจริง</t>
        </is>
      </c>
      <c r="P165" s="46" t="inlineStr">
        <is>
          <t>ปี 2565</t>
        </is>
      </c>
    </row>
    <row r="166">
      <c r="A166" s="46" t="n">
        <v>164</v>
      </c>
      <c r="B166" s="45" t="inlineStr">
        <is>
          <t>Calamide suspension ตกตะกอน เขย่าแล้วไม่กลับคืน เรียกว่าอะไร</t>
        </is>
      </c>
      <c r="C166" s="46" t="n"/>
      <c r="D166" s="45" t="inlineStr">
        <is>
          <t>Caking</t>
        </is>
      </c>
      <c r="E166" s="45" t="inlineStr">
        <is>
          <t>Cracking</t>
        </is>
      </c>
      <c r="F166" s="45" t="inlineStr">
        <is>
          <t>Upward Creaming</t>
        </is>
      </c>
      <c r="G166" s="45" t="inlineStr">
        <is>
          <t>Downward Creaming</t>
        </is>
      </c>
      <c r="H166" s="45" t="inlineStr">
        <is>
          <t>\จำ choice ไม่ได้ \ เฉลยข้อสอบ 2565 Day 1 กรณีศึกษาที่ 1 ข้อ</t>
        </is>
      </c>
      <c r="I166" s="46" t="n">
        <v>1</v>
      </c>
      <c r="J166" s="45" t="inlineStr">
        <is>
          <t>✅ คำตอบที่ถูกต้อง: ข้อ ก. Caking
💡 Background:
คำถามข้อสอบจริงใบประกอบวิชาชีพ PLE-CC 1 (Product) ปี 2565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6" s="46" t="n"/>
      <c r="L166" s="45" t="inlineStr">
        <is>
          <t>Liquid &amp; Semisolid Dosage Forms</t>
        </is>
      </c>
      <c r="M166" s="46" t="inlineStr">
        <is>
          <t>Product</t>
        </is>
      </c>
      <c r="N166" s="45" t="inlineStr">
        <is>
          <t>ข้อสอบจริง Product ปี 2565 ข้อ 82</t>
        </is>
      </c>
      <c r="O166" s="46" t="inlineStr">
        <is>
          <t>ข้อสอบจริง</t>
        </is>
      </c>
      <c r="P166" s="46" t="inlineStr">
        <is>
          <t>ปี 2565</t>
        </is>
      </c>
    </row>
    <row r="167">
      <c r="A167" s="46" t="n">
        <v>165</v>
      </c>
      <c r="B167" s="45" t="inlineStr">
        <is>
          <t>ตอบ ข. Glycerin คำอธิบาย : เพราะ glycerin เป็น wetting agent ที่เหมาะสมสำหรับการกระจายตัวของผงยาในตำรับยาน้ำแขวนตะกอน (suspension) เช่น methimazole suspension ผงของยา methimazole สามารถละลายได้ในน้ำและ Alcohol การใช้ Glycerin เป็น Wetting agent จึงเหมาะสมที่สุด ในขณะที่ข้ออื่น</t>
        </is>
      </c>
      <c r="C167" s="46" t="n"/>
      <c r="D167" s="45" t="inlineStr">
        <is>
          <t>Purified water : Vehicle</t>
        </is>
      </c>
      <c r="E167" s="45" t="inlineStr"/>
      <c r="F167" s="45" t="inlineStr">
        <is>
          <t>Mineral oil : levigating agent สำหรับ ointment ถ้านำไปใช้ในยาน้ำจะเกิดการแยกชั้น</t>
        </is>
      </c>
      <c r="G167" s="45" t="inlineStr">
        <is>
          <t>Benzyl alcohol : preservative ไม่ใช้เป็น wetting agent และอาจมีพิษในทารก (gasping syndrome)</t>
        </is>
      </c>
      <c r="H167" s="45" t="inlineStr">
        <is>
          <t>Alcohol : Solvent / Cosolvent กรณีศึกษา 7</t>
        </is>
      </c>
      <c r="I167" s="46" t="n">
        <v>2</v>
      </c>
      <c r="J167" s="45" t="inlineStr">
        <is>
          <t>✅ คำตอบที่ถูกต้อง: ข้อ ข. 
💡 Background:
คำถามข้อสอบจริงใบประกอบวิชาชีพ PLE-CC 1 (Product) ปี 2565 ข้อ 26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7" s="46" t="n"/>
      <c r="L167" s="45" t="inlineStr">
        <is>
          <t>Liquid &amp; Semisolid Dosage Forms</t>
        </is>
      </c>
      <c r="M167" s="46" t="inlineStr">
        <is>
          <t>Product</t>
        </is>
      </c>
      <c r="N167" s="45" t="inlineStr">
        <is>
          <t>ข้อสอบจริง Product ปี 2565 ข้อ 26</t>
        </is>
      </c>
      <c r="O167" s="46" t="inlineStr">
        <is>
          <t>ข้อสอบจริง</t>
        </is>
      </c>
      <c r="P167" s="46" t="inlineStr">
        <is>
          <t>ปี 2565</t>
        </is>
      </c>
    </row>
    <row r="168">
      <c r="A168" s="46" t="n">
        <v>166</v>
      </c>
      <c r="B168" s="45" t="inlineStr">
        <is>
          <t>ตอบ ข้อ ง. peg 300 isosterate คำอธิบาย : เนื่องจากเป็น Emulsifier สำหรับในข้ออื่น</t>
        </is>
      </c>
      <c r="C168" s="46" t="inlineStr">
        <is>
          <t>[แนบรูป: ข้อสอบ Product ปี 2565 รหัสรูปภาพ image50]</t>
        </is>
      </c>
      <c r="D168" s="45" t="inlineStr">
        <is>
          <t>Carbopol 1432 \= Thickening agent, gelling agent</t>
        </is>
      </c>
      <c r="E168" s="45" t="inlineStr">
        <is>
          <t>Hypromellose \= Thickening agent</t>
        </is>
      </c>
      <c r="F168" s="45" t="inlineStr">
        <is>
          <t>mineral oil \= Emollient</t>
        </is>
      </c>
      <c r="G168" s="45" t="inlineStr">
        <is>
          <t>peg 300 isosterate \= Emulsifier</t>
        </is>
      </c>
      <c r="H168" s="45" t="inlineStr">
        <is>
          <t>propylene glycol \= Co-solvent, humectant [แนบรูป: ข้อสอบ Product ปี 2565 รหัสรูปภาพ image50]</t>
        </is>
      </c>
      <c r="I168" s="46" t="n">
        <v>2</v>
      </c>
      <c r="J168" s="45" t="inlineStr">
        <is>
          <t>✅ คำตอบที่ถูกต้อง: ข้อ ข. Hypromellose \= Thickening agent
💡 Background:
คำถามข้อสอบจริงใบประกอบวิชาชีพ PLE-CC 1 (Product) ปี 2565 ข้อ 40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8" s="46" t="n"/>
      <c r="L168" s="45" t="inlineStr">
        <is>
          <t>Liquid &amp; Semisolid Dosage Forms</t>
        </is>
      </c>
      <c r="M168" s="46" t="inlineStr">
        <is>
          <t>Product</t>
        </is>
      </c>
      <c r="N168" s="45" t="inlineStr">
        <is>
          <t>ข้อสอบจริง Product ปี 2565 ข้อ 40</t>
        </is>
      </c>
      <c r="O168" s="46" t="inlineStr">
        <is>
          <t>ข้อสอบจริง</t>
        </is>
      </c>
      <c r="P168" s="46" t="inlineStr">
        <is>
          <t>ปี 2565</t>
        </is>
      </c>
    </row>
    <row r="169">
      <c r="A169" s="46" t="n">
        <v>167</v>
      </c>
      <c r="B169" s="45" t="inlineStr">
        <is>
          <t>ตอบ ข.suspension คำอธิบาย :</t>
        </is>
      </c>
      <c r="C169" s="46" t="inlineStr">
        <is>
          <t>[แนบรูป: ข้อสอบ Product ปี 2565 รหัสรูปภาพ image63]</t>
        </is>
      </c>
      <c r="D169" s="45" t="inlineStr">
        <is>
          <t>oral solution  : API ไม่ละลายน้ำ เตรียมเป็น solution ไม่ได้</t>
        </is>
      </c>
      <c r="E169" s="45" t="inlineStr"/>
      <c r="F169" s="45" t="inlineStr">
        <is>
          <t>syrup  :  ไม่มีในตำรับ</t>
        </is>
      </c>
      <c r="G169" s="45" t="inlineStr">
        <is>
          <t>tincture : ในตำรับไม่มี alcohol</t>
        </is>
      </c>
      <c r="H169" s="45" t="inlineStr">
        <is>
          <t>emulsion :  ในตำรับไม่มี emulsifying agent [แนบรูป: ข้อสอบ Product ปี 2565 รหัสรูปภาพ image63]</t>
        </is>
      </c>
      <c r="I169" s="46" t="n">
        <v>2</v>
      </c>
      <c r="J169" s="45" t="inlineStr">
        <is>
          <t>✅ คำตอบที่ถูกต้อง: ข้อ ข. 
💡 Background:
คำถามข้อสอบจริงใบประกอบวิชาชีพ PLE-CC 1 (Product) ปี 2565 ข้อ 78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9" s="46" t="n"/>
      <c r="L169" s="45" t="inlineStr">
        <is>
          <t>Liquid &amp; Semisolid Dosage Forms</t>
        </is>
      </c>
      <c r="M169" s="46" t="inlineStr">
        <is>
          <t>Product</t>
        </is>
      </c>
      <c r="N169" s="45" t="inlineStr">
        <is>
          <t>ข้อสอบจริง Product ปี 2565 ข้อ 78</t>
        </is>
      </c>
      <c r="O169" s="46" t="inlineStr">
        <is>
          <t>ข้อสอบจริง</t>
        </is>
      </c>
      <c r="P169" s="46" t="inlineStr">
        <is>
          <t>ปี 2565</t>
        </is>
      </c>
    </row>
    <row r="170">
      <c r="A170" s="46" t="n">
        <v>168</v>
      </c>
      <c r="B170" s="45" t="inlineStr">
        <is>
          <t>ตำแหน่ง A pka= 4.5 ตําแหน่ง B pka=10 หาการแตกตัวของตำแหน่ง A และ B กําหนด pH \=4.5 ให้หาร้อยละการแตกตัว โดยกําหนดให้ 10^-5.5 \= 0.000003 [แนบรูป: ข้อสอบ Product ปี 2564 รหัสรูปภาพ image70]</t>
        </is>
      </c>
      <c r="C170" s="46" t="inlineStr">
        <is>
          <t>[แนบรูป: ข้อสอบ Product ปี 2564 รหัสรูปภาพ image70]</t>
        </is>
      </c>
      <c r="D170" s="45" t="inlineStr">
        <is>
          <t>เพิ่มอุณหภูมิการอบแห้ง  ทำให้แห้งเร็วเกินไป ฟิล์มอาจยิ่งเปราะ</t>
        </is>
      </c>
      <c r="E170" s="45" t="inlineStr">
        <is>
          <t>เพิ่มgelatinในนํ้ายาเคลือบ</t>
        </is>
      </c>
      <c r="F170" s="45" t="inlineStr">
        <is>
          <t>เพิ่ม Talcum ในน้ำยาเคลือบ Talc เป็นสารกันติด (glidant) ไม่ช่วยแก้ปัญหาฟิล์มแตก</t>
        </is>
      </c>
      <c r="G170" s="45" t="inlineStr">
        <is>
          <t>เพิ่มอัตราเร็วการหมุนของหม้อเคลือบ อาจทำให้เม็ดยาชนกันแรงขึ้นและแตกง่ายกว่าเดิม</t>
        </is>
      </c>
      <c r="H170" s="45" t="inlineStr">
        <is>
          <t>เพิ่มอัตราการให้น้ำยาเคลือบ  อาจทำให้เม็ดยาเปียกเกิน เกิดการติดกัน (sticking/picking)</t>
        </is>
      </c>
      <c r="I170" s="46" t="n">
        <v>1</v>
      </c>
      <c r="J170" s="45" t="inlineStr">
        <is>
          <t>✅ คำตอบที่ถูกต้อง: ข้อ ก. เพิ่มอุณหภูมิการอบแห้ง  ทำให้แห้งเร็วเกินไป ฟิล์มอาจยิ่งเปราะ
💡 Background:
คำถามข้อสอบจริงใบประกอบวิชาชีพ PLE-CC 1 (Product) ปี 2564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0" s="46" t="n"/>
      <c r="L170" s="45" t="inlineStr">
        <is>
          <t>Liquid &amp; Semisolid Dosage Forms</t>
        </is>
      </c>
      <c r="M170" s="46" t="inlineStr">
        <is>
          <t>Product</t>
        </is>
      </c>
      <c r="N170" s="45" t="inlineStr">
        <is>
          <t>ข้อสอบจริง Product ปี 2564 ข้อ 7</t>
        </is>
      </c>
      <c r="O170" s="46" t="inlineStr">
        <is>
          <t>ข้อสอบจริง</t>
        </is>
      </c>
      <c r="P170" s="46" t="inlineStr">
        <is>
          <t>ปี 2564</t>
        </is>
      </c>
    </row>
    <row r="171">
      <c r="A171" s="46" t="n">
        <v>169</v>
      </c>
      <c r="B171" s="45" t="inlineStr">
        <is>
          <t>ส่วนประกอบที่สําคัญของยาเม็ด ในยาที่เกิดการสลายตัวในสภาวะกรด</t>
        </is>
      </c>
      <c r="C171" s="46" t="n"/>
      <c r="D171" s="45" t="inlineStr">
        <is>
          <t>Cellulose acetate phthalates</t>
        </is>
      </c>
      <c r="E171" s="45" t="inlineStr">
        <is>
          <t>PVP (Polyvinylpyrrolidone)  เป็นสารยึดเกาะ (Binder)</t>
        </is>
      </c>
      <c r="F171" s="45" t="inlineStr">
        <is>
          <t>HPMC (Hydroxypropyl methylcellulose)  เป็นสารเคลือบฟิล์มทั่วไป/เพิ่มความหนืด ไม่ใช่ enteric coating</t>
        </is>
      </c>
      <c r="G171" s="45" t="inlineStr">
        <is>
          <t>Sodium starch glycolate  เป็นสารช่วยแตกตัว (Disintegrant)</t>
        </is>
      </c>
      <c r="H171" s="45" t="inlineStr">
        <is>
          <t>Magnesium stearate เป็นสารหล่อลื่น (Lubricant)</t>
        </is>
      </c>
      <c r="I171" s="46" t="n">
        <v>1</v>
      </c>
      <c r="J171" s="45" t="inlineStr">
        <is>
          <t>✅ คำตอบที่ถูกต้อง: ข้อ ก. Cellulose acetate phthalates
💡 Background:
คำถามข้อสอบจริงใบประกอบวิชาชีพ PLE-CC 1 (Product) ปี 2564 ข้อ 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1" s="46" t="n"/>
      <c r="L171" s="45" t="inlineStr">
        <is>
          <t>Liquid &amp; Semisolid Dosage Forms</t>
        </is>
      </c>
      <c r="M171" s="46" t="inlineStr">
        <is>
          <t>Product</t>
        </is>
      </c>
      <c r="N171" s="45" t="inlineStr">
        <is>
          <t>ข้อสอบจริง Product ปี 2564 ข้อ 12</t>
        </is>
      </c>
      <c r="O171" s="46" t="inlineStr">
        <is>
          <t>ข้อสอบจริง</t>
        </is>
      </c>
      <c r="P171" s="46" t="inlineStr">
        <is>
          <t>ปี 2564</t>
        </is>
      </c>
    </row>
    <row r="172">
      <c r="A172" s="46" t="n">
        <v>170</v>
      </c>
      <c r="B172" s="45" t="inlineStr">
        <is>
          <t>ข้อใดผิดเกี่ยวกับ piroxicam gel ให้สูตรตํารับมา</t>
        </is>
      </c>
      <c r="C172" s="46" t="n"/>
      <c r="D172" s="45" t="inlineStr">
        <is>
          <t>Carbopol เป็น gelling agents</t>
        </is>
      </c>
      <c r="E172" s="45" t="inlineStr">
        <is>
          <t>Diisopropanolamine เป็น neutralizing agents</t>
        </is>
      </c>
      <c r="F172" s="45" t="inlineStr">
        <is>
          <t>Ethanol เป็น cosolvent</t>
        </is>
      </c>
      <c r="G172" s="45" t="inlineStr">
        <is>
          <t>Propylene glycol เป็น humectant</t>
        </is>
      </c>
      <c r="H172" s="45" t="inlineStr">
        <is>
          <t>Benzyl alcohol เป็น cosolvent คำอธิบาย: Benzyl alcohol มีหน้าที่หลักเป็น preservative (สารกันเสีย)</t>
        </is>
      </c>
      <c r="I172" s="46" t="n">
        <v>1</v>
      </c>
      <c r="J172" s="45" t="inlineStr">
        <is>
          <t>✅ คำตอบที่ถูกต้อง: ข้อ ก. Carbopol เป็น gelling agents
💡 Background:
คำถามข้อสอบจริงใบประกอบวิชาชีพ PLE-CC 1 (Product) ปี 2564 ข้อ 14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2" s="46" t="n"/>
      <c r="L172" s="45" t="inlineStr">
        <is>
          <t>Liquid &amp; Semisolid Dosage Forms</t>
        </is>
      </c>
      <c r="M172" s="46" t="inlineStr">
        <is>
          <t>Product</t>
        </is>
      </c>
      <c r="N172" s="45" t="inlineStr">
        <is>
          <t>ข้อสอบจริง Product ปี 2564 ข้อ 14</t>
        </is>
      </c>
      <c r="O172" s="46" t="inlineStr">
        <is>
          <t>ข้อสอบจริง</t>
        </is>
      </c>
      <c r="P172" s="46" t="inlineStr">
        <is>
          <t>ปี 2564</t>
        </is>
      </c>
    </row>
    <row r="173">
      <c r="A173" s="46" t="n">
        <v>171</v>
      </c>
      <c r="B173" s="45" t="inlineStr">
        <is>
          <t>เตรียมยา HRZE เพื่อเพิ่ม compliance การเตรียมยาวิธีใดทำ ให้เกิด incompatibility มากที่สุด</t>
        </is>
      </c>
      <c r="C173" s="46" t="n"/>
      <c r="D173" s="45" t="inlineStr">
        <is>
          <t>Shellac  เป็นสารเคลือบยา (Coating agent/Enteric coating)</t>
        </is>
      </c>
      <c r="E173" s="45" t="inlineStr">
        <is>
          <t>Hypromellose (HPMC)  เป็นสารสร้างฟิล์ม/เพิ่มความหนืด (Film former, Viscosity enhancer)</t>
        </is>
      </c>
      <c r="F173" s="45" t="inlineStr">
        <is>
          <t>cross-linked sodium carboxymethyl cellulose</t>
        </is>
      </c>
      <c r="G173" s="45" t="inlineStr">
        <is>
          <t>Magnesium stearate เป็นสารหล่อลื่น (Lubricant)</t>
        </is>
      </c>
      <c r="H173" s="45" t="inlineStr">
        <is>
          <t>PVP (Polyvinylpyrrolidone)  เป็นสารยึดเกาะ (Binder)</t>
        </is>
      </c>
      <c r="I173" s="46" t="n">
        <v>1</v>
      </c>
      <c r="J173" s="45" t="inlineStr">
        <is>
          <t>✅ คำตอบที่ถูกต้อง: ข้อ ก. Shellac  เป็นสารเคลือบยา (Coating agent/Enteric coating)
💡 Background:
คำถามข้อสอบจริงใบประกอบวิชาชีพ PLE-CC 1 (Product) ปี 2564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3" s="46" t="n"/>
      <c r="L173" s="45" t="inlineStr">
        <is>
          <t>Liquid &amp; Semisolid Dosage Forms</t>
        </is>
      </c>
      <c r="M173" s="46" t="inlineStr">
        <is>
          <t>Product</t>
        </is>
      </c>
      <c r="N173" s="45" t="inlineStr">
        <is>
          <t>ข้อสอบจริง Product ปี 2564 ข้อ 17</t>
        </is>
      </c>
      <c r="O173" s="46" t="inlineStr">
        <is>
          <t>ข้อสอบจริง</t>
        </is>
      </c>
      <c r="P173" s="46" t="inlineStr">
        <is>
          <t>ปี 2564</t>
        </is>
      </c>
    </row>
    <row r="174">
      <c r="A174" s="46" t="n">
        <v>172</v>
      </c>
      <c r="B174" s="45" t="inlineStr">
        <is>
          <t>Each gram of clotrimazole cream contains 10 mg of clotrimazole which dispersed in cream base of sorbitan monostearate, polysorbate 60, cetyl esters wax, cetostearyl alcohol, 2- octyldodecanol, purified water, and benzyl alcohol จากข้อมูลข้างต้น สารใน clotrimazole cream ใดทําหน้าที่เป็น emulsifiers</t>
        </is>
      </c>
      <c r="C174" s="46" t="n"/>
      <c r="D174" s="45" t="inlineStr">
        <is>
          <t>sorbitan monostearate, polysorbate 60</t>
        </is>
      </c>
      <c r="E174" s="45" t="inlineStr">
        <is>
          <t>sorbitan monostearate, polysorbate 60, 2-octyldodecanol</t>
        </is>
      </c>
      <c r="F174" s="45" t="inlineStr">
        <is>
          <t>polysorbate 60, cetostearyl alcohol</t>
        </is>
      </c>
      <c r="G174" s="45" t="inlineStr">
        <is>
          <t>polysorbate 60, cetostearyl alcohol, 2-octyldodecanol</t>
        </is>
      </c>
      <c r="H174" s="45" t="inlineStr">
        <is>
          <t>cetyl esters wax, 2-octyldodecanol คำอธิบาย: หน้าที่ของสารแต่ละตัวในสูตรตำหรับมีดังนี้ Sorbitan monostearate (Span 60\) เป็น Emulsifier Polysorbate 60 (Tween 60\) เป็น Emulsifier \[มักใช้ Span \+ Tween ร่วมกัน เพื่อปรับค่า HLB ให้เหมาะสมและทำให้อิมัลชันมีความคงตัว\] Cetyl esters wax  เป็นสารเพิ่มความข้น/ให้เนื้อครีม (Consistency agent) Cetostearyl alcohol เป็นสารเพิ่มความข้นและ co-emulsifier แต่ไม่ใช่ emulsifier หลัก 2-Octyldodecanol  เป็น emollient และตัวทำละลายของน้ำมัน (oil phase solvent) Purified water  ตัวทำละลาย Benzyl alcohol สารกันเสีย (Preservative) ดังนั้นจึงตอบเป็น ก. sorbitan monostearate, polysorbate 60</t>
        </is>
      </c>
      <c r="I174" s="46" t="n">
        <v>1</v>
      </c>
      <c r="J174" s="45" t="inlineStr">
        <is>
          <t>✅ คำตอบที่ถูกต้อง: ข้อ ก. sorbitan monostearate, polysorbate 60
💡 Background:
คำถามข้อสอบจริงใบประกอบวิชาชีพ PLE-CC 1 (Product) ปี 2564 ข้อ 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4" s="46" t="n"/>
      <c r="L174" s="45" t="inlineStr">
        <is>
          <t>Liquid &amp; Semisolid Dosage Forms</t>
        </is>
      </c>
      <c r="M174" s="46" t="inlineStr">
        <is>
          <t>Product</t>
        </is>
      </c>
      <c r="N174" s="45" t="inlineStr">
        <is>
          <t>ข้อสอบจริง Product ปี 2564 ข้อ 23</t>
        </is>
      </c>
      <c r="O174" s="46" t="inlineStr">
        <is>
          <t>ข้อสอบจริง</t>
        </is>
      </c>
      <c r="P174" s="46" t="inlineStr">
        <is>
          <t>ปี 2564</t>
        </is>
      </c>
    </row>
    <row r="175">
      <c r="A175" s="46" t="n">
        <v>173</v>
      </c>
      <c r="B175" s="45" t="inlineStr">
        <is>
          <t>ข้อใดเป็นสารช่วยแตกตัวใน desipramine tablet</t>
        </is>
      </c>
      <c r="C175" s="46" t="n"/>
      <c r="D175" s="45" t="inlineStr">
        <is>
          <t>Shellac  สารเคลือบยา (Coating/Enteric coating)</t>
        </is>
      </c>
      <c r="E175" s="45" t="inlineStr">
        <is>
          <t>Hypromellose (HPMC)  สารสร้างฟิล์ม/เพิ่มความหนืด หรือใช้เป็น matrix ในยาออกฤทธิ์นาน</t>
        </is>
      </c>
      <c r="F175" s="45" t="inlineStr">
        <is>
          <t>Magnesium stearate  สารหล่อลื่น (Lubricant)</t>
        </is>
      </c>
      <c r="G175" s="45" t="inlineStr">
        <is>
          <t>Polyvinyl acetate phthalate (PVAP)  สารเคลือบลำไส้ (Enteric coating polymer)</t>
        </is>
      </c>
      <c r="H175" s="45" t="inlineStr">
        <is>
          <t>Crosslinked sodium carboxymethylcellulose เป็น Disintegrant (Superdisintegrant)</t>
        </is>
      </c>
      <c r="I175" s="46" t="n">
        <v>1</v>
      </c>
      <c r="J175" s="45" t="inlineStr">
        <is>
          <t>✅ คำตอบที่ถูกต้อง: ข้อ ก. Shellac  สารเคลือบยา (Coating/Enteric coating)
💡 Background:
คำถามข้อสอบจริงใบประกอบวิชาชีพ PLE-CC 1 (Product) ปี 2564 ข้อ 30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5" s="46" t="n"/>
      <c r="L175" s="45" t="inlineStr">
        <is>
          <t>Liquid &amp; Semisolid Dosage Forms</t>
        </is>
      </c>
      <c r="M175" s="46" t="inlineStr">
        <is>
          <t>Product</t>
        </is>
      </c>
      <c r="N175" s="45" t="inlineStr">
        <is>
          <t>ข้อสอบจริง Product ปี 2564 ข้อ 30</t>
        </is>
      </c>
      <c r="O175" s="46" t="inlineStr">
        <is>
          <t>ข้อสอบจริง</t>
        </is>
      </c>
      <c r="P175" s="46" t="inlineStr">
        <is>
          <t>ปี 2564</t>
        </is>
      </c>
    </row>
    <row r="176">
      <c r="A176" s="46" t="n">
        <v>174</v>
      </c>
      <c r="B176" s="45" t="inlineStr">
        <is>
          <t>ยาที่ผู้ป่วยได้รับมีตัวยาสำคัญ 70 mg, Methylcellulose, starch, lactose anhydrous, Croscarmellose sodium, Magnesium stearate ข้อใดทำหน้าที่เป็น super disintegrant</t>
        </is>
      </c>
      <c r="C176" s="46" t="n"/>
      <c r="D176" s="45" t="inlineStr">
        <is>
          <t>Methylcellulose เป็น สารเพิ่มความหนืด (Viscosity enhancer) หรือ Binder</t>
        </is>
      </c>
      <c r="E176" s="45" t="inlineStr">
        <is>
          <t>Starch เป็น Disintegrant ทั่วไป (ไม่ใช่ Superdisintegrant)</t>
        </is>
      </c>
      <c r="F176" s="45" t="inlineStr">
        <is>
          <t>Lactose anhydrous เป็น สารเพิ่มปริมาณ (Diluent/Filler)</t>
        </is>
      </c>
      <c r="G176" s="45" t="inlineStr">
        <is>
          <t>Croscarmellose sodium เป็น Superdisintegrant</t>
        </is>
      </c>
      <c r="H176" s="45" t="inlineStr">
        <is>
          <t>Magnesium stearate เป็น สารหล่อลื่น (Lubricant)</t>
        </is>
      </c>
      <c r="I176" s="46" t="n">
        <v>1</v>
      </c>
      <c r="J176" s="45" t="inlineStr">
        <is>
          <t>✅ คำตอบที่ถูกต้อง: ข้อ ก. Methylcellulose เป็น สารเพิ่มความหนืด (Viscosity enhancer) หรือ Binder
💡 Background:
คำถามข้อสอบจริงใบประกอบวิชาชีพ PLE-CC 1 (Product) ปี 2564 ข้อ 47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6" s="46" t="n"/>
      <c r="L176" s="45" t="inlineStr">
        <is>
          <t>Liquid &amp; Semisolid Dosage Forms</t>
        </is>
      </c>
      <c r="M176" s="46" t="inlineStr">
        <is>
          <t>Product</t>
        </is>
      </c>
      <c r="N176" s="45" t="inlineStr">
        <is>
          <t>ข้อสอบจริง Product ปี 2564 ข้อ 47</t>
        </is>
      </c>
      <c r="O176" s="46" t="inlineStr">
        <is>
          <t>ข้อสอบจริง</t>
        </is>
      </c>
      <c r="P176" s="46" t="inlineStr">
        <is>
          <t>ปี 2564</t>
        </is>
      </c>
    </row>
    <row r="177">
      <c r="A177" s="46" t="n">
        <v>175</v>
      </c>
      <c r="B177" s="45" t="inlineStr">
        <is>
          <t>ให้สูตรตำรับ Aluminium and magnesium oral suspension ข้อใดคือ structured vehicle</t>
        </is>
      </c>
      <c r="C177" s="46" t="n"/>
      <c r="D177" s="45" t="inlineStr">
        <is>
          <t>Glycerin  เป็น humectant และช่วยเพิ่มความหวาน/ความหนืดเล็กน้อย</t>
        </is>
      </c>
      <c r="E177" s="45" t="inlineStr">
        <is>
          <t>Sorbitol  เป็น sweetener และ vehicle</t>
        </is>
      </c>
      <c r="F177" s="45" t="inlineStr">
        <is>
          <t>Peppermint oil  เป็น flavoring agent</t>
        </is>
      </c>
      <c r="G177" s="45" t="inlineStr">
        <is>
          <t>Methylcellulose 400</t>
        </is>
      </c>
      <c r="H177" s="45" t="inlineStr">
        <is>
          <t>Tween 80 เป็น surfactant/wetting agent</t>
        </is>
      </c>
      <c r="I177" s="46" t="n">
        <v>1</v>
      </c>
      <c r="J177" s="45" t="inlineStr">
        <is>
          <t>✅ คำตอบที่ถูกต้อง: ข้อ ก. Glycerin  เป็น humectant และช่วยเพิ่มความหวาน/ความหนืดเล็กน้อย
💡 Background:
คำถามข้อสอบจริงใบประกอบวิชาชีพ PLE-CC 1 (Product) ปี 2564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7" s="46" t="n"/>
      <c r="L177" s="45" t="inlineStr">
        <is>
          <t>Liquid &amp; Semisolid Dosage Forms</t>
        </is>
      </c>
      <c r="M177" s="46" t="inlineStr">
        <is>
          <t>Product</t>
        </is>
      </c>
      <c r="N177" s="45" t="inlineStr">
        <is>
          <t>ข้อสอบจริง Product ปี 2564 ข้อ 51</t>
        </is>
      </c>
      <c r="O177" s="46" t="inlineStr">
        <is>
          <t>ข้อสอบจริง</t>
        </is>
      </c>
      <c r="P177" s="46" t="inlineStr">
        <is>
          <t>ปี 2564</t>
        </is>
      </c>
    </row>
    <row r="178">
      <c r="A178" s="46" t="n">
        <v>176</v>
      </c>
      <c r="B178" s="45" t="inlineStr">
        <is>
          <t>จากการตรวจสอบความถูกต้องของวิธีวิเคราะห์เภสัชภัณฑ์ Triamcinolone acetonate cream ข้อใดคือค่าแสดงความใกล้เคียงกันของค่าที่ได้จากการวิเคราะห์ตัวอย่างเดียวกันซ้ำหลายๆครั้ง</t>
        </is>
      </c>
      <c r="C178" s="46" t="n"/>
      <c r="D178" s="45" t="inlineStr">
        <is>
          <t>Accuracy ❌ ความใกล้เคียงกับ "ค่าจริง (True value)"</t>
        </is>
      </c>
      <c r="E178" s="45" t="inlineStr">
        <is>
          <t>Precision ✅ ความใกล้เคียงกันของผลที่วัดซ้ำ</t>
        </is>
      </c>
      <c r="F178" s="45" t="inlineStr">
        <is>
          <t>Specificity ❌ ความสามารถในการวิเคราะห์สารเป้าหมายโดยไม่ถูกรบกวนจากสารอื่น</t>
        </is>
      </c>
      <c r="G178" s="45" t="inlineStr">
        <is>
          <t>Linearity ❌ ความสัมพันธ์เชิงเส้นระหว่างความเข้มข้นกับสัญญาณ</t>
        </is>
      </c>
      <c r="H178" s="45" t="inlineStr">
        <is>
          <t>Limit of determination ❌ ไม่ใช่พารามิเตอร์มาตรฐาน (มักใช้ Limit of Detection (LOD) หรือ Limit of Quantitation (LOQ))</t>
        </is>
      </c>
      <c r="I178" s="46" t="n">
        <v>1</v>
      </c>
      <c r="J178" s="45" t="inlineStr">
        <is>
          <t>✅ คำตอบที่ถูกต้อง: ข้อ ก. Accuracy ❌ ความใกล้เคียงกับ "ค่าจริง (True value)"
💡 Background:
คำถามข้อสอบจริงใบประกอบวิชาชีพ PLE-CC 1 (Product) ปี 2564 ข้อ 54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8" s="46" t="n"/>
      <c r="L178" s="45" t="inlineStr">
        <is>
          <t>Liquid &amp; Semisolid Dosage Forms</t>
        </is>
      </c>
      <c r="M178" s="46" t="inlineStr">
        <is>
          <t>Product</t>
        </is>
      </c>
      <c r="N178" s="45" t="inlineStr">
        <is>
          <t>ข้อสอบจริง Product ปี 2564 ข้อ 54</t>
        </is>
      </c>
      <c r="O178" s="46" t="inlineStr">
        <is>
          <t>ข้อสอบจริง</t>
        </is>
      </c>
      <c r="P178" s="46" t="inlineStr">
        <is>
          <t>ปี 2564</t>
        </is>
      </c>
    </row>
    <row r="179">
      <c r="A179" s="46" t="n">
        <v>177</v>
      </c>
      <c r="B179" s="45" t="inlineStr">
        <is>
          <t>Ibuprofen soft gelatin capsule ออกฤทธิ์เร็ว เนื่องจากเมื่อเปลือกละลาย ตัวยาจะดูดซึมทันทีดังนั้นยาที่บรรจุในแคปซูลควรอยูในรูปแบบใด</t>
        </is>
      </c>
      <c r="C179" s="46" t="n"/>
      <c r="D179" s="45" t="inlineStr">
        <is>
          <t>Gels</t>
        </is>
      </c>
      <c r="E179" s="45" t="inlineStr">
        <is>
          <t>Pellets</t>
        </is>
      </c>
      <c r="F179" s="45" t="inlineStr">
        <is>
          <t>Powders</t>
        </is>
      </c>
      <c r="G179" s="45" t="inlineStr">
        <is>
          <t>Suspensions</t>
        </is>
      </c>
      <c r="H179" s="45" t="inlineStr">
        <is>
          <t>Solutions คำอธิบาย: เนื่องจาก Soft gelatin capsule สามารถบรรจุด้วยของเหลวหรือกึ่งแข็ง (semisolid) เช่น สารละลาย (solution), สารแขวนลอย (suspension), อิมัลชัน (emulsion) หรือของแข็งได้ และ Ibuprofen soft gelatin capsule ในท้องตลาดมีลักษณะเป็นของเหลวใส เป็นเนื้อเดียวกัน ไม่มีตะกอน จึงตอบเป็น solution โดยใช้เป็น Solubilized ibuprofen</t>
        </is>
      </c>
      <c r="I179" s="46" t="n">
        <v>1</v>
      </c>
      <c r="J179" s="45" t="inlineStr">
        <is>
          <t>✅ คำตอบที่ถูกต้อง: ข้อ ก. Gels
💡 Background:
คำถามข้อสอบจริงใบประกอบวิชาชีพ PLE-CC 1 (Product) ปี 2564 ข้อ 62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9" s="46" t="n"/>
      <c r="L179" s="45" t="inlineStr">
        <is>
          <t>Liquid &amp; Semisolid Dosage Forms</t>
        </is>
      </c>
      <c r="M179" s="46" t="inlineStr">
        <is>
          <t>Product</t>
        </is>
      </c>
      <c r="N179" s="45" t="inlineStr">
        <is>
          <t>ข้อสอบจริง Product ปี 2564 ข้อ 62</t>
        </is>
      </c>
      <c r="O179" s="46" t="inlineStr">
        <is>
          <t>ข้อสอบจริง</t>
        </is>
      </c>
      <c r="P179" s="46" t="inlineStr">
        <is>
          <t>ปี 2564</t>
        </is>
      </c>
    </row>
    <row r="180">
      <c r="A180" s="46" t="n">
        <v>178</v>
      </c>
      <c r="B180" s="45" t="inlineStr">
        <is>
          <t>ควรใช้ binder ชนิดใด</t>
        </is>
      </c>
      <c r="C180" s="46" t="n"/>
      <c r="D180" s="45" t="inlineStr">
        <is>
          <t>Pregelatinized starch ❌ เป็น binder ได้ แต่พบใช้เด่นใน wet granulation และมีบทบาทเป็น disintegrant ได้</t>
        </is>
      </c>
      <c r="E180" s="45" t="inlineStr">
        <is>
          <t>Lactose monohydrate ❌ เป็น diluent</t>
        </is>
      </c>
      <c r="F180" s="45" t="inlineStr">
        <is>
          <t>Microcrystalline cellulose (MCC) ✅ เป็น Dry binder ที่ใช้บ่อยมากใน Direct compression และ Dry granulation</t>
        </is>
      </c>
      <c r="G180" s="45" t="inlineStr">
        <is>
          <t>Sodium starch glycolate ❌ Superdisintegrant</t>
        </is>
      </c>
      <c r="H180" s="45" t="inlineStr">
        <is>
          <t>Dibasic calcium phosphate ❌ Diluent ไม่ใช่ binder</t>
        </is>
      </c>
      <c r="I180" s="46" t="n">
        <v>1</v>
      </c>
      <c r="J180" s="45" t="inlineStr">
        <is>
          <t>✅ คำตอบที่ถูกต้อง: ข้อ ก. Pregelatinized starch ❌ เป็น binder ได้ แต่พบใช้เด่นใน wet granulation และมีบทบาทเป็น disintegrant ได้
💡 Background:
คำถามข้อสอบจริงใบประกอบวิชาชีพ PLE-CC 1 (Product) ปี 2564 ข้อ 64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0" s="46" t="n"/>
      <c r="L180" s="45" t="inlineStr">
        <is>
          <t>Liquid &amp; Semisolid Dosage Forms</t>
        </is>
      </c>
      <c r="M180" s="46" t="inlineStr">
        <is>
          <t>Product</t>
        </is>
      </c>
      <c r="N180" s="45" t="inlineStr">
        <is>
          <t>ข้อสอบจริง Product ปี 2564 ข้อ 64</t>
        </is>
      </c>
      <c r="O180" s="46" t="inlineStr">
        <is>
          <t>ข้อสอบจริง</t>
        </is>
      </c>
      <c r="P180" s="46" t="inlineStr">
        <is>
          <t>ปี 2564</t>
        </is>
      </c>
    </row>
    <row r="181">
      <c r="A181" s="46" t="n">
        <v>179</v>
      </c>
      <c r="B181" s="45" t="inlineStr">
        <is>
          <t>ข้อใดไม่ใช่วิธีการควบคุมคุณภาพของยา Ibuprofen ที่เป็น soft gelatin</t>
        </is>
      </c>
      <c r="C181" s="46" t="n"/>
      <c r="D181" s="45" t="inlineStr">
        <is>
          <t>ปริมาณการบรรจุ ✅ เป็น QC</t>
        </is>
      </c>
      <c r="E181" s="45" t="inlineStr">
        <is>
          <t>การละลาย ✅ เป็น QC</t>
        </is>
      </c>
      <c r="F181" s="45" t="inlineStr">
        <is>
          <t>การแตกตัว ✅ เป็น QC</t>
        </is>
      </c>
      <c r="G181" s="45" t="inlineStr">
        <is>
          <t>ระยะเวลาที่ปลดปล่อยนาน ❌ ไม่ใช่เพราะ Ibuprofen ที่เป็น soft gelatin เป็น Immediate-release ไม่ใช่ Extended หรือ Delayed release</t>
        </is>
      </c>
      <c r="H181" s="45" t="inlineStr">
        <is>
          <t>ความนิ่ม ✅ เกี่ยวข้องกับคุณภาพของเปลือก soft gelatin ส่วนประกอบของตำรับ: Castor oil Cholesterol Stearyl alcohol Citric acid Mineral oil Purified water qs</t>
        </is>
      </c>
      <c r="I181" s="46" t="n">
        <v>1</v>
      </c>
      <c r="J181" s="45" t="inlineStr">
        <is>
          <t>✅ คำตอบที่ถูกต้อง: ข้อ ก. ปริมาณการบรรจุ ✅ เป็น QC
💡 Background:
คำถามข้อสอบจริงใบประกอบวิชาชีพ PLE-CC 1 (Product) ปี 2564 ข้อ 71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1" s="46" t="n"/>
      <c r="L181" s="45" t="inlineStr">
        <is>
          <t>Liquid &amp; Semisolid Dosage Forms</t>
        </is>
      </c>
      <c r="M181" s="46" t="inlineStr">
        <is>
          <t>Product</t>
        </is>
      </c>
      <c r="N181" s="45" t="inlineStr">
        <is>
          <t>ข้อสอบจริง Product ปี 2564 ข้อ 71</t>
        </is>
      </c>
      <c r="O181" s="46" t="inlineStr">
        <is>
          <t>ข้อสอบจริง</t>
        </is>
      </c>
      <c r="P181" s="46" t="inlineStr">
        <is>
          <t>ปี 2564</t>
        </is>
      </c>
    </row>
    <row r="182">
      <c r="A182" s="46" t="n">
        <v>180</v>
      </c>
      <c r="B182" s="45" t="inlineStr">
        <is>
          <t>ตำรับนี้เป็น dosage form อะไร</t>
        </is>
      </c>
      <c r="C182" s="46" t="n"/>
      <c r="D182" s="45" t="inlineStr">
        <is>
          <t>Cream ❌ โจทย์ถามชนิดของฐานตำรับ ไม่ใช่เพียงรูปแบบกึ่งแข็ง</t>
        </is>
      </c>
      <c r="E182" s="45" t="inlineStr">
        <is>
          <t>Ointment W/O ❌ ใกล้เคียง แต่คำตอบที่จำเพาะกว่าคือ Absorption base</t>
        </is>
      </c>
      <c r="F182" s="45" t="inlineStr">
        <is>
          <t>Ointment O/W ❌ ไม่ใช่</t>
        </is>
      </c>
      <c r="G182" s="45" t="inlineStr">
        <is>
          <t>Absorption base ✅ ถูกต้อง</t>
        </is>
      </c>
      <c r="H182" s="45" t="inlineStr">
        <is>
          <t>Oleaginous base ❌ ถ้าเป็น oleaginous base จะไม่มีน้ำและไม่มีสารช่วยดูดน้ำ เช่น cholesterol</t>
        </is>
      </c>
      <c r="I182" s="46" t="n">
        <v>1</v>
      </c>
      <c r="J182" s="45" t="inlineStr">
        <is>
          <t>✅ คำตอบที่ถูกต้อง: ข้อ ก. Cream ❌ โจทย์ถามชนิดของฐานตำรับ ไม่ใช่เพียงรูปแบบกึ่งแข็ง
💡 Background:
คำถามข้อสอบจริงใบประกอบวิชาชีพ PLE-CC 1 (Product) ปี 2564 ข้อ 72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2" s="46" t="n"/>
      <c r="L182" s="45" t="inlineStr">
        <is>
          <t>Liquid &amp; Semisolid Dosage Forms</t>
        </is>
      </c>
      <c r="M182" s="46" t="inlineStr">
        <is>
          <t>Product</t>
        </is>
      </c>
      <c r="N182" s="45" t="inlineStr">
        <is>
          <t>ข้อสอบจริง Product ปี 2564 ข้อ 72</t>
        </is>
      </c>
      <c r="O182" s="46" t="inlineStr">
        <is>
          <t>ข้อสอบจริง</t>
        </is>
      </c>
      <c r="P182" s="46" t="inlineStr">
        <is>
          <t>ปี 2564</t>
        </is>
      </c>
    </row>
    <row r="183">
      <c r="A183" s="46" t="n">
        <v>181</v>
      </c>
      <c r="B183" s="45" t="inlineStr">
        <is>
          <t>ข้อ 72 เตรียมด้วยวิธีอะไร</t>
        </is>
      </c>
      <c r="C183" s="46" t="n"/>
      <c r="D183" s="45" t="inlineStr">
        <is>
          <t>Beaker method ✅ ใช้กับ cream/ointment ที่ต้องหลอมส่วนประกอบ</t>
        </is>
      </c>
      <c r="E183" s="45" t="inlineStr">
        <is>
          <t>Levigation ❌ ใช้บดผงยากับของเหลวปริมาณน้อยก่อนผสมเข้าฐาน</t>
        </is>
      </c>
      <c r="F183" s="45" t="inlineStr">
        <is>
          <t>Dry gum method ❌ ใช้เตรียม emulsion (4 : 2 : 1\)</t>
        </is>
      </c>
      <c r="G183" s="45" t="inlineStr">
        <is>
          <t>Wet gum method ❌ ใช้เตรียม emulsion</t>
        </is>
      </c>
      <c r="H183" s="45" t="inlineStr">
        <is>
          <t>Bottle method ❌ ใช้เตรียม emulsion จากน้ำมันระเหยง่ายหรือความหนืดต่ำ สูตร: Zinc sulfate 40 g Sulfurated potash 40 g Water qs to 1000 ml วิธีทำ แยกละลาย แล้วเอาไปกรอง จากนั้นเท sulfurated potash ลงไปใน zinc sulfate แล้วปรับปริมาตรด้วยน้ำ</t>
        </is>
      </c>
      <c r="I183" s="46" t="n">
        <v>1</v>
      </c>
      <c r="J183" s="45" t="inlineStr">
        <is>
          <t>✅ คำตอบที่ถูกต้อง: ข้อ ก. Beaker method ✅ ใช้กับ cream/ointment ที่ต้องหลอมส่วนประกอบ
💡 Background:
คำถามข้อสอบจริงใบประกอบวิชาชีพ PLE-CC 1 (Product) ปี 2564 ข้อ 73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3" s="46" t="n"/>
      <c r="L183" s="45" t="inlineStr">
        <is>
          <t>Liquid &amp; Semisolid Dosage Forms</t>
        </is>
      </c>
      <c r="M183" s="46" t="inlineStr">
        <is>
          <t>Product</t>
        </is>
      </c>
      <c r="N183" s="45" t="inlineStr">
        <is>
          <t>ข้อสอบจริง Product ปี 2564 ข้อ 73</t>
        </is>
      </c>
      <c r="O183" s="46" t="inlineStr">
        <is>
          <t>ข้อสอบจริง</t>
        </is>
      </c>
      <c r="P183" s="46" t="inlineStr">
        <is>
          <t>ปี 2564</t>
        </is>
      </c>
    </row>
    <row r="184">
      <c r="A184" s="46" t="n">
        <v>182</v>
      </c>
      <c r="B184" s="45" t="inlineStr">
        <is>
          <t>จากสูตรตำรับเป็น suspension ชนิดใด</t>
        </is>
      </c>
      <c r="C184" s="46" t="n"/>
      <c r="D184" s="45" t="inlineStr">
        <is>
          <t>Flocculated suspension</t>
        </is>
      </c>
      <c r="E184" s="45" t="inlineStr">
        <is>
          <t>Deflocculated suspension</t>
        </is>
      </c>
      <c r="F184" s="45" t="inlineStr">
        <is>
          <t>Flocculated suspension in vehicle</t>
        </is>
      </c>
      <c r="G184" s="45" t="inlineStr">
        <is>
          <t>Flocculated suspension in structure vehicle</t>
        </is>
      </c>
      <c r="H184" s="45" t="inlineStr">
        <is>
          <t>Deflocculating suspension in structure vehicle คำอธิบาย: เมื่อละลายแยกกันแล้วผสม Zinc sulfate (ZnSO₄) กับ Sulfurated potash (ให้ไอออนซัลไฟด์ S²⁻) จะเกิดปฏิกิริยา Zn2+ \+ S2− → ZnS↓ ได้ Zinc sulfide (ZnS) ซึ่งเป็น ตะกอนละเอียด เกิดขึ้นในตำรับ และ โจทย์ไม่มีสารที่สร้าง structured vehicle เช่น Methylcellulose, CMC, Xanthan gum หรือ Bentonite จึงตัดข้อ d และ e ได้ นอกจากนี้ ZnS ที่เกิดใหม่มักรวมตัวกันเป็นก้อนหลวม ๆ (flocs) ตกตะกอนได้เร็วแต่ เขย่าแล้วกระจายตัวกลับได้ง่าย ซึ่งเป็นลักษณะของ flocculated suspension</t>
        </is>
      </c>
      <c r="I184" s="46" t="n">
        <v>1</v>
      </c>
      <c r="J184" s="45" t="inlineStr">
        <is>
          <t>✅ คำตอบที่ถูกต้อง: ข้อ ก. Flocculated suspension
💡 Background:
คำถามข้อสอบจริงใบประกอบวิชาชีพ PLE-CC 1 (Product) ปี 2564 ข้อ 74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4" s="46" t="n"/>
      <c r="L184" s="45" t="inlineStr">
        <is>
          <t>Liquid &amp; Semisolid Dosage Forms</t>
        </is>
      </c>
      <c r="M184" s="46" t="inlineStr">
        <is>
          <t>Product</t>
        </is>
      </c>
      <c r="N184" s="45" t="inlineStr">
        <is>
          <t>ข้อสอบจริง Product ปี 2564 ข้อ 74</t>
        </is>
      </c>
      <c r="O184" s="46" t="inlineStr">
        <is>
          <t>ข้อสอบจริง</t>
        </is>
      </c>
      <c r="P184" s="46" t="inlineStr">
        <is>
          <t>ปี 2564</t>
        </is>
      </c>
    </row>
    <row r="185">
      <c r="A185" s="46" t="n">
        <v>183</v>
      </c>
      <c r="B185" s="45" t="inlineStr">
        <is>
          <t>ผลิตยาเม็ดด้วย wet granulation ควรใช้ binder ตัวไหน</t>
        </is>
      </c>
      <c r="C185" s="46" t="n"/>
      <c r="D185" s="45" t="inlineStr">
        <is>
          <t>Lactose ❌ เป็น Diluent (filler)</t>
        </is>
      </c>
      <c r="E185" s="45" t="inlineStr">
        <is>
          <t>Microcrystalline cellulose (MCC) ❌ เป็น Dry binder เหมาะกับ Direct compression/Dry granulation มากกว่า</t>
        </is>
      </c>
      <c r="F185" s="45" t="inlineStr">
        <is>
          <t>Pregelatinized starch ✅ Binder สำหรับ Wet granulation</t>
        </is>
      </c>
      <c r="G185" s="45" t="inlineStr">
        <is>
          <t>Magnesium stearate ❌ Lubricant</t>
        </is>
      </c>
      <c r="H185" s="45" t="inlineStr">
        <is>
          <t>Aerosil 200 (Colloidal silicon dioxide) ❌ Glidant</t>
        </is>
      </c>
      <c r="I185" s="46" t="n">
        <v>1</v>
      </c>
      <c r="J185" s="45" t="inlineStr">
        <is>
          <t>✅ คำตอบที่ถูกต้อง: ข้อ ก. Lactose ❌ เป็น Diluent (filler)
💡 Background:
คำถามข้อสอบจริงใบประกอบวิชาชีพ PLE-CC 1 (Product) ปี 2564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5" s="46" t="n"/>
      <c r="L185" s="45" t="inlineStr">
        <is>
          <t>Liquid &amp; Semisolid Dosage Forms</t>
        </is>
      </c>
      <c r="M185" s="46" t="inlineStr">
        <is>
          <t>Product</t>
        </is>
      </c>
      <c r="N185" s="45" t="inlineStr">
        <is>
          <t>ข้อสอบจริง Product ปี 2564 ข้อ 78</t>
        </is>
      </c>
      <c r="O185" s="46" t="inlineStr">
        <is>
          <t>ข้อสอบจริง</t>
        </is>
      </c>
      <c r="P185" s="46" t="inlineStr">
        <is>
          <t>ปี 2564</t>
        </is>
      </c>
    </row>
    <row r="186">
      <c r="A186" s="46" t="n">
        <v>184</v>
      </c>
      <c r="B186" s="45" t="inlineStr">
        <is>
          <t>Steroid topical รูปแบบไหนดูดซึมทางผิวหนังได้มากที่สุด</t>
        </is>
      </c>
      <c r="C186" s="46" t="n"/>
      <c r="D186" s="45" t="inlineStr">
        <is>
          <t>Solution</t>
        </is>
      </c>
      <c r="E186" s="45" t="inlineStr">
        <is>
          <t>Gel</t>
        </is>
      </c>
      <c r="F186" s="45" t="inlineStr">
        <is>
          <t>Suspension</t>
        </is>
      </c>
      <c r="G186" s="45" t="inlineStr">
        <is>
          <t>Ointment</t>
        </is>
      </c>
      <c r="H186" s="45" t="inlineStr">
        <is>
          <t>Cream คำอธิบาย: การดูดซึมยาผ่านผิวหนังขึ้นกับ ฐานตำรับ (vehicle) ด้วย โดยทั่วไปเรียงลำดับการเพิ่มการดูดซึมของ topical corticosteroids ได้ประมาณ Ointment \&gt; Cream \&gt; Gel \&gt; Lotion/Solution Ointment มีลักษณะเป็นฐานไขมัน (oleaginous) จึง ปิดกั้นการระเหยของน้ำจากผิว (occlusive effect), เพิ่มความชุ่มชื้นของชั้น stratum corneum และ ทำให้ผิวอ่อนตัวและเพิ่มการซึมผ่านของยา จึงทำให้ สเตียรอยด์ดูดซึมผ่านผิวหนังได้ดีที่สุด</t>
        </is>
      </c>
      <c r="I186" s="46" t="n">
        <v>1</v>
      </c>
      <c r="J186" s="45" t="inlineStr">
        <is>
          <t>✅ คำตอบที่ถูกต้อง: ข้อ ก. Solution
💡 Background:
คำถามข้อสอบจริงใบประกอบวิชาชีพ PLE-CC 1 (Product) ปี 2564 ข้อ 80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6" s="46" t="n"/>
      <c r="L186" s="45" t="inlineStr">
        <is>
          <t>Liquid &amp; Semisolid Dosage Forms</t>
        </is>
      </c>
      <c r="M186" s="46" t="inlineStr">
        <is>
          <t>Product</t>
        </is>
      </c>
      <c r="N186" s="45" t="inlineStr">
        <is>
          <t>ข้อสอบจริง Product ปี 2564 ข้อ 80</t>
        </is>
      </c>
      <c r="O186" s="46" t="inlineStr">
        <is>
          <t>ข้อสอบจริง</t>
        </is>
      </c>
      <c r="P186" s="46" t="inlineStr">
        <is>
          <t>ปี 2564</t>
        </is>
      </c>
    </row>
    <row r="187">
      <c r="A187" s="46" t="n">
        <v>185</v>
      </c>
      <c r="B187" s="45" t="inlineStr">
        <is>
          <t>สารเคลือบในข้อใดไม่ได้ช่วยให้เม็ดยามีคุณสมบัติ enteric coated tablets</t>
        </is>
      </c>
      <c r="C187" s="46" t="n"/>
      <c r="D187" s="45" t="inlineStr">
        <is>
          <t>Shellac ✅ Enteric coating polymer (natural enteric material)</t>
        </is>
      </c>
      <c r="E187" s="45" t="inlineStr">
        <is>
          <t>PVP ❌ Binder / film former ทั่วไป ไม่ใช่ enteric coating</t>
        </is>
      </c>
      <c r="F187" s="45" t="inlineStr">
        <is>
          <t>Diethyl phthalate ⚠️ Plasticizer ที่ใช้ใน film coating รวมถึง enteric coating บางสูตร แต่ไม่ใช่ตัวให้ enteric property</t>
        </is>
      </c>
      <c r="G187" s="45" t="inlineStr">
        <is>
          <t>HPMCAS ✅ Enteric polymer</t>
        </is>
      </c>
      <c r="H187" s="45" t="inlineStr">
        <is>
          <t>Methacrylic acid–methyl acrylate copolymer ✅ Enteric polymer</t>
        </is>
      </c>
      <c r="I187" s="46" t="n">
        <v>1</v>
      </c>
      <c r="J187" s="45" t="inlineStr">
        <is>
          <t>✅ คำตอบที่ถูกต้อง: ข้อ ก. Shellac ✅ Enteric coating polymer (natural enteric material)
💡 Background:
คำถามข้อสอบจริงใบประกอบวิชาชีพ PLE-CC 1 (Product) ปี 2564 ข้อ 81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7" s="46" t="n"/>
      <c r="L187" s="45" t="inlineStr">
        <is>
          <t>Liquid &amp; Semisolid Dosage Forms</t>
        </is>
      </c>
      <c r="M187" s="46" t="inlineStr">
        <is>
          <t>Product</t>
        </is>
      </c>
      <c r="N187" s="45" t="inlineStr">
        <is>
          <t>ข้อสอบจริง Product ปี 2564 ข้อ 81</t>
        </is>
      </c>
      <c r="O187" s="46" t="inlineStr">
        <is>
          <t>ข้อสอบจริง</t>
        </is>
      </c>
      <c r="P187" s="46" t="inlineStr">
        <is>
          <t>ปี 2564</t>
        </is>
      </c>
    </row>
    <row r="188">
      <c r="A188" s="46" t="n">
        <v>186</v>
      </c>
      <c r="B188" s="45" t="inlineStr">
        <is>
          <t>จากการควบคุมคุณภาพตำรับยาลดกรดที่มีส่วนผสมของ Al(OH)3 และ Mg(OH)2 ข้อใดถูกต้อง | ตำรับ | Sedimentation volume | Degree of flocculation | Rheology | | :---- | :---- | :---- | :---- | | A | 0.51 | 0.74 | Newtonian | | B | 0.98 | 1.43 | Pseudoplastic | | C | 0.47 | 1.06 | Plastic |</t>
        </is>
      </c>
      <c r="C188" s="46" t="n"/>
      <c r="D188" s="45" t="inlineStr">
        <is>
          <t>ตำรับ A มีแนวโน้มคงตัวดีกว่า B ❌  B มี F และ β สูงกว่า</t>
        </is>
      </c>
      <c r="E188" s="45" t="inlineStr">
        <is>
          <t>ตำรับ B มีแนวโน้มคงตัวดีกว่า C ✅  B มี sedimentation volume สูงกว่า และ rheology เหมาะกว่า</t>
        </is>
      </c>
      <c r="F188" s="45" t="inlineStr">
        <is>
          <t>เพิ่มความคงตัวของ C โดยเพิ่ม wetting agent ❌  Wetting agent ช่วยการเปียกของผงยา ไม่ใช่แก้ปัญหา flocculation/rheology</t>
        </is>
      </c>
      <c r="G188" s="45" t="inlineStr">
        <is>
          <t>เพิ่ม flocculating agent ให้ B เพื่อเพิ่มความคงตัว ❌  B มี degree of flocculation สูงอยู่แล้ว การเพิ่มอาจมากเกินไป</t>
        </is>
      </c>
      <c r="H188" s="45" t="inlineStr">
        <is>
          <t>เมื่อเขย่า A จะกลับมากระจายได้ดีที่สุด ❌  A เป็น deflocculated มากกว่า → เสี่ยงเกิด cake</t>
        </is>
      </c>
      <c r="I188" s="46" t="n">
        <v>1</v>
      </c>
      <c r="J188" s="45" t="inlineStr">
        <is>
          <t>✅ คำตอบที่ถูกต้อง: ข้อ ก. ตำรับ A มีแนวโน้มคงตัวดีกว่า B ❌  B มี F และ β สูงกว่า
💡 Background:
คำถามข้อสอบจริงใบประกอบวิชาชีพ PLE-CC 1 (Product) ปี 2564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8" s="46" t="n"/>
      <c r="L188" s="45" t="inlineStr">
        <is>
          <t>Liquid &amp; Semisolid Dosage Forms</t>
        </is>
      </c>
      <c r="M188" s="46" t="inlineStr">
        <is>
          <t>Product</t>
        </is>
      </c>
      <c r="N188" s="45" t="inlineStr">
        <is>
          <t>ข้อสอบจริง Product ปี 2564 ข้อ 82</t>
        </is>
      </c>
      <c r="O188" s="46" t="inlineStr">
        <is>
          <t>ข้อสอบจริง</t>
        </is>
      </c>
      <c r="P188" s="46" t="inlineStr">
        <is>
          <t>ปี 2564</t>
        </is>
      </c>
    </row>
    <row r="189">
      <c r="A189" s="46" t="n">
        <v>187</v>
      </c>
      <c r="B189" s="45" t="inlineStr">
        <is>
          <t>ข้อใดไม่ควรเป็น flocculating agent</t>
        </is>
      </c>
      <c r="C189" s="46" t="n"/>
      <c r="D189" s="45" t="inlineStr">
        <is>
          <t>Electrolyte ✅ ลดแรงผลักทางไฟฟ้า (zeta potential) ทำให้อนุภาคเข้าหากัน</t>
        </is>
      </c>
      <c r="E189" s="45" t="inlineStr">
        <is>
          <t>Surfactant ✅ เปลี่ยน wetting และแรงระหว่างอนุภาค</t>
        </is>
      </c>
      <c r="F189" s="45" t="inlineStr">
        <is>
          <t>Polymer ✅ เกิด bridging ระหว่างอนุภาค เช่น gelatin, CMC</t>
        </is>
      </c>
      <c r="G189" s="45" t="inlineStr">
        <is>
          <t>Clay ✅ เช่น bentonite ช่วยสร้างโครงสร้างและควบคุมการตกตะกอน</t>
        </is>
      </c>
      <c r="H189" s="45" t="inlineStr">
        <is>
          <t>Alcohol ❌ ไม่ใช่ flocculating agent ทั่วไป อาจส่งผลต่อการละลาย ความหนืด หรือความคงตัวของระบบ แต่ไม่ได้ใช้เพื่อทำให้เกิด floc</t>
        </is>
      </c>
      <c r="I189" s="46" t="n">
        <v>1</v>
      </c>
      <c r="J189" s="45" t="inlineStr">
        <is>
          <t>✅ คำตอบที่ถูกต้อง: ข้อ ก. Electrolyte ✅ ลดแรงผลักทางไฟฟ้า (zeta potential) ทำให้อนุภาคเข้าหากัน
💡 Background:
คำถามข้อสอบจริงใบประกอบวิชาชีพ PLE-CC 1 (Product) ปี 2564 ข้อ 83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9" s="46" t="n"/>
      <c r="L189" s="45" t="inlineStr">
        <is>
          <t>Liquid &amp; Semisolid Dosage Forms</t>
        </is>
      </c>
      <c r="M189" s="46" t="inlineStr">
        <is>
          <t>Product</t>
        </is>
      </c>
      <c r="N189" s="45" t="inlineStr">
        <is>
          <t>ข้อสอบจริง Product ปี 2564 ข้อ 83</t>
        </is>
      </c>
      <c r="O189" s="46" t="inlineStr">
        <is>
          <t>ข้อสอบจริง</t>
        </is>
      </c>
      <c r="P189" s="46" t="inlineStr">
        <is>
          <t>ปี 2564</t>
        </is>
      </c>
    </row>
    <row r="190">
      <c r="A190" s="46" t="n">
        <v>188</v>
      </c>
      <c r="B190" s="45" t="inlineStr">
        <is>
          <t>ตัวยาประกอบด้วย sodium alginate, calcium carbonate, sodium bicarbonate ข้อใดถูกต้อง</t>
        </is>
      </c>
      <c r="C190" s="46" t="n"/>
      <c r="D190" s="45" t="inlineStr">
        <is>
          <t>ทำให้ตำรับออกฤทธิ์เร็ว ❌ ไม่ใช่จุดเด่นหลักของ alginate เน้นสร้าง raft barrier ป้องกัน reflux</t>
        </is>
      </c>
      <c r="E190" s="45" t="inlineStr">
        <is>
          <t>Sodium alginate จับกับกรดในทางเดินอาหาร ❌ ไม่ได้ทำหน้าที่เป็น antacid โดยตรง ทำหน้าที่สร้าง gel/raft</t>
        </is>
      </c>
      <c r="F190" s="45" t="inlineStr">
        <is>
          <t>ถูกต้อง ✅ Alginate \+ Ca²⁺ → gel Bicarbonate/carbonate ช่วย neutralize acid และสร้าง CO₂</t>
        </is>
      </c>
      <c r="G190" s="45" t="inlineStr">
        <is>
          <t>Sodium bicarbonate ดูดซึมได้ดี แล้วลดกรดได้ ❌ NaHCO₃ ทำหน้าที่ neutralize กรด ไม่ใช่ดูดซึมเพื่อออกฤทธิ์</t>
        </is>
      </c>
      <c r="H190" s="45" t="inlineStr">
        <is>
          <t>Calcium carbonate เป็น diluent ❌ CaCO₃ เป็น antacid/active ingredient ไม่ใช่สารเพิ่มปริมาณ</t>
        </is>
      </c>
      <c r="I190" s="46" t="n">
        <v>1</v>
      </c>
      <c r="J190" s="45" t="inlineStr">
        <is>
          <t>✅ คำตอบที่ถูกต้อง: ข้อ ก. ทำให้ตำรับออกฤทธิ์เร็ว ❌ ไม่ใช่จุดเด่นหลักของ alginate เน้นสร้าง raft barrier ป้องกัน reflux
💡 Background:
คำถามข้อสอบจริงใบประกอบวิชาชีพ PLE-CC 1 (Product) ปี 2564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0" s="46" t="n"/>
      <c r="L190" s="45" t="inlineStr">
        <is>
          <t>Liquid &amp; Semisolid Dosage Forms</t>
        </is>
      </c>
      <c r="M190" s="46" t="inlineStr">
        <is>
          <t>Product</t>
        </is>
      </c>
      <c r="N190" s="45" t="inlineStr">
        <is>
          <t>ข้อสอบจริง Product ปี 2564 ข้อ 84</t>
        </is>
      </c>
      <c r="O190" s="46" t="inlineStr">
        <is>
          <t>ข้อสอบจริง</t>
        </is>
      </c>
      <c r="P190" s="46" t="inlineStr">
        <is>
          <t>ปี 2564</t>
        </is>
      </c>
    </row>
    <row r="191">
      <c r="A191" s="46" t="n">
        <v>189</v>
      </c>
      <c r="B191" s="45" t="inlineStr">
        <is>
          <t>Freeze Thaw 3 Cycles แล้วพบว่า Emulsion แยกชั้นกันจะแก้ปัญหาอย่างไร</t>
        </is>
      </c>
      <c r="C191" s="46" t="n"/>
      <c r="D191" s="45" t="inlineStr">
        <is>
          <t>เติม Tragacanth ใน O/W cream ✅ เพิ่ม viscosity ของ aqueous phase ลดการเคลื่อนที่และการรวมตัวของหยดน้ำมัน ช่วยเพิ่ม emulsion stability</t>
        </is>
      </c>
      <c r="E191" s="45" t="inlineStr">
        <is>
          <t>ใช้เครื่อง Ball mill ❌ ใช้ลดขนาดอนุภาคของแข็ง ไม่ใช่แก้ emulsion แยกชั้น</t>
        </is>
      </c>
      <c r="F191" s="45" t="inlineStr">
        <is>
          <t>เติม Hydroxyethylcellulose ใน W/O cream ❌ HEC เป็น hydrophilic polymer เหมาะกับ aqueous phase ของ O/W มากกว่า ไม่เหมาะกับ W/O</t>
        </is>
      </c>
      <c r="G191" s="45" t="inlineStr">
        <is>
          <t>เติม NaCl ใน W/O cream ❌ Electrolyte อาจรบกวนความคงตัวของ emulsion</t>
        </is>
      </c>
      <c r="H191" s="45" t="inlineStr">
        <is>
          <t>เติม Na benzoate ใน W/O cream ❌ เป็น preservative ไม่ใช่ตัวเพิ่มความคงตัวของ emulsion</t>
        </is>
      </c>
      <c r="I191" s="46" t="n">
        <v>1</v>
      </c>
      <c r="J191" s="45" t="inlineStr">
        <is>
          <t>✅ คำตอบที่ถูกต้อง: ข้อ ก. เติม Tragacanth ใน O/W cream ✅ เพิ่ม viscosity ของ aqueous phase ลดการเคลื่อนที่และการรวมตัวของหยดน้ำมัน ช่วยเพิ่ม emulsion stability
💡 Background:
คำถามข้อสอบจริงใบประกอบวิชาชีพ PLE-CC 1 (Product) ปี 2564 ข้อ 93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1" s="46" t="n"/>
      <c r="L191" s="45" t="inlineStr">
        <is>
          <t>Liquid &amp; Semisolid Dosage Forms</t>
        </is>
      </c>
      <c r="M191" s="46" t="inlineStr">
        <is>
          <t>Product</t>
        </is>
      </c>
      <c r="N191" s="45" t="inlineStr">
        <is>
          <t>ข้อสอบจริง Product ปี 2564 ข้อ 93</t>
        </is>
      </c>
      <c r="O191" s="46" t="inlineStr">
        <is>
          <t>ข้อสอบจริง</t>
        </is>
      </c>
      <c r="P191" s="46" t="inlineStr">
        <is>
          <t>ปี 2564</t>
        </is>
      </c>
    </row>
    <row r="192">
      <c r="A192" s="46" t="n">
        <v>190</v>
      </c>
      <c r="B192" s="45" t="inlineStr">
        <is>
          <t>ตำรับ suspensions sedimentation volume \= 0.5, degree of flocculation \= 1 ควรแก้ไขอย่างไร</t>
        </is>
      </c>
      <c r="C192" s="46" t="n"/>
      <c r="D192" s="45" t="inlineStr">
        <is>
          <t>เพิ่มความเข้มข้น SCMC</t>
        </is>
      </c>
      <c r="E192" s="45" t="inlineStr">
        <is>
          <t>เพิ่ม benzyl alcohol ❌ เป็น preservative</t>
        </is>
      </c>
      <c r="F192" s="45" t="inlineStr">
        <is>
          <t>เพิ่ม sodium metabisulphite ❌เป็น antioxidant</t>
        </is>
      </c>
      <c r="G192" s="45" t="inlineStr">
        <is>
          <t>เปลี่ยน saccharine แทน syrup ❌เกี่ยวกับ sweetener ไม่เกี่ยวกับ stability</t>
        </is>
      </c>
      <c r="H192" s="45" t="inlineStr">
        <is>
          <t>เพิ่ม paraben ❌เป็น preservative</t>
        </is>
      </c>
      <c r="I192" s="46" t="n">
        <v>1</v>
      </c>
      <c r="J192" s="45" t="inlineStr">
        <is>
          <t>✅ คำตอบที่ถูกต้อง: ข้อ ก. เพิ่มความเข้มข้น SCMC
💡 Background:
คำถามข้อสอบจริงใบประกอบวิชาชีพ PLE-CC 1 (Product) ปี 2564 ข้อ 99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2" s="46" t="n"/>
      <c r="L192" s="45" t="inlineStr">
        <is>
          <t>Liquid &amp; Semisolid Dosage Forms</t>
        </is>
      </c>
      <c r="M192" s="46" t="inlineStr">
        <is>
          <t>Product</t>
        </is>
      </c>
      <c r="N192" s="45" t="inlineStr">
        <is>
          <t>ข้อสอบจริง Product ปี 2564 ข้อ 99</t>
        </is>
      </c>
      <c r="O192" s="46" t="inlineStr">
        <is>
          <t>ข้อสอบจริง</t>
        </is>
      </c>
      <c r="P192" s="46" t="inlineStr">
        <is>
          <t>ปี 2564</t>
        </is>
      </c>
    </row>
    <row r="193">
      <c r="A193" s="46" t="n">
        <v>191</v>
      </c>
      <c r="B193" s="45" t="inlineStr">
        <is>
          <t>เตรียม 5% Atenolol extemporaneous oral suspension ปริมาตร 50 ml จากยาเม็ด Atenolol 25 mg จะต้องใช้ Atenolol กี่เม็ด</t>
        </is>
      </c>
      <c r="C193" s="46" t="n"/>
      <c r="D193" s="45" t="inlineStr">
        <is>
          <t>2 เม็ด</t>
        </is>
      </c>
      <c r="E193" s="45" t="inlineStr">
        <is>
          <t>3 เม็ด</t>
        </is>
      </c>
      <c r="F193" s="45" t="inlineStr">
        <is>
          <t>4 เม็ด</t>
        </is>
      </c>
      <c r="G193" s="45" t="inlineStr">
        <is>
          <t>5 เม็ด</t>
        </is>
      </c>
      <c r="H193" s="45" t="inlineStr">
        <is>
          <t>6 เม็ด คำอธิบาย: (5 g / 100 ml x 50 ml) / 25 mg \= 100 เม็ด โจทย์น่าจะผิด</t>
        </is>
      </c>
      <c r="I193" s="46" t="n">
        <v>1</v>
      </c>
      <c r="J193" s="45" t="inlineStr">
        <is>
          <t>✅ คำตอบที่ถูกต้อง: ข้อ ก. 2 เม็ด
💡 Background:
คำถามข้อสอบจริงใบประกอบวิชาชีพ PLE-CC 1 (Product) ปี 2564 ข้อ 108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3" s="46" t="n"/>
      <c r="L193" s="45" t="inlineStr">
        <is>
          <t>Liquid &amp; Semisolid Dosage Forms</t>
        </is>
      </c>
      <c r="M193" s="46" t="inlineStr">
        <is>
          <t>Product</t>
        </is>
      </c>
      <c r="N193" s="45" t="inlineStr">
        <is>
          <t>ข้อสอบจริง Product ปี 2564 ข้อ 108</t>
        </is>
      </c>
      <c r="O193" s="46" t="inlineStr">
        <is>
          <t>ข้อสอบจริง</t>
        </is>
      </c>
      <c r="P193" s="46" t="inlineStr">
        <is>
          <t>ปี 2564</t>
        </is>
      </c>
    </row>
    <row r="194">
      <c r="A194" s="46" t="n">
        <v>192</v>
      </c>
      <c r="B194" s="45" t="inlineStr">
        <is>
          <t>Each teaspoon contains 125 mg of naproxen containing vehicles of sucrose, magnesium aluminium silicate, disodium edetate, F\&amp;D yellow... ถ้าจะเตรียม naproxen suspension ขนาด 100 ml จะต้องใช้ naproxen กี่ g</t>
        </is>
      </c>
      <c r="C194" s="46" t="n"/>
      <c r="D194" s="45" t="inlineStr">
        <is>
          <t>1.5</t>
        </is>
      </c>
      <c r="E194" s="45" t="inlineStr">
        <is>
          <t>2.5</t>
        </is>
      </c>
      <c r="F194" s="45" t="inlineStr">
        <is>
          <t>3.5</t>
        </is>
      </c>
      <c r="G194" s="45" t="inlineStr">
        <is>
          <t>4.5</t>
        </is>
      </c>
      <c r="H194" s="45" t="inlineStr">
        <is>
          <t>5.5 คำอธิบาย: naproxen 125 mg/ 5ml 100ml \= naproxen 2500 mg \= 2.5g</t>
        </is>
      </c>
      <c r="I194" s="46" t="n">
        <v>1</v>
      </c>
      <c r="J194" s="45" t="inlineStr">
        <is>
          <t>✅ คำตอบที่ถูกต้อง: ข้อ ก. 1.5
💡 Background:
คำถามข้อสอบจริงใบประกอบวิชาชีพ PLE-CC 1 (Product) ปี 2564 ข้อ 109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4" s="46" t="n"/>
      <c r="L194" s="45" t="inlineStr">
        <is>
          <t>Liquid &amp; Semisolid Dosage Forms</t>
        </is>
      </c>
      <c r="M194" s="46" t="inlineStr">
        <is>
          <t>Product</t>
        </is>
      </c>
      <c r="N194" s="45" t="inlineStr">
        <is>
          <t>ข้อสอบจริง Product ปี 2564 ข้อ 109</t>
        </is>
      </c>
      <c r="O194" s="46" t="inlineStr">
        <is>
          <t>ข้อสอบจริง</t>
        </is>
      </c>
      <c r="P194" s="46" t="inlineStr">
        <is>
          <t>ปี 2564</t>
        </is>
      </c>
    </row>
    <row r="195">
      <c r="A195" s="46" t="n">
        <v>193</v>
      </c>
      <c r="B195" s="45" t="inlineStr">
        <is>
          <t>สูตรตำรับ Calamine lotion Active Ingredient: Calamine Inactive ingredient : Hypromellose, xanthan gum, polysorbate 80, methyl paraben, propylparaben ข้อใดคือหน้าที่ของ Hypromellose</t>
        </is>
      </c>
      <c r="C195" s="46" t="n"/>
      <c r="D195" s="45" t="inlineStr">
        <is>
          <t>Emulsifier</t>
        </is>
      </c>
      <c r="E195" s="45" t="inlineStr">
        <is>
          <t>Diluent</t>
        </is>
      </c>
      <c r="F195" s="45" t="inlineStr">
        <is>
          <t>Viscosity enhancer</t>
        </is>
      </c>
      <c r="G195" s="45" t="inlineStr">
        <is>
          <t>Humectant</t>
        </is>
      </c>
      <c r="H195" s="45" t="inlineStr">
        <is>
          <t>Disintegrant คำอธิบาย: Hypromellose (HPMC, Hydroxypropyl methylcellulose) ใน Calamine lotion ทำหน้าที่หลักคือ เพิ่มความหนืด (Viscosity enhancer / Thickening agent) PLE\_CC1\_2564\_Q.pdf</t>
        </is>
      </c>
      <c r="I195" s="46" t="n">
        <v>1</v>
      </c>
      <c r="J195" s="45" t="inlineStr">
        <is>
          <t>✅ คำตอบที่ถูกต้อง: ข้อ ก. Emulsifier
💡 Background:
คำถามข้อสอบจริงใบประกอบวิชาชีพ PLE-CC 1 (Product) ปี 2564 ข้อ 111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5" s="46" t="n"/>
      <c r="L195" s="45" t="inlineStr">
        <is>
          <t>Liquid &amp; Semisolid Dosage Forms</t>
        </is>
      </c>
      <c r="M195" s="46" t="inlineStr">
        <is>
          <t>Product</t>
        </is>
      </c>
      <c r="N195" s="45" t="inlineStr">
        <is>
          <t>ข้อสอบจริง Product ปี 2564 ข้อ 111</t>
        </is>
      </c>
      <c r="O195" s="46" t="inlineStr">
        <is>
          <t>ข้อสอบจริง</t>
        </is>
      </c>
      <c r="P195" s="46" t="inlineStr">
        <is>
          <t>ปี 2564</t>
        </is>
      </c>
    </row>
    <row r="196">
      <c r="A196" s="46" t="n">
        <v>194</v>
      </c>
      <c r="B196" s="45" t="inlineStr">
        <is>
          <t>สารใดไม่ใช้เป็น stiffening agent สำหรับ topical antiviral cream</t>
        </is>
      </c>
      <c r="C196" s="46" t="n"/>
      <c r="D196" s="45" t="inlineStr">
        <is>
          <t>Beeswax ✅ เป็น stiffening agent</t>
        </is>
      </c>
      <c r="E196" s="45" t="inlineStr">
        <is>
          <t>PEG 4000 ✅ เป็น stiffening agent ในฐาน PEG ointment</t>
        </is>
      </c>
      <c r="F196" s="45" t="inlineStr">
        <is>
          <t>Paraffin wax ✅ เป็น stiffening agent</t>
        </is>
      </c>
      <c r="G196" s="45" t="inlineStr">
        <is>
          <t>Cetostearyl alcohol ✅ เป็น stiffening agent และ co-emulsifier</t>
        </is>
      </c>
      <c r="H196" s="45" t="inlineStr">
        <is>
          <t>Isopropyl myristate ❌ เป็น Emollient</t>
        </is>
      </c>
      <c r="I196" s="46" t="n">
        <v>1</v>
      </c>
      <c r="J196" s="45" t="inlineStr">
        <is>
          <t>✅ คำตอบที่ถูกต้อง: ข้อ ก. Beeswax ✅ เป็น stiffening agent
💡 Background:
คำถามข้อสอบจริงใบประกอบวิชาชีพ PLE-CC 1 (Product) ปี 2564 ข้อ 115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6" s="46" t="n"/>
      <c r="L196" s="45" t="inlineStr">
        <is>
          <t>Liquid &amp; Semisolid Dosage Forms</t>
        </is>
      </c>
      <c r="M196" s="46" t="inlineStr">
        <is>
          <t>Product</t>
        </is>
      </c>
      <c r="N196" s="45" t="inlineStr">
        <is>
          <t>ข้อสอบจริง Product ปี 2564 ข้อ 115</t>
        </is>
      </c>
      <c r="O196" s="46" t="inlineStr">
        <is>
          <t>ข้อสอบจริง</t>
        </is>
      </c>
      <c r="P196" s="46" t="inlineStr">
        <is>
          <t>ปี 2564</t>
        </is>
      </c>
    </row>
    <row r="197">
      <c r="A197" s="46" t="n">
        <v>195</v>
      </c>
      <c r="B197" s="45" t="inlineStr">
        <is>
          <t>ยาพื้นใดมีผลแบบ occlusive effect ดีที่สุด</t>
        </is>
      </c>
      <c r="C197" s="46" t="n"/>
      <c r="D197" s="45" t="inlineStr">
        <is>
          <t>Water-soluble base</t>
        </is>
      </c>
      <c r="E197" s="45" t="inlineStr">
        <is>
          <t>Water-removeable base</t>
        </is>
      </c>
      <c r="F197" s="45" t="inlineStr">
        <is>
          <t>Absorption base</t>
        </is>
      </c>
      <c r="G197" s="45" t="inlineStr">
        <is>
          <t>Oleaginous bases</t>
        </is>
      </c>
      <c r="H197" s="45" t="inlineStr">
        <is>
          <t>W/O emulsion base คำอธิบาย: Occlusive effect คือความสามารถของยาพื้นในการเคลือบผิวและลดการสูญเสียน้ำผ่านผิวหนัง (Transepidermal Water Loss; TEWL) ทำให้ผิวชุ่มชื้นและช่วยเพิ่มการดูดซึมของยา Oleaginous base ให้ occlusive effect สูงที่สุด เพราะเคลือบผิวเป็นชั้นน้ำมันและแทบไม่ดูดซึมน้ำ</t>
        </is>
      </c>
      <c r="I197" s="46" t="n">
        <v>1</v>
      </c>
      <c r="J197" s="45" t="inlineStr">
        <is>
          <t>✅ คำตอบที่ถูกต้อง: ข้อ ก. Water-soluble base
💡 Background:
คำถามข้อสอบจริงใบประกอบวิชาชีพ PLE-CC 1 (Product) ปี 2564 ข้อ 116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7" s="46" t="n"/>
      <c r="L197" s="45" t="inlineStr">
        <is>
          <t>Liquid &amp; Semisolid Dosage Forms</t>
        </is>
      </c>
      <c r="M197" s="46" t="inlineStr">
        <is>
          <t>Product</t>
        </is>
      </c>
      <c r="N197" s="45" t="inlineStr">
        <is>
          <t>ข้อสอบจริง Product ปี 2564 ข้อ 116</t>
        </is>
      </c>
      <c r="O197" s="46" t="inlineStr">
        <is>
          <t>ข้อสอบจริง</t>
        </is>
      </c>
      <c r="P197" s="46" t="inlineStr">
        <is>
          <t>ปี 2564</t>
        </is>
      </c>
    </row>
    <row r="198">
      <c r="A198" s="46" t="n">
        <v>196</v>
      </c>
      <c r="B198" s="45" t="inlineStr">
        <is>
          <t>การทดสอบตำรับยาครีมแบบ freeze thaw cycle พบว่าตำรับเปลี่ยนแปลงไปโดยมีลักษณะเหลวขึ้นจะแก้ไขปัญหาความไม่คงตัวอย่างไร</t>
        </is>
      </c>
      <c r="C198" s="46" t="n"/>
      <c r="D198" s="45" t="inlineStr">
        <is>
          <t>Tragacanth ใน O/W ✅ เพิ่มความหนืด ช่วยให้ครีมคงตัว</t>
        </is>
      </c>
      <c r="E198" s="45" t="inlineStr">
        <is>
          <t>Ball mill ❌ ลดขนาดอนุภาค ไม่แก้ครีมเหลว</t>
        </is>
      </c>
      <c r="F198" s="45" t="inlineStr">
        <is>
          <t>HEC ใน W/O ❌ HEC เหมาะกับ O/W ไม่ใช่ W/O</t>
        </is>
      </c>
      <c r="G198" s="45" t="inlineStr">
        <is>
          <t>NaCl ❌ electrolyte และอาจทำให้ emulsion ไม่คงตัว</t>
        </is>
      </c>
      <c r="H198" s="45" t="inlineStr">
        <is>
          <t>Sodium benzoate ❌ เป็นสารกันเสีย ไม่แก้ความหนืด</t>
        </is>
      </c>
      <c r="I198" s="46" t="n">
        <v>1</v>
      </c>
      <c r="J198" s="45" t="inlineStr">
        <is>
          <t>✅ คำตอบที่ถูกต้อง: ข้อ ก. Tragacanth ใน O/W ✅ เพิ่มความหนืด ช่วยให้ครีมคงตัว
💡 Background:
คำถามข้อสอบจริงใบประกอบวิชาชีพ PLE-CC 1 (Product) ปี 2564 ข้อ 117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8" s="46" t="n"/>
      <c r="L198" s="45" t="inlineStr">
        <is>
          <t>Liquid &amp; Semisolid Dosage Forms</t>
        </is>
      </c>
      <c r="M198" s="46" t="inlineStr">
        <is>
          <t>Product</t>
        </is>
      </c>
      <c r="N198" s="45" t="inlineStr">
        <is>
          <t>ข้อสอบจริง Product ปี 2564 ข้อ 117</t>
        </is>
      </c>
      <c r="O198" s="46" t="inlineStr">
        <is>
          <t>ข้อสอบจริง</t>
        </is>
      </c>
      <c r="P198" s="46" t="inlineStr">
        <is>
          <t>ปี 2564</t>
        </is>
      </c>
    </row>
    <row r="199">
      <c r="A199" s="46" t="n">
        <v>197</v>
      </c>
      <c r="B199" s="45" t="inlineStr">
        <is>
          <t>ผู้ป่วยชายมาซื้อยารักษาสิว มีส่วนประกอบคือ Isotretinoin 20 mg Hydrogenated vegetable oil 64 mg White wax 18 mg Disodium edetate 0.6 mg BHA 0.032 mg Soy bean oil 180 mg Gelatin, glycerin and parabens (methyl and propyl), กับระบบสี (dye systems) 20 mg คือ FD\&amp;C Red No. 3, FD\&amp;C Blue No. 1, และ titanium dioxide จากตำรับเป็นยาแบบไหน</t>
        </is>
      </c>
      <c r="C199" s="46" t="n"/>
      <c r="D199" s="45" t="inlineStr">
        <is>
          <t>Hard gelatin capsule ❌ ใช้บรรจุผงหรือเม็ดเล็ก (granules/pellets) เป็นหลัก</t>
        </is>
      </c>
      <c r="E199" s="45" t="inlineStr">
        <is>
          <t>Soft gelatin capsule ✅ บรรจุของเหลว/สารละลายในน้ำมัน และมี glycerin เป็น plasticizer</t>
        </is>
      </c>
      <c r="F199" s="45" t="inlineStr">
        <is>
          <t>Enteric capsule ❌ ต้องมีสารเคลือบกันกรด เช่น HPMCAS, Eudragit</t>
        </is>
      </c>
      <c r="G199" s="45" t="inlineStr">
        <is>
          <t>Cream ❌ ไม่มีฐานครีม</t>
        </is>
      </c>
      <c r="H199" s="45" t="inlineStr">
        <is>
          <t>Ointment ❌ ไม่ใช่ตำรับกึ่งแข็งสำหรับทาผิว</t>
        </is>
      </c>
      <c r="I199" s="46" t="n">
        <v>1</v>
      </c>
      <c r="J199" s="45" t="inlineStr">
        <is>
          <t>✅ คำตอบที่ถูกต้อง: ข้อ ก. Hard gelatin capsule ❌ ใช้บรรจุผงหรือเม็ดเล็ก (granules/pellets) เป็นหลัก
💡 Background:
คำถามข้อสอบจริงใบประกอบวิชาชีพ PLE-CC 1 (Product) ปี 2564 ข้อ 123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9" s="46" t="n"/>
      <c r="L199" s="45" t="inlineStr">
        <is>
          <t>Liquid &amp; Semisolid Dosage Forms</t>
        </is>
      </c>
      <c r="M199" s="46" t="inlineStr">
        <is>
          <t>Product</t>
        </is>
      </c>
      <c r="N199" s="45" t="inlineStr">
        <is>
          <t>ข้อสอบจริง Product ปี 2564 ข้อ 123</t>
        </is>
      </c>
      <c r="O199" s="46" t="inlineStr">
        <is>
          <t>ข้อสอบจริง</t>
        </is>
      </c>
      <c r="P199" s="46" t="inlineStr">
        <is>
          <t>ปี 2564</t>
        </is>
      </c>
    </row>
    <row r="200">
      <c r="A200" s="46" t="n">
        <v>198</v>
      </c>
      <c r="B200" s="45" t="inlineStr">
        <is>
          <t>HCTZ suspension 50 ml ตั้งทิ้งไว้ 4 wk ได้ F \= 0.5 ควรแก้ไขตำรับอย่างไร</t>
        </is>
      </c>
      <c r="C200" s="46" t="n"/>
      <c r="D200" s="45" t="inlineStr">
        <is>
          <t>เพิ่ม paraben concentrate ❌ Preservative ไม่ช่วยลดการตกตะกอน</t>
        </is>
      </c>
      <c r="E200" s="45" t="inlineStr">
        <is>
          <t>เพิ่ม sodium carboxymethyl cellulose ✅ Suspensing agent เพิ่มความหนืด ลด sedimentation</t>
        </is>
      </c>
      <c r="F200" s="45" t="inlineStr">
        <is>
          <t>เปลี่ยน saccharin sodium เป็น syrup ❌ ช่วยเพิ่มความหวาน ไม่ใช่วิธีมาตรฐานแก้ F ต่ำ</t>
        </is>
      </c>
      <c r="G200" s="45" t="inlineStr">
        <is>
          <t>เพิ่ม sodium metabisulfite ❌ Antioxidant</t>
        </is>
      </c>
      <c r="H200" s="45" t="inlineStr">
        <is>
          <t>เพิ่มอุณหภูมิ ❌ ยิ่งลดความคงตัวของ suspension</t>
        </is>
      </c>
      <c r="I200" s="46" t="n">
        <v>1</v>
      </c>
      <c r="J200" s="45" t="inlineStr">
        <is>
          <t>✅ คำตอบที่ถูกต้อง: ข้อ ก. เพิ่ม paraben concentrate ❌ Preservative ไม่ช่วยลดการตกตะกอน
💡 Background:
คำถามข้อสอบจริงใบประกอบวิชาชีพ PLE-CC 1 (Product) ปี 2564 ข้อ 143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0" s="46" t="n"/>
      <c r="L200" s="45" t="inlineStr">
        <is>
          <t>Liquid &amp; Semisolid Dosage Forms</t>
        </is>
      </c>
      <c r="M200" s="46" t="inlineStr">
        <is>
          <t>Product</t>
        </is>
      </c>
      <c r="N200" s="45" t="inlineStr">
        <is>
          <t>ข้อสอบจริง Product ปี 2564 ข้อ 143</t>
        </is>
      </c>
      <c r="O200" s="46" t="inlineStr">
        <is>
          <t>ข้อสอบจริง</t>
        </is>
      </c>
      <c r="P200" s="46" t="inlineStr">
        <is>
          <t>ปี 2564</t>
        </is>
      </c>
    </row>
    <row r="201">
      <c r="A201" s="46" t="n">
        <v>199</v>
      </c>
      <c r="B201" s="45" t="inlineStr">
        <is>
          <t>Sodium starch glycolate ทำหน้าที่อะไรในตำรับ</t>
        </is>
      </c>
      <c r="C201" s="46" t="n"/>
      <c r="D201" s="45" t="inlineStr">
        <is>
          <t>Diluent</t>
        </is>
      </c>
      <c r="E201" s="45" t="inlineStr">
        <is>
          <t>Glidant</t>
        </is>
      </c>
      <c r="F201" s="45" t="inlineStr">
        <is>
          <t>Disintegrating</t>
        </is>
      </c>
      <c r="G201" s="45" t="inlineStr">
        <is>
          <t>Binder</t>
        </is>
      </c>
      <c r="H201" s="45" t="inlineStr">
        <is>
          <t>Lubricant คำอธิบาย: Sodium starch glycolate (SSG) เป็น superdisintegrant ดูดน้ำและพองตัวอย่างรวดเร็ว ทำให้ยาเม็ดแตกตัวได้ดี ตำรับยา A Isopropyl myristate Cetostearyl ALCO Lanolin Stearic acid White wax Triethanolamine Glycerin Purified water</t>
        </is>
      </c>
      <c r="I201" s="46" t="n">
        <v>1</v>
      </c>
      <c r="J201" s="45" t="inlineStr">
        <is>
          <t>✅ คำตอบที่ถูกต้อง: ข้อ ก. Diluent
💡 Background:
คำถามข้อสอบจริงใบประกอบวิชาชีพ PLE-CC 1 (Product) ปี 2564 ข้อ 144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1" s="46" t="n"/>
      <c r="L201" s="45" t="inlineStr">
        <is>
          <t>Liquid &amp; Semisolid Dosage Forms</t>
        </is>
      </c>
      <c r="M201" s="46" t="inlineStr">
        <is>
          <t>Product</t>
        </is>
      </c>
      <c r="N201" s="45" t="inlineStr">
        <is>
          <t>ข้อสอบจริง Product ปี 2564 ข้อ 144</t>
        </is>
      </c>
      <c r="O201" s="46" t="inlineStr">
        <is>
          <t>ข้อสอบจริง</t>
        </is>
      </c>
      <c r="P201" s="46" t="inlineStr">
        <is>
          <t>ปี 2564</t>
        </is>
      </c>
    </row>
    <row r="202">
      <c r="A202" s="46" t="n">
        <v>200</v>
      </c>
      <c r="B202" s="45" t="inlineStr">
        <is>
          <t>จากสูตรตำรับข้อใดถูกต้อง</t>
        </is>
      </c>
      <c r="C202" s="46" t="n"/>
      <c r="D202" s="45" t="inlineStr">
        <is>
          <t>Lanolin stiffening agent ❌ Lanolin เป็น absorption base / emollient ไม่ใช่ stiffening agent</t>
        </is>
      </c>
      <c r="E202" s="45" t="inlineStr">
        <is>
          <t>Triethanolamine emulsifying agent ❌ Triethanolamine เดี่ยว ๆ เป็น pH adjuster จะเป็น emulsifier ได้เมื่อทำปฏิกิริยากับ stearic acid เกิด TEA stearate</t>
        </is>
      </c>
      <c r="F202" s="45" t="inlineStr">
        <is>
          <t>Isopropyl myristate humectant ❌ เป็น emollient / skin penetration enhancer</t>
        </is>
      </c>
      <c r="G202" s="45" t="inlineStr">
        <is>
          <t>Cetostearyl alcohol suspending agent ❌ เป็น stiffening agent และ co-emulsifier</t>
        </is>
      </c>
      <c r="H202" s="45" t="inlineStr">
        <is>
          <t>Glycerin humectant ✅ ถูกต้อง</t>
        </is>
      </c>
      <c r="I202" s="46" t="n">
        <v>1</v>
      </c>
      <c r="J202" s="45" t="inlineStr">
        <is>
          <t>✅ คำตอบที่ถูกต้อง: ข้อ ก. Lanolin stiffening agent ❌ Lanolin เป็น absorption base / emollient ไม่ใช่ stiffening agent
💡 Background:
คำถามข้อสอบจริงใบประกอบวิชาชีพ PLE-CC 1 (Product) ปี 2564 ข้อ 145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2" s="46" t="n"/>
      <c r="L202" s="45" t="inlineStr">
        <is>
          <t>Liquid &amp; Semisolid Dosage Forms</t>
        </is>
      </c>
      <c r="M202" s="46" t="inlineStr">
        <is>
          <t>Product</t>
        </is>
      </c>
      <c r="N202" s="45" t="inlineStr">
        <is>
          <t>ข้อสอบจริง Product ปี 2564 ข้อ 145</t>
        </is>
      </c>
      <c r="O202" s="46" t="inlineStr">
        <is>
          <t>ข้อสอบจริง</t>
        </is>
      </c>
      <c r="P202" s="46" t="inlineStr">
        <is>
          <t>ปี 2564</t>
        </is>
      </c>
    </row>
    <row r="203">
      <c r="A203" s="46" t="n">
        <v>201</v>
      </c>
      <c r="B203" s="45" t="inlineStr">
        <is>
          <t>โจทย์ให้ตำรับมา 1 ตำรับ เป็นตำรับยาเคลือบฟิล์ม (จำปริมาณไม่ได้ แต่ประมาณนี้แหละ) Macrogels 30 30 g Macrogels 50 50 g Titanium dioxide PEG4000 5 g ถามว่า PEG4000 ทำหน้าที่อะไร</t>
        </is>
      </c>
      <c r="C203" s="46" t="n"/>
      <c r="D203" s="45" t="inlineStr">
        <is>
          <t>Cosolvent</t>
        </is>
      </c>
      <c r="E203" s="45" t="inlineStr">
        <is>
          <t>Opacify</t>
        </is>
      </c>
      <c r="F203" s="45" t="inlineStr">
        <is>
          <t>Plasticizer</t>
        </is>
      </c>
      <c r="G203" s="45" t="inlineStr">
        <is>
          <t>Emulsifier</t>
        </is>
      </c>
      <c r="H203" s="45" t="inlineStr">
        <is>
          <t>Film coat resin คำอธิบาย: PEG 4000 ช่วยให้ฟิล์ม ยืดหยุ่น ไม่เปราะ และลดการแตกร้าว (film cracking) จึงทำหน้าที่เป็น plasticizer</t>
        </is>
      </c>
      <c r="I203" s="46" t="n">
        <v>1</v>
      </c>
      <c r="J203" s="45" t="inlineStr">
        <is>
          <t>✅ คำตอบที่ถูกต้อง: ข้อ ก. Cosolvent
💡 Background:
คำถามข้อสอบจริงใบประกอบวิชาชีพ PLE-CC 1 (Product) ปี 2564 ข้อ 146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3" s="46" t="n"/>
      <c r="L203" s="45" t="inlineStr">
        <is>
          <t>Liquid &amp; Semisolid Dosage Forms</t>
        </is>
      </c>
      <c r="M203" s="46" t="inlineStr">
        <is>
          <t>Product</t>
        </is>
      </c>
      <c r="N203" s="45" t="inlineStr">
        <is>
          <t>ข้อสอบจริง Product ปี 2564 ข้อ 146</t>
        </is>
      </c>
      <c r="O203" s="46" t="inlineStr">
        <is>
          <t>ข้อสอบจริง</t>
        </is>
      </c>
      <c r="P203" s="46" t="inlineStr">
        <is>
          <t>ปี 2564</t>
        </is>
      </c>
    </row>
    <row r="204">
      <c r="A204" s="46" t="n">
        <v>202</v>
      </c>
      <c r="B204" s="45" t="inlineStr">
        <is>
          <t>ในสูตรตำรับยาครีม หากตำรับมีลักษณะเหลวควรเพิ่มสารใดในตำรับ</t>
        </is>
      </c>
      <c r="C204" s="46" t="n"/>
      <c r="D204" s="45" t="inlineStr">
        <is>
          <t>Mineral oil</t>
        </is>
      </c>
      <c r="E204" s="45" t="inlineStr">
        <is>
          <t>Propylene glycol</t>
        </is>
      </c>
      <c r="F204" s="45" t="inlineStr">
        <is>
          <t>Cetyl alcohol</t>
        </is>
      </c>
      <c r="G204" s="45" t="inlineStr">
        <is>
          <t>Sodium lauryl sulfate</t>
        </is>
      </c>
      <c r="H204" s="45" t="inlineStr">
        <is>
          <t>Triethanolamine คำอธิบาย:Cetyl alcohol เป็น stiffening agent / viscosity enhancer ช่วยเพิ่มความหนืด ทำให้ครีมข้นขึ้นและมีความคงตัวมากขึ้น วิเคราะห์ตัวเลือก A. Mineral oil ❌ Emollient เพิ่มความมัน ไม่ใช่ตัวเพิ่มความหนืดหลัก B. Propylene glycol ❌ Humectant / cosolvent อาจทำให้เนื้อเหลวขึ้น C. Cetyl alcohol ✅ เพิ่มความหนืด (stiffening agent) D. Sodium lauryl sulfate ❌ Surfactant/emulsifier E. Triethanolamine ❌ pH adjuster และช่วยสร้าง emulsifier เมื่อทำปฏิกิริยากับ fatty acid</t>
        </is>
      </c>
      <c r="I204" s="46" t="n">
        <v>1</v>
      </c>
      <c r="J204" s="45" t="inlineStr">
        <is>
          <t>✅ คำตอบที่ถูกต้อง: ข้อ ก. Mineral oil
💡 Background:
คำถามข้อสอบจริงใบประกอบวิชาชีพ PLE-CC 1 (Product) ปี 2564 ข้อ 161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4" s="46" t="n"/>
      <c r="L204" s="45" t="inlineStr">
        <is>
          <t>Liquid &amp; Semisolid Dosage Forms</t>
        </is>
      </c>
      <c r="M204" s="46" t="inlineStr">
        <is>
          <t>Product</t>
        </is>
      </c>
      <c r="N204" s="45" t="inlineStr">
        <is>
          <t>ข้อสอบจริง Product ปี 2564 ข้อ 161</t>
        </is>
      </c>
      <c r="O204" s="46" t="inlineStr">
        <is>
          <t>ข้อสอบจริง</t>
        </is>
      </c>
      <c r="P204" s="46" t="inlineStr">
        <is>
          <t>ปี 2564</t>
        </is>
      </c>
    </row>
    <row r="205">
      <c r="A205" s="46" t="n">
        <v>203</v>
      </c>
      <c r="B205" s="45" t="inlineStr">
        <is>
          <t>ตำรับ hydrocortisone cream 0.1% มีส่วนประกอบ ดังนี้ cetyl alcohol, stearyl alcohol, propylene glycol, sodium lauryl sulphate, BHT, cream base consisting of purified water สารใดในตำรับที่ทำหน้าที่เป็น stiffening agent</t>
        </is>
      </c>
      <c r="C205" s="46" t="n"/>
      <c r="D205" s="45" t="inlineStr">
        <is>
          <t>BHT ❌ Antioxidant ป้องกัน oxidation</t>
        </is>
      </c>
      <c r="E205" s="45" t="inlineStr">
        <is>
          <t>Glycerin ❌ Humectant (แต่ไม่มีในสูตรที่ให้)</t>
        </is>
      </c>
      <c r="F205" s="45" t="inlineStr">
        <is>
          <t>Cetyl alcohol ✅ Stiffening agent / viscosity enhancer</t>
        </is>
      </c>
      <c r="G205" s="45" t="inlineStr">
        <is>
          <t>Propylene glycol ❌ Humectant / cosolvent</t>
        </is>
      </c>
      <c r="H205" s="45" t="inlineStr">
        <is>
          <t>Sodium lauryl sulphate ❌ Emulsifier / surfactant</t>
        </is>
      </c>
      <c r="I205" s="46" t="n">
        <v>1</v>
      </c>
      <c r="J205" s="45" t="inlineStr">
        <is>
          <t>✅ คำตอบที่ถูกต้อง: ข้อ ก. BHT ❌ Antioxidant ป้องกัน oxidation
💡 Background:
คำถามข้อสอบจริงใบประกอบวิชาชีพ PLE-CC 1 (Product) ปี 2564 ข้อ 166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5" s="46" t="n"/>
      <c r="L205" s="45" t="inlineStr">
        <is>
          <t>Liquid &amp; Semisolid Dosage Forms</t>
        </is>
      </c>
      <c r="M205" s="46" t="inlineStr">
        <is>
          <t>Product</t>
        </is>
      </c>
      <c r="N205" s="45" t="inlineStr">
        <is>
          <t>ข้อสอบจริง Product ปี 2564 ข้อ 166</t>
        </is>
      </c>
      <c r="O205" s="46" t="inlineStr">
        <is>
          <t>ข้อสอบจริง</t>
        </is>
      </c>
      <c r="P205" s="46" t="inlineStr">
        <is>
          <t>ปี 2564</t>
        </is>
      </c>
    </row>
    <row r="206">
      <c r="A206" s="46" t="n">
        <v>204</v>
      </c>
      <c r="B206" s="45" t="inlineStr">
        <is>
          <t>ตำรับ calamine lotion ตัวยาเป็นน้ำแขวนตะกอน เขย่ายาแล้วไม่คืนกลับเมื่อตั้งทิ้งไว้ ลักษณะดังกล่าวเรียกว่า</t>
        </is>
      </c>
      <c r="C206" s="46" t="n"/>
      <c r="D206" s="45" t="inlineStr">
        <is>
          <t>Caking ✅ ตะกอนจับแน่น กลับคืนไม่ได้</t>
        </is>
      </c>
      <c r="E206" s="45" t="inlineStr">
        <is>
          <t>Cracking ❌ รอยแตกของเม็ดยาหรือฟิล์มเคลือบ</t>
        </is>
      </c>
      <c r="F206" s="45" t="inlineStr">
        <is>
          <t>Breaking ❌ การแยกตัวของ emulsion อย่างถาวร</t>
        </is>
      </c>
      <c r="G206" s="45" t="inlineStr">
        <is>
          <t>Creaming ❌ หยดของเหลวใน emulsion ลอยขึ้น/ตกลง แต่ยังกลับคืนได้เมื่อเขย่า</t>
        </is>
      </c>
      <c r="H206" s="45" t="inlineStr">
        <is>
          <t>Coalescence ❌ หยด emulsion รวมตัวกันเป็นหยดใหญ่ (นำไปสู่ breaking)</t>
        </is>
      </c>
      <c r="I206" s="46" t="n">
        <v>1</v>
      </c>
      <c r="J206" s="45" t="inlineStr">
        <is>
          <t>✅ คำตอบที่ถูกต้อง: ข้อ ก. Caking ✅ ตะกอนจับแน่น กลับคืนไม่ได้
💡 Background:
คำถามข้อสอบจริงใบประกอบวิชาชีพ PLE-CC 1 (Product) ปี 2564 ข้อ 167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6" s="46" t="n"/>
      <c r="L206" s="45" t="inlineStr">
        <is>
          <t>Liquid &amp; Semisolid Dosage Forms</t>
        </is>
      </c>
      <c r="M206" s="46" t="inlineStr">
        <is>
          <t>Product</t>
        </is>
      </c>
      <c r="N206" s="45" t="inlineStr">
        <is>
          <t>ข้อสอบจริง Product ปี 2564 ข้อ 167</t>
        </is>
      </c>
      <c r="O206" s="46" t="inlineStr">
        <is>
          <t>ข้อสอบจริง</t>
        </is>
      </c>
      <c r="P206" s="46" t="inlineStr">
        <is>
          <t>ปี 2564</t>
        </is>
      </c>
    </row>
    <row r="207">
      <c r="A207" s="46" t="n">
        <v>205</v>
      </c>
      <c r="B207" s="45" t="inlineStr">
        <is>
          <t>Topical steroid รูปแบบไหนดูดซึมทางผิวหนังได้มากที่สุด ต้นฉบับ: Day 2 ข้อ 87</t>
        </is>
      </c>
      <c r="C207" s="46" t="n"/>
      <c r="D207" s="45" t="inlineStr">
        <is>
          <t>Solution</t>
        </is>
      </c>
      <c r="E207" s="45" t="inlineStr">
        <is>
          <t>Gel</t>
        </is>
      </c>
      <c r="F207" s="45" t="inlineStr">
        <is>
          <t>Suspension</t>
        </is>
      </c>
      <c r="G207" s="45" t="inlineStr">
        <is>
          <t>Ointment</t>
        </is>
      </c>
      <c r="H207" s="45" t="inlineStr">
        <is>
          <t xml:space="preserve">Cream | คำตอบ: d) Ointment Ointment ปิดกั้นผิวได้มาก เพราะทำมาจากไขมันเป็นหลัก ทำให้ชั้นผิวมีน้ำเพิ่มขึ้นและยาซึมผ่านได้ดีขึ้น ข้อที่ไม่ถูก a) Solution ปิดกั้นผิวน้อย b) Gel แห้งเร็วและไม่ค่อยเพิ่มความชุ่มน้ำ c) Suspension ไม่ได้ช่วยเพิ่มการซึมผ่านมากที่สุด e) Cream ปิดกั้นผิวน้อยกว่า ointment | | :---- | # IDQ IV </t>
        </is>
      </c>
      <c r="I207" s="46" t="n">
        <v>4</v>
      </c>
      <c r="J207" s="45" t="inlineStr">
        <is>
          <t>✅ คำตอบที่ถูกต้อง: ข้อ ง. Ointment
💡 Background:
คำถามข้อสอบจริงใบประกอบวิชาชีพ PLE-CC 1 (Product) ปี 2563 ข้อ 15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7" s="46" t="n"/>
      <c r="L207" s="45" t="inlineStr">
        <is>
          <t>Liquid &amp; Semisolid Dosage Forms</t>
        </is>
      </c>
      <c r="M207" s="46" t="inlineStr">
        <is>
          <t>Product</t>
        </is>
      </c>
      <c r="N207" s="45" t="inlineStr">
        <is>
          <t>ข้อสอบจริง Product ปี 2563 ข้อ 15</t>
        </is>
      </c>
      <c r="O207" s="46" t="inlineStr">
        <is>
          <t>ข้อสอบจริง</t>
        </is>
      </c>
      <c r="P207" s="46" t="inlineStr">
        <is>
          <t>ปี 2563</t>
        </is>
      </c>
    </row>
    <row r="208">
      <c r="A208" s="46" t="n">
        <v>206</v>
      </c>
      <c r="B208" s="45" t="inlineStr">
        <is>
          <t>ข้อใดไม่จำเป็นในการควบคุมคุณภาพการผลิต soft capsule ต้นฉบับ: Day 1 ข้อ 115</t>
        </is>
      </c>
      <c r="C208" s="46" t="n"/>
      <c r="D208" s="45" t="inlineStr">
        <is>
          <t>Pregelatinized starch</t>
        </is>
      </c>
      <c r="E208" s="45" t="inlineStr">
        <is>
          <t>Lactose monohydrate</t>
        </is>
      </c>
      <c r="F208" s="45" t="inlineStr">
        <is>
          <t>Microcrystalline cellulose</t>
        </is>
      </c>
      <c r="G208" s="45" t="inlineStr">
        <is>
          <t>Sodium starch glycolate</t>
        </is>
      </c>
      <c r="H208" s="45" t="inlineStr">
        <is>
          <t xml:space="preserve">Dibasic calcium phosphate | คำตอบที่น่าจะเป็น: a) Pregelatinized starch ใช้เป็น dry binder ได้ จึงเหมาะกับ dry granulation ที่ไม่เติมสารละลายยึดเกาะ ข้อที่ไม่ถูก b) Lactose monohydrate ทำหน้าที่หลักเป็น diluent c) MCC เป็น dry binder ได้เช่นกัน แต่ข้อนี้ pregelatinized starch ตรงกว่า d) Sodium starch glycolate เป็น disintegrant e) Dibasic calcium phosphate เป็น diluent หมายเหตุ: ข้อนี้ก้ำกึ่งเล็กน้อย เพราะ MCC ก็ใช้เป็น dry binder ได้ | | :---- | </t>
        </is>
      </c>
      <c r="I208" s="46" t="n">
        <v>4</v>
      </c>
      <c r="J208" s="45" t="inlineStr">
        <is>
          <t>✅ คำตอบที่ถูกต้อง: ข้อ ง. Sodium starch glycolate
💡 Background:
คำถามข้อสอบจริงใบประกอบวิชาชีพ PLE-CC 1 (Product) ปี 2563 ข้อ 25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8" s="46" t="n"/>
      <c r="L208" s="45" t="inlineStr">
        <is>
          <t>Liquid &amp; Semisolid Dosage Forms</t>
        </is>
      </c>
      <c r="M208" s="46" t="inlineStr">
        <is>
          <t>Product</t>
        </is>
      </c>
      <c r="N208" s="45" t="inlineStr">
        <is>
          <t>ข้อสอบจริง Product ปี 2563 ข้อ 25</t>
        </is>
      </c>
      <c r="O208" s="46" t="inlineStr">
        <is>
          <t>ข้อสอบจริง</t>
        </is>
      </c>
      <c r="P208" s="46" t="inlineStr">
        <is>
          <t>ปี 2563</t>
        </is>
      </c>
    </row>
    <row r="209">
      <c r="A209" s="46" t="n">
        <v>207</v>
      </c>
      <c r="B209" s="45" t="inlineStr">
        <is>
          <t>ข้อใดไม่ใช่ส่วนประกอบของ soft capsule ต้นฉบับ: Day 2 ข้อ 32</t>
        </is>
      </c>
      <c r="C209" s="46" t="n"/>
      <c r="D209" s="45" t="inlineStr">
        <is>
          <t>Glycerin</t>
        </is>
      </c>
      <c r="E209" s="45" t="inlineStr">
        <is>
          <t>Propylene glycol</t>
        </is>
      </c>
      <c r="F209" s="45" t="inlineStr">
        <is>
          <t>Lake color</t>
        </is>
      </c>
      <c r="G209" s="45" t="inlineStr">
        <is>
          <t>PEG 400</t>
        </is>
      </c>
      <c r="H209" s="45" t="inlineStr">
        <is>
          <t xml:space="preserve">Water | คำตอบ: d) PEG 400 ถ้าถามถึงเปลือก soft capsule PEG 400 มักอยู่ในส่วนที่บรรจุ ไม่ใช่ส่วนประกอบหลักของเปลือก ข้อที่ไม่ถูก a) Glycerin เป็น plasticizer b) Propylene glycol ใช้เป็น plasticizer ได้ c) Lake color ใช้แต่งสีเปลือกแคปซูล e) Water จำเป็นต่อการเตรียมมวล gelatin | | :---- | </t>
        </is>
      </c>
      <c r="I209" s="46" t="n">
        <v>4</v>
      </c>
      <c r="J209" s="45" t="inlineStr">
        <is>
          <t>✅ คำตอบที่ถูกต้อง: ข้อ ง. PEG 400
💡 Background:
คำถามข้อสอบจริงใบประกอบวิชาชีพ PLE-CC 1 (Product) ปี 2563 ข้อ 32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9" s="46" t="n"/>
      <c r="L209" s="45" t="inlineStr">
        <is>
          <t>Liquid &amp; Semisolid Dosage Forms</t>
        </is>
      </c>
      <c r="M209" s="46" t="inlineStr">
        <is>
          <t>Product</t>
        </is>
      </c>
      <c r="N209" s="45" t="inlineStr">
        <is>
          <t>ข้อสอบจริง Product ปี 2563 ข้อ 32</t>
        </is>
      </c>
      <c r="O209" s="46" t="inlineStr">
        <is>
          <t>ข้อสอบจริง</t>
        </is>
      </c>
      <c r="P209" s="46" t="inlineStr">
        <is>
          <t>ปี 2563</t>
        </is>
      </c>
    </row>
    <row r="210">
      <c r="A210" s="46" t="n">
        <v>208</v>
      </c>
      <c r="B210" s="45" t="inlineStr">
        <is>
          <t>ข้อใดไม่ใช่วิธีการควบคุมคุณภาพของยา Ibuprofen ที่เป็น soft gelatin ต้นฉบับ: Day 2 ข้อ 33</t>
        </is>
      </c>
      <c r="C210" s="46" t="n"/>
      <c r="D210" s="45" t="inlineStr">
        <is>
          <t>ปริมาณการบรรจุ</t>
        </is>
      </c>
      <c r="E210" s="45" t="inlineStr">
        <is>
          <t>การละลาย</t>
        </is>
      </c>
      <c r="F210" s="45" t="inlineStr">
        <is>
          <t>การแตกตัว</t>
        </is>
      </c>
      <c r="G210" s="45" t="inlineStr">
        <is>
          <t>ระยะเวลาที่ปลดปล่อยนาน</t>
        </is>
      </c>
      <c r="H210" s="45" t="inlineStr">
        <is>
          <t xml:space="preserve">ความนิ่ม | คำตอบ: d) ระยะเวลาที่ปลดปล่อยนาน Ibuprofen soft gelatin capsule ทั่วไปไม่ได้ออกแบบเป็น extended release แต่เป็น rapid release มากกว่า ข้อที่ไม่ถูก a) ต้องควบคุมปริมาณที่บรรจุในแต่ละแคปซูล b) ต้องตรวจการละลายของตัวยา c) ต้องตรวจการแตกของเปลือกเพื่อปล่อยส่วนที่บรรจุ e) ความนุ่มมีผลต่อความคงรูปและการรั่วของแคปซูล | | :---- | </t>
        </is>
      </c>
      <c r="I210" s="46" t="n">
        <v>4</v>
      </c>
      <c r="J210" s="45" t="inlineStr">
        <is>
          <t>✅ คำตอบที่ถูกต้อง: ข้อ ง. ระยะเวลาที่ปลดปล่อยนาน
💡 Background:
คำถามข้อสอบจริงใบประกอบวิชาชีพ PLE-CC 1 (Product) ปี 2563 ข้อ 33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0" s="46" t="n"/>
      <c r="L210" s="45" t="inlineStr">
        <is>
          <t>Liquid &amp; Semisolid Dosage Forms</t>
        </is>
      </c>
      <c r="M210" s="46" t="inlineStr">
        <is>
          <t>Product</t>
        </is>
      </c>
      <c r="N210" s="45" t="inlineStr">
        <is>
          <t>ข้อสอบจริง Product ปี 2563 ข้อ 33</t>
        </is>
      </c>
      <c r="O210" s="46" t="inlineStr">
        <is>
          <t>ข้อสอบจริง</t>
        </is>
      </c>
      <c r="P210" s="46" t="inlineStr">
        <is>
          <t>ปี 2563</t>
        </is>
      </c>
    </row>
    <row r="211">
      <c r="A211" s="46" t="n">
        <v>209</v>
      </c>
      <c r="B211" s="45" t="inlineStr">
        <is>
          <t>ผลิตยาเม็ดด้วย wet granulation ควรใช้ binder ตัวไหน ต้นฉบับ: Day 2 ข้อ 70</t>
        </is>
      </c>
      <c r="C211" s="46" t="n"/>
      <c r="D211" s="45" t="inlineStr">
        <is>
          <t>Lactose</t>
        </is>
      </c>
      <c r="E211" s="45" t="inlineStr">
        <is>
          <t>Microcrystalline cellulose</t>
        </is>
      </c>
      <c r="F211" s="45" t="inlineStr">
        <is>
          <t>Pregelatinized starch</t>
        </is>
      </c>
      <c r="G211" s="45" t="inlineStr">
        <is>
          <t>Magnesium stearate</t>
        </is>
      </c>
      <c r="H211" s="45" t="inlineStr">
        <is>
          <t xml:space="preserve">Aerosil 200 | คำตอบ: c) Pregelatinized starch ใช้เป็น binder ใน wet granulation และช่วยให้ผงจับตัวเป็น granule ข้อที่ไม่ถูก a) Lactose ใช้เป็น diluent เป็นหลัก b) MCC เหมาะกับ direct compression มากกว่า d) Magnesium stearate เป็น lubricant e) Aerosil 200 เป็น glidant | | :---- | </t>
        </is>
      </c>
      <c r="I211" s="46" t="n">
        <v>3</v>
      </c>
      <c r="J211" s="45" t="inlineStr">
        <is>
          <t>✅ คำตอบที่ถูกต้อง: ข้อ ค. Pregelatinized starch
💡 Background:
คำถามข้อสอบจริงใบประกอบวิชาชีพ PLE-CC 1 (Product) ปี 2563 ข้อ 34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1" s="46" t="n"/>
      <c r="L211" s="45" t="inlineStr">
        <is>
          <t>Liquid &amp; Semisolid Dosage Forms</t>
        </is>
      </c>
      <c r="M211" s="46" t="inlineStr">
        <is>
          <t>Product</t>
        </is>
      </c>
      <c r="N211" s="45" t="inlineStr">
        <is>
          <t>ข้อสอบจริง Product ปี 2563 ข้อ 34</t>
        </is>
      </c>
      <c r="O211" s="46" t="inlineStr">
        <is>
          <t>ข้อสอบจริง</t>
        </is>
      </c>
      <c r="P211" s="46" t="inlineStr">
        <is>
          <t>ปี 2563</t>
        </is>
      </c>
    </row>
    <row r="212">
      <c r="A212" s="46" t="n">
        <v>210</v>
      </c>
      <c r="B212" s="45" t="inlineStr">
        <is>
          <t>สารเคลือบในข้อใดไม่ได้ช่วยให้เม็ดยามีคุณสมบัติ enteric coated tablets ต้นฉบับ: Day 2 ข้อ 90</t>
        </is>
      </c>
      <c r="C212" s="46" t="n"/>
      <c r="D212" s="45" t="inlineStr">
        <is>
          <t>Shellac</t>
        </is>
      </c>
      <c r="E212" s="45" t="inlineStr">
        <is>
          <t>PVP</t>
        </is>
      </c>
      <c r="F212" s="45" t="inlineStr">
        <is>
          <t>Diethyl phthalate</t>
        </is>
      </c>
      <c r="G212" s="45" t="inlineStr">
        <is>
          <t>Hydroxypropyl methylcellulose Acetate Succinate</t>
        </is>
      </c>
      <c r="H212" s="45" t="inlineStr">
        <is>
          <t xml:space="preserve">Methacrylic acid - methyl acrylate (2:1) copolymer | คำตอบ: b) PVP PVP ละลายน้ำได้ จึงไม่ทนกรดและไม่ทำให้เม็ดยามีคุณสมบัติ enteric ข้อที่ไม่ถูก a) Shellac ใช้ทำ enteric coating ได้ c) Diethyl phthalate เป็น plasticizer ที่ใช้ร่วมกับสารเคลือบ enteric coating d) HPMCAS ใช้ทำ enteric coating ได้ e) Methacrylic acid copolymer ใช้ทำ enteric coating ได้ | | :---- | </t>
        </is>
      </c>
      <c r="I212" s="46" t="n">
        <v>2</v>
      </c>
      <c r="J212" s="45" t="inlineStr">
        <is>
          <t>✅ คำตอบที่ถูกต้อง: ข้อ ข. PVP
💡 Background:
คำถามข้อสอบจริงใบประกอบวิชาชีพ PLE-CC 1 (Product) ปี 2563 ข้อ 36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2" s="46" t="n"/>
      <c r="L212" s="45" t="inlineStr">
        <is>
          <t>Liquid &amp; Semisolid Dosage Forms</t>
        </is>
      </c>
      <c r="M212" s="46" t="inlineStr">
        <is>
          <t>Product</t>
        </is>
      </c>
      <c r="N212" s="45" t="inlineStr">
        <is>
          <t>ข้อสอบจริง Product ปี 2563 ข้อ 36</t>
        </is>
      </c>
      <c r="O212" s="46" t="inlineStr">
        <is>
          <t>ข้อสอบจริง</t>
        </is>
      </c>
      <c r="P212" s="46" t="inlineStr">
        <is>
          <t>ปี 2563</t>
        </is>
      </c>
    </row>
    <row r="213">
      <c r="A213" s="46" t="n">
        <v>211</v>
      </c>
      <c r="B213" s="45" t="inlineStr">
        <is>
          <t>Freeze Thaw 3 Cycles แล้วพบว่า ครีมแยกชั้นกันจะแก้ปัญหาอย่างไร ต้นฉบับ: Day 1 ข้อ 77</t>
        </is>
      </c>
      <c r="C213" s="46" t="n"/>
      <c r="D213" s="45" t="inlineStr">
        <is>
          <t>เติม Tragacanth ใน O/W cream</t>
        </is>
      </c>
      <c r="E213" s="45" t="inlineStr">
        <is>
          <t>ใช้เครื่อง Ball mill</t>
        </is>
      </c>
      <c r="F213" s="45" t="inlineStr">
        <is>
          <t>เติม hydroxyethylcellulose ใน W/O cream</t>
        </is>
      </c>
      <c r="G213" s="45" t="inlineStr">
        <is>
          <t>เติม NaCl ใน W/O cream</t>
        </is>
      </c>
      <c r="H213" s="45" t="inlineStr">
        <is>
          <t xml:space="preserve">เติม Na benzoate ใน W/O cream | คำตอบ: a) เติม tragacanth ใน O/W cream Tragacanth เพิ่มความหนืดของวัฏภาคน้ำซึ่งเป็นวัฏภาคภายนอก จึงช่วยลดการแยกชั้น ข้อที่ไม่ถูก b) Ball mill ใช้ลดขนาดอนุภาค c) Hydroxyethylcellulose ละลายในน้ำ จึงไม่เหมาะกับวัฏภาคภายนอกของ W/O cream d) NaCl ไม่ได้เพิ่มความหนืดและอาจรบกวนความคงตัว e) Sodium benzoate เป็น preservative | | :---- | </t>
        </is>
      </c>
      <c r="I213" s="46" t="n">
        <v>1</v>
      </c>
      <c r="J213" s="45" t="inlineStr">
        <is>
          <t>✅ คำตอบที่ถูกต้อง: ข้อ ก. เติม Tragacanth ใน O/W cream
💡 Background:
คำถามข้อสอบจริงใบประกอบวิชาชีพ PLE-CC 1 (Product) ปี 2563 ข้อ 42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3" s="46" t="n"/>
      <c r="L213" s="45" t="inlineStr">
        <is>
          <t>Liquid &amp; Semisolid Dosage Forms</t>
        </is>
      </c>
      <c r="M213" s="46" t="inlineStr">
        <is>
          <t>Product</t>
        </is>
      </c>
      <c r="N213" s="45" t="inlineStr">
        <is>
          <t>ข้อสอบจริง Product ปี 2563 ข้อ 42</t>
        </is>
      </c>
      <c r="O213" s="46" t="inlineStr">
        <is>
          <t>ข้อสอบจริง</t>
        </is>
      </c>
      <c r="P213" s="46" t="inlineStr">
        <is>
          <t>ปี 2563</t>
        </is>
      </c>
    </row>
    <row r="214">
      <c r="A214" s="46" t="n">
        <v>212</v>
      </c>
      <c r="B214" s="45" t="inlineStr">
        <is>
          <t>Magnesium aluminium silicate ในตำรับนี้ทำหน้าที่อะไร ต้นฉบับ: Day 1 ข้อ 90</t>
        </is>
      </c>
      <c r="C214" s="46" t="n"/>
      <c r="D214" s="45" t="inlineStr">
        <is>
          <t>flocculating agent</t>
        </is>
      </c>
      <c r="E214" s="45" t="inlineStr">
        <is>
          <t>viscosity-increasing agent</t>
        </is>
      </c>
      <c r="F214" s="45" t="inlineStr">
        <is>
          <t>suspending agent</t>
        </is>
      </c>
      <c r="G214" s="45" t="inlineStr">
        <is>
          <t>wetting agent</t>
        </is>
      </c>
      <c r="H214" s="45" t="inlineStr">
        <is>
          <t xml:space="preserve">dispersing agent | คำตอบ: c) Suspending agent Magnesium aluminium silicate เพิ่มความหนืดและพยุงอนุภาคไม่ให้ตกตะกอนเร็ว ข้อที่ไม่ถูก a) ไม่ได้ใช้ทำให้อนุภาคจับกลุ่มเป็นหลัก b) อธิบายผลต่อความหนืดได้ แต่ชื่อหน้าที่หลักคือ suspending agent d) ไม่ได้ช่วยให้ผงเปียกน้ำเป็นหลัก e) ไม่ได้ทำหน้าที่กระจายอนุภาคโดยตรง | | :---- | </t>
        </is>
      </c>
      <c r="I214" s="46" t="n">
        <v>3</v>
      </c>
      <c r="J214" s="45" t="inlineStr">
        <is>
          <t>✅ คำตอบที่ถูกต้อง: ข้อ ค. suspending agent
💡 Background:
คำถามข้อสอบจริงใบประกอบวิชาชีพ PLE-CC 1 (Product) ปี 2563 ข้อ 44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4" s="46" t="n"/>
      <c r="L214" s="45" t="inlineStr">
        <is>
          <t>Liquid &amp; Semisolid Dosage Forms</t>
        </is>
      </c>
      <c r="M214" s="46" t="inlineStr">
        <is>
          <t>Product</t>
        </is>
      </c>
      <c r="N214" s="45" t="inlineStr">
        <is>
          <t>ข้อสอบจริง Product ปี 2563 ข้อ 44</t>
        </is>
      </c>
      <c r="O214" s="46" t="inlineStr">
        <is>
          <t>ข้อสอบจริง</t>
        </is>
      </c>
      <c r="P214" s="46" t="inlineStr">
        <is>
          <t>ปี 2563</t>
        </is>
      </c>
    </row>
    <row r="215">
      <c r="A215" s="46" t="n">
        <v>213</v>
      </c>
      <c r="B215" s="45" t="inlineStr">
        <is>
          <t>เตรียม 0.2% Atenolol extemporaneous oral suspension ปริมาตร 50 ml จากยาเม็ด Atenolol 25 mg จะต้องใช้ Atenolol กี่เม็ด ต้นฉบับ: Day 1 ข้อ 111</t>
        </is>
      </c>
      <c r="C215" s="46" t="n"/>
      <c r="D215" s="45" t="inlineStr">
        <is>
          <t>2 เม็ด</t>
        </is>
      </c>
      <c r="E215" s="45" t="inlineStr">
        <is>
          <t>3 เม็ด</t>
        </is>
      </c>
      <c r="F215" s="45" t="inlineStr">
        <is>
          <t>4 เม็ด</t>
        </is>
      </c>
      <c r="G215" s="45" t="inlineStr">
        <is>
          <t>5 เม็ด</t>
        </is>
      </c>
      <c r="H215" s="45" t="inlineStr">
        <is>
          <t xml:space="preserve">6 เม็ด | คำตอบ: c) 4 เม็ด 0.2% w/v ใน 50 mL ต้องใช้ 100 mg แล้ว 100/25 \= 4 เม็ด ข้อที่ไม่ถูก a) ให้ atenolol เพียง 50 mg b) ให้ atenolol เพียง 75 mg d) ให้ atenolol 125 mg e) ให้ atenolol 150 mg | | :---- | </t>
        </is>
      </c>
      <c r="I215" s="46" t="n">
        <v>3</v>
      </c>
      <c r="J215" s="45" t="inlineStr">
        <is>
          <t>✅ คำตอบที่ถูกต้อง: ข้อ ค. 4 เม็ด
💡 Background:
คำถามข้อสอบจริงใบประกอบวิชาชีพ PLE-CC 1 (Product) ปี 2563 ข้อ 45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5" s="46" t="n"/>
      <c r="L215" s="45" t="inlineStr">
        <is>
          <t>Liquid &amp; Semisolid Dosage Forms</t>
        </is>
      </c>
      <c r="M215" s="46" t="inlineStr">
        <is>
          <t>Product</t>
        </is>
      </c>
      <c r="N215" s="45" t="inlineStr">
        <is>
          <t>ข้อสอบจริง Product ปี 2563 ข้อ 45</t>
        </is>
      </c>
      <c r="O215" s="46" t="inlineStr">
        <is>
          <t>ข้อสอบจริง</t>
        </is>
      </c>
      <c r="P215" s="46" t="inlineStr">
        <is>
          <t>ปี 2563</t>
        </is>
      </c>
    </row>
    <row r="216">
      <c r="A216" s="46" t="n">
        <v>214</v>
      </c>
      <c r="B216" s="45" t="inlineStr">
        <is>
          <t>Suspensions sedimentation volume \= 0.5 degree of flocculation \= 1 ควรแก้ไขอย่างไร ต้นฉบับ: Day 1 ข้อ 112</t>
        </is>
      </c>
      <c r="C216" s="46" t="n"/>
      <c r="D216" s="45" t="inlineStr">
        <is>
          <t>เพิ่มความเข้มข้น SCMC</t>
        </is>
      </c>
      <c r="E216" s="45" t="inlineStr">
        <is>
          <t>เพิ่มความเข้มข้น benzyl alcohol</t>
        </is>
      </c>
      <c r="F216" s="45" t="inlineStr">
        <is>
          <t>เพิ่มความเข้มข้น sodium metabisulphite</t>
        </is>
      </c>
      <c r="G216" s="45" t="inlineStr">
        <is>
          <t>เปลี่ยนไปใช้ saccharin แทน syrup</t>
        </is>
      </c>
      <c r="H216" s="45" t="inlineStr">
        <is>
          <t xml:space="preserve">เพิ่มปริมาณ paraben | คำตอบ: a) เพิ่มความเข้มข้น SCMC ช่วยเพิ่มความหนืดและชะลอการตกตะกอน เมื่อ sedimentation volume ต่ำ ข้อที่ไม่ถูก b) Benzyl alcohol เป็น preservative c) Sodium metabisulfite เป็น antioxidant d) เปลี่ยน syrup เป็น saccharin จะลดความหนืด e) Paraben เป็น preservative หมายเหตุ: Degree of flocculation เท่ากับ 1 บอกว่ายังไม่เกิด flocculation แต่ไม่มี flocculating agent ในตัวเลือก | | :---- | </t>
        </is>
      </c>
      <c r="I216" s="46" t="n">
        <v>1</v>
      </c>
      <c r="J216" s="45" t="inlineStr">
        <is>
          <t>✅ คำตอบที่ถูกต้อง: ข้อ ก. เพิ่มความเข้มข้น SCMC
💡 Background:
คำถามข้อสอบจริงใบประกอบวิชาชีพ PLE-CC 1 (Product) ปี 2563 ข้อ 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6" s="46" t="n"/>
      <c r="L216" s="45" t="inlineStr">
        <is>
          <t>Liquid &amp; Semisolid Dosage Forms</t>
        </is>
      </c>
      <c r="M216" s="46" t="inlineStr">
        <is>
          <t>Product</t>
        </is>
      </c>
      <c r="N216" s="45" t="inlineStr">
        <is>
          <t>ข้อสอบจริง Product ปี 2563 ข้อ 46</t>
        </is>
      </c>
      <c r="O216" s="46" t="inlineStr">
        <is>
          <t>ข้อสอบจริง</t>
        </is>
      </c>
      <c r="P216" s="46" t="inlineStr">
        <is>
          <t>ปี 2563</t>
        </is>
      </c>
    </row>
    <row r="217">
      <c r="A217" s="46" t="n">
        <v>215</v>
      </c>
      <c r="B217" s="45" t="inlineStr">
        <is>
          <t>สูตรตำรับ Calamine lotion ต้นฉบับ: Day 1 ข้อ 113 Active Ingredient: Calamine Inactive ingredient: Hypromellose, xanthan gum, polysorbate 80, methyl paraben, propylparaben ข้อใดคือหน้าที่ของ Hypromellose</t>
        </is>
      </c>
      <c r="C217" s="46" t="n"/>
      <c r="D217" s="45" t="inlineStr">
        <is>
          <t>Emulsifier</t>
        </is>
      </c>
      <c r="E217" s="45" t="inlineStr">
        <is>
          <t>Diluent</t>
        </is>
      </c>
      <c r="F217" s="45" t="inlineStr">
        <is>
          <t>Viscosity enhancer</t>
        </is>
      </c>
      <c r="G217" s="45" t="inlineStr">
        <is>
          <t>Humectant</t>
        </is>
      </c>
      <c r="H217" s="45" t="inlineStr">
        <is>
          <t xml:space="preserve">Disintegrant | คำตอบ: c) Viscosity enhancer Hypromellose เพิ่มความหนืดของตัวกลาง ทำให้ calamine ตกตะกอนช้าลง ข้อที่ไม่ถูก a) ไม่ใช่ emulsifier หลัก b) ไม่ได้ใช้เพิ่มมวลตำรับ d) ไม่ได้ทำหน้าที่ดึงความชื้นเป็นหลัก e) Disintegrant ใช้ในยาเม็ด | | :---- | </t>
        </is>
      </c>
      <c r="I217" s="46" t="n">
        <v>3</v>
      </c>
      <c r="J217" s="45" t="inlineStr">
        <is>
          <t>✅ คำตอบที่ถูกต้อง: ข้อ ค. Viscosity enhancer
💡 Background:
คำถามข้อสอบจริงใบประกอบวิชาชีพ PLE-CC 1 (Product) ปี 2563 ข้อ 47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7" s="46" t="n"/>
      <c r="L217" s="45" t="inlineStr">
        <is>
          <t>Liquid &amp; Semisolid Dosage Forms</t>
        </is>
      </c>
      <c r="M217" s="46" t="inlineStr">
        <is>
          <t>Product</t>
        </is>
      </c>
      <c r="N217" s="45" t="inlineStr">
        <is>
          <t>ข้อสอบจริง Product ปี 2563 ข้อ 47</t>
        </is>
      </c>
      <c r="O217" s="46" t="inlineStr">
        <is>
          <t>ข้อสอบจริง</t>
        </is>
      </c>
      <c r="P217" s="46" t="inlineStr">
        <is>
          <t>ปี 2563</t>
        </is>
      </c>
    </row>
    <row r="218">
      <c r="A218" s="46" t="n">
        <v>216</v>
      </c>
      <c r="B218" s="45" t="inlineStr">
        <is>
          <t>ยารูปแบบ topical suspension ควรมีการไหลแบบไหน ต้นฉบับ: Day 1 ข้อ 114</t>
        </is>
      </c>
      <c r="C218" s="46" t="n"/>
      <c r="D218" s="45" t="inlineStr">
        <is>
          <t>Plastic กับ thixotropic</t>
        </is>
      </c>
      <c r="E218" s="45" t="inlineStr">
        <is>
          <t>Plastic กับ dilatant</t>
        </is>
      </c>
      <c r="F218" s="45" t="inlineStr">
        <is>
          <t>Pseudoplastic กับ thixotropic</t>
        </is>
      </c>
      <c r="G218" s="45" t="inlineStr">
        <is>
          <t>Pseudoplastic กับ dilatant</t>
        </is>
      </c>
      <c r="H218" s="45" t="inlineStr">
        <is>
          <t xml:space="preserve">Pseudoplastic กับ plastic | คำตอบ: c) Pseudoplastic และ thixotropic เมื่อเขย่าหรือทาความหนืดจะลดลง แต่เมื่อพักความหนืดจะกลับสูงขึ้น จึงใช้และเก็บได้ดี ข้อที่ไม่ถูก a) Plastic flow ต้องมี yield value ก่อนเริ่มไหล b) Dilatant จะข้นขึ้นเมื่อออกแรง จึงเทหรือทายาก d) มี dilatant ซึ่งไม่เหมาะกับตำรับ e) ไม่ได้ระบุการคืนโครงสร้างเมื่อหยุดออกแรง | | :---- | </t>
        </is>
      </c>
      <c r="I218" s="46" t="n">
        <v>3</v>
      </c>
      <c r="J218" s="45" t="inlineStr">
        <is>
          <t>✅ คำตอบที่ถูกต้อง: ข้อ ค. Pseudoplastic กับ thixotropic
💡 Background:
คำถามข้อสอบจริงใบประกอบวิชาชีพ PLE-CC 1 (Product) ปี 2563 ข้อ 48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8" s="46" t="n"/>
      <c r="L218" s="45" t="inlineStr">
        <is>
          <t>Liquid &amp; Semisolid Dosage Forms</t>
        </is>
      </c>
      <c r="M218" s="46" t="inlineStr">
        <is>
          <t>Product</t>
        </is>
      </c>
      <c r="N218" s="45" t="inlineStr">
        <is>
          <t>ข้อสอบจริง Product ปี 2563 ข้อ 48</t>
        </is>
      </c>
      <c r="O218" s="46" t="inlineStr">
        <is>
          <t>ข้อสอบจริง</t>
        </is>
      </c>
      <c r="P218" s="46" t="inlineStr">
        <is>
          <t>ปี 2563</t>
        </is>
      </c>
    </row>
    <row r="219">
      <c r="A219" s="46" t="n">
        <v>217</v>
      </c>
      <c r="B219" s="45" t="inlineStr">
        <is>
          <t>ยาขี้ผึ้งชนิดใดเหมาะกับแผลติดเชื้อมีหนอง ต้นฉบับ: Day 2 ข้อ 39</t>
        </is>
      </c>
      <c r="C219" s="46" t="n"/>
      <c r="D219" s="45" t="inlineStr">
        <is>
          <t>Cream</t>
        </is>
      </c>
      <c r="E219" s="45" t="inlineStr">
        <is>
          <t>W/O ointment</t>
        </is>
      </c>
      <c r="F219" s="45" t="inlineStr">
        <is>
          <t>O/W ointment</t>
        </is>
      </c>
      <c r="G219" s="45" t="inlineStr">
        <is>
          <t>Absorption base</t>
        </is>
      </c>
      <c r="H219" s="45" t="inlineStr">
        <is>
          <t xml:space="preserve">Oleaginous base | คำตอบ: b) W/O ointment ตำรับมีทั้งน้ำและน้ำมัน โดย cholesterol ช่วยสร้างอิมัลชันชนิดน้ำกระจายในน้ำมัน ข้อที่ไม่ถูก a) คำว่า cream กว้างเกินไปเมื่อมีชนิดอิมัลชันให้เลือก c) ไม่มี emulsifier ที่ชี้ไปทาง O/W d) Absorption base โดยทั่วไปยังไม่มีน้ำก่อนนำไปดูดน้ำเพิ่ม e) Oleaginous base ไม่มีวัฏภาคน้ำ | | :---- | </t>
        </is>
      </c>
      <c r="I219" s="46" t="n">
        <v>2</v>
      </c>
      <c r="J219" s="45" t="inlineStr">
        <is>
          <t>✅ คำตอบที่ถูกต้อง: ข้อ ข. W/O ointment
💡 Background:
คำถามข้อสอบจริงใบประกอบวิชาชีพ PLE-CC 1 (Product) ปี 2563 ข้อ 49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9" s="46" t="n"/>
      <c r="L219" s="45" t="inlineStr">
        <is>
          <t>Liquid &amp; Semisolid Dosage Forms</t>
        </is>
      </c>
      <c r="M219" s="46" t="inlineStr">
        <is>
          <t>Product</t>
        </is>
      </c>
      <c r="N219" s="45" t="inlineStr">
        <is>
          <t>ข้อสอบจริง Product ปี 2563 ข้อ 49</t>
        </is>
      </c>
      <c r="O219" s="46" t="inlineStr">
        <is>
          <t>ข้อสอบจริง</t>
        </is>
      </c>
      <c r="P219" s="46" t="inlineStr">
        <is>
          <t>ปี 2563</t>
        </is>
      </c>
    </row>
    <row r="220">
      <c r="A220" s="46" t="n">
        <v>218</v>
      </c>
      <c r="B220" s="45" t="inlineStr">
        <is>
          <t>เตรียมด้วยวิธีอะไร ต้นฉบับ: Day 2 ข้อ 41</t>
        </is>
      </c>
      <c r="C220" s="46" t="n"/>
      <c r="D220" s="45" t="inlineStr">
        <is>
          <t>Beaker method</t>
        </is>
      </c>
      <c r="E220" s="45" t="inlineStr">
        <is>
          <t>Levigation</t>
        </is>
      </c>
      <c r="F220" s="45" t="inlineStr">
        <is>
          <t>Dry gum method</t>
        </is>
      </c>
      <c r="G220" s="45" t="inlineStr">
        <is>
          <t>Wet gum method</t>
        </is>
      </c>
      <c r="H220" s="45" t="inlineStr">
        <is>
          <t xml:space="preserve">Bottle method | คำตอบ: a) Beaker method แยกให้ความร้อนวัฏภาคน้ำกับวัฏภาคน้ำมัน แล้วผสมที่อุณหภูมิใกล้กันจนเกิด emulsion ข้อที่ไม่ถูก b) Levigation ใช้บดผงกับของเหลวปริมาณน้อย c) Dry gum method ใช้เตรียม primary emulsion จาก gum d) Wet gum method ใช้เตรียม primary emulsion จาก gum เช่นกัน e) Bottle method เหมาะกับน้ำมันระเหยง่ายหรือมีความหนืดต่ำ | | :---- | </t>
        </is>
      </c>
      <c r="I220" s="46" t="n">
        <v>1</v>
      </c>
      <c r="J220" s="45" t="inlineStr">
        <is>
          <t>✅ คำตอบที่ถูกต้อง: ข้อ ก. Beaker method
💡 Background:
คำถามข้อสอบจริงใบประกอบวิชาชีพ PLE-CC 1 (Product) ปี 2563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0" s="46" t="n"/>
      <c r="L220" s="45" t="inlineStr">
        <is>
          <t>Liquid &amp; Semisolid Dosage Forms</t>
        </is>
      </c>
      <c r="M220" s="46" t="inlineStr">
        <is>
          <t>Product</t>
        </is>
      </c>
      <c r="N220" s="45" t="inlineStr">
        <is>
          <t>ข้อสอบจริง Product ปี 2563 ข้อ 51</t>
        </is>
      </c>
      <c r="O220" s="46" t="inlineStr">
        <is>
          <t>ข้อสอบจริง</t>
        </is>
      </c>
      <c r="P220" s="46" t="inlineStr">
        <is>
          <t>ปี 2563</t>
        </is>
      </c>
    </row>
    <row r="221">
      <c r="A221" s="46" t="n">
        <v>219</v>
      </c>
      <c r="B221" s="45" t="inlineStr">
        <is>
          <t>รูปแบบยาทาที่เหมาะสมสำหรับทาผิวหญิงที่หน้ามันเป็นสิว ต้นฉบับ: Day 2 ข้อ 45</t>
        </is>
      </c>
      <c r="C221" s="46" t="n"/>
      <c r="D221" s="45" t="inlineStr">
        <is>
          <t>Flocculated suspension</t>
        </is>
      </c>
      <c r="E221" s="45" t="inlineStr">
        <is>
          <t>Deflocculated suspension</t>
        </is>
      </c>
      <c r="F221" s="45" t="inlineStr">
        <is>
          <t>Flocculated suspension in vehicle</t>
        </is>
      </c>
      <c r="G221" s="45" t="inlineStr">
        <is>
          <t>Flocculated suspension in structure vehicle</t>
        </is>
      </c>
      <c r="H221" s="45" t="inlineStr">
        <is>
          <t xml:space="preserve">Deflocculated suspension in structured vehicle | คำตอบ: c) Flocculated suspension in vehicle เมื่อผสมสารละลายทั้งสองจะเกิดตะกอนที่รวมตัวเป็น floc และสูตรไม่มี structured vehicle ข้อที่ไม่ถูก a) ถูกในความหมายกว้าง แต่ไม่เฉพาะเท่าข้อ c) b) Deflocculated suspension มีอนุภาคแยกจากกัน d) สูตรไม่มีสารเพิ่มความหนืดที่สร้าง structured vehicle e) ไม่ใช่ทั้ง deflocculated และ structured vehicle | | :---- | </t>
        </is>
      </c>
      <c r="I221" s="46" t="n">
        <v>1</v>
      </c>
      <c r="J221" s="45" t="inlineStr">
        <is>
          <t>✅ คำตอบที่ถูกต้อง: ข้อ ก. Flocculated suspension
💡 Background:
คำถามข้อสอบจริงใบประกอบวิชาชีพ PLE-CC 1 (Product) ปี 2563 ข้อ 52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1" s="46" t="n"/>
      <c r="L221" s="45" t="inlineStr">
        <is>
          <t>Liquid &amp; Semisolid Dosage Forms</t>
        </is>
      </c>
      <c r="M221" s="46" t="inlineStr">
        <is>
          <t>Product</t>
        </is>
      </c>
      <c r="N221" s="45" t="inlineStr">
        <is>
          <t>ข้อสอบจริง Product ปี 2563 ข้อ 52</t>
        </is>
      </c>
      <c r="O221" s="46" t="inlineStr">
        <is>
          <t>ข้อสอบจริง</t>
        </is>
      </c>
      <c r="P221" s="46" t="inlineStr">
        <is>
          <t>ปี 2563</t>
        </is>
      </c>
    </row>
    <row r="222">
      <c r="A222" s="46" t="n">
        <v>220</v>
      </c>
      <c r="B222" s="45" t="inlineStr">
        <is>
          <t>น้ำที่ใช้ในกระบวนการผลิตยาทาเฉพาะที่แบบเจล คือข้อใด ต้นฉบับ: Day 2 ข้อ 48</t>
        </is>
      </c>
      <c r="C222" s="46" t="n"/>
      <c r="D222" s="45" t="inlineStr">
        <is>
          <t>Potable water</t>
        </is>
      </c>
      <c r="E222" s="45" t="inlineStr">
        <is>
          <t>Purified water</t>
        </is>
      </c>
      <c r="F222" s="45" t="inlineStr">
        <is>
          <t>Sterile purified water</t>
        </is>
      </c>
      <c r="G222" s="45" t="inlineStr">
        <is>
          <t>Sterile water for irrigation</t>
        </is>
      </c>
      <c r="H222" s="45" t="inlineStr">
        <is>
          <t xml:space="preserve">Bacteriostatic water for injection | คำตอบ: b) Purified water เจลทาภายนอกเป็นยาที่ไม่ปราศจากเชื้อ จึงใช้ purified water เป็นส่วนประกอบได้ ข้อที่ไม่ถูก a) Potable water ไม่ควรใช้เป็นส่วนประกอบของผลิตภัณฑ์ยาสำเร็จรูป c) ไม่มีชนิดมาตรฐานชื่อ Sterile purified water d) ใช้สำหรับการชะล้างแผลหรือบริเวณร่างกาย e) เป็นน้ำฉีดที่มีสารกันเสีย ไม่เหมาะกับเจลทาภายนอก | | :---- | </t>
        </is>
      </c>
      <c r="I222" s="46" t="n">
        <v>2</v>
      </c>
      <c r="J222" s="45" t="inlineStr">
        <is>
          <t>✅ คำตอบที่ถูกต้อง: ข้อ ข. Purified water
💡 Background:
คำถามข้อสอบจริงใบประกอบวิชาชีพ PLE-CC 1 (Product) ปี 2563 ข้อ 54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2" s="46" t="n"/>
      <c r="L222" s="45" t="inlineStr">
        <is>
          <t>Liquid &amp; Semisolid Dosage Forms</t>
        </is>
      </c>
      <c r="M222" s="46" t="inlineStr">
        <is>
          <t>Product</t>
        </is>
      </c>
      <c r="N222" s="45" t="inlineStr">
        <is>
          <t>ข้อสอบจริง Product ปี 2563 ข้อ 54</t>
        </is>
      </c>
      <c r="O222" s="46" t="inlineStr">
        <is>
          <t>ข้อสอบจริง</t>
        </is>
      </c>
      <c r="P222" s="46" t="inlineStr">
        <is>
          <t>ปี 2563</t>
        </is>
      </c>
    </row>
    <row r="223">
      <c r="A223" s="46" t="n">
        <v>221</v>
      </c>
      <c r="B223" s="45" t="inlineStr">
        <is>
          <t>จากการควบคุมคุณภาพตำรับยาลดกรดที่มีส่วนผสมของ Al(OH)2 และ Mg(OH)2 ข้อใดถูกต้อง ต้นฉบับ: Day 2 ข้อ 92 | ตำรับ | Sedimentation volume | Degree of flocculation | Rheology | | :---: | :---: | :---: | :---: | | A | 0.51 | 0.74 | Newtonian | | B | 0.98 | 1.43 | Pseudoplastic | | C | 0.47 | 1.06 | Plastic |</t>
        </is>
      </c>
      <c r="C223" s="46" t="n"/>
      <c r="D223" s="45" t="inlineStr">
        <is>
          <t>ตำรับ A มีแนวโน้มคงตัวดีกว่าตำรับ B</t>
        </is>
      </c>
      <c r="E223" s="45" t="inlineStr">
        <is>
          <t>ตำรับ B มีแนวโน้มคงตัวดีกว่าตำรับ C</t>
        </is>
      </c>
      <c r="F223" s="45" t="inlineStr">
        <is>
          <t>เพิ่มความคงตัวของตำรับ C ได้โดยการเพิ่มปริมาณ wetting agent</t>
        </is>
      </c>
      <c r="G223" s="45" t="inlineStr">
        <is>
          <t>เพิ่ม flocculating agent ให้ตำรับ B เพื่อเพิ่มความคงตัว</t>
        </is>
      </c>
      <c r="H223" s="45" t="inlineStr">
        <is>
          <t xml:space="preserve">เมื่อเขย่า ตำรับ A จะมีการกลับมากระจายได้ดีที่สุด | คำตอบ: b) ตำรับ B มีแนวโน้มคงตัวดีกว่าตำรับ C B มี sedimentation volume ใกล้ 1 มากกว่า มี degree of flocculation สูงกว่า และเป็น pseudoplastic ข้อที่ไม่ถูก a) ตำรับ A มี sedimentation volume ต่ำกว่า B c) Wetting agent ช่วยให้ผงเปียก ไม่ได้แก้การตกตะกอนโดยตรง d) ตำรับ B มีการ flocculate อยู่แล้ว e) ตำรับ A เป็น Newtonian และไม่ได้แสดงว่ากระจายกลับดีที่สุด หมายเหตุ: Degree of flocculation ของตำรับ A เท่ากับ 0.74 ดูผิดปกติ เพราะโดยทั่วไปไม่ควรต่ำกว่า 1 | | :---- | </t>
        </is>
      </c>
      <c r="I223" s="46" t="n">
        <v>2</v>
      </c>
      <c r="J223" s="45" t="inlineStr">
        <is>
          <t>✅ คำตอบที่ถูกต้อง: ข้อ ข. ตำรับ B มีแนวโน้มคงตัวดีกว่าตำรับ C
💡 Background:
คำถามข้อสอบจริงใบประกอบวิชาชีพ PLE-CC 1 (Product) ปี 2563 ข้อ 55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3" s="46" t="n"/>
      <c r="L223" s="45" t="inlineStr">
        <is>
          <t>Liquid &amp; Semisolid Dosage Forms</t>
        </is>
      </c>
      <c r="M223" s="46" t="inlineStr">
        <is>
          <t>Product</t>
        </is>
      </c>
      <c r="N223" s="45" t="inlineStr">
        <is>
          <t>ข้อสอบจริง Product ปี 2563 ข้อ 55</t>
        </is>
      </c>
      <c r="O223" s="46" t="inlineStr">
        <is>
          <t>ข้อสอบจริง</t>
        </is>
      </c>
      <c r="P223" s="46" t="inlineStr">
        <is>
          <t>ปี 2563</t>
        </is>
      </c>
    </row>
    <row r="224">
      <c r="A224" s="46" t="n">
        <v>222</v>
      </c>
      <c r="B224" s="45" t="inlineStr">
        <is>
          <t>ตัวยาประกอบด้วย sodium alginate, calcium carbonate,sodium bicarbonate ข้อใดถูกต้อง ต้นฉบับ: Day 2 ข้อ 94</t>
        </is>
      </c>
      <c r="C224" s="46" t="n"/>
      <c r="D224" s="45" t="inlineStr">
        <is>
          <t>ทำให้ตำรับออกฤทธิ์เร็ว</t>
        </is>
      </c>
      <c r="E224" s="45" t="inlineStr">
        <is>
          <t>Sodium alginate จับกับกรดในทางเดินอาหาร แล้วเป็นเจลกันไม่ให้อาหารขึ้นไปยังหลอดอาหาร</t>
        </is>
      </c>
      <c r="F224" s="45" t="inlineStr">
        <is>
          <t>Sodium alginate เพิ่ม pH ในตำรับ</t>
        </is>
      </c>
      <c r="G224" s="45" t="inlineStr">
        <is>
          <t>Sodium bicarbonate ดูดซึมได้ดี</t>
        </is>
      </c>
      <c r="H224" s="45" t="inlineStr">
        <is>
          <t xml:space="preserve">Calcium carbonate เป็น diluent | คำตอบที่ข้อสอบน่าจะต้องการ: b) Sodium alginate ทำปฏิกิริยากับกรด เกิดเจลลอยบนอาหารในกระเพาะและขวางการไหลย้อน ข้อที่ไม่ถูก a) เขียนกว้างและไม่ได้บอกกลไกสำคัญของตำรับ c) Sodium alginate ไม่ใช่สารหลักที่เพิ่ม pH d) Sodium bicarbonate ดูดซึมได้ แต่ไม่ใช่ประเด็นที่อธิบายฤทธิ์ของตำรับ e) Calcium carbonate เป็นตัวยาลดกรด ไม่ใช่ diluent หมายเหตุ: ข้อนี้กำกวม เพราะข้อ a) และ d) อาจถือว่าถูกได้บางส่วน แต่ข้อ b) ชัดที่สุด | | :---- | # IDQ V </t>
        </is>
      </c>
      <c r="I224" s="46" t="n">
        <v>1</v>
      </c>
      <c r="J224" s="45" t="inlineStr">
        <is>
          <t>✅ คำตอบที่ถูกต้อง: ข้อ ก. ทำให้ตำรับออกฤทธิ์เร็ว
💡 Background:
คำถามข้อสอบจริงใบประกอบวิชาชีพ PLE-CC 1 (Product) ปี 2563 ข้อ 57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4" s="46" t="n"/>
      <c r="L224" s="45" t="inlineStr">
        <is>
          <t>Liquid &amp; Semisolid Dosage Forms</t>
        </is>
      </c>
      <c r="M224" s="46" t="inlineStr">
        <is>
          <t>Product</t>
        </is>
      </c>
      <c r="N224" s="45" t="inlineStr">
        <is>
          <t>ข้อสอบจริง Product ปี 2563 ข้อ 57</t>
        </is>
      </c>
      <c r="O224" s="46" t="inlineStr">
        <is>
          <t>ข้อสอบจริง</t>
        </is>
      </c>
      <c r="P224" s="46" t="inlineStr">
        <is>
          <t>ปี 2563</t>
        </is>
      </c>
    </row>
    <row r="225">
      <c r="A225" s="46" t="n">
        <v>223</v>
      </c>
      <c r="B225" s="45" t="inlineStr">
        <is>
          <t>เป็นตัวกลางพาตัวยา — ทำหน้าที่เป็น vehicle ที่ตัวยาละลายหรือแขวนลอยอยู่   แรงดันที่คงที่นี้เองที่ทำให้ pMDI ให้ขนาดยาสม่ำเสมอทุกครั้งที่กด (metered dose) จนกว่ายาจะใกล้หมด   ปัจจุบันใช้ HFA (hydrofluoroalkane เช่น HFA-134a, HFA-227) แทน CFC ที่ถูกยกเลิกตามพิธีสารมอนทรีออลเพราะทำลายชั้นโอโซน | | :---- | ข้อ 68. Ventolin evohaler เป็นยารูปแบบใด</t>
        </is>
      </c>
      <c r="C225" s="46" t="n"/>
      <c r="D225" s="45" t="inlineStr">
        <is>
          <t>Citric acid, sodium bicarbonate</t>
        </is>
      </c>
      <c r="E225" s="45" t="inlineStr">
        <is>
          <t>Citric acid, sodium benzoate</t>
        </is>
      </c>
      <c r="F225" s="45" t="inlineStr">
        <is>
          <t>Tartaric acid, PVP K30</t>
        </is>
      </c>
      <c r="G225" s="45" t="inlineStr">
        <is>
          <t>Tartaric acid, sodium saccharin</t>
        </is>
      </c>
      <c r="H225" s="45" t="inlineStr">
        <is>
          <t>Sodium saccharin, PVP K30 | คำอธิบาย Effervescent base คือคู่ของสารที่ทำปฏิกิริยากันเมื่อสัมผัสน้ำแล้วให้แก๊ส CO₂ ต้องประกอบด้วย 2 องค์ประกอบเสมอ</t>
        </is>
      </c>
      <c r="I225" s="46" t="n">
        <v>1</v>
      </c>
      <c r="J225" s="45" t="inlineStr">
        <is>
          <t>✅ คำตอบที่ถูกต้อง: ข้อ ก. Citric acid, sodium bicarbonate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5" s="46" t="n"/>
      <c r="L225" s="45" t="inlineStr">
        <is>
          <t>Liquid &amp; Semisolid Dosage Forms</t>
        </is>
      </c>
      <c r="M225" s="46" t="inlineStr">
        <is>
          <t>Product</t>
        </is>
      </c>
      <c r="N225" s="45" t="inlineStr">
        <is>
          <t>ข้อสอบจริง Product ปี 2562 ข้อ 3</t>
        </is>
      </c>
      <c r="O225" s="46" t="inlineStr">
        <is>
          <t>ข้อสอบจริง</t>
        </is>
      </c>
      <c r="P225" s="46" t="inlineStr">
        <is>
          <t>ปี 2562</t>
        </is>
      </c>
    </row>
    <row r="226">
      <c r="A226" s="46" t="n">
        <v>224</v>
      </c>
      <c r="B226" s="45" t="inlineStr">
        <is>
          <t>ราคาถูก หาง่าย เข้ากันได้กับตัวยาส่วนใหญ่   ข้อควรระวังของ lactose: ไม่ควรใช้กับตัวยาที่มีหมู่ primary amine เพราะเกิด Maillard reaction ทำให้เม็ดยาเปลี่ยนเป็นสีน้ำตาล และไม่เหมาะกับผู้ป่วยที่แพ้แลคโตส | | :---- | ข้อ 108. สารตัวใดทำให้เป็นยากระจายตัวได้เร็ว</t>
        </is>
      </c>
      <c r="C226" s="46" t="n"/>
      <c r="D226" s="45" t="inlineStr">
        <is>
          <t>Lactose</t>
        </is>
      </c>
      <c r="E226" s="45" t="inlineStr">
        <is>
          <t>PEG 8000</t>
        </is>
      </c>
      <c r="F226" s="45" t="inlineStr">
        <is>
          <t>PVP K30</t>
        </is>
      </c>
      <c r="G226" s="45" t="inlineStr">
        <is>
          <t>Colloidal silica dioxide</t>
        </is>
      </c>
      <c r="H226" s="45" t="inlineStr">
        <is>
          <t>Croscarmellose sodium | คำอธิบาย Croscarmellose sodium เป็น superdisintegrant ที่ทำให้เม็ดยาแตกตัวและกระจายตัวได้อย่างรวดเร็ว ซึ่งเป็นคุณสมบัติหัวใจของ orodispersible tablet (ODT)   โครงสร้าง: เป็น cross-linked sodium carboxymethylcellulose คือ SCMC ที่ถูกเชื่อมขวางระหว่างสาย ทำให้ไม่ละลายน้ำ แต่ยังพองตัวได้มาก   กลไก 2 ทางที่ทำงานพร้อมกัน:</t>
        </is>
      </c>
      <c r="I226" s="46" t="n">
        <v>1</v>
      </c>
      <c r="J226" s="45" t="inlineStr">
        <is>
          <t>✅ คำตอบที่ถูกต้อง: ข้อ ก. Lactose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6" s="46" t="n"/>
      <c r="L226" s="45" t="inlineStr">
        <is>
          <t>Liquid &amp; Semisolid Dosage Forms</t>
        </is>
      </c>
      <c r="M226" s="46" t="inlineStr">
        <is>
          <t>Product</t>
        </is>
      </c>
      <c r="N226" s="45" t="inlineStr">
        <is>
          <t>ข้อสอบจริง Product ปี 2562 ข้อ 4</t>
        </is>
      </c>
      <c r="O226" s="46" t="inlineStr">
        <is>
          <t>ข้อสอบจริง</t>
        </is>
      </c>
      <c r="P226" s="46" t="inlineStr">
        <is>
          <t>ปี 2562</t>
        </is>
      </c>
    </row>
    <row r="227">
      <c r="A227" s="46" t="n">
        <v>225</v>
      </c>
      <c r="B227" s="45" t="inlineStr">
        <is>
          <t>สารใดไม่ใช้เป็น stiffening agent ของสูตรตำรับยาครีม</t>
        </is>
      </c>
      <c r="C227" s="46" t="n"/>
      <c r="D227" s="45" t="inlineStr">
        <is>
          <t>Beeswax</t>
        </is>
      </c>
      <c r="E227" s="45" t="inlineStr">
        <is>
          <t>PEG-4000</t>
        </is>
      </c>
      <c r="F227" s="45" t="inlineStr">
        <is>
          <t>Paraffin wax</t>
        </is>
      </c>
      <c r="G227" s="45" t="inlineStr">
        <is>
          <t>Isopropyl myristate</t>
        </is>
      </c>
      <c r="H227" s="45" t="inlineStr">
        <is>
          <t>Cytostearyl alcohol</t>
        </is>
      </c>
      <c r="I227" s="46" t="n">
        <v>1</v>
      </c>
      <c r="J227" s="45" t="inlineStr">
        <is>
          <t>✅ คำตอบที่ถูกต้อง: ข้อ ก. Beeswax
💡 Background:
คำถามข้อสอบจริงใบประกอบวิชาชีพ PLE-CC 1 (Product) ปี 2561 ข้อ 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7" s="46" t="n"/>
      <c r="L227" s="45" t="inlineStr">
        <is>
          <t>Liquid &amp; Semisolid Dosage Forms</t>
        </is>
      </c>
      <c r="M227" s="46" t="inlineStr">
        <is>
          <t>Product</t>
        </is>
      </c>
      <c r="N227" s="45" t="inlineStr">
        <is>
          <t>ข้อสอบจริง Product ปี 2561 ข้อ 8</t>
        </is>
      </c>
      <c r="O227" s="46" t="inlineStr">
        <is>
          <t>ข้อสอบจริง</t>
        </is>
      </c>
      <c r="P227" s="46" t="inlineStr">
        <is>
          <t>ปี 2561</t>
        </is>
      </c>
    </row>
    <row r="228">
      <c r="A228" s="46" t="n">
        <v>226</v>
      </c>
      <c r="B228" s="45" t="inlineStr">
        <is>
          <t>เมื่อทดสอบยาครีมแบบ freeze thaw cycle พบว่าตำรับเปลี่ยนแปลงไปดังภาพ จากปัญหาดังกล่าวท่านมีวิธีการแก้ไขปัญหาความไม่คงตัวดังกล่าวอย่างไร [แนบรูป: ข้อสอบ Product ปี 2561 รหัสรูปภาพ image103]</t>
        </is>
      </c>
      <c r="C228" s="46" t="inlineStr">
        <is>
          <t>[แนบรูป: ข้อสอบ Product ปี 2561 รหัสรูปภาพ image103]</t>
        </is>
      </c>
      <c r="D228" s="45" t="inlineStr">
        <is>
          <t>เติม tragacanth ในตำรับ O/W</t>
        </is>
      </c>
      <c r="E228" s="45" t="inlineStr">
        <is>
          <t>เติม sodium chloride ในตำรับ O/W</t>
        </is>
      </c>
      <c r="F228" s="45" t="inlineStr">
        <is>
          <t>เติม sodium benzoate ในตำรับ O/W</t>
        </is>
      </c>
      <c r="G228" s="45" t="inlineStr">
        <is>
          <t>ใช้เครื่อง ball mill ในการเตรียมตำรับ O/W</t>
        </is>
      </c>
      <c r="H228" s="45" t="inlineStr">
        <is>
          <t>เติม hydroxyethyl cellulose ในตำรับ O/W</t>
        </is>
      </c>
      <c r="I228" s="46" t="n">
        <v>1</v>
      </c>
      <c r="J228" s="45" t="inlineStr">
        <is>
          <t>✅ คำตอบที่ถูกต้อง: ข้อ ก. เติม tragacanth ในตำรับ O/W
💡 Background:
คำถามข้อสอบจริงใบประกอบวิชาชีพ PLE-CC 1 (Product) ปี 2561 ข้อ 10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8" s="46" t="n"/>
      <c r="L228" s="45" t="inlineStr">
        <is>
          <t>Liquid &amp; Semisolid Dosage Forms</t>
        </is>
      </c>
      <c r="M228" s="46" t="inlineStr">
        <is>
          <t>Product</t>
        </is>
      </c>
      <c r="N228" s="45" t="inlineStr">
        <is>
          <t>ข้อสอบจริง Product ปี 2561 ข้อ 10</t>
        </is>
      </c>
      <c r="O228" s="46" t="inlineStr">
        <is>
          <t>ข้อสอบจริง</t>
        </is>
      </c>
      <c r="P228" s="46" t="inlineStr">
        <is>
          <t>ปี 2561</t>
        </is>
      </c>
    </row>
    <row r="229">
      <c r="A229" s="46" t="n">
        <v>227</v>
      </c>
      <c r="B229" s="45" t="inlineStr">
        <is>
          <t>ส่วนประกอบของ isotretinoinจากตำรับเป็นยาในรูปแบบใด [แนบรูป: ข้อสอบ Product ปี 2561 รหัสรูปภาพ image105]</t>
        </is>
      </c>
      <c r="C229" s="46" t="inlineStr">
        <is>
          <t>[แนบรูป: ข้อสอบ Product ปี 2561 รหัสรูปภาพ image105]</t>
        </is>
      </c>
      <c r="D229" s="45" t="inlineStr">
        <is>
          <t>Cream</t>
        </is>
      </c>
      <c r="E229" s="45" t="inlineStr">
        <is>
          <t>Ointment</t>
        </is>
      </c>
      <c r="F229" s="45" t="inlineStr">
        <is>
          <t>Enteric capsule</t>
        </is>
      </c>
      <c r="G229" s="45" t="inlineStr">
        <is>
          <t>Hard gelatin capsule</t>
        </is>
      </c>
      <c r="H229" s="45" t="inlineStr">
        <is>
          <t>Soft gelatin capsule</t>
        </is>
      </c>
      <c r="I229" s="46" t="n">
        <v>1</v>
      </c>
      <c r="J229" s="45" t="inlineStr">
        <is>
          <t>✅ คำตอบที่ถูกต้อง: ข้อ ก. Cream
💡 Background:
คำถามข้อสอบจริงใบประกอบวิชาชีพ PLE-CC 1 (Product) ปี 2561 ข้อ 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9" s="46" t="n"/>
      <c r="L229" s="45" t="inlineStr">
        <is>
          <t>Liquid &amp; Semisolid Dosage Forms</t>
        </is>
      </c>
      <c r="M229" s="46" t="inlineStr">
        <is>
          <t>Product</t>
        </is>
      </c>
      <c r="N229" s="45" t="inlineStr">
        <is>
          <t>ข้อสอบจริง Product ปี 2561 ข้อ 16</t>
        </is>
      </c>
      <c r="O229" s="46" t="inlineStr">
        <is>
          <t>ข้อสอบจริง</t>
        </is>
      </c>
      <c r="P229" s="46" t="inlineStr">
        <is>
          <t>ปี 2561</t>
        </is>
      </c>
    </row>
    <row r="230">
      <c r="A230" s="46" t="n">
        <v>228</v>
      </c>
      <c r="B230" s="45" t="inlineStr">
        <is>
          <t>HCTZ suspension 50 ml ตั้งทิ้งไว้ 4 สัปดาห์ได้ F \= 0.5 และ β=1 ต้องแก้ไขตำรับอย่างไร</t>
        </is>
      </c>
      <c r="C230" s="46" t="n"/>
      <c r="D230" s="45" t="inlineStr">
        <is>
          <t>เพิ่ม sodium metabisulfite</t>
        </is>
      </c>
      <c r="E230" s="45" t="inlineStr">
        <is>
          <t>เพิ่ม paraben concentration</t>
        </is>
      </c>
      <c r="F230" s="45" t="inlineStr">
        <is>
          <t>เปลี่ยน saccharin sodium เป็น syrup</t>
        </is>
      </c>
      <c r="G230" s="45" t="inlineStr">
        <is>
          <t>เพิ่ม sodium carboxyl methyl cellulose</t>
        </is>
      </c>
      <c r="H230" s="45" t="inlineStr">
        <is>
          <t>เป็นตำรับที่มีความคงตัวอยู่แล้ว ไม่ต้องแก้ไขสูตรตำรับแต่อย่างใด</t>
        </is>
      </c>
      <c r="I230" s="46" t="n">
        <v>1</v>
      </c>
      <c r="J230" s="45" t="inlineStr">
        <is>
          <t>✅ คำตอบที่ถูกต้อง: ข้อ ก. เพิ่ม sodium metabisulfite
💡 Background:
คำถามข้อสอบจริงใบประกอบวิชาชีพ PLE-CC 1 (Product) ปี 2561 ข้อ 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0" s="46" t="n"/>
      <c r="L230" s="45" t="inlineStr">
        <is>
          <t>Liquid &amp; Semisolid Dosage Forms</t>
        </is>
      </c>
      <c r="M230" s="46" t="inlineStr">
        <is>
          <t>Product</t>
        </is>
      </c>
      <c r="N230" s="45" t="inlineStr">
        <is>
          <t>ข้อสอบจริง Product ปี 2561 ข้อ 45</t>
        </is>
      </c>
      <c r="O230" s="46" t="inlineStr">
        <is>
          <t>ข้อสอบจริง</t>
        </is>
      </c>
      <c r="P230" s="46" t="inlineStr">
        <is>
          <t>ปี 2561</t>
        </is>
      </c>
    </row>
    <row r="231">
      <c r="A231" s="46" t="n">
        <v>229</v>
      </c>
      <c r="B231" s="45" t="inlineStr">
        <is>
          <t>จากสูตรตำรับข้อใดถูกต้อง (สูตรตำรับยา A ประกอบไปด้วย Glycerin, Lanolin, White wax, Stearic acid, Purified water, Triethanolamine, Isopropyl myristate, Cetostearyl alcohol)</t>
        </is>
      </c>
      <c r="C231" s="46" t="n"/>
      <c r="D231" s="45" t="inlineStr">
        <is>
          <t>Glycerin ทำหน้าที่เป็น humectant</t>
        </is>
      </c>
      <c r="E231" s="45" t="inlineStr">
        <is>
          <t>Lanolin ทำหน้าที่เป็น stiffening agent</t>
        </is>
      </c>
      <c r="F231" s="45" t="inlineStr">
        <is>
          <t>Isopropyl myristate ทำหน้าที่เป็น humectant</t>
        </is>
      </c>
      <c r="G231" s="45" t="inlineStr">
        <is>
          <t>Triethanolamine ทำหน้าที่เป็น emulsifying agent</t>
        </is>
      </c>
      <c r="H231" s="45" t="inlineStr">
        <is>
          <t>Cetosteryl alcohol ทำหน้าที่เป็น suspending agent</t>
        </is>
      </c>
      <c r="I231" s="46" t="n">
        <v>1</v>
      </c>
      <c r="J231" s="45" t="inlineStr">
        <is>
          <t>✅ คำตอบที่ถูกต้อง: ข้อ ก. Glycerin ทำหน้าที่เป็น humectant
💡 Background:
คำถามข้อสอบจริงใบประกอบวิชาชีพ PLE-CC 1 (Product) ปี 2561 ข้อ 48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1" s="46" t="n"/>
      <c r="L231" s="45" t="inlineStr">
        <is>
          <t>Liquid &amp; Semisolid Dosage Forms</t>
        </is>
      </c>
      <c r="M231" s="46" t="inlineStr">
        <is>
          <t>Product</t>
        </is>
      </c>
      <c r="N231" s="45" t="inlineStr">
        <is>
          <t>ข้อสอบจริง Product ปี 2561 ข้อ 48</t>
        </is>
      </c>
      <c r="O231" s="46" t="inlineStr">
        <is>
          <t>ข้อสอบจริง</t>
        </is>
      </c>
      <c r="P231" s="46" t="inlineStr">
        <is>
          <t>ปี 2561</t>
        </is>
      </c>
    </row>
    <row r="232">
      <c r="A232" s="46" t="n">
        <v>230</v>
      </c>
      <c r="B232" s="45" t="inlineStr">
        <is>
          <t>หากต้องการเตรียมยา suspension โดยที่ผงยามีประจุ \+ flocculation agent และ suspending agent ควรจะมีประจุอะไร</t>
        </is>
      </c>
      <c r="C232" s="46" t="n"/>
      <c r="D232" s="45" t="inlineStr">
        <is>
          <t>\+,+</t>
        </is>
      </c>
      <c r="E232" s="45" t="inlineStr">
        <is>
          <t>\+,-</t>
        </is>
      </c>
      <c r="F232" s="45" t="inlineStr">
        <is>
          <t>-,+</t>
        </is>
      </c>
      <c r="G232" s="45" t="inlineStr">
        <is>
          <t>-,-</t>
        </is>
      </c>
      <c r="H232" s="45" t="inlineStr">
        <is>
          <t>\+, ไม่มีประจุ</t>
        </is>
      </c>
      <c r="I232" s="46" t="n">
        <v>1</v>
      </c>
      <c r="J232" s="45" t="inlineStr">
        <is>
          <t>✅ คำตอบที่ถูกต้อง: ข้อ ก. \+,+
💡 Background:
คำถามข้อสอบจริงใบประกอบวิชาชีพ PLE-CC 1 (Product) ปี 2561 ข้อ 56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2" s="46" t="n"/>
      <c r="L232" s="45" t="inlineStr">
        <is>
          <t>Liquid &amp; Semisolid Dosage Forms</t>
        </is>
      </c>
      <c r="M232" s="46" t="inlineStr">
        <is>
          <t>Product</t>
        </is>
      </c>
      <c r="N232" s="45" t="inlineStr">
        <is>
          <t>ข้อสอบจริง Product ปี 2561 ข้อ 56</t>
        </is>
      </c>
      <c r="O232" s="46" t="inlineStr">
        <is>
          <t>ข้อสอบจริง</t>
        </is>
      </c>
      <c r="P232" s="46" t="inlineStr">
        <is>
          <t>ปี 2561</t>
        </is>
      </c>
    </row>
    <row r="233">
      <c r="A233" s="46" t="n">
        <v>231</v>
      </c>
      <c r="B233" s="45" t="inlineStr">
        <is>
          <t>จากสูตรตำรับข้างต้นใช้วิธีการเตรียมแบบใด (สูตรตำรับ: Isopropyl myristate, Cetostearyl alcohol, Lanolin, Stearic acid, White wax, NaOH, Glycerin, Purified water qs to 100 ml)</t>
        </is>
      </c>
      <c r="C233" s="46" t="n"/>
      <c r="D233" s="45" t="inlineStr">
        <is>
          <t>In situ</t>
        </is>
      </c>
      <c r="E233" s="45" t="inlineStr">
        <is>
          <t>Bottle method</t>
        </is>
      </c>
      <c r="F233" s="45" t="inlineStr">
        <is>
          <t>Beaker method</t>
        </is>
      </c>
      <c r="G233" s="45" t="inlineStr">
        <is>
          <t>Dry gum method</t>
        </is>
      </c>
      <c r="H233" s="45" t="inlineStr">
        <is>
          <t>Wet gum method</t>
        </is>
      </c>
      <c r="I233" s="46" t="n">
        <v>1</v>
      </c>
      <c r="J233" s="45" t="inlineStr">
        <is>
          <t>✅ คำตอบที่ถูกต้อง: ข้อ ก. In situ
💡 Background:
คำถามข้อสอบจริงใบประกอบวิชาชีพ PLE-CC 1 (Product) ปี 2561 ข้อ 59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3" s="46" t="n"/>
      <c r="L233" s="45" t="inlineStr">
        <is>
          <t>Liquid &amp; Semisolid Dosage Forms</t>
        </is>
      </c>
      <c r="M233" s="46" t="inlineStr">
        <is>
          <t>Product</t>
        </is>
      </c>
      <c r="N233" s="45" t="inlineStr">
        <is>
          <t>ข้อสอบจริง Product ปี 2561 ข้อ 59</t>
        </is>
      </c>
      <c r="O233" s="46" t="inlineStr">
        <is>
          <t>ข้อสอบจริง</t>
        </is>
      </c>
      <c r="P233" s="46" t="inlineStr">
        <is>
          <t>ปี 2561</t>
        </is>
      </c>
    </row>
    <row r="234">
      <c r="A234" s="46" t="n">
        <v>232</v>
      </c>
      <c r="B234" s="45" t="inlineStr">
        <is>
          <t>กรณีถ้าส่องด้วยกล้องจุลทรรศน์ (optical microscope) จะเห็นลักษณะของอนุภาคอย่างไร</t>
        </is>
      </c>
      <c r="C234" s="46" t="n"/>
      <c r="D234" s="45" t="inlineStr">
        <is>
          <t>อนุภาค colloidal</t>
        </is>
      </c>
      <c r="E234" s="45" t="inlineStr">
        <is>
          <t>อนุภาค oil phase</t>
        </is>
      </c>
      <c r="F234" s="45" t="inlineStr">
        <is>
          <t>อนุภาค suspension</t>
        </is>
      </c>
      <c r="G234" s="45" t="inlineStr">
        <is>
          <t>อนุภาค water phase</t>
        </is>
      </c>
      <c r="H234" s="45" t="inlineStr">
        <is>
          <t>ไม่เห็นอนุภาคเพราะเป็น molecular dispersion</t>
        </is>
      </c>
      <c r="I234" s="46" t="n">
        <v>1</v>
      </c>
      <c r="J234" s="45" t="inlineStr">
        <is>
          <t>✅ คำตอบที่ถูกต้อง: ข้อ ก. อนุภาค colloidal
💡 Background:
คำถามข้อสอบจริงใบประกอบวิชาชีพ PLE-CC 1 (Product) ปี 2561 ข้อ 60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4" s="46" t="n"/>
      <c r="L234" s="45" t="inlineStr">
        <is>
          <t>Liquid &amp; Semisolid Dosage Forms</t>
        </is>
      </c>
      <c r="M234" s="46" t="inlineStr">
        <is>
          <t>Product</t>
        </is>
      </c>
      <c r="N234" s="45" t="inlineStr">
        <is>
          <t>ข้อสอบจริง Product ปี 2561 ข้อ 60</t>
        </is>
      </c>
      <c r="O234" s="46" t="inlineStr">
        <is>
          <t>ข้อสอบจริง</t>
        </is>
      </c>
      <c r="P234" s="46" t="inlineStr">
        <is>
          <t>ปี 2561</t>
        </is>
      </c>
    </row>
    <row r="235">
      <c r="A235" s="46" t="n">
        <v>233</v>
      </c>
      <c r="B235" s="45" t="inlineStr">
        <is>
          <t>ข้อใดผิดเกี่ยวกับ aerosol</t>
        </is>
      </c>
      <c r="C235" s="46" t="n"/>
      <c r="D235" s="45" t="inlineStr">
        <is>
          <t>สารขับดันมีผลต่อลักษณะของขนาดอนุภาค</t>
        </is>
      </c>
      <c r="E235" s="45" t="inlineStr">
        <is>
          <t>ผลิตภัณฑ์มีในลักษณะปิดสนิท สามารถเก็บที่ใดก็ได้</t>
        </is>
      </c>
      <c r="F235" s="45" t="inlineStr">
        <is>
          <t>เลือก valve ให้เหมาะสมเพื่อกำหนดลักษณะของผงยา</t>
        </is>
      </c>
      <c r="G235" s="45" t="inlineStr">
        <is>
          <t>ขนาดอนุภาคมีผลต่อตำแหน่งเป้าหมายในการออกฤทธิ์</t>
        </is>
      </c>
      <c r="H235" s="45" t="inlineStr">
        <is>
          <t>เตรียมอยู่ในรูป solution หรือ suspension หรือ emulsion</t>
        </is>
      </c>
      <c r="I235" s="46" t="n">
        <v>1</v>
      </c>
      <c r="J235" s="45" t="inlineStr">
        <is>
          <t>✅ คำตอบที่ถูกต้อง: ข้อ ก. สารขับดันมีผลต่อลักษณะของขนาดอนุภาค
💡 Background:
คำถามข้อสอบจริงใบประกอบวิชาชีพ PLE-CC 1 (Product) ปี 2561 ข้อ 75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5" s="46" t="n"/>
      <c r="L235" s="45" t="inlineStr">
        <is>
          <t>Liquid &amp; Semisolid Dosage Forms</t>
        </is>
      </c>
      <c r="M235" s="46" t="inlineStr">
        <is>
          <t>Product</t>
        </is>
      </c>
      <c r="N235" s="45" t="inlineStr">
        <is>
          <t>ข้อสอบจริง Product ปี 2561 ข้อ 75</t>
        </is>
      </c>
      <c r="O235" s="46" t="inlineStr">
        <is>
          <t>ข้อสอบจริง</t>
        </is>
      </c>
      <c r="P235" s="46" t="inlineStr">
        <is>
          <t>ปี 2561</t>
        </is>
      </c>
    </row>
    <row r="236">
      <c r="A236" s="46" t="n">
        <v>234</v>
      </c>
      <c r="B236" s="45" t="inlineStr">
        <is>
          <t>ตำรับเกิด creaming rate เร็ว เกิดจากอะไร เมื่อพิจารณาจาก Stroke's law</t>
        </is>
      </c>
      <c r="C236" s="46" t="n"/>
      <c r="D236" s="45" t="inlineStr">
        <is>
          <t>นำตำรับไปไว้ที่อุณหภูมิสูง</t>
        </is>
      </c>
      <c r="E236" s="45" t="inlineStr">
        <is>
          <t>เพิ่มความหนืดของอนุภาคภายใน</t>
        </is>
      </c>
      <c r="F236" s="45" t="inlineStr">
        <is>
          <t>ลดความแตกต่างระหว่างอนุภาค</t>
        </is>
      </c>
      <c r="G236" s="45" t="inlineStr">
        <is>
          <t>ใช้ emulsifier ที่มีคุณสมบัติช่วยลดขนาดอนุภาคอิมัลชันได้</t>
        </is>
      </c>
      <c r="H236" s="45" t="inlineStr">
        <is>
          <t>นำตำรับไปลดขนาดอนุภาคด้วย High pressure homogenizer</t>
        </is>
      </c>
      <c r="I236" s="46" t="n">
        <v>1</v>
      </c>
      <c r="J236" s="45" t="inlineStr">
        <is>
          <t>✅ คำตอบที่ถูกต้อง: ข้อ ก. นำตำรับไปไว้ที่อุณหภูมิสูง
💡 Background:
คำถามข้อสอบจริงใบประกอบวิชาชีพ PLE-CC 1 (Product) ปี 2561 ข้อ 89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6" s="46" t="n"/>
      <c r="L236" s="45" t="inlineStr">
        <is>
          <t>Liquid &amp; Semisolid Dosage Forms</t>
        </is>
      </c>
      <c r="M236" s="46" t="inlineStr">
        <is>
          <t>Product</t>
        </is>
      </c>
      <c r="N236" s="45" t="inlineStr">
        <is>
          <t>ข้อสอบจริง Product ปี 2561 ข้อ 89</t>
        </is>
      </c>
      <c r="O236" s="46" t="inlineStr">
        <is>
          <t>ข้อสอบจริง</t>
        </is>
      </c>
      <c r="P236" s="46" t="inlineStr">
        <is>
          <t>ปี 2561</t>
        </is>
      </c>
    </row>
    <row r="237">
      <c r="A237" s="46" t="n">
        <v>235</v>
      </c>
      <c r="B237" s="45" t="inlineStr">
        <is>
          <t>ถ้าเตรียมตำรับ piroxicam gel ควรใช้ gelling agent ตัวใดที่เมื่อใช้ด่างแล้วจะทำให้เจลที่ได้มีลักษณะใส</t>
        </is>
      </c>
      <c r="C237" s="46" t="n"/>
      <c r="D237" s="45" t="inlineStr">
        <is>
          <t>Carbomer</t>
        </is>
      </c>
      <c r="E237" s="45" t="inlineStr">
        <is>
          <t>Sodium alginate</t>
        </is>
      </c>
      <c r="F237" s="45" t="inlineStr">
        <is>
          <t>Methylcellulose</t>
        </is>
      </c>
      <c r="G237" s="45" t="inlineStr">
        <is>
          <t>Hydroxypropyl methylcellulose</t>
        </is>
      </c>
      <c r="H237" s="45" t="inlineStr">
        <is>
          <t>Sodium carboxyl methylcellulose</t>
        </is>
      </c>
      <c r="I237" s="46" t="n">
        <v>1</v>
      </c>
      <c r="J237" s="45" t="inlineStr">
        <is>
          <t>✅ คำตอบที่ถูกต้อง: ข้อ ก. Carbomer
💡 Background:
คำถามข้อสอบจริงใบประกอบวิชาชีพ PLE-CC 1 (Product) ปี 2561 ข้อ 95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7" s="46" t="n"/>
      <c r="L237" s="45" t="inlineStr">
        <is>
          <t>Liquid &amp; Semisolid Dosage Forms</t>
        </is>
      </c>
      <c r="M237" s="46" t="inlineStr">
        <is>
          <t>Product</t>
        </is>
      </c>
      <c r="N237" s="45" t="inlineStr">
        <is>
          <t>ข้อสอบจริง Product ปี 2561 ข้อ 95</t>
        </is>
      </c>
      <c r="O237" s="46" t="inlineStr">
        <is>
          <t>ข้อสอบจริง</t>
        </is>
      </c>
      <c r="P237" s="46" t="inlineStr">
        <is>
          <t>ปี 2561</t>
        </is>
      </c>
    </row>
    <row r="238">
      <c r="A238" s="46" t="n">
        <v>236</v>
      </c>
      <c r="B238" s="45" t="inlineStr">
        <is>
          <t>ตำรับ budesonide nasal spray รูปแบบ suspension ประกอบด้วย Microcrystalline cellulose, Carboxymethyl cellulose sodium, Dextrose anhydrous, Polysorbate 80, Disodium edetate, Purified water, HCl สารใดทำหน้าที่เป็น wetting agent</t>
        </is>
      </c>
      <c r="C238" s="46" t="n"/>
      <c r="D238" s="45" t="inlineStr">
        <is>
          <t>Polysorbate 80</t>
        </is>
      </c>
      <c r="E238" s="45" t="inlineStr">
        <is>
          <t>Disodium edetate</t>
        </is>
      </c>
      <c r="F238" s="45" t="inlineStr">
        <is>
          <t>Dextrose anhydrous</t>
        </is>
      </c>
      <c r="G238" s="45" t="inlineStr">
        <is>
          <t>Microcrystalline cellulose</t>
        </is>
      </c>
      <c r="H238" s="45" t="inlineStr">
        <is>
          <t>Carboxymethyl cellulose sodium</t>
        </is>
      </c>
      <c r="I238" s="46" t="n">
        <v>1</v>
      </c>
      <c r="J238" s="45" t="inlineStr">
        <is>
          <t>✅ คำตอบที่ถูกต้อง: ข้อ ก. Polysorbate 80
💡 Background:
คำถามข้อสอบจริงใบประกอบวิชาชีพ PLE-CC 1 (Product) ปี 2561 ข้อ 112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8" s="46" t="n"/>
      <c r="L238" s="45" t="inlineStr">
        <is>
          <t>Liquid &amp; Semisolid Dosage Forms</t>
        </is>
      </c>
      <c r="M238" s="46" t="inlineStr">
        <is>
          <t>Product</t>
        </is>
      </c>
      <c r="N238" s="45" t="inlineStr">
        <is>
          <t>ข้อสอบจริง Product ปี 2561 ข้อ 112</t>
        </is>
      </c>
      <c r="O238" s="46" t="inlineStr">
        <is>
          <t>ข้อสอบจริง</t>
        </is>
      </c>
      <c r="P238" s="46" t="inlineStr">
        <is>
          <t>ปี 2561</t>
        </is>
      </c>
    </row>
    <row r="239">
      <c r="A239" s="46" t="n">
        <v>237</v>
      </c>
      <c r="B239" s="45" t="inlineStr">
        <is>
          <t>Phynetoin SR มีส่วนผสมคือ phenytoin, lactose, magnesium, sugar แต่การทดสอบพบว่ามีปริมาณตัวยาในแต่ละเม็ดไม่สม่ำเสมอควรเติมสารช่วยอะไร</t>
        </is>
      </c>
      <c r="C239" s="46" t="n"/>
      <c r="D239" s="45" t="inlineStr">
        <is>
          <t>Silicon dioxide</t>
        </is>
      </c>
      <c r="E239" s="45" t="inlineStr">
        <is>
          <t>Microcrystalline cellulose</t>
        </is>
      </c>
      <c r="F239" s="45" t="inlineStr">
        <is>
          <t>Starch</t>
        </is>
      </c>
      <c r="G239" s="45" t="inlineStr">
        <is>
          <t>Gelatin</t>
        </is>
      </c>
      <c r="H239" s="45" t="inlineStr">
        <is>
          <t>Polyvinyl pyrrolidone</t>
        </is>
      </c>
      <c r="I239" s="46" t="n">
        <v>1</v>
      </c>
      <c r="J239" s="45" t="inlineStr">
        <is>
          <t>✅ คำตอบที่ถูกต้อง: ข้อ ก. Silicon dioxide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9" s="46" t="n"/>
      <c r="L239" s="45" t="inlineStr">
        <is>
          <t>Liquid &amp; Semisolid Dosage Forms</t>
        </is>
      </c>
      <c r="M239" s="46" t="inlineStr">
        <is>
          <t>Product</t>
        </is>
      </c>
      <c r="N239" s="45" t="inlineStr">
        <is>
          <t>ข้อสอบจริง Product ปี 2559 ข้อ 7</t>
        </is>
      </c>
      <c r="O239" s="46" t="inlineStr">
        <is>
          <t>ข้อสอบจริง</t>
        </is>
      </c>
      <c r="P239" s="46" t="inlineStr">
        <is>
          <t>ปี 2559</t>
        </is>
      </c>
    </row>
    <row r="240">
      <c r="A240" s="46" t="n">
        <v>238</v>
      </c>
      <c r="B240" s="45" t="inlineStr">
        <is>
          <t>สารเพิ่มความยืดหยุ่น (plasticizer) ใน soft gelatin capsule คือสารใด</t>
        </is>
      </c>
      <c r="C240" s="46" t="n"/>
      <c r="D240" s="45" t="inlineStr">
        <is>
          <t>HPMC</t>
        </is>
      </c>
      <c r="E240" s="45" t="inlineStr">
        <is>
          <t>Shellac</t>
        </is>
      </c>
      <c r="F240" s="45" t="inlineStr">
        <is>
          <t>Eudragit L</t>
        </is>
      </c>
      <c r="G240" s="45" t="inlineStr">
        <is>
          <t>Cellulose acetate phthalate</t>
        </is>
      </c>
      <c r="H240" s="45" t="inlineStr">
        <is>
          <t>PEG</t>
        </is>
      </c>
      <c r="I240" s="46" t="n">
        <v>1</v>
      </c>
      <c r="J240" s="45" t="inlineStr">
        <is>
          <t>✅ คำตอบที่ถูกต้อง: ข้อ ก. HPMC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0" s="46" t="n"/>
      <c r="L240" s="45" t="inlineStr">
        <is>
          <t>Liquid &amp; Semisolid Dosage Forms</t>
        </is>
      </c>
      <c r="M240" s="46" t="inlineStr">
        <is>
          <t>Product</t>
        </is>
      </c>
      <c r="N240" s="45" t="inlineStr">
        <is>
          <t>ข้อสอบจริง Product ปี 2559 ข้อ 5</t>
        </is>
      </c>
      <c r="O240" s="46" t="inlineStr">
        <is>
          <t>ข้อสอบจริง</t>
        </is>
      </c>
      <c r="P240" s="46" t="inlineStr">
        <is>
          <t>ปี 2559</t>
        </is>
      </c>
    </row>
    <row r="241">
      <c r="A241" s="46" t="n">
        <v>239</v>
      </c>
      <c r="B241" s="45" t="inlineStr">
        <is>
          <t>ตัวยา A มีความคงตัวทางเคมีได้ดีในสภาวะที่เป็นกรด (Acid-stable) หากต้องการพัฒนาเป็นยาเม็ดเคลือบฟิล์มทั่วไปเพื่อความสวยงามและป้องกันความชื้น ควรเลือกใช้สารเคลือบประเภทพอลิเมอร์ชนิดใด?</t>
        </is>
      </c>
      <c r="C241" s="46" t="n"/>
      <c r="D241" s="45" t="inlineStr">
        <is>
          <t>Eudragit L</t>
        </is>
      </c>
      <c r="E241" s="45" t="inlineStr">
        <is>
          <t>Shellac</t>
        </is>
      </c>
      <c r="F241" s="45" t="inlineStr">
        <is>
          <t>HPMC (Hydroxypropyl methylcellulose)</t>
        </is>
      </c>
      <c r="G241" s="45" t="inlineStr">
        <is>
          <t>HPMCP (Hydroxypropyl methylcellulose phthalate)</t>
        </is>
      </c>
      <c r="H241" s="45" t="inlineStr">
        <is>
          <t>EC (Ethylcellulose)</t>
        </is>
      </c>
      <c r="I241" s="46" t="n">
        <v>1</v>
      </c>
      <c r="J241" s="45" t="inlineStr">
        <is>
          <t>✅ คำตอบที่ถูกต้อง: ข้อ ก. Eudragit L
💡 Background:
คำถามข้อสอบจริงใบประกอบวิชาชีพ PLE-CC 1 (Product) ปี 2558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1" s="46" t="n"/>
      <c r="L241" s="45" t="inlineStr">
        <is>
          <t>Liquid &amp; Semisolid Dosage Forms</t>
        </is>
      </c>
      <c r="M241" s="46" t="inlineStr">
        <is>
          <t>Product</t>
        </is>
      </c>
      <c r="N241" s="45" t="inlineStr">
        <is>
          <t>ข้อสอบจริง Product ปี 2558 ข้อ 17</t>
        </is>
      </c>
      <c r="O241" s="46" t="inlineStr">
        <is>
          <t>ข้อสอบจริง</t>
        </is>
      </c>
      <c r="P241" s="46" t="inlineStr">
        <is>
          <t>ปี 2558</t>
        </is>
      </c>
    </row>
    <row r="242">
      <c r="A242" s="46" t="n">
        <v>240</v>
      </c>
      <c r="B242" s="45" t="inlineStr">
        <is>
          <t>หากผู้ป่วยมีประวัติการแพ้โปรตีนหรือแพ้ผลิตภัณฑ์ที่ได้มาจากสัตว์ทุกชนิด สารช่วยในตำรับ (Excipient) ข้อใดต่อไปนี้ที่ต้องหลีกเลี่ยงและห้ามนำมาใช้ในสูตรตำรับ?</t>
        </is>
      </c>
      <c r="C242" s="46" t="n"/>
      <c r="D242" s="45" t="inlineStr">
        <is>
          <t>Acacia</t>
        </is>
      </c>
      <c r="E242" s="45" t="inlineStr">
        <is>
          <t>Alginate</t>
        </is>
      </c>
      <c r="F242" s="45" t="inlineStr">
        <is>
          <t>Gelatin</t>
        </is>
      </c>
      <c r="G242" s="45" t="inlineStr">
        <is>
          <t>Xanthan gum</t>
        </is>
      </c>
      <c r="H242" s="45" t="inlineStr">
        <is>
          <t>Pectin</t>
        </is>
      </c>
      <c r="I242" s="46" t="n">
        <v>1</v>
      </c>
      <c r="J242" s="45" t="inlineStr">
        <is>
          <t>✅ คำตอบที่ถูกต้อง: ข้อ ก. Acacia
💡 Background:
คำถามข้อสอบจริงใบประกอบวิชาชีพ PLE-CC 1 (Product) ปี 2558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2" s="46" t="n"/>
      <c r="L242" s="45" t="inlineStr">
        <is>
          <t>Liquid &amp; Semisolid Dosage Forms</t>
        </is>
      </c>
      <c r="M242" s="46" t="inlineStr">
        <is>
          <t>Product</t>
        </is>
      </c>
      <c r="N242" s="45" t="inlineStr">
        <is>
          <t>ข้อสอบจริง Product ปี 2558 ข้อ 24</t>
        </is>
      </c>
      <c r="O242" s="46" t="inlineStr">
        <is>
          <t>ข้อสอบจริง</t>
        </is>
      </c>
      <c r="P242" s="46" t="inlineStr">
        <is>
          <t>ปี 2558</t>
        </is>
      </c>
    </row>
    <row r="243">
      <c r="A243" s="46" t="n">
        <v>241</v>
      </c>
      <c r="B243" s="45" t="inlineStr">
        <is>
          <t>หากต้องการเตรียมระบบนำส่งสารที่เป็นประจุบวก (Cationic hydrophilic colloid) พอลิเมอร์ธรรมชาติชนิดใดต่อไปนี้เหมาะสมที่จะเลือกใช้มากที่สุด?</t>
        </is>
      </c>
      <c r="C243" s="46" t="n"/>
      <c r="D243" s="45" t="inlineStr">
        <is>
          <t>Carageenan</t>
        </is>
      </c>
      <c r="E243" s="45" t="inlineStr">
        <is>
          <t>Chitosan</t>
        </is>
      </c>
      <c r="F243" s="45" t="inlineStr">
        <is>
          <t>Gelatin B</t>
        </is>
      </c>
      <c r="G243" s="45" t="inlineStr">
        <is>
          <t>Tragacanth</t>
        </is>
      </c>
      <c r="H243" s="45" t="inlineStr">
        <is>
          <t>Veegum</t>
        </is>
      </c>
      <c r="I243" s="46" t="n">
        <v>1</v>
      </c>
      <c r="J243" s="45" t="inlineStr">
        <is>
          <t>✅ คำตอบที่ถูกต้อง: ข้อ ก. Carageenan
💡 Background:
คำถามข้อสอบจริงใบประกอบวิชาชีพ PLE-CC 1 (Product) ปี 2558 ข้อ 25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3" s="46" t="n"/>
      <c r="L243" s="45" t="inlineStr">
        <is>
          <t>Liquid &amp; Semisolid Dosage Forms</t>
        </is>
      </c>
      <c r="M243" s="46" t="inlineStr">
        <is>
          <t>Product</t>
        </is>
      </c>
      <c r="N243" s="45" t="inlineStr">
        <is>
          <t>ข้อสอบจริง Product ปี 2558 ข้อ 25</t>
        </is>
      </c>
      <c r="O243" s="46" t="inlineStr">
        <is>
          <t>ข้อสอบจริง</t>
        </is>
      </c>
      <c r="P243" s="46" t="inlineStr">
        <is>
          <t>ปี 2558</t>
        </is>
      </c>
    </row>
    <row r="244">
      <c r="A244" s="46" t="n">
        <v>242</v>
      </c>
      <c r="B244" s="45" t="inlineStr">
        <is>
          <t>ในการจัดเตรียมตำรับยาเหน็บช่องคลอดจำนวน 1 แท่ง  Rx.  Fluconazole: 0.1 g  PEG base: qs  กำหนดให้:  Displacement value (DV) ของตัวยา Fluconazole \= 1.0 (เทียบกับ Cocoa butter)  น้ำหนักของยาเหน็บเปล่าที่เตรียมด้วย PEG base (Blank weight of PEG suppository) \= 2.5 g  ความหนาแน่นของ PEG base \= 1.2 เท่าของน้ำมันโกโก้ (Theobroma oil / Cocoa butter) จะต้องชั่งใช้ยาพื้น PEG base ปริมาณกี่กรัมในการเตรียมยาตำรับนี้?</t>
        </is>
      </c>
      <c r="C244" s="46" t="n"/>
      <c r="D244" s="45" t="inlineStr">
        <is>
          <t>2.00 g</t>
        </is>
      </c>
      <c r="E244" s="45" t="inlineStr">
        <is>
          <t>2.38 g</t>
        </is>
      </c>
      <c r="F244" s="45" t="inlineStr">
        <is>
          <t>2.40 g</t>
        </is>
      </c>
      <c r="G244" s="45" t="inlineStr">
        <is>
          <t>2.42 g</t>
        </is>
      </c>
      <c r="H244" s="45" t="inlineStr">
        <is>
          <t>2.50 g</t>
        </is>
      </c>
      <c r="I244" s="46" t="n">
        <v>1</v>
      </c>
      <c r="J244" s="45" t="inlineStr">
        <is>
          <t>✅ คำตอบที่ถูกต้อง: ข้อ ก. 2.00 g
💡 Background:
คำถามข้อสอบจริงใบประกอบวิชาชีพ PLE-CC 1 (Product) ปี 2558 ข้อ 26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4" s="46" t="n"/>
      <c r="L244" s="45" t="inlineStr">
        <is>
          <t>Liquid &amp; Semisolid Dosage Forms</t>
        </is>
      </c>
      <c r="M244" s="46" t="inlineStr">
        <is>
          <t>Product</t>
        </is>
      </c>
      <c r="N244" s="45" t="inlineStr">
        <is>
          <t>ข้อสอบจริง Product ปี 2558 ข้อ 26</t>
        </is>
      </c>
      <c r="O244" s="46" t="inlineStr">
        <is>
          <t>ข้อสอบจริง</t>
        </is>
      </c>
      <c r="P244" s="46" t="inlineStr">
        <is>
          <t>ปี 2558</t>
        </is>
      </c>
    </row>
    <row r="245">
      <c r="A245" s="46" t="n">
        <v>243</v>
      </c>
      <c r="B245" s="45" t="inlineStr">
        <is>
          <t>จากสูตรตำรับยาพ่นสูดละอองลอย (Aerosol) ต่อไปนี้  Rx.  Isoproterenol sulfate: 0.1 g  Oleyl alcohol: 1.0 g  Ascorbic acid: 0.1 g  Myristyl alcohol: 1.0 g  Alcohol (Ethanol) &amp; Propellant: qs ad 30 g  หากตัวยาละลายได้อย่างสมบูรณ์ในแอลกอฮอล์ซึ่งทำหน้าที่เป็นตัวทำละลายร่วม (Co-solvent) ร่วมกับสารขับดัน ตำรับนี้จะจัดอยู่ในรูปแบบผลิตภัณฑ์ (Dosage form) ใด?</t>
        </is>
      </c>
      <c r="C245" s="46" t="n"/>
      <c r="D245" s="45" t="inlineStr">
        <is>
          <t>Aerosol Suspension</t>
        </is>
      </c>
      <c r="E245" s="45" t="inlineStr">
        <is>
          <t>Aerosol Emulsion</t>
        </is>
      </c>
      <c r="F245" s="45" t="inlineStr">
        <is>
          <t>Aerosol Solution</t>
        </is>
      </c>
      <c r="G245" s="45" t="inlineStr">
        <is>
          <t>Aerosol Powder</t>
        </is>
      </c>
      <c r="H245" s="45" t="inlineStr">
        <is>
          <t>Liposomal Aerosol</t>
        </is>
      </c>
      <c r="I245" s="46" t="n">
        <v>1</v>
      </c>
      <c r="J245" s="45" t="inlineStr">
        <is>
          <t>✅ คำตอบที่ถูกต้อง: ข้อ ก. Aerosol Suspension
💡 Background:
คำถามข้อสอบจริงใบประกอบวิชาชีพ PLE-CC 1 (Product) ปี 2558 ข้อ 38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5" s="46" t="n"/>
      <c r="L245" s="45" t="inlineStr">
        <is>
          <t>Liquid &amp; Semisolid Dosage Forms</t>
        </is>
      </c>
      <c r="M245" s="46" t="inlineStr">
        <is>
          <t>Product</t>
        </is>
      </c>
      <c r="N245" s="45" t="inlineStr">
        <is>
          <t>ข้อสอบจริง Product ปี 2558 ข้อ 38</t>
        </is>
      </c>
      <c r="O245" s="46" t="inlineStr">
        <is>
          <t>ข้อสอบจริง</t>
        </is>
      </c>
      <c r="P245" s="46" t="inlineStr">
        <is>
          <t>ปี 2558</t>
        </is>
      </c>
    </row>
  </sheetData>
  <mergeCells count="1">
    <mergeCell ref="A1:F1"/>
  </mergeCell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P86"/>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ให้ข้อมูลการทำdissolution test มีacid stage กับbuffer stage ถามเกี่ยวกับยาที่ใช้การทดสอบแบบนี้ ตัวเลือก</t>
        </is>
      </c>
      <c r="C3" s="2" t="n"/>
      <c r="D3" s="2" t="inlineStr">
        <is>
          <t>Biopharmaceutics &amp; Dissolution</t>
        </is>
      </c>
      <c r="E3" s="2" t="inlineStr">
        <is>
          <t>In Vitro Dissolution Apparatus 1 (Basket, 100 rpm)</t>
        </is>
      </c>
      <c r="F3" s="2" t="inlineStr">
        <is>
          <t>In Vitro Dissolution Apparatus 2 (Paddle, 50 rpm)</t>
        </is>
      </c>
      <c r="G3" s="2" t="inlineStr">
        <is>
          <t>Higuchi Matrix Release Kinetic model</t>
        </is>
      </c>
      <c r="H3" s="2" t="inlineStr">
        <is>
          <t>First-Order Drug Release Kinetics</t>
        </is>
      </c>
      <c r="I3" s="8" t="inlineStr">
        <is>
          <t>1</t>
        </is>
      </c>
      <c r="J3"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การเลือก Biopharmaceutics &amp; Dissolution เป็นคำตอบที่ถูกต้องและสอดคล้องกับ evidence-based guidelines ของภาวะ Dissolution testing โดยมี clinical efficacy สูงสุดในการรักษาและมี safety profile ที่เหมาะสม
🔍 ข้ออื่นผิดเพราะอะไร:
• ข้อ ข.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ง.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จ.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Dissolution testing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Dissolution testing</t>
        </is>
      </c>
      <c r="M3" s="2" t="inlineStr">
        <is>
          <t>Biopharmaceutics &amp; Dissolution</t>
        </is>
      </c>
      <c r="N3" s="2" t="inlineStr">
        <is>
          <t>PLE-CC1 ปี 2566 Day 1 ข้อ 25</t>
        </is>
      </c>
      <c r="O3" s="2" t="inlineStr">
        <is>
          <t>ข้อสอบจริง</t>
        </is>
      </c>
      <c r="P3" s="2" t="inlineStr">
        <is>
          <t>ปี 2566</t>
        </is>
      </c>
    </row>
    <row r="4" ht="13.2" customHeight="1" s="37">
      <c r="A4" s="8" t="inlineStr">
        <is>
          <t>3</t>
        </is>
      </c>
      <c r="B4" s="2" t="inlineStr">
        <is>
          <t>ให้โครงสร้าง furosemide มา ถามว่าเติมสารอะไรช่วยเพิ่มการละลายของยา</t>
        </is>
      </c>
      <c r="C4" s="2" t="n"/>
      <c r="D4" s="2" t="inlineStr">
        <is>
          <t>Biopharmaceutics &amp; Dissolution</t>
        </is>
      </c>
      <c r="E4" s="2" t="inlineStr">
        <is>
          <t>NaHCO3</t>
        </is>
      </c>
      <c r="F4" s="2" t="inlineStr">
        <is>
          <t>HCl</t>
        </is>
      </c>
      <c r="G4" s="2" t="inlineStr">
        <is>
          <t>NaCl</t>
        </is>
      </c>
      <c r="H4" s="2" t="inlineStr">
        <is>
          <t>สารชื่อยาวหน่อย bu สักอย่าง มั้ง</t>
        </is>
      </c>
      <c r="I4" s="8" t="inlineStr">
        <is>
          <t>1</t>
        </is>
      </c>
      <c r="J4"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electron ทำให้หมู่ carboxyl มีความเป็นกรดมากขึ้น ดังนั้นจึงเติม NaHCO3 ที่มีความเป็นเบส ทำให้เกิด salt form https://gpatindia.com/furosemide-synthesis-sar-mcqstructurechemical-properties-and-therapeutic-uses/ ..............................................................................................................................................................................................................
🔍 ข้ออื่นผิดเพราะอะไร:
• ข้อ ข. (NaHCO3): ข้อนี้ไม่ใช่คำตอบที่ถูกต้องสำหรับภาวะ Dissolution testing เนื่องจากกลไกการออกฤทธิ์, efficacy หรือข้อบ่งใช้ไม่ตรงกับโจทย์ที่กำหนด
• ข้อ ค. (HCl): ข้อนี้ไม่ใช่คำตอบที่ถูกต้องสำหรับภาวะ Dissolution testing เนื่องจากกลไกการออกฤทธิ์, efficacy หรือข้อบ่งใช้ไม่ตรงกับโจทย์ที่กำหนด
• ข้อ ง. (NaCl): ข้อนี้ไม่ใช่คำตอบที่ถูกต้องสำหรับภาวะ Dissolution testing เนื่องจากกลไกการออกฤทธิ์, efficacy หรือข้อบ่งใช้ไม่ตรงกับโจทย์ที่กำหนด
• ข้อ จ. (สารชื่อยาวหน่อย bu สักอย่าง มั้ง): ข้อนี้ไม่ใช่คำตอบที่ถูกต้องสำหรับภาวะ Dissolution testing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4" s="2" t="n"/>
      <c r="L4" s="2" t="inlineStr">
        <is>
          <t>Dissolution testing</t>
        </is>
      </c>
      <c r="M4" s="2" t="inlineStr">
        <is>
          <t>Biopharmaceutics &amp; Dissolution</t>
        </is>
      </c>
      <c r="N4" s="2" t="inlineStr">
        <is>
          <t>PLE_CC1_2564_All_Key ข้อ 20</t>
        </is>
      </c>
      <c r="O4" s="2" t="inlineStr">
        <is>
          <t>ข้อสอบจริง</t>
        </is>
      </c>
      <c r="P4" s="2" t="inlineStr">
        <is>
          <t>ปี 2564</t>
        </is>
      </c>
    </row>
    <row r="5" ht="13.2" customHeight="1" s="37">
      <c r="A5" s="8" t="inlineStr">
        <is>
          <t>4</t>
        </is>
      </c>
      <c r="B5" s="2" t="inlineStr">
        <is>
          <t>ยา methotrexate มีปัญหา diffusion ปัจจุบันมีการพัฒนายาโดยตัดส่วนที่เป็น hydrophilic ออก ถามว่า ตรงไหนคือส่วนที่ถูกตัดออกไป (โจทย์ให้โครงสร้างยามา)</t>
        </is>
      </c>
      <c r="C5" s="2" t="n"/>
      <c r="D5" s="2" t="inlineStr">
        <is>
          <t>Biopharmaceutics &amp; Dissolution</t>
        </is>
      </c>
      <c r="E5" s="2" t="inlineStr">
        <is>
          <t>ตัดหมู่ carboxylic group ยาปรับเปลี่ยนการดำเนินโรค (Disease modifiying antirheumatic drugs or DMARDs) มีฤทธิ์หลากหลาย Prostaglandin เท่านั้น แต่ไม่สามารถป้องกันการเสื่อมของข้อได้ http://www.prachanath.su.ac.th/tbps/tbps2005_1/tbps2005_1_143-153.pdf และ http://ndi.fda.moph.go.th/uploads/evidance_file/20170503140633.pdf</t>
        </is>
      </c>
      <c r="F5" s="2" t="inlineStr">
        <is>
          <t>BCS Class II (Low Solubility, High Permeability)</t>
        </is>
      </c>
      <c r="G5" s="2" t="inlineStr">
        <is>
          <t>BCS Class III (High Solubility, Low Permeability)</t>
        </is>
      </c>
      <c r="H5" s="2" t="inlineStr">
        <is>
          <t>BCS Class IV (Low Solubility, Low Permeability)</t>
        </is>
      </c>
      <c r="I5" s="8" t="inlineStr">
        <is>
          <t>1</t>
        </is>
      </c>
      <c r="J5" s="2" t="inlineStr">
        <is>
          <t>✅ คำตอบที่ถูกต้อง: ข้อ ก. Biopharmaceutics &amp; Dissolution
💡 Background:
การบริบาลผู้ป่วยในกลุ่มโรค Diffusion &amp; Fick's laws มุ่งเน้นการควบคุมโรคและลดความเสี่ยงต่อภาวะแทรกซ้อนด้วย evidence-based pharmacotherapy
🎯 ทำไมข้อนี้ถึงถูก:
Biopharmaceutics &amp; Dissolution ช่วยลดอักเสบ ลดการแบ่งตัวของเซลล์ที่เกี่ยวข้องกับการอักเสบบริเวณข้อต่อ และลดการทำลายเนื้อเยื่อบริเวณข้อต่อได้ดี ซึ่งมีทั้งกลุ่ม biological และ non-biological ซึ่งยาหลัก ๆ ที่ควรรู้จักในกลุ่ม non-biological DMARDs ได้แก่ Methotrexate, Chloroquine, Hydroxychloroquine, Sulfasalazine, Penicillamine, Azathrioprine, Sodium aurothiomalate, Ciclosporin, Leflunomide, Minocycline เป็นต้น สำหรับยาในกลุ่ม NSAIDs จะใช้ในการลดอาการบวด บวม โดยการยังยั้ง
🔍 ข้ออื่นผิดเพราะอะไร:
• ข้อ ข. (ตัดหมู่ carboxylic group ยาปรับเปลี่ยนการดำเนินโรค (Disease modifiying antirheumatic drugs or DMARDs) มีฤทธิ์หลากหลาย Prostaglandin เท่านั้น แต่ไม่สามารถป้องกันการเสื่อมของข้อได้ http://www.prachanath.su.ac.th/tbps/tbps2005_1/tbps2005_1_143-153.pdf และ http://ndi.fda.moph.go.th/uploads/evidance_file/20170503140633.pdf): ข้อนี้ไม่ใช่คำตอบที่ถูกต้องสำหรับภาวะ Diffusion &amp; Fick's laws เนื่องจากกลไกการออกฤทธิ์, efficacy หรือข้อบ่งใช้ไม่ตรงกับโจทย์ที่กำหนด
• ข้อ ค. (BCS Class II (Low Solubility, High Permeability)): ข้อนี้ไม่ใช่คำตอบที่ถูกต้องสำหรับภาวะ Diffusion &amp; Fick's laws เนื่องจากกลไกการออกฤทธิ์, efficacy หรือข้อบ่งใช้ไม่ตรงกับโจทย์ที่กำหนด
• ข้อ ง. (BCS Class III (High Solubility, Low Permeability)): ข้อนี้ไม่ใช่คำตอบที่ถูกต้องสำหรับภาวะ Diffusion &amp; Fick's laws เนื่องจากกลไกการออกฤทธิ์, efficacy หรือข้อบ่งใช้ไม่ตรงกับโจทย์ที่กำหนด
• ข้อ จ. (BCS Class IV (Low Solubility, Low Permeability)): ข้อนี้ไม่ใช่คำตอบที่ถูกต้องสำหรับภาวะ Diffusion &amp; Fick's laws เนื่องจากกลไกการออกฤทธิ์, efficacy หรือข้อบ่งใช้ไม่ตรงกับโจทย์ที่กำหนด
📖 Guideline อ้างอิง:
[NEED_REVIEW]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 s="2" t="n"/>
      <c r="L5" s="2" t="inlineStr">
        <is>
          <t>Diffusion &amp; Fick's laws</t>
        </is>
      </c>
      <c r="M5" s="2" t="inlineStr">
        <is>
          <t>Biopharmaceutics &amp; Dissolution</t>
        </is>
      </c>
      <c r="N5" s="2" t="inlineStr">
        <is>
          <t>PLE_CC1_2564_All_Key ข้อ 36</t>
        </is>
      </c>
      <c r="O5" s="2" t="inlineStr">
        <is>
          <t>ข้อสอบจริง</t>
        </is>
      </c>
      <c r="P5" s="2" t="inlineStr">
        <is>
          <t>ปี 2564</t>
        </is>
      </c>
    </row>
    <row r="6" ht="13.2" customHeight="1" s="37">
      <c r="A6" s="2" t="n">
        <v>4</v>
      </c>
      <c r="B6" s="2" t="inlineStr">
        <is>
          <t>ยา simvastatin มีค่าการละลายต่ำต้องเติมส่วนประกอบใดในตำรับ X ↳monss Monitorsionin finis e eein</t>
        </is>
      </c>
      <c r="C6" s="2" t="n"/>
      <c r="D6" s="2" t="inlineStr">
        <is>
          <t>Croscamellose sodium</t>
        </is>
      </c>
      <c r="E6" s="2" t="inlineStr">
        <is>
          <t>Colloidal silicon dioxide</t>
        </is>
      </c>
      <c r="F6" s="2" t="inlineStr">
        <is>
          <t>Sodium luaryl sulfate</t>
        </is>
      </c>
      <c r="G6" s="2" t="inlineStr">
        <is>
          <t>Microcrystalline cellulose</t>
        </is>
      </c>
      <c r="H6" s="2" t="inlineStr">
        <is>
          <t>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t>
        </is>
      </c>
      <c r="I6" s="2" t="n">
        <v>1</v>
      </c>
      <c r="J6" s="2" t="inlineStr">
        <is>
          <t>✅ คำตอบที่ถูกต้อง: ข้อ ก. Croscamellose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Croscamellose sodium 💡 คำอธิบายและเหตุผลทางเภสัชกรรม:
💡 คำอธิบายและเหตุผลทางเภสัชกรรม:
แบบที่ 2  ลงโฆษณายาว่ารักษาโรคกระเพาะ ที่มีสาเหตุเกิดจากตับ ช่วยบรรเทาอาการจุกเสียด หายขาด ไม่กลับมาเป็นซ้ำ กิน แบบที่ 5  เมื่อเข้าไปตรวจสถานที่จริงพบคนงานกำลังแบ่งบรรจุยา triamcinolone cream ลงตลับแบ่งที่มีฉลากแปะ
USP/NF, British Pharmacopoeia (BP) และ Remington: The Science and Practice of Pharmacy (หัวข้อ Dissolution testing)
🔍 ข้ออื่นผิดเพราะอะไร:
• ข้อ ข. (Colloidal silicon dioxide): ข้อนี้ไม่ใช่คำตอบที่ถูกต้องสำหรับภาวะ Dissolution testing เนื่องจากกลไกการออกฤทธิ์, efficacy หรือข้อบ่งใช้ไม่ตรงกับโจทย์ที่กำหนด
• ข้อ ค. (Sodium luaryl sulfate): ข้อนี้ไม่ใช่คำตอบที่ถูกต้องสำหรับภาวะ Dissolution testing เนื่องจากกลไกการออกฤทธิ์, efficacy หรือข้อบ่งใช้ไม่ตรงกับโจทย์ที่กำหนด
• ข้อ ง. (Microcrystalline cellulose): ข้อนี้ไม่ใช่คำตอบที่ถูกต้องสำหรับภาวะ Dissolution testing เนื่องจากกลไกการออกฤทธิ์, efficacy หรือข้อบ่งใช้ไม่ตรงกับโจทย์ที่กำหนด
• ข้อ จ. (Sodium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 เป็น long-acting Benzodiazepine มี active metabolites (nordiazepam) สะสมในผู้สูงอายุ ทำให้ง่วงซึม หกล้ม เสี่ยง fracture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2" t="n"/>
      <c r="L6" s="2" t="inlineStr">
        <is>
          <t>Dissolution testing</t>
        </is>
      </c>
      <c r="M6" s="2" t="inlineStr">
        <is>
          <t>Product</t>
        </is>
      </c>
      <c r="N6" s="2" t="inlineStr">
        <is>
          <t>ข้อ 77 (PLE_CC1_2562_Key.md)</t>
        </is>
      </c>
      <c r="O6" s="2" t="inlineStr">
        <is>
          <t>ข้อสอบจริง</t>
        </is>
      </c>
      <c r="P6" s="2" t="inlineStr">
        <is>
          <t>ปี 2562</t>
        </is>
      </c>
    </row>
    <row r="7" ht="13.2" customHeight="1" s="37">
      <c r="A7" s="2" t="n">
        <v>5</v>
      </c>
      <c r="B7" s="2" t="inlineStr">
        <is>
          <t>หากต้องการลดความเข้มข้นของยาในเลือดให้เหลือ 8 mcg/ml ต้องให้ยาในขนาดเท่าใด X Tsin127do ข้อมูล carbazepine bioavailability = 0.8, salt coefficient = 1, clearance = 128 mg/d</t>
        </is>
      </c>
      <c r="C7" s="2" t="n"/>
      <c r="D7" s="2" t="inlineStr">
        <is>
          <t>800 mg/d</t>
        </is>
      </c>
      <c r="E7" s="2" t="inlineStr">
        <is>
          <t>1000 mg/d</t>
        </is>
      </c>
      <c r="F7" s="2" t="inlineStr">
        <is>
          <t>1024 mg/d</t>
        </is>
      </c>
      <c r="G7" s="2" t="inlineStr">
        <is>
          <t>1280 mg/d</t>
        </is>
      </c>
      <c r="H7" s="2" t="inlineStr">
        <is>
          <t>1400 mg/d</t>
        </is>
      </c>
      <c r="I7" s="2" t="n">
        <v>1</v>
      </c>
      <c r="J7" s="2" t="inlineStr">
        <is>
          <t>✅ คำตอบที่ถูกต้อง: ข้อ ก. 800 mg/d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800 mg/d 💡 คำอธิบายและเหตุผลทางเภสัชกรรม:
💡 คำอธิบายและเหตุผลทางเภสัชกรรม:
การเลือก 800 mg/d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(1000 mg/d): ข้อนี้ไม่ใช่คำตอบที่ถูกต้องสำหรับภาวะ Dissolution testing เนื่องจากกลไกการออกฤทธิ์, efficacy หรือข้อบ่งใช้ไม่ตรงกับโจทย์ที่กำหนด
• ข้อ ค. (1024 mg/d): ข้อนี้ไม่ใช่คำตอบที่ถูกต้องสำหรับภาวะ Dissolution testing เนื่องจากกลไกการออกฤทธิ์, efficacy หรือข้อบ่งใช้ไม่ตรงกับโจทย์ที่กำหนด
• ข้อ ง. (1280 mg/d): ข้อนี้ไม่ใช่คำตอบที่ถูกต้องสำหรับภาวะ Dissolution testing เนื่องจากกลไกการออกฤทธิ์, efficacy หรือข้อบ่งใช้ไม่ตรงกับโจทย์ที่กำหนด
• ข้อ จ. (1400 mg/d):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2" t="n"/>
      <c r="L7" s="2" t="inlineStr">
        <is>
          <t>Dissolution testing</t>
        </is>
      </c>
      <c r="M7" s="2" t="inlineStr">
        <is>
          <t>Product</t>
        </is>
      </c>
      <c r="N7" s="2" t="inlineStr">
        <is>
          <t>ข้อ 102 (PLE_CC1_2562_Key.md)</t>
        </is>
      </c>
      <c r="O7" s="2" t="inlineStr">
        <is>
          <t>ข้อสอบจริง</t>
        </is>
      </c>
      <c r="P7" s="2" t="inlineStr">
        <is>
          <t>ปี 2562</t>
        </is>
      </c>
    </row>
    <row r="8" ht="13.2" customHeight="1" s="37">
      <c r="A8" s="2" t="n">
        <v>6</v>
      </c>
      <c r="B8" s="2" t="inlineStr">
        <is>
          <t>เภสัชกรต้องการหาค่าการละลายของยา metronidazole ใน solution mixture ของน้ำและ ethanol พบว่า ↳broad spectrum zigen In scien - normal flora 1261 edito C . difficle X memorate X - &gt; milronimo visiste dearos nencla vancomycin, metronidazole 70 % WIW : is metronidazole 100 mg ละลายได้ใน 30% w/w of ethanol ที่ 25 องďศาเซลเซียล อยากทราบว่าค่า electric constant ของ solution mixture เท่าใด กำหนดให้ electric constant ของน้ำเท่ากับ 75 ของ ethanol เท่ากับ 25</t>
        </is>
      </c>
      <c r="C8" s="2" t="n"/>
      <c r="D8" s="2" t="n">
        <v>7.5</v>
      </c>
      <c r="E8" s="2" t="n">
        <v>75</v>
      </c>
      <c r="F8" s="2" t="n">
        <v>60</v>
      </c>
      <c r="G8" s="2" t="n">
        <v>52.5</v>
      </c>
      <c r="H8" s="2" t="n">
        <v>20</v>
      </c>
      <c r="I8" s="2" t="n">
        <v>1</v>
      </c>
      <c r="J8" s="2" t="inlineStr">
        <is>
          <t>✅ คำตอบที่ถูกต้อง: ข้อ ก. 7.5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7.5 💡 คำอธิบายและเหตุผลทางเภสัชกรรม:
💡 คำอธิบายและเหตุผลทางเภสัชกรรม:
การเลือก 7.5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(75): ข้อนี้ไม่ใช่คำตอบที่ถูกต้องสำหรับภาวะ Dissolution testing เนื่องจากกลไกการออกฤทธิ์, efficacy หรือข้อบ่งใช้ไม่ตรงกับโจทย์ที่กำหนด
• ข้อ ค. (60): ข้อนี้ไม่ใช่คำตอบที่ถูกต้องสำหรับภาวะ Dissolution testing เนื่องจากกลไกการออกฤทธิ์, efficacy หรือข้อบ่งใช้ไม่ตรงกับโจทย์ที่กำหนด
• ข้อ ง. (52.5): ข้อนี้ไม่ใช่คำตอบที่ถูกต้องสำหรับภาวะ Dissolution testing เนื่องจากกลไกการออกฤทธิ์, efficacy หรือข้อบ่งใช้ไม่ตรงกับโจทย์ที่กำหนด
• ข้อ จ. (20):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2" t="n"/>
      <c r="L8" s="2" t="inlineStr">
        <is>
          <t>Dissolution testing</t>
        </is>
      </c>
      <c r="M8" s="2" t="inlineStr">
        <is>
          <t>Product</t>
        </is>
      </c>
      <c r="N8" s="2" t="inlineStr">
        <is>
          <t>ข้อ 99 (PLE_CC1_2562_Key.md)</t>
        </is>
      </c>
      <c r="O8" s="2" t="inlineStr">
        <is>
          <t>ข้อสอบจริง</t>
        </is>
      </c>
      <c r="P8" s="2" t="inlineStr">
        <is>
          <t>ปี 2562</t>
        </is>
      </c>
    </row>
    <row r="9" ht="13.2" customHeight="1" s="37">
      <c r="A9" s="2" t="n">
        <v>7</v>
      </c>
      <c r="B9" s="2" t="inlineStr">
        <is>
          <t>จาก monograph ของยา carvedilol ขอใดคือเครื่องมือที่ใชในการ ทดสอบหัวขอการละลาย</t>
        </is>
      </c>
      <c r="C9" s="2" t="n"/>
      <c r="D9" s="2" t="inlineStr">
        <is>
          <t>Reciprocating cylinder</t>
        </is>
      </c>
      <c r="E9" s="2" t="inlineStr">
        <is>
          <t>Paddle apparatus</t>
        </is>
      </c>
      <c r="F9" s="2" t="inlineStr">
        <is>
          <t>Basket apparatus</t>
        </is>
      </c>
      <c r="G9" s="2" t="inlineStr">
        <is>
          <t>Flow-through cell</t>
        </is>
      </c>
      <c r="H9" s="2" t="inlineStr">
        <is>
          <t>Cell cylinder apparatus</t>
        </is>
      </c>
      <c r="I9" s="2" t="n">
        <v>1</v>
      </c>
      <c r="J9" s="2" t="inlineStr">
        <is>
          <t>✅ คำตอบที่ถูกต้อง: ข้อ ก. Reciprocating cylinder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Reciprocating cylinder 💡 คำอธิบายและเหตุผลทางเภสัชกรรม:
💡 คำอธิบายและเหตุผลทางเภสัชกรรม:
การเลือก Reciprocating cylinder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(Paddle apparatus): ข้อนี้ไม่ใช่คำตอบที่ถูกต้องสำหรับภาวะ Dissolution testing เนื่องจากกลไกการออกฤทธิ์, efficacy หรือข้อบ่งใช้ไม่ตรงกับโจทย์ที่กำหนด
• ข้อ ค. (Basket apparatus): ข้อนี้ไม่ใช่คำตอบที่ถูกต้องสำหรับภาวะ Dissolution testing เนื่องจากกลไกการออกฤทธิ์, efficacy หรือข้อบ่งใช้ไม่ตรงกับโจทย์ที่กำหนด
• ข้อ ง. (Flow-through cell): ข้อนี้ไม่ใช่คำตอบที่ถูกต้องสำหรับภาวะ Dissolution testing เนื่องจากกลไกการออกฤทธิ์, efficacy หรือข้อบ่งใช้ไม่ตรงกับโจทย์ที่กำหนด
• ข้อ จ. (Cell cylinder apparatus):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2" t="n"/>
      <c r="L9" s="2" t="inlineStr">
        <is>
          <t>Dissolution testing</t>
        </is>
      </c>
      <c r="M9" s="2" t="inlineStr">
        <is>
          <t>Product</t>
        </is>
      </c>
      <c r="N9" s="2" t="inlineStr">
        <is>
          <t>ข้อ 9 (PLE_CC1_2561_Key.md)</t>
        </is>
      </c>
      <c r="O9" s="2" t="inlineStr">
        <is>
          <t>ข้อสอบจริง</t>
        </is>
      </c>
      <c r="P9" s="2" t="inlineStr">
        <is>
          <t>ปี 2561</t>
        </is>
      </c>
    </row>
    <row r="10" ht="13.2" customHeight="1" s="37">
      <c r="A10" s="2" t="n">
        <v>8</v>
      </c>
      <c r="B10" s="2" t="inlineStr">
        <is>
          <t>จากขอ 9 dissolution medium ควรจะมีอุณหภูมิเท!าใด</t>
        </is>
      </c>
      <c r="C10" s="2" t="n"/>
      <c r="D10" s="2" t="inlineStr">
        <is>
          <t>20oC ± 0.5</t>
        </is>
      </c>
      <c r="E10" s="2" t="inlineStr">
        <is>
          <t>20oC ± 2.0</t>
        </is>
      </c>
      <c r="F10" s="2" t="inlineStr">
        <is>
          <t>25oC ± 0.5</t>
        </is>
      </c>
      <c r="G10" s="2" t="inlineStr">
        <is>
          <t>25oC ± 2.0</t>
        </is>
      </c>
      <c r="H10" s="2" t="inlineStr">
        <is>
          <t>37oC ± 0.5 e</t>
        </is>
      </c>
      <c r="I10" s="2" t="n">
        <v>1</v>
      </c>
      <c r="J10" s="2" t="inlineStr">
        <is>
          <t>✅ คำตอบที่ถูกต้อง: ข้อ ก. 20oC ± 0.5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20oC ± 0.5 💡 คำอธิบายและเหตุผลทางเภสัชกรรม:
💡 คำอธิบายและเหตุผลทางเภสัชกรรม:
การเลือก 20oC ± 0.5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(20oC ± 2.0): ข้อนี้ไม่ใช่คำตอบที่ถูกต้องสำหรับภาวะ Dissolution testing เนื่องจากกลไกการออกฤทธิ์, efficacy หรือข้อบ่งใช้ไม่ตรงกับโจทย์ที่กำหนด
• ข้อ ค. (25oC ± 0.5): ข้อนี้ไม่ใช่คำตอบที่ถูกต้องสำหรับภาวะ Dissolution testing เนื่องจากกลไกการออกฤทธิ์, efficacy หรือข้อบ่งใช้ไม่ตรงกับโจทย์ที่กำหนด
• ข้อ ง. (25oC ± 2.0): ข้อนี้ไม่ใช่คำตอบที่ถูกต้องสำหรับภาวะ Dissolution testing เนื่องจากกลไกการออกฤทธิ์, efficacy หรือข้อบ่งใช้ไม่ตรงกับโจทย์ที่กำหนด
• ข้อ จ. (37oC ± 0.5 e):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2" t="n"/>
      <c r="L10" s="2" t="inlineStr">
        <is>
          <t>Dissolution testing</t>
        </is>
      </c>
      <c r="M10" s="2" t="inlineStr">
        <is>
          <t>Product</t>
        </is>
      </c>
      <c r="N10" s="2" t="inlineStr">
        <is>
          <t>ข้อ 10 (PLE_CC1_2561_Key.md)</t>
        </is>
      </c>
      <c r="O10" s="2" t="inlineStr">
        <is>
          <t>ข้อสอบจริง</t>
        </is>
      </c>
      <c r="P10" s="2" t="inlineStr">
        <is>
          <t>ปี 2561</t>
        </is>
      </c>
    </row>
    <row r="11" ht="13.2" customHeight="1" s="37">
      <c r="A11" s="2" t="n">
        <v>9</v>
      </c>
      <c r="B11" s="2" t="inlineStr">
        <is>
          <t>ให(ข้อมูลการละลายยา มาถามว.าควรทำตำหรับรูปแบบใด</t>
        </is>
      </c>
      <c r="C11" s="2" t="n"/>
      <c r="D11" s="2" t="inlineStr">
        <is>
          <t>Elixir</t>
        </is>
      </c>
      <c r="E11" s="2" t="inlineStr">
        <is>
          <t>Solution</t>
        </is>
      </c>
      <c r="F11" s="2" t="inlineStr">
        <is>
          <t>Tablets</t>
        </is>
      </c>
      <c r="G11" s="2" t="inlineStr">
        <is>
          <t>Capsule</t>
        </is>
      </c>
      <c r="H11" s="2" t="inlineStr">
        <is>
          <t>Suspension</t>
        </is>
      </c>
      <c r="I11" s="2" t="n">
        <v>1</v>
      </c>
      <c r="J11" s="2" t="inlineStr">
        <is>
          <t>✅ คำตอบที่ถูกต้อง: ข้อ ก. Elixir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 คำอธิบายและเหตุผลทางเภสัชกรรม:
💡 คำอธิบายและเหตุผลทางเภสัชกรรม:
การเลือก Elixir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(Solution): ข้อนี้ไม่ใช่คำตอบที่ถูกต้องสำหรับภาวะ Dissolution testing เนื่องจากกลไกการออกฤทธิ์, efficacy หรือข้อบ่งใช้ไม่ตรงกับโจทย์ที่กำหนด
• ข้อ ค. (Tablets): ข้อนี้ไม่ใช่คำตอบที่ถูกต้องสำหรับภาวะ Dissolution testing เนื่องจากกลไกการออกฤทธิ์, efficacy หรือข้อบ่งใช้ไม่ตรงกับโจทย์ที่กำหนด
• ข้อ ง. (Capsule): ข้อนี้ไม่ใช่คำตอบที่ถูกต้องสำหรับภาวะ Dissolution testing เนื่องจากกลไกการออกฤทธิ์, efficacy หรือข้อบ่งใช้ไม่ตรงกับโจทย์ที่กำหนด
• ข้อ จ. (Suspension):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Dissolution testing</t>
        </is>
      </c>
      <c r="M11" s="2" t="inlineStr">
        <is>
          <t>Product</t>
        </is>
      </c>
      <c r="N11" s="2" t="inlineStr">
        <is>
          <t>ข้อ 63 (PLE_CC1_2561_Key.md)</t>
        </is>
      </c>
      <c r="O11" s="2" t="inlineStr">
        <is>
          <t>ข้อสอบจริง</t>
        </is>
      </c>
      <c r="P11" s="2" t="inlineStr">
        <is>
          <t>ปี 2561</t>
        </is>
      </c>
    </row>
    <row r="12" ht="13.2" customHeight="1" s="37">
      <c r="A12" s="2" t="n">
        <v>10</v>
      </c>
      <c r="B12" s="2" t="inlineStr">
        <is>
          <t>หากต(องการเปÅดหนังสือเพื่อค(นคว(า เรื่อง bioequivalence</t>
        </is>
      </c>
      <c r="C12" s="2" t="n"/>
      <c r="D12" s="2" t="inlineStr">
        <is>
          <t>Pharmacotherapy</t>
        </is>
      </c>
      <c r="E12" s="2" t="inlineStr">
        <is>
          <t>Drug interaction fact</t>
        </is>
      </c>
      <c r="F12" s="2" t="inlineStr">
        <is>
          <t>Drug fact and comparison</t>
        </is>
      </c>
      <c r="G12" s="2" t="inlineStr">
        <is>
          <t>Drug information handbook</t>
        </is>
      </c>
      <c r="H12" s="2" t="inlineStr">
        <is>
          <t>United states pharmacopeia</t>
        </is>
      </c>
      <c r="I12" s="2" t="n">
        <v>1</v>
      </c>
      <c r="J12" s="2" t="inlineStr">
        <is>
          <t>✅ คำตอบที่ถูกต้อง: ข้อ ก. Pharmacotherapy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Pharmacotherapy 💡 คำอธิบายและเหตุผลทางเภสัชกรรม:
💡 คำอธิบายและเหตุผลทางเภสัชกรรม:
การเลือก Pharmacotherapy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(Drug interaction fact): ข้อนี้ไม่ใช่คำตอบที่ถูกต้องสำหรับภาวะ Dissolution testing เนื่องจากกลไกการออกฤทธิ์, efficacy หรือข้อบ่งใช้ไม่ตรงกับโจทย์ที่กำหนด
• ข้อ ค. (Drug fact and comparison): ข้อนี้ไม่ใช่คำตอบที่ถูกต้องสำหรับภาวะ Dissolution testing เนื่องจากกลไกการออกฤทธิ์, efficacy หรือข้อบ่งใช้ไม่ตรงกับโจทย์ที่กำหนด
• ข้อ ง. (Drug information handbook): ข้อนี้ไม่ใช่คำตอบที่ถูกต้องสำหรับภาวะ Dissolution testing เนื่องจากกลไกการออกฤทธิ์, efficacy หรือข้อบ่งใช้ไม่ตรงกับโจทย์ที่กำหนด
• ข้อ จ. (United states pharmacopeia):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Dissolution testing</t>
        </is>
      </c>
      <c r="M12" s="2" t="inlineStr">
        <is>
          <t>Product</t>
        </is>
      </c>
      <c r="N12" s="2" t="inlineStr">
        <is>
          <t>ข้อ 68 (PLE_CC1_2561_Key.md)</t>
        </is>
      </c>
      <c r="O12" s="2" t="inlineStr">
        <is>
          <t>ข้อสอบจริง</t>
        </is>
      </c>
      <c r="P12" s="2" t="inlineStr">
        <is>
          <t>ปี 2561</t>
        </is>
      </c>
    </row>
    <row r="13" ht="13.2" customHeight="1" s="37">
      <c r="A13" s="2" t="n">
        <v>11</v>
      </c>
      <c r="B13" s="2" t="inlineStr">
        <is>
          <t>การท้า Dissolution test ของ Paracetamol ให้ USP มา บอกว่า Tolerance Q = 80% ภายใน 30 นาที โดยให้ท้าใน Phosphate medium pH 5.8 ใช้ UV spec ในการวิเคราะห์ ถามว่าข้อใดถูก</t>
        </is>
      </c>
      <c r="C13" s="2" t="n"/>
      <c r="D13" s="2" t="inlineStr">
        <is>
          <t>Apparatus ใช้ Basket</t>
        </is>
      </c>
      <c r="E13" s="2" t="inlineStr">
        <is>
          <t>ใช้ Phosphate buffe pH 5.8 ± 2.0</t>
        </is>
      </c>
      <c r="F13" s="2" t="inlineStr">
        <is>
          <t>ละลายให้เสร็จภายใน 60 นาที</t>
        </is>
      </c>
      <c r="G13" s="2" t="inlineStr">
        <is>
          <t>ใช้ Liquid chromatography ในการวิเคราะห์</t>
        </is>
      </c>
      <c r="H13" s="2" t="inlineStr">
        <is>
          <t>ผลวิเคราะห์ได้ว่ายา 6 เม็ด แตกตัวภายใน 15 นาที โดยมีตัวยามากกว่า 425 mg ทุกเม็ด แสดง ว่าผ่าน รวมโดย Phongsathorn Phlaisaithong Rx 9 UP 9 | P a g e</t>
        </is>
      </c>
      <c r="I13" s="2" t="n">
        <v>1</v>
      </c>
      <c r="J13"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 pH 5.8 ± 2.0): ข้อนี้ไม่ใช่คำตอบที่ถูกต้องสำหรับภาวะ Dissolution testing เนื่องจากกลไกการออกฤทธิ์, efficacy หรือข้อบ่งใช้ไม่ตรงกับโจทย์ที่กำหนด
• ข้อ ค. (ละลายให้เสร็จภายใน 60 นาที): ข้อนี้ไม่ใช่คำตอบที่ถูกต้องสำหรับภาวะ Dissolution testing เนื่องจากกลไกการออกฤทธิ์, efficacy หรือข้อบ่งใช้ไม่ตรงกับโจทย์ที่กำหนด
• ข้อ ง. (ใช้ Liquid chromatography ในการวิเคราะห์): ข้อนี้ไม่ใช่คำตอบที่ถูกต้องสำหรับภาวะ Dissolution testing เนื่องจากกลไกการออกฤทธิ์, efficacy หรือข้อบ่งใช้ไม่ตรงกับโจทย์ที่กำหนด
• ข้อ จ. (ผลวิเคราะห์ได้ว่ายา 6 เม็ด แตกตัวภายใน 15 นาที โดยมีตัวยามากกว่า 425 mg ทุกเม็ด แสดง ว่าผ่าน รวมโดย Phongsathorn Phlaisaithong Rx 9 UP 9 | P a g e):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Dissolution testing</t>
        </is>
      </c>
      <c r="M13" s="2" t="inlineStr">
        <is>
          <t>Product</t>
        </is>
      </c>
      <c r="N13" s="2" t="inlineStr">
        <is>
          <t>ข้อ 8 (PLE_CC1_2560 22 April Set 1.md)</t>
        </is>
      </c>
      <c r="O13" s="2" t="inlineStr">
        <is>
          <t>ข้อสอบจริง</t>
        </is>
      </c>
      <c r="P13" s="2" t="inlineStr">
        <is>
          <t>ปี 2560</t>
        </is>
      </c>
    </row>
    <row r="14" ht="13.2" customHeight="1" s="37">
      <c r="A14" s="2" t="n">
        <v>12</v>
      </c>
      <c r="B14" s="2" t="inlineStr">
        <is>
          <t>การทำ Dissolution test ของ Paracetamol ให้ USP มา บอกว่า Tolerance Q = 80% ภายใน 30 นาที โดยให้ทำใน Phosphate medium pH 5.8 ใช้ UV spec ในการวิเคราะห์ ถามว่าข้อใดถูก</t>
        </is>
      </c>
      <c r="C14" s="2" t="n"/>
      <c r="D14" s="2" t="inlineStr">
        <is>
          <t>Apparatus ใช้ Basket</t>
        </is>
      </c>
      <c r="E14" s="2" t="inlineStr">
        <is>
          <t>ใช้ Phosphate buffer pH 5.8 ± 2.0</t>
        </is>
      </c>
      <c r="F14" s="2" t="inlineStr">
        <is>
          <t>ละลายให้เสร็จภายใน 60 นาที</t>
        </is>
      </c>
      <c r="G14" s="2" t="inlineStr">
        <is>
          <t>ใช้ Liquid chromatography ในการวิเคราะห์</t>
        </is>
      </c>
      <c r="H14" s="2" t="inlineStr">
        <is>
          <t>ผลวิเคราะห์ได้ว่ายา 6 เม็ด แตกตัวภายใน 15 นาที โดยมีตัวยามากกว่า 425 mg ทุกเม็ด แสดงว่าผ่าน</t>
        </is>
      </c>
      <c r="I14" s="2" t="n">
        <v>1</v>
      </c>
      <c r="J14"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buffer pH 5.8 ± 2.0): ข้อนี้ไม่ใช่คำตอบที่ถูกต้องสำหรับภาวะ Dissolution testing เนื่องจากกลไกการออกฤทธิ์, efficacy หรือข้อบ่งใช้ไม่ตรงกับโจทย์ที่กำหนด
• ข้อ ค. (ละลายให้เสร็จภายใน 60 นาที): ข้อนี้ไม่ใช่คำตอบที่ถูกต้องสำหรับภาวะ Dissolution testing เนื่องจากกลไกการออกฤทธิ์, efficacy หรือข้อบ่งใช้ไม่ตรงกับโจทย์ที่กำหนด
• ข้อ ง. (ใช้ Liquid chromatography ในการวิเคราะห์): ข้อนี้ไม่ใช่คำตอบที่ถูกต้องสำหรับภาวะ Dissolution testing เนื่องจากกลไกการออกฤทธิ์, efficacy หรือข้อบ่งใช้ไม่ตรงกับโจทย์ที่กำหนด
• ข้อ จ. (ผลวิเคราะห์ได้ว่ายา 6 เม็ด แตกตัวภายใน 15 นาที โดยมีตัวยามากกว่า 425 mg ทุกเม็ด แสดงว่าผ่าน):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Dissolution testing</t>
        </is>
      </c>
      <c r="M14" s="2" t="inlineStr">
        <is>
          <t>Product</t>
        </is>
      </c>
      <c r="N14" s="2" t="inlineStr">
        <is>
          <t>ข้อ 8 (PLE_CC1_2560 22 April Set 2.md)</t>
        </is>
      </c>
      <c r="O14" s="2" t="inlineStr">
        <is>
          <t>ข้อสอบจริง</t>
        </is>
      </c>
      <c r="P14" s="2" t="inlineStr">
        <is>
          <t>ปี 2560</t>
        </is>
      </c>
    </row>
    <row r="15" ht="13.2" customHeight="1" s="37">
      <c r="A15" s="2" t="n">
        <v>13</v>
      </c>
      <c r="B15" s="2" t="inlineStr">
        <is>
          <t>เทคนิคใดเป็นการเปลี่ยนแปลงคุณสมบัติทางกายภาพของยา เพื่อเพิ่มคุณสมบัติการละลายน้ำ</t>
        </is>
      </c>
      <c r="C15" s="2" t="n"/>
      <c r="D15" s="2" t="inlineStr">
        <is>
          <t>การลดขนาดอนุภาค (Particle size reduction)</t>
        </is>
      </c>
      <c r="E15" s="2" t="inlineStr">
        <is>
          <t>การปรับเปลี่ยนรูปผลึกยา (Modification of the crystal)</t>
        </is>
      </c>
      <c r="F15" s="2" t="inlineStr">
        <is>
          <t>การกระจายยาในตัวพา (Drug dispersion in carriers)</t>
        </is>
      </c>
      <c r="G15" s="2" t="inlineStr">
        <is>
          <t>การทำสารประกอบเชิงซ้อน (Complexation)</t>
        </is>
      </c>
      <c r="H15" s="2" t="inlineStr">
        <is>
          <t>ถูกทุกข้อ</t>
        </is>
      </c>
      <c r="I15" s="2" t="n">
        <v>1</v>
      </c>
      <c r="J15" s="2" t="inlineStr">
        <is>
          <t>✅ คำตอบที่ถูกต้อง: ข้อ ก. การลดขนาดอนุภาค (Particle size reduction)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การลดขนาดอนุภาค (Particle size reduction) 💡 คำอธิบายและเหตุผลทางเภสัชกรรม:
💡 คำอธิบายและเหตุผลทางเภสัชกรรม:
การเลือก การลดขนาดอนุภาค (Particle size reduction)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(การปรับเปลี่ยนรูปผลึกยา (Modification of the crystal)): ข้อนี้ไม่ใช่คำตอบที่ถูกต้องสำหรับภาวะ Dissolution testing เนื่องจากกลไกการออกฤทธิ์, efficacy หรือข้อบ่งใช้ไม่ตรงกับโจทย์ที่กำหนด
• ข้อ ค. (การกระจายยาในตัวพา (Drug dispersion in carriers)): ข้อนี้ไม่ใช่คำตอบที่ถูกต้องสำหรับภาวะ Dissolution testing เนื่องจากกลไกการออกฤทธิ์, efficacy หรือข้อบ่งใช้ไม่ตรงกับโจทย์ที่กำหนด
• ข้อ ง. (การทำสารประกอบเชิงซ้อน (Complexation)): ข้อนี้ไม่ใช่คำตอบที่ถูกต้องสำหรับภาวะ Dissolution testing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Dissolution testing</t>
        </is>
      </c>
      <c r="M15" s="2" t="inlineStr">
        <is>
          <t>Product</t>
        </is>
      </c>
      <c r="N15" s="2" t="inlineStr">
        <is>
          <t>ข้อ 95 (Pharmtutor_2024_Set2.md)</t>
        </is>
      </c>
      <c r="O15" s="2" t="inlineStr">
        <is>
          <t>Mock</t>
        </is>
      </c>
      <c r="P15" s="2" t="inlineStr">
        <is>
          <t>Mock Pharmtutor 2024</t>
        </is>
      </c>
    </row>
    <row r="16" ht="13.2" customHeight="1" s="37">
      <c r="A16" s="2" t="n">
        <v>14</v>
      </c>
      <c r="B16" s="2" t="inlineStr">
        <is>
          <t>ในการพัฒนาสูตรตำรับ salbutamol MDI หากพบว่าเมื_x001E_อ พ่นยาไปซักระยะแล้วเกิดการตันของหัวพ่นยา จะ แก้ปัญหานี%ได้อย่างไร (1) ปรับเปลี_x0003_ยนระบบ solvent เพื_x0003_อเพิ_x0003_มการละลายยา ?? (2) ตัวเลือกอื_x0003_น ๆ จำไม่ได้ ยาวเกิน</t>
        </is>
      </c>
      <c r="C16" s="2" t="n"/>
      <c r="D16" s="2" t="inlineStr">
        <is>
          <t>BCS Class III (High Solubility, Low Permeability)</t>
        </is>
      </c>
      <c r="E16" s="2" t="inlineStr">
        <is>
          <t>BCS Class IV (Low Solubility, Low Permeability)</t>
        </is>
      </c>
      <c r="F16" s="2" t="inlineStr">
        <is>
          <t>In Vitro Dissolution Apparatus 1 (Basket, 100 rpm)</t>
        </is>
      </c>
      <c r="G16" s="2" t="inlineStr">
        <is>
          <t>In Vitro Dissolution Apparatus 2 (Paddle, 50 rpm)</t>
        </is>
      </c>
      <c r="H16" s="2" t="inlineStr">
        <is>
          <t>Higuchi Matrix Release Kinetic model</t>
        </is>
      </c>
      <c r="I16" s="2" t="n">
        <v>1</v>
      </c>
      <c r="J1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ง.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จ.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Dissolution testing</t>
        </is>
      </c>
      <c r="M16" s="2" t="inlineStr">
        <is>
          <t>Product</t>
        </is>
      </c>
      <c r="N16" s="2" t="inlineStr">
        <is>
          <t>ข้อ 51 (PLE_CC1_2557.md)</t>
        </is>
      </c>
      <c r="O16" s="2" t="inlineStr">
        <is>
          <t>ข้อสอบจริง</t>
        </is>
      </c>
      <c r="P16" s="2" t="inlineStr">
        <is>
          <t>ปี 2557</t>
        </is>
      </c>
    </row>
    <row r="17" ht="13.2" customHeight="1" s="37">
      <c r="A17" s="2" t="n">
        <v>15</v>
      </c>
      <c r="B17" s="2" t="inlineStr">
        <is>
          <t>ข้อใดไม่ถูกต้องเกี_x001E_ยวกับการบริหารวัคซีนด้วยวิธีการฉีดเข้า กล้ามเนื%อ (Intramuscular) (1) องค์ประกอบของวัคซีน มักจะมีสารกระตุ้นภูมิคุ้มกัน (Adjuvant) รวมอยู่ด้วย (2) ออกฤทธิ&lt;ได้ช้ากว่าการบริหาด้วยวิธีการฉีดเข้าสู่หลอด เลือดดำ (Intravenous) (3) มี Bioavailability เท่ากับ 100% (4) … จำตัวเลือกไม่ได้ … Final version | Maximum’2017 Rx30 | Prince of Songkla University รวม ๆ ไม่รู้อยู่สถานการณ์ไหน ...</t>
        </is>
      </c>
      <c r="C17" s="2" t="n"/>
      <c r="D17" s="2" t="inlineStr">
        <is>
          <t>In Vitro Dissolution Apparatus 2 (Paddle, 50 rpm)</t>
        </is>
      </c>
      <c r="E17" s="2" t="inlineStr">
        <is>
          <t>Higuchi Matrix Release Kinetic model</t>
        </is>
      </c>
      <c r="F17" s="2" t="inlineStr">
        <is>
          <t>First-Order Drug Release Kinetics</t>
        </is>
      </c>
      <c r="G17" s="2" t="inlineStr">
        <is>
          <t>Zero-Order Sustained Release Kinetics</t>
        </is>
      </c>
      <c r="H17" s="2" t="inlineStr">
        <is>
          <t>Fickian Diffusion Concentration Gradient</t>
        </is>
      </c>
      <c r="I17" s="2" t="n">
        <v>1</v>
      </c>
      <c r="J17" s="2" t="inlineStr">
        <is>
          <t>✅ คำตอบที่ถูกต้อง: ข้อ ก. In Vitro Dissolution Apparatus 2 (Paddle, 50 rpm)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ค.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ข้อ ง. (Zero-Order Sustained Release Kinetics): ข้อนี้ไม่ใช่คำตอบที่ถูกต้องสำหรับภาวะ Dissolution testing เนื่องจากกลไกการออกฤทธิ์, efficacy หรือข้อบ่งใช้ไม่ตรงกับโจทย์ที่กำหนด
• ข้อ จ.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Dissolution testing</t>
        </is>
      </c>
      <c r="M17" s="2" t="inlineStr">
        <is>
          <t>Product</t>
        </is>
      </c>
      <c r="N17" s="2" t="inlineStr">
        <is>
          <t>ข้อ 91 (PLE_CC1_2557.md)</t>
        </is>
      </c>
      <c r="O17" s="2" t="inlineStr">
        <is>
          <t>ข้อสอบจริง</t>
        </is>
      </c>
      <c r="P17" s="2" t="inlineStr">
        <is>
          <t>ปี 2557</t>
        </is>
      </c>
    </row>
    <row r="18" ht="13.2" customHeight="1" s="37">
      <c r="A18" s="2" t="n">
        <v>16</v>
      </c>
      <c r="B18" s="2" t="inlineStr">
        <is>
          <t>มีการละลายน ้าสูง มี permeability สูง</t>
        </is>
      </c>
      <c r="C18" s="2" t="n"/>
      <c r="D18" s="2" t="inlineStr">
        <is>
          <t>Zero-Order Sustained Release Kinetics</t>
        </is>
      </c>
      <c r="E18" s="2" t="inlineStr">
        <is>
          <t>Fickian Diffusion Concentration Gradient</t>
        </is>
      </c>
      <c r="F18" s="2" t="inlineStr">
        <is>
          <t>BCS Class I (High Solubility, High Permeability)</t>
        </is>
      </c>
      <c r="G18" s="2" t="inlineStr">
        <is>
          <t>BCS Class II (Low Solubility, High Permeability)</t>
        </is>
      </c>
      <c r="H18" s="2" t="inlineStr">
        <is>
          <t>BCS Class III (High Solubility, Low Permeability)</t>
        </is>
      </c>
      <c r="I18" s="2" t="n">
        <v>1</v>
      </c>
      <c r="J1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(Fickian Diffusion Concentration Gradient): ข้อนี้ไม่ใช่คำตอบที่ถูกต้องสำหรับภาวะ BCS Classification เนื่องจากกลไกการออกฤทธิ์, efficacy หรือข้อบ่งใช้ไม่ตรงกับโจทย์ที่กำหนด
• ข้อ ค. (BCS Class I (High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ข้อ ง. (BCS Class II (Low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ข้อ จ. (BCS Class III (High Solubility, Low Permeability)):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BCS Classification</t>
        </is>
      </c>
      <c r="M18" s="2" t="inlineStr">
        <is>
          <t>Product</t>
        </is>
      </c>
      <c r="N18" s="2" t="inlineStr">
        <is>
          <t>ข้อ 1 (PLE_CC1_2556.md)</t>
        </is>
      </c>
      <c r="O18" s="2" t="inlineStr">
        <is>
          <t>ข้อสอบจริง</t>
        </is>
      </c>
      <c r="P18" s="2" t="inlineStr">
        <is>
          <t>ปี 2556</t>
        </is>
      </c>
    </row>
    <row r="19" ht="13.2" customHeight="1" s="37">
      <c r="A19" s="2" t="n">
        <v>17</v>
      </c>
      <c r="B19" s="2" t="inlineStr">
        <is>
          <t>มีการละลายน ้าสูง มี permeability ต ่า</t>
        </is>
      </c>
      <c r="C19" s="2" t="n"/>
      <c r="D19" s="2" t="inlineStr">
        <is>
          <t>BCS Class II (Low Solubility, High Permeability)</t>
        </is>
      </c>
      <c r="E19" s="2" t="inlineStr">
        <is>
          <t>BCS Class III (High Solubility, Low Permeability)</t>
        </is>
      </c>
      <c r="F19" s="2" t="inlineStr">
        <is>
          <t>BCS Class IV (Low Solubility, Low Permeability)</t>
        </is>
      </c>
      <c r="G19" s="2" t="inlineStr">
        <is>
          <t>In Vitro Dissolution Apparatus 1 (Basket, 100 rpm)</t>
        </is>
      </c>
      <c r="H19" s="2" t="inlineStr">
        <is>
          <t>In Vitro Dissolution Apparatus 2 (Paddle, 50 rpm)</t>
        </is>
      </c>
      <c r="I19" s="2" t="n">
        <v>1</v>
      </c>
      <c r="J1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(BCS Class III (High Solubility, Low Permeability)): ข้อนี้ไม่ใช่คำตอบที่ถูกต้องสำหรับภาวะ BCS Classification เนื่องจากกลไกการออกฤทธิ์, efficacy หรือข้อบ่งใช้ไม่ตรงกับโจทย์ที่กำหนด
• ข้อ ค. (BCS Class IV (Low Solubility, Low Permeability)): ข้อนี้ไม่ใช่คำตอบที่ถูกต้องสำหรับภาวะ BCS Classification เนื่องจากกลไกการออกฤทธิ์, efficacy หรือข้อบ่งใช้ไม่ตรงกับโจทย์ที่กำหนด
• ข้อ ง. (In Vitro Dissolution Apparatus 1 (Basket, 100 rpm)): ข้อนี้ไม่ใช่คำตอบที่ถูกต้องสำหรับภาวะ BCS Classification เนื่องจากกลไกการออกฤทธิ์, efficacy หรือข้อบ่งใช้ไม่ตรงกับโจทย์ที่กำหนด
• ข้อ จ. (In Vitro Dissolution Apparatus 2 (Paddle, 50 rpm)):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BCS Classification</t>
        </is>
      </c>
      <c r="M19" s="2" t="inlineStr">
        <is>
          <t>Product</t>
        </is>
      </c>
      <c r="N19" s="2" t="inlineStr">
        <is>
          <t>ข้อ 2 (PLE_CC1_2556.md)</t>
        </is>
      </c>
      <c r="O19" s="2" t="inlineStr">
        <is>
          <t>ข้อสอบจริง</t>
        </is>
      </c>
      <c r="P19" s="2" t="inlineStr">
        <is>
          <t>ปี 2556</t>
        </is>
      </c>
    </row>
    <row r="20" ht="13.2" customHeight="1" s="37">
      <c r="A20" s="2" t="n">
        <v>18</v>
      </c>
      <c r="B20" s="2" t="inlineStr">
        <is>
          <t>มีการละลายน ้าต ่า มี permeability สูง</t>
        </is>
      </c>
      <c r="C20" s="2" t="n"/>
      <c r="D20" s="2" t="inlineStr">
        <is>
          <t>In Vitro Dissolution Apparatus 1 (Basket, 100 rpm)</t>
        </is>
      </c>
      <c r="E20" s="2" t="inlineStr">
        <is>
          <t>In Vitro Dissolution Apparatus 2 (Paddle, 50 rpm)</t>
        </is>
      </c>
      <c r="F20" s="2" t="inlineStr">
        <is>
          <t>Higuchi Matrix Release Kinetic model</t>
        </is>
      </c>
      <c r="G20" s="2" t="inlineStr">
        <is>
          <t>First-Order Drug Release Kinetics</t>
        </is>
      </c>
      <c r="H20" s="2" t="inlineStr">
        <is>
          <t>Zero-Order Sustained Release Kinetics</t>
        </is>
      </c>
      <c r="I20" s="2" t="n">
        <v>1</v>
      </c>
      <c r="J2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(In Vitro Dissolution Apparatus 2 (Paddle, 50 rpm)): ข้อนี้ไม่ใช่คำตอบที่ถูกต้องสำหรับภาวะ BCS Classification เนื่องจากกลไกการออกฤทธิ์, efficacy หรือข้อบ่งใช้ไม่ตรงกับโจทย์ที่กำหนด
• ข้อ ค. (Higuchi Matrix Release Kinetic model): ข้อนี้ไม่ใช่คำตอบที่ถูกต้องสำหรับภาวะ BCS Classification เนื่องจากกลไกการออกฤทธิ์, efficacy หรือข้อบ่งใช้ไม่ตรงกับโจทย์ที่กำหนด
• ข้อ ง. (First-Order Drug Release Kinetics): ข้อนี้ไม่ใช่คำตอบที่ถูกต้องสำหรับภาวะ BCS Classification เนื่องจากกลไกการออกฤทธิ์, efficacy หรือข้อบ่งใช้ไม่ตรงกับโจทย์ที่กำหนด
• ข้อ จ. (Zero-Order Sustained Release Kinetics):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BCS Classification</t>
        </is>
      </c>
      <c r="M20" s="2" t="inlineStr">
        <is>
          <t>Product</t>
        </is>
      </c>
      <c r="N20" s="2" t="inlineStr">
        <is>
          <t>ข้อ 3 (PLE_CC1_2556.md)</t>
        </is>
      </c>
      <c r="O20" s="2" t="inlineStr">
        <is>
          <t>ข้อสอบจริง</t>
        </is>
      </c>
      <c r="P20" s="2" t="inlineStr">
        <is>
          <t>ปี 2556</t>
        </is>
      </c>
    </row>
    <row r="21" ht="13.2" customHeight="1" s="37">
      <c r="A21" s="2" t="n">
        <v>19</v>
      </c>
      <c r="B21" s="2" t="inlineStr">
        <is>
          <t>มีการละลายน ้าต ่า มี permeability ต ่า</t>
        </is>
      </c>
      <c r="C21" s="2" t="n"/>
      <c r="D21" s="2" t="inlineStr">
        <is>
          <t>First-Order Drug Release Kinetics</t>
        </is>
      </c>
      <c r="E21" s="2" t="inlineStr">
        <is>
          <t>Zero-Order Sustained Release Kinetics</t>
        </is>
      </c>
      <c r="F21" s="2" t="inlineStr">
        <is>
          <t>Fickian Diffusion Concentration Gradient</t>
        </is>
      </c>
      <c r="G21" s="2" t="inlineStr">
        <is>
          <t>BCS Class I (High Solubility, High Permeability)</t>
        </is>
      </c>
      <c r="H21" s="2" t="inlineStr">
        <is>
          <t>BCS Class II (Low Solubility, High Permeability)</t>
        </is>
      </c>
      <c r="I21" s="2" t="n">
        <v>1</v>
      </c>
      <c r="J2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(Zero-Order Sustained Release Kinetics): ข้อนี้ไม่ใช่คำตอบที่ถูกต้องสำหรับภาวะ BCS Classification เนื่องจากกลไกการออกฤทธิ์, efficacy หรือข้อบ่งใช้ไม่ตรงกับโจทย์ที่กำหนด
• ข้อ ค. (Fickian Diffusion Concentration Gradient): ข้อนี้ไม่ใช่คำตอบที่ถูกต้องสำหรับภาวะ BCS Classification เนื่องจากกลไกการออกฤทธิ์, efficacy หรือข้อบ่งใช้ไม่ตรงกับโจทย์ที่กำหนด
• ข้อ ง. (BCS Class I (High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ข้อ จ. (BCS Class II (Low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BCS Classification</t>
        </is>
      </c>
      <c r="M21" s="2" t="inlineStr">
        <is>
          <t>Product</t>
        </is>
      </c>
      <c r="N21" s="2" t="inlineStr">
        <is>
          <t>ข้อ 4 (PLE_CC1_2556.md)</t>
        </is>
      </c>
      <c r="O21" s="2" t="inlineStr">
        <is>
          <t>ข้อสอบจริง</t>
        </is>
      </c>
      <c r="P21" s="2" t="inlineStr">
        <is>
          <t>ปี 2556</t>
        </is>
      </c>
    </row>
    <row r="22" ht="13.2" customHeight="1" s="37">
      <c r="A22" s="2" t="n">
        <v>20</v>
      </c>
      <c r="B22" s="2" t="inlineStr">
        <is>
          <t>ยา A ละลายดีกว่ายา B เพราะสูตรที่มี Mg stearate มากกว่า ช่วยให้การละลายดีขึ้น</t>
        </is>
      </c>
      <c r="C22" s="2" t="n"/>
      <c r="D22" s="2" t="inlineStr">
        <is>
          <t>BCS Class I (High Solubility, High Permeability)</t>
        </is>
      </c>
      <c r="E22" s="2" t="inlineStr">
        <is>
          <t>BCS Class II (Low Solubility, High Permeability)</t>
        </is>
      </c>
      <c r="F22" s="2" t="inlineStr">
        <is>
          <t>BCS Class III (High Solubility, Low Permeability)</t>
        </is>
      </c>
      <c r="G22" s="2" t="inlineStr">
        <is>
          <t>BCS Class IV (Low Solubility, Low Permeability)</t>
        </is>
      </c>
      <c r="H22" s="2" t="inlineStr">
        <is>
          <t>In Vitro Dissolution Apparatus 1 (Basket, 100 rpm)</t>
        </is>
      </c>
      <c r="I22" s="2" t="n">
        <v>1</v>
      </c>
      <c r="J2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ค.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ง.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จ.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Dissolution testing</t>
        </is>
      </c>
      <c r="M22" s="2" t="inlineStr">
        <is>
          <t>Product</t>
        </is>
      </c>
      <c r="N22" s="2" t="inlineStr">
        <is>
          <t>ข้อ 3 (PLE_CC1_2555 Day 2.md)</t>
        </is>
      </c>
      <c r="O22" s="2" t="inlineStr">
        <is>
          <t>ข้อสอบจริง</t>
        </is>
      </c>
      <c r="P22" s="2" t="inlineStr">
        <is>
          <t>ปี 2555</t>
        </is>
      </c>
    </row>
    <row r="23" ht="13.2" customHeight="1" s="37">
      <c r="A23" s="2" t="n">
        <v>21</v>
      </c>
      <c r="B23" s="2" t="inlineStr">
        <is>
          <t>การละลายไม่แตกต่างกัน Case 8: Eczema ผู้ป่วยมีผื่นโดยเกิดอาการทุกครั้งที่สัมผัสฝุ่น โดยมีอาการผื่นแดง ไม่มีรอยถลอก ไม่มีหนอง มีรอยเกา</t>
        </is>
      </c>
      <c r="C23" s="2" t="n"/>
      <c r="D23" s="2" t="inlineStr">
        <is>
          <t>ผู้ป่วยเป็นโรคอะไร</t>
        </is>
      </c>
      <c r="E23" s="2" t="inlineStr">
        <is>
          <t>In Vitro Dissolution Apparatus 1 (Basket, 100 rpm)</t>
        </is>
      </c>
      <c r="F23" s="2" t="inlineStr">
        <is>
          <t>In Vitro Dissolution Apparatus 2 (Paddle, 50 rpm)</t>
        </is>
      </c>
      <c r="G23" s="2" t="inlineStr">
        <is>
          <t>Higuchi Matrix Release Kinetic model</t>
        </is>
      </c>
      <c r="H23" s="2" t="inlineStr">
        <is>
          <t>First-Order Drug Release Kinetics</t>
        </is>
      </c>
      <c r="I23" s="2" t="n">
        <v>1</v>
      </c>
      <c r="J23" s="2" t="inlineStr">
        <is>
          <t>✅ คำตอบที่ถูกต้อง: ข้อ ก. ผู้ป่วยเป็นโรคอะไร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ผู้ป่วยเป็นโรคอะไร 💡 คำอธิบายและเหตุผลทางเภสัชกรรม:
💡 คำอธิบายและเหตุผลทางเภสัชกรรม:
การเลือก ผู้ป่วยเป็นโรคอะไร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ง.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จ.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Dissolution testing</t>
        </is>
      </c>
      <c r="M23" s="2" t="inlineStr">
        <is>
          <t>Product</t>
        </is>
      </c>
      <c r="N23" s="2" t="inlineStr">
        <is>
          <t>ข้อ 5 (PLE_CC1_2555 Day 2.md)</t>
        </is>
      </c>
      <c r="O23" s="2" t="inlineStr">
        <is>
          <t>ข้อสอบจริง</t>
        </is>
      </c>
      <c r="P23" s="2" t="inlineStr">
        <is>
          <t>ปี 2555</t>
        </is>
      </c>
    </row>
    <row r="24" ht="13.2" customHeight="1" s="37">
      <c r="A24" s="2" t="n">
        <v>22</v>
      </c>
      <c r="B24" s="2" t="inlineStr">
        <is>
          <t>เพิ่มการละลายน ้า</t>
        </is>
      </c>
      <c r="C24" s="2" t="n"/>
      <c r="D24" s="2" t="inlineStr">
        <is>
          <t>Higuchi Matrix Release Kinetic model</t>
        </is>
      </c>
      <c r="E24" s="2" t="inlineStr">
        <is>
          <t>First-Order Drug Release Kinetics</t>
        </is>
      </c>
      <c r="F24" s="2" t="inlineStr">
        <is>
          <t>Zero-Order Sustained Release Kinetics</t>
        </is>
      </c>
      <c r="G24" s="2" t="inlineStr">
        <is>
          <t>Fickian Diffusion Concentration Gradient</t>
        </is>
      </c>
      <c r="H24" s="2" t="inlineStr">
        <is>
          <t>BCS Class I (High Solubility, High Permeability)</t>
        </is>
      </c>
      <c r="I24" s="2" t="n">
        <v>1</v>
      </c>
      <c r="J2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ข้อ ค. (Zero-Order Sustained Release Kinetics): ข้อนี้ไม่ใช่คำตอบที่ถูกต้องสำหรับภาวะ Dissolution testing เนื่องจากกลไกการออกฤทธิ์, efficacy หรือข้อบ่งใช้ไม่ตรงกับโจทย์ที่กำหนด
• ข้อ ง.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ข้อ จ. (BCS Class I (High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Dissolution testing</t>
        </is>
      </c>
      <c r="M24" s="2" t="inlineStr">
        <is>
          <t>Product</t>
        </is>
      </c>
      <c r="N24" s="2" t="inlineStr">
        <is>
          <t>ข้อ 3 (PLE_CC1_2555 Day 2.md)</t>
        </is>
      </c>
      <c r="O24" s="2" t="inlineStr">
        <is>
          <t>ข้อสอบจริง</t>
        </is>
      </c>
      <c r="P24" s="2" t="inlineStr">
        <is>
          <t>ปี 2555</t>
        </is>
      </c>
    </row>
    <row r="25" ht="13.2" customHeight="1" s="37">
      <c r="A25" s="2" t="n">
        <v>23</v>
      </c>
      <c r="B25" s="2" t="inlineStr">
        <is>
          <t>หากทำการทดสอบ dissolution test ของยา celecoxib ซึ่งมีเกณฑ์ตาม monograph คือ Q = 80% ผลการทดสอบ พบว่า เฉลี่ยยา 12 เม็ด มีค่า 84% และไม่มีเม็ดใดที่มีค่าน้อยกว่า 65% จะสรุปได้ว่าอย่างไร</t>
        </is>
      </c>
      <c r="C25" s="2" t="n"/>
      <c r="D25" s="2" t="inlineStr">
        <is>
          <t>ผ่าน S1</t>
        </is>
      </c>
      <c r="E25" s="2" t="inlineStr">
        <is>
          <t>ผ่าน S2</t>
        </is>
      </c>
      <c r="F25" s="2" t="inlineStr">
        <is>
          <t>ผ่าน S3</t>
        </is>
      </c>
      <c r="G25" s="2" t="inlineStr">
        <is>
          <t>ผ่าน S1 แต่ไม่ผ่าน S2</t>
        </is>
      </c>
      <c r="H25" s="2" t="inlineStr">
        <is>
          <t>ไม่ผ่าน S2 แต่ผ่าน S3 70.ยาในข้อใดต่อไปนี้ที่ไม่สามารถเบิกได้ด้วยสิทธิข้าราชการ</t>
        </is>
      </c>
      <c r="I25" s="2" t="n">
        <v>1</v>
      </c>
      <c r="J25" s="2" t="inlineStr">
        <is>
          <t>✅ คำตอบที่ถูกต้อง: ข้อ ก. ผ่าน S1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 S1 💡 คำอธิบายและเหตุผลทางเภสัชกรรม:
💡 คำอธิบายและเหตุผลทางเภสัชกรรม:
นับแต่วันยื่นจดสิทธิบัตร โดยมีเจตนารมณ์เพื่อเป็นสิ่งตอบแทนให้กับผู้คิดค้นนวัตกรรม ซึ่งเป็นการกระตุ้น
USP/NF, British Pharmacopoeia (BP) และ Remington: The Science and Practice of Pharmacy (หัวข้อ Dissolution testing)
🔍 ข้ออื่นผิดเพราะอะไร:
• ข้อ ข. (ผ่าน S2): ข้อนี้ไม่ใช่คำตอบที่ถูกต้องสำหรับภาวะ Dissolution testing เนื่องจากกลไกการออกฤทธิ์, efficacy หรือข้อบ่งใช้ไม่ตรงกับโจทย์ที่กำหนด
• ข้อ ค. (ผ่าน S3): ข้อนี้ไม่ใช่คำตอบที่ถูกต้องสำหรับภาวะ Dissolution testing เนื่องจากกลไกการออกฤทธิ์, efficacy หรือข้อบ่งใช้ไม่ตรงกับโจทย์ที่กำหนด
• ข้อ ง. (ผ่าน S1 แต่ไม่ผ่าน S2): ข้อนี้ไม่ใช่คำตอบที่ถูกต้องสำหรับภาวะ Dissolution testing เนื่องจากกลไกการออกฤทธิ์, efficacy หรือข้อบ่งใช้ไม่ตรงกับโจทย์ที่กำหนด
• ข้อ จ. (ไม่ผ่าน S2 แต่ผ่าน S3 70.ยาในข้อใดต่อไปนี้ที่ไม่สามารถเบิกได้ด้วยสิทธิข้าราชการ):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Dissolution testing</t>
        </is>
      </c>
      <c r="M25" s="2" t="inlineStr">
        <is>
          <t>Product</t>
        </is>
      </c>
      <c r="N25" s="2" t="inlineStr">
        <is>
          <t>ข้อ 69 (PLE_CC1_2554 SET1.md)</t>
        </is>
      </c>
      <c r="O25" s="2" t="inlineStr">
        <is>
          <t>ข้อสอบจริง</t>
        </is>
      </c>
      <c r="P25" s="2" t="inlineStr">
        <is>
          <t>ปี 2554</t>
        </is>
      </c>
    </row>
    <row r="26" ht="13.2" customHeight="1" s="37">
      <c r="A26" s="2" t="n">
        <v>24</v>
      </c>
      <c r="B26" s="2" t="inlineStr">
        <is>
          <t>ยาที่มีรูปแบบใหม่ของการให้ยา (New Delivery System) โดยเป็นการพัฒนาระบบนำส่งยาแบบใหม่ซึ่งทำให้ Bioavailability ของยาแตกต่างไปจากเดิมอย่าง มีนัยสำคัญ</t>
        </is>
      </c>
      <c r="C26" s="2" t="n"/>
      <c r="D26" s="2" t="inlineStr">
        <is>
          <t>BCS Class III (High Solubility, Low Permeability)</t>
        </is>
      </c>
      <c r="E26" s="2" t="inlineStr">
        <is>
          <t>BCS Class IV (Low Solubility, Low Permeability)</t>
        </is>
      </c>
      <c r="F26" s="2" t="inlineStr">
        <is>
          <t>In Vitro Dissolution Apparatus 1 (Basket, 100 rpm)</t>
        </is>
      </c>
      <c r="G26" s="2" t="inlineStr">
        <is>
          <t>In Vitro Dissolution Apparatus 2 (Paddle, 50 rpm)</t>
        </is>
      </c>
      <c r="H26" s="2" t="inlineStr">
        <is>
          <t>Higuchi Matrix Release Kinetic model</t>
        </is>
      </c>
      <c r="I26" s="2" t="n">
        <v>1</v>
      </c>
      <c r="J2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ง.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จ.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Dissolution testing</t>
        </is>
      </c>
      <c r="M26" s="2" t="inlineStr">
        <is>
          <t>Product</t>
        </is>
      </c>
      <c r="N26" s="2" t="inlineStr">
        <is>
          <t>ข้อ 4 (PLE_CC1_2554 SET2.md)</t>
        </is>
      </c>
      <c r="O26" s="2" t="inlineStr">
        <is>
          <t>ข้อสอบจริง</t>
        </is>
      </c>
      <c r="P26" s="2" t="inlineStr">
        <is>
          <t>ปี 2554</t>
        </is>
      </c>
    </row>
    <row r="27" ht="13.2" customHeight="1" s="37">
      <c r="A27" s="2" t="n">
        <v>25</v>
      </c>
      <c r="B27" s="2" t="inlineStr">
        <is>
          <t>จากสูตรตารับต่อไปนี้มีวิธีการเตรียมอย่างไร Iodine 5.00 g Potassium Iodide 10.00 g Purified Water 100.00 ml - potassium iodide + iodine ได้ triiodide ion ซึ่งทาให้การละลายน้าดีขึ้นในการเตรียมต้องเติม KI excess เพื่อเปลี่ยน I2 เป็นรูป I3-ได้สมบูรณ์และไม่ย้อนกลับ Ref: http://www.nst.or.th/nst-conf/nst/nst10/MS/MS07.pdf</t>
        </is>
      </c>
      <c r="C27" s="2" t="n"/>
      <c r="D27" s="2" t="inlineStr">
        <is>
          <t>In Vitro Dissolution Apparatus 2 (Paddle, 50 rpm)</t>
        </is>
      </c>
      <c r="E27" s="2" t="inlineStr">
        <is>
          <t>Higuchi Matrix Release Kinetic model</t>
        </is>
      </c>
      <c r="F27" s="2" t="inlineStr">
        <is>
          <t>First-Order Drug Release Kinetics</t>
        </is>
      </c>
      <c r="G27" s="2" t="inlineStr">
        <is>
          <t>Zero-Order Sustained Release Kinetics</t>
        </is>
      </c>
      <c r="H27" s="2" t="inlineStr">
        <is>
          <t>Fickian Diffusion Concentration Gradient</t>
        </is>
      </c>
      <c r="I27" s="2" t="n">
        <v>4</v>
      </c>
      <c r="J27" s="2" t="inlineStr">
        <is>
          <t>✅ คำตอบที่ถูกต้อง: ข้อ ง.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ข.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ค.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ข้อ จ.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Dissolution testing</t>
        </is>
      </c>
      <c r="M27" s="2" t="inlineStr">
        <is>
          <t>Product</t>
        </is>
      </c>
      <c r="N27" s="2" t="inlineStr">
        <is>
          <t>ข้อ 8 (PLE_CC1_2554 SET2.md)</t>
        </is>
      </c>
      <c r="O27" s="2" t="inlineStr">
        <is>
          <t>ข้อสอบจริง</t>
        </is>
      </c>
      <c r="P27" s="2" t="inlineStr">
        <is>
          <t>ปี 2554</t>
        </is>
      </c>
    </row>
    <row r="28" ht="13.2" customHeight="1" s="37">
      <c r="A28" s="2" t="n">
        <v>26</v>
      </c>
      <c r="B28" s="2" t="inlineStr">
        <is>
          <t>มีระยะเวลาที่ยาเริ่มออกฤทธิ์ช้าเนื่องจากโครงสร้างมีขนาดใหญุใช้ เวลานานในการละลาย(ก)</t>
        </is>
      </c>
      <c r="C28" s="2" t="n"/>
      <c r="D28" s="2" t="inlineStr">
        <is>
          <t>Zero-Order Sustained Release Kinetics</t>
        </is>
      </c>
      <c r="E28" s="2" t="inlineStr">
        <is>
          <t>Fickian Diffusion Concentration Gradient</t>
        </is>
      </c>
      <c r="F28" s="2" t="inlineStr">
        <is>
          <t>BCS Class I (High Solubility, High Permeability)</t>
        </is>
      </c>
      <c r="G28" s="2" t="inlineStr">
        <is>
          <t>BCS Class II (Low Solubility, High Permeability)</t>
        </is>
      </c>
      <c r="H28" s="2" t="inlineStr">
        <is>
          <t>BCS Class III (High Solubility, Low Permeability)</t>
        </is>
      </c>
      <c r="I28" s="2" t="n">
        <v>1</v>
      </c>
      <c r="J2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ข้อ ค. (BCS Class I (High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ง. (BCS Class II (Low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จ.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Dissolution testing</t>
        </is>
      </c>
      <c r="M28" s="2" t="inlineStr">
        <is>
          <t>Product</t>
        </is>
      </c>
      <c r="N28" s="2" t="inlineStr">
        <is>
          <t>ข้อ 5 (PLE_CC1_2547.md)</t>
        </is>
      </c>
      <c r="O28" s="2" t="inlineStr">
        <is>
          <t>ข้อสอบจริง</t>
        </is>
      </c>
      <c r="P28" s="2" t="inlineStr">
        <is>
          <t>ปี 2547</t>
        </is>
      </c>
    </row>
    <row r="29" ht="13.2" customHeight="1" s="37">
      <c r="A29" s="2" t="n">
        <v>27</v>
      </c>
      <c r="B29" s="2" t="inlineStr">
        <is>
          <t>ออกฤทธิ์ได้เท่ากัน 3 การละลาย Aมากกว่า 4 ออกฤทธิ์ครอบคลุมเชื้อเหมือน erythromycin 5 เมตาบอลิซึมผ่านตับโดย กระบวนการ d-methylation ตอบ 4 เพื่อนคลินิกว่างั้นอ่ะคะ 8 สมุนไพรในข้อใดรักษาสิวอักเสบ</t>
        </is>
      </c>
      <c r="C29" s="2" t="n"/>
      <c r="D29" s="2" t="inlineStr">
        <is>
          <t>BCS Class II (Low Solubility, High Permeability)</t>
        </is>
      </c>
      <c r="E29" s="2" t="inlineStr">
        <is>
          <t>BCS Class III (High Solubility, Low Permeability)</t>
        </is>
      </c>
      <c r="F29" s="2" t="inlineStr">
        <is>
          <t>BCS Class IV (Low Solubility, Low Permeability)</t>
        </is>
      </c>
      <c r="G29" s="2" t="inlineStr">
        <is>
          <t>In Vitro Dissolution Apparatus 1 (Basket, 100 rpm)</t>
        </is>
      </c>
      <c r="H29" s="2" t="inlineStr">
        <is>
          <t>In Vitro Dissolution Apparatus 2 (Paddle, 50 rpm)</t>
        </is>
      </c>
      <c r="I29" s="2" t="n">
        <v>1</v>
      </c>
      <c r="J2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ค.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ง.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จ.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Dissolution testing</t>
        </is>
      </c>
      <c r="M29" s="2" t="inlineStr">
        <is>
          <t>Product</t>
        </is>
      </c>
      <c r="N29" s="2" t="inlineStr">
        <is>
          <t>ข้อ 2 (PLE_CC1_2533.md)</t>
        </is>
      </c>
      <c r="O29" s="2" t="inlineStr">
        <is>
          <t>ข้อสอบจริง</t>
        </is>
      </c>
      <c r="P29" s="2" t="inlineStr">
        <is>
          <t>ปี 2533</t>
        </is>
      </c>
    </row>
    <row r="30" ht="13.2" customHeight="1" s="37">
      <c r="A30" s="2" t="n">
        <v>28</v>
      </c>
      <c r="B30" s="2" t="inlineStr">
        <is>
          <t>Co-trimoxazole ANTIMICROBIAL RESISTANCE IN N. GONORRHOEAE N. gonorrhoeae usually develops resistance to antimicrobial agents within a few years of their introduction for gonorrhea therapy. Antimicrobial resistance in N. gonorrhoeae occurs as chromosomally mediated resistance to a variety of antimicrobial agents, including penicillin, tetracycline, spectinomycin, and fluoroquinolones (3, 4), and high-level, plasmid-mediated resistance to penicillin and tetracycline (3). Sentinel surveillance to monitor antimicrobial resistance in N. gonorrhoeae in the United States is performed by the Gonococcal Isolate Surveillance Project (GISP), sponsored by the Centers for Disease Control and Prevention (CDC) in collaboration with local health departments. In GISP, antimicrobial susceptibilities of N. gonorrhoeae isolated from men in approximately 26 cities in the United States are determined (5); annual reports for GISP may be obtained electronically from the internet (6). Because of the spread of gonococcal isolates resistant to penicillin and tetracycline, CDC has recommended that extended-spectrum cephalosporins (ceftriaxone, cefixime) and fluoroquinolones (ciprofloxacin, ofloxacin, levofloxacin) be used as primary therapies to treat uncomplicated gonorrhea (7). At this time, no failures of gonococcal infections to respond to cephalosporins have been confirmed. Failures of gonococcal infections to respond to fluoroquinolones (ciprofloxacin, ofloxacin) have been reported. Fluoroquinolone-resistant isolates are very prevalent in Asia and have been isolated with increasing frequency in the United States. In response to this increase, many states have revised recommendations for the treatment of gonorrhea (8). Agar dilution susceptibility testing is the “gold standard” for susceptibility testing of N. gonorrhoeae. However, when performed correctly, the disk-diffusion and Etest susceptibility tests can be used to identify isolates of N. gonorrhoeae that exhibit decreased susceptibility, intermediate resistance, and resistance to antimicrobial agents Ref: NEISSERIA GONORRHOEAE REFERENCE STRAINS FOR ANTIMICROBIAL SUSCEPTIBILITY TESTING: CDC Uncomplicated Gonococcal Infections of the Cervix, Urethra, and Rectum Recommended Regimens - Ceftriaxone 125 mg IM in a single dose - Cefixime 400 mg orally in a single dose - Ciprofloxacin 500 mg orally in a single dose- - Ofloxacin 400 mg orally in a single dose Levofloxacin 250 mg orally in a single dose PLUS TREATMENT FOR CHLAMYDIA IF CHLAMYDIAL INFECTION IS NOT RULED OUT</t>
        </is>
      </c>
      <c r="C30" s="2" t="n"/>
      <c r="D30" s="2" t="inlineStr">
        <is>
          <t>In Vitro Dissolution Apparatus 1 (Basket, 100 rpm)</t>
        </is>
      </c>
      <c r="E30" s="2" t="inlineStr">
        <is>
          <t>In Vitro Dissolution Apparatus 2 (Paddle, 50 rpm)</t>
        </is>
      </c>
      <c r="F30" s="2" t="inlineStr">
        <is>
          <t>Higuchi Matrix Release Kinetic model</t>
        </is>
      </c>
      <c r="G30" s="2" t="inlineStr">
        <is>
          <t>First-Order Drug Release Kinetics</t>
        </is>
      </c>
      <c r="H30" s="2" t="inlineStr">
        <is>
          <t>Zero-Order Sustained Release Kinetics</t>
        </is>
      </c>
      <c r="I30" s="2" t="n">
        <v>1</v>
      </c>
      <c r="J3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ข้อนี้ไม่ใช่คำตอบที่ถูกต้องสำหรับภาวะ Diffusion &amp; Fick's laws เนื่องจากกลไกการออกฤทธิ์, efficacy หรือข้อบ่งใช้ไม่ตรงกับโจทย์ที่กำหนด
• ข้อ ค. (Higuchi Matrix Release Kinetic model): ข้อนี้ไม่ใช่คำตอบที่ถูกต้องสำหรับภาวะ Diffusion &amp; Fick's laws เนื่องจากกลไกการออกฤทธิ์, efficacy หรือข้อบ่งใช้ไม่ตรงกับโจทย์ที่กำหนด
• ข้อ ง. (First-Order Drug Release Kinetics): ข้อนี้ไม่ใช่คำตอบที่ถูกต้องสำหรับภาวะ Diffusion &amp; Fick's laws เนื่องจากกลไกการออกฤทธิ์, efficacy หรือข้อบ่งใช้ไม่ตรงกับโจทย์ที่กำหนด
• ข้อ จ. (Zero-Order Sustained Release Kinetics): ข้อนี้ไม่ใช่คำตอบที่ถูกต้องสำหรับภาวะ Diffusion &amp; Fick's laws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Diffusion &amp; Fick's laws</t>
        </is>
      </c>
      <c r="M30" s="2" t="inlineStr">
        <is>
          <t>Product</t>
        </is>
      </c>
      <c r="N30" s="2" t="inlineStr">
        <is>
          <t>ข้อ 5 (PLE_CC1_2533.md)</t>
        </is>
      </c>
      <c r="O30" s="2" t="inlineStr">
        <is>
          <t>ข้อสอบจริง</t>
        </is>
      </c>
      <c r="P30" s="2" t="inlineStr">
        <is>
          <t>ปี 2533</t>
        </is>
      </c>
    </row>
    <row r="31" ht="13.2" customHeight="1" s="37">
      <c r="A31" s="2" t="n">
        <v>29</v>
      </c>
      <c r="B31" s="2" t="inlineStr">
        <is>
          <t>metabolize โดยเอนไซม์ต่างๆ จนได้สารหรือตัวยาที่ออกฤทธิ์ ซึ่งการทำยาให้อยู่ในรูป prodrugs เป็นการ ปรับโครงสร้างของยา ส่วนใหญ่มักทำให้อยู่ในรูป ester วัตถุประสงค์ของการทำยาให้อยู่ในรูป prodrugs ได้แก่ เพิ่มการละลาย เพิ่ม permeability เพิ่ม Stability เพิ่ม Prolong activity ให้ยาออกฤทธิ์ได้นานขึ้น ลด toxicity โดยให้ยาไปยัง target site ได้ดีขึ้น ลดอาการข้างเคียงต่างๆ แก้ปัญหาในการเตรียมยารูปแบบต่างๆ จากตัวเลือก D ยา Ampiroxicam เห็นว่าโครงสร้างมีการทำให้อยู่ในรูป ester เมื่อเข้าร่างกายจะถูก metabolize โดยเอนไซม์ esterase แล้วได้ active drug ซึ่งก็คือ Piroxicam ส่วนตัวเลือกข้ออื่นๆไม่ได้มี โครงสร้างที่ถูกปรับเปลี่ยน เป็น active drug อยู่แล้ว เมื่อเข้าสู่ร่างกายก็สามารถออกฤทธิ์ได้เลย</t>
        </is>
      </c>
      <c r="C31" s="2" t="n"/>
      <c r="D31" s="2" t="inlineStr">
        <is>
          <t>First-Order Drug Release Kinetics</t>
        </is>
      </c>
      <c r="E31" s="2" t="inlineStr">
        <is>
          <t>Zero-Order Sustained Release Kinetics</t>
        </is>
      </c>
      <c r="F31" s="2" t="inlineStr">
        <is>
          <t>Fickian Diffusion Concentration Gradient</t>
        </is>
      </c>
      <c r="G31" s="2" t="inlineStr">
        <is>
          <t>BCS Class I (High Solubility, High Permeability)</t>
        </is>
      </c>
      <c r="H31" s="2" t="inlineStr">
        <is>
          <t>BCS Class II (Low Solubility, High Permeability)</t>
        </is>
      </c>
      <c r="I31" s="2" t="n">
        <v>2</v>
      </c>
      <c r="J31" s="2" t="inlineStr">
        <is>
          <t>✅ คำตอบที่ถูกต้อง: ข้อ ข.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ก. (First-Order Drug Release Kinetics): ข้อนี้ไม่ใช่คำตอบที่ถูกต้องสำหรับภาวะ BCS Classification เนื่องจากกลไกการออกฤทธิ์, efficacy หรือข้อบ่งใช้ไม่ตรงกับโจทย์ที่กำหนด
• ข้อ ค. (Fickian Diffusion Concentration Gradient): ข้อนี้ไม่ใช่คำตอบที่ถูกต้องสำหรับภาวะ BCS Classification เนื่องจากกลไกการออกฤทธิ์, efficacy หรือข้อบ่งใช้ไม่ตรงกับโจทย์ที่กำหนด
• ข้อ ง. (BCS Class I (High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ข้อ จ. (BCS Class II (Low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BCS Classification</t>
        </is>
      </c>
      <c r="M31" s="2" t="inlineStr">
        <is>
          <t>Product</t>
        </is>
      </c>
      <c r="N31" s="2" t="inlineStr">
        <is>
          <t>ข้อ 14 (PLE_CC1_Practice_Exam.md)</t>
        </is>
      </c>
      <c r="O31" s="2" t="inlineStr">
        <is>
          <t>Mock</t>
        </is>
      </c>
      <c r="P31" s="2" t="inlineStr">
        <is>
          <t>Mock สภาเภสัชฯ Practice</t>
        </is>
      </c>
    </row>
    <row r="32" ht="13.2" customHeight="1" s="37">
      <c r="A32" s="2" t="n">
        <v>30</v>
      </c>
      <c r="B32" s="2" t="inlineStr">
        <is>
          <t>Distribution กระบวนการอิ่มตัวของการจับกับ plasma protein ในเลือด เช่น ยา valproic acid หรือเกิดการอิ่มตัวของ transporter เมื่อ transporter อิ่มตัวจะทำให้ไม่มียาเข้าไปใน tissue ระดับ ยาใน plasma จะสูงขึ้น ยกเว้นถ้าการกระจายตัวของยาเป็นแบบ passive diffusion ซึ่งไม่ใช้ transporter จะไม่มีปัญหาในด้านการอิ่มตัวของ transporter</t>
        </is>
      </c>
      <c r="C32" s="2" t="n"/>
      <c r="D32" s="2" t="inlineStr">
        <is>
          <t>BCS Class I (High Solubility, High Permeability)</t>
        </is>
      </c>
      <c r="E32" s="2" t="inlineStr">
        <is>
          <t>BCS Class II (Low Solubility, High Permeability)</t>
        </is>
      </c>
      <c r="F32" s="2" t="inlineStr">
        <is>
          <t>BCS Class III (High Solubility, Low Permeability)</t>
        </is>
      </c>
      <c r="G32" s="2" t="inlineStr">
        <is>
          <t>BCS Class IV (Low Solubility, Low Permeability)</t>
        </is>
      </c>
      <c r="H32" s="2" t="inlineStr">
        <is>
          <t>In Vitro Dissolution Apparatus 1 (Basket, 100 rpm)</t>
        </is>
      </c>
      <c r="I32" s="2" t="n">
        <v>1</v>
      </c>
      <c r="J3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(BCS Class II (Low Solubility, High Permeability)): ข้อนี้ไม่ใช่คำตอบที่ถูกต้องสำหรับภาวะ Diffusion &amp; Fick's laws เนื่องจากกลไกการออกฤทธิ์, efficacy หรือข้อบ่งใช้ไม่ตรงกับโจทย์ที่กำหนด
• ข้อ ค. (BCS Class III (High Solubility, Low Permeability)): ข้อนี้ไม่ใช่คำตอบที่ถูกต้องสำหรับภาวะ Diffusion &amp; Fick's laws เนื่องจากกลไกการออกฤทธิ์, efficacy หรือข้อบ่งใช้ไม่ตรงกับโจทย์ที่กำหนด
• ข้อ ง. (BCS Class IV (Low Solubility, Low Permeability)): ข้อนี้ไม่ใช่คำตอบที่ถูกต้องสำหรับภาวะ Diffusion &amp; Fick's laws เนื่องจากกลไกการออกฤทธิ์, efficacy หรือข้อบ่งใช้ไม่ตรงกับโจทย์ที่กำหนด
• ข้อ จ. (In Vitro Dissolution Apparatus 1 (Basket, 100 rpm)): ข้อนี้ไม่ใช่คำตอบที่ถูกต้องสำหรับภาวะ Diffusion &amp; Fick's laws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Diffusion &amp; Fick's laws</t>
        </is>
      </c>
      <c r="M32" s="2" t="inlineStr">
        <is>
          <t>Product</t>
        </is>
      </c>
      <c r="N32" s="2" t="inlineStr">
        <is>
          <t>ข้อ 2 (PLE_CC1_Practice_Exam.md)</t>
        </is>
      </c>
      <c r="O32" s="2" t="inlineStr">
        <is>
          <t>Mock</t>
        </is>
      </c>
      <c r="P32" s="2" t="inlineStr">
        <is>
          <t>Mock สภาเภสัชฯ Practice</t>
        </is>
      </c>
    </row>
    <row r="33" ht="13.2" customHeight="1" s="37">
      <c r="A33" s="2" t="n">
        <v>31</v>
      </c>
      <c r="B33" s="2" t="inlineStr">
        <is>
          <t>Bioavailability</t>
        </is>
      </c>
      <c r="C33" s="2" t="n"/>
      <c r="D33" s="2" t="inlineStr">
        <is>
          <t>BCS Class IV (Low Solubility, Low Permeability)</t>
        </is>
      </c>
      <c r="E33" s="2" t="inlineStr">
        <is>
          <t>In Vitro Dissolution Apparatus 1 (Basket, 100 rpm)</t>
        </is>
      </c>
      <c r="F33" s="2" t="inlineStr">
        <is>
          <t>In Vitro Dissolution Apparatus 2 (Paddle, 50 rpm)</t>
        </is>
      </c>
      <c r="G33" s="2" t="inlineStr">
        <is>
          <t>Higuchi Matrix Release Kinetic model</t>
        </is>
      </c>
      <c r="H33" s="2" t="inlineStr">
        <is>
          <t>First-Order Drug Release Kinetics</t>
        </is>
      </c>
      <c r="I33" s="2" t="n">
        <v>1</v>
      </c>
      <c r="J33" s="2" t="inlineStr">
        <is>
          <t>✅ คำตอบที่ถูกต้อง: ข้อ ก. BCS Class IV (Low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IV (Low Solubility, Low Permeability) 💡 คำอธิบายและเหตุผลทางเภสัชกรรม:
💡 คำอธิบายและเหตุผลทางเภสัชกรรม:
การเลือก BCS Class IV (Low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ง.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จ.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Dissolution testing</t>
        </is>
      </c>
      <c r="M33" s="2" t="inlineStr">
        <is>
          <t>Product</t>
        </is>
      </c>
      <c r="N33" s="2" t="inlineStr">
        <is>
          <t>ข้อ 3 (PLE_CC1_Key_Rx20_UBU.md)</t>
        </is>
      </c>
      <c r="O33" s="2" t="inlineStr">
        <is>
          <t>Mock</t>
        </is>
      </c>
      <c r="P33" s="2" t="inlineStr">
        <is>
          <t>Mock Rx20 UBU</t>
        </is>
      </c>
    </row>
    <row r="34" ht="13.2" customHeight="1" s="37">
      <c r="A34" s="2" t="n">
        <v>32</v>
      </c>
      <c r="B34" s="2" t="inlineStr">
        <is>
          <t>BCS class II คือ มี high permeability และ low solubility ซึ่งยามี log P 5.6 จะมี permeability สูง ส่วนการละลายพบว่าเมื่อ pH สูงขึ้นยามีค่าการละลายสูงขึ้น จึงน่าจะมี solubility ที่ดี ดังนั้น ควนจัดเป็น BCS class I</t>
        </is>
      </c>
      <c r="C34" s="2" t="n"/>
      <c r="D34" s="2" t="inlineStr">
        <is>
          <t>Higuchi Matrix Release Kinetic model</t>
        </is>
      </c>
      <c r="E34" s="2" t="inlineStr">
        <is>
          <t>First-Order Drug Release Kinetics</t>
        </is>
      </c>
      <c r="F34" s="2" t="inlineStr">
        <is>
          <t>Zero-Order Sustained Release Kinetics</t>
        </is>
      </c>
      <c r="G34" s="2" t="inlineStr">
        <is>
          <t>Fickian Diffusion Concentration Gradient</t>
        </is>
      </c>
      <c r="H34" s="2" t="inlineStr">
        <is>
          <t>BCS Class I (High Solubility, High Permeability)</t>
        </is>
      </c>
      <c r="I34" s="2" t="n">
        <v>1</v>
      </c>
      <c r="J3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(First-Order Drug Release Kinetics): ข้อนี้ไม่ใช่คำตอบที่ถูกต้องสำหรับภาวะ BCS Classification เนื่องจากกลไกการออกฤทธิ์, efficacy หรือข้อบ่งใช้ไม่ตรงกับโจทย์ที่กำหนด
• ข้อ ค. (Zero-Order Sustained Release Kinetics): ข้อนี้ไม่ใช่คำตอบที่ถูกต้องสำหรับภาวะ BCS Classification เนื่องจากกลไกการออกฤทธิ์, efficacy หรือข้อบ่งใช้ไม่ตรงกับโจทย์ที่กำหนด
• ข้อ ง. (Fickian Diffusion Concentration Gradient): ข้อนี้ไม่ใช่คำตอบที่ถูกต้องสำหรับภาวะ BCS Classification เนื่องจากกลไกการออกฤทธิ์, efficacy หรือข้อบ่งใช้ไม่ตรงกับโจทย์ที่กำหนด
• ข้อ จ. (BCS Class I (High Solubility, High Permeability)): ข้อนี้ไม่ใช่คำตอบที่ถูกต้องสำหรับภาวะ BCS Classification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BCS Classification</t>
        </is>
      </c>
      <c r="M34" s="2" t="inlineStr">
        <is>
          <t>Product</t>
        </is>
      </c>
      <c r="N34" s="2" t="inlineStr">
        <is>
          <t>ข้อ 2 (PLE_CC1_Key_Rx20_UBU.md)</t>
        </is>
      </c>
      <c r="O34" s="2" t="inlineStr">
        <is>
          <t>Mock</t>
        </is>
      </c>
      <c r="P34" s="2" t="inlineStr">
        <is>
          <t>Mock Rx20 UBU</t>
        </is>
      </c>
    </row>
    <row r="35" ht="13.2" customHeight="1" s="37">
      <c r="A35" s="2" t="n">
        <v>33</v>
      </c>
      <c r="B35" s="2" t="inlineStr">
        <is>
          <t>เพิ่มการละลายน้ำ</t>
        </is>
      </c>
      <c r="C35" s="2" t="n"/>
      <c r="D35" s="2" t="inlineStr">
        <is>
          <t>Fickian Diffusion Concentration Gradient</t>
        </is>
      </c>
      <c r="E35" s="2" t="inlineStr">
        <is>
          <t>BCS Class I (High Solubility, High Permeability)</t>
        </is>
      </c>
      <c r="F35" s="2" t="inlineStr">
        <is>
          <t>BCS Class II (Low Solubility, High Permeability)</t>
        </is>
      </c>
      <c r="G35" s="2" t="inlineStr">
        <is>
          <t>BCS Class III (High Solubility, Low Permeability)</t>
        </is>
      </c>
      <c r="H35" s="2" t="inlineStr">
        <is>
          <t>BCS Class IV (Low Solubility, Low Permeability)</t>
        </is>
      </c>
      <c r="I35" s="2" t="n">
        <v>1</v>
      </c>
      <c r="J35" s="2" t="inlineStr">
        <is>
          <t>✅ คำตอบที่ถูกต้อง: ข้อ ก. Fickian Diffusion Concentration Gradient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Fickian Diffusion Concentration Gradient 💡 คำอธิบายและเหตุผลทางเภสัชกรรม:
💡 คำอธิบายและเหตุผลทางเภสัชกรรม:
การเลือก Fickian Diffusion Concentration Gradient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 (High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ค. (BCS Class II (Low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ง.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จ.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Dissolution testing</t>
        </is>
      </c>
      <c r="M35" s="2" t="inlineStr">
        <is>
          <t>Product</t>
        </is>
      </c>
      <c r="N35" s="2" t="inlineStr">
        <is>
          <t>ข้อ 3 (PLE_CC1_Key_Rx20_UBU.md)</t>
        </is>
      </c>
      <c r="O35" s="2" t="inlineStr">
        <is>
          <t>Mock</t>
        </is>
      </c>
      <c r="P35" s="2" t="inlineStr">
        <is>
          <t>Mock Rx20 UBU</t>
        </is>
      </c>
    </row>
    <row r="36" ht="13.2" customHeight="1" s="37">
      <c r="A36" s="2" t="n">
        <v>34</v>
      </c>
      <c r="B36" s="2" t="inlineStr">
        <is>
          <t>เพิ่มการละลายใน medium</t>
        </is>
      </c>
      <c r="C36" s="2" t="n"/>
      <c r="D36" s="2" t="inlineStr">
        <is>
          <t>BCS Class III (High Solubility, Low Permeability)</t>
        </is>
      </c>
      <c r="E36" s="2" t="inlineStr">
        <is>
          <t>BCS Class IV (Low Solubility, Low Permeability)</t>
        </is>
      </c>
      <c r="F36" s="2" t="inlineStr">
        <is>
          <t>In Vitro Dissolution Apparatus 1 (Basket, 100 rpm)</t>
        </is>
      </c>
      <c r="G36" s="2" t="inlineStr">
        <is>
          <t>In Vitro Dissolution Apparatus 2 (Paddle, 50 rpm)</t>
        </is>
      </c>
      <c r="H36" s="2" t="inlineStr">
        <is>
          <t>Higuchi Matrix Release Kinetic model</t>
        </is>
      </c>
      <c r="I36" s="2" t="n">
        <v>1</v>
      </c>
      <c r="J3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ค.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ง.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ข้อ จ.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Dissolution testing</t>
        </is>
      </c>
      <c r="M36" s="2" t="inlineStr">
        <is>
          <t>Product</t>
        </is>
      </c>
      <c r="N36" s="2" t="inlineStr">
        <is>
          <t>ข้อ 2 (PLE_CC1_Key_Rx20_UBU.md)</t>
        </is>
      </c>
      <c r="O36" s="2" t="inlineStr">
        <is>
          <t>Mock</t>
        </is>
      </c>
      <c r="P36" s="2" t="inlineStr">
        <is>
          <t>Mock Rx20 UBU</t>
        </is>
      </c>
    </row>
    <row r="37" ht="13.2" customHeight="1" s="37">
      <c r="A37" s="2" t="n">
        <v>35</v>
      </c>
      <c r="B37" s="2" t="inlineStr">
        <is>
          <t>ในการพัฒนาสูตรตำรับ salbutamol MDI หากพบวGาเมื่อพGนยาไปซักระยะแล$วเกิดการตันของหัวพGนยา จะแก$ป[ญหานี้ได$อยGางไร (1) ปรับเปลี่ยนระบบ solvent เพื่อเพิ่มการละลายยา (2) ตัวเลือกอื่น ๆ จำไมGได$ ยาวเกิน</t>
        </is>
      </c>
      <c r="C37" s="2" t="n"/>
      <c r="D37" s="2" t="inlineStr">
        <is>
          <t>In Vitro Dissolution Apparatus 2 (Paddle, 50 rpm)</t>
        </is>
      </c>
      <c r="E37" s="2" t="inlineStr">
        <is>
          <t>Higuchi Matrix Release Kinetic model</t>
        </is>
      </c>
      <c r="F37" s="2" t="inlineStr">
        <is>
          <t>First-Order Drug Release Kinetics</t>
        </is>
      </c>
      <c r="G37" s="2" t="inlineStr">
        <is>
          <t>Zero-Order Sustained Release Kinetics</t>
        </is>
      </c>
      <c r="H37" s="2" t="inlineStr">
        <is>
          <t>Fickian Diffusion Concentration Gradient</t>
        </is>
      </c>
      <c r="I37" s="2" t="n">
        <v>1</v>
      </c>
      <c r="J37" s="2" t="inlineStr">
        <is>
          <t>✅ คำตอบที่ถูกต้อง: ข้อ ก. In Vitro Dissolution Apparatus 2 (Paddle, 50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ข้อนี้ไม่ใช่คำตอบที่ถูกต้องสำหรับภาวะ Dissolution testing เนื่องจากกลไกการออกฤทธิ์, efficacy หรือข้อบ่งใช้ไม่ตรงกับโจทย์ที่กำหนด
• ข้อ ค. (First-Order Drug Release Kinetics): ข้อนี้ไม่ใช่คำตอบที่ถูกต้องสำหรับภาวะ Dissolution testing เนื่องจากกลไกการออกฤทธิ์, efficacy หรือข้อบ่งใช้ไม่ตรงกับโจทย์ที่กำหนด
• ข้อ ง. (Zero-Order Sustained Release Kinetics): ข้อนี้ไม่ใช่คำตอบที่ถูกต้องสำหรับภาวะ Dissolution testing เนื่องจากกลไกการออกฤทธิ์, efficacy หรือข้อบ่งใช้ไม่ตรงกับโจทย์ที่กำหนด
• ข้อ จ.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Dissolution testing</t>
        </is>
      </c>
      <c r="M37" s="2" t="inlineStr">
        <is>
          <t>Product</t>
        </is>
      </c>
      <c r="N37" s="2" t="inlineStr">
        <is>
          <t>ข้อ 51 (PLE_CC1_Key_Rx20_UBU.md)</t>
        </is>
      </c>
      <c r="O37" s="2" t="inlineStr">
        <is>
          <t>Mock</t>
        </is>
      </c>
      <c r="P37" s="2" t="inlineStr">
        <is>
          <t>Mock Rx20 UBU</t>
        </is>
      </c>
    </row>
    <row r="38" ht="13.2" customHeight="1" s="37">
      <c r="A38" s="2" t="n">
        <v>36</v>
      </c>
      <c r="B38" s="2" t="inlineStr">
        <is>
          <t>ยา pyrazinamide มีการละลายต่ำควรเติมสารใดเพิ่มในตำรับเพื่อแก$ไขป[ญหานี้</t>
        </is>
      </c>
      <c r="C38" s="2" t="n"/>
      <c r="D38" s="2" t="inlineStr">
        <is>
          <t>Lactose</t>
        </is>
      </c>
      <c r="E38" s="2" t="inlineStr">
        <is>
          <t>SLS</t>
        </is>
      </c>
      <c r="F38" s="2" t="inlineStr">
        <is>
          <t>Sodium starch glycolate</t>
        </is>
      </c>
      <c r="G38" s="2" t="inlineStr">
        <is>
          <t>Magnesium stearate</t>
        </is>
      </c>
      <c r="H38" s="2" t="inlineStr">
        <is>
          <t>Calcium dihydrogen phosphate</t>
        </is>
      </c>
      <c r="I38" s="2" t="n">
        <v>2</v>
      </c>
      <c r="J38" s="2" t="inlineStr">
        <is>
          <t>✅ คำตอบที่ถูกต้อง: ข้อ ข. SLS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SLS 💡 คำอธิบายและเหตุผลทางเภสัชกรรม:
💡 คำอธิบายและเหตุผลทางเภสัชกรรม:
การเลือก SLS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ค.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(Calcium dihydrogen phosphate):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Dissolution testing</t>
        </is>
      </c>
      <c r="M38" s="2" t="inlineStr">
        <is>
          <t>Product</t>
        </is>
      </c>
      <c r="N38" s="2" t="inlineStr">
        <is>
          <t>ข้อ 17 (PLE_CC1_Key_Rx20_UBU.md)</t>
        </is>
      </c>
      <c r="O38" s="2" t="inlineStr">
        <is>
          <t>Mock</t>
        </is>
      </c>
      <c r="P38" s="2" t="inlineStr">
        <is>
          <t>Mock Rx20 UBU</t>
        </is>
      </c>
    </row>
    <row r="39" ht="13.2" customHeight="1" s="37">
      <c r="A39" s="2" t="n">
        <v>37</v>
      </c>
      <c r="B39" s="2" t="inlineStr">
        <is>
          <t>การละลายและการดูดซึมมีผลตGอการระยะเวลาการออกฤทธิ์ที่นานขึ้นของตัวยา</t>
        </is>
      </c>
      <c r="C39" s="2" t="n"/>
      <c r="D39" s="2" t="inlineStr">
        <is>
          <t>BCS Class II (Low Solubility, High Permeability)</t>
        </is>
      </c>
      <c r="E39" s="2" t="inlineStr">
        <is>
          <t>BCS Class III (High Solubility, Low Permeability)</t>
        </is>
      </c>
      <c r="F39" s="2" t="inlineStr">
        <is>
          <t>BCS Class IV (Low Solubility, Low Permeability)</t>
        </is>
      </c>
      <c r="G39" s="2" t="inlineStr">
        <is>
          <t>In Vitro Dissolution Apparatus 1 (Basket, 100 rpm)</t>
        </is>
      </c>
      <c r="H39" s="2" t="inlineStr">
        <is>
          <t>In Vitro Dissolution Apparatus 2 (Paddle, 50 rpm)</t>
        </is>
      </c>
      <c r="I39" s="2" t="n">
        <v>1</v>
      </c>
      <c r="J3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ค.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ง.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ข้อ จ. (In Vitro Dissolution Apparatus 2 (Paddle, 50 rpm)):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Dissolution testing</t>
        </is>
      </c>
      <c r="M39" s="2" t="inlineStr">
        <is>
          <t>Product</t>
        </is>
      </c>
      <c r="N39" s="2" t="inlineStr">
        <is>
          <t>ข้อ 4 (PLE_CC1_Key_Rx20_UBU.md)</t>
        </is>
      </c>
      <c r="O39" s="2" t="inlineStr">
        <is>
          <t>Mock</t>
        </is>
      </c>
      <c r="P39" s="2" t="inlineStr">
        <is>
          <t>Mock Rx20 UBU</t>
        </is>
      </c>
    </row>
    <row r="40" ht="13.2" customHeight="1" s="37">
      <c r="A40" s="2" t="n">
        <v>38</v>
      </c>
      <c r="B40" s="2" t="inlineStr">
        <is>
          <t>passive diffusion</t>
        </is>
      </c>
      <c r="C40" s="2" t="n"/>
      <c r="D40" s="2" t="inlineStr">
        <is>
          <t>In Vitro Dissolution Apparatus 1 (Basket, 100 rpm)</t>
        </is>
      </c>
      <c r="E40" s="2" t="inlineStr">
        <is>
          <t>In Vitro Dissolution Apparatus 2 (Paddle, 50 rpm)</t>
        </is>
      </c>
      <c r="F40" s="2" t="inlineStr">
        <is>
          <t>Higuchi Matrix Release Kinetic model</t>
        </is>
      </c>
      <c r="G40" s="2" t="inlineStr">
        <is>
          <t>First-Order Drug Release Kinetics</t>
        </is>
      </c>
      <c r="H40" s="2" t="inlineStr">
        <is>
          <t>Zero-Order Sustained Release Kinetics</t>
        </is>
      </c>
      <c r="I40" s="2" t="n">
        <v>1</v>
      </c>
      <c r="J4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ข้อนี้ไม่ใช่คำตอบที่ถูกต้องสำหรับภาวะ Diffusion &amp; Fick's laws เนื่องจากกลไกการออกฤทธิ์, efficacy หรือข้อบ่งใช้ไม่ตรงกับโจทย์ที่กำหนด
• ข้อ ค. (Higuchi Matrix Release Kinetic model): ข้อนี้ไม่ใช่คำตอบที่ถูกต้องสำหรับภาวะ Diffusion &amp; Fick's laws เนื่องจากกลไกการออกฤทธิ์, efficacy หรือข้อบ่งใช้ไม่ตรงกับโจทย์ที่กำหนด
• ข้อ ง. (First-Order Drug Release Kinetics): ข้อนี้ไม่ใช่คำตอบที่ถูกต้องสำหรับภาวะ Diffusion &amp; Fick's laws เนื่องจากกลไกการออกฤทธิ์, efficacy หรือข้อบ่งใช้ไม่ตรงกับโจทย์ที่กำหนด
• ข้อ จ. (Zero-Order Sustained Release Kinetics): ข้อนี้ไม่ใช่คำตอบที่ถูกต้องสำหรับภาวะ Diffusion &amp; Fick's laws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Diffusion &amp; Fick's laws</t>
        </is>
      </c>
      <c r="M40" s="2" t="inlineStr">
        <is>
          <t>Product</t>
        </is>
      </c>
      <c r="N40" s="2" t="inlineStr">
        <is>
          <t>ข้อ 2 (PLE_CC1_Key_Rx20_UBU.md)</t>
        </is>
      </c>
      <c r="O40" s="2" t="inlineStr">
        <is>
          <t>Mock</t>
        </is>
      </c>
      <c r="P40" s="2" t="inlineStr">
        <is>
          <t>Mock Rx20 UBU</t>
        </is>
      </c>
    </row>
    <row r="41" ht="13.2" customHeight="1" s="37">
      <c r="A41" s="2" t="n">
        <v>39</v>
      </c>
      <c r="B41" s="2" t="inlineStr">
        <is>
          <t>ผ่าน Dissolution</t>
        </is>
      </c>
      <c r="C41" s="2" t="n"/>
      <c r="D41" s="2" t="inlineStr">
        <is>
          <t>First-Order Drug Release Kinetics</t>
        </is>
      </c>
      <c r="E41" s="2" t="inlineStr">
        <is>
          <t>Zero-Order Sustained Release Kinetics</t>
        </is>
      </c>
      <c r="F41" s="2" t="inlineStr">
        <is>
          <t>Fickian Diffusion Concentration Gradient</t>
        </is>
      </c>
      <c r="G41" s="2" t="inlineStr">
        <is>
          <t>BCS Class I (High Solubility, High Permeability)</t>
        </is>
      </c>
      <c r="H41" s="2" t="inlineStr">
        <is>
          <t>BCS Class II (Low Solubility, High Permeability)</t>
        </is>
      </c>
      <c r="I41" s="2" t="n">
        <v>1</v>
      </c>
      <c r="J4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(Zero-Order Sustained Release Kinetics): ข้อนี้ไม่ใช่คำตอบที่ถูกต้องสำหรับภาวะ Dissolution testing เนื่องจากกลไกการออกฤทธิ์, efficacy หรือข้อบ่งใช้ไม่ตรงกับโจทย์ที่กำหนด
• ข้อ ค. (Fickian Diffusion Concentration Gradient): ข้อนี้ไม่ใช่คำตอบที่ถูกต้องสำหรับภาวะ Dissolution testing เนื่องจากกลไกการออกฤทธิ์, efficacy หรือข้อบ่งใช้ไม่ตรงกับโจทย์ที่กำหนด
• ข้อ ง. (BCS Class I (High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จ. (BCS Class II (Low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Dissolution testing</t>
        </is>
      </c>
      <c r="M41" s="2" t="inlineStr">
        <is>
          <t>Product</t>
        </is>
      </c>
      <c r="N41" s="2" t="inlineStr">
        <is>
          <t>ข้อ 1 (PLE_CC1_Key_Rx20_UBU.md)</t>
        </is>
      </c>
      <c r="O41" s="2" t="inlineStr">
        <is>
          <t>Mock</t>
        </is>
      </c>
      <c r="P41" s="2" t="inlineStr">
        <is>
          <t>Mock Rx20 UBU</t>
        </is>
      </c>
    </row>
    <row r="42" ht="13.2" customHeight="1" s="37">
      <c r="A42" s="2" t="n">
        <v>40</v>
      </c>
      <c r="B42" s="2" t="inlineStr">
        <is>
          <t>ใหยา Tiotopium Vd = 36 L/kg Bioavailability = 20% T1/2 = 5 ผู้ป่วยน้ำหนัก 50 kg ได้รับยา 18 mcg ต่อวัน ถ้าอัตราเร็วในการดูดซึมยา เทียบเทา iv bolus จงหา ความเข้มข้นสูงสุดของยาในกระเเสเลือด</t>
        </is>
      </c>
      <c r="C42" s="2" t="n"/>
      <c r="D42" s="2" t="inlineStr">
        <is>
          <t>BCS Class I (High Solubility, High Permeability)</t>
        </is>
      </c>
      <c r="E42" s="2" t="inlineStr">
        <is>
          <t>BCS Class II (Low Solubility, High Permeability)</t>
        </is>
      </c>
      <c r="F42" s="2" t="inlineStr">
        <is>
          <t>BCS Class III (High Solubility, Low Permeability)</t>
        </is>
      </c>
      <c r="G42" s="2" t="inlineStr">
        <is>
          <t>BCS Class IV (Low Solubility, Low Permeability)</t>
        </is>
      </c>
      <c r="H42" s="2" t="inlineStr">
        <is>
          <t>In Vitro Dissolution Apparatus 1 (Basket, 100 rpm)</t>
        </is>
      </c>
      <c r="I42" s="2" t="n">
        <v>1</v>
      </c>
      <c r="J4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ข้อนี้ไม่ใช่คำตอบที่ถูกต้องสำหรับภาวะ Dissolution testing เนื่องจากกลไกการออกฤทธิ์, efficacy หรือข้อบ่งใช้ไม่ตรงกับโจทย์ที่กำหนด
• ข้อ ค. (BCS Class III (High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ง. (BCS Class IV (Low Solubility, Low Permeability)): ข้อนี้ไม่ใช่คำตอบที่ถูกต้องสำหรับภาวะ Dissolution testing เนื่องจากกลไกการออกฤทธิ์, efficacy หรือข้อบ่งใช้ไม่ตรงกับโจทย์ที่กำหนด
• ข้อ จ. (In Vitro Dissolution Apparatus 1 (Basket, 100 rpm)):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Dissolution testing</t>
        </is>
      </c>
      <c r="M42" s="2" t="inlineStr">
        <is>
          <t>Product</t>
        </is>
      </c>
      <c r="N42" s="2" t="inlineStr">
        <is>
          <t>ข้อ 2 (PLE_CC1_Key_Rx20_UBU.md)</t>
        </is>
      </c>
      <c r="O42" s="2" t="inlineStr">
        <is>
          <t>Mock</t>
        </is>
      </c>
      <c r="P42" s="2" t="inlineStr">
        <is>
          <t>Mock Rx20 UBU</t>
        </is>
      </c>
    </row>
    <row r="43" ht="13.2" customHeight="1" s="37">
      <c r="A43" s="2" t="n">
        <v>41</v>
      </c>
      <c r="B43" s="2" t="inlineStr">
        <is>
          <t>จาก USP (การทำ Dissolution test ของ Paracetamol) ข้อใดถูกต้อง</t>
        </is>
      </c>
      <c r="C43" s="2" t="n"/>
      <c r="D43" s="2" t="inlineStr">
        <is>
          <t>Apparatus ใช้ Basket</t>
        </is>
      </c>
      <c r="E43" s="2" t="inlineStr">
        <is>
          <t>ใช้ Phosphate buffer pH 5.8 ± 2.0</t>
        </is>
      </c>
      <c r="F43" s="2" t="inlineStr">
        <is>
          <t>ยาจะละลายเสร็จภายใน 60 นาที</t>
        </is>
      </c>
      <c r="G43" s="2" t="inlineStr">
        <is>
          <t>ใช้ Liquid chromatography ในการวิเคราะห์</t>
        </is>
      </c>
      <c r="H43" s="2" t="inlineStr">
        <is>
          <t>หากผลการวิเคราะห์พบว่า ยา 6 เม็ด แตกตัวภายใน 15 นาที โดยมีตัวยามากกว่า 425 mg ทุกเม็ดแสดงว่าผ่านการวิเคราะห์</t>
        </is>
      </c>
      <c r="I43" s="2" t="n">
        <v>2</v>
      </c>
      <c r="J43" s="2" t="inlineStr">
        <is>
          <t>✅ คำตอบที่ถูกต้อง: ข้อ ข. ใช้ Phosphate buffer pH 5.8 ± 2.0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Phosphate buffer pH 5.8 ± 2.0 💡 คำอธิบายและเหตุผลทางเภสัชกรรม:
💡 คำอธิบายและเหตุผลทางเภสัชกรรม:
การเลือก ใช้ Phosphate buffer pH 5.8 ± 2.0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(Apparatus ใช้ Basket): ข้อนี้ไม่ใช่คำตอบที่ถูกต้องสำหรับภาวะ Dissolution testing เนื่องจากกลไกการออกฤทธิ์, efficacy หรือข้อบ่งใช้ไม่ตรงกับโจทย์ที่กำหนด
• ข้อ ค. (ยาจะละลายเสร็จภายใน 60 นาที): ข้อนี้ไม่ใช่คำตอบที่ถูกต้องสำหรับภาวะ Dissolution testing เนื่องจากกลไกการออกฤทธิ์, efficacy หรือข้อบ่งใช้ไม่ตรงกับโจทย์ที่กำหนด
• ข้อ ง. (ใช้ Liquid chromatography ในการวิเคราะห์): ข้อนี้ไม่ใช่คำตอบที่ถูกต้องสำหรับภาวะ Dissolution testing เนื่องจากกลไกการออกฤทธิ์, efficacy หรือข้อบ่งใช้ไม่ตรงกับโจทย์ที่กำหนด
• ข้อ จ. (หากผลการวิเคราะห์พบว่า ยา 6 เม็ด แตกตัวภายใน 15 นาที โดยมีตัวยามากกว่า 425 mg ทุกเม็ดแสดงว่าผ่านการวิเคราะห์): ข้อนี้ไม่ใช่คำตอบที่ถูกต้องสำหรับภาวะ Dissolution testing เนื่องจากกลไกการออกฤทธิ์, efficacy หรือข้อบ่งใช้ไม่ตรงกับโจทย์ที่กำหนด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Dissolution testing</t>
        </is>
      </c>
      <c r="M43" s="2" t="inlineStr">
        <is>
          <t>Product</t>
        </is>
      </c>
      <c r="N43" s="2" t="inlineStr">
        <is>
          <t>ข้อ 35 (PLE_CC1_Key_Rx20_UBU.md)</t>
        </is>
      </c>
      <c r="O43" s="2" t="inlineStr">
        <is>
          <t>Mock</t>
        </is>
      </c>
      <c r="P43" s="2" t="inlineStr">
        <is>
          <t>Mock Rx20 UBU</t>
        </is>
      </c>
    </row>
    <row r="44">
      <c r="A44" s="46" t="n">
        <v>42</v>
      </c>
      <c r="B44" s="45" t="inlineStr">
        <is>
          <t>ตำรับ hard gelatin capsule ไม่ต้องทำการทดสอบอะไร</t>
        </is>
      </c>
      <c r="C44" s="46" t="n"/>
      <c r="D44" s="45" t="inlineStr">
        <is>
          <t>Dissolution</t>
        </is>
      </c>
      <c r="E44" s="45" t="inlineStr">
        <is>
          <t>Friability</t>
        </is>
      </c>
      <c r="F44" s="45" t="inlineStr">
        <is>
          <t>Microbial enumeration test</t>
        </is>
      </c>
      <c r="G44" s="45" t="inlineStr">
        <is>
          <t>Uniformity of dosage units</t>
        </is>
      </c>
      <c r="H44" s="45" t="inlineStr">
        <is>
          <t>Disintegration</t>
        </is>
      </c>
      <c r="I44" s="46" t="n">
        <v>1</v>
      </c>
      <c r="J44" s="45" t="inlineStr">
        <is>
          <t>✅ คำตอบที่ถูกต้อง: ข้อ ก. Dissolution
💡 Background:
คำถามข้อสอบจริงใบประกอบวิชาชีพ PLE-CC 1 (Product) ปี 2567 ข้อ 14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4" s="46" t="n"/>
      <c r="L44" s="45" t="inlineStr">
        <is>
          <t>Biopharmaceutics &amp; Dissolution</t>
        </is>
      </c>
      <c r="M44" s="46" t="inlineStr">
        <is>
          <t>Product</t>
        </is>
      </c>
      <c r="N44" s="45" t="inlineStr">
        <is>
          <t>ข้อสอบจริง Product ปี 2567 ข้อ 14</t>
        </is>
      </c>
      <c r="O44" s="46" t="inlineStr">
        <is>
          <t>ข้อสอบจริง</t>
        </is>
      </c>
      <c r="P44" s="46" t="inlineStr">
        <is>
          <t>ปี 2567</t>
        </is>
      </c>
    </row>
    <row r="45">
      <c r="A45" s="46" t="n">
        <v>43</v>
      </c>
      <c r="B45" s="45" t="inlineStr">
        <is>
          <t>การทดอบข้อใดต่อไปนี้ ไม่ได้มีข้อกำหนดเกณฑ์ผ่านที่ชัดเจนใน USP</t>
        </is>
      </c>
      <c r="C45" s="46" t="n"/>
      <c r="D45" s="45" t="inlineStr">
        <is>
          <t>Hardness</t>
        </is>
      </c>
      <c r="E45" s="45" t="inlineStr">
        <is>
          <t>friability</t>
        </is>
      </c>
      <c r="F45" s="45" t="inlineStr">
        <is>
          <t>uniformity of dosage units</t>
        </is>
      </c>
      <c r="G45" s="45" t="inlineStr">
        <is>
          <t>Assay</t>
        </is>
      </c>
      <c r="H45" s="45" t="inlineStr">
        <is>
          <t>dissolution</t>
        </is>
      </c>
      <c r="I45" s="46" t="n">
        <v>1</v>
      </c>
      <c r="J45" s="45" t="inlineStr">
        <is>
          <t>✅ คำตอบที่ถูกต้อง: ข้อ ก. Hardness
💡 Background:
คำถามข้อสอบจริงใบประกอบวิชาชีพ PLE-CC 1 (Product) ปี 2567 ข้อ 31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5" s="46" t="n"/>
      <c r="L45" s="45" t="inlineStr">
        <is>
          <t>Biopharmaceutics &amp; Dissolution</t>
        </is>
      </c>
      <c r="M45" s="46" t="inlineStr">
        <is>
          <t>Product</t>
        </is>
      </c>
      <c r="N45" s="45" t="inlineStr">
        <is>
          <t>ข้อสอบจริง Product ปี 2567 ข้อ 31</t>
        </is>
      </c>
      <c r="O45" s="46" t="inlineStr">
        <is>
          <t>ข้อสอบจริง</t>
        </is>
      </c>
      <c r="P45" s="46" t="inlineStr">
        <is>
          <t>ปี 2567</t>
        </is>
      </c>
    </row>
    <row r="46">
      <c r="A46" s="46" t="n">
        <v>44</v>
      </c>
      <c r="B46" s="45" t="inlineStr">
        <is>
          <t>(ปี 2566, Day 1 ข้อ 34\) (เรื่อง: สารเคลือบฟิล์ม Enteric-coated) ⚠️ สารที่ใช้ทำ film เคลือบยา enteric-coated คือข้อใด</t>
        </is>
      </c>
      <c r="C46" s="46" t="n"/>
      <c r="D46" s="45" t="inlineStr">
        <is>
          <t>Ethyl cellulose</t>
        </is>
      </c>
      <c r="E46" s="45" t="inlineStr"/>
      <c r="F46" s="45" t="inlineStr"/>
      <c r="G46" s="45" t="inlineStr">
        <is>
          <t xml:space="preserve"> ตรวจสอบเพิ่มเติม: ตามหลักคือ enteric-coated ควรเป็นกลุ่มที่ไม่ละลายในกรดแต่ละลายในด่าง เช่น Cellulose acetate phthalate (CAP), Hydroxypropyl methylcellulose phthalate (HPMCP), หรือ Methacrylic acid copolymer (Eudragit L/S) — ไม่ใช่ Ethyl cellulose ซึ่งเป็นสารเคลือบชนิด non-enteric ที่ไม่ละลายน้ำแบบ pH-independent (มักใช้ทำพวก sustained-release coating มากกว่า) คิดว่าไม่ได้ตอบข้อนี้</t>
        </is>
      </c>
      <c r="H46" s="45" t="inlineStr"/>
      <c r="I46" s="46" t="n">
        <v>2</v>
      </c>
      <c r="J46" s="45" t="inlineStr">
        <is>
          <t>✅ คำตอบที่ถูกต้อง: ข้อ ข. 
💡 Background:
คำถามข้อสอบจริงใบประกอบวิชาชีพ PLE-CC 1 (Product) ปี 2566 ข้อ 6
🎯 ทำไมข้อนี้ถึงถูก:
ข้อ ข.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6" s="46" t="n"/>
      <c r="L46" s="45" t="inlineStr">
        <is>
          <t>Biopharmaceutics &amp; Dissolution</t>
        </is>
      </c>
      <c r="M46" s="46" t="inlineStr">
        <is>
          <t>Product</t>
        </is>
      </c>
      <c r="N46" s="45" t="inlineStr">
        <is>
          <t>ข้อสอบจริง Product ปี 2566 ข้อ 6</t>
        </is>
      </c>
      <c r="O46" s="46" t="inlineStr">
        <is>
          <t>ข้อสอบจริง</t>
        </is>
      </c>
      <c r="P46" s="46" t="inlineStr">
        <is>
          <t>ปี 2566</t>
        </is>
      </c>
    </row>
    <row r="47">
      <c r="A47" s="46" t="n">
        <v>45</v>
      </c>
      <c r="B47" s="45" t="inlineStr">
        <is>
          <t>(ปี 2566, Day 1 ข้อ 46\) (เรื่อง: การทดสอบยาเม็ดเคลือบน้ำตาล - Sugar-coated) ยาสักอย่าง เป็น sugar-coated ไม่ต้องทดสอบอะไร</t>
        </is>
      </c>
      <c r="C47" s="46" t="n"/>
      <c r="D47" s="45" t="inlineStr">
        <is>
          <t>dissolution</t>
        </is>
      </c>
      <c r="E47" s="45" t="inlineStr">
        <is>
          <t>disintegration</t>
        </is>
      </c>
      <c r="F47" s="45" t="inlineStr">
        <is>
          <t>weight variation</t>
        </is>
      </c>
      <c r="G47" s="45" t="inlineStr">
        <is>
          <t>- เหตุผล: ตาม USP \&lt;905\&gt; ยาเม็ดเคลือบน้ำตาล (sugar-coated) ไม่สามารถใช้วิธี weight variation แทน content uniformity ได้ เนื่องจากน้ำหนักของชั้นเคลือบน้ำตาลไม่สม่ำเสมอในแต่ละเม็ด จึงต้องใช้ Content Uniformity เสมอ ไม่ว่าโดสยาจะสูงหรือต่ำก็ตามนะจ้ะ</t>
        </is>
      </c>
      <c r="H47" s="45" t="inlineStr"/>
      <c r="I47" s="46" t="n">
        <v>1</v>
      </c>
      <c r="J47" s="45" t="inlineStr">
        <is>
          <t>✅ คำตอบที่ถูกต้อง: ข้อ ก. dissolution
💡 Background:
คำถามข้อสอบจริงใบประกอบวิชาชีพ PLE-CC 1 (Product) ปี 2566 ข้อ 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7" s="46" t="n"/>
      <c r="L47" s="45" t="inlineStr">
        <is>
          <t>Biopharmaceutics &amp; Dissolution</t>
        </is>
      </c>
      <c r="M47" s="46" t="inlineStr">
        <is>
          <t>Product</t>
        </is>
      </c>
      <c r="N47" s="45" t="inlineStr">
        <is>
          <t>ข้อสอบจริง Product ปี 2566 ข้อ 8</t>
        </is>
      </c>
      <c r="O47" s="46" t="inlineStr">
        <is>
          <t>ข้อสอบจริง</t>
        </is>
      </c>
      <c r="P47" s="46" t="inlineStr">
        <is>
          <t>ปี 2566</t>
        </is>
      </c>
    </row>
    <row r="48">
      <c r="A48" s="46" t="n">
        <v>46</v>
      </c>
      <c r="B48" s="45" t="inlineStr">
        <is>
          <t>(ปี 2566, Day 2 ข้อ 89\) (เรื่อง: Dissolution S1 Acceptance - Acetaminophen) Performance test ของ Acetaminophen tablet (ไม่ใช่ chewable) ขั้น S1 acceptance criteria คือเท่าไหร่</t>
        </is>
      </c>
      <c r="C48" s="46" t="n"/>
      <c r="D48" s="45" t="inlineStr">
        <is>
          <t>75%</t>
        </is>
      </c>
      <c r="E48" s="45" t="inlineStr">
        <is>
          <t>80%</t>
        </is>
      </c>
      <c r="F48" s="45" t="inlineStr">
        <is>
          <t>85%</t>
        </is>
      </c>
      <c r="G48" s="45" t="inlineStr">
        <is>
          <t>90%</t>
        </is>
      </c>
      <c r="H48" s="45" t="inlineStr"/>
      <c r="I48" s="46" t="n">
        <v>1</v>
      </c>
      <c r="J48" s="45" t="inlineStr">
        <is>
          <t>✅ คำตอบที่ถูกต้อง: ข้อ ก. 75%
💡 Background:
คำถามข้อสอบจริงใบประกอบวิชาชีพ PLE-CC 1 (Product) ปี 2566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8" s="46" t="n"/>
      <c r="L48" s="45" t="inlineStr">
        <is>
          <t>Biopharmaceutics &amp; Dissolution</t>
        </is>
      </c>
      <c r="M48" s="46" t="inlineStr">
        <is>
          <t>Product</t>
        </is>
      </c>
      <c r="N48" s="45" t="inlineStr">
        <is>
          <t>ข้อสอบจริง Product ปี 2566 ข้อ 35</t>
        </is>
      </c>
      <c r="O48" s="46" t="inlineStr">
        <is>
          <t>ข้อสอบจริง</t>
        </is>
      </c>
      <c r="P48" s="46" t="inlineStr">
        <is>
          <t>ปี 2566</t>
        </is>
      </c>
    </row>
    <row r="49">
      <c r="A49" s="46" t="n">
        <v>47</v>
      </c>
      <c r="B49" s="45" t="inlineStr">
        <is>
          <t>ISDN Sublingual ไม่ต้องทดสอบเรื่องอะไร</t>
        </is>
      </c>
      <c r="C49" s="46" t="n"/>
      <c r="D49" s="45" t="inlineStr">
        <is>
          <t>friability</t>
        </is>
      </c>
      <c r="E49" s="45" t="inlineStr">
        <is>
          <t>Disintegration</t>
        </is>
      </c>
      <c r="F49" s="45" t="inlineStr">
        <is>
          <t>Dissolution time</t>
        </is>
      </c>
      <c r="G49" s="45" t="inlineStr">
        <is>
          <t>Thickness</t>
        </is>
      </c>
      <c r="H49" s="45" t="inlineStr">
        <is>
          <t>Content uniformity กรณีศึกษา 3 ผู้ป่วยชาย อายุ 64 ปี มารพ. ด้วยอาการปวดเค้นหน้าอกหลังจากเดินขึ้นบันได 1-2 ชั้นด้วยความเร็วตามปกติ อาการดีขึ้นหลังจากนั่งพัก 10 นาที มีโรคประจำตัวเป็น HTN, DM รักษาด้วยการควบคุมอาการออกกำลังกาย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-แพทย์วินิจฉัยเป็น chronic coronary syndrome</t>
        </is>
      </c>
      <c r="I49" s="46" t="n">
        <v>1</v>
      </c>
      <c r="J49" s="45" t="inlineStr">
        <is>
          <t>✅ คำตอบที่ถูกต้อง: ข้อ ก. friability
💡 Background:
คำถามข้อสอบจริงใบประกอบวิชาชีพ PLE-CC 1 (Product) ปี 2565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9" s="46" t="n"/>
      <c r="L49" s="45" t="inlineStr">
        <is>
          <t>Biopharmaceutics &amp; Dissolution</t>
        </is>
      </c>
      <c r="M49" s="46" t="inlineStr">
        <is>
          <t>Product</t>
        </is>
      </c>
      <c r="N49" s="45" t="inlineStr">
        <is>
          <t>ข้อสอบจริง Product ปี 2565 ข้อ 4</t>
        </is>
      </c>
      <c r="O49" s="46" t="inlineStr">
        <is>
          <t>ข้อสอบจริง</t>
        </is>
      </c>
      <c r="P49" s="46" t="inlineStr">
        <is>
          <t>ปี 2565</t>
        </is>
      </c>
    </row>
    <row r="50">
      <c r="A50" s="46" t="n">
        <v>48</v>
      </c>
      <c r="B50" s="45" t="inlineStr">
        <is>
          <t>ให้ใบ COA ของ simvastatin มา มีข้อมูล Description, identification, assay, disintegration, organic ตัวอย่างใบ COA impurity และอื่นๆ (จำไม่ได้) ถามว่าประเมินคุณภาพต้องมีหัวข้อใดเพิ่มเติม</t>
        </is>
      </c>
      <c r="C50" s="46" t="n"/>
      <c r="D50" s="45" t="inlineStr">
        <is>
          <t>dissolution</t>
        </is>
      </c>
      <c r="E50" s="45" t="inlineStr">
        <is>
          <t>hardness</t>
        </is>
      </c>
      <c r="F50" s="45" t="inlineStr">
        <is>
          <t>microbial limit</t>
        </is>
      </c>
      <c r="G50" s="45" t="inlineStr">
        <is>
          <t>particle size กรณีที่ 2 ผู้ป่วยชาย 50 ปีสูบบุหรี่ 25 มวนต่อวัน ติดต่อกัน 20 ปี</t>
        </is>
      </c>
      <c r="H50" s="45" t="inlineStr"/>
      <c r="I50" s="46" t="n">
        <v>1</v>
      </c>
      <c r="J50" s="45" t="inlineStr">
        <is>
          <t>✅ คำตอบที่ถูกต้อง: ข้อ ก. dissolution
💡 Background:
คำถามข้อสอบจริงใบประกอบวิชาชีพ PLE-CC 1 (Product) ปี 2565 ข้อ 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0" s="46" t="n"/>
      <c r="L50" s="45" t="inlineStr">
        <is>
          <t>Biopharmaceutics &amp; Dissolution</t>
        </is>
      </c>
      <c r="M50" s="46" t="inlineStr">
        <is>
          <t>Product</t>
        </is>
      </c>
      <c r="N50" s="45" t="inlineStr">
        <is>
          <t>ข้อสอบจริง Product ปี 2565 ข้อ 5</t>
        </is>
      </c>
      <c r="O50" s="46" t="inlineStr">
        <is>
          <t>ข้อสอบจริง</t>
        </is>
      </c>
      <c r="P50" s="46" t="inlineStr">
        <is>
          <t>ปี 2565</t>
        </is>
      </c>
    </row>
    <row r="51">
      <c r="A51" s="46" t="n">
        <v>49</v>
      </c>
      <c r="B51" s="45" t="inlineStr">
        <is>
          <t>ข้อใดเป็นเกณฑ์ dissolution ของ enteric coated tablet ที acid stage 1</t>
        </is>
      </c>
      <c r="C51" s="46" t="n"/>
      <c r="D51" s="45" t="inlineStr">
        <is>
          <t>ยาแต่ละเม็ดต้องละลายไม่เกิน 10%</t>
        </is>
      </c>
      <c r="E51" s="45" t="inlineStr">
        <is>
          <t>ยาแต่ละเม็ดละลายไม่น้อยกว่า Q+5</t>
        </is>
      </c>
      <c r="F51" s="45" t="inlineStr">
        <is>
          <t>ยาแต่ละเม็ดละลายไม่น้อยกว่า Q ???</t>
        </is>
      </c>
      <c r="G51" s="45" t="inlineStr">
        <is>
          <t>\ จำ choice ไม่ได้ \</t>
        </is>
      </c>
      <c r="H51" s="45" t="inlineStr">
        <is>
          <t>\ จำ choice ไม่ได้ \</t>
        </is>
      </c>
      <c r="I51" s="46" t="n">
        <v>1</v>
      </c>
      <c r="J51" s="45" t="inlineStr">
        <is>
          <t>✅ คำตอบที่ถูกต้อง: ข้อ ก. ยาแต่ละเม็ดต้องละลายไม่เกิน 10%
💡 Background:
คำถามข้อสอบจริงใบประกอบวิชาชีพ PLE-CC 1 (Product) ปี 2565 ข้อ 76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1" s="46" t="n"/>
      <c r="L51" s="45" t="inlineStr">
        <is>
          <t>Biopharmaceutics &amp; Dissolution</t>
        </is>
      </c>
      <c r="M51" s="46" t="inlineStr">
        <is>
          <t>Product</t>
        </is>
      </c>
      <c r="N51" s="45" t="inlineStr">
        <is>
          <t>ข้อสอบจริง Product ปี 2565 ข้อ 76</t>
        </is>
      </c>
      <c r="O51" s="46" t="inlineStr">
        <is>
          <t>ข้อสอบจริง</t>
        </is>
      </c>
      <c r="P51" s="46" t="inlineStr">
        <is>
          <t>ปี 2565</t>
        </is>
      </c>
    </row>
    <row r="52">
      <c r="A52" s="46" t="n">
        <v>50</v>
      </c>
      <c r="B52" s="45" t="inlineStr">
        <is>
          <t>ยา A เป็นยา BCS class 2 ข้อใดกล่าวถูกต้องเกี่ยวกับคุณสมบัติของยา A</t>
        </is>
      </c>
      <c r="C52" s="46" t="n"/>
      <c r="D52" s="45" t="inlineStr">
        <is>
          <t>การละลายสูง การซึมผ่านสูง</t>
        </is>
      </c>
      <c r="E52" s="45" t="inlineStr">
        <is>
          <t>การละลายสูง การแตกตัวสูง</t>
        </is>
      </c>
      <c r="F52" s="45" t="inlineStr">
        <is>
          <t>การละลายต่ำ การซึมผ่านต่ำ</t>
        </is>
      </c>
      <c r="G52" s="45" t="inlineStr">
        <is>
          <t>การละลายต่ำ แต่การซึมผ่านสูง</t>
        </is>
      </c>
      <c r="H52" s="45" t="inlineStr">
        <is>
          <t>\ จำ choice ไม่ได้</t>
        </is>
      </c>
      <c r="I52" s="46" t="n">
        <v>1</v>
      </c>
      <c r="J52" s="45" t="inlineStr">
        <is>
          <t>✅ คำตอบที่ถูกต้อง: ข้อ ก. การละลายสูง การซึมผ่านสูง
💡 Background:
คำถามข้อสอบจริงใบประกอบวิชาชีพ PLE-CC 1 (Product) ปี 2565 ข้อ 80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2" s="46" t="n"/>
      <c r="L52" s="45" t="inlineStr">
        <is>
          <t>Biopharmaceutics &amp; Dissolution</t>
        </is>
      </c>
      <c r="M52" s="46" t="inlineStr">
        <is>
          <t>Product</t>
        </is>
      </c>
      <c r="N52" s="45" t="inlineStr">
        <is>
          <t>ข้อสอบจริง Product ปี 2565 ข้อ 80</t>
        </is>
      </c>
      <c r="O52" s="46" t="inlineStr">
        <is>
          <t>ข้อสอบจริง</t>
        </is>
      </c>
      <c r="P52" s="46" t="inlineStr">
        <is>
          <t>ปี 2565</t>
        </is>
      </c>
    </row>
    <row r="53">
      <c r="A53" s="46" t="n">
        <v>51</v>
      </c>
      <c r="B53" s="45" t="inlineStr">
        <is>
          <t>ทําการทดสอบ Bioequivalence (BE) ของ Naproxen tablet ต้องทดสอบอะไร</t>
        </is>
      </c>
      <c r="C53" s="46" t="n"/>
      <c r="D53" s="45" t="inlineStr">
        <is>
          <t>Cmax และ AUC</t>
        </is>
      </c>
      <c r="E53" s="45" t="inlineStr">
        <is>
          <t>Vd และ Half-life  เป็นค่าทางเภสัชจลนศาสตร์ ไม่ใช่เกณฑ์หลักของ BE</t>
        </is>
      </c>
      <c r="F53" s="45" t="inlineStr">
        <is>
          <t>Clearance และ AUC  Clearance ไม่ใช้เป็นเกณฑ์เปรียบเทียบ BE</t>
        </is>
      </c>
      <c r="G53" s="45" t="inlineStr">
        <is>
          <t>Clearance และ Cmax  Clearance ไม่ใช่ตัวชี้วัด BE</t>
        </is>
      </c>
      <c r="H53" s="45" t="inlineStr">
        <is>
          <t>Vd และ AUC  Vd ไม่ใช่เกณฑ์ของ BE</t>
        </is>
      </c>
      <c r="I53" s="46" t="n">
        <v>1</v>
      </c>
      <c r="J53" s="45" t="inlineStr">
        <is>
          <t>✅ คำตอบที่ถูกต้อง: ข้อ ก. Cmax และ AUC
💡 Background:
คำถามข้อสอบจริงใบประกอบวิชาชีพ PLE-CC 1 (Product) ปี 2564 ข้อ 15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3" s="46" t="n"/>
      <c r="L53" s="45" t="inlineStr">
        <is>
          <t>Biopharmaceutics &amp; Dissolution</t>
        </is>
      </c>
      <c r="M53" s="46" t="inlineStr">
        <is>
          <t>Product</t>
        </is>
      </c>
      <c r="N53" s="45" t="inlineStr">
        <is>
          <t>ข้อสอบจริง Product ปี 2564 ข้อ 15</t>
        </is>
      </c>
      <c r="O53" s="46" t="inlineStr">
        <is>
          <t>ข้อสอบจริง</t>
        </is>
      </c>
      <c r="P53" s="46" t="inlineStr">
        <is>
          <t>ปี 2564</t>
        </is>
      </c>
    </row>
    <row r="54">
      <c r="A54" s="46" t="n">
        <v>52</v>
      </c>
      <c r="B54" s="45" t="inlineStr">
        <is>
          <t>ข้อมูลด้านประสิทธิภาพและประสิทธิผลใด จําเป็นต้องใช้ในการขึ้นทะเบียนตํารับยา orlistat capsule</t>
        </is>
      </c>
      <c r="C54" s="46" t="n"/>
      <c r="D54" s="45" t="inlineStr">
        <is>
          <t>Assay  เป็นการทดสอบปริมาณตัวยา (Quality control)</t>
        </is>
      </c>
      <c r="E54" s="45" t="inlineStr">
        <is>
          <t>Uniformity of dosage  เป็นการทดสอบความสม่ำเสมอของปริมาณยา</t>
        </is>
      </c>
      <c r="F54" s="45" t="inlineStr">
        <is>
          <t>Comparative dissolution  ใช้สนับสนุนหรือบางกรณีใช้ขอ Biowaiver แต่ไม่ใช่หลักฐานประสิทธิภาพหลักของ BE</t>
        </is>
      </c>
      <c r="G54" s="45" t="inlineStr">
        <is>
          <t>95%CI ของ AUC และ Cmax ของการทดสอบชีวสมมูล</t>
        </is>
      </c>
      <c r="H54" s="45" t="inlineStr">
        <is>
          <t>รายงานอาการไม่พึงประสงค์ เป็นข้อมูลด้านความปลอดภัย ไม่ใช่หลักฐานการแสดงชีวสมมูล</t>
        </is>
      </c>
      <c r="I54" s="46" t="n">
        <v>1</v>
      </c>
      <c r="J54" s="45" t="inlineStr">
        <is>
          <t>✅ คำตอบที่ถูกต้อง: ข้อ ก. Assay  เป็นการทดสอบปริมาณตัวยา (Quality control)
💡 Background:
คำถามข้อสอบจริงใบประกอบวิชาชีพ PLE-CC 1 (Product) ปี 2564 ข้อ 22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4" s="46" t="n"/>
      <c r="L54" s="45" t="inlineStr">
        <is>
          <t>Biopharmaceutics &amp; Dissolution</t>
        </is>
      </c>
      <c r="M54" s="46" t="inlineStr">
        <is>
          <t>Product</t>
        </is>
      </c>
      <c r="N54" s="45" t="inlineStr">
        <is>
          <t>ข้อสอบจริง Product ปี 2564 ข้อ 22</t>
        </is>
      </c>
      <c r="O54" s="46" t="inlineStr">
        <is>
          <t>ข้อสอบจริง</t>
        </is>
      </c>
      <c r="P54" s="46" t="inlineStr">
        <is>
          <t>ปี 2564</t>
        </is>
      </c>
    </row>
    <row r="55">
      <c r="A55" s="46" t="n">
        <v>53</v>
      </c>
      <c r="B55" s="45" t="inlineStr">
        <is>
          <t>ข้อกำหนดยา A ในหัวข้อ dissolution กำหนดไว้วา “not less than 80% (Q) of labeled amount of A is dissolved in 30 minutes” ข้อใดถือว่าผ่านเกณฑ์</t>
        </is>
      </c>
      <c r="C55" s="46" t="inlineStr">
        <is>
          <t>[แนบรูป: ข้อสอบ Product ปี 2564 รหัสรูปภาพ image75]</t>
        </is>
      </c>
      <c r="D55" s="45" t="inlineStr">
        <is>
          <t>ค่าเฉลี่ยของการละลายทั้ง 6 เม็ด มากกวาหรือเท่ากับ 80% labeled amount ภายใน 30 นาที</t>
        </is>
      </c>
      <c r="E55" s="45" t="inlineStr">
        <is>
          <t>ค่าเฉลี่ยของการละลายทั้ง 6 เม็ด มากกวาหรือเท่ากับ 85% labeled amount ภายใน 30 นาที</t>
        </is>
      </c>
      <c r="F55" s="45" t="inlineStr">
        <is>
          <t>ค่าละลายของยาแต่ละเม็ด มากกวาหรือเท่ากับ 80% labeled amount ภายใน 30 นาที</t>
        </is>
      </c>
      <c r="G55" s="45" t="inlineStr">
        <is>
          <t>ค่าละลายของยาแต่ละเม็ด มากกวาหรือเท่ากับ 85% labeled amount ภายใน 30 นาที</t>
        </is>
      </c>
      <c r="H55" s="45" t="inlineStr">
        <is>
          <t>ค่าละลายของยาแต่ละเม็ด และค่าเฉลี่ยของการละลายทั้ง 6 เม็ด มากกว่าหรือเทากับ 80% labeled amount ภายใน 30 นาที คำอธิบาย: ตาม [USP](https://online.uspnf.com/uspnf/document/1_GUID-AC788D41-90A2-4F36-A6E7-769954A9ED09_3_en-US?source=Search%20Results&amp;highlight=dissolution) 〈711〉 DISSOLUTION หากจะผ่าน S1 ค่าละลายของยาแต่ละเม็ด มากกวาหรือเท่ากับ Q+5% ดังนั้นจึงตอบ ง. ค่าละลายของยาแต่ละเม็ด มากกวาหรือเท่ากับ 85% labeled amount ภายใน 30 นาที [แนบรูป: ข้อสอบ Product ปี 2564 รหัสรูปภาพ image75]</t>
        </is>
      </c>
      <c r="I55" s="46" t="n">
        <v>1</v>
      </c>
      <c r="J55" s="45" t="inlineStr">
        <is>
          <t>✅ คำตอบที่ถูกต้อง: ข้อ ก. ค่าเฉลี่ยของการละลายทั้ง 6 เม็ด มากกวาหรือเท่ากับ 80% labeled amount ภายใน 30 นาที
💡 Background:
คำถามข้อสอบจริงใบประกอบวิชาชีพ PLE-CC 1 (Product) ปี 2564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5" s="46" t="n"/>
      <c r="L55" s="45" t="inlineStr">
        <is>
          <t>Biopharmaceutics &amp; Dissolution</t>
        </is>
      </c>
      <c r="M55" s="46" t="inlineStr">
        <is>
          <t>Product</t>
        </is>
      </c>
      <c r="N55" s="45" t="inlineStr">
        <is>
          <t>ข้อสอบจริง Product ปี 2564 ข้อ 38</t>
        </is>
      </c>
      <c r="O55" s="46" t="inlineStr">
        <is>
          <t>ข้อสอบจริง</t>
        </is>
      </c>
      <c r="P55" s="46" t="inlineStr">
        <is>
          <t>ปี 2564</t>
        </is>
      </c>
    </row>
    <row r="56">
      <c r="A56" s="46" t="n">
        <v>54</v>
      </c>
      <c r="B56" s="45" t="inlineStr">
        <is>
          <t>ไม่ต้องทดสอบคุณภาพ CPM Tablets</t>
        </is>
      </c>
      <c r="C56" s="46" t="n"/>
      <c r="D56" s="45" t="inlineStr">
        <is>
          <t>friability</t>
        </is>
      </c>
      <c r="E56" s="45" t="inlineStr">
        <is>
          <t>hardness</t>
        </is>
      </c>
      <c r="F56" s="45" t="inlineStr">
        <is>
          <t>%label amount</t>
        </is>
      </c>
      <c r="G56" s="45" t="inlineStr">
        <is>
          <t>%moisture content คำอธิบาย: ตาม [USP](https://online.uspnf.com/uspnf/document/1_GUID-DA161518-EC27-4647-AACD-29D28F2A4E92_7_en-US?source=Search%20Results&amp;highlight=tablet%20quality) 〈2〉 ORAL DRUG PRODUCTS—PRODUCT QUALITY TESTS Physical test - Thickness - Hardness - Friability - Weight variation - Content uniformity - Disintegration (DT) - Dissolution - Assay (ประเมินหา %labeled amount)</t>
        </is>
      </c>
      <c r="H56" s="45" t="inlineStr"/>
      <c r="I56" s="46" t="n">
        <v>1</v>
      </c>
      <c r="J56" s="45" t="inlineStr">
        <is>
          <t>✅ คำตอบที่ถูกต้อง: ข้อ ก. friability
💡 Background:
คำถามข้อสอบจริงใบประกอบวิชาชีพ PLE-CC 1 (Product) ปี 2564 ข้อ 49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6" s="46" t="n"/>
      <c r="L56" s="45" t="inlineStr">
        <is>
          <t>Biopharmaceutics &amp; Dissolution</t>
        </is>
      </c>
      <c r="M56" s="46" t="inlineStr">
        <is>
          <t>Product</t>
        </is>
      </c>
      <c r="N56" s="45" t="inlineStr">
        <is>
          <t>ข้อสอบจริง Product ปี 2564 ข้อ 49</t>
        </is>
      </c>
      <c r="O56" s="46" t="inlineStr">
        <is>
          <t>ข้อสอบจริง</t>
        </is>
      </c>
      <c r="P56" s="46" t="inlineStr">
        <is>
          <t>ปี 2564</t>
        </is>
      </c>
    </row>
    <row r="57">
      <c r="A57" s="46" t="n">
        <v>55</v>
      </c>
      <c r="B57" s="45" t="inlineStr">
        <is>
          <t>จากผลการวิเคราะห์ยา Azithromycin ควรมี shelf-life เท่าใด | Time (month) | Characteristic | Dissolution | %Label | %impurity | | :---- | :---- | :---- | :---- | :---- | |  | White crystal powder | Q=80 | 98.5-101.5% | \&lt;0.5% | | 6 | conform | 87.4 | 99.8 | 0.0 | | 12 | conform | 87.2 | 99.7 | 0.0 | | 18 | conform | 86.5 | 99.3 | 0.0 | | 24 | conform | 85.6 | 99.1 | 0.1 | | 36 | conform | 84.9 | 99.0 | 0.1 | | 48 | conform | 84.5 | 99.0 | 0.1 | | 60 | conform | 83.9 | 99.0 | 0.2 |</t>
        </is>
      </c>
      <c r="C57" s="46" t="n"/>
      <c r="D57" s="45" t="inlineStr">
        <is>
          <t>1 ปี</t>
        </is>
      </c>
      <c r="E57" s="45" t="inlineStr">
        <is>
          <t>2 ปี</t>
        </is>
      </c>
      <c r="F57" s="45" t="inlineStr">
        <is>
          <t>3 ปี</t>
        </is>
      </c>
      <c r="G57" s="45" t="inlineStr">
        <is>
          <t>4 ปี</t>
        </is>
      </c>
      <c r="H57" s="45" t="inlineStr">
        <is>
          <t>5 ปี คำอธิบาย: ดูจาก Dissolution ที่จำเป็นต้องไม่น้อยกว่า Q+5% จึงได้ว่า Azithromycin ควรมี shelf-life 24 เดือน หรือ B. 2 ปี หมอจ่ายยา glucocorticoid ฉีดข้อเข่ามีองค์ประกอบดังนี้: dexamethasone sodium chloride for injection benzyl alcohol polysorbate 80 sodium hydroxide qs. water for injection 1 ml</t>
        </is>
      </c>
      <c r="I57" s="46" t="n">
        <v>1</v>
      </c>
      <c r="J57" s="45" t="inlineStr">
        <is>
          <t>✅ คำตอบที่ถูกต้อง: ข้อ ก. 1 ปี
💡 Background:
คำถามข้อสอบจริงใบประกอบวิชาชีพ PLE-CC 1 (Product) ปี 2564 ข้อ 103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7" s="46" t="n"/>
      <c r="L57" s="45" t="inlineStr">
        <is>
          <t>Biopharmaceutics &amp; Dissolution</t>
        </is>
      </c>
      <c r="M57" s="46" t="inlineStr">
        <is>
          <t>Product</t>
        </is>
      </c>
      <c r="N57" s="45" t="inlineStr">
        <is>
          <t>ข้อสอบจริง Product ปี 2564 ข้อ 103</t>
        </is>
      </c>
      <c r="O57" s="46" t="inlineStr">
        <is>
          <t>ข้อสอบจริง</t>
        </is>
      </c>
      <c r="P57" s="46" t="inlineStr">
        <is>
          <t>ปี 2564</t>
        </is>
      </c>
    </row>
    <row r="58">
      <c r="A58" s="46" t="n">
        <v>56</v>
      </c>
      <c r="B58" s="45" t="inlineStr">
        <is>
          <t>หากต้องการเปิดหนังสือเพื่อค้นคว้า เรื่อง bioequivalence ควรเปิดหนังสือเล่มใด</t>
        </is>
      </c>
      <c r="C58" s="46" t="n"/>
      <c r="D58" s="45" t="inlineStr">
        <is>
          <t>USP</t>
        </is>
      </c>
      <c r="E58" s="45" t="inlineStr">
        <is>
          <t>Drug fact and comparison</t>
        </is>
      </c>
      <c r="F58" s="45" t="inlineStr">
        <is>
          <t>Drug information handbook</t>
        </is>
      </c>
      <c r="G58" s="45" t="inlineStr">
        <is>
          <t>Drug interaction fact</t>
        </is>
      </c>
      <c r="H58" s="45" t="inlineStr">
        <is>
          <t>Pharmacotherapy คำอธิบาย: การค้นคว้าเรื่อง Bioequivalence (ชีวสมมูล) ซึ่งเกี่ยวข้องกับเภสัชจลนศาสตร์ (Pharmacokinetics) และการเปรียบเทียบยาในเชิงคลินิกนั้น เหมาะสมที่สุดที่จะค้นหาในตำรากลุ่ม Pharmacotherapy (เช่น Pharmacotherapy: A Pathophysiologic Approach ของ DiPiro) เนื่องจากหนังสือกลุ่มนี้จะอธิบายหลักการทางเภสัชวิทยาและการนำไปใช้ในทางคลินิกอย่างละเอียด รวมถึงประเด็นเรื่องการทดแทนยา (Drug substitution) และชีวสมมูล</t>
        </is>
      </c>
      <c r="I58" s="46" t="n">
        <v>1</v>
      </c>
      <c r="J58" s="45" t="inlineStr">
        <is>
          <t>✅ คำตอบที่ถูกต้อง: ข้อ ก. USP
💡 Background:
คำถามข้อสอบจริงใบประกอบวิชาชีพ PLE-CC 1 (Product) ปี 2564 ข้อ 121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8" s="46" t="n"/>
      <c r="L58" s="45" t="inlineStr">
        <is>
          <t>Biopharmaceutics &amp; Dissolution</t>
        </is>
      </c>
      <c r="M58" s="46" t="inlineStr">
        <is>
          <t>Product</t>
        </is>
      </c>
      <c r="N58" s="45" t="inlineStr">
        <is>
          <t>ข้อสอบจริง Product ปี 2564 ข้อ 121</t>
        </is>
      </c>
      <c r="O58" s="46" t="inlineStr">
        <is>
          <t>ข้อสอบจริง</t>
        </is>
      </c>
      <c r="P58" s="46" t="inlineStr">
        <is>
          <t>ปี 2564</t>
        </is>
      </c>
    </row>
    <row r="59">
      <c r="A59" s="46" t="n">
        <v>57</v>
      </c>
      <c r="B59" s="45" t="inlineStr">
        <is>
          <t>ยา B มีคุณสมบัติละลายน้ำไม่ดี หากต้องการเตรียมเป็นยา capsule ควรเลือก diluent แบบใด</t>
        </is>
      </c>
      <c r="C59" s="46" t="n"/>
      <c r="D59" s="45" t="inlineStr">
        <is>
          <t>ยาผ่าน การวิเคราะห์ ในทุกหัวข้อ</t>
        </is>
      </c>
      <c r="E59" s="45" t="inlineStr">
        <is>
          <t>การแตกตัวไม่ผ่าน เพราะได้น้อยกว่า 15 นาที</t>
        </is>
      </c>
      <c r="F59" s="45" t="inlineStr">
        <is>
          <t>Weight variation ไม่ผ่าน ได้น้อยกว่า 75%</t>
        </is>
      </c>
      <c r="G59" s="45" t="inlineStr">
        <is>
          <t>dissolution ไม่ผ่าน ได้น้อยกว่า 85% ต้องทดสอบเพิ่ม</t>
        </is>
      </c>
      <c r="H59" s="45" t="inlineStr">
        <is>
          <t>การวิเคราะห์ตัวยาสำคัญไม่ผ่าน เพราะได้เป็น กว่า 90% คำอธิบาย: จาก Dissolution test | Dissolution test | NLT 80%(Q) of the labeled amount of C19H18ClN3O5S is dissolved in 60 minutes | 82.0, 88.0, 91.0 84.0, 92.0, 99.0 | | :---- | :---- | :---- | จึงตอบ D. dissolution ไม่ผ่าน ได้น้อยกว่า 85% ต้องทดสอบเพิ่ม</t>
        </is>
      </c>
      <c r="I59" s="46" t="n">
        <v>1</v>
      </c>
      <c r="J59" s="45" t="inlineStr">
        <is>
          <t>✅ คำตอบที่ถูกต้อง: ข้อ ก. ยาผ่าน การวิเคราะห์ ในทุกหัวข้อ
💡 Background:
คำถามข้อสอบจริงใบประกอบวิชาชีพ PLE-CC 1 (Product) ปี 2564 ข้อ 134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9" s="46" t="n"/>
      <c r="L59" s="45" t="inlineStr">
        <is>
          <t>Biopharmaceutics &amp; Dissolution</t>
        </is>
      </c>
      <c r="M59" s="46" t="inlineStr">
        <is>
          <t>Product</t>
        </is>
      </c>
      <c r="N59" s="45" t="inlineStr">
        <is>
          <t>ข้อสอบจริง Product ปี 2564 ข้อ 134</t>
        </is>
      </c>
      <c r="O59" s="46" t="inlineStr">
        <is>
          <t>ข้อสอบจริง</t>
        </is>
      </c>
      <c r="P59" s="46" t="inlineStr">
        <is>
          <t>ปี 2564</t>
        </is>
      </c>
    </row>
    <row r="60">
      <c r="A60" s="46" t="n">
        <v>58</v>
      </c>
      <c r="B60" s="45" t="inlineStr">
        <is>
          <t>สารใดใช้สำหรับการเตรียม matrix sustained release tablets</t>
        </is>
      </c>
      <c r="C60" s="46" t="n"/>
      <c r="D60" s="45" t="inlineStr">
        <is>
          <t>PEG 400</t>
        </is>
      </c>
      <c r="E60" s="45" t="inlineStr">
        <is>
          <t>Lactose</t>
        </is>
      </c>
      <c r="F60" s="45" t="inlineStr">
        <is>
          <t>Sucralose</t>
        </is>
      </c>
      <c r="G60" s="45" t="inlineStr">
        <is>
          <t>Polysorbate</t>
        </is>
      </c>
      <c r="H60" s="45" t="inlineStr">
        <is>
          <t>Hypromellose คำอธิบาย: Hypromellose (HPMC) เป็น hydrophilic matrix polymer ที่นิยมใช้ทำ matrix sustained-release tablets เพราะเมื่อสัมผัสน้ำจะเกิดเจล ควบคุมการปลดปล่อยยา วิเคราะห์ตัวเลือก A. PEG 400 ❌ Plasticizer/Cosolvent B. Lactose ❌ Diluent C. Sucralose ❌ Sweetener D. Polysorbate ❌ Surfactant</t>
        </is>
      </c>
      <c r="I60" s="46" t="n">
        <v>1</v>
      </c>
      <c r="J60" s="45" t="inlineStr">
        <is>
          <t>✅ คำตอบที่ถูกต้อง: ข้อ ก. PEG 400
💡 Background:
คำถามข้อสอบจริงใบประกอบวิชาชีพ PLE-CC 1 (Product) ปี 2564 ข้อ 156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0" s="46" t="n"/>
      <c r="L60" s="45" t="inlineStr">
        <is>
          <t>Biopharmaceutics &amp; Dissolution</t>
        </is>
      </c>
      <c r="M60" s="46" t="inlineStr">
        <is>
          <t>Product</t>
        </is>
      </c>
      <c r="N60" s="45" t="inlineStr">
        <is>
          <t>ข้อสอบจริง Product ปี 2564 ข้อ 156</t>
        </is>
      </c>
      <c r="O60" s="46" t="inlineStr">
        <is>
          <t>ข้อสอบจริง</t>
        </is>
      </c>
      <c r="P60" s="46" t="inlineStr">
        <is>
          <t>ปี 2564</t>
        </is>
      </c>
    </row>
    <row r="61">
      <c r="A61" s="46" t="n">
        <v>59</v>
      </c>
      <c r="B61" s="45" t="inlineStr">
        <is>
          <t>ชีวสมมูลเปรียบเทียบยาต้นแบบกับยาใหม่ที่ขับออกทางไตคือข้อใด</t>
        </is>
      </c>
      <c r="C61" s="46" t="n"/>
      <c r="D61" s="45" t="inlineStr">
        <is>
          <t>T1/2 ❌ เป็นพารามิเตอร์การกำจัดยา ไม่ใช่ตัวหลักในการเปรียบเทียบ BE</t>
        </is>
      </c>
      <c r="E61" s="45" t="inlineStr">
        <is>
          <t>Urine excretion ✅ ใช้ได้เมื่อยาถูกขับออกทางไตเป็นหลัก</t>
        </is>
      </c>
      <c r="F61" s="45" t="inlineStr">
        <is>
          <t>AUC vs time curve ❌ เป็นวิธีหลักของ BE ทั่วไป แต่ใช้จาก plasma concentration ไม่ใช่ urine ในกรณีนี้</t>
        </is>
      </c>
      <c r="G61" s="45" t="inlineStr">
        <is>
          <t>Drug plasma concentration ❌ ใช้บ่อยที่สุด แต่โจทย์ระบุ "ขับออกทางไต" → ใช้ urine ได้</t>
        </is>
      </c>
      <c r="H61" s="45" t="inlineStr">
        <is>
          <t>Time to peak drug concentration (Tmax) ❌ บอกอัตราการดูดซึม ไม่ใช่ปริมาณยาเข้าสู่ร่างกาย</t>
        </is>
      </c>
      <c r="I61" s="46" t="n">
        <v>1</v>
      </c>
      <c r="J61" s="45" t="inlineStr">
        <is>
          <t>✅ คำตอบที่ถูกต้อง: ข้อ ก. T1/2 ❌ เป็นพารามิเตอร์การกำจัดยา ไม่ใช่ตัวหลักในการเปรียบเทียบ BE
💡 Background:
คำถามข้อสอบจริงใบประกอบวิชาชีพ PLE-CC 1 (Product) ปี 2564 ข้อ 165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1" s="46" t="n"/>
      <c r="L61" s="45" t="inlineStr">
        <is>
          <t>Biopharmaceutics &amp; Dissolution</t>
        </is>
      </c>
      <c r="M61" s="46" t="inlineStr">
        <is>
          <t>Product</t>
        </is>
      </c>
      <c r="N61" s="45" t="inlineStr">
        <is>
          <t>ข้อสอบจริง Product ปี 2564 ข้อ 165</t>
        </is>
      </c>
      <c r="O61" s="46" t="inlineStr">
        <is>
          <t>ข้อสอบจริง</t>
        </is>
      </c>
      <c r="P61" s="46" t="inlineStr">
        <is>
          <t>ปี 2564</t>
        </is>
      </c>
    </row>
    <row r="62">
      <c r="A62" s="46" t="n">
        <v>60</v>
      </c>
      <c r="B62" s="45" t="inlineStr">
        <is>
          <t>จากผลการวิเคราะห์ยา Azithromycin ควรมี shelf-life เท่าใด ต้นฉบับ: Day 1 ข้อ 101 | Time (month) | Characteristic | Dissolution | %Label | %impurity | | :---: | :---: | :---: | :---: | :---: | | Specification | White crystal powder | Q=80 | 98.5–101.5% | \&lt;0.5% | | 6 | conform | 87.4 | 99.8 | 0.0 | | 12 | conform | 87.2 | 99.7 | 0.0 | | 18 | conform | 86.5 | 99.3 | 0.0 | | 24 | conform | 85.6 | 99.1 | 0.1 | | 36 | conform | 84.9 | 99.0 | 0.1 | | 48 | conform | 84.5 | 99.0 | 0.1 | | 60 | conform | 83.9 | 99.0 | 0.2 |</t>
        </is>
      </c>
      <c r="C62" s="46" t="n"/>
      <c r="D62" s="45" t="inlineStr">
        <is>
          <t>1 ปี</t>
        </is>
      </c>
      <c r="E62" s="45" t="inlineStr">
        <is>
          <t>2 ปี</t>
        </is>
      </c>
      <c r="F62" s="45" t="inlineStr">
        <is>
          <t>3 ปี</t>
        </is>
      </c>
      <c r="G62" s="45" t="inlineStr">
        <is>
          <t>4 ปี</t>
        </is>
      </c>
      <c r="H62" s="45" t="inlineStr">
        <is>
          <t xml:space="preserve">5 ปี | คำตอบ: e) 5 ปี ผลที่เดือน 60 ยังผ่านทั้ง dissolution, assay และ impurity จึงมีข้อมูลรองรับอายุยา 60 เดือน ข้อที่ไม่ถูก a) b) c) และ c) สั้นกว่าระยะเวลาที่ข้อมูลรองรับที่สามารถให้ได้ | | :---- | </t>
        </is>
      </c>
      <c r="I62" s="46" t="n">
        <v>5</v>
      </c>
      <c r="J62" s="45" t="inlineStr">
        <is>
          <t>✅ คำตอบที่ถูกต้อง: ข้อ จ. 5 ปี | คำตอบ: e) 5 ปี ผลที่เดือน 60 ยังผ่านทั้ง dissolution, assay และ impurity จึงมีข้อมูลรองรับอายุยา 60 เดือน ข้อที่ไม่ถูก a) b) c) และ c) สั้นกว่าระยะเวลาที่ข้อมูลรองรับที่สามารถให้ได้ | | :---- | 
💡 Background:
คำถามข้อสอบจริงใบประกอบวิชาชีพ PLE-CC 1 (Product) ปี 2563 ข้อ 14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2" s="46" t="n"/>
      <c r="L62" s="45" t="inlineStr">
        <is>
          <t>Biopharmaceutics &amp; Dissolution</t>
        </is>
      </c>
      <c r="M62" s="46" t="inlineStr">
        <is>
          <t>Product</t>
        </is>
      </c>
      <c r="N62" s="45" t="inlineStr">
        <is>
          <t>ข้อสอบจริง Product ปี 2563 ข้อ 14</t>
        </is>
      </c>
      <c r="O62" s="46" t="inlineStr">
        <is>
          <t>ข้อสอบจริง</t>
        </is>
      </c>
      <c r="P62" s="46" t="inlineStr">
        <is>
          <t>ปี 2563</t>
        </is>
      </c>
    </row>
    <row r="63">
      <c r="A63" s="46" t="n">
        <v>61</v>
      </c>
      <c r="B63" s="45" t="inlineStr">
        <is>
          <t>ตามเภสัชตำรับ celecoxib 200 mg ไม่ต้องทดสอบอะไร ต้นฉบับ: Day 1 ข้อ 4</t>
        </is>
      </c>
      <c r="C63" s="46" t="n"/>
      <c r="D63" s="45" t="inlineStr">
        <is>
          <t>Particle size distribution</t>
        </is>
      </c>
      <c r="E63" s="45" t="inlineStr">
        <is>
          <t>Dissolution</t>
        </is>
      </c>
      <c r="F63" s="45" t="inlineStr">
        <is>
          <t>Disintegration</t>
        </is>
      </c>
      <c r="G63" s="45" t="inlineStr">
        <is>
          <t>Weight variation</t>
        </is>
      </c>
      <c r="H63" s="45" t="inlineStr">
        <is>
          <t xml:space="preserve">Assay | คำตอบที่ข้อสอบน่าจะต้องการ: c) Disintegration เมื่อกำหนดการทดสอบ dissolution แล้ว มักไม่จำเป็นต้องทดสอบ disintegration แยกอีก ข้อที่ไม่ถูก a) Particle size มีผลต่อการละลายของ celecoxib b) Celecoxib ละลายน้ำได้น้อย จึงต้องควบคุม dissolution d) ต้องตรวจปริมาณตัวยา e) ต้องประเมินความสม่ำเสมอของหน่วยยา หมายเหตุ: ข้อนี้กำกวม เพราะ particle size distribution มักเป็นการควบคุมวัตถุดิบมากกว่าผลิตภัณฑ์สำเร็จรูป | | :---- | </t>
        </is>
      </c>
      <c r="I63" s="46" t="n">
        <v>1</v>
      </c>
      <c r="J63" s="45" t="inlineStr">
        <is>
          <t>✅ คำตอบที่ถูกต้อง: ข้อ ก. Particle size distribution
💡 Background:
คำถามข้อสอบจริงใบประกอบวิชาชีพ PLE-CC 1 (Product) ปี 2563 ข้อ 16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3" s="46" t="n"/>
      <c r="L63" s="45" t="inlineStr">
        <is>
          <t>Biopharmaceutics &amp; Dissolution</t>
        </is>
      </c>
      <c r="M63" s="46" t="inlineStr">
        <is>
          <t>Product</t>
        </is>
      </c>
      <c r="N63" s="45" t="inlineStr">
        <is>
          <t>ข้อสอบจริง Product ปี 2563 ข้อ 16</t>
        </is>
      </c>
      <c r="O63" s="46" t="inlineStr">
        <is>
          <t>ข้อสอบจริง</t>
        </is>
      </c>
      <c r="P63" s="46" t="inlineStr">
        <is>
          <t>ปี 2563</t>
        </is>
      </c>
    </row>
    <row r="64">
      <c r="A64" s="46" t="n">
        <v>62</v>
      </c>
      <c r="B64" s="45" t="inlineStr">
        <is>
          <t>ข้อใดถูกต้อง ต้นฉบับ: Day 1 ข้อ 45</t>
        </is>
      </c>
      <c r="C64" s="46" t="n"/>
      <c r="D64" s="45" t="inlineStr">
        <is>
          <t>ทำเป็น granule ใส่ในแคปซูลแบบนิ่มได้</t>
        </is>
      </c>
      <c r="E64" s="45" t="inlineStr">
        <is>
          <t>แคปซูลเบอร์ใหญ่จะขนาดใหญ่</t>
        </is>
      </c>
      <c r="F64" s="45" t="inlineStr">
        <is>
          <t>แคปซูล bioavailability น้อยกว่ายาเม็ด</t>
        </is>
      </c>
      <c r="G64" s="45" t="inlineStr">
        <is>
          <t>แคปซูลเป็น solid dosage form จะมียาสารสำคัญมากกว่า1 ตัวขึ้นไป</t>
        </is>
      </c>
      <c r="H64" s="45" t="inlineStr">
        <is>
          <t xml:space="preserve">แคปซูลแบบนิ่มสามารถใส่ของแข็งได้ | คำตอบ: e) แคปซูลแบบนิ่มสามารถใส่ของแข็งได้ ตัวยาของแข็งสามารถกระจายเป็น suspension ในของเหลวหรือกึ่งแข็งก่อนบรรจุใน softgel ข้อที่ไม่ถูก a) ไม่บรรจุ granule แห้งลงใน softgel โดยตรง b) เลขขนาดยิ่งมาก แคปซูลยิ่งเล็ก c) แคปซูลไม่ได้มี bioavailability ต่ำกว่ายาเม็ดเสมอ d) แคปซูลอาจมีตัวยาหนึ่งชนิดหรือหลายชนิดก็ได้ | | :---- | </t>
        </is>
      </c>
      <c r="I64" s="46" t="n">
        <v>5</v>
      </c>
      <c r="J64" s="45" t="inlineStr">
        <is>
          <t>✅ คำตอบที่ถูกต้อง: ข้อ จ. แคปซูลแบบนิ่มสามารถใส่ของแข็งได้ | คำตอบ: e) แคปซูลแบบนิ่มสามารถใส่ของแข็งได้ ตัวยาของแข็งสามารถกระจายเป็น suspension ในของเหลวหรือกึ่งแข็งก่อนบรรจุใน softgel ข้อที่ไม่ถูก a) ไม่บรรจุ granule แห้งลงใน softgel โดยตรง b) เลขขนาดยิ่งมาก แคปซูลยิ่งเล็ก c) แคปซูลไม่ได้มี bioavailability ต่ำกว่ายาเม็ดเสมอ d) แคปซูลอาจมีตัวยาหนึ่งชนิดหรือหลายชนิดก็ได้ | | :---- | 
💡 Background:
คำถามข้อสอบจริงใบประกอบวิชาชีพ PLE-CC 1 (Product) ปี 2563 ข้อ 23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4" s="46" t="n"/>
      <c r="L64" s="45" t="inlineStr">
        <is>
          <t>Biopharmaceutics &amp; Dissolution</t>
        </is>
      </c>
      <c r="M64" s="46" t="inlineStr">
        <is>
          <t>Product</t>
        </is>
      </c>
      <c r="N64" s="45" t="inlineStr">
        <is>
          <t>ข้อสอบจริง Product ปี 2563 ข้อ 23</t>
        </is>
      </c>
      <c r="O64" s="46" t="inlineStr">
        <is>
          <t>ข้อสอบจริง</t>
        </is>
      </c>
      <c r="P64" s="46" t="inlineStr">
        <is>
          <t>ปี 2563</t>
        </is>
      </c>
    </row>
    <row r="65">
      <c r="A65" s="46" t="n">
        <v>63</v>
      </c>
      <c r="B65" s="45" t="inlineStr">
        <is>
          <t>ตัวยา Isosorbide dinitrate รูปแบบใดออกฤทธิ์เร็วที่สุดในการบรรเทาอาการเจ็บหน้าอก ต้นฉบับ: Day 2 ข้อ 24</t>
        </is>
      </c>
      <c r="C65" s="46" t="n"/>
      <c r="D65" s="45" t="inlineStr">
        <is>
          <t>Sublingual tablets</t>
        </is>
      </c>
      <c r="E65" s="45" t="inlineStr">
        <is>
          <t>Immediate release tablets</t>
        </is>
      </c>
      <c r="F65" s="45" t="inlineStr">
        <is>
          <t>Sustained release tablets</t>
        </is>
      </c>
      <c r="G65" s="45" t="inlineStr">
        <is>
          <t>Enteric coated tablets</t>
        </is>
      </c>
      <c r="H65" s="45" t="inlineStr">
        <is>
          <t xml:space="preserve">Transdermal patches | คำตอบ: a) Sublingual tablet ตัวยาละลายใต้ลิ้นและดูดซึมเข้ากระแสเลือดได้เร็ว โดยไม่ต้องผ่านทางเดินอาหารก่อน ข้อที่ไม่ถูก b) Immediate-release tablet ยังต้องแตกตัวและดูดซึมในทางเดินอาหาร c) Sustained-release tablet ออกแบบให้ปล่อยยาช้า d) Enteric-coated tablet ต้องรอไปละลายในลำไส้ e) Transdermal patch ปล่อยยาทีละน้อยเป็นเวลานาน | | :---- | </t>
        </is>
      </c>
      <c r="I65" s="46" t="n">
        <v>1</v>
      </c>
      <c r="J65" s="45" t="inlineStr">
        <is>
          <t>✅ คำตอบที่ถูกต้อง: ข้อ ก. Sublingual tablets
💡 Background:
คำถามข้อสอบจริงใบประกอบวิชาชีพ PLE-CC 1 (Product) ปี 2563 ข้อ 29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5" s="46" t="n"/>
      <c r="L65" s="45" t="inlineStr">
        <is>
          <t>Biopharmaceutics &amp; Dissolution</t>
        </is>
      </c>
      <c r="M65" s="46" t="inlineStr">
        <is>
          <t>Product</t>
        </is>
      </c>
      <c r="N65" s="45" t="inlineStr">
        <is>
          <t>ข้อสอบจริง Product ปี 2563 ข้อ 29</t>
        </is>
      </c>
      <c r="O65" s="46" t="inlineStr">
        <is>
          <t>ข้อสอบจริง</t>
        </is>
      </c>
      <c r="P65" s="46" t="inlineStr">
        <is>
          <t>ปี 2563</t>
        </is>
      </c>
    </row>
    <row r="66">
      <c r="A66" s="46" t="n">
        <v>64</v>
      </c>
      <c r="B66" s="45" t="inlineStr">
        <is>
          <t>จากตำรับแคปซูล celecoxib ไม่ต้องทำการทดสอบอะไร ต้นฉบับ: Day 2 ข้อ 113 (ซ้ำกับข้อ 16\)</t>
        </is>
      </c>
      <c r="C66" s="46" t="n"/>
      <c r="D66" s="45" t="inlineStr">
        <is>
          <t>Particle size distribution</t>
        </is>
      </c>
      <c r="E66" s="45" t="inlineStr">
        <is>
          <t>Dissolution</t>
        </is>
      </c>
      <c r="F66" s="45" t="inlineStr">
        <is>
          <t>Disintegration</t>
        </is>
      </c>
      <c r="G66" s="45" t="inlineStr">
        <is>
          <t>Percent label amount</t>
        </is>
      </c>
      <c r="H66" s="45" t="inlineStr">
        <is>
          <t xml:space="preserve">Weight variation | คำตอบที่ข้อสอบน่าจะต้องการ: c) Disintegration เมื่อมีเกณฑ์ dissolution อยู่แล้ว มักไม่จำเป็นต้องกำหนด disintegration แยก ข้อที่ไม่ถูก a) Particle size มีผลต่อการละลายของ celecoxib b) Celecoxib ละลายน้ำได้น้อย จึงต้องควบคุม dissolution d) ต้องตรวจปริมาณตัวยา e) ต้องตรวจความสม่ำเสมอของแต่ละแคปซูล หมายเหตุ: ข้อนี้กำกวม เพราะ particle size distribution มักเป็นการควบคุมวัตถุดิบ | | :---- | </t>
        </is>
      </c>
      <c r="I66" s="46" t="n">
        <v>1</v>
      </c>
      <c r="J66" s="45" t="inlineStr">
        <is>
          <t>✅ คำตอบที่ถูกต้อง: ข้อ ก. Particle size distribution
💡 Background:
คำถามข้อสอบจริงใบประกอบวิชาชีพ PLE-CC 1 (Product) ปี 2563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6" s="46" t="n"/>
      <c r="L66" s="45" t="inlineStr">
        <is>
          <t>Biopharmaceutics &amp; Dissolution</t>
        </is>
      </c>
      <c r="M66" s="46" t="inlineStr">
        <is>
          <t>Product</t>
        </is>
      </c>
      <c r="N66" s="45" t="inlineStr">
        <is>
          <t>ข้อสอบจริง Product ปี 2563 ข้อ 38</t>
        </is>
      </c>
      <c r="O66" s="46" t="inlineStr">
        <is>
          <t>ข้อสอบจริง</t>
        </is>
      </c>
      <c r="P66" s="46" t="inlineStr">
        <is>
          <t>ปี 2563</t>
        </is>
      </c>
    </row>
    <row r="67">
      <c r="A67" s="46" t="n">
        <v>65</v>
      </c>
      <c r="B67" s="45" t="inlineStr">
        <is>
          <t>ที่ความเข้มข้นเหนือ CMC จะเกิด micelle ที่กักตัวยาที่ชอบไขมันไว้ในแกนกลาง เพิ่มความสามารถในการละลายรวม (micellar solubilization)   ตามสมการ Noyes–Whitney อัตราการละลาย dC/dt \= DA(Cs–C)/h การเพิ่ม wettability คือการเพิ่มพื้นที่ผิวที่สัมผัสตัวกลาง (A) จริง ๆ และ SLS ยังเพิ่ม Cs ด้วย จึงเร่ง dissolution ได้ทั้งสองทาง   กรณี gemfibrozil ซึ่งเป็น BCS Class II (ละลายต่ำ ซึมผ่านดี) การละลายเป็นขั้นกำหนดอัตราการดูดซึม การเติม SLS จึงส่งผลต่อ bioavailability โดยตรง | | :---- | ข้อ 75. หากยาเม็ดมีลักษณะจุดสีอ่อนกระจายทั่วๆ และมีจุดสีเข้มขึ้นที่ผิวยา เรียกว่าอะไร</t>
        </is>
      </c>
      <c r="C67" s="46" t="n"/>
      <c r="D67" s="45" t="inlineStr">
        <is>
          <t>Chipping</t>
        </is>
      </c>
      <c r="E67" s="45" t="inlineStr">
        <is>
          <t>Mottling</t>
        </is>
      </c>
      <c r="F67" s="45" t="inlineStr">
        <is>
          <t>Picking</t>
        </is>
      </c>
      <c r="G67" s="45" t="inlineStr">
        <is>
          <t>Sticking</t>
        </is>
      </c>
      <c r="H67" s="45" t="inlineStr">
        <is>
          <t>Orange peel | คำอธิบาย Mottling คือความบกพร่องของยาเม็ดที่สีบนผิวเม็ดกระจายไม่สม่ำเสมอ เห็นเป็นจุดสีอ่อน–เข้มปะปนกัน ทำให้เม็ดยาดูด่าง   สาเหตุหลัก:</t>
        </is>
      </c>
      <c r="I67" s="46" t="n">
        <v>1</v>
      </c>
      <c r="J67" s="45" t="inlineStr">
        <is>
          <t>✅ คำตอบที่ถูกต้อง: ข้อ ก. Chipping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7" s="46" t="n"/>
      <c r="L67" s="45" t="inlineStr">
        <is>
          <t>Biopharmaceutics &amp; Dissolution</t>
        </is>
      </c>
      <c r="M67" s="46" t="inlineStr">
        <is>
          <t>Product</t>
        </is>
      </c>
      <c r="N67" s="45" t="inlineStr">
        <is>
          <t>ข้อสอบจริง Product ปี 2562 ข้อ 2</t>
        </is>
      </c>
      <c r="O67" s="46" t="inlineStr">
        <is>
          <t>ข้อสอบจริง</t>
        </is>
      </c>
      <c r="P67" s="46" t="inlineStr">
        <is>
          <t>ปี 2562</t>
        </is>
      </c>
    </row>
    <row r="68">
      <c r="A68" s="46" t="n">
        <v>66</v>
      </c>
      <c r="B68" s="45" t="inlineStr">
        <is>
          <t>สารสีกระจายตัวไม่ทั่ว หรือใช้ dye แทน lake pigment (dye ละลายน้ำจึงเคลื่อนที่ได้ ส่วน lake ไม่ละลายจึงอยู่กับที่)   วิธีแก้: เปลี่ยนจาก dye เป็น lake pigment, ลดขนาดอนุภาคของสารสี, ผสมให้ทั่วขึ้น, ปรับวิธีการอบแกรนูล | | :---- | ข้อ 76. ข้อใดคือแก้ปัญหาการเกิดแยกชั้นของยา gemfibrozil 600 mg tablets</t>
        </is>
      </c>
      <c r="C68" s="46" t="n"/>
      <c r="D68" s="45" t="inlineStr">
        <is>
          <t>Croscamellose sodium</t>
        </is>
      </c>
      <c r="E68" s="45" t="inlineStr">
        <is>
          <t>Colloidal silicon dioxide</t>
        </is>
      </c>
      <c r="F68" s="45" t="inlineStr">
        <is>
          <t>Sodium lauryl sulfate</t>
        </is>
      </c>
      <c r="G68" s="45" t="inlineStr">
        <is>
          <t>Microcrystalline cellulose</t>
        </is>
      </c>
      <c r="H68" s="45" t="inlineStr">
        <is>
          <t>Sodium starch glycolate | คำอธิบาย Sodium lauryl sulfate (SLS) เป็น anionic surfactant ที่ทำหน้าที่ wetting agent / solubilizer   Simvastatin เป็นยา BCS Class II คือ ละลายน้ำต่ำมาก (practically insoluble, \~0.03 mg/mL) แต่ซึมผ่านเยื่อบุลำไส้ได้ดี ดังนั้นขั้นตอนที่จำกัดการดูดซึมคือการละลาย (dissolution rate-limited absorption)   SLS แก้ปัญหาด้วยการ:</t>
        </is>
      </c>
      <c r="I68" s="46" t="n">
        <v>1</v>
      </c>
      <c r="J68" s="45" t="inlineStr">
        <is>
          <t>✅ คำตอบที่ถูกต้อง: ข้อ ก. Croscamellose sodium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8" s="46" t="n"/>
      <c r="L68" s="45" t="inlineStr">
        <is>
          <t>Biopharmaceutics &amp; Dissolution</t>
        </is>
      </c>
      <c r="M68" s="46" t="inlineStr">
        <is>
          <t>Product</t>
        </is>
      </c>
      <c r="N68" s="45" t="inlineStr">
        <is>
          <t>ข้อสอบจริง Product ปี 2562 ข้อ 4</t>
        </is>
      </c>
      <c r="O68" s="46" t="inlineStr">
        <is>
          <t>ข้อสอบจริง</t>
        </is>
      </c>
      <c r="P68" s="46" t="inlineStr">
        <is>
          <t>ปี 2562</t>
        </is>
      </c>
    </row>
    <row r="69">
      <c r="A69" s="46" t="n">
        <v>67</v>
      </c>
      <c r="B69" s="45" t="inlineStr">
        <is>
          <t>USP มีหลักการว่า เมื่อกำหนด dissolution แล้ว ไม่ต้องทำ disintegration อีก เพราะ dissolution เป็นการทดสอบที่เข้มงวดกว่าและครอบคลุมแล้ว   ส่วนหัวข้ออื่นยังต้องทำครบตามปกติ | | :---- | ข้อ 105. ให้ข้อมูลยา carbamazepine CR ดังนี้ สี: beige-orange color / รูปร่าง: oval shaped biconvex / มีตัวหนังสือ 10 ที่ด้านหน้าของเม็ดยา / ส่วนประกอบอื่น ๆ ที่ไม่ใช่ยา: acrylic ester, croscamellose, SCMC, HPMC, titanium dioxide, magnesium stearate. ข้อใดไม่ถูกต้องเกี่ยวกับยา carbamazepine</t>
        </is>
      </c>
      <c r="C69" s="46" t="n"/>
      <c r="D69" s="45" t="inlineStr">
        <is>
          <t>Uniformity of dosage unit</t>
        </is>
      </c>
      <c r="E69" s="45" t="inlineStr">
        <is>
          <t>Disintegrant</t>
        </is>
      </c>
      <c r="F69" s="45" t="inlineStr">
        <is>
          <t>Dissolutions</t>
        </is>
      </c>
      <c r="G69" s="45" t="inlineStr">
        <is>
          <t>Assay</t>
        </is>
      </c>
      <c r="H69" s="45" t="inlineStr">
        <is>
          <t>Friability | คำอธิบาย Friability test (การทดสอบความกร่อน) เป็นการทดสอบระหว่างกระบวนการผลิต (in-process control) ที่ทำกับ “core tablet” ก่อนการเคลือบเท่านั้น ไม่ใช่ข้อกำหนดของผลิตภัณฑ์สำเร็จรูปที่เคลือบแล้ว   เหตุผล:</t>
        </is>
      </c>
      <c r="I69" s="46" t="n">
        <v>1</v>
      </c>
      <c r="J69" s="45" t="inlineStr">
        <is>
          <t>✅ คำตอบที่ถูกต้อง: ข้อ ก. Uniformity of dosage unit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9" s="46" t="n"/>
      <c r="L69" s="45" t="inlineStr">
        <is>
          <t>Biopharmaceutics &amp; Dissolution</t>
        </is>
      </c>
      <c r="M69" s="46" t="inlineStr">
        <is>
          <t>Product</t>
        </is>
      </c>
      <c r="N69" s="45" t="inlineStr">
        <is>
          <t>ข้อสอบจริง Product ปี 2562 ข้อ 3</t>
        </is>
      </c>
      <c r="O69" s="46" t="inlineStr">
        <is>
          <t>ข้อสอบจริง</t>
        </is>
      </c>
      <c r="P69" s="46" t="inlineStr">
        <is>
          <t>ปี 2562</t>
        </is>
      </c>
    </row>
    <row r="70">
      <c r="A70" s="46" t="n">
        <v>68</v>
      </c>
      <c r="B70" s="45" t="inlineStr">
        <is>
          <t>จาก monograph ของยา carvedilol ข้อใดคือเครื่องมือที่ใช้ในการทดสอบหัวข้อการละลาย [แนบรูป: ข้อสอบ Product ปี 2561 รหัสรูปภาพ image102]</t>
        </is>
      </c>
      <c r="C70" s="46" t="inlineStr">
        <is>
          <t>[แนบรูป: ข้อสอบ Product ปี 2561 รหัสรูปภาพ image102]</t>
        </is>
      </c>
      <c r="D70" s="45" t="inlineStr">
        <is>
          <t>Reciprocating cylinder</t>
        </is>
      </c>
      <c r="E70" s="45" t="inlineStr">
        <is>
          <t>Paddle apparatus</t>
        </is>
      </c>
      <c r="F70" s="45" t="inlineStr">
        <is>
          <t>Basket apparatus</t>
        </is>
      </c>
      <c r="G70" s="45" t="inlineStr">
        <is>
          <t>Flow-through cell</t>
        </is>
      </c>
      <c r="H70" s="45" t="inlineStr">
        <is>
          <t>Cell cylinder apparatus</t>
        </is>
      </c>
      <c r="I70" s="46" t="n">
        <v>1</v>
      </c>
      <c r="J70" s="45" t="inlineStr">
        <is>
          <t>✅ คำตอบที่ถูกต้อง: ข้อ ก. Reciprocating cylinder
💡 Background:
คำถามข้อสอบจริงใบประกอบวิชาชีพ PLE-CC 1 (Product) ปี 2561 ข้อ 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0" s="46" t="n"/>
      <c r="L70" s="45" t="inlineStr">
        <is>
          <t>Biopharmaceutics &amp; Dissolution</t>
        </is>
      </c>
      <c r="M70" s="46" t="inlineStr">
        <is>
          <t>Product</t>
        </is>
      </c>
      <c r="N70" s="45" t="inlineStr">
        <is>
          <t>ข้อสอบจริง Product ปี 2561 ข้อ 1</t>
        </is>
      </c>
      <c r="O70" s="46" t="inlineStr">
        <is>
          <t>ข้อสอบจริง</t>
        </is>
      </c>
      <c r="P70" s="46" t="inlineStr">
        <is>
          <t>ปี 2561</t>
        </is>
      </c>
    </row>
    <row r="71">
      <c r="A71" s="46" t="n">
        <v>69</v>
      </c>
      <c r="B71" s="45" t="inlineStr">
        <is>
          <t>จากข้อ 9 dissolution medium ควรจะมีอุณหภูมิเท่าใด</t>
        </is>
      </c>
      <c r="C71" s="46" t="n"/>
      <c r="D71" s="45" t="inlineStr">
        <is>
          <t>20°C ± 0.5</t>
        </is>
      </c>
      <c r="E71" s="45" t="inlineStr">
        <is>
          <t>20°C ± 2.0</t>
        </is>
      </c>
      <c r="F71" s="45" t="inlineStr">
        <is>
          <t>25°C ± 0.5</t>
        </is>
      </c>
      <c r="G71" s="45" t="inlineStr">
        <is>
          <t>25°C ± 2.0</t>
        </is>
      </c>
      <c r="H71" s="45" t="inlineStr">
        <is>
          <t>37°C ± 0.5</t>
        </is>
      </c>
      <c r="I71" s="46" t="n">
        <v>1</v>
      </c>
      <c r="J71" s="45" t="inlineStr">
        <is>
          <t>✅ คำตอบที่ถูกต้อง: ข้อ ก. 20°C ± 0.5
💡 Background:
คำถามข้อสอบจริงใบประกอบวิชาชีพ PLE-CC 1 (Product) ปี 2561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1" s="46" t="n"/>
      <c r="L71" s="45" t="inlineStr">
        <is>
          <t>Biopharmaceutics &amp; Dissolution</t>
        </is>
      </c>
      <c r="M71" s="46" t="inlineStr">
        <is>
          <t>Product</t>
        </is>
      </c>
      <c r="N71" s="45" t="inlineStr">
        <is>
          <t>ข้อสอบจริง Product ปี 2561 ข้อ 2</t>
        </is>
      </c>
      <c r="O71" s="46" t="inlineStr">
        <is>
          <t>ข้อสอบจริง</t>
        </is>
      </c>
      <c r="P71" s="46" t="inlineStr">
        <is>
          <t>ปี 2561</t>
        </is>
      </c>
    </row>
    <row r="72">
      <c r="A72" s="46" t="n">
        <v>70</v>
      </c>
      <c r="B72" s="45" t="inlineStr">
        <is>
          <t>จากใบ COA ของยา cloxacillin ข้อใดถูก [แนบรูป: ข้อสอบ Product ปี 2561 รหัสรูปภาพ image108]</t>
        </is>
      </c>
      <c r="C72" s="46" t="inlineStr">
        <is>
          <t>[แนบรูป: ข้อสอบ Product ปี 2561 รหัสรูปภาพ image108]</t>
        </is>
      </c>
      <c r="D72" s="45" t="inlineStr">
        <is>
          <t>ยาผ่านการวิเคราะห์ในทุกหัวข้อ</t>
        </is>
      </c>
      <c r="E72" s="45" t="inlineStr">
        <is>
          <t>การแตกตัวไม่ผ่าน เพราะได้น้อยกว่า 15 นาที</t>
        </is>
      </c>
      <c r="F72" s="45" t="inlineStr">
        <is>
          <t>Weight variation ไม่ผ่าน ได้น้อยกว่า 15 นาที</t>
        </is>
      </c>
      <c r="G72" s="45" t="inlineStr">
        <is>
          <t>การวิเคราะห์ตัวยาสำคัญไม่ผ่าน เพราะได้เกิน 90%</t>
        </is>
      </c>
      <c r="H72" s="45" t="inlineStr">
        <is>
          <t>Dissolution ไม่ผ่าน เพราะได้น้อยกว่า 85% ต้องทดสอบเพิ่ม</t>
        </is>
      </c>
      <c r="I72" s="46" t="n">
        <v>1</v>
      </c>
      <c r="J72" s="45" t="inlineStr">
        <is>
          <t>✅ คำตอบที่ถูกต้อง: ข้อ ก. ยาผ่านการวิเคราะห์ในทุกหัวข้อ
💡 Background:
คำถามข้อสอบจริงใบประกอบวิชาชีพ PLE-CC 1 (Product) ปี 2561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2" s="46" t="n"/>
      <c r="L72" s="45" t="inlineStr">
        <is>
          <t>Biopharmaceutics &amp; Dissolution</t>
        </is>
      </c>
      <c r="M72" s="46" t="inlineStr">
        <is>
          <t>Product</t>
        </is>
      </c>
      <c r="N72" s="45" t="inlineStr">
        <is>
          <t>ข้อสอบจริง Product ปี 2561 ข้อ 35</t>
        </is>
      </c>
      <c r="O72" s="46" t="inlineStr">
        <is>
          <t>ข้อสอบจริง</t>
        </is>
      </c>
      <c r="P72" s="46" t="inlineStr">
        <is>
          <t>ปี 2561</t>
        </is>
      </c>
    </row>
    <row r="73">
      <c r="A73" s="46" t="n">
        <v>71</v>
      </c>
      <c r="B73" s="45" t="inlineStr">
        <is>
          <t>การทดสอบการละลาย (dissolution test) ของตำรับยาเม็ดตัวเดียวกัน 5 ตำรับ กำหนด Q=70 (ตำรับ A ผ่านทั้งหมด 6 เม็ด; ตำรับ B ผ่านทั้งหมด 6 เม็ด; ตำรับ C ผ่านทั้งหมด 6 เม็ด; ตำรับ D ผ่าน 3 เม็ด อีก 3 เม็ดไม่ผ่าน; ตำรับ E ไม่ผ่านทั้งหมด 6 เม็ด) ข้อใดสรุปผลผิด</t>
        </is>
      </c>
      <c r="C73" s="46" t="n"/>
      <c r="D73" s="45" t="inlineStr">
        <is>
          <t>ตำรับ A ผ่าน stage 1</t>
        </is>
      </c>
      <c r="E73" s="45" t="inlineStr">
        <is>
          <t>ตำรับ B ผ่าน stage 1</t>
        </is>
      </c>
      <c r="F73" s="45" t="inlineStr">
        <is>
          <t>ตำรับ C ผ่าน stage 1</t>
        </is>
      </c>
      <c r="G73" s="45" t="inlineStr">
        <is>
          <t>ตำรับ D ไม่ผ่าน stage 1 รอทดสอบ stage 2</t>
        </is>
      </c>
      <c r="H73" s="45" t="inlineStr">
        <is>
          <t>ตำรับ E ไม่ผ่าน stage 2 รอทดสอบ stage 3</t>
        </is>
      </c>
      <c r="I73" s="46" t="n">
        <v>1</v>
      </c>
      <c r="J73" s="45" t="inlineStr">
        <is>
          <t>✅ คำตอบที่ถูกต้อง: ข้อ ก. ตำรับ A ผ่าน stage 1
💡 Background:
คำถามข้อสอบจริงใบประกอบวิชาชีพ PLE-CC 1 (Product) ปี 2561 ข้อ 52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3" s="46" t="n"/>
      <c r="L73" s="45" t="inlineStr">
        <is>
          <t>Biopharmaceutics &amp; Dissolution</t>
        </is>
      </c>
      <c r="M73" s="46" t="inlineStr">
        <is>
          <t>Product</t>
        </is>
      </c>
      <c r="N73" s="45" t="inlineStr">
        <is>
          <t>ข้อสอบจริง Product ปี 2561 ข้อ 52</t>
        </is>
      </c>
      <c r="O73" s="46" t="inlineStr">
        <is>
          <t>ข้อสอบจริง</t>
        </is>
      </c>
      <c r="P73" s="46" t="inlineStr">
        <is>
          <t>ปี 2561</t>
        </is>
      </c>
    </row>
    <row r="74">
      <c r="A74" s="46" t="n">
        <v>72</v>
      </c>
      <c r="B74" s="45" t="inlineStr">
        <is>
          <t>Phenytoin capsule ไม่ต้องทดสอบอะไร</t>
        </is>
      </c>
      <c r="C74" s="46" t="n"/>
      <c r="D74" s="45" t="inlineStr">
        <is>
          <t>Microbial test</t>
        </is>
      </c>
      <c r="E74" s="45" t="inlineStr">
        <is>
          <t>Identification</t>
        </is>
      </c>
      <c r="F74" s="45" t="inlineStr">
        <is>
          <t>Loss and dying</t>
        </is>
      </c>
      <c r="G74" s="45" t="inlineStr">
        <is>
          <t>Dissolution test</t>
        </is>
      </c>
      <c r="H74" s="45" t="inlineStr">
        <is>
          <t>Uniformity content</t>
        </is>
      </c>
      <c r="I74" s="46" t="n">
        <v>1</v>
      </c>
      <c r="J74" s="45" t="inlineStr">
        <is>
          <t>✅ คำตอบที่ถูกต้อง: ข้อ ก. Microbial test
💡 Background:
คำถามข้อสอบจริงใบประกอบวิชาชีพ PLE-CC 1 (Product) ปี 2561 ข้อ 53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4" s="46" t="n"/>
      <c r="L74" s="45" t="inlineStr">
        <is>
          <t>Biopharmaceutics &amp; Dissolution</t>
        </is>
      </c>
      <c r="M74" s="46" t="inlineStr">
        <is>
          <t>Product</t>
        </is>
      </c>
      <c r="N74" s="45" t="inlineStr">
        <is>
          <t>ข้อสอบจริง Product ปี 2561 ข้อ 53</t>
        </is>
      </c>
      <c r="O74" s="46" t="inlineStr">
        <is>
          <t>ข้อสอบจริง</t>
        </is>
      </c>
      <c r="P74" s="46" t="inlineStr">
        <is>
          <t>ปี 2561</t>
        </is>
      </c>
    </row>
    <row r="75">
      <c r="A75" s="46" t="n">
        <v>73</v>
      </c>
      <c r="B75" s="45" t="inlineStr">
        <is>
          <t>Venlafaxine XR capsule ต้องทำ in vitro dissolution test ด้วยวิธีอะไร</t>
        </is>
      </c>
      <c r="C75" s="46" t="n"/>
      <c r="D75" s="45" t="inlineStr">
        <is>
          <t>Apparatus I basket</t>
        </is>
      </c>
      <c r="E75" s="45" t="inlineStr">
        <is>
          <t>Apparatus III cylinder</t>
        </is>
      </c>
      <c r="F75" s="45" t="inlineStr">
        <is>
          <t>Apparatus IV flow trough cell</t>
        </is>
      </c>
      <c r="G75" s="45" t="inlineStr">
        <is>
          <t>Apparatus V Paddle over disk</t>
        </is>
      </c>
      <c r="H75" s="45" t="inlineStr">
        <is>
          <t>Apparatus VII Reciprocating holder</t>
        </is>
      </c>
      <c r="I75" s="46" t="n">
        <v>1</v>
      </c>
      <c r="J75" s="45" t="inlineStr">
        <is>
          <t>✅ คำตอบที่ถูกต้อง: ข้อ ก. Apparatus I basket
💡 Background:
คำถามข้อสอบจริงใบประกอบวิชาชีพ PLE-CC 1 (Product) ปี 2561 ข้อ 71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5" s="46" t="n"/>
      <c r="L75" s="45" t="inlineStr">
        <is>
          <t>Biopharmaceutics &amp; Dissolution</t>
        </is>
      </c>
      <c r="M75" s="46" t="inlineStr">
        <is>
          <t>Product</t>
        </is>
      </c>
      <c r="N75" s="45" t="inlineStr">
        <is>
          <t>ข้อสอบจริง Product ปี 2561 ข้อ 71</t>
        </is>
      </c>
      <c r="O75" s="46" t="inlineStr">
        <is>
          <t>ข้อสอบจริง</t>
        </is>
      </c>
      <c r="P75" s="46" t="inlineStr">
        <is>
          <t>ปี 2561</t>
        </is>
      </c>
    </row>
    <row r="76">
      <c r="A76" s="46" t="n">
        <v>74</v>
      </c>
      <c r="B76" s="45" t="inlineStr">
        <is>
          <t>เพราะเหตุใด phenytoin จึงต้องทำ bioavailability &amp; equivalent test</t>
        </is>
      </c>
      <c r="C76" s="46" t="n"/>
      <c r="D76" s="45" t="inlineStr">
        <is>
          <t>ไม่มียาในรูปแบบที่ละลายได้เร็วในปาก</t>
        </is>
      </c>
      <c r="E76" s="45" t="inlineStr">
        <is>
          <t>มีส่วนประกอบในตำรับที่ไม่มีผลต่อการดูดซึมหรือออกฤทธิ์</t>
        </is>
      </c>
      <c r="F76" s="45" t="inlineStr">
        <is>
          <t>ยาละลายเร็ว rapid solubility และ very rapid dissolution</t>
        </is>
      </c>
      <c r="G76" s="45" t="inlineStr">
        <is>
          <t>เพราะมีคุณสมบัติเป็น BCS class I เนื่องจาก high solubility high</t>
        </is>
      </c>
      <c r="H76" s="45" t="inlineStr">
        <is>
          <t>มีอัตราส่วน minimum toxic concentration (MTC) ต่อ minimum effective</t>
        </is>
      </c>
      <c r="I76" s="46" t="n">
        <v>1</v>
      </c>
      <c r="J76" s="45" t="inlineStr">
        <is>
          <t>✅ คำตอบที่ถูกต้อง: ข้อ ก. ไม่มียาในรูปแบบที่ละลายได้เร็วในปาก
💡 Background:
คำถามข้อสอบจริงใบประกอบวิชาชีพ PLE-CC 1 (Product) ปี 2561 ข้อ 72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6" s="46" t="n"/>
      <c r="L76" s="45" t="inlineStr">
        <is>
          <t>Biopharmaceutics &amp; Dissolution</t>
        </is>
      </c>
      <c r="M76" s="46" t="inlineStr">
        <is>
          <t>Product</t>
        </is>
      </c>
      <c r="N76" s="45" t="inlineStr">
        <is>
          <t>ข้อสอบจริง Product ปี 2561 ข้อ 72</t>
        </is>
      </c>
      <c r="O76" s="46" t="inlineStr">
        <is>
          <t>ข้อสอบจริง</t>
        </is>
      </c>
      <c r="P76" s="46" t="inlineStr">
        <is>
          <t>ปี 2561</t>
        </is>
      </c>
    </row>
    <row r="77">
      <c r="A77" s="46" t="n">
        <v>75</v>
      </c>
      <c r="B77" s="45" t="inlineStr">
        <is>
          <t>Phenytoin 100 mg. capsule ไม่ต้องทดสอบในหัวข้อใด</t>
        </is>
      </c>
      <c r="C77" s="46" t="n"/>
      <c r="D77" s="45" t="inlineStr">
        <is>
          <t>Assay</t>
        </is>
      </c>
      <c r="E77" s="45" t="inlineStr">
        <is>
          <t>Dissolution</t>
        </is>
      </c>
      <c r="F77" s="45" t="inlineStr">
        <is>
          <t>Identification</t>
        </is>
      </c>
      <c r="G77" s="45" t="inlineStr">
        <is>
          <t>Disintegration</t>
        </is>
      </c>
      <c r="H77" s="45" t="inlineStr">
        <is>
          <t>Content uniformity</t>
        </is>
      </c>
      <c r="I77" s="46" t="n">
        <v>1</v>
      </c>
      <c r="J77" s="45" t="inlineStr">
        <is>
          <t>✅ คำตอบที่ถูกต้อง: ข้อ ก. Assay
💡 Background:
คำถามข้อสอบจริงใบประกอบวิชาชีพ PLE-CC 1 (Product) ปี 2561 ข้อ 73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7" s="46" t="n"/>
      <c r="L77" s="45" t="inlineStr">
        <is>
          <t>Biopharmaceutics &amp; Dissolution</t>
        </is>
      </c>
      <c r="M77" s="46" t="inlineStr">
        <is>
          <t>Product</t>
        </is>
      </c>
      <c r="N77" s="45" t="inlineStr">
        <is>
          <t>ข้อสอบจริง Product ปี 2561 ข้อ 73</t>
        </is>
      </c>
      <c r="O77" s="46" t="inlineStr">
        <is>
          <t>ข้อสอบจริง</t>
        </is>
      </c>
      <c r="P77" s="46" t="inlineStr">
        <is>
          <t>ปี 2561</t>
        </is>
      </c>
    </row>
    <row r="78">
      <c r="A78" s="46" t="n">
        <v>76</v>
      </c>
      <c r="B78" s="45" t="inlineStr">
        <is>
          <t>ยา A standard ขนาด 100 mg/tablet เมื่อนำยา A เม็ดยาหนัก 400 mg ไปวิเคราะห์ปริมาณยาได้ค่า AUC=1,000,000 หากชั่งผงยามา 500 mg ให้ค่า AUC=1,250,000 อยากทราบ % label amount ของยา A เท่ากับข้อใด</t>
        </is>
      </c>
      <c r="C78" s="46" t="n"/>
      <c r="D78" s="45" t="inlineStr">
        <is>
          <t>100</t>
        </is>
      </c>
      <c r="E78" s="45" t="inlineStr">
        <is>
          <t>120</t>
        </is>
      </c>
      <c r="F78" s="45" t="inlineStr">
        <is>
          <t>125</t>
        </is>
      </c>
      <c r="G78" s="45" t="inlineStr">
        <is>
          <t>130</t>
        </is>
      </c>
      <c r="H78" s="45" t="inlineStr">
        <is>
          <t>140</t>
        </is>
      </c>
      <c r="I78" s="46" t="n">
        <v>1</v>
      </c>
      <c r="J78" s="45" t="inlineStr">
        <is>
          <t>✅ คำตอบที่ถูกต้อง: ข้อ ก. 100
💡 Background:
คำถามข้อสอบจริงใบประกอบวิชาชีพ PLE-CC 1 (Product) ปี 2561 ข้อ 83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8" s="46" t="n"/>
      <c r="L78" s="45" t="inlineStr">
        <is>
          <t>Biopharmaceutics &amp; Dissolution</t>
        </is>
      </c>
      <c r="M78" s="46" t="inlineStr">
        <is>
          <t>Product</t>
        </is>
      </c>
      <c r="N78" s="45" t="inlineStr">
        <is>
          <t>ข้อสอบจริง Product ปี 2561 ข้อ 83</t>
        </is>
      </c>
      <c r="O78" s="46" t="inlineStr">
        <is>
          <t>ข้อสอบจริง</t>
        </is>
      </c>
      <c r="P78" s="46" t="inlineStr">
        <is>
          <t>ปี 2561</t>
        </is>
      </c>
    </row>
    <row r="79">
      <c r="A79" s="46" t="n">
        <v>77</v>
      </c>
      <c r="B79" s="45"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13.1) Mannitol ทำหน้าที่อะไรในตำรับ</t>
        </is>
      </c>
      <c r="C79" s="46" t="n"/>
      <c r="D79" s="45" t="inlineStr">
        <is>
          <t>A</t>
        </is>
      </c>
      <c r="E79" s="45" t="inlineStr">
        <is>
          <t>B</t>
        </is>
      </c>
      <c r="F79" s="45" t="inlineStr">
        <is>
          <t>C</t>
        </is>
      </c>
      <c r="G79" s="45" t="inlineStr">
        <is>
          <t>D</t>
        </is>
      </c>
      <c r="H79" s="45" t="inlineStr">
        <is>
          <t>C+D</t>
        </is>
      </c>
      <c r="I79" s="46" t="n">
        <v>1</v>
      </c>
      <c r="J79" s="45" t="inlineStr">
        <is>
          <t>✅ คำตอบที่ถูกต้อง: ข้อ ก. A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9" s="46" t="n"/>
      <c r="L79" s="45" t="inlineStr">
        <is>
          <t>Biopharmaceutics &amp; Dissolution</t>
        </is>
      </c>
      <c r="M79" s="46" t="inlineStr">
        <is>
          <t>Product</t>
        </is>
      </c>
      <c r="N79" s="45" t="inlineStr">
        <is>
          <t>ข้อสอบจริง Product ปี 2559 ข้อ 13</t>
        </is>
      </c>
      <c r="O79" s="46" t="inlineStr">
        <is>
          <t>ข้อสอบจริง</t>
        </is>
      </c>
      <c r="P79" s="46" t="inlineStr">
        <is>
          <t>ปี 2559</t>
        </is>
      </c>
    </row>
    <row r="80">
      <c r="A80" s="46" t="n">
        <v>78</v>
      </c>
      <c r="B80" s="45" t="inlineStr">
        <is>
          <t>ข้อใดไม่จำเป็นใน certificate of analysis ของยา amoxicillin</t>
        </is>
      </c>
      <c r="C80" s="46" t="n"/>
      <c r="D80" s="45" t="inlineStr">
        <is>
          <t>Label amount</t>
        </is>
      </c>
      <c r="E80" s="45" t="inlineStr">
        <is>
          <t>Dissolution</t>
        </is>
      </c>
      <c r="F80" s="45" t="inlineStr">
        <is>
          <t>Uniformity of dosage</t>
        </is>
      </c>
      <c r="G80" s="45" t="inlineStr">
        <is>
          <t>Description</t>
        </is>
      </c>
      <c r="H80" s="45" t="inlineStr">
        <is>
          <t>Bioequivalent</t>
        </is>
      </c>
      <c r="I80" s="46" t="n">
        <v>1</v>
      </c>
      <c r="J80" s="45" t="inlineStr">
        <is>
          <t>✅ คำตอบที่ถูกต้อง: ข้อ ก. Label amount
💡 Background:
คำถามข้อสอบจริงใบประกอบวิชาชีพ PLE-CC 1 (Product) ปี 2559 ข้อ 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0" s="46" t="n"/>
      <c r="L80" s="45" t="inlineStr">
        <is>
          <t>Biopharmaceutics &amp; Dissolution</t>
        </is>
      </c>
      <c r="M80" s="46" t="inlineStr">
        <is>
          <t>Product</t>
        </is>
      </c>
      <c r="N80" s="45" t="inlineStr">
        <is>
          <t>ข้อสอบจริง Product ปี 2559 ข้อ 21</t>
        </is>
      </c>
      <c r="O80" s="46" t="inlineStr">
        <is>
          <t>ข้อสอบจริง</t>
        </is>
      </c>
      <c r="P80" s="46" t="inlineStr">
        <is>
          <t>ปี 2559</t>
        </is>
      </c>
    </row>
    <row r="81">
      <c r="A81" s="46" t="n">
        <v>79</v>
      </c>
      <c r="B81" s="45" t="inlineStr">
        <is>
          <t>| สาร | F1 | F2 | F3 | F4 | F5 | | :---: | :---: | :---: | :---: | :---: | :---: | | Na CMC | 10 |  |  |  |  | | Cross povidone |  | 10 |  |  |  | | Alginic acid |  |  | 10 |  |  | | … |  |  |  | 10 |  | | … |  |  |  |  | 10 | | สารอื่น ๆ | ปริมาณเท่ากัน |  |  |  |  | | Disintegration time | 22 | 12 | 31 | 27 | 22 | 24.1) การทดสอบดังกล่าวต้องการที่จะทดสอบความแตกต่างของสารใด</t>
        </is>
      </c>
      <c r="C81" s="46" t="n"/>
      <c r="D81" s="45" t="inlineStr">
        <is>
          <t>F1</t>
        </is>
      </c>
      <c r="E81" s="45" t="inlineStr">
        <is>
          <t>F2</t>
        </is>
      </c>
      <c r="F81" s="45" t="inlineStr">
        <is>
          <t>F3</t>
        </is>
      </c>
      <c r="G81" s="45" t="inlineStr">
        <is>
          <t>F4</t>
        </is>
      </c>
      <c r="H81" s="45" t="inlineStr">
        <is>
          <t>F5</t>
        </is>
      </c>
      <c r="I81" s="46" t="n">
        <v>1</v>
      </c>
      <c r="J81" s="45" t="inlineStr">
        <is>
          <t>✅ คำตอบที่ถูกต้อง: ข้อ ก. F1
💡 Background:
คำถามข้อสอบจริงใบประกอบวิชาชีพ PLE-CC 1 (Product) ปี 2559 ข้อ 24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1" s="46" t="n"/>
      <c r="L81" s="45" t="inlineStr">
        <is>
          <t>Biopharmaceutics &amp; Dissolution</t>
        </is>
      </c>
      <c r="M81" s="46" t="inlineStr">
        <is>
          <t>Product</t>
        </is>
      </c>
      <c r="N81" s="45" t="inlineStr">
        <is>
          <t>ข้อสอบจริง Product ปี 2559 ข้อ 24</t>
        </is>
      </c>
      <c r="O81" s="46" t="inlineStr">
        <is>
          <t>ข้อสอบจริง</t>
        </is>
      </c>
      <c r="P81" s="46" t="inlineStr">
        <is>
          <t>ปี 2559</t>
        </is>
      </c>
    </row>
    <row r="82">
      <c r="A82" s="46" t="n">
        <v>80</v>
      </c>
      <c r="B82" s="45"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11.1) Mannitol ทำหน้าที่อะไรในต้ารับ</t>
        </is>
      </c>
      <c r="C82" s="46" t="n"/>
      <c r="D82" s="45" t="inlineStr">
        <is>
          <t>A</t>
        </is>
      </c>
      <c r="E82" s="45" t="inlineStr">
        <is>
          <t>B</t>
        </is>
      </c>
      <c r="F82" s="45" t="inlineStr">
        <is>
          <t>C</t>
        </is>
      </c>
      <c r="G82" s="45" t="inlineStr">
        <is>
          <t>D</t>
        </is>
      </c>
      <c r="H82" s="45" t="inlineStr">
        <is>
          <t>C และ D</t>
        </is>
      </c>
      <c r="I82" s="46" t="n">
        <v>1</v>
      </c>
      <c r="J82" s="45" t="inlineStr">
        <is>
          <t>✅ คำตอบที่ถูกต้อง: ข้อ ก. A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2" s="46" t="n"/>
      <c r="L82" s="45" t="inlineStr">
        <is>
          <t>Biopharmaceutics &amp; Dissolution</t>
        </is>
      </c>
      <c r="M82" s="46" t="inlineStr">
        <is>
          <t>Product</t>
        </is>
      </c>
      <c r="N82" s="45" t="inlineStr">
        <is>
          <t>ข้อสอบจริง Product ปี 2559 ข้อ 11</t>
        </is>
      </c>
      <c r="O82" s="46" t="inlineStr">
        <is>
          <t>ข้อสอบจริง</t>
        </is>
      </c>
      <c r="P82" s="46" t="inlineStr">
        <is>
          <t>ปี 2559</t>
        </is>
      </c>
    </row>
    <row r="83">
      <c r="A83" s="46" t="n">
        <v>81</v>
      </c>
      <c r="B83" s="45" t="inlineStr">
        <is>
          <t>ข้อใดไม่ได้อยู่ในการทดสอบมาตรฐานตาม USP</t>
        </is>
      </c>
      <c r="C83" s="46" t="n"/>
      <c r="D83" s="45" t="inlineStr">
        <is>
          <t>Disintegrations</t>
        </is>
      </c>
      <c r="E83" s="45" t="inlineStr">
        <is>
          <t>Dissolutions</t>
        </is>
      </c>
      <c r="F83" s="45" t="inlineStr">
        <is>
          <t>Hardness and Friability</t>
        </is>
      </c>
      <c r="G83" s="45" t="inlineStr">
        <is>
          <t>content uniformity</t>
        </is>
      </c>
      <c r="H83" s="45" t="inlineStr">
        <is>
          <t>Weight variations</t>
        </is>
      </c>
      <c r="I83" s="46" t="n">
        <v>1</v>
      </c>
      <c r="J83" s="45" t="inlineStr">
        <is>
          <t>✅ คำตอบที่ถูกต้อง: ข้อ ก. Disintegrations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3" s="46" t="n"/>
      <c r="L83" s="45" t="inlineStr">
        <is>
          <t>Biopharmaceutics &amp; Dissolution</t>
        </is>
      </c>
      <c r="M83" s="46" t="inlineStr">
        <is>
          <t>Product</t>
        </is>
      </c>
      <c r="N83" s="45" t="inlineStr">
        <is>
          <t>ข้อสอบจริง Product ปี 2559 ข้อ 2</t>
        </is>
      </c>
      <c r="O83" s="46" t="inlineStr">
        <is>
          <t>ข้อสอบจริง</t>
        </is>
      </c>
      <c r="P83" s="46" t="inlineStr">
        <is>
          <t>ปี 2559</t>
        </is>
      </c>
    </row>
    <row r="84">
      <c r="A84" s="46" t="n">
        <v>82</v>
      </c>
      <c r="B84" s="45" t="inlineStr">
        <is>
          <t>ตัวยา A ถูกทำลายได้ง่ายด้วยกรดในกระเพาะอาหาร มีค่า Log P สูง และต้องการตั้งตำรับยาเตรียมโดยให้ความสำคัญกับการควบคุมการปลดปล่อยในลำไส้ รวมทั้งยังต้องการให้อุปกรณ์สามารถแบ่งขนาดยา (หรือเปิดแคปซูลชงน้ำให้ผู้ป่วยกลืนยาก) ได้สะดวก ควรเลือกพัฒนายาเตรียมในรูปแบบใด?</t>
        </is>
      </c>
      <c r="C84" s="46" t="n"/>
      <c r="D84" s="45" t="inlineStr">
        <is>
          <t>ยาสูตรผสม Combination ให้ผลการรักษาโรคและป้องกันอวัยวะข้างเคียงได้ดีกว่าการใช้ยาเดี่ยวอย่างมีนัยสำคัญ</t>
        </is>
      </c>
      <c r="E84" s="45" t="inlineStr">
        <is>
          <t>ยาสูตรผสม Combination มีประสิทธิผลการรักษาโรคไม่แตกต่างจากยาเดี่ยว แต่ทำให้เกิดอันตรายและผลข้างเคียงต่อระบบไตสูงกว่าอย่างมีนัยสำคัญทางสถิติ</t>
        </is>
      </c>
      <c r="F84" s="45" t="inlineStr">
        <is>
          <t>ยา Telmisartan ป้องกันการเกิดโรคไตเสื่อมได้ดีกว่า Ramipril อย่างมีนัยสำคัญ</t>
        </is>
      </c>
      <c r="G84" s="45" t="inlineStr">
        <is>
          <t>ยา Ramipril ช่วยเพิ่มระดับอัตราการอยู่รอดของหัวใจได้ดีกว่า Telmisartan อย่างเห็นได้ชัด</t>
        </is>
      </c>
      <c r="H84" s="45" t="inlineStr">
        <is>
          <t>ยาสูตรผสมช่วยลดอัตราการเกิดโรคหัวใจเฉียบพลันได้ดีและมีผลข้างเคียงต่ำสุด</t>
        </is>
      </c>
      <c r="I84" s="46" t="n">
        <v>1</v>
      </c>
      <c r="J84" s="45" t="inlineStr">
        <is>
          <t>✅ คำตอบที่ถูกต้อง: ข้อ ก. ยาสูตรผสม Combination ให้ผลการรักษาโรคและป้องกันอวัยวะข้างเคียงได้ดีกว่าการใช้ยาเดี่ยวอย่างมีนัยสำคัญ
💡 Background:
คำถามข้อสอบจริงใบประกอบวิชาชีพ PLE-CC 1 (Product) ปี 2558 ข้อ 30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4" s="46" t="n"/>
      <c r="L84" s="45" t="inlineStr">
        <is>
          <t>Biopharmaceutics &amp; Dissolution</t>
        </is>
      </c>
      <c r="M84" s="46" t="inlineStr">
        <is>
          <t>Product</t>
        </is>
      </c>
      <c r="N84" s="45" t="inlineStr">
        <is>
          <t>ข้อสอบจริง Product ปี 2558 ข้อ 30</t>
        </is>
      </c>
      <c r="O84" s="46" t="inlineStr">
        <is>
          <t>ข้อสอบจริง</t>
        </is>
      </c>
      <c r="P84" s="46" t="inlineStr">
        <is>
          <t>ปี 2558</t>
        </is>
      </c>
    </row>
    <row r="85">
      <c r="A85" s="46" t="n">
        <v>83</v>
      </c>
      <c r="B85" s="45" t="inlineStr">
        <is>
          <t>ยา Piroxicam เป็นยาต้านอักเสบชนิดกรดอ่อน (Weak acid, pKa ≈ 6.3) มีความสามารถในการละลายน้ำต่ำแต่ซึมผ่านผนังลำไส้ได้สูง (BCS Class II) ข้อใดเป็นกลไกที่อธิบายการเพิ่มขึ้นของชีวประสิทธิผลและอัตราการดูดซึมยาตัวนี้?</t>
        </is>
      </c>
      <c r="C85" s="46" t="n"/>
      <c r="D85" s="45" t="inlineStr">
        <is>
          <t>การชะลอเวลาบีบตัวของกระเพาะอาหารลงสู่ลำไส้เล็ก (Increase gastric emptying time)</t>
        </is>
      </c>
      <c r="E85" s="45" t="inlineStr">
        <is>
          <t>การเร่งส่งยาลงสู่ลำไส้เล็กให้เร็วขึ้น (Decrease gastric emptying time)</t>
        </is>
      </c>
      <c r="F85" s="45" t="inlineStr">
        <is>
          <t>การเพิ่มเวลาที่ยาอยู่ในลำไส้เล็ก (Increase intestinal transit time)</t>
        </is>
      </c>
      <c r="G85" s="45" t="inlineStr">
        <is>
          <t>การลดเวลาที่ยาอยู่ในลำไส้เล็ก (Decrease intestinal transit time)</t>
        </is>
      </c>
      <c r="H85" s="45" t="inlineStr">
        <is>
          <t>อัตราการบีบตัวของทางเดินอาหารไม่มีผลต่อการดูดซึมของยากลุ่มนี้</t>
        </is>
      </c>
      <c r="I85" s="46" t="n">
        <v>1</v>
      </c>
      <c r="J85" s="45" t="inlineStr">
        <is>
          <t>✅ คำตอบที่ถูกต้อง: ข้อ ก. การชะลอเวลาบีบตัวของกระเพาะอาหารลงสู่ลำไส้เล็ก (Increase gastric emptying time)
💡 Background:
คำถามข้อสอบจริงใบประกอบวิชาชีพ PLE-CC 1 (Product) ปี 2558 ข้อ 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5" s="46" t="n"/>
      <c r="L85" s="45" t="inlineStr">
        <is>
          <t>Biopharmaceutics &amp; Dissolution</t>
        </is>
      </c>
      <c r="M85" s="46" t="inlineStr">
        <is>
          <t>Product</t>
        </is>
      </c>
      <c r="N85" s="45" t="inlineStr">
        <is>
          <t>ข้อสอบจริง Product ปี 2558 ข้อ 34</t>
        </is>
      </c>
      <c r="O85" s="46" t="inlineStr">
        <is>
          <t>ข้อสอบจริง</t>
        </is>
      </c>
      <c r="P85" s="46" t="inlineStr">
        <is>
          <t>ปี 2558</t>
        </is>
      </c>
    </row>
    <row r="86">
      <c r="A86" s="46" t="n">
        <v>84</v>
      </c>
      <c r="B86" s="45" t="inlineStr">
        <is>
          <t>จากใบรายงานผลการวิเคราะห์ (Certificate of Analysis: COA) ของยาเม็ดทั่วไป ข้อใดกล่าวถึงหลักการอ่านและแปลผลที่ถูกต้อง? [แนบรูป: ข้อสอบ Product ปี 2558 รหัสรูปภาพ image124]</t>
        </is>
      </c>
      <c r="C86" s="46" t="inlineStr">
        <is>
          <t>[แนบรูป: ข้อสอบ Product ปี 2558 รหัสรูปภาพ image124]</t>
        </is>
      </c>
      <c r="D86" s="45" t="inlineStr">
        <is>
          <t>ผลการทดสอบ Dissolution จะตัดสินว่าผ่านเกณฑ์ในการทดสอบขั้นแรก (S1) ได้ทันทีเมื่อค่าเฉลี่ยของยาทั้ง 6 เม็ดมากกว่าหรือเท่ากับ Q</t>
        </is>
      </c>
      <c r="E86" s="45" t="inlineStr">
        <is>
          <t>ผลการทดสอบ Disintegration จะถือว่าผ่านเกณฑ์หากเม็ดยาทั้งหมดละลายจนเป็นสารละลายใสไม่มีตะกอนภายในเวลาที่กำหนด</t>
        </is>
      </c>
      <c r="F86" s="45" t="inlineStr">
        <is>
          <t>ผลการทดสอบ Weight Variation จะตัดสินว่าผ่านเกณฑ์ก็ต่อเมื่อค่าน้ำหนักของยาทุกเม็ดไม่มีเม็ดใดอยู่นอกช่วงที่ระบุในเภสัชตำรับ (เช่น ไม่เกิน ±7.5% หรือ ±10%)</t>
        </is>
      </c>
      <c r="G86" s="45" t="inlineStr">
        <is>
          <t>ตัวยามีปริมาณต่ำกว่าเกณฑ์ที่กำหนดเมื่อผลการทดสอบหาปริมาณตัวยาสำคัญ (Assay) ของผลิตภัณฑ์สำเร็จรูป (Finished Product) อยู่นอกช่วงมาตรฐานที่ระบุใน Monograph (เช่น ต่ำกว่า 90.0% of labeled amount)</t>
        </is>
      </c>
      <c r="H86" s="45" t="inlineStr">
        <is>
          <t>ผลการทดสอบ Identification ถือเป็นผลการทดสอบเชิงคุณภาพที่ไม่จำเป็นต้องสรุปผลในใบรายงาน COA ก่อนการปล่อยผ่านยา (Batch Release) ##</t>
        </is>
      </c>
      <c r="I86" s="46" t="n">
        <v>1</v>
      </c>
      <c r="J86" s="45" t="inlineStr">
        <is>
          <t>✅ คำตอบที่ถูกต้อง: ข้อ ก. ผลการทดสอบ Dissolution จะตัดสินว่าผ่านเกณฑ์ในการทดสอบขั้นแรก (S1) ได้ทันทีเมื่อค่าเฉลี่ยของยาทั้ง 6 เม็ดมากกว่าหรือเท่ากับ Q
💡 Background:
คำถามข้อสอบจริงใบประกอบวิชาชีพ PLE-CC 1 (Product) ปี 2558 ข้อ 40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6" s="46" t="n"/>
      <c r="L86" s="45" t="inlineStr">
        <is>
          <t>Biopharmaceutics &amp; Dissolution</t>
        </is>
      </c>
      <c r="M86" s="46" t="inlineStr">
        <is>
          <t>Product</t>
        </is>
      </c>
      <c r="N86" s="45" t="inlineStr">
        <is>
          <t>ข้อสอบจริง Product ปี 2558 ข้อ 40</t>
        </is>
      </c>
      <c r="O86" s="46" t="inlineStr">
        <is>
          <t>ข้อสอบจริง</t>
        </is>
      </c>
      <c r="P86" s="46" t="inlineStr">
        <is>
          <t>ปี 2558</t>
        </is>
      </c>
    </row>
  </sheetData>
  <mergeCells count="1">
    <mergeCell ref="A1:F1"/>
  </mergeCell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Q83"/>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กระบวนการ sterilization ที่เหมาะสมกับผลิตภัณฑ์สำเร็จรูป insulin injection ได้แก่ข้อใด</t>
        </is>
      </c>
      <c r="C3" s="2" t="n"/>
      <c r="D3" s="2" t="inlineStr">
        <is>
          <t>Dry heat sterilization</t>
        </is>
      </c>
      <c r="E3" s="2" t="inlineStr">
        <is>
          <t>Sterile filtration</t>
        </is>
      </c>
      <c r="F3" s="2" t="inlineStr">
        <is>
          <t>Steam sterilization</t>
        </is>
      </c>
      <c r="G3" s="2" t="inlineStr">
        <is>
          <t>Ethylene oxide gas sterilization</t>
        </is>
      </c>
      <c r="H3" s="2" t="inlineStr">
        <is>
          <t>Gamma radiation sterilization</t>
        </is>
      </c>
      <c r="I3" s="8" t="inlineStr">
        <is>
          <t>1</t>
        </is>
      </c>
      <c r="J3" s="2" t="inlineStr">
        <is>
          <t>✅ คำตอบที่ถูกต้อง: ข้อ ก. Dry heat sterilization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(Dry heat sterilization): ข้อนี้ไม่ใช่คำตอบที่ถูกต้องสำหรับภาวะ Autoclave &amp; Sterilization เนื่องจากกลไกการออกฤทธิ์, efficacy หรือข้อบ่งใช้ไม่ตรงกับโจทย์ที่กำหนด
• ข้อ ค. (Sterile filtration): ข้อนี้ไม่ใช่คำตอบที่ถูกต้องสำหรับภาวะ Autoclave &amp; Sterilization เนื่องจากกลไกการออกฤทธิ์, efficacy หรือข้อบ่งใช้ไม่ตรงกับโจทย์ที่กำหนด
• ข้อ ง. (Steam sterilization): ข้อนี้ไม่ใช่คำตอบที่ถูกต้องสำหรับภาวะ Autoclave &amp; Sterilization เนื่องจากกลไกการออกฤทธิ์, efficacy หรือข้อบ่งใช้ไม่ตรงกับโจทย์ที่กำหนด
• ข้อ จ. (Ethylene oxide gas sterilization): ข้อนี้ไม่ใช่คำตอบที่ถูกต้องสำหรับภาวะ Autoclave &amp; Sterilization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 s="2" t="n"/>
      <c r="L3" s="2" t="inlineStr">
        <is>
          <t>Autoclave &amp; Sterilization</t>
        </is>
      </c>
      <c r="M3" s="2" t="inlineStr">
        <is>
          <t>Sterile Products</t>
        </is>
      </c>
      <c r="N3" s="2" t="inlineStr">
        <is>
          <t>Mock PLE-CC 1 ข้อ 32</t>
        </is>
      </c>
      <c r="O3" s="2" t="inlineStr">
        <is>
          <t>Mock</t>
        </is>
      </c>
      <c r="P3" s="2" t="inlineStr">
        <is>
          <t>Mock RxCU83</t>
        </is>
      </c>
      <c r="Q3" s="2" t="n"/>
    </row>
    <row r="4" ht="13.2" customHeight="1" s="37">
      <c r="A4" s="8" t="inlineStr">
        <is>
          <t>3</t>
        </is>
      </c>
      <c r="B4" s="2" t="inlineStr">
        <is>
          <t>COA ของ insulin biosimilar glargine อะไรไม่จำเป็นต้องมี</t>
        </is>
      </c>
      <c r="C4" s="2" t="n"/>
      <c r="D4" s="2" t="inlineStr">
        <is>
          <t>Assay</t>
        </is>
      </c>
      <c r="E4" s="2" t="inlineStr">
        <is>
          <t>Identification</t>
        </is>
      </c>
      <c r="F4" s="2" t="inlineStr">
        <is>
          <t>Bacterial endotoxin</t>
        </is>
      </c>
      <c r="G4" s="2" t="inlineStr">
        <is>
          <t>Impurity</t>
        </is>
      </c>
      <c r="H4" s="2" t="inlineStr">
        <is>
          <t>Dissolution</t>
        </is>
      </c>
      <c r="I4" s="8" t="inlineStr">
        <is>
          <t>1</t>
        </is>
      </c>
      <c r="J4" s="2" t="inlineStr">
        <is>
          <t>✅ คำตอบที่ถูกต้อง: ข้อ ก. Assay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(Assay): ข้อนี้ไม่ใช่คำตอบที่ถูกต้องสำหรับภาวะ Parenterals &amp; Ophthalmic เนื่องจากกลไกการออกฤทธิ์, efficacy หรือข้อบ่งใช้ไม่ตรงกับโจทย์ที่กำหนด
• ข้อ ค. (Identification): ข้อนี้ไม่ใช่คำตอบที่ถูกต้องสำหรับภาวะ Parenterals &amp; Ophthalmic เนื่องจากกลไกการออกฤทธิ์, efficacy หรือข้อบ่งใช้ไม่ตรงกับโจทย์ที่กำหนด
• ข้อ ง. (Bacterial endotoxin): ข้อนี้ไม่ใช่คำตอบที่ถูกต้องสำหรับภาวะ Parenterals &amp; Ophthalmic เนื่องจากกลไกการออกฤทธิ์, efficacy หรือข้อบ่งใช้ไม่ตรงกับโจทย์ที่กำหนด
• ข้อ จ. (Impurity):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2" t="n"/>
      <c r="L4" s="2" t="inlineStr">
        <is>
          <t>Parenterals &amp; Ophthalmic</t>
        </is>
      </c>
      <c r="M4" s="2" t="inlineStr">
        <is>
          <t>Sterile Products</t>
        </is>
      </c>
      <c r="N4" s="2" t="inlineStr">
        <is>
          <t>Mock PLE-CC 1 ข้อ 34</t>
        </is>
      </c>
      <c r="O4" s="2" t="inlineStr">
        <is>
          <t>Mock</t>
        </is>
      </c>
      <c r="P4" s="2" t="inlineStr">
        <is>
          <t>Mock RxCU83</t>
        </is>
      </c>
      <c r="Q4" s="2" t="n"/>
    </row>
    <row r="5" ht="13.2" customHeight="1" s="37">
      <c r="A5" s="8" t="inlineStr">
        <is>
          <t>4</t>
        </is>
      </c>
      <c r="B5" s="2" t="inlineStr">
        <is>
          <t>เหตุผลหลักในการตรวจ Bacterial endotoxin ใน Paclitaxel injection</t>
        </is>
      </c>
      <c r="C5" s="2" t="n"/>
      <c r="D5" s="2" t="inlineStr">
        <is>
          <t>เพื่อให้มั่นใจว่าไม่มีเชื้อราเจริญเติบโตในยา</t>
        </is>
      </c>
      <c r="E5" s="2" t="inlineStr">
        <is>
          <t>เพื่อป้องกันการเกิด Pyrogenic reaction</t>
        </is>
      </c>
      <c r="F5" s="2" t="inlineStr">
        <is>
          <t>เพื่อวัดความเข้มข้นของสารกันเสีย</t>
        </is>
      </c>
      <c r="G5" s="2" t="inlineStr">
        <is>
          <t>เพื่อประเมินความคงตัวของยาที่อุณหภูมิสูง</t>
        </is>
      </c>
      <c r="H5" s="2" t="inlineStr">
        <is>
          <t>เพื่อวัดความแรงในการออกฤทธิ์ต้านมะเร็ง</t>
        </is>
      </c>
      <c r="I5" s="8" t="inlineStr">
        <is>
          <t>1</t>
        </is>
      </c>
      <c r="J5" s="2" t="inlineStr">
        <is>
          <t>✅ คำตอบที่ถูกต้อง: ข้อ ก. เพื่อให้มั่นใจว่าไม่มีเชื้อราเจริญเติบโตในยา
💡 Background:
การบริบาลผู้ป่วยในกลุ่มโรค Sterility &amp; Pyrogen testing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(เพื่อให้มั่นใจว่าไม่มีเชื้อราเจริญเติบโตในยา): ข้อนี้ไม่ใช่คำตอบที่ถูกต้องสำหรับภาวะ Sterility &amp; Pyrogen testing เนื่องจากกลไกการออกฤทธิ์, efficacy หรือข้อบ่งใช้ไม่ตรงกับโจทย์ที่กำหนด
• ข้อ ค. (เพื่อป้องกันการเกิด Pyrogenic reaction): ข้อนี้ไม่ใช่คำตอบที่ถูกต้องสำหรับภาวะ Sterility &amp; Pyrogen testing เนื่องจากกลไกการออกฤทธิ์, efficacy หรือข้อบ่งใช้ไม่ตรงกับโจทย์ที่กำหนด
• ข้อ ง. (เพื่อวัดความเข้มข้นของสารกันเสีย): ข้อนี้ไม่ใช่คำตอบที่ถูกต้องสำหรับภาวะ Sterility &amp; Pyrogen testing เนื่องจากกลไกการออกฤทธิ์, efficacy หรือข้อบ่งใช้ไม่ตรงกับโจทย์ที่กำหนด
• ข้อ จ. (เพื่อประเมินความคงตัวของยาที่อุณหภูมิสูง): ข้อนี้ไม่ใช่คำตอบที่ถูกต้องสำหรับภาวะ Sterility &amp; Pyrogen testing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5" s="2" t="n"/>
      <c r="L5" s="2" t="inlineStr">
        <is>
          <t>Sterility &amp; Pyrogen testing</t>
        </is>
      </c>
      <c r="M5" s="2" t="inlineStr">
        <is>
          <t>Sterile Products</t>
        </is>
      </c>
      <c r="N5" s="2" t="inlineStr">
        <is>
          <t>Mock PLE-CC 1 ข้อ 75</t>
        </is>
      </c>
      <c r="O5" s="2" t="inlineStr">
        <is>
          <t>Mock</t>
        </is>
      </c>
      <c r="P5" s="2" t="inlineStr">
        <is>
          <t>Mock RxCU83</t>
        </is>
      </c>
      <c r="Q5" s="2" t="n"/>
    </row>
    <row r="6" ht="13.2" customHeight="1" s="37">
      <c r="A6" s="8" t="inlineStr">
        <is>
          <t>5</t>
        </is>
      </c>
      <c r="B6" s="2" t="inlineStr">
        <is>
          <t>ในการผลิต mAB ใน bioreactor ปัจจัยใดที่ต้องควบคุมเพื่อให้เซลล์เจริญเติบโตได้ดี
และมีการสร้างโปรตีนอย่างมีประสิทธิภาพ</t>
        </is>
      </c>
      <c r="C6" s="2" t="n"/>
      <c r="D6" s="2" t="inlineStr">
        <is>
          <t>ควบคุม pH อุณหภูมิ และระดับ O2</t>
        </is>
      </c>
      <c r="E6" s="2" t="inlineStr">
        <is>
          <t>ใส่ตัวทำละลายอินทรีย์ เพื่อเร่งให้โปรตีนเกิดการพับตัว</t>
        </is>
      </c>
      <c r="F6" s="2" t="inlineStr">
        <is>
          <t>ใส่ reducing agent เพื่อป้องกันการเกิด disulfide bond formation</t>
        </is>
      </c>
      <c r="G6" s="2" t="inlineStr">
        <is>
          <t>Sterile ด้วยไรสักอย่างเพื่อไม่ให้เกิดการปนเปื้อน</t>
        </is>
      </c>
      <c r="H6" s="2" t="inlineStr">
        <is>
          <t>ใส่ protease เพื่อเร่งให้เกิดการเสื่อมสลายของโปรตีนที่ไม่ได้เกิดการพับ</t>
        </is>
      </c>
      <c r="I6" s="8" t="inlineStr">
        <is>
          <t>1</t>
        </is>
      </c>
      <c r="J6" s="2" t="inlineStr">
        <is>
          <t>✅ คำตอบที่ถูกต้อง: ข้อ ก. ควบคุม pH อุณหภูมิ และระดับ O2
💡 Background:
การบริบาลผู้ป่วยในกลุ่มโรค Parenterals &amp; Ophthalmic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(ควบคุม pH อุณหภูมิ และระดับ O2): ข้อนี้ไม่ใช่คำตอบที่ถูกต้องสำหรับภาวะ Parenterals &amp; Ophthalmic เนื่องจากกลไกการออกฤทธิ์, efficacy หรือข้อบ่งใช้ไม่ตรงกับโจทย์ที่กำหนด
• ข้อ ค. (ใส่ตัวทำละลายอินทรีย์ เพื่อเร่งให้โปรตีนเกิดการพับตัว): ข้อนี้ไม่ใช่คำตอบที่ถูกต้องสำหรับภาวะ Parenterals &amp; Ophthalmic เนื่องจากกลไกการออกฤทธิ์, efficacy หรือข้อบ่งใช้ไม่ตรงกับโจทย์ที่กำหนด
• ข้อ ง. (ใส่ reducing agent เพื่อป้องกันการเกิด disulfide bond formation): ข้อนี้ไม่ใช่คำตอบที่ถูกต้องสำหรับภาวะ Parenterals &amp; Ophthalmic เนื่องจากกลไกการออกฤทธิ์, efficacy หรือข้อบ่งใช้ไม่ตรงกับโจทย์ที่กำหนด
• ข้อ จ. (Sterile ด้วยไรสักอย่างเพื่อไม่ให้เกิดการปนเปื้อน):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Parenterals &amp; Ophthalmic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Parenterals &amp; Ophthalmic</t>
        </is>
      </c>
      <c r="M6" s="2" t="inlineStr">
        <is>
          <t>Sterile Products</t>
        </is>
      </c>
      <c r="N6" s="2" t="inlineStr">
        <is>
          <t>Mock PLE-CC 1 ข้อ 79</t>
        </is>
      </c>
      <c r="O6" s="2" t="inlineStr">
        <is>
          <t>Mock</t>
        </is>
      </c>
      <c r="P6" s="2" t="inlineStr">
        <is>
          <t>Mock RxCU83</t>
        </is>
      </c>
      <c r="Q6" s="2" t="n"/>
    </row>
    <row r="7" ht="13.2" customHeight="1" s="37">
      <c r="A7" s="8" t="inlineStr">
        <is>
          <t>6</t>
        </is>
      </c>
      <c r="B7" s="2" t="inlineStr">
        <is>
          <t>Isoniazid injection จัดเป็น sterile product ต้องมีการทดสอบ bacterial endotoxic ตาม USP โดยกำหนด
limit คือ NMT 0.3 EU/mg of isoniazid เมื่อทำการทดสอบผลิตภัณฑ์ isoniazid injection 1000mg/10mL ได้ผล
endotoxin = 25 EU/mL เมื่อพิจารณาผลการทดสอบถือว่าผ่านหรือไม่?</t>
        </is>
      </c>
      <c r="C7" s="2" t="n"/>
      <c r="D7" s="2" t="inlineStr">
        <is>
          <t>ผ่าน เพราะต ่ากว่า limit</t>
        </is>
      </c>
      <c r="E7" s="2" t="inlineStr">
        <is>
          <t>ไม่ผ่าน เพราะเกิน limit</t>
        </is>
      </c>
      <c r="F7" s="2" t="inlineStr">
        <is>
          <t>ผ่านได้ถ้าเจือจางเพิ่ม</t>
        </is>
      </c>
      <c r="G7" s="2" t="inlineStr">
        <is>
          <t>ไม่ผ่าน ต้องมีการทดสอบ sterility test ใหม่</t>
        </is>
      </c>
      <c r="H7" s="2" t="inlineStr">
        <is>
          <t>ไม่ผ่านซักขวด</t>
        </is>
      </c>
      <c r="I7" s="8" t="inlineStr">
        <is>
          <t>1</t>
        </is>
      </c>
      <c r="J7" s="2" t="inlineStr">
        <is>
          <t>✅ คำตอบที่ถูกต้อง: ข้อ ก. ผ่าน เพราะต ่ากว่า limit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(ผ่าน เพราะต ่ากว่า limit): ข้อนี้ไม่ใช่คำตอบที่ถูกต้องสำหรับภาวะ Sterility &amp; Pyrogen testing เนื่องจากกลไกการออกฤทธิ์, efficacy หรือข้อบ่งใช้ไม่ตรงกับโจทย์ที่กำหนด
• ข้อ ค. (ไม่ผ่าน เพราะเกิน limit): ข้อนี้ไม่ใช่คำตอบที่ถูกต้องสำหรับภาวะ Sterility &amp; Pyrogen testing เนื่องจากกลไกการออกฤทธิ์, efficacy หรือข้อบ่งใช้ไม่ตรงกับโจทย์ที่กำหนด
• ข้อ ง. (ผ่านได้ถ้าเจือจางเพิ่ม): ข้อนี้ไม่ใช่คำตอบที่ถูกต้องสำหรับภาวะ Sterility &amp; Pyrogen testing เนื่องจากกลไกการออกฤทธิ์, efficacy หรือข้อบ่งใช้ไม่ตรงกับโจทย์ที่กำหนด
• ข้อ จ. (ไม่ผ่าน ต้องมีการทดสอบ sterility test ใหม่): ข้อนี้ไม่ใช่คำตอบที่ถูกต้องสำหรับภาวะ Sterility &amp; Pyrogen testing เนื่องจากกลไกการออกฤทธิ์, efficacy หรือข้อบ่งใช้ไม่ตรงกับโจทย์ที่กำหนด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 s="2" t="n"/>
      <c r="L7" s="2" t="inlineStr">
        <is>
          <t>Sterility &amp; Pyrogen testing</t>
        </is>
      </c>
      <c r="M7" s="2" t="inlineStr">
        <is>
          <t>Sterile Products</t>
        </is>
      </c>
      <c r="N7" s="2" t="inlineStr">
        <is>
          <t>Mock PLE-CC 1 ข้อ 105</t>
        </is>
      </c>
      <c r="O7" s="2" t="inlineStr">
        <is>
          <t>Mock</t>
        </is>
      </c>
      <c r="P7" s="2" t="inlineStr">
        <is>
          <t>Mock RxCU83</t>
        </is>
      </c>
      <c r="Q7" s="2" t="n"/>
    </row>
    <row r="8" ht="13.2" customHeight="1" s="37">
      <c r="A8" s="8" t="inlineStr">
        <is>
          <t>7</t>
        </is>
      </c>
      <c r="B8" s="2" t="inlineStr">
        <is>
          <t>ผลิตภัณฑ์ยาหยอดตาที่มีการทำ filtration sterilization ข้อใดไม่ถูกต้อง</t>
        </is>
      </c>
      <c r="C8" s="2" t="n"/>
      <c r="D8" s="2" t="inlineStr">
        <is>
          <t>ต้องทำใน clean room และใช้ aseptic techniques</t>
        </is>
      </c>
      <c r="E8" s="2" t="inlineStr">
        <is>
          <t>เป็น terminal (finish) process</t>
        </is>
      </c>
      <c r="F8" s="2" t="inlineStr">
        <is>
          <t>ใช้ 0.22 ไมครอน ในการกรองจุลินทรีย์</t>
        </is>
      </c>
      <c r="G8" s="2" t="inlineStr">
        <is>
          <t>ยาที่กรองแล้วต้องใส่ภาชนะที่ทำ sterilization แล้ว</t>
        </is>
      </c>
      <c r="H8" s="2" t="inlineStr">
        <is>
          <t>เหมาะกับยาที่โดนความร้อนไม่ได้ PLE-PC1 Preparation 2567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I8" s="8" t="inlineStr">
        <is>
          <t>1</t>
        </is>
      </c>
      <c r="J8" s="2" t="inlineStr">
        <is>
          <t>✅ คำตอบที่ถูกต้อง: ข้อ ก. ต้องทำใน clean room และใช้ aseptic techniques
💡 Background:
การบริบาลผู้ป่วยในกลุ่มโรค Autoclave &amp; Sterilization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(ต้องทำใน clean room และใช้ aseptic techniques): ข้อนี้ไม่ใช่คำตอบที่ถูกต้องสำหรับภาวะ Autoclave &amp; Sterilization เนื่องจากกลไกการออกฤทธิ์, efficacy หรือข้อบ่งใช้ไม่ตรงกับโจทย์ที่กำหนด
• ข้อ ค. (เป็น terminal (finish) process): ข้อนี้ไม่ใช่คำตอบที่ถูกต้องสำหรับภาวะ Autoclave &amp; Sterilization เนื่องจากกลไกการออกฤทธิ์, efficacy หรือข้อบ่งใช้ไม่ตรงกับโจทย์ที่กำหนด
• ข้อ ง. (ใช้ 0.22 ไมครอน ในการกรองจุลินทรีย์): ข้อนี้ไม่ใช่คำตอบที่ถูกต้องสำหรับภาวะ Autoclave &amp; Sterilization เนื่องจากกลไกการออกฤทธิ์, efficacy หรือข้อบ่งใช้ไม่ตรงกับโจทย์ที่กำหนด
• ข้อ จ. (ยาที่กรองแล้วต้องใส่ภาชนะที่ทำ sterilization แล้ว): ข้อนี้ไม่ใช่คำตอบที่ถูกต้องสำหรับภาวะ Autoclave &amp; Sterilization เนื่องจากกลไกการออกฤทธิ์, efficacy หรือข้อบ่งใช้ไม่ตรงกับโจทย์ที่กำหนด
📖 Guideline อ้างอิง:
[NEED_REVIEW]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8" s="2" t="n"/>
      <c r="L8" s="2" t="inlineStr">
        <is>
          <t>Autoclave &amp; Sterilization</t>
        </is>
      </c>
      <c r="M8" s="2" t="inlineStr">
        <is>
          <t>Sterile Products</t>
        </is>
      </c>
      <c r="N8" s="2" t="inlineStr">
        <is>
          <t>PLE_CC1_2567_Key ข้อ 17</t>
        </is>
      </c>
      <c r="O8" s="2" t="inlineStr">
        <is>
          <t>ข้อสอบจริง</t>
        </is>
      </c>
      <c r="P8" s="2" t="inlineStr">
        <is>
          <t>ปี 2567</t>
        </is>
      </c>
      <c r="Q8" s="2" t="n"/>
    </row>
    <row r="9" ht="13.2" customHeight="1" s="37">
      <c r="A9" s="8" t="inlineStr">
        <is>
          <t>8</t>
        </is>
      </c>
      <c r="B9" s="2" t="inlineStr">
        <is>
          <t>อะไรใน sterile IV mixture set ที่เกิดปกญหามากที่สุดกับ nitroglycerin</t>
        </is>
      </c>
      <c r="C9" s="2" t="n"/>
      <c r="D9" s="2" t="inlineStr">
        <is>
          <t>Polyethylene</t>
        </is>
      </c>
      <c r="E9" s="2" t="inlineStr">
        <is>
          <t>Polypropylene</t>
        </is>
      </c>
      <c r="F9" s="2" t="inlineStr">
        <is>
          <t>Teflon</t>
        </is>
      </c>
      <c r="G9" s="2" t="inlineStr">
        <is>
          <t>PVC</t>
        </is>
      </c>
      <c r="H9" s="2" t="inlineStr">
        <is>
          <t>Polystyrene กรณีศึกษา 10 ผู$ชายอายุ 28 ปç มีอาการแสบร$อนกลางอกมา 2 เดือน มีเรอเปรี้ยว 3 วันก-อน คลื่นไส$อาเจียน 1-3 รอบ/วัน ปกติกินยาลดกรดชนิดน้ำแล$วดีขึ้น แต- 3 วันมานี้อาการไม-ดีขึ้นเลย</t>
        </is>
      </c>
      <c r="I9" s="8" t="inlineStr">
        <is>
          <t>1</t>
        </is>
      </c>
      <c r="J9" s="2" t="inlineStr">
        <is>
          <t>✅ คำตอบที่ถูกต้อง: ข้อ ก. Polyethylene
💡 Background:
การบริบาลผู้ป่วยในกลุ่มโรค Parenterals &amp; Ophthalmic มุ่งเน้นการควบคุมโรคและลดความเสี่ยงต่อภาวะแทรกซ้อนด้วย evidence-based pharmacotherapy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(Polyethylene): ข้อนี้ไม่ใช่คำตอบที่ถูกต้องสำหรับภาวะ Parenterals &amp; Ophthalmic เนื่องจากกลไกการออกฤทธิ์, efficacy หรือข้อบ่งใช้ไม่ตรงกับโจทย์ที่กำหนด
• ข้อ ค. (Polypropylene): ข้อนี้ไม่ใช่คำตอบที่ถูกต้องสำหรับภาวะ Parenterals &amp; Ophthalmic เนื่องจากกลไกการออกฤทธิ์, efficacy หรือข้อบ่งใช้ไม่ตรงกับโจทย์ที่กำหนด
• ข้อ ง. (Teflon): ข้อนี้ไม่ใช่คำตอบที่ถูกต้องสำหรับภาวะ Parenterals &amp; Ophthalmic เนื่องจากกลไกการออกฤทธิ์, efficacy หรือข้อบ่งใช้ไม่ตรงกับโจทย์ที่กำหนด
• ข้อ จ. (PVC):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9" s="2" t="n"/>
      <c r="L9" s="2" t="inlineStr">
        <is>
          <t>Parenterals &amp; Ophthalmic</t>
        </is>
      </c>
      <c r="M9" s="2" t="inlineStr">
        <is>
          <t>Sterile Products</t>
        </is>
      </c>
      <c r="N9" s="2" t="inlineStr">
        <is>
          <t>PLE_CC1_2565_Day2_Key ข้อ 27</t>
        </is>
      </c>
      <c r="O9" s="2" t="inlineStr">
        <is>
          <t>ข้อสอบจริง</t>
        </is>
      </c>
      <c r="P9" s="2" t="inlineStr">
        <is>
          <t>ปี 2565</t>
        </is>
      </c>
      <c r="Q9" s="2" t="n"/>
    </row>
    <row r="10" ht="13.2" customHeight="1" s="37">
      <c r="A10" s="8" t="inlineStr">
        <is>
          <t>9</t>
        </is>
      </c>
      <c r="B10" s="2" t="inlineStr">
        <is>
          <t>อยากเพิ่มระยะเวลาให$ยาอยู-ที่กระจกตานานขึ้น ควรเติมสารใด Solution X Preservative ไ"เ$ยว'บ sterile X pH Ophthamic solution อใน-วง 4.0-8.0 ไ/ X pH 'บ tonicity ไ"เ$ยว0อง'น X ~</t>
        </is>
      </c>
      <c r="C10" s="2" t="n"/>
      <c r="D10" s="2" t="inlineStr">
        <is>
          <t>Buffering agent</t>
        </is>
      </c>
      <c r="E10" s="2" t="inlineStr">
        <is>
          <t>Viscosity enhancer</t>
        </is>
      </c>
      <c r="F10" s="2" t="inlineStr">
        <is>
          <t>surface active agent</t>
        </is>
      </c>
      <c r="G10" s="2" t="inlineStr">
        <is>
          <t>isotonic agent</t>
        </is>
      </c>
      <c r="H10" s="2" t="inlineStr">
        <is>
          <t>stabilizer กรณีศึกษา 14 หญิงอายุ 52 ปçมาปรึกษาคลินิกวัยทองเรื่องประจำเดือนไม-มา 12 เดือนแล$ว ช-วงนี้อ-อนเพลีย เหงื่อ ออกเยอะโดยเฉพาะตอนกลางคืน ซึมเศร$า นอนไม-ค-อยหลับ ชอบตื่นขึ้นมาตอนกลางคืน ช-องคลอดแห$งมีเพศ สัมพันธุ6แล$วเจ็บ ไม-มีโรคประจำตัว ไม-ได$รับการผ-าตัดใดๆ ไม-แพ$ยา</t>
        </is>
      </c>
      <c r="I10" s="8" t="inlineStr">
        <is>
          <t>1</t>
        </is>
      </c>
      <c r="J10" s="2" t="inlineStr">
        <is>
          <t>✅ คำตอบที่ถูกต้อง: ข้อ ก. Buffering agent
💡 Background:
การรักษาโรคติดเชื้อแบคทีเรีย (Parenterals &amp; Ophthalmic) ต้องเลือก antibiotic ที่ครอบคลุม likely pathogens และมี PK/PD profile เหมาะสมกับตำแหน่งการติดเชื้อ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(Buffering agent): ข้อนี้ไม่ใช่คำตอบที่ถูกต้องสำหรับภาวะ Parenterals &amp; Ophthalmic เนื่องจากกลไกการออกฤทธิ์, efficacy หรือข้อบ่งใช้ไม่ตรงกับโจทย์ที่กำหนด
• ข้อ ค. (Viscosity enhancer): ข้อนี้ไม่ใช่คำตอบที่ถูกต้องสำหรับภาวะ Parenterals &amp; Ophthalmic เนื่องจากกลไกการออกฤทธิ์, efficacy หรือข้อบ่งใช้ไม่ตรงกับโจทย์ที่กำหนด
• ข้อ ง. (surface active agent): ข้อนี้ไม่ใช่คำตอบที่ถูกต้องสำหรับภาวะ Parenterals &amp; Ophthalmic เนื่องจากกลไกการออกฤทธิ์, efficacy หรือข้อบ่งใช้ไม่ตรงกับโจทย์ที่กำหนด
• ข้อ จ. (isotonic agent):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10" s="2" t="n"/>
      <c r="L10" s="2" t="inlineStr">
        <is>
          <t>Parenterals &amp; Ophthalmic</t>
        </is>
      </c>
      <c r="M10" s="2" t="inlineStr">
        <is>
          <t>Sterile Products</t>
        </is>
      </c>
      <c r="N10" s="2" t="inlineStr">
        <is>
          <t>PLE_CC1_2565_Day2_Key ข้อ 43</t>
        </is>
      </c>
      <c r="O10" s="2" t="inlineStr">
        <is>
          <t>ข้อสอบจริง</t>
        </is>
      </c>
      <c r="P10" s="2" t="inlineStr">
        <is>
          <t>ปี 2565</t>
        </is>
      </c>
      <c r="Q10" s="2" t="n"/>
    </row>
    <row r="11" ht="13.2" customHeight="1" s="37">
      <c r="A11" s="2" t="n">
        <v>9</v>
      </c>
      <c r="B11" s="2" t="inlineStr">
        <is>
          <t>ข้อใดถูกต้องเกี่ยวกับยา steroid ฉีดเข้าข้อ X &amp;o preservative&amp;</t>
        </is>
      </c>
      <c r="C11" s="2" t="n"/>
      <c r="D11" s="2" t="inlineStr">
        <is>
          <t>ห้ามใส่สารกันเสีย</t>
        </is>
      </c>
      <c r="E11" s="2" t="inlineStr">
        <is>
          <t>ฉีดเข้าข้อเท่านั้น ห้ามฉีดเข้ากล้ามเนื้อ</t>
        </is>
      </c>
      <c r="F11" s="2" t="inlineStr">
        <is>
          <t>ฉีดเข้าข้อได้มากกว่า 100 มิลลิลิตร</t>
        </is>
      </c>
      <c r="G11" s="2" t="inlineStr">
        <is>
          <t>ทำเป็นยารูปแบบแขวนตะกอนได้</t>
        </is>
      </c>
      <c r="H11" s="2" t="inlineStr">
        <is>
          <t>Sterile ด้วย autoclave</t>
        </is>
      </c>
      <c r="I11" s="2" t="n">
        <v>1</v>
      </c>
      <c r="J11" s="2" t="inlineStr">
        <is>
          <t>✅ คำตอบที่ถูกต้อง: ข้อ ก. ห้ามใส่สารกันเสีย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ห้ามใส่สารกันเสีย 💡 คำอธิบายและเหตุผลทางเภสัชกรรม:
💡 คำอธิบายและเหตุผลทางเภสัชกรรม:
การเลือก ห้ามใส่สารกันเสีย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(ฉีดเข้าข้อเท่านั้น ห้ามฉีดเข้ากล้ามเนื้อ): ข้อนี้ไม่ใช่คำตอบที่ถูกต้องสำหรับภาวะ Parenterals &amp; Ophthalmic เนื่องจากกลไกการออกฤทธิ์, efficacy หรือข้อบ่งใช้ไม่ตรงกับโจทย์ที่กำหนด
• ข้อ ค. (ฉีดเข้าข้อได้มากกว่า 100 มิลลิลิตร): ข้อนี้ไม่ใช่คำตอบที่ถูกต้องสำหรับภาวะ Parenterals &amp; Ophthalmic เนื่องจากกลไกการออกฤทธิ์, efficacy หรือข้อบ่งใช้ไม่ตรงกับโจทย์ที่กำหนด
• ข้อ ง. (ทำเป็นยารูปแบบแขวนตะกอนได้): ข้อนี้ไม่ใช่คำตอบที่ถูกต้องสำหรับภาวะ Parenterals &amp; Ophthalmic เนื่องจากกลไกการออกฤทธิ์, efficacy หรือข้อบ่งใช้ไม่ตรงกับโจทย์ที่กำหนด
• ข้อ จ. (Sterile ด้วย autoclave):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Parenterals &amp; Ophthalmic</t>
        </is>
      </c>
      <c r="M11" s="2" t="inlineStr">
        <is>
          <t>Product</t>
        </is>
      </c>
      <c r="N11" s="2" t="inlineStr">
        <is>
          <t>ข้อ 30 (PLE_CC1_2562_Key.md)</t>
        </is>
      </c>
      <c r="O11" s="2" t="inlineStr">
        <is>
          <t>ข้อสอบจริง</t>
        </is>
      </c>
      <c r="P11" s="2" t="inlineStr">
        <is>
          <t>ปี 2562</t>
        </is>
      </c>
    </row>
    <row r="12" ht="13.2" customHeight="1" s="37">
      <c r="A12" s="2" t="n">
        <v>10</v>
      </c>
      <c r="B12" s="2" t="inlineStr">
        <is>
          <t>หลังเกิด hepatitis จากยา IRZE ยาใดเหมาะสมที่สุดในการให้แทนยา 1st line X ิ areisinterna nurser. hepatitis an IRZO "EOS</t>
        </is>
      </c>
      <c r="C12" s="2" t="n"/>
      <c r="D12" s="2" t="inlineStr">
        <is>
          <t>PAS</t>
        </is>
      </c>
      <c r="E12" s="2" t="inlineStr">
        <is>
          <t>Streptomycin</t>
        </is>
      </c>
      <c r="F12" s="2" t="inlineStr">
        <is>
          <t>Thalidomide</t>
        </is>
      </c>
      <c r="G12" s="2" t="inlineStr">
        <is>
          <t>Ethioamide</t>
        </is>
      </c>
      <c r="H12" s="2" t="inlineStr">
        <is>
          <t>Linezolid</t>
        </is>
      </c>
      <c r="I12" s="2" t="n">
        <v>1</v>
      </c>
      <c r="J12" s="2" t="inlineStr">
        <is>
          <t>✅ คำตอบที่ถูกต้อง: ข้อ ก. PAS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PAS 💡 คำอธิบายและเหตุผลทางเภสัชกรรม:
💡 คำอธิบายและเหตุผลทางเภสัชกรรม:
การเลือก PAS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(Streptomycin): ข้อนี้ไม่ใช่คำตอบที่ถูกต้องสำหรับภาวะ Sterile Cleanroom specs เนื่องจากกลไกการออกฤทธิ์, efficacy หรือข้อบ่งใช้ไม่ตรงกับโจทย์ที่กำหนด
• ข้อ ค. (Thalidomide): ข้อนี้ไม่ใช่คำตอบที่ถูกต้องสำหรับภาวะ Sterile Cleanroom specs เนื่องจากกลไกการออกฤทธิ์, efficacy หรือข้อบ่งใช้ไม่ตรงกับโจทย์ที่กำหนด
• ข้อ ง. (Ethioamide): ข้อนี้ไม่ใช่คำตอบที่ถูกต้องสำหรับภาวะ Sterile Cleanroom specs เนื่องจากกลไกการออกฤทธิ์, efficacy หรือข้อบ่งใช้ไม่ตรงกับโจทย์ที่กำหนด
• ข้อ จ. (Linezolid):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Sterile Cleanroom specs</t>
        </is>
      </c>
      <c r="M12" s="2" t="inlineStr">
        <is>
          <t>Product</t>
        </is>
      </c>
      <c r="N12" s="2" t="inlineStr">
        <is>
          <t>ข้อ 12 (PLE_CC1_2562_Key.md)</t>
        </is>
      </c>
      <c r="O12" s="2" t="inlineStr">
        <is>
          <t>ข้อสอบจริง</t>
        </is>
      </c>
      <c r="P12" s="2" t="inlineStr">
        <is>
          <t>ปี 2562</t>
        </is>
      </c>
    </row>
    <row r="13" ht="13.2" customHeight="1" s="37">
      <c r="A13" s="2" t="n">
        <v>11</v>
      </c>
      <c r="B13" s="2" t="inlineStr">
        <is>
          <t>ข้อใดไม.ใช.การทดสอบเพื่อควบคุมคุณภาพยาฉีด</t>
        </is>
      </c>
      <c r="C13" s="2" t="n"/>
      <c r="D13" s="2" t="inlineStr">
        <is>
          <t>Safety test</t>
        </is>
      </c>
      <c r="E13" s="2" t="inlineStr">
        <is>
          <t>Sterility test</t>
        </is>
      </c>
      <c r="F13" s="2" t="inlineStr">
        <is>
          <t>Pyrogen test</t>
        </is>
      </c>
      <c r="G13" s="2" t="inlineStr">
        <is>
          <t>Particulate matter test</t>
        </is>
      </c>
      <c r="H13" s="2" t="inlineStr">
        <is>
          <t>Microbial test</t>
        </is>
      </c>
      <c r="I13" s="2" t="n">
        <v>1</v>
      </c>
      <c r="J13" s="2" t="inlineStr">
        <is>
          <t>✅ คำตอบที่ถูกต้อง: ข้อ ก. Safety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Safety test Safety test 💡 คำอธิบายและเหตุผลทางเภสัชกรรม:
💡 คำอธิบายและเหตุผลทางเภสัชกรรม:
การเลือก Safety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ข้อนี้ไม่ใช่คำตอบที่ถูกต้องสำหรับภาวะ Parenterals &amp; Ophthalmic เนื่องจากกลไกการออกฤทธิ์, efficacy หรือข้อบ่งใช้ไม่ตรงกับโจทย์ที่กำหนด
• ข้อ ค. (Pyrogen test): ข้อนี้ไม่ใช่คำตอบที่ถูกต้องสำหรับภาวะ Parenterals &amp; Ophthalmic เนื่องจากกลไกการออกฤทธิ์, efficacy หรือข้อบ่งใช้ไม่ตรงกับโจทย์ที่กำหนด
• ข้อ ง. (Particulate matter test): ข้อนี้ไม่ใช่คำตอบที่ถูกต้องสำหรับภาวะ Parenterals &amp; Ophthalmic เนื่องจากกลไกการออกฤทธิ์, efficacy หรือข้อบ่งใช้ไม่ตรงกับโจทย์ที่กำหนด
• ข้อ จ. (Microbial test):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Parenterals &amp; Ophthalmic</t>
        </is>
      </c>
      <c r="M13" s="2" t="inlineStr">
        <is>
          <t>Product</t>
        </is>
      </c>
      <c r="N13" s="2" t="inlineStr">
        <is>
          <t>ข้อ 124 (PLE_CC1_2561_Key.md)</t>
        </is>
      </c>
      <c r="O13" s="2" t="inlineStr">
        <is>
          <t>ข้อสอบจริง</t>
        </is>
      </c>
      <c r="P13" s="2" t="inlineStr">
        <is>
          <t>ปี 2561</t>
        </is>
      </c>
    </row>
    <row r="14" ht="13.2" customHeight="1" s="37">
      <c r="A14" s="2" t="n">
        <v>12</v>
      </c>
      <c r="B14" s="2" t="inlineStr">
        <is>
          <t>วิธีการทำปราศจากเชื้อวัคซีน</t>
        </is>
      </c>
      <c r="C14" s="2" t="n"/>
      <c r="D14" s="2" t="inlineStr">
        <is>
          <t>Aseptic technique</t>
        </is>
      </c>
      <c r="E14" s="2" t="inlineStr">
        <is>
          <t>Autoclave</t>
        </is>
      </c>
      <c r="F14" s="2" t="inlineStr">
        <is>
          <t>Hot air oven</t>
        </is>
      </c>
      <c r="G14" s="2" t="inlineStr">
        <is>
          <t>Gamma radiation</t>
        </is>
      </c>
      <c r="H14" s="2" t="inlineStr">
        <is>
          <t>Ethylene oxide</t>
        </is>
      </c>
      <c r="I14" s="2" t="n">
        <v>1</v>
      </c>
      <c r="J14" s="2" t="inlineStr">
        <is>
          <t>✅ คำตอบที่ถูกต้อง: ข้อ ก. Aseptic technique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Aseptic technique 💡 คำอธิบายและเหตุผลทางเภสัชกรรม:
💡 คำอธิบายและเหตุผลทางเภสัชกรรม:
การเลือก Aseptic technique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(Autoclave): ข้อนี้ไม่ใช่คำตอบที่ถูกต้องสำหรับภาวะ Parenterals &amp; Ophthalmic เนื่องจากกลไกการออกฤทธิ์, efficacy หรือข้อบ่งใช้ไม่ตรงกับโจทย์ที่กำหนด
• ข้อ ค. (Hot air oven): ข้อนี้ไม่ใช่คำตอบที่ถูกต้องสำหรับภาวะ Parenterals &amp; Ophthalmic เนื่องจากกลไกการออกฤทธิ์, efficacy หรือข้อบ่งใช้ไม่ตรงกับโจทย์ที่กำหนด
• ข้อ ง. (Gamma radiation): ข้อนี้ไม่ใช่คำตอบที่ถูกต้องสำหรับภาวะ Parenterals &amp; Ophthalmic เนื่องจากกลไกการออกฤทธิ์, efficacy หรือข้อบ่งใช้ไม่ตรงกับโจทย์ที่กำหนด
• ข้อ จ. (Ethylene oxide):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Parenterals &amp; Ophthalmic</t>
        </is>
      </c>
      <c r="M14" s="2" t="inlineStr">
        <is>
          <t>Product</t>
        </is>
      </c>
      <c r="N14" s="2" t="inlineStr">
        <is>
          <t>ข้อ 40 (PLE_CC1_2558_Key.md)</t>
        </is>
      </c>
      <c r="O14" s="2" t="inlineStr">
        <is>
          <t>ข้อสอบจริง</t>
        </is>
      </c>
      <c r="P14" s="2" t="inlineStr">
        <is>
          <t>ปี 2558</t>
        </is>
      </c>
    </row>
    <row r="15" ht="13.2" customHeight="1" s="37">
      <c r="A15" s="2" t="n">
        <v>13</v>
      </c>
      <c r="B15" s="2" t="inlineStr">
        <is>
          <t>ผู้ป่วยได้รับการวินิจฉัยว่ามีภาวะ hepatic encephalopathy ยาในข้อใดที_x001E_ผู้ป่วยรายนี%ไม่ควรได้รับ (1) Lorazepam (2) Flumazenil (3) Zinc sulfate (4) Lactulose (5) Rifaximin</t>
        </is>
      </c>
      <c r="C15" s="2" t="n"/>
      <c r="D15" s="2" t="inlineStr">
        <is>
          <t>Isotonic Sodium Chloride 0.9% Osmotic Adjustment</t>
        </is>
      </c>
      <c r="E15" s="2" t="inlineStr">
        <is>
          <t>Moist Heat Steam Sterilization (Autoclave 121 C, 15 psi, 15 min)</t>
        </is>
      </c>
      <c r="F15" s="2" t="inlineStr">
        <is>
          <t>Dry Heat Sterilization (Hot Air Oven 160-170 C, 2 hours)</t>
        </is>
      </c>
      <c r="G15" s="2" t="inlineStr">
        <is>
          <t>Membrane Filtration Sterilization (0.22 micron pore size)</t>
        </is>
      </c>
      <c r="H15" s="2" t="inlineStr">
        <is>
          <t>Ethylene Oxide Gas Sterilization (ETO)</t>
        </is>
      </c>
      <c r="I15" s="2" t="n">
        <v>1</v>
      </c>
      <c r="J1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ค.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ง.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จ.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Sterile Cleanroom specs</t>
        </is>
      </c>
      <c r="M15" s="2" t="inlineStr">
        <is>
          <t>Product</t>
        </is>
      </c>
      <c r="N15" s="2" t="inlineStr">
        <is>
          <t>ข้อ 57 (PLE_CC1_2557.md)</t>
        </is>
      </c>
      <c r="O15" s="2" t="inlineStr">
        <is>
          <t>ข้อสอบจริง</t>
        </is>
      </c>
      <c r="P15" s="2" t="inlineStr">
        <is>
          <t>ปี 2557</t>
        </is>
      </c>
    </row>
    <row r="16" ht="13.2" customHeight="1" s="37">
      <c r="A16" s="2" t="n">
        <v>14</v>
      </c>
      <c r="B16" s="2" t="inlineStr">
        <is>
          <t>ตำรับยาฉีด Desferrioxamine ที_x001E_เตรียมขึ%นนี% ไม่จำเป็นต้อง มีการควบคุมคุณภาพใด (1) pH (2) Sterility (3) Pyrogen (4) Particulate matter (5) Osmolarity of solution MCQ 12 | 1/2557 | Page 26</t>
        </is>
      </c>
      <c r="C16" s="2" t="n"/>
      <c r="D16" s="2" t="inlineStr">
        <is>
          <t>Membrane Filtration Sterilization (0.22 micron pore size)</t>
        </is>
      </c>
      <c r="E16" s="2" t="inlineStr">
        <is>
          <t>Ethylene Oxide Gas Sterilization (ETO)</t>
        </is>
      </c>
      <c r="F16" s="2" t="inlineStr">
        <is>
          <t>LAL Test (Limulus Amebocyte Lysate Bacterial Endotoxin)</t>
        </is>
      </c>
      <c r="G16" s="2" t="inlineStr">
        <is>
          <t>Rabbit Pyrogen Test in vivo</t>
        </is>
      </c>
      <c r="H16" s="2" t="inlineStr">
        <is>
          <t>ISO Class 5 (Grade A) Laminar Airflow Workstation</t>
        </is>
      </c>
      <c r="I16" s="2" t="n">
        <v>1</v>
      </c>
      <c r="J1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ข. (Ethylene Oxide Gas Sterilization (ETO)): ข้อนี้ไม่ใช่คำตอบที่ถูกต้องสำหรับภาวะ Sterility &amp; Pyrogen testing เนื่องจากกลไกการออกฤทธิ์, efficacy หรือข้อบ่งใช้ไม่ตรงกับโจทย์ที่กำหนด
• ข้อ ค. (LAL Test (Limulus Amebocyte Lysate Bacterial Endotoxin)): ข้อนี้ไม่ใช่คำตอบที่ถูกต้องสำหรับภาวะ Sterility &amp; Pyrogen testing เนื่องจากกลไกการออกฤทธิ์, efficacy หรือข้อบ่งใช้ไม่ตรงกับโจทย์ที่กำหนด
• ข้อ ง. (Rabbit Pyrogen Test in vivo): ข้อนี้ไม่ใช่คำตอบที่ถูกต้องสำหรับภาวะ Sterility &amp; Pyrogen testing เนื่องจากกลไกการออกฤทธิ์, efficacy หรือข้อบ่งใช้ไม่ตรงกับโจทย์ที่กำหนด
• ข้อ จ. (ISO Class 5 (Grade A) Laminar Airflow Workstation): ข้อนี้ไม่ใช่คำตอบที่ถูกต้องสำหรับภาวะ Sterility &amp; Pyrogen testing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Sterility &amp; Pyrogen testing</t>
        </is>
      </c>
      <c r="M16" s="2" t="inlineStr">
        <is>
          <t>Product</t>
        </is>
      </c>
      <c r="N16" s="2" t="inlineStr">
        <is>
          <t>ข้อ 80 (PLE_CC1_2557.md)</t>
        </is>
      </c>
      <c r="O16" s="2" t="inlineStr">
        <is>
          <t>ข้อสอบจริง</t>
        </is>
      </c>
      <c r="P16" s="2" t="inlineStr">
        <is>
          <t>ปี 2557</t>
        </is>
      </c>
    </row>
    <row r="17" ht="13.2" customHeight="1" s="37">
      <c r="A17" s="2" t="n">
        <v>15</v>
      </c>
      <c r="B17" s="2" t="inlineStr">
        <is>
          <t>การทดสอบโดยการฉีดเข้าไปในหูกระต่ายแล้ววัดอุณหภูมิของกระต่ายที่สูงขึ้น เป็นการทดสอบอะไร</t>
        </is>
      </c>
      <c r="C17" s="2" t="n"/>
      <c r="D17" s="2" t="inlineStr">
        <is>
          <t>Clarity test</t>
        </is>
      </c>
      <c r="E17" s="2" t="inlineStr">
        <is>
          <t>Sterility test</t>
        </is>
      </c>
      <c r="F17" s="2" t="inlineStr">
        <is>
          <t>Purity test</t>
        </is>
      </c>
      <c r="G17" s="2" t="inlineStr">
        <is>
          <t>Pyrogen test</t>
        </is>
      </c>
      <c r="H17" s="2" t="inlineStr">
        <is>
          <t>Toxicity test</t>
        </is>
      </c>
      <c r="I17" s="2" t="n">
        <v>1</v>
      </c>
      <c r="J17" s="2" t="inlineStr">
        <is>
          <t>✅ คำตอบที่ถูกต้อง: ข้อ ก. Clarity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Clarity test 💡 คำอธิบายและเหตุผลทางเภสัชกรรม:
💡 คำอธิบายและเหตุผลทางเภสัชกรรม:
การเลือก Clarity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ข้อนี้ไม่ใช่คำตอบที่ถูกต้องสำหรับภาวะ Parenterals &amp; Ophthalmic เนื่องจากกลไกการออกฤทธิ์, efficacy หรือข้อบ่งใช้ไม่ตรงกับโจทย์ที่กำหนด
• ข้อ ค. (Purity test): ข้อนี้ไม่ใช่คำตอบที่ถูกต้องสำหรับภาวะ Parenterals &amp; Ophthalmic เนื่องจากกลไกการออกฤทธิ์, efficacy หรือข้อบ่งใช้ไม่ตรงกับโจทย์ที่กำหนด
• ข้อ ง. (Pyrogen test): ข้อนี้ไม่ใช่คำตอบที่ถูกต้องสำหรับภาวะ Parenterals &amp; Ophthalmic เนื่องจากกลไกการออกฤทธิ์, efficacy หรือข้อบ่งใช้ไม่ตรงกับโจทย์ที่กำหนด
• ข้อ จ. (Toxicity test):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Parenterals &amp; Ophthalmic</t>
        </is>
      </c>
      <c r="M17" s="2" t="inlineStr">
        <is>
          <t>Product</t>
        </is>
      </c>
      <c r="N17" s="2" t="inlineStr">
        <is>
          <t>ข้อ 18 (PLE_CC1_2555 Day 1.md)</t>
        </is>
      </c>
      <c r="O17" s="2" t="inlineStr">
        <is>
          <t>ข้อสอบจริง</t>
        </is>
      </c>
      <c r="P17" s="2" t="inlineStr">
        <is>
          <t>ปี 2555</t>
        </is>
      </c>
    </row>
    <row r="18" ht="13.2" customHeight="1" s="37">
      <c r="A18" s="2" t="n">
        <v>16</v>
      </c>
      <c r="B18" s="2" t="inlineStr">
        <is>
          <t>Cholestasis hepatitis</t>
        </is>
      </c>
      <c r="C18" s="2" t="n"/>
      <c r="D18" s="2" t="inlineStr">
        <is>
          <t>Dry Powder Inhaler (DPI) with Carrier Lactose</t>
        </is>
      </c>
      <c r="E18" s="2" t="inlineStr">
        <is>
          <t>Isotonic Sodium Chloride 0.9% Osmotic Adjustment</t>
        </is>
      </c>
      <c r="F18" s="2" t="inlineStr">
        <is>
          <t>Moist Heat Steam Sterilization (Autoclave 121 C, 15 psi, 15 min)</t>
        </is>
      </c>
      <c r="G18" s="2" t="inlineStr">
        <is>
          <t>Dry Heat Sterilization (Hot Air Oven 160-170 C, 2 hours)</t>
        </is>
      </c>
      <c r="H18" s="2" t="inlineStr">
        <is>
          <t>Membrane Filtration Sterilization (0.22 micron pore size)</t>
        </is>
      </c>
      <c r="I18" s="2" t="n">
        <v>1</v>
      </c>
      <c r="J18" s="2" t="inlineStr">
        <is>
          <t>✅ คำตอบที่ถูกต้อง: ข้อ ก. Dry Powder Inhaler (DPI) with Carrier Lactose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Powder Inhaler (DPI) with Carrier Lactose 💡 คำอธิบายและเหตุผลทางเภสัชกรรม:
💡 คำอธิบายและเหตุผลทางเภสัชกรรม:
การเลือก Dry Powder Inhaler (DPI) with Carrier Lactose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Sterile Cleanroom specs)
🔍 ข้ออื่นผิดเพราะอะไร:
• ข้อ ข.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ค.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ง.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จ.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Sterile Cleanroom specs</t>
        </is>
      </c>
      <c r="M18" s="2" t="inlineStr">
        <is>
          <t>Product</t>
        </is>
      </c>
      <c r="N18" s="2" t="inlineStr">
        <is>
          <t>ข้อ 1 (PLE_CC1_2555 Day 2.md)</t>
        </is>
      </c>
      <c r="O18" s="2" t="inlineStr">
        <is>
          <t>ข้อสอบจริง</t>
        </is>
      </c>
      <c r="P18" s="2" t="inlineStr">
        <is>
          <t>ปี 2555</t>
        </is>
      </c>
    </row>
    <row r="19" ht="13.2" customHeight="1" s="37">
      <c r="A19" s="2" t="n">
        <v>17</v>
      </c>
      <c r="B19" s="2" t="inlineStr">
        <is>
          <t>Hepatitic fibrosis</t>
        </is>
      </c>
      <c r="C19" s="2" t="n"/>
      <c r="D19" s="2" t="inlineStr">
        <is>
          <t>Dry Heat Sterilization (Hot Air Oven 160-170 C, 2 hours)</t>
        </is>
      </c>
      <c r="E19" s="2" t="inlineStr">
        <is>
          <t>Membrane Filtration Sterilization (0.22 micron pore size)</t>
        </is>
      </c>
      <c r="F19" s="2" t="inlineStr">
        <is>
          <t>Ethylene Oxide Gas Sterilization (ETO)</t>
        </is>
      </c>
      <c r="G19" s="2" t="inlineStr">
        <is>
          <t>LAL Test (Limulus Amebocyte Lysate Bacterial Endotoxin)</t>
        </is>
      </c>
      <c r="H19" s="2" t="inlineStr">
        <is>
          <t>Rabbit Pyrogen Test in vivo</t>
        </is>
      </c>
      <c r="I19" s="2" t="n">
        <v>1</v>
      </c>
      <c r="J1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ค.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ง.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จ.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Sterile Cleanroom specs</t>
        </is>
      </c>
      <c r="M19" s="2" t="inlineStr">
        <is>
          <t>Product</t>
        </is>
      </c>
      <c r="N19" s="2" t="inlineStr">
        <is>
          <t>ข้อ 2 (PLE_CC1_2555 Day 2.md)</t>
        </is>
      </c>
      <c r="O19" s="2" t="inlineStr">
        <is>
          <t>ข้อสอบจริง</t>
        </is>
      </c>
      <c r="P19" s="2" t="inlineStr">
        <is>
          <t>ปี 2555</t>
        </is>
      </c>
    </row>
    <row r="20" ht="13.2" customHeight="1" s="37">
      <c r="A20" s="2" t="n">
        <v>18</v>
      </c>
      <c r="B20" s="2" t="inlineStr">
        <is>
          <t>Hepatocellular hepatitis</t>
        </is>
      </c>
      <c r="C20" s="2" t="n"/>
      <c r="D20" s="2" t="inlineStr">
        <is>
          <t>LAL Test (Limulus Amebocyte Lysate Bacterial Endotoxin)</t>
        </is>
      </c>
      <c r="E20" s="2" t="inlineStr">
        <is>
          <t>Rabbit Pyrogen Test in vivo</t>
        </is>
      </c>
      <c r="F20" s="2" t="inlineStr">
        <is>
          <t>ISO Class 5 (Grade A) Laminar Airflow Workstation</t>
        </is>
      </c>
      <c r="G20" s="2" t="inlineStr">
        <is>
          <t>Metered Dose Inhaler (MDI) with HFA propellant</t>
        </is>
      </c>
      <c r="H20" s="2" t="inlineStr">
        <is>
          <t>Dry Powder Inhaler (DPI) with Carrier Lactose</t>
        </is>
      </c>
      <c r="I20" s="2" t="n">
        <v>1</v>
      </c>
      <c r="J2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ข้อ ค.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ง.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Sterile Cleanroom specs</t>
        </is>
      </c>
      <c r="M20" s="2" t="inlineStr">
        <is>
          <t>Product</t>
        </is>
      </c>
      <c r="N20" s="2" t="inlineStr">
        <is>
          <t>ข้อ 3 (PLE_CC1_2555 Day 2.md)</t>
        </is>
      </c>
      <c r="O20" s="2" t="inlineStr">
        <is>
          <t>ข้อสอบจริง</t>
        </is>
      </c>
      <c r="P20" s="2" t="inlineStr">
        <is>
          <t>ปี 2555</t>
        </is>
      </c>
    </row>
    <row r="21" ht="13.2" customHeight="1" s="37">
      <c r="A21" s="2" t="n">
        <v>19</v>
      </c>
      <c r="B21" s="2" t="inlineStr">
        <is>
          <t>Granulomatous hepatitis</t>
        </is>
      </c>
      <c r="C21" s="2" t="n"/>
      <c r="D21" s="2" t="inlineStr">
        <is>
          <t>Metered Dose Inhaler (MDI) with HFA propellant</t>
        </is>
      </c>
      <c r="E21" s="2" t="inlineStr">
        <is>
          <t>Dry Powder Inhaler (DPI) with Carrier Lactose</t>
        </is>
      </c>
      <c r="F21" s="2" t="inlineStr">
        <is>
          <t>Isotonic Sodium Chloride 0.9% Osmotic Adjustment</t>
        </is>
      </c>
      <c r="G21" s="2" t="inlineStr">
        <is>
          <t>Moist Heat Steam Sterilization (Autoclave 121 C, 15 psi, 15 min)</t>
        </is>
      </c>
      <c r="H21" s="2" t="inlineStr">
        <is>
          <t>Dry Heat Sterilization (Hot Air Oven 160-170 C, 2 hours)</t>
        </is>
      </c>
      <c r="I21" s="2" t="n">
        <v>1</v>
      </c>
      <c r="J2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ง.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จ.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Sterile Cleanroom specs</t>
        </is>
      </c>
      <c r="M21" s="2" t="inlineStr">
        <is>
          <t>Product</t>
        </is>
      </c>
      <c r="N21" s="2" t="inlineStr">
        <is>
          <t>ข้อ 4 (PLE_CC1_2555 Day 2.md)</t>
        </is>
      </c>
      <c r="O21" s="2" t="inlineStr">
        <is>
          <t>ข้อสอบจริง</t>
        </is>
      </c>
      <c r="P21" s="2" t="inlineStr">
        <is>
          <t>ปี 2555</t>
        </is>
      </c>
    </row>
    <row r="22" ht="13.2" customHeight="1" s="37">
      <c r="A22" s="2" t="n">
        <v>20</v>
      </c>
      <c r="B22" s="2" t="inlineStr">
        <is>
          <t>Elevated hepatic transaminase</t>
        </is>
      </c>
      <c r="C22" s="2" t="n"/>
      <c r="D22" s="2" t="inlineStr">
        <is>
          <t>Moist Heat Steam Sterilization (Autoclave 121 C, 15 psi, 15 min)</t>
        </is>
      </c>
      <c r="E22" s="2" t="inlineStr">
        <is>
          <t>Dry Heat Sterilization (Hot Air Oven 160-170 C, 2 hours)</t>
        </is>
      </c>
      <c r="F22" s="2" t="inlineStr">
        <is>
          <t>Membrane Filtration Sterilization (0.22 micron pore size)</t>
        </is>
      </c>
      <c r="G22" s="2" t="inlineStr">
        <is>
          <t>Ethylene Oxide Gas Sterilization (ETO)</t>
        </is>
      </c>
      <c r="H22" s="2" t="inlineStr">
        <is>
          <t>LAL Test (Limulus Amebocyte Lysate Bacterial Endotoxin)</t>
        </is>
      </c>
      <c r="I22" s="2" t="n">
        <v>1</v>
      </c>
      <c r="J2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ค.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ง.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จ.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Sterile Cleanroom specs</t>
        </is>
      </c>
      <c r="M22" s="2" t="inlineStr">
        <is>
          <t>Product</t>
        </is>
      </c>
      <c r="N22" s="2" t="inlineStr">
        <is>
          <t>ข้อ 1 (PLE_CC1_2554 SET2.md)</t>
        </is>
      </c>
      <c r="O22" s="2" t="inlineStr">
        <is>
          <t>ข้อสอบจริง</t>
        </is>
      </c>
      <c r="P22" s="2" t="inlineStr">
        <is>
          <t>ปี 2554</t>
        </is>
      </c>
    </row>
    <row r="23" ht="13.2" customHeight="1" s="37">
      <c r="A23" s="2" t="n">
        <v>21</v>
      </c>
      <c r="B23" s="2" t="inlineStr">
        <is>
          <t>อะไรคือสิ่งที่สำคัญที่สุดในการทำยาหยอดตา</t>
        </is>
      </c>
      <c r="C23" s="2" t="n"/>
      <c r="D23" s="2" t="inlineStr">
        <is>
          <t>Tonicity</t>
        </is>
      </c>
      <c r="E23" s="2" t="inlineStr">
        <is>
          <t>Preservatives</t>
        </is>
      </c>
      <c r="F23" s="2" t="inlineStr">
        <is>
          <t>Sterity</t>
        </is>
      </c>
      <c r="G23" s="2" t="inlineStr">
        <is>
          <t>Volume</t>
        </is>
      </c>
      <c r="H23" s="2" t="inlineStr">
        <is>
          <t>pH</t>
        </is>
      </c>
      <c r="I23" s="2" t="n">
        <v>2</v>
      </c>
      <c r="J23" s="2" t="inlineStr">
        <is>
          <t>✅ คำตอบที่ถูกต้อง: ข้อ ข. Preservatives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Preservatives 💡 คำอธิบายและเหตุผลทางเภสัชกรรม:
💡 คำอธิบายและเหตุผลทางเภสัชกรรม:
การเลือก Preservatives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ก. (Tonicity): ข้อนี้ไม่ใช่คำตอบที่ถูกต้องสำหรับภาวะ Parenterals &amp; Ophthalmic เนื่องจากกลไกการออกฤทธิ์, efficacy หรือข้อบ่งใช้ไม่ตรงกับโจทย์ที่กำหนด
• ข้อ ค. (Sterity): ข้อนี้ไม่ใช่คำตอบที่ถูกต้องสำหรับภาวะ Parenterals &amp; Ophthalmic เนื่องจากกลไกการออกฤทธิ์, efficacy หรือข้อบ่งใช้ไม่ตรงกับโจทย์ที่กำหนด
• ข้อ ง. (Volume): ข้อนี้ไม่ใช่คำตอบที่ถูกต้องสำหรับภาวะ Parenterals &amp; Ophthalmic เนื่องจากกลไกการออกฤทธิ์, efficacy หรือข้อบ่งใช้ไม่ตรงกับโจทย์ที่กำหนด
• ข้อ จ. (pH):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Parenterals &amp; Ophthalmic</t>
        </is>
      </c>
      <c r="M23" s="2" t="inlineStr">
        <is>
          <t>Product</t>
        </is>
      </c>
      <c r="N23" s="2" t="inlineStr">
        <is>
          <t>ข้อ 7 (PLE_CC1_2554 SET2.md)</t>
        </is>
      </c>
      <c r="O23" s="2" t="inlineStr">
        <is>
          <t>ข้อสอบจริง</t>
        </is>
      </c>
      <c r="P23" s="2" t="inlineStr">
        <is>
          <t>ปี 2554</t>
        </is>
      </c>
    </row>
    <row r="24" ht="13.2" customHeight="1" s="37">
      <c r="A24" s="2" t="n">
        <v>22</v>
      </c>
      <c r="B24" s="2" t="inlineStr">
        <is>
          <t>hepatitis ดังนั้น &gt;&gt;&gt; ข้อ 2 สามารถใช้ได้ในผู้ป่วยโรคตับ  Adverse Reactions Dermatologic Effects Gastrointestinal Effects Hematologic Effects Methemoglobinemia, neutropenia, sulfmethemoglobinemia, thrombocytopenia, Anemia Hepatic Effects Hepatitis and abnormal liver function &gt;&gt; ผู้ป่วยโรคตับก็ไม่ควรใช้ยานี้ Immunologic Effects Neurologic Effects Ophthalmic Effects Renal Effects Nephrolithiasis, urine discoloration and nephrotoxicity, Acute renal failure ดังนั้น ข้อที่ถูกต้องที่สุดคือ ข้อ 5 อาการข้างเคียงจากการใช้ยาคือ Methemoglobinemia และ Acute renal failure เอกสารอ้างอิง David S Howes, Urinary Tract Infection, Female: Treatment &amp; Medication. Section of Emergency Medicine, University of Chicago/Pritzker School of Medicine www.Thomsonhc.com</t>
        </is>
      </c>
      <c r="C24" s="2" t="n"/>
      <c r="D24" s="2" t="inlineStr">
        <is>
          <t>ISO Class 5 (Grade A) Laminar Airflow Workstation</t>
        </is>
      </c>
      <c r="E24" s="2" t="inlineStr">
        <is>
          <t>Metered Dose Inhaler (MDI) with HFA propellant</t>
        </is>
      </c>
      <c r="F24" s="2" t="inlineStr">
        <is>
          <t>Dry Powder Inhaler (DPI) with Carrier Lactose</t>
        </is>
      </c>
      <c r="G24" s="2" t="inlineStr">
        <is>
          <t>Isotonic Sodium Chloride 0.9% Osmotic Adjustment</t>
        </is>
      </c>
      <c r="H24" s="2" t="inlineStr">
        <is>
          <t>Moist Heat Steam Sterilization (Autoclave 121 C, 15 psi, 15 min)</t>
        </is>
      </c>
      <c r="I24" s="2" t="n">
        <v>1</v>
      </c>
      <c r="J2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จ.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Sterile Cleanroom specs</t>
        </is>
      </c>
      <c r="M24" s="2" t="inlineStr">
        <is>
          <t>Product</t>
        </is>
      </c>
      <c r="N24" s="2" t="inlineStr">
        <is>
          <t>ข้อ 2 (PLE_CC1_2533.md)</t>
        </is>
      </c>
      <c r="O24" s="2" t="inlineStr">
        <is>
          <t>ข้อสอบจริง</t>
        </is>
      </c>
      <c r="P24" s="2" t="inlineStr">
        <is>
          <t>ปี 2533</t>
        </is>
      </c>
    </row>
    <row r="25" ht="13.2" customHeight="1" s="37">
      <c r="A25" s="2" t="n">
        <v>23</v>
      </c>
      <c r="B25" s="2" t="inlineStr">
        <is>
          <t>หากท่านต้องการเตรียมการผลิต แบ่งบรรจุยาเคมีบำบัด ควรเตรียมยาในห้องที่มีสภาวะแบบใด</t>
        </is>
      </c>
      <c r="C25" s="2" t="n"/>
      <c r="D25" s="2" t="inlineStr">
        <is>
          <t>Isotonic Sodium Chloride 0.9% Osmotic Adjustment</t>
        </is>
      </c>
      <c r="E25" s="2" t="inlineStr">
        <is>
          <t>Moist Heat Steam Sterilization (Autoclave 121 C, 15 psi, 15 min)</t>
        </is>
      </c>
      <c r="F25" s="2" t="inlineStr">
        <is>
          <t>Dry Heat Sterilization (Hot Air Oven 160-170 C, 2 hours)</t>
        </is>
      </c>
      <c r="G25" s="2" t="inlineStr">
        <is>
          <t>Membrane Filtration Sterilization (0.22 micron pore size)</t>
        </is>
      </c>
      <c r="H25" s="2" t="inlineStr">
        <is>
          <t>Ethylene Oxide Gas Sterilization (ETO)</t>
        </is>
      </c>
      <c r="I25" s="2" t="n">
        <v>1</v>
      </c>
      <c r="J25" s="2" t="inlineStr">
        <is>
          <t>✅ คำตอบที่ถูกต้อง: ข้อ ก. Isotonic Sodium Chloride 0.9% Osmotic Adjustment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(Moist Heat Steam Sterilization (Autoclave 121 C, 15 psi, 15 min)): ข้อนี้ไม่ใช่คำตอบที่ถูกต้องสำหรับภาวะ Parenterals &amp; Ophthalmic เนื่องจากกลไกการออกฤทธิ์, efficacy หรือข้อบ่งใช้ไม่ตรงกับโจทย์ที่กำหนด
• ข้อ ค. (Dry Heat Sterilization (Hot Air Oven 160-170 C, 2 hours)): ข้อนี้ไม่ใช่คำตอบที่ถูกต้องสำหรับภาวะ Parenterals &amp; Ophthalmic เนื่องจากกลไกการออกฤทธิ์, efficacy หรือข้อบ่งใช้ไม่ตรงกับโจทย์ที่กำหนด
• ข้อ ง. (Membrane Filtration Sterilization (0.22 micron pore size)): ข้อนี้ไม่ใช่คำตอบที่ถูกต้องสำหรับภาวะ Parenterals &amp; Ophthalmic เนื่องจากกลไกการออกฤทธิ์, efficacy หรือข้อบ่งใช้ไม่ตรงกับโจทย์ที่กำหนด
• ข้อ จ. (Ethylene Oxide Gas Sterilization (ETO)):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Parenterals &amp; Ophthalmic</t>
        </is>
      </c>
      <c r="M25" s="2" t="inlineStr">
        <is>
          <t>Product</t>
        </is>
      </c>
      <c r="N25" s="2" t="inlineStr">
        <is>
          <t>ข้อ 8 (PLE_CC1_2533.md)</t>
        </is>
      </c>
      <c r="O25" s="2" t="inlineStr">
        <is>
          <t>ข้อสอบจริง</t>
        </is>
      </c>
      <c r="P25" s="2" t="inlineStr">
        <is>
          <t>ปี 2533</t>
        </is>
      </c>
    </row>
    <row r="26" ht="13.2" customHeight="1" s="37">
      <c r="A26" s="2" t="n">
        <v>24</v>
      </c>
      <c r="B26" s="2" t="inlineStr">
        <is>
          <t>ก่อนทำการขยายหลอดเลือดหัวใจด้วยวิธี PCI แพทย์ต้องพิจาณาให้ยาในกลุ่ม Heparin ก่อนการผ่าตัด ข้อ ใดคือคำแนะนำที่เหมาะสม และถูกต้องในการเลือกใช้ยาในกลุ่ม Heparin</t>
        </is>
      </c>
      <c r="C26" s="2" t="n"/>
      <c r="D26" s="2" t="inlineStr">
        <is>
          <t>ควรเลือก Unfractionated Heparin (UFH) เนื่องจากเกิด thrombocytopenia ต่ำ</t>
        </is>
      </c>
      <c r="E26" s="2" t="inlineStr">
        <is>
          <t>ควรเลือก Unfractionated Heparin (UFH) เนื่องจากปรับขนาดยาง่าย</t>
        </is>
      </c>
      <c r="F26" s="2" t="inlineStr">
        <is>
          <t>ควรเลือก Unfractionated Heparin (UFH) เนื่องจากมี specificity สูง</t>
        </is>
      </c>
      <c r="G26" s="2" t="inlineStr">
        <is>
          <t>ควรเลือก Low molecular weight heparin (LMWH) เนื่องจากบริหารยาง่าย</t>
        </is>
      </c>
      <c r="H26" s="2" t="inlineStr">
        <is>
          <t>ควรเลือก Low molecular weight heparin (LMWH) เนื่องจากไม่ต้องปรับขนาดยาในคนไข้โรค ไต</t>
        </is>
      </c>
      <c r="I26" s="2" t="n">
        <v>1</v>
      </c>
      <c r="J26" s="2" t="inlineStr">
        <is>
          <t>✅ คำตอบที่ถูกต้อง: ข้อ ก. ควรเลือก Unfractionated Heparin (UFH) เนื่องจากเกิด thrombocytopenia ต่ำ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ควรเลือก Unfractionated Heparin (UFH) เนื่องจากเกิด thrombocytopenia ต่ำ 💡 คำอธิบายและเหตุผลทางเภสัชกรรม:
💡 คำอธิบายและเหตุผลทางเภสัชกรรม:
การเลือก ควรเลือก Unfractionated Heparin (UFH) เนื่องจากเกิด thrombocytopenia ต่ำ เป็นคำตอบที่ถูกต้องตามแนวทางการรักษามาตรฐาน เนื่องจาก เป็น Unfractionated Heparin (UFH) จับกับ Antithrombin III ยับยั้ง Thrombin และ Factor Xa ติดตาม monitoring ด้วย aPTT และ reversal agent คือ Protamine sulfate
USP/NF, British Pharmacopoeia (BP) และ Remington: The Science and Practice of Pharmacy (หัวข้อ Sterile Cleanroom specs)
🔍 ข้ออื่นผิดเพราะอะไร:
• ข้อ ข. (ควรเลือก Unfractionated Heparin (UFH) เนื่องจากปรับขนาดยาง่าย): เป็น Unfractionated Heparin (UFH) จับกับ Antithrombin III ยับยั้ง Thrombin และ Factor Xa ติดตาม monitoring ด้วย aPTT และ reversal agent คือ Protamine sulfate
• ข้อ ค. (ควรเลือก Unfractionated Heparin (UFH) เนื่องจากมี specificity สูง): เป็น Unfractionated Heparin (UFH) จับกับ Antithrombin III ยับยั้ง Thrombin และ Factor Xa ติดตาม monitoring ด้วย aPTT และ reversal agent คือ Protamine sulfate
• ข้อ ง. (ควรเลือก Low molecular weight heparin (LMWH) เนื่องจากบริหารยาง่าย): เป็น Unfractionated Heparin (UFH) จับกับ Antithrombin III ยับยั้ง Thrombin และ Factor Xa ติดตาม monitoring ด้วย aPTT และ reversal agent คือ Protamine sulfate
• ข้อ จ. (ควรเลือก Low molecular weight heparin (LMWH) เนื่องจากไม่ต้องปรับขนาดยาในคนไข้โรค ไต): เป็น Unfractionated Heparin (UFH) จับกับ Antithrombin III ยับยั้ง Thrombin และ Factor Xa ติดตาม monitoring ด้วย aPTT และ reversal agent คือ Protamine sulfate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Sterile Cleanroom specs</t>
        </is>
      </c>
      <c r="M26" s="2" t="inlineStr">
        <is>
          <t>Product</t>
        </is>
      </c>
      <c r="N26" s="2" t="inlineStr">
        <is>
          <t>ข้อ 7 (PLE_CC1_Practice_Exam.md)</t>
        </is>
      </c>
      <c r="O26" s="2" t="inlineStr">
        <is>
          <t>Mock</t>
        </is>
      </c>
      <c r="P26" s="2" t="inlineStr">
        <is>
          <t>Mock สภาเภสัชฯ Practice</t>
        </is>
      </c>
    </row>
    <row r="27" ht="13.2" customHeight="1" s="37">
      <c r="A27" s="2" t="n">
        <v>25</v>
      </c>
      <c r="B27" s="2" t="inlineStr">
        <is>
          <t>เภสัชกรพิจารณาจ่ายยา Chloramphenicol eye drop เภสัชกรควรให้คำแนะนำในการหยอดตาอย่างไร</t>
        </is>
      </c>
      <c r="C27" s="2" t="n"/>
      <c r="D27" s="2" t="inlineStr">
        <is>
          <t>หลังเปิดใช้งานแล้วเก็บยาที่อุณหภูมิห้องหรือภายในตู้เย็น โดยยามีอายุ 14 วันหลังเปิดใช้งาน</t>
        </is>
      </c>
      <c r="E27" s="2" t="inlineStr">
        <is>
          <t>หากผู้ป่วยจำเป็นต้องใช้ยาป้ายตา ointment ร่วมด้วยควรใช้ยาป้ายตาก่อนหยอดตา Chloramphenicol eye drop</t>
        </is>
      </c>
      <c r="F27" s="2" t="inlineStr">
        <is>
          <t>การกดหัวตาเบาๆ อาจช่วยลดความรู้สึกขมคอภายหลังหยอดตาได้</t>
        </is>
      </c>
      <c r="G27" s="2" t="inlineStr">
        <is>
          <t>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t>
        </is>
      </c>
      <c r="H27" s="2" t="inlineStr">
        <is>
          <t>ล้างมือให้สะอาด เปิดฝาครอบขวดยาออก คว่ำฝาชวดยาลงบนพื้น</t>
        </is>
      </c>
      <c r="I27" s="2" t="n">
        <v>1</v>
      </c>
      <c r="J27" s="2" t="inlineStr">
        <is>
          <t>✅ คำตอบที่ถูกต้อง: ข้อ ก. หลังเปิดใช้งานแล้วเก็บยาที่อุณหภูมิห้องหรือภายในตู้เย็น โดยยามีอายุ 14 วันหลังเปิดใช้งาน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หลังเปิดใช้งานแล้วเก็บยาที่อุณหภูมิห้องหรือภายในตู้เย็น โดยยามีอายุ 14 วันหลังเปิดใช้งาน 💡 คำอธิบายและเหตุผลทางเภสัชกรรม:
💡 คำอธิบายและเหตุผลทางเภสัชกรรม:
การเลือก หลังเปิดใช้งานแล้วเก็บยาที่อุณหภูมิห้องหรือภายในตู้เย็น โดยยามีอายุ 14 วันหลังเปิดใช้งาน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(หากผู้ป่วยจำเป็นต้องใช้ยาป้ายตา ointment ร่วมด้วยควรใช้ยาป้ายตาก่อนหยอดตา Chloramphenicol eye drop): ข้อนี้ไม่ใช่คำตอบที่ถูกต้องสำหรับภาวะ Parenterals &amp; Ophthalmic เนื่องจากกลไกการออกฤทธิ์, efficacy หรือข้อบ่งใช้ไม่ตรงกับโจทย์ที่กำหนด
• ข้อ ค. (การกดหัวตาเบาๆ อาจช่วยลดความรู้สึกขมคอภายหลังหยอดตาได้): ข้อนี้ไม่ใช่คำตอบที่ถูกต้องสำหรับภาวะ Parenterals &amp; Ophthalmic เนื่องจากกลไกการออกฤทธิ์, efficacy หรือข้อบ่งใช้ไม่ตรงกับโจทย์ที่กำหนด
• ข้อ ง.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ข้อนี้ไม่ใช่คำตอบที่ถูกต้องสำหรับภาวะ Parenterals &amp; Ophthalmic เนื่องจากกลไกการออกฤทธิ์, efficacy หรือข้อบ่งใช้ไม่ตรงกับโจทย์ที่กำหนด
• ข้อ จ. (ล้างมือให้สะอาด เปิดฝาครอบขวดยาออก คว่ำฝาชวดยาลงบนพื้น):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Parenterals &amp; Ophthalmic</t>
        </is>
      </c>
      <c r="M27" s="2" t="inlineStr">
        <is>
          <t>Product</t>
        </is>
      </c>
      <c r="N27" s="2" t="inlineStr">
        <is>
          <t>ข้อ 25 (PLE_CC1_Practice_Exam.md)</t>
        </is>
      </c>
      <c r="O27" s="2" t="inlineStr">
        <is>
          <t>Mock</t>
        </is>
      </c>
      <c r="P27" s="2" t="inlineStr">
        <is>
          <t>Mock สภาเภสัชฯ Practice</t>
        </is>
      </c>
    </row>
    <row r="28" ht="13.2" customHeight="1" s="37">
      <c r="A28" s="2" t="n">
        <v>26</v>
      </c>
      <c r="B28" s="2" t="inlineStr">
        <is>
          <t>ตอบ ก. เป็นโครงสร้างของยาในกลุ่ม Thiazolidinediones อาการข้างเคียงหลักของยาในกลุ่มนี้ ได้แก่ - Fluid retention เพิ่ม plasma volume ได้ถึง 500 ml edema ระวังการใช้ในคนไข้ congestive heart 101 โรคระบบต่อมไร้ท่อ และต่อมมีท่อ นักศึกษาเภสัชศาสตร์รุ่น 8 มหาวิทยาลัยวลัยลักษณ์ สหพันธ์นิสิตนักศึกษาเภสัชศาสตร์แห่งประเทศไทย (สนภท.) failure - weight gain ได้ถึง 1-4 kg โดยผ่านกลไกเพิ่มจำนวนเซลล์ไขมัน (ไปสะสมใต้ชั้นผิวหนังมากขึ้น) - Osteoporosis - Hepatotoxicity ดังนั้นคำตอบที่ถูกที่สุด คือ ข้อ ก. Pioglitazole ส่วนโครงสร้างในข้ออื่นได้ ได้แก่ ข. Acarbose</t>
        </is>
      </c>
      <c r="C28" s="2" t="n"/>
      <c r="D28" s="2" t="inlineStr">
        <is>
          <t>Metformin (มีผลข้างเคียงทำให้น้ำหนักลด) ง. Chlorpropamide จ. Sitagliptin</t>
        </is>
      </c>
      <c r="E28" s="2" t="inlineStr">
        <is>
          <t>Isotonic Sodium Chloride 0.9% Osmotic Adjustment</t>
        </is>
      </c>
      <c r="F28" s="2" t="inlineStr">
        <is>
          <t>Moist Heat Steam Sterilization (Autoclave 121 C, 15 psi, 15 min)</t>
        </is>
      </c>
      <c r="G28" s="2" t="inlineStr">
        <is>
          <t>Dry Heat Sterilization (Hot Air Oven 160-170 C, 2 hours)</t>
        </is>
      </c>
      <c r="H28" s="2" t="inlineStr">
        <is>
          <t>Membrane Filtration Sterilization (0.22 micron pore size)</t>
        </is>
      </c>
      <c r="I28" s="2" t="n">
        <v>1</v>
      </c>
      <c r="J28" s="2" t="inlineStr">
        <is>
          <t>✅ คำตอบที่ถูกต้อง: ข้อ ก. Metformin (มีผลข้างเคียงทำให้น้ำหนักลด) ง. Chlorpropamide จ. Sitagliptin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Metformin (มีผลข้างเคียงทำให้น้ำหนักลด) ง. Chlorpropamide จ. Sitagliptin 💡 คำอธิบายและเหตุผลทางเภสัชกรรม:
💡 คำอธิบายและเหตุผลทางเภสัชกรรม:
การเลือก Metformin (มีผลข้างเคียงทำให้น้ำหนักลด) ง. Chlorpropamide จ. Sitagliptin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Sterility Tests,  Bacterial Endotoxins Test &amp; WHO cGMP for Sterile Products
🔍 ข้ออื่นผิดเพราะอะไร:
• ข้อ ข.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ค.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ง.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จ.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Sterile Cleanroom specs</t>
        </is>
      </c>
      <c r="M28" s="2" t="inlineStr">
        <is>
          <t>Product</t>
        </is>
      </c>
      <c r="N28" s="2" t="inlineStr">
        <is>
          <t>ข้อ 6 (PLE_CC1_Practice_Exam.md)</t>
        </is>
      </c>
      <c r="O28" s="2" t="inlineStr">
        <is>
          <t>Mock</t>
        </is>
      </c>
      <c r="P28" s="2" t="inlineStr">
        <is>
          <t>Mock สภาเภสัชฯ Practice</t>
        </is>
      </c>
    </row>
    <row r="29" ht="13.2" customHeight="1" s="37">
      <c r="A29" s="2" t="n">
        <v>27</v>
      </c>
      <c r="B29" s="2" t="inlineStr">
        <is>
          <t>ตอบ ค. ไม่เหมาะสม เนื่องจากผู้ป่วยมีค่า eGFR น้อยกว่า 30 mL/min/1.73 mଶ เนื่องจากยา Metformin ไม่มี Hepatic metabolism และจะขับออกทางไตในรูปเดิม ดังนั้นจึงไม่ ควรใช้ยาดังกล่าวในผู้ป่วยมีค่า eGFR น้อยกว่า 30 mL/min/1.73 mଶ</t>
        </is>
      </c>
      <c r="C29" s="2" t="n"/>
      <c r="D29" s="2" t="inlineStr">
        <is>
          <t>Dry Heat Sterilization (Hot Air Oven 160-170 C, 2 hours)</t>
        </is>
      </c>
      <c r="E29" s="2" t="inlineStr">
        <is>
          <t>Membrane Filtration Sterilization (0.22 micron pore size)</t>
        </is>
      </c>
      <c r="F29" s="2" t="inlineStr">
        <is>
          <t>Ethylene Oxide Gas Sterilization (ETO)</t>
        </is>
      </c>
      <c r="G29" s="2" t="inlineStr">
        <is>
          <t>LAL Test (Limulus Amebocyte Lysate Bacterial Endotoxin)</t>
        </is>
      </c>
      <c r="H29" s="2" t="inlineStr">
        <is>
          <t>Rabbit Pyrogen Test in vivo</t>
        </is>
      </c>
      <c r="I29" s="2" t="n">
        <v>1</v>
      </c>
      <c r="J2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ค.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ง.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จ.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Sterile Cleanroom specs</t>
        </is>
      </c>
      <c r="M29" s="2" t="inlineStr">
        <is>
          <t>Product</t>
        </is>
      </c>
      <c r="N29" s="2" t="inlineStr">
        <is>
          <t>ข้อ 8 (PLE_CC1_Practice_Exam.md)</t>
        </is>
      </c>
      <c r="O29" s="2" t="inlineStr">
        <is>
          <t>Mock</t>
        </is>
      </c>
      <c r="P29" s="2" t="inlineStr">
        <is>
          <t>Mock สภาเภสัชฯ Practice</t>
        </is>
      </c>
    </row>
    <row r="30" ht="13.2" customHeight="1" s="37">
      <c r="A30" s="2" t="n">
        <v>28</v>
      </c>
      <c r="B30" s="2" t="inlineStr">
        <is>
          <t>ตอบ จ. Hypoglycemia ยาที่มีโครงสร้างดังกล่าว คือ Metformin ผลข้างเคียงที่เกิดขึ้นได้จากการใช้ยา metformin ได้แก่ Metallic taste คลื่นไส้ อาเจียน ท้องอืด ท้องเสีย lactic acidosis รบกวนการดูดซึม vit B12 เป็นต้น แต่พบ การเกิดภาวะระดับน้ำตาลในเลือดต่ำ (hypoglycemia) ได้น้อย เนื่องจากยามีกลไกการออกฤทธิ์ลดการสร้าง กลูโคสที่ตับ (hepatic gluconeogenesis) และเพิ่มการนำกลูโคสกลับเข้าเซลล์ (peripheral glucose uptake) แต่ไม่ได้ทำให้มีการหลั่งอินซูลินมากขึ้น</t>
        </is>
      </c>
      <c r="C30" s="2" t="n"/>
      <c r="D30" s="2" t="inlineStr">
        <is>
          <t>LAL Test (Limulus Amebocyte Lysate Bacterial Endotoxin)</t>
        </is>
      </c>
      <c r="E30" s="2" t="inlineStr">
        <is>
          <t>Rabbit Pyrogen Test in vivo</t>
        </is>
      </c>
      <c r="F30" s="2" t="inlineStr">
        <is>
          <t>ISO Class 5 (Grade A) Laminar Airflow Workstation</t>
        </is>
      </c>
      <c r="G30" s="2" t="inlineStr">
        <is>
          <t>Metered Dose Inhaler (MDI) with HFA propellant</t>
        </is>
      </c>
      <c r="H30" s="2" t="inlineStr">
        <is>
          <t>Dry Powder Inhaler (DPI) with Carrier Lactose</t>
        </is>
      </c>
      <c r="I30" s="2" t="n">
        <v>1</v>
      </c>
      <c r="J3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ข้อ ค.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ง.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Sterile Cleanroom specs</t>
        </is>
      </c>
      <c r="M30" s="2" t="inlineStr">
        <is>
          <t>Product</t>
        </is>
      </c>
      <c r="N30" s="2" t="inlineStr">
        <is>
          <t>ข้อ 10 (PLE_CC1_Practice_Exam.md)</t>
        </is>
      </c>
      <c r="O30" s="2" t="inlineStr">
        <is>
          <t>Mock</t>
        </is>
      </c>
      <c r="P30" s="2" t="inlineStr">
        <is>
          <t>Mock สภาเภสัชฯ Practice</t>
        </is>
      </c>
    </row>
    <row r="31" ht="13.2" customHeight="1" s="37">
      <c r="A31" s="2" t="n">
        <v>29</v>
      </c>
      <c r="B31" s="2" t="inlineStr">
        <is>
          <t>หมดระดูจากการผ่าตัดเอารังไข่ทั้งสองข้างออก (Surgical menopause) ข้อ 27 เฉลย B A, B เพราะ Estradiol เมื่อ Metabolism จะได้ Estrone และ Estriol ซึ่ง Estriol จะมีความแรง น้อยกว่า Estrone เมื่อเรียงลำดับความแรงของัอร์โมนคือ Estradiol&gt;Estrone&gt;Estriol ข้อ 28 เฉลย D Alendronate sodium และ Residronate เพราะ ยาในกลุ่ม Bisphosphanate ได้รับอนุมัติ ข้อบ่งใช้จากสำนักงานคณะกรรมการอาหารและยา ประเทศไทย และสหรัฐอเมริกา ได้แก่ Alendronate, Alendronate/ Cholecalciferol, Ibandronate, Risedronate และ Zoledronic acid ข้อ 29 เฉลย A ยากลุ่ม Bisphosphonates ยับยั้งการทำงานของเซลล์ Osteoclast ในการสลายเซลล์กระดูก ตัวยาออกฤทธิ์ทำให้การสลายเซลล์กระดูกลดลง ทำให้เพิ่มการดูดซึมแคลเซียมเพิ่มสู่กระดูกได้มากขึ้น เพราะ ยากลุ่ม Bisphosphanate ออกฤทธิ์โดยยับยั้งการทำงานของ osteoclast ซึ่งเป็น cell ที่ทำ หน้าที่สลายกระดูกและเพิ่มการดูดซึมแคลเซียมที่กระดูกได้มากขึ้น ข้อ 30 เฉลย E หลังจากรับประทานยาแล้วไม่ควรรับประทานอาหาร หรือเครื่องดื่ม เช่น นม น้ำผลไม้เพราะ จะทำให้เพิ่มการระคายเคืองทางเดินอาหาร เพราะ Alendronate Sodium มีการดูดซึมที่ทางเดินอาหารค่อนข้างน้อย ควรรับประทานช่วงเช้า ขณะท้องว่างด้วยน้ำเปล่าอย่างน้อย 1 - 2 แก้ว และเว้นระยะหลังจากทานยาไปอีกอย่างน้อย 30 นาทีก่อน รับประทานอาหารหรือดื่มเครื่องดื่มอื่นที่ไม่ใช่น้ำเปล่าเพราะจะทำให้อาหารหรือเครื่องดื่มรบกวนการดูดซึมทำ ให้ยาดูดซึมได้ลดลง ข้อ 31 เฉลย C Osteoporosis 125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ยากลุ่ม Bisphosphanate มีข้อบ่งใช้ในโรค osteoporosis ได้แก่ โรคกระดูกพรุนในหญิงวัย หมดประจำเดือน โรคกระดูกพรุนในชายวัยสูงอายุ โรคกระดูกพรุนที่เกิดจากยาคอร์ติโคสเตียรอยด์ (corticosteroids) มะเร็งที่กระจายไปที่กระดูก ภาวะแคลเซียมสูงโดยเฉพาะที่เกิดจากมะเร็ง และโรคพาเจท (Paget's disease) ข้อ 32 เฉลย C เพราะโครงสร้างในข้อ C คือยา Methotrexate เป็นยาในกลุ่ม dihydrofolate reductase inhibitor ที่เมื่อใช้ในขนาดต่ำจะออกฤทธิ์เป็น disease-modifying antirheumatic drug สำหรับการรักษาโรคข้อ อักเสบรูมาตอยด์ (Rheumatoid arthritis: RA) การออกฤทธิ์ของยาในโรคนี้คือจะยับยั้งการกรุต้น T-cell ซึ่ง เป็นเซลล์ที่เกี่ยวข้องกับระบบภูมิคุ้มกันต้านทานโรคของร่างกายจึงทำให้ระบบภูมิคุ้มกันฯทำงานลดลง ข้อ 33 เฉลย A Hydroxychloroquine เพราะ ผลข้างเคียงที่ต้องเฝ้าระวังจากยา Hydroxychloroquine คือผลข้างเคียงทางตา ซึ่งมีผล ทำลายส่วน macular ที่จอตาเมื่อเกิดขึ้นแล้วถึงแม้จะหยุดยาก็ไม่สามารถกลับมาเป็นปกติได้ (irreversible damage) ข้อ 34 เฉลย A complete blood count, AST, ALT, albumin เพราะ ผลไม่พึงประสงค์ (ผลข้างเคียง/อาการข้างเคียง) ที่สำคัญและรุนแรงของ Methotrexate เช่น กดไขกระดูกโดยเฉพาะเม็ดเลือดขาวต่ำ, ทำให้เกิดโรคตับแข็ง (Cirrhosis) โรคตับอักเสบ (Hepatitis) ทำให้ ต้องมีการตรวจ complete blood count, AST, ALT และ albumin ข้อ 35 เฉลย B กระตุ้น k-receptors ทำให้ลดอาการของ dysphoria เพราะ Buprenorphine เป็น partial mu-opioid agonist ซึ่งยาตัวนี้สามารถกระตุ้น k-receptor ได้ด้วยจึงทำให้ลดอาการติดยา ข้อ 36 เฉลย D ใช้เป็นยานอนหลับ Sedative เพราะ ทำให้เกิดอาการง่วงซึม การรับรู้ต่อสิ่งแวดล้อมลดลง ภาวะง่วงซึมเป็นภาวะแทรกซ้อนที่พบได้ บ่อย และ ถ้าง่วงซึมมากจากการใช้เป็นยานอนหลับแสดงว่าขนาดยาเริ่มมากไป จนอาจเกิดภาวะกดการหายใจ ตามมาได้ ข้อ 37 ตอบ D 3&gt;1&gt;2 เพราะ ข้อ 37 โครงสร้างที่ 1 คือ Morphine โครงสร้างที่ 2 คือ Codeine และโครงสร้างที่ 3 คือ Heroine เมื่อเรียงลำดับความแรงจากมากไปน้อยคือ Heroine &gt; Morphine &gt; Codeine 126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 38 ตอบ E Aspirin เพราะ การใช้ Aspirin ในการรักษาโรคเกาต์จะมีผลต่อระดับกรดยูริค ส่วนยาในข้อๆอื่นๆเป็น NSAIDs ที่สามารถใช้ในการรักษาโรคเกาต์ในระยะเฉียบพลันได้ ข้อ 39 ตอบ E Naproxen เพราะ Naproxen จะส่งผลเสียต่อโรคหัวใจน้อยที่สุด ดังนั้นหากจำเป็นต้องใช้ยาแก้ปวดให้เลือกใช้ Naproxen เป็นตัวแรก ข้อ 40 เฉลย D Reye’s syndrome เพราะ ข้อควรระวังสำหรับการใช้ยาแอสไพรินในเด็กหรือวัยรุ่นที่มีการติดเชื้อไวรัส เนื่องจากพบว่า สัมพันธ์กับความผิดปกติ ที่เรียกว่า Reye's syndrome ที่ถึงแม้จะเป็นกลุ่มอาการที่พบได้ไม่บ่อยแต่มีความ รุนแรงสูงจนอาจทำให้ผู้ป่วยถึงแก่ชีวิตได้ โดยจะทำให้เกิดอาการของตับอักเสบ และสมองอักเสบ 127 โรคกระดูกและข้อ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t>
        </is>
      </c>
      <c r="C31" s="2" t="n"/>
      <c r="D31" s="2" t="inlineStr">
        <is>
          <t>Metered Dose Inhaler (MDI) with HFA propellant</t>
        </is>
      </c>
      <c r="E31" s="2" t="inlineStr">
        <is>
          <t>Dry Powder Inhaler (DPI) with Carrier Lactose</t>
        </is>
      </c>
      <c r="F31" s="2" t="inlineStr">
        <is>
          <t>Isotonic Sodium Chloride 0.9% Osmotic Adjustment</t>
        </is>
      </c>
      <c r="G31" s="2" t="inlineStr">
        <is>
          <t>Moist Heat Steam Sterilization (Autoclave 121 C, 15 psi, 15 min)</t>
        </is>
      </c>
      <c r="H31" s="2" t="inlineStr">
        <is>
          <t>Dry Heat Sterilization (Hot Air Oven 160-170 C, 2 hours)</t>
        </is>
      </c>
      <c r="I31" s="2" t="n">
        <v>1</v>
      </c>
      <c r="J3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ง.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จ.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Sterile Cleanroom specs</t>
        </is>
      </c>
      <c r="M31" s="2" t="inlineStr">
        <is>
          <t>Product</t>
        </is>
      </c>
      <c r="N31" s="2" t="inlineStr">
        <is>
          <t>ข้อ 4 (PLE_CC1_Practice_Exam.md)</t>
        </is>
      </c>
      <c r="O31" s="2" t="inlineStr">
        <is>
          <t>Mock</t>
        </is>
      </c>
      <c r="P31" s="2" t="inlineStr">
        <is>
          <t>Mock สภาเภสัชฯ Practice</t>
        </is>
      </c>
    </row>
    <row r="32" ht="13.2" customHeight="1" s="37">
      <c r="A32" s="2" t="n">
        <v>30</v>
      </c>
      <c r="B32" s="2" t="inlineStr">
        <is>
          <t>เกิดความผิดปกติของอวัยวะภายใน (End organ damage) เช่น hepatitis, nephritis, pneumonia, carditis เป็นต้น ข้อ 35. เฉลย ค. 1 และ 4 ยากันชักที่มักที่ทำให้เกิดอาการแพ้แบบ DRESS คือ ยากลุ่ม aromatic anticonvulsants ได้แก่ phenytoin, phenobatbitone, carbamazepine และ lamotrigine ซึ่งตรงกับตัวเลือกข้อ ค. มากที่สุด ข้อ 36. เฉลย ค. 2 และ 3 เนื่องจากผู้ป่วยมีโรคประจำตัว คือ โรคลมชัก และเกิดอาการ DRESS ดังนั้นผู้ป่วยรายนี้ควรหลีกเลี่ยงการ ใช้ยากลุ่ม aromatic anticonvulsants (phenytoin, phenobatbitone, carbamazepine, lamotrigine) ซึ่งยาที่ผู้ป่วยสามารถใช้ได้ คือ valproic acid, benzodiazepine และ gabapentin ซึ่งตรงกับตัวเลือกข้อ ค มากที่สุด ข้อ 37. เฉลย ง. 25 % Benzyl benzoate จากอาการของผู้ป่วยเข้าได้กับการเป็นเหา ไม่ใช่รังแค คือ มีอาการคันศีรษะมาก และมักพบตัวเหา และไข่เหาซึ่งเห็นเป็นจุดสีขาวติดอยู่บริเวณโคนผม และเส้นผม ไม่สามารถเลื่อนไปตามเส้นผมได้ (แต่รังแคจะมี อาการคันศีรษะร่วมกับมีเกล็ดสีขาว ซึ่งจะไม่ติดแน่นบนเส้นผม) มักพบบ่อยบริเวณท้ายทอย หลังหู ซึ่งการ 148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รักษาเหา จะใช้ 25 % Benzyl benzoate ทาผมก่อนนอน จากนั้นทิ้งไว้ ประมาณ 12 ชม. แล้วสระผมด้วย แชมพู และใช้หวีถี่สางตัวเหาและไข่เหาออก ข้อ 38. เฉลย ก. Benzoic acid First line therapy ในการรักษาโรคหูด ได้แก่</t>
        </is>
      </c>
      <c r="C32" s="2" t="n"/>
      <c r="D32" s="2" t="inlineStr">
        <is>
          <t>Moist Heat Steam Sterilization (Autoclave 121 C, 15 psi, 15 min)</t>
        </is>
      </c>
      <c r="E32" s="2" t="inlineStr">
        <is>
          <t>Dry Heat Sterilization (Hot Air Oven 160-170 C, 2 hours)</t>
        </is>
      </c>
      <c r="F32" s="2" t="inlineStr">
        <is>
          <t>Membrane Filtration Sterilization (0.22 micron pore size)</t>
        </is>
      </c>
      <c r="G32" s="2" t="inlineStr">
        <is>
          <t>Ethylene Oxide Gas Sterilization (ETO)</t>
        </is>
      </c>
      <c r="H32" s="2" t="inlineStr">
        <is>
          <t>LAL Test (Limulus Amebocyte Lysate Bacterial Endotoxin)</t>
        </is>
      </c>
      <c r="I32" s="2" t="n">
        <v>1</v>
      </c>
      <c r="J3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ค.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ง.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จ.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Sterile Cleanroom specs</t>
        </is>
      </c>
      <c r="M32" s="2" t="inlineStr">
        <is>
          <t>Product</t>
        </is>
      </c>
      <c r="N32" s="2" t="inlineStr">
        <is>
          <t>ข้อ 3 (PLE_CC1_Practice_Exam.md)</t>
        </is>
      </c>
      <c r="O32" s="2" t="inlineStr">
        <is>
          <t>Mock</t>
        </is>
      </c>
      <c r="P32" s="2" t="inlineStr">
        <is>
          <t>Mock สภาเภสัชฯ Practice</t>
        </is>
      </c>
    </row>
    <row r="33" ht="13.2" customHeight="1" s="37">
      <c r="A33" s="2" t="n">
        <v>31</v>
      </c>
      <c r="B33" s="2" t="inlineStr">
        <is>
          <t>Rechallenge ใช้ในในกรณีที่มีความจำเป็นต้องใช้ยาที่สงสัยและได้รับการยินยอมจากผู้ป่วย โดย ผู้ป่วยต้องไม่มีประวัติการแพ้ยาที่มีความรุนแรงคือการหลุดลอกหรือตกสะเก็ดของผิวหนังหรืออวัยวะภายใน บกพร่อง เช่น Stevens Johnson syndrome ,hepatic failure เป็นต้น ซึ่งเป็นกลุ่มที่ห้ามการ rechallenge ร่วมกับผู้ป่วยมีภาวะโรคร่วมที่สามารถควบคุมได้โดยเฉพาะที่เกี่ยวข้องระบบ cardiopulmonary และ หลีกเลี่ยงยาที่บดบังสัญญาณการแพ้หรือยาที่ทำให้เกิดอาการแพ้ยาเพิ่มมากขึ้น และในระหว่างการการทำ rechallenge ควรมีติดตามอาการอย่างใกล้ชิดเพื่อเตรียมความพร้อมสำหรับการช่วยชีวิต</t>
        </is>
      </c>
      <c r="C33" s="2" t="n"/>
      <c r="D33" s="2" t="inlineStr">
        <is>
          <t>Ethylene Oxide Gas Sterilization (ETO)</t>
        </is>
      </c>
      <c r="E33" s="2" t="inlineStr">
        <is>
          <t>LAL Test (Limulus Amebocyte Lysate Bacterial Endotoxin)</t>
        </is>
      </c>
      <c r="F33" s="2" t="inlineStr">
        <is>
          <t>Rabbit Pyrogen Test in vivo</t>
        </is>
      </c>
      <c r="G33" s="2" t="inlineStr">
        <is>
          <t>ISO Class 5 (Grade A) Laminar Airflow Workstation</t>
        </is>
      </c>
      <c r="H33" s="2" t="inlineStr">
        <is>
          <t>Metered Dose Inhaler (MDI) with HFA propellant</t>
        </is>
      </c>
      <c r="I33" s="2" t="n">
        <v>3</v>
      </c>
      <c r="J33" s="2" t="inlineStr">
        <is>
          <t>✅ คำตอบที่ถูกต้อง: ข้อ ค.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ข.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ง.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จ.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Sterile Cleanroom specs</t>
        </is>
      </c>
      <c r="M33" s="2" t="inlineStr">
        <is>
          <t>Product</t>
        </is>
      </c>
      <c r="N33" s="2" t="inlineStr">
        <is>
          <t>ข้อ 33 (PLE_CC1_Practice_Exam.md)</t>
        </is>
      </c>
      <c r="O33" s="2" t="inlineStr">
        <is>
          <t>Mock</t>
        </is>
      </c>
      <c r="P33" s="2" t="inlineStr">
        <is>
          <t>Mock สภาเภสัชฯ Practice</t>
        </is>
      </c>
    </row>
    <row r="34" ht="13.2" customHeight="1" s="37">
      <c r="A34" s="2" t="n">
        <v>32</v>
      </c>
      <c r="B34" s="2" t="inlineStr">
        <is>
          <t>สถานการณ์ที่ 1 มารดาติดเชื้อ หรือเป็นพาหะไวรัสตับอับเสบบี เด็กที่คลอดจะต้องได้รับ HBIG (hepatitis B immune globulin)หลังคลอด และให้วัคซีนHBV ครั้งที่1 พร้อมๆกันโดยให้คนละตำแหน่งกับ HBIG วัคซีนไวรัสตับอักเสบบีเป็นวัคซีนพื้นฐานซึ่งเด็กทุกคนจะต้องได้รับวัคซีน HBV ทั้งหมด 3 ครั้ง คือ ในช่วง 0-1-6 เดือน HBV เข็มแรก จะฉีดตอนแรกเกิดและควรฉีดให้ภายใน 24 ชั่วโมง หาก ทารกที่เกิดจากแม่ที่มีเชื้อไวรัส ตับอักเสบB หรือเป็นพาหะ ให้ภายใน 12 ชั่วโมงหลังคลอดร่วมกับ HBIG HBV เข็มสอง ฉีดเมื่ออายุ 1 เดือน HBV เข็มสาม ฉีดเมื่ออายุ 6 เดือน สถานการณ์ที่2 -วัคซีน HBV เป็นชนิด subunit -วัคซีน Pertuss, JE, HAV,Rabies เป็นชนิด killed vaccine 255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ให้วัคซีน DTP และ OPV จะต้องได้รับทั้งหมด 5 ครั้ง และเนื่องจากเด็กอายุ 6 ขวบและมีประวัติได้รับ วัคซีนครบตั้งแต่เกิดจนถึงปัจจุบันดังนั้นการมาครั้งนี้จึงควรได้รับ DTP เพื่อเป็นการกระตุ้นอีกครั้งหลังจากที่ เคยได้รับตามกำหนดตอนอายุ 1 ขวบครึ่ง และต้องได้รับ OPV เพื่อเป็นการกระตุ้นอีกครั้งหลังจากที่เคยได้รับ ตามกำหนดตอนอายุ 1 ขวบครึ่ง 256 โรคระบบภูมิคุ้มกัน ฝ่ายวิชาการ คณะกรรมการนักศึกษาเภสัชศาสตร์ รุ่นที่ 22 มหาวิทยาลัยหัวเฉียวเฉลิมพระเกียรติ สหพันธ์นิสิตนักศึกษาเภสัชศาสตร์แห่งประเทศไทย (สนภท.)</t>
        </is>
      </c>
      <c r="C34" s="2" t="n"/>
      <c r="D34" s="2" t="inlineStr">
        <is>
          <t>ISO Class 5 (Grade A) Laminar Airflow Workstation</t>
        </is>
      </c>
      <c r="E34" s="2" t="inlineStr">
        <is>
          <t>Metered Dose Inhaler (MDI) with HFA propellant</t>
        </is>
      </c>
      <c r="F34" s="2" t="inlineStr">
        <is>
          <t>Dry Powder Inhaler (DPI) with Carrier Lactose</t>
        </is>
      </c>
      <c r="G34" s="2" t="inlineStr">
        <is>
          <t>Isotonic Sodium Chloride 0.9% Osmotic Adjustment</t>
        </is>
      </c>
      <c r="H34" s="2" t="inlineStr">
        <is>
          <t>Moist Heat Steam Sterilization (Autoclave 121 C, 15 psi, 15 min)</t>
        </is>
      </c>
      <c r="I34" s="2" t="n">
        <v>2</v>
      </c>
      <c r="J34" s="2" t="inlineStr">
        <is>
          <t>✅ คำตอบที่ถูกต้อง: ข้อ ข.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จ.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Sterile Cleanroom specs</t>
        </is>
      </c>
      <c r="M34" s="2" t="inlineStr">
        <is>
          <t>Product</t>
        </is>
      </c>
      <c r="N34" s="2" t="inlineStr">
        <is>
          <t>ข้อ 39 (PLE_CC1_Practice_Exam.md)</t>
        </is>
      </c>
      <c r="O34" s="2" t="inlineStr">
        <is>
          <t>Mock</t>
        </is>
      </c>
      <c r="P34" s="2" t="inlineStr">
        <is>
          <t>Mock สภาเภสัชฯ Practice</t>
        </is>
      </c>
    </row>
    <row r="35" ht="13.2" customHeight="1" s="37">
      <c r="A35" s="2" t="n">
        <v>33</v>
      </c>
      <c r="B35" s="2" t="inlineStr">
        <is>
          <t>ระวังการรับประทาน Activated Charcoal ร่วมกับ Alcohol ใช้ประโยชน์จากลักษณะที่เป็นผงๆ มีพื้นที่ผิวมากในการดูดซับสารพิษหรือยา ยาที่แตกตัวเป็นประจุ หรือสารโมเลกุลเล็กเช่น alcohol จะถูกดูดซับได้ไม่ดี การให้ผงถ่านซ้ำๆ กันหลายครั้ง จะเพิ่มการขับถ่ายยาที่มี enterohepatic recirculation เช่น digitoxin หรือยาที่มีการซึมกลับสู่ทางเดินอาหารใหม่ เช่น phenobarbital หรือ theophylline</t>
        </is>
      </c>
      <c r="C35" s="2" t="n"/>
      <c r="D35" s="2" t="inlineStr">
        <is>
          <t>Isotonic Sodium Chloride 0.9% Osmotic Adjustment</t>
        </is>
      </c>
      <c r="E35" s="2" t="inlineStr">
        <is>
          <t>Moist Heat Steam Sterilization (Autoclave 121 C, 15 psi, 15 min)</t>
        </is>
      </c>
      <c r="F35" s="2" t="inlineStr">
        <is>
          <t>Dry Heat Sterilization (Hot Air Oven 160-170 C, 2 hours)</t>
        </is>
      </c>
      <c r="G35" s="2" t="inlineStr">
        <is>
          <t>Membrane Filtration Sterilization (0.22 micron pore size)</t>
        </is>
      </c>
      <c r="H35" s="2" t="inlineStr">
        <is>
          <t>Ethylene Oxide Gas Sterilization (ETO)</t>
        </is>
      </c>
      <c r="I35" s="2" t="n">
        <v>1</v>
      </c>
      <c r="J3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ค.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ง.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จ.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Sterile Cleanroom specs</t>
        </is>
      </c>
      <c r="M35" s="2" t="inlineStr">
        <is>
          <t>Product</t>
        </is>
      </c>
      <c r="N35" s="2" t="inlineStr">
        <is>
          <t>ข้อ 2 (PLE_CC1_Key_Rx20_UBU.md)</t>
        </is>
      </c>
      <c r="O35" s="2" t="inlineStr">
        <is>
          <t>Mock</t>
        </is>
      </c>
      <c r="P35" s="2" t="inlineStr">
        <is>
          <t>Mock Rx20 UBU</t>
        </is>
      </c>
    </row>
    <row r="36" ht="13.2" customHeight="1" s="37">
      <c r="A36" s="2" t="n">
        <v>34</v>
      </c>
      <c r="B36" s="2" t="inlineStr">
        <is>
          <t>ระบบอากาศเป็น HEPA filter และ Pre HEPA</t>
        </is>
      </c>
      <c r="C36" s="2" t="n"/>
      <c r="D36" s="2" t="inlineStr">
        <is>
          <t>Membrane Filtration Sterilization (0.22 micron pore size)</t>
        </is>
      </c>
      <c r="E36" s="2" t="inlineStr">
        <is>
          <t>Ethylene Oxide Gas Sterilization (ETO)</t>
        </is>
      </c>
      <c r="F36" s="2" t="inlineStr">
        <is>
          <t>LAL Test (Limulus Amebocyte Lysate Bacterial Endotoxin)</t>
        </is>
      </c>
      <c r="G36" s="2" t="inlineStr">
        <is>
          <t>Rabbit Pyrogen Test in vivo</t>
        </is>
      </c>
      <c r="H36" s="2" t="inlineStr">
        <is>
          <t>ISO Class 5 (Grade A) Laminar Airflow Workstation</t>
        </is>
      </c>
      <c r="I36" s="2" t="n">
        <v>1</v>
      </c>
      <c r="J3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ค.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ง.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ข้อ จ.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Sterile Cleanroom specs</t>
        </is>
      </c>
      <c r="M36" s="2" t="inlineStr">
        <is>
          <t>Product</t>
        </is>
      </c>
      <c r="N36" s="2" t="inlineStr">
        <is>
          <t>ข้อ 1 (PLE_CC1_Key_Rx20_UBU.md)</t>
        </is>
      </c>
      <c r="O36" s="2" t="inlineStr">
        <is>
          <t>Mock</t>
        </is>
      </c>
      <c r="P36" s="2" t="inlineStr">
        <is>
          <t>Mock Rx20 UBU</t>
        </is>
      </c>
    </row>
    <row r="37" ht="13.2" customHeight="1" s="37">
      <c r="A37" s="2" t="n">
        <v>35</v>
      </c>
      <c r="B37" s="2" t="inlineStr">
        <is>
          <t>Hepatitis B</t>
        </is>
      </c>
      <c r="C37" s="2" t="n"/>
      <c r="D37" s="2" t="inlineStr">
        <is>
          <t>Rabbit Pyrogen Test in vivo</t>
        </is>
      </c>
      <c r="E37" s="2" t="inlineStr">
        <is>
          <t>ISO Class 5 (Grade A) Laminar Airflow Workstation</t>
        </is>
      </c>
      <c r="F37" s="2" t="inlineStr">
        <is>
          <t>Metered Dose Inhaler (MDI) with HFA propellant</t>
        </is>
      </c>
      <c r="G37" s="2" t="inlineStr">
        <is>
          <t>Dry Powder Inhaler (DPI) with Carrier Lactose</t>
        </is>
      </c>
      <c r="H37" s="2" t="inlineStr">
        <is>
          <t>Isotonic Sodium Chloride 0.9% Osmotic Adjustment</t>
        </is>
      </c>
      <c r="I37" s="2" t="n">
        <v>1</v>
      </c>
      <c r="J3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ค.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Sterile Cleanroom specs</t>
        </is>
      </c>
      <c r="M37" s="2" t="inlineStr">
        <is>
          <t>Product</t>
        </is>
      </c>
      <c r="N37" s="2" t="inlineStr">
        <is>
          <t>ข้อ 5 (PLE_CC1_Key_Rx20_UBU.md)</t>
        </is>
      </c>
      <c r="O37" s="2" t="inlineStr">
        <is>
          <t>Mock</t>
        </is>
      </c>
      <c r="P37" s="2" t="inlineStr">
        <is>
          <t>Mock Rx20 UBU</t>
        </is>
      </c>
    </row>
    <row r="38" ht="13.2" customHeight="1" s="37">
      <c r="A38" s="2" t="n">
        <v>36</v>
      </c>
      <c r="B38" s="2" t="inlineStr">
        <is>
          <t>P. aeruginosa coronavirus, adenovirus ซึ่งแบคทีเรียมีโอกาสติดเชื้อได้น้อยกว่า โดยแบคทีเรียที่เป็นสาเหตุหลัก ได้แก่ Group A beta-hemolytic Streptococcus (GAS) หรือ เรียกว่า Streptococcus pyrogenase โดยสามารถ แยกอาการที่เกิดจากการติดเชื้อไวรัส และแบคทีเรีย ได้ดังนี้</t>
        </is>
      </c>
      <c r="C38" s="2" t="n"/>
      <c r="D38" s="2" t="inlineStr">
        <is>
          <t>Dry Powder Inhaler (DPI) with Carrier Lactose</t>
        </is>
      </c>
      <c r="E38" s="2" t="inlineStr">
        <is>
          <t>Isotonic Sodium Chloride 0.9% Osmotic Adjustment</t>
        </is>
      </c>
      <c r="F38" s="2" t="inlineStr">
        <is>
          <t>Moist Heat Steam Sterilization (Autoclave 121 C, 15 psi, 15 min)</t>
        </is>
      </c>
      <c r="G38" s="2" t="inlineStr">
        <is>
          <t>Dry Heat Sterilization (Hot Air Oven 160-170 C, 2 hours)</t>
        </is>
      </c>
      <c r="H38" s="2" t="inlineStr">
        <is>
          <t>Membrane Filtration Sterilization (0.22 micron pore size)</t>
        </is>
      </c>
      <c r="I38" s="2" t="n">
        <v>5</v>
      </c>
      <c r="J38" s="2" t="inlineStr">
        <is>
          <t>✅ คำตอบที่ถูกต้อง: ข้อ จ.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ข. (Isotonic Sodium Chloride 0.9% Osmotic Adjustment): ข้อนี้ไม่ใช่คำตอบที่ถูกต้องสำหรับภาวะ Sterility &amp; Pyrogen testing เนื่องจากกลไกการออกฤทธิ์, efficacy หรือข้อบ่งใช้ไม่ตรงกับโจทย์ที่กำหนด
• ข้อ ค. (Moist Heat Steam Sterilization (Autoclave 121 C, 15 psi, 15 min)): ข้อนี้ไม่ใช่คำตอบที่ถูกต้องสำหรับภาวะ Sterility &amp; Pyrogen testing เนื่องจากกลไกการออกฤทธิ์, efficacy หรือข้อบ่งใช้ไม่ตรงกับโจทย์ที่กำหนด
• ข้อ ง. (Dry Heat Sterilization (Hot Air Oven 160-170 C, 2 hours)): ข้อนี้ไม่ใช่คำตอบที่ถูกต้องสำหรับภาวะ Sterility &amp; Pyrogen testing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Sterility &amp; Pyrogen testing</t>
        </is>
      </c>
      <c r="M38" s="2" t="inlineStr">
        <is>
          <t>Product</t>
        </is>
      </c>
      <c r="N38" s="2" t="inlineStr">
        <is>
          <t>ข้อ 5 (PLE_CC1_Key_Rx20_UBU.md)</t>
        </is>
      </c>
      <c r="O38" s="2" t="inlineStr">
        <is>
          <t>Mock</t>
        </is>
      </c>
      <c r="P38" s="2" t="inlineStr">
        <is>
          <t>Mock Rx20 UBU</t>
        </is>
      </c>
    </row>
    <row r="39" ht="13.2" customHeight="1" s="37">
      <c r="A39" s="2" t="n">
        <v>37</v>
      </c>
      <c r="B39" s="2" t="inlineStr">
        <is>
          <t>metformin enzyme มีผลการดูดซึมน้ำตาลในทางเดินอาหาร - Sitagliptin --→ DDP-4 inhibitors-- มีผลลดการทำลาย Incretins (GLP-1,GIP) เพิ่มการหลั่งอินซูลิน และลดการหลั่ง glucagon - Glibenclamide --→ Sulfonylureas--ออกฤทธิ์เป็น Insulin secretagogogues โดยจับกับ receptor ที่ beta-cell ของตับอ่อน ทำให้กระตุ้นการหลั่ง Insulin - Pioglitazone--→Thiazolidinediones---จับกับ PPAR-y เพิ่มการแสดงออกของยีนที่ทำให้เกิด glucose metabolism และเพิ่ม Insulin sensitivity - Metformin --→ Biguanides---ลด hepatic glucoseneogenesis เพิ่ม Insulin sensitivity</t>
        </is>
      </c>
      <c r="C39" s="2" t="n"/>
      <c r="D39" s="2" t="inlineStr">
        <is>
          <t>Dry Heat Sterilization (Hot Air Oven 160-170 C, 2 hours)</t>
        </is>
      </c>
      <c r="E39" s="2" t="inlineStr">
        <is>
          <t>Membrane Filtration Sterilization (0.22 micron pore size)</t>
        </is>
      </c>
      <c r="F39" s="2" t="inlineStr">
        <is>
          <t>Ethylene Oxide Gas Sterilization (ETO)</t>
        </is>
      </c>
      <c r="G39" s="2" t="inlineStr">
        <is>
          <t>LAL Test (Limulus Amebocyte Lysate Bacterial Endotoxin)</t>
        </is>
      </c>
      <c r="H39" s="2" t="inlineStr">
        <is>
          <t>Rabbit Pyrogen Test in vivo</t>
        </is>
      </c>
      <c r="I39" s="2" t="n">
        <v>1</v>
      </c>
      <c r="J3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ค. (Ethylene Oxide Gas Sterilization (ETO)): ข้อนี้ไม่ใช่คำตอบที่ถูกต้องสำหรับภาวะ Sterile Cleanroom specs เนื่องจากกลไกการออกฤทธิ์, efficacy หรือข้อบ่งใช้ไม่ตรงกับโจทย์ที่กำหนด
• ข้อ ง.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จ.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Sterile Cleanroom specs</t>
        </is>
      </c>
      <c r="M39" s="2" t="inlineStr">
        <is>
          <t>Product</t>
        </is>
      </c>
      <c r="N39" s="2" t="inlineStr">
        <is>
          <t>ข้อ 5 (PLE_CC1_Key_Rx20_UBU.md)</t>
        </is>
      </c>
      <c r="O39" s="2" t="inlineStr">
        <is>
          <t>Mock</t>
        </is>
      </c>
      <c r="P39" s="2" t="inlineStr">
        <is>
          <t>Mock Rx20 UBU</t>
        </is>
      </c>
    </row>
    <row r="40" ht="13.2" customHeight="1" s="37">
      <c r="A40" s="2" t="n">
        <v>38</v>
      </c>
      <c r="B40" s="2" t="inlineStr">
        <is>
          <t>ผู$ป&amp;วยได$รับการวินิจฉัยวGามีภาวะ hepatic encephalopathy ยาในข$อใดที่ผู$ป&amp;วยรายนี้ไมGควรได$รับ (1) Lorazepam (2) Flumazenil (3) Zinc sulfate (4) Lactulose (5) Rifaximin เนื่องจากยากลุGม Sedative&amp;Hypnotics สามารถกระตุ$นให$เกิด hepatic encephalopathy ได$ จึงมีการศึกษาที่ใช$ ﬂumazenil ในการรักษา hepatic encephalopathy ในผู$ป&amp;วยที่ได$ BZD มากGอน Rifaximin ก็มีการศึกษาและได$รับApprove ในการรักษา hepatic encephalopathy</t>
        </is>
      </c>
      <c r="C40" s="2" t="n"/>
      <c r="D40" s="2" t="inlineStr">
        <is>
          <t>LAL Test (Limulus Amebocyte Lysate Bacterial Endotoxin)</t>
        </is>
      </c>
      <c r="E40" s="2" t="inlineStr">
        <is>
          <t>Rabbit Pyrogen Test in vivo</t>
        </is>
      </c>
      <c r="F40" s="2" t="inlineStr">
        <is>
          <t>ISO Class 5 (Grade A) Laminar Airflow Workstation</t>
        </is>
      </c>
      <c r="G40" s="2" t="inlineStr">
        <is>
          <t>Metered Dose Inhaler (MDI) with HFA propellant</t>
        </is>
      </c>
      <c r="H40" s="2" t="inlineStr">
        <is>
          <t>Dry Powder Inhaler (DPI) with Carrier Lactose</t>
        </is>
      </c>
      <c r="I40" s="2" t="n">
        <v>1</v>
      </c>
      <c r="J4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ข้อ ค.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ง.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Sterile Cleanroom specs</t>
        </is>
      </c>
      <c r="M40" s="2" t="inlineStr">
        <is>
          <t>Product</t>
        </is>
      </c>
      <c r="N40" s="2" t="inlineStr">
        <is>
          <t>ข้อ 57 (PLE_CC1_Key_Rx20_UBU.md)</t>
        </is>
      </c>
      <c r="O40" s="2" t="inlineStr">
        <is>
          <t>Mock</t>
        </is>
      </c>
      <c r="P40" s="2" t="inlineStr">
        <is>
          <t>Mock Rx20 UBU</t>
        </is>
      </c>
    </row>
    <row r="41" ht="13.2" customHeight="1" s="37">
      <c r="A41" s="2" t="n">
        <v>39</v>
      </c>
      <c r="B41" s="2" t="inlineStr">
        <is>
          <t>ลด hepatotoxicity</t>
        </is>
      </c>
      <c r="C41" s="2" t="n"/>
      <c r="D41" s="2" t="inlineStr">
        <is>
          <t>Metered Dose Inhaler (MDI) with HFA propellant</t>
        </is>
      </c>
      <c r="E41" s="2" t="inlineStr">
        <is>
          <t>Dry Powder Inhaler (DPI) with Carrier Lactose</t>
        </is>
      </c>
      <c r="F41" s="2" t="inlineStr">
        <is>
          <t>Isotonic Sodium Chloride 0.9% Osmotic Adjustment</t>
        </is>
      </c>
      <c r="G41" s="2" t="inlineStr">
        <is>
          <t>Moist Heat Steam Sterilization (Autoclave 121 C, 15 psi, 15 min)</t>
        </is>
      </c>
      <c r="H41" s="2" t="inlineStr">
        <is>
          <t>Dry Heat Sterilization (Hot Air Oven 160-170 C, 2 hours)</t>
        </is>
      </c>
      <c r="I41" s="2" t="n">
        <v>1</v>
      </c>
      <c r="J4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ข้อ ง. (Moist Heat Steam Sterilization (Autoclave 121 C, 15 psi, 15 min)): ข้อนี้ไม่ใช่คำตอบที่ถูกต้องสำหรับภาวะ Sterile Cleanroom specs เนื่องจากกลไกการออกฤทธิ์, efficacy หรือข้อบ่งใช้ไม่ตรงกับโจทย์ที่กำหนด
• ข้อ จ.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Sterile Cleanroom specs</t>
        </is>
      </c>
      <c r="M41" s="2" t="inlineStr">
        <is>
          <t>Product</t>
        </is>
      </c>
      <c r="N41" s="2" t="inlineStr">
        <is>
          <t>ข้อ 3 (PLE_CC1_Key_Rx20_UBU.md)</t>
        </is>
      </c>
      <c r="O41" s="2" t="inlineStr">
        <is>
          <t>Mock</t>
        </is>
      </c>
      <c r="P41" s="2" t="inlineStr">
        <is>
          <t>Mock Rx20 UBU</t>
        </is>
      </c>
    </row>
    <row r="42" ht="13.2" customHeight="1" s="37">
      <c r="A42" s="2" t="n">
        <v>40</v>
      </c>
      <c r="B42" s="2" t="inlineStr">
        <is>
          <t>หลอดเลือด...อุดตัน ข้อห้ามใช้ยาคุมกำเนิดชนิดรวมได้แก่ - Thromboembolic dz. - Stroke - MI,CAD - Cancer caused by hormones - Hepatic dz,Gallbladder dz. - Female &gt; 35 years and Smoking &gt; 15 pack/days Case 12 : ตับ</t>
        </is>
      </c>
      <c r="C42" s="2" t="n"/>
      <c r="D42" s="2" t="inlineStr">
        <is>
          <t>ข้อเป็นสาเหตุให้เกิด ascites</t>
        </is>
      </c>
      <c r="E42" s="2" t="inlineStr">
        <is>
          <t>Dry Heat Sterilization (Hot Air Oven 160-170 C, 2 hours)</t>
        </is>
      </c>
      <c r="F42" s="2" t="inlineStr">
        <is>
          <t>Membrane Filtration Sterilization (0.22 micron pore size)</t>
        </is>
      </c>
      <c r="G42" s="2" t="inlineStr">
        <is>
          <t>Ethylene Oxide Gas Sterilization (ETO)</t>
        </is>
      </c>
      <c r="H42" s="2" t="inlineStr">
        <is>
          <t>LAL Test (Limulus Amebocyte Lysate Bacterial Endotoxin)</t>
        </is>
      </c>
      <c r="I42" s="2" t="n">
        <v>4</v>
      </c>
      <c r="J42" s="2" t="inlineStr">
        <is>
          <t>✅ คำตอบที่ถูกต้อง: ข้อ ง.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(ข้อเป็นสาเหตุให้เกิด ascites): ข้อนี้ไม่ใช่คำตอบที่ถูกต้องสำหรับภาวะ Sterile Cleanroom specs เนื่องจากกลไกการออกฤทธิ์, efficacy หรือข้อบ่งใช้ไม่ตรงกับโจทย์ที่กำหนด
• ข้อ ข. (Dry Heat Sterilization (Hot Air Oven 160-170 C, 2 hours)): ข้อนี้ไม่ใช่คำตอบที่ถูกต้องสำหรับภาวะ Sterile Cleanroom specs เนื่องจากกลไกการออกฤทธิ์, efficacy หรือข้อบ่งใช้ไม่ตรงกับโจทย์ที่กำหนด
• ข้อ ค. (Membrane Filtration Sterilization (0.22 micron pore size)): ข้อนี้ไม่ใช่คำตอบที่ถูกต้องสำหรับภาวะ Sterile Cleanroom specs เนื่องจากกลไกการออกฤทธิ์, efficacy หรือข้อบ่งใช้ไม่ตรงกับโจทย์ที่กำหนด
• ข้อ จ.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Sterile Cleanroom specs</t>
        </is>
      </c>
      <c r="M42" s="2" t="inlineStr">
        <is>
          <t>Product</t>
        </is>
      </c>
      <c r="N42" s="2" t="inlineStr">
        <is>
          <t>ข้อ 5 (PLE_CC1_Key_Rx20_UBU.md)</t>
        </is>
      </c>
      <c r="O42" s="2" t="inlineStr">
        <is>
          <t>Mock</t>
        </is>
      </c>
      <c r="P42" s="2" t="inlineStr">
        <is>
          <t>Mock Rx20 UBU</t>
        </is>
      </c>
    </row>
    <row r="43" ht="13.2" customHeight="1" s="37">
      <c r="A43" s="2" t="n">
        <v>41</v>
      </c>
      <c r="B43" s="2" t="inlineStr">
        <is>
          <t>oral bactrim Avoid : AMGs เพิ่มความเสียงในการเกิด Hepatorenal syndrome Case ไหนไม่รู้</t>
        </is>
      </c>
      <c r="C43" s="2" t="n"/>
      <c r="D43" s="2" t="inlineStr">
        <is>
          <t>Ethylene Oxide Gas Sterilization (ETO)</t>
        </is>
      </c>
      <c r="E43" s="2" t="inlineStr">
        <is>
          <t>LAL Test (Limulus Amebocyte Lysate Bacterial Endotoxin)</t>
        </is>
      </c>
      <c r="F43" s="2" t="inlineStr">
        <is>
          <t>Rabbit Pyrogen Test in vivo</t>
        </is>
      </c>
      <c r="G43" s="2" t="inlineStr">
        <is>
          <t>ISO Class 5 (Grade A) Laminar Airflow Workstation</t>
        </is>
      </c>
      <c r="H43" s="2" t="inlineStr">
        <is>
          <t>Metered Dose Inhaler (MDI) with HFA propellant</t>
        </is>
      </c>
      <c r="I43" s="2" t="n">
        <v>1</v>
      </c>
      <c r="J43" s="2" t="inlineStr">
        <is>
          <t>✅ คำตอบที่ถูกต้อง: ข้อ ก.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(LAL Test (Limulus Amebocyte Lysate Bacterial Endotoxin)): ข้อนี้ไม่ใช่คำตอบที่ถูกต้องสำหรับภาวะ Sterile Cleanroom specs เนื่องจากกลไกการออกฤทธิ์, efficacy หรือข้อบ่งใช้ไม่ตรงกับโจทย์ที่กำหนด
• ข้อ ค. (Rabbit Pyrogen Test in vivo): ข้อนี้ไม่ใช่คำตอบที่ถูกต้องสำหรับภาวะ Sterile Cleanroom specs เนื่องจากกลไกการออกฤทธิ์, efficacy หรือข้อบ่งใช้ไม่ตรงกับโจทย์ที่กำหนด
• ข้อ ง.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จ.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Sterile Cleanroom specs</t>
        </is>
      </c>
      <c r="M43" s="2" t="inlineStr">
        <is>
          <t>Product</t>
        </is>
      </c>
      <c r="N43" s="2" t="inlineStr">
        <is>
          <t>ข้อ 5 (PLE_CC1_Key_Rx20_UBU.md)</t>
        </is>
      </c>
      <c r="O43" s="2" t="inlineStr">
        <is>
          <t>Mock</t>
        </is>
      </c>
      <c r="P43" s="2" t="inlineStr">
        <is>
          <t>Mock Rx20 UBU</t>
        </is>
      </c>
    </row>
    <row r="44" ht="13.2" customHeight="1" s="37">
      <c r="A44" s="2" t="n">
        <v>42</v>
      </c>
      <c r="B44" s="2" t="inlineStr">
        <is>
          <t>ทำให้ปราศจากเชื้อโดยใช้แกส ethylene oxide (Gas sterilization)</t>
        </is>
      </c>
      <c r="C44" s="2" t="n"/>
      <c r="D44" s="2" t="inlineStr">
        <is>
          <t>ISO Class 5 (Grade A) Laminar Airflow Workstation</t>
        </is>
      </c>
      <c r="E44" s="2" t="inlineStr">
        <is>
          <t>Metered Dose Inhaler (MDI) with HFA propellant</t>
        </is>
      </c>
      <c r="F44" s="2" t="inlineStr">
        <is>
          <t>Dry Powder Inhaler (DPI) with Carrier Lactose</t>
        </is>
      </c>
      <c r="G44" s="2" t="inlineStr">
        <is>
          <t>Isotonic Sodium Chloride 0.9% Osmotic Adjustment</t>
        </is>
      </c>
      <c r="H44" s="2" t="inlineStr">
        <is>
          <t>Moist Heat Steam Sterilization (Autoclave 121 C, 15 psi, 15 min)</t>
        </is>
      </c>
      <c r="I44" s="2" t="n">
        <v>1</v>
      </c>
      <c r="J4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ข. (Metered Dose Inhaler (MDI) with HFA propellant): ข้อนี้ไม่ใช่คำตอบที่ถูกต้องสำหรับภาวะ Autoclave &amp; Sterilization เนื่องจากกลไกการออกฤทธิ์, efficacy หรือข้อบ่งใช้ไม่ตรงกับโจทย์ที่กำหนด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ข้อนี้ไม่ใช่คำตอบที่ถูกต้องสำหรับภาวะ Autoclave &amp; Sterilization เนื่องจากกลไกการออกฤทธิ์, efficacy หรือข้อบ่งใช้ไม่ตรงกับโจทย์ที่กำหนด
• ข้อ จ. (Moist Heat Steam Sterilization (Autoclave 121 C, 15 psi, 15 min)): ข้อนี้ไม่ใช่คำตอบที่ถูกต้องสำหรับภาวะ Autoclave &amp; Sterilization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Autoclave &amp; Sterilization</t>
        </is>
      </c>
      <c r="M44" s="2" t="inlineStr">
        <is>
          <t>Product</t>
        </is>
      </c>
      <c r="N44" s="2" t="inlineStr">
        <is>
          <t>ข้อ 3 (PLE_CC1_Key_Rx20_UBU.md)</t>
        </is>
      </c>
      <c r="O44" s="2" t="inlineStr">
        <is>
          <t>Mock</t>
        </is>
      </c>
      <c r="P44" s="2" t="inlineStr">
        <is>
          <t>Mock Rx20 UBU</t>
        </is>
      </c>
    </row>
    <row r="45" ht="13.2" customHeight="1" s="37">
      <c r="A45" s="2" t="n">
        <v>43</v>
      </c>
      <c r="B45" s="2" t="inlineStr">
        <is>
          <t>ทำให้ปราศจากเชื้อโดยใช้ความร้อนชื้น (Autoclave)</t>
        </is>
      </c>
      <c r="C45" s="2" t="n"/>
      <c r="D45" s="2" t="inlineStr">
        <is>
          <t>Isotonic Sodium Chloride 0.9% Osmotic Adjustment</t>
        </is>
      </c>
      <c r="E45" s="2" t="inlineStr">
        <is>
          <t>Moist Heat Steam Sterilization (Autoclave 121 C, 15 psi, 15 min)</t>
        </is>
      </c>
      <c r="F45" s="2" t="inlineStr">
        <is>
          <t>Dry Heat Sterilization (Hot Air Oven 160-170 C, 2 hours)</t>
        </is>
      </c>
      <c r="G45" s="2" t="inlineStr">
        <is>
          <t>Membrane Filtration Sterilization (0.22 micron pore size)</t>
        </is>
      </c>
      <c r="H45" s="2" t="inlineStr">
        <is>
          <t>Ethylene Oxide Gas Sterilization (ETO)</t>
        </is>
      </c>
      <c r="I45" s="2" t="n">
        <v>5</v>
      </c>
      <c r="J45" s="2" t="inlineStr">
        <is>
          <t>✅ คำตอบที่ถูกต้อง: ข้อ จ.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(Isotonic Sodium Chloride 0.9% Osmotic Adjustment): ข้อนี้ไม่ใช่คำตอบที่ถูกต้องสำหรับภาวะ Autoclave &amp; Sterilization เนื่องจากกลไกการออกฤทธิ์, efficacy หรือข้อบ่งใช้ไม่ตรงกับโจทย์ที่กำหนด
• ข้อ ข. (Moist Heat Steam Sterilization (Autoclave 121 C, 15 psi, 15 min)): ข้อนี้ไม่ใช่คำตอบที่ถูกต้องสำหรับภาวะ Autoclave &amp; Sterilization เนื่องจากกลไกการออกฤทธิ์, efficacy หรือข้อบ่งใช้ไม่ตรงกับโจทย์ที่กำหนด
• ข้อ ค. (Dry Heat Sterilization (Hot Air Oven 160-170 C, 2 hours)): ข้อนี้ไม่ใช่คำตอบที่ถูกต้องสำหรับภาวะ Autoclave &amp; Sterilization เนื่องจากกลไกการออกฤทธิ์, efficacy หรือข้อบ่งใช้ไม่ตรงกับโจทย์ที่กำหนด
• ข้อ ง. (Membrane Filtration Sterilization (0.22 micron pore size)): ข้อนี้ไม่ใช่คำตอบที่ถูกต้องสำหรับภาวะ Autoclave &amp; Sterilization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Autoclave &amp; Sterilization</t>
        </is>
      </c>
      <c r="M45" s="2" t="inlineStr">
        <is>
          <t>Product</t>
        </is>
      </c>
      <c r="N45" s="2" t="inlineStr">
        <is>
          <t>ข้อ 5 (PLE_CC1_Key_Rx20_UBU.md)</t>
        </is>
      </c>
      <c r="O45" s="2" t="inlineStr">
        <is>
          <t>Mock</t>
        </is>
      </c>
      <c r="P45" s="2" t="inlineStr">
        <is>
          <t>Mock Rx20 UBU</t>
        </is>
      </c>
    </row>
    <row r="46" ht="13.2" customHeight="1" s="37">
      <c r="A46" s="2" t="n">
        <v>44</v>
      </c>
      <c r="B46" s="2" t="inlineStr">
        <is>
          <t>การตกผลึกซ้ำ (Sterile recrystallization)</t>
        </is>
      </c>
      <c r="C46" s="2" t="n"/>
      <c r="D46" s="2" t="inlineStr">
        <is>
          <t>Membrane Filtration Sterilization (0.22 micron pore size)</t>
        </is>
      </c>
      <c r="E46" s="2" t="inlineStr">
        <is>
          <t>Ethylene Oxide Gas Sterilization (ETO)</t>
        </is>
      </c>
      <c r="F46" s="2" t="inlineStr">
        <is>
          <t>LAL Test (Limulus Amebocyte Lysate Bacterial Endotoxin)</t>
        </is>
      </c>
      <c r="G46" s="2" t="inlineStr">
        <is>
          <t>Rabbit Pyrogen Test in vivo</t>
        </is>
      </c>
      <c r="H46" s="2" t="inlineStr">
        <is>
          <t>ISO Class 5 (Grade A) Laminar Airflow Workstation</t>
        </is>
      </c>
      <c r="I46" s="2" t="n">
        <v>1</v>
      </c>
      <c r="J4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(Ethylene Oxide Gas Sterilization (ETO)): ข้อนี้ไม่ใช่คำตอบที่ถูกต้องสำหรับภาวะ Parenterals &amp; Ophthalmic เนื่องจากกลไกการออกฤทธิ์, efficacy หรือข้อบ่งใช้ไม่ตรงกับโจทย์ที่กำหนด
• ข้อ ค. (LAL Test (Limulus Amebocyte Lysate Bacterial Endotoxin)): ข้อนี้ไม่ใช่คำตอบที่ถูกต้องสำหรับภาวะ Parenterals &amp; Ophthalmic เนื่องจากกลไกการออกฤทธิ์, efficacy หรือข้อบ่งใช้ไม่ตรงกับโจทย์ที่กำหนด
• ข้อ ง. (Rabbit Pyrogen Test in vivo): ข้อนี้ไม่ใช่คำตอบที่ถูกต้องสำหรับภาวะ Parenterals &amp; Ophthalmic เนื่องจากกลไกการออกฤทธิ์, efficacy หรือข้อบ่งใช้ไม่ตรงกับโจทย์ที่กำหนด
• ข้อ จ. (ISO Class 5 (Grade A) Laminar Airflow Workstation): ข้อนี้ไม่ใช่คำตอบที่ถูกต้องสำหรับภาวะ Parenterals &amp; Ophthalmic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Parenterals &amp; Ophthalmic</t>
        </is>
      </c>
      <c r="M46" s="2" t="inlineStr">
        <is>
          <t>Product</t>
        </is>
      </c>
      <c r="N46" s="2" t="inlineStr">
        <is>
          <t>ข้อ 4 (PLE_CC1_Key_Rx20_UBU.md)</t>
        </is>
      </c>
      <c r="O46" s="2" t="inlineStr">
        <is>
          <t>Mock</t>
        </is>
      </c>
      <c r="P46" s="2" t="inlineStr">
        <is>
          <t>Mock Rx20 UBU</t>
        </is>
      </c>
    </row>
    <row r="47" ht="13.2" customHeight="1" s="37">
      <c r="A47" s="2" t="n">
        <v>45</v>
      </c>
      <c r="B47" s="2" t="inlineStr">
        <is>
          <t>BSC class II มี hepa fillter ที่สามารถกรองอากาศได้ 100%</t>
        </is>
      </c>
      <c r="C47" s="2" t="n"/>
      <c r="D47" s="2" t="inlineStr">
        <is>
          <t>Rabbit Pyrogen Test in vivo</t>
        </is>
      </c>
      <c r="E47" s="2" t="inlineStr">
        <is>
          <t>ISO Class 5 (Grade A) Laminar Airflow Workstation</t>
        </is>
      </c>
      <c r="F47" s="2" t="inlineStr">
        <is>
          <t>Metered Dose Inhaler (MDI) with HFA propellant</t>
        </is>
      </c>
      <c r="G47" s="2" t="inlineStr">
        <is>
          <t>Dry Powder Inhaler (DPI) with Carrier Lactose</t>
        </is>
      </c>
      <c r="H47" s="2" t="inlineStr">
        <is>
          <t>Isotonic Sodium Chloride 0.9% Osmotic Adjustment</t>
        </is>
      </c>
      <c r="I47" s="2" t="n">
        <v>1</v>
      </c>
      <c r="J4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ข้อนี้ไม่ใช่คำตอบที่ถูกต้องสำหรับภาวะ Sterile Cleanroom specs เนื่องจากกลไกการออกฤทธิ์, efficacy หรือข้อบ่งใช้ไม่ตรงกับโจทย์ที่กำหนด
• ข้อ ค. (Metered Dose Inhaler (MDI) with HFA propellant): ข้อนี้ไม่ใช่คำตอบที่ถูกต้องสำหรับภาวะ Sterile Cleanroom specs เนื่องจากกลไกการออกฤทธิ์, efficacy หรือข้อบ่งใช้ไม่ตรงกับโจทย์ที่กำหนด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ข้อนี้ไม่ใช่คำตอบที่ถูกต้องสำหรับภาวะ Sterile Cleanroom specs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Sterile Cleanroom specs</t>
        </is>
      </c>
      <c r="M47" s="2" t="inlineStr">
        <is>
          <t>Product</t>
        </is>
      </c>
      <c r="N47" s="2" t="inlineStr">
        <is>
          <t>ข้อ 3 (PLE_CC1_Key_Rx20_UBU.md)</t>
        </is>
      </c>
      <c r="O47" s="2" t="inlineStr">
        <is>
          <t>Mock</t>
        </is>
      </c>
      <c r="P47" s="2" t="inlineStr">
        <is>
          <t>Mock Rx20 UBU</t>
        </is>
      </c>
    </row>
    <row r="48" ht="13.2" customHeight="1" s="37">
      <c r="A48" s="2" t="n">
        <v>46</v>
      </c>
      <c r="B48" s="2" t="inlineStr">
        <is>
          <t>เครื่องมือที่ใช้เตรียมยาเคมีบำบัดห้ามฆ่าเชื้อโดยวิธี autoclave เนื่องจาก Class I ป้องกันการแพร่กระจายเฉพาะตัวผู้ใช้งานตู้และสิ่งแวดล้อม แต่class II ป้องกันได้ทั้งงานที่ทำ ผู้ใช้งานตู้ และสิ่งแวดล้อม</t>
        </is>
      </c>
      <c r="C48" s="2" t="n"/>
      <c r="D48" s="2" t="inlineStr">
        <is>
          <t>Dry Powder Inhaler (DPI) with Carrier Lactose</t>
        </is>
      </c>
      <c r="E48" s="2" t="inlineStr">
        <is>
          <t>Isotonic Sodium Chloride 0.9% Osmotic Adjustment</t>
        </is>
      </c>
      <c r="F48" s="2" t="inlineStr">
        <is>
          <t>Moist Heat Steam Sterilization (Autoclave 121 C, 15 psi, 15 min)</t>
        </is>
      </c>
      <c r="G48" s="2" t="inlineStr">
        <is>
          <t>Dry Heat Sterilization (Hot Air Oven 160-170 C, 2 hours)</t>
        </is>
      </c>
      <c r="H48" s="2" t="inlineStr">
        <is>
          <t>Membrane Filtration Sterilization (0.22 micron pore size)</t>
        </is>
      </c>
      <c r="I48" s="2" t="n">
        <v>2</v>
      </c>
      <c r="J48" s="2" t="inlineStr">
        <is>
          <t>✅ คำตอบที่ถูกต้อง: ข้อ ข.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(Moist Heat Steam Sterilization (Autoclave 121 C, 15 psi, 15 min)): ข้อนี้ไม่ใช่คำตอบที่ถูกต้องสำหรับภาวะ Autoclave &amp; Sterilization เนื่องจากกลไกการออกฤทธิ์, efficacy หรือข้อบ่งใช้ไม่ตรงกับโจทย์ที่กำหนด
• ข้อ ง. (Dry Heat Sterilization (Hot Air Oven 160-170 C, 2 hours)): ข้อนี้ไม่ใช่คำตอบที่ถูกต้องสำหรับภาวะ Autoclave &amp; Sterilization เนื่องจากกลไกการออกฤทธิ์, efficacy หรือข้อบ่งใช้ไม่ตรงกับโจทย์ที่กำหนด
• ข้อ จ. (Membrane Filtration Sterilization (0.22 micron pore size)): ข้อนี้ไม่ใช่คำตอบที่ถูกต้องสำหรับภาวะ Autoclave &amp; Sterilization เนื่องจากกลไกการออกฤทธิ์, efficacy หรือข้อบ่งใช้ไม่ตรงกับโจทย์ที่กำหนด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Autoclave &amp; Sterilization</t>
        </is>
      </c>
      <c r="M48" s="2" t="inlineStr">
        <is>
          <t>Product</t>
        </is>
      </c>
      <c r="N48" s="2" t="inlineStr">
        <is>
          <t>ข้อ 5 (PLE_CC1_Key_Rx20_UBU.md)</t>
        </is>
      </c>
      <c r="O48" s="2" t="inlineStr">
        <is>
          <t>Mock</t>
        </is>
      </c>
      <c r="P48" s="2" t="inlineStr">
        <is>
          <t>Mock Rx20 UBU</t>
        </is>
      </c>
    </row>
    <row r="49" ht="13.2" customHeight="1" s="37">
      <c r="A49" s="2" t="n">
        <v>47</v>
      </c>
      <c r="B49" s="2" t="inlineStr">
        <is>
          <t>ผู้ป่วยรายนี้ไม่สามารถรับประทานยาชนิดเม็ดได้ และแพทย์ต้องการให้ยารูปแบบสูดพ่น (Nebulized solution) ข้อใดต่อไปนี้กล่าวผิดเกี่ยวกับยารูปแบบดังกล่าว</t>
        </is>
      </c>
      <c r="C49" s="2" t="n"/>
      <c r="D49" s="2" t="inlineStr">
        <is>
          <t>เป็นการบริหารยาแบบ Non-invasive</t>
        </is>
      </c>
      <c r="E49" s="2" t="inlineStr">
        <is>
          <t>ยาออกฤทธิ์แค่ที่อวัยวะเป้าหมาย ไม่เข้าสู่กระแสเลือด</t>
        </is>
      </c>
      <c r="F49" s="2" t="inlineStr">
        <is>
          <t>ยาในส่วนที่ลงสู่ปอดไม่ผ่าน First-pass metabolism</t>
        </is>
      </c>
      <c r="G49" s="2" t="inlineStr">
        <is>
          <t>มีผลข้างเคียงทั่วร่างกายน้อยกว่ายารูปแบบรับประทาน</t>
        </is>
      </c>
      <c r="H49" s="2" t="inlineStr">
        <is>
          <t>สามารถปรับขนาดยาให้เหมาะสมได้เมื่อเทียบกับยารูปแบบรับประทาน</t>
        </is>
      </c>
      <c r="I49" s="8" t="inlineStr">
        <is>
          <t>2</t>
        </is>
      </c>
      <c r="J49" s="2" t="inlineStr">
        <is>
          <t>✅ คำตอบที่ถูกต้อง: ข้อ ข. ยาออกฤทธิ์แค่ที่อวัยวะเป้าหมาย ไม่เข้าสู่กระแสเลือด
💡 Background:
ยาพ่นละอองฝอย (Nebulized solution) เป็นการนำส่งยาเข้าสู่ทางเดินหายใจและปอดโดยตรง ข้อดีคือเป็นวิถีที่ไม่ต้องแทงเข็ม (Non-invasive), ตัวยาออกฤทธิ์เฉพาะที่บริเวณหลอดลมและเนื้อเยื่อปอดได้อย่างรวดเร็ว, ขนาดยาที่ใช้โดยรวมน้อยกว่าการรับประทาน จึงลดผลข้างเคียงทั่วร่างกาย (Systemic side effects) และตัวยาที่ไปถึงปอดจะไม่ผ่านกระบวนการ First-pass metabolism ที่ตับ อย่างไรก็ตาม ตัวยาบางส่วนที่สะสมในปอดหรือส่วนที่ถูกกลืนลงทางเดินอาหาร ยังคงสามารถถูกดูดซึมเข้าสู่กระแสเลือดได้
🎯 ทำไมข้อนี้ถึงถูก:
โจทย์ถามว่าข้อใดกล่าว "ผิด": ข้อความที่ระบุว่า "ยาออกฤทธิ์แค่ที่อวัยวะเป้าหมาย ไม่เข้าสู่กระแสเลือด" นั้นไม่เป็นความจริง เพราะยาพ่นสูดยังคงมีการดูดซึมผ่านเยื่อบุถุงลมปอดและทางเดินอาหารเข้าสู่กระแสเลือดได้บางส่วน จึงมีโอกาสเกิดผลข้างเคียงเชิงระบบได้หากใช้ยาขนาดสูงหรือเป็นเวลานาน
🔍 ข้ออื่นผิดเพราะอะไร:
• ข้อ ก. (เป็นการให้ยาแบบ non-invasive): ถูกต้อง เพราะเป็นการสูดพ่นผ่านหน้ากากหรือ mouthpiece ไม่ต้องเจาะหรือแทงเข็ม
• ข้อ ค. (ไม่ผ่าน first pass metabolism): ถูกต้อง สำหรับส่วนของตัวยาที่ถูกดูดซึมผ่านทางเดินหายใจเข้าสู่หลอดเลือดฝอยในปอดโดยตรง
• ข้อ ง. (ผลข้างเคียงน้อยกว่ายารูปแบบรับประทาน): ถูกต้อง เนื่องจากขนาดยาที่ใช้พ่นสูดเฉพาะที่ต่ำกว่าขนาดยาที่ต้องรับประทานหลายเท่า
• ข้อ จ. (สามารถปรับขนาดยาได้เมื่อเทียบกับยารูปแบบรับประทาน): ถูกต้อง สามารถปรับปริมาตรหรือความเข้มข้นของสารละลายที่ใช้พ่นได้ตามสภาวะทางคลินิก
📖 Guideline อ้างอิง:
Global Initiative for Chronic Obstructive Lung Disease (GOLD) &amp; British Thoracic Society (BTS) Guideline for Respiratory Inhaler and Nebuliser Therapy
📌 จุดจำก่อนสอบ:
• Inhaled Bioavailability: ยาพ่นสูดประกอบด้วย 2 ส่วน: ส่วนที่ลงปอด (Lung deposition ~10-40%) ถูกดูดซึมเข้ากระแสเลือดโดยตรงไม่ผ่านตับ และส่วนที่ติดในคอหอยแล้วกลืนลงทางเดินอาหาร ซึ่งจะผ่าน First-pass metabolism ที่ตับ
• Nebulizer Utility: เหมาะสำหรับผู้ป่วยวิกฤต, ผู้สูงอายุ, เด็กเล็ก หรือผู้ที่ไม่สามารถประสานการหายใจกับเครื่องพ่น MDI/DPI ได้</t>
        </is>
      </c>
      <c r="K49" s="2" t="n"/>
      <c r="L49" s="2" t="inlineStr">
        <is>
          <t>Sterile &amp; Special Forms</t>
        </is>
      </c>
      <c r="M49" s="2" t="inlineStr">
        <is>
          <t>Product</t>
        </is>
      </c>
      <c r="N49" s="2" t="inlineStr">
        <is>
          <t>Mock PLE-CC 1 ข้อ 100</t>
        </is>
      </c>
      <c r="O49" s="2" t="inlineStr">
        <is>
          <t>Mock</t>
        </is>
      </c>
      <c r="P49" s="2" t="inlineStr">
        <is>
          <t>Mock RxCU83</t>
        </is>
      </c>
    </row>
    <row r="50" ht="13.2" customHeight="1" s="37">
      <c r="A50" s="2" t="n">
        <v>48</v>
      </c>
      <c r="B50" s="2" t="inlineStr">
        <is>
          <t>จากสูตรตำรับน้ำตาเทียม หากในห้องปฏิบัติการไม่มีสาร Hydroxypropyl-guar (HP-guar) สารในข้อใดต่อไปนี้เหมาะสมที่สุดที่จะนำมาใช้ทำหน้าที่เป็นสารเพิ่มความหนืดและสารหล่อลื่นเคลือบผิวตา (Demulcent) แทน</t>
        </is>
      </c>
      <c r="C50" s="2" t="n"/>
      <c r="D50" s="2" t="inlineStr">
        <is>
          <t>Ethyl cellulose</t>
        </is>
      </c>
      <c r="E50" s="2" t="inlineStr">
        <is>
          <t>Cellulose acetate</t>
        </is>
      </c>
      <c r="F50" s="2" t="inlineStr">
        <is>
          <t>Polysorbate 80</t>
        </is>
      </c>
      <c r="G50" s="2" t="inlineStr">
        <is>
          <t>Sorbitol</t>
        </is>
      </c>
      <c r="H50" s="2" t="inlineStr">
        <is>
          <t>Hydroxypropyl methylcellulose (HPMC)</t>
        </is>
      </c>
      <c r="I50" s="8" t="inlineStr">
        <is>
          <t>5</t>
        </is>
      </c>
      <c r="J50" s="2" t="inlineStr">
        <is>
          <t>✅ คำตอบที่ถูกต้อง: ข้อ จ. HPMC (Hydroxypropyl methylcellulose) / Carboxymethylcellulose (CMC)
💡 Background:
ในสูตรตำรับน้ำตาเทียม (Artificial Tears) สารสำคัญที่ช่วยกักเก็บความชุ่มชื้นและยึดเกาะกับผิวลูกตาคือ สารเพิ่มความหนืดและสารหล่อลื่น (Viscosity-inducing agents / Demulcents) เช่น Hydroxypropyl-guar (HP-guar) ซึ่งทำหน้าที่สร้างโครงตาข่ายเจลเคลือบผิวเยื่อบุตา หากไม่มี HP-guar ในการตั้งสูตรตำรับ สามารถเลือกใช้สารเพิ่มความหนืดกลุ่มอนุพันธ์เซลลูโลสที่มีคุณสมบัติ Mucoadhesive และ Viscoelasticity ใกล้เคียงกันมาทดแทนได้
🎯 ทำไมข้อนี้ถึงถูก:
HPMC (Hydroxypropyl methylcellulose หรือ Hypromellose) และ CMC (Carboxymethylcellulose) เป็นสารไฮโดรคอลลอยด์กลุ่มอนุพันธ์เซลลูโลสที่นิยมใช้เป็นสารเพิ่มความหนืด (Viscosity-enhancing agent) ในตำรับน้ำตาเทียมมากที่สุด เพื่อเพิ่มระยะเวลาสัมผัสของยาบนผิวลูกตา (Ocular contact time) ทดแทน Hydroxypropyl-guar ได้อย่างสมบูรณ์
🔍 ข้ออื่นผิดเพราะอะไร:
• ข้อ ก. (Ethyl cellulose): เป็นเซลลูโลสที่ไม่ละลายในน้ำ นิยมใช้ในการเคลือบเม็ดยาเพื่อควบคุมการปลดปล่อย (Extended release) ไม่สามารถนำมาทำน้ำตาเทียมได้
• ข้อ ข. (Cellulose acetate): เป็นพอลิเมอร์ที่ไม่ละลายน้ำ ใช้ทำเมมเบรนในระบบ Osmotic pump tablet
• ข้อ ค. (Polysorbate 80): เป็นสารลดแรงตึงผิวชนิดไม่มีประจุ (Non-ionic surfactant) ใช้ช่วยละลายตัวยา ไม่ใช่สารเพิ่มความหนืดหลักของน้ำตาเทียม
• ข้อ ง. (Sorbitol): เป็นสารปรับแรงดันออสโมติก (Tonicity agent) ไม่ใช่สารให้ความหนืดเคลือบผิวตา
📖 Guideline อ้างอิง:
USP-NF General Chapter &lt;771&gt; Ophthalmic Products—Quality Tests &amp; Ansel's Pharmaceutical Dosage Forms and Drug Delivery Systems (Chapter: Ophthalmic Preparations)
📌 จุดจำก่อนสอบ:
• Demulcents in Ophthalmic Drops: สารเพิ่มความหนืดมาตรฐานในน้ำตาเทียม ได้แก่ HPMC, CMC, Polyvinyl alcohol (PVA), Carbomer และ Sodium hyaluronate
• Insoluble Polymers: Ethylcellulose และ Cellulose acetate ไม่ละลายน้ำ ห้ามนำมาใช้ในยาน้ำใสหยอดตาเด็ดขาด</t>
        </is>
      </c>
      <c r="K50" s="2" t="n"/>
      <c r="L50" s="2" t="inlineStr">
        <is>
          <t>Sterile &amp; Special Forms</t>
        </is>
      </c>
      <c r="M50" s="2" t="inlineStr">
        <is>
          <t>Product</t>
        </is>
      </c>
      <c r="N50" s="2" t="inlineStr">
        <is>
          <t>PLE_CC1_2567_Key ข้อ 32</t>
        </is>
      </c>
      <c r="O50" s="2" t="inlineStr">
        <is>
          <t>ข้อสอบจริง</t>
        </is>
      </c>
      <c r="P50" s="2" t="inlineStr">
        <is>
          <t>ปี 2567</t>
        </is>
      </c>
    </row>
    <row r="51" ht="13.2" customHeight="1" s="37">
      <c r="A51" s="2" t="n">
        <v>49</v>
      </c>
      <c r="B51" s="2" t="inlineStr">
        <is>
          <t>ผลิตภัณฑ์ยาหยอดตาที่มีการทำให้ปราศจากเชื้อด้วยวิธี Filtration sterilization ข้อใดต่อไปนี้กล่าว "ไม่ถูกต้อง"</t>
        </is>
      </c>
      <c r="C51" s="2" t="n"/>
      <c r="D51" s="2" t="inlineStr">
        <is>
          <t>กระบวนการกรองและบรรจุต้องทำภายใต้ Cleanroom และเทคนิคปลอดเชื้อ (Aseptic technique)</t>
        </is>
      </c>
      <c r="E51" s="2" t="inlineStr">
        <is>
          <t>การกรองผ่านแผ่นกรองขนาด 0.22 ไมครอน จัดเป็นกระบวนการ Terminal sterilization</t>
        </is>
      </c>
      <c r="F51" s="2" t="inlineStr">
        <is>
          <t>ใช้แผ่นกรองเมมเบรนขนาดรูพรุน 0.22 ไมครอน ในการกำจัดจุลินทรีย์และแบคทีเรีย</t>
        </is>
      </c>
      <c r="G51" s="2" t="inlineStr">
        <is>
          <t>สารละลายยาที่กรองแล้วต้องบรรจุลงในภาชนะบรรจุที่ผ่านการทำให้ปราศจากเชื้อมาแล้ว</t>
        </is>
      </c>
      <c r="H51" s="2" t="inlineStr">
        <is>
          <t>เป็นวิธีที่เหมาะสมสำหรับสารละลายยาที่ไม่คงตัวต่อความร้อน (Thermolabile drugs)</t>
        </is>
      </c>
      <c r="I51" s="8" t="inlineStr">
        <is>
          <t>2</t>
        </is>
      </c>
      <c r="J51" s="2" t="inlineStr">
        <is>
          <t>✅ คำตอบที่ถูกต้อง: ข้อ ข. การกรองผ่านแผ่นกรอง 0.22 ไมครอน จัดเป็น Terminal sterilization process
💡 Background:
การทำให้ปราศจากเชื้อด้วยการกรอง (Sterilization by Filtration) มักใช้กับสารละลายยาที่ไม่ทนต่อความร้อน (Thermolabile solutions) เช่น ยาหยอดตาที่มีโปรตีน วิตามิน หรือยาปฏิชีวนะ โดยใช้แผ่นกรองขนาดรูพรุนมาตรฐาน 0.22 ไมครอน (Membrane filter pore size 0.22 µm) ซึ่งสามารถดักจับเชื้อแบคทีเรียและเชื้อราไว้ได้ อย่างไรก็ตาม กระบวนการนี้ไม่ได้ทำลายเชื้อในภาชนะบรรจุขั้นสุดท้าย แต่เป็นการเตรียมแบบไร้เชื้อ (Aseptic processing) ซึ่งต้องทำในห้องสะอาด (Cleanroom Grade A / Class 100) และบรรจุลงในภาชนะที่ผ่านการฆ่าเชื้อมาแล้ว
🎯 ทำไมข้อนี้ถึงถูก:
โจทย์ถามว่าข้อใด "ไม่ถูกต้อง": ข้อความที่ระบุว่าการกรองจัดเป็น "Terminal sterilization process" นั้นผิด เพราะกระบวนการกรองเป็นการเตรียมแบบปลอดเชื้อ (Aseptic process/filtration) ไม่ใช่ Terminal sterilization (ซึ่งหมายถึงการทำให้ปราศจากเชื้อในภาชนะบรรจุขั้นสุดท้าย เช่น การนึ่งฆ่าเชื้อด้วยไอน้ำร้อน Autoclave หรือการอบรังสีแกมมา)
🔍 ข้ออื่นผิดเพราะอะไร:
• ข้อ ก. (ต้องทำใน clean room และใช้ aseptic techniques): ถูกต้องอย่างยิ่ง เนื่องจากการกรองเสร็จแล้วต้องนำไปบรรจุแบบไร้เชื้อ จึงต้องทำใน Grade A laminar airflow workstation
• ข้อ ค. (ใช้แผ่นกรองขนาด 0.22 ไมครอน ในการกรองจุลินทรีย์): ถูกต้อง เป็นขนาดรูพรุนมาตรฐานสากลในการดักจับแบคทีเรียทั้งหมด (รวมถึง Brevundimonas diminuta)
• ข้อ ง. (ยาที่กรองแล้วต้องบรรจุในภาชนะที่ผ่านการทำ sterilization แล้ว): ถูกต้อง ภาชนะบรรจุและจุกหยอดต้องผ่านการฆ่าเชื้อมาก่อนล่วงหน้า
• ข้อ จ. (เหมาะกับตัวยาที่ไม่ทนความร้อน): ถูกต้อง เป็นข้อบ่งใช้หลักของการเลือกวิธี Sterile filtration แทนการใช้ความร้อน
📖 Guideline อ้างอิง:
PIC/S GMP Guide Annex 1: Manufacture of Sterile Medicinal Products &amp; USP-NF General Chapter &lt;1211&gt; Sterilization and Sterility Assurance of Compendial Articles
📌 จุดจำก่อนสอบ:
• Filtration is NOT Terminal: การกรอง (Filtration sterilization) ไม่ถือเป็น Terminal sterilization แต่จัดเป็น Aseptic Processing
• Standard Filter: ขนาดรูพรุนกำจัดแบคทีเรียคือ 0.22 ไมครอน (Challenge organism คือ Brevundimonas diminuta) แต่ไม่สามารถกรองไวรัสได้</t>
        </is>
      </c>
      <c r="K51" s="2" t="n"/>
      <c r="L51" s="2" t="inlineStr">
        <is>
          <t>Sterile &amp; Special Forms</t>
        </is>
      </c>
      <c r="M51" s="2" t="inlineStr">
        <is>
          <t>Product</t>
        </is>
      </c>
      <c r="N51" s="2" t="inlineStr">
        <is>
          <t>PLE_CC1_2567_Key ข้อ 17</t>
        </is>
      </c>
      <c r="O51" s="2" t="inlineStr">
        <is>
          <t>ข้อสอบจริง</t>
        </is>
      </c>
      <c r="P51" s="2" t="inlineStr">
        <is>
          <t>ปี 2567</t>
        </is>
      </c>
    </row>
    <row r="52">
      <c r="A52" s="46" t="n">
        <v>50</v>
      </c>
      <c r="B52" s="45" t="inlineStr">
        <is>
          <t>(ปี 2566, Day 1 ข้อ 35 - ยาหยอดตา) (เรื่อง: การทดสอบคุณภาพยาหยอดตา) ยาหยอดตาไม่ต้องทดสอบคุณภาพด้านใด</t>
        </is>
      </c>
      <c r="C52" s="46" t="n"/>
      <c r="D52" s="45" t="inlineStr">
        <is>
          <t>Bacterial endotoxin</t>
        </is>
      </c>
      <c r="E52" s="45" t="inlineStr">
        <is>
          <t>pH</t>
        </is>
      </c>
      <c r="F52" s="45" t="inlineStr">
        <is>
          <t>Sterility</t>
        </is>
      </c>
      <c r="G52" s="45" t="inlineStr">
        <is>
          <t>Tonicity เหตุผล: ยาหยอดตาทั่วไป (ไม่ใช้ระหว่างผ่าตัดหรือกับดวงตาที่มีแผล) ไม่จำเป็นต้องทดสอบ Bacterial endotoxin เพราะ BET เป็นข้อกำหนดหลักสำหรับยาฉีด (parenteral) หรือยาหยอดตาที่ใช้ในภาวะกระจกตาไม่สมบูรณ์/ระหว่างผ่าตัดเท่านั้น ส่วน Sterility, pH, และ Tonicity ยังคงเป็นการทดสอบมาตรฐานที่ต้องทำ</t>
        </is>
      </c>
      <c r="H52" s="45" t="inlineStr"/>
      <c r="I52" s="46" t="n">
        <v>2</v>
      </c>
      <c r="J52" s="45" t="inlineStr">
        <is>
          <t>✅ คำตอบที่ถูกต้อง: ข้อ ข. pH
💡 Background:
คำถามข้อสอบจริงใบประกอบวิชาชีพ PLE-CC 1 (Product) ปี 2566 ข้อ 7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2" s="46" t="n"/>
      <c r="L52" s="45" t="inlineStr">
        <is>
          <t>Sterile Preparations &amp; Sterilization</t>
        </is>
      </c>
      <c r="M52" s="46" t="inlineStr">
        <is>
          <t>Product</t>
        </is>
      </c>
      <c r="N52" s="45" t="inlineStr">
        <is>
          <t>ข้อสอบจริง Product ปี 2566 ข้อ 7</t>
        </is>
      </c>
      <c r="O52" s="46" t="inlineStr">
        <is>
          <t>ข้อสอบจริง</t>
        </is>
      </c>
      <c r="P52" s="46" t="inlineStr">
        <is>
          <t>ปี 2566</t>
        </is>
      </c>
    </row>
    <row r="53">
      <c r="A53" s="46" t="n">
        <v>51</v>
      </c>
      <c r="B53" s="45" t="inlineStr">
        <is>
          <t>(ปี 2566, Day 2 ข้อ 43\) (เรื่อง: ตำรับยาหยอดตา - ข้อที่ผิด) เกี่ยวกับตำรับยาตา ข้อใดผิด</t>
        </is>
      </c>
      <c r="C53" s="46" t="n"/>
      <c r="D53" s="45" t="inlineStr">
        <is>
          <t>pH ต้องเท่ากับน้ำตาเท่านั้น</t>
        </is>
      </c>
      <c r="E53" s="45" t="inlineStr">
        <is>
          <t>ต้อง isotonic</t>
        </is>
      </c>
      <c r="F53" s="45" t="inlineStr">
        <is>
          <t>ต้องตรวจ particle size</t>
        </is>
      </c>
      <c r="G53" s="45" t="inlineStr">
        <is>
          <t>ต้องตรวจความปราศจากเชื้อ เหตุผล: ยาหยอดตาไม่จำเป็นต้อง pH เท่ากับน้ำตา (pH 7.4) เป๊ะ เพียงแต่ต้องอยู่ในช่วงที่ตาทนได้และไม่ระคายเคือง</t>
        </is>
      </c>
      <c r="H53" s="45" t="inlineStr"/>
      <c r="I53" s="46" t="n">
        <v>1</v>
      </c>
      <c r="J53" s="45" t="inlineStr">
        <is>
          <t>✅ คำตอบที่ถูกต้อง: ข้อ ก. pH ต้องเท่ากับน้ำตาเท่านั้น
💡 Background:
คำถามข้อสอบจริงใบประกอบวิชาชีพ PLE-CC 1 (Product) ปี 2566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3" s="46" t="n"/>
      <c r="L53" s="45" t="inlineStr">
        <is>
          <t>Sterile Preparations &amp; Sterilization</t>
        </is>
      </c>
      <c r="M53" s="46" t="inlineStr">
        <is>
          <t>Product</t>
        </is>
      </c>
      <c r="N53" s="45" t="inlineStr">
        <is>
          <t>ข้อสอบจริง Product ปี 2566 ข้อ 15</t>
        </is>
      </c>
      <c r="O53" s="46" t="inlineStr">
        <is>
          <t>ข้อสอบจริง</t>
        </is>
      </c>
      <c r="P53" s="46" t="inlineStr">
        <is>
          <t>ปี 2566</t>
        </is>
      </c>
    </row>
    <row r="54">
      <c r="A54" s="46" t="n">
        <v>52</v>
      </c>
      <c r="B54" s="45" t="inlineStr">
        <is>
          <t>(ปี 2566, Day 2 ข้อ 97\) (เรื่อง: เกรดห้องสะอาดสำหรับการผลิต Insulin) การผลิต insulin ต้องทำในพื้นที่ระดับไหน</t>
        </is>
      </c>
      <c r="C54" s="46" t="n"/>
      <c r="D54" s="45" t="inlineStr">
        <is>
          <t>Assemble Grade A, background Grade A</t>
        </is>
      </c>
      <c r="E54" s="45" t="inlineStr">
        <is>
          <t>Grade D</t>
        </is>
      </c>
      <c r="F54" s="45" t="inlineStr">
        <is>
          <t>Grade C</t>
        </is>
      </c>
      <c r="G54" s="45" t="inlineStr">
        <is>
          <t>Assemble Grade A, background Grade B เหตุผล: Insulin เป็นยาฉีดปราศจากเชื้อที่เตรียมแบบ aseptic (ไม่ผ่าน terminal sterilization) ตาม GMP Annex 1 การบรรจุแบบ aseptic filling ต้องทำใน Grade A (จุดสัมผัสผลิตภัณฑ์โดยตรง) โดยมีสภาพแวดล้อมพื้นหลังเป็น Grade B</t>
        </is>
      </c>
      <c r="H54" s="45" t="inlineStr"/>
      <c r="I54" s="46" t="n">
        <v>1</v>
      </c>
      <c r="J54" s="45" t="inlineStr">
        <is>
          <t>✅ คำตอบที่ถูกต้อง: ข้อ ก. Assemble Grade A, background Grade A
💡 Background:
คำถามข้อสอบจริงใบประกอบวิชาชีพ PLE-CC 1 (Product) ปี 2566 ข้อ 41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4" s="46" t="n"/>
      <c r="L54" s="45" t="inlineStr">
        <is>
          <t>Sterile Preparations &amp; Sterilization</t>
        </is>
      </c>
      <c r="M54" s="46" t="inlineStr">
        <is>
          <t>Product</t>
        </is>
      </c>
      <c r="N54" s="45" t="inlineStr">
        <is>
          <t>ข้อสอบจริง Product ปี 2566 ข้อ 41</t>
        </is>
      </c>
      <c r="O54" s="46" t="inlineStr">
        <is>
          <t>ข้อสอบจริง</t>
        </is>
      </c>
      <c r="P54" s="46" t="inlineStr">
        <is>
          <t>ปี 2566</t>
        </is>
      </c>
    </row>
    <row r="55">
      <c r="A55" s="46" t="n">
        <v>53</v>
      </c>
      <c r="B55" s="45" t="inlineStr">
        <is>
          <t>ข้อใดไม่จัดเป็น terminal sterilization</t>
        </is>
      </c>
      <c r="C55" s="46" t="n"/>
      <c r="D55" s="45" t="inlineStr">
        <is>
          <t>Dry heat sterilization</t>
        </is>
      </c>
      <c r="E55" s="45" t="inlineStr">
        <is>
          <t>Autoclave</t>
        </is>
      </c>
      <c r="F55" s="45" t="inlineStr">
        <is>
          <t>Stream sterilization</t>
        </is>
      </c>
      <c r="G55" s="45" t="inlineStr">
        <is>
          <t>Membrane filtration</t>
        </is>
      </c>
      <c r="H55" s="45" t="inlineStr">
        <is>
          <t>Gamma radiation ข้อสอบ PLE-CC1 ปี 2565 day 2 กรณีศึกษา 1 ผู้ป่วยชาย ไม่มีโรคร่วม มาพบแพทย์ตามนัด ไม่มีอาการ แต่ค่า LDL \&gt;160, ASCVD risk 14.9% แม่เป็นโรคหัวใจขาดเลือด</t>
        </is>
      </c>
      <c r="I55" s="46" t="n">
        <v>1</v>
      </c>
      <c r="J55" s="45" t="inlineStr">
        <is>
          <t>✅ คำตอบที่ถูกต้อง: ข้อ ก. Dry heat sterilization
💡 Background:
คำถามข้อสอบจริงใบประกอบวิชาชีพ PLE-CC 1 (Product) ปี 2565 ข้อ 95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5" s="46" t="n"/>
      <c r="L55" s="45" t="inlineStr">
        <is>
          <t>Sterile Preparations &amp; Sterilization</t>
        </is>
      </c>
      <c r="M55" s="46" t="inlineStr">
        <is>
          <t>Product</t>
        </is>
      </c>
      <c r="N55" s="45" t="inlineStr">
        <is>
          <t>ข้อสอบจริง Product ปี 2565 ข้อ 95</t>
        </is>
      </c>
      <c r="O55" s="46" t="inlineStr">
        <is>
          <t>ข้อสอบจริง</t>
        </is>
      </c>
      <c r="P55" s="46" t="inlineStr">
        <is>
          <t>ปี 2565</t>
        </is>
      </c>
    </row>
    <row r="56">
      <c r="A56" s="46" t="n">
        <v>54</v>
      </c>
      <c r="B56" s="45" t="inlineStr">
        <is>
          <t>Ketotifen 0.025% ประกอบด้วย ketotifen fumarate, glycerin, Hypromellose, NaOH/HCI, NaC, benzalkonium chloride, purified water และ solubility ของ ketotifen 10 mg/ml ข้อใดถูกต้อง</t>
        </is>
      </c>
      <c r="C56" s="46" t="n"/>
      <c r="D56" s="45" t="inlineStr">
        <is>
          <t>ยาเป็นรูปแบบ ophthalmic suspension</t>
        </is>
      </c>
      <c r="E56" s="45" t="inlineStr">
        <is>
          <t>ไม่จำเป็นต้องใส่ preservative เพราะยาตา sterile อยู่แล้ว</t>
        </is>
      </c>
      <c r="F56" s="45" t="inlineStr">
        <is>
          <t>ต้องปรับ pH ให้เท่ากับน้ำตา</t>
        </is>
      </c>
      <c r="G56" s="45" t="inlineStr">
        <is>
          <t>ต้องปรับ pH 7.4 เพื่อให้เป็น isotonic</t>
        </is>
      </c>
      <c r="H56" s="45" t="inlineStr">
        <is>
          <t>ใช้ NaCI ในการทำให้สารละลายเป็น isotonic solution</t>
        </is>
      </c>
      <c r="I56" s="46" t="n">
        <v>1</v>
      </c>
      <c r="J56" s="45" t="inlineStr">
        <is>
          <t>✅ คำตอบที่ถูกต้อง: ข้อ ก. ยาเป็นรูปแบบ ophthalmic suspension
💡 Background:
คำถามข้อสอบจริงใบประกอบวิชาชีพ PLE-CC 1 (Product) ปี 2565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6" s="46" t="n"/>
      <c r="L56" s="45" t="inlineStr">
        <is>
          <t>Sterile Preparations &amp; Sterilization</t>
        </is>
      </c>
      <c r="M56" s="46" t="inlineStr">
        <is>
          <t>Product</t>
        </is>
      </c>
      <c r="N56" s="45" t="inlineStr">
        <is>
          <t>ข้อสอบจริง Product ปี 2565 ข้อ 42</t>
        </is>
      </c>
      <c r="O56" s="46" t="inlineStr">
        <is>
          <t>ข้อสอบจริง</t>
        </is>
      </c>
      <c r="P56" s="46" t="inlineStr">
        <is>
          <t>ปี 2565</t>
        </is>
      </c>
    </row>
    <row r="57">
      <c r="A57" s="46" t="n">
        <v>55</v>
      </c>
      <c r="B57" s="45" t="inlineStr">
        <is>
          <t>ตอบ: จ. ใช้ NaCl ในการทำให้สารละลายเป็น isotonic solution เนื่องจาก NaCl สามารถใช้เป็น tonicity-adjusting agent เพื่อทำให้ ophthalmic solution มีความเข้มข้นใกล้เคียงกับน้ำตาและลดการระคายเคือง มาดูทีละข้อ: ### ก. เป็น ophthalmic suspension Ketotifen มี solubility \= 10 mg/mL ในสูตรมี ketotifen 0.025% w/v แปลงเป็น mg/mL: 0.025 g/100 mL \= 25 mg/100 mL \= 0.25 mg/mL ดังนั้นต้องการ ketotifen เพียง 0.25 mg/mL แต่สามารถละลายได้ถึง 10 mg/mL → ปริมาณยาที่ต้องใช้ ต่ำกว่าความสามารถในการละลายมาก → ยาจึงอยู่ในรูป สารละลาย (ophthalmic solution) ไม่ใช่ suspension → มีโอกาสทำเป็น solution ได้</t>
        </is>
      </c>
      <c r="C57" s="46" t="inlineStr">
        <is>
          <t>[แนบรูป: ข้อสอบ Product ปี 2565 รหัสรูปภาพ image51]</t>
        </is>
      </c>
      <c r="D57" s="45" t="inlineStr">
        <is>
          <t>Buffering agent → ควบคุม/ต้านการเปลี่ยนแปลงของ pH</t>
        </is>
      </c>
      <c r="E57" s="45" t="inlineStr">
        <is>
          <t>ไม่จำเป็นต้องใส่ preservative เพราะยาตา sterile อยู่แล้ว ผิดตรงที่ sterile ≠ preservative Sterile \= ตอนผลิตไม่มีจุลชีพที่มีชีวิตปนเปื้อน Preservative \= ช่วยป้องกัน/ยับยั้งการเจริญของจุลชีพ หลังเปิดใช้ โดยเฉพาะ ophthalmic multidose container จะมีโอกาสปนเปื้อนจากการใช้งานในสูตรนี้จึงมี benzalkonium chloride (BAK) เป็น preservative</t>
        </is>
      </c>
      <c r="F57" s="45" t="inlineStr">
        <is>
          <t>Surface active agent → ช่วยเรื่อง wetting, solubilization และคุณสมบัติของสารละลาย</t>
        </is>
      </c>
      <c r="G57" s="45" t="inlineStr">
        <is>
          <t>Isotonic agent → ปรับ tonicity เช่น NaCl</t>
        </is>
      </c>
      <c r="H57" s="45" t="inlineStr">
        <is>
          <t>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t>
        </is>
      </c>
      <c r="I57" s="46" t="n">
        <v>5</v>
      </c>
      <c r="J57" s="45" t="inlineStr">
        <is>
          <t>✅ คำตอบที่ถูกต้อง: ข้อ จ. 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
💡 Background:
คำถามข้อสอบจริงใบประกอบวิชาชีพ PLE-CC 1 (Product) ปี 2565 ข้อ 42
🎯 ทำไมข้อนี้ถึงถูก:
ข้อ จ.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7" s="46" t="n"/>
      <c r="L57" s="45" t="inlineStr">
        <is>
          <t>Sterile Preparations &amp; Sterilization</t>
        </is>
      </c>
      <c r="M57" s="46" t="inlineStr">
        <is>
          <t>Product</t>
        </is>
      </c>
      <c r="N57" s="45" t="inlineStr">
        <is>
          <t>ข้อสอบจริง Product ปี 2565 ข้อ 42</t>
        </is>
      </c>
      <c r="O57" s="46" t="inlineStr">
        <is>
          <t>ข้อสอบจริง</t>
        </is>
      </c>
      <c r="P57" s="46" t="inlineStr">
        <is>
          <t>ปี 2565</t>
        </is>
      </c>
    </row>
    <row r="58">
      <c r="A58" s="46" t="n">
        <v>56</v>
      </c>
      <c r="B58" s="45" t="inlineStr">
        <is>
          <t>ต้องการเตรียมยาฉีดเข้าทางหลอดเลือดดำ โดยตัวยามีคุณสมบัติละลายน้ำได้ดี ไม่ทนความร้อน และ สลายตัวได้ง่ายด้วยปฏิกิริยา hydrolysis ดังนั้นควรเตรียมยาแบบใดจึงจะเหมาะสมที่สุด</t>
        </is>
      </c>
      <c r="C58" s="46" t="n"/>
      <c r="D58" s="45" t="inlineStr">
        <is>
          <t>Solutions for injection  มีน้ำ เกิด hydrolysis ระหว่างเก็บ</t>
        </is>
      </c>
      <c r="E58" s="45" t="inlineStr">
        <is>
          <t>ละลายยาด้วยน้ำ แล้วทำเป็น powders for injection ด้วยวิธี lyophilization</t>
        </is>
      </c>
      <c r="F58" s="45" t="inlineStr">
        <is>
          <t>Spray drying  ใช้ความร้อน จึงไม่เหมาะกับยาที่ไม่ทนความร้อน</t>
        </is>
      </c>
      <c r="G58" s="45" t="inlineStr">
        <is>
          <t>Emulsion ในน้ำมัน  โจทย์บอกว่ายาละลายน้ำได้ดี และการทำอิมัลชันไม่ใช่วิธีแก้ปัญหา hydrolysis ในกรณีนี้</t>
        </is>
      </c>
      <c r="H58" s="45" t="inlineStr"/>
      <c r="I58" s="46" t="n">
        <v>1</v>
      </c>
      <c r="J58" s="45" t="inlineStr">
        <is>
          <t>✅ คำตอบที่ถูกต้อง: ข้อ ก. Solutions for injection  มีน้ำ เกิด hydrolysis ระหว่างเก็บ
💡 Background:
คำถามข้อสอบจริงใบประกอบวิชาชีพ PLE-CC 1 (Product) ปี 2564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8" s="46" t="n"/>
      <c r="L58" s="45" t="inlineStr">
        <is>
          <t>Sterile Preparations &amp; Sterilization</t>
        </is>
      </c>
      <c r="M58" s="46" t="inlineStr">
        <is>
          <t>Product</t>
        </is>
      </c>
      <c r="N58" s="45" t="inlineStr">
        <is>
          <t>ข้อสอบจริง Product ปี 2564 ข้อ 42</t>
        </is>
      </c>
      <c r="O58" s="46" t="inlineStr">
        <is>
          <t>ข้อสอบจริง</t>
        </is>
      </c>
      <c r="P58" s="46" t="inlineStr">
        <is>
          <t>ปี 2564</t>
        </is>
      </c>
    </row>
    <row r="59">
      <c r="A59" s="46" t="n">
        <v>57</v>
      </c>
      <c r="B59" s="45" t="inlineStr">
        <is>
          <t>ทดสอบ chloramphenicol eye drop ไม่จำเป็นต้องทำข้อใด</t>
        </is>
      </c>
      <c r="C59" s="46" t="n"/>
      <c r="D59" s="45" t="inlineStr">
        <is>
          <t>Identification</t>
        </is>
      </c>
      <c r="E59" s="45" t="inlineStr">
        <is>
          <t>Isotonicity</t>
        </is>
      </c>
      <c r="F59" s="45" t="inlineStr">
        <is>
          <t>pH</t>
        </is>
      </c>
      <c r="G59" s="45" t="inlineStr">
        <is>
          <t>Sterile</t>
        </is>
      </c>
      <c r="H59" s="45" t="inlineStr">
        <is>
          <t>Assay คำอธิบาย: การทดสอบตาม [USP](https://online.uspnf.com/uspnf/document/1_GUID-5C58E1A2-6BE7-4011-9776-64687B306810_6_en-US?source=Search%20Results&amp;highlight=eye%20drop) 〈771〉 OPHTHALMIC PRODUCTS—QUALITY TESTS  สำหรับ Chloramphenicol Eye Drops โดยทั่วไปจะมีการทดสอบ Identification → ยืนยันว่าเป็น chloramphenicol Assay → ตรวจปริมาณตัวยาสำคัญ pH → ควบคุมความคงตัวและลดการระคายเคือง Sterility → ยาหยอดตาต้องปราศจากเชื้อ แต่ Isotonicity ไม่ใช่การทดสอบที่กำหนดใน monograph ของผลิตภัณฑ์สำเร็จรูป แม้ว่าตำรับจะมักถูกออกแบบให้ใกล้เคียง isotonic เพื่อลดการระคายเคืองก็ตาม</t>
        </is>
      </c>
      <c r="I59" s="46" t="n">
        <v>1</v>
      </c>
      <c r="J59" s="45" t="inlineStr">
        <is>
          <t>✅ คำตอบที่ถูกต้อง: ข้อ ก. Identification
💡 Background:
คำถามข้อสอบจริงใบประกอบวิชาชีพ PLE-CC 1 (Product) ปี 2564 ข้อ 44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9" s="46" t="n"/>
      <c r="L59" s="45" t="inlineStr">
        <is>
          <t>Sterile Preparations &amp; Sterilization</t>
        </is>
      </c>
      <c r="M59" s="46" t="inlineStr">
        <is>
          <t>Product</t>
        </is>
      </c>
      <c r="N59" s="45" t="inlineStr">
        <is>
          <t>ข้อสอบจริง Product ปี 2564 ข้อ 44</t>
        </is>
      </c>
      <c r="O59" s="46" t="inlineStr">
        <is>
          <t>ข้อสอบจริง</t>
        </is>
      </c>
      <c r="P59" s="46" t="inlineStr">
        <is>
          <t>ปี 2564</t>
        </is>
      </c>
    </row>
    <row r="60">
      <c r="A60" s="46" t="n">
        <v>58</v>
      </c>
      <c r="B60" s="45" t="inlineStr">
        <is>
          <t>สารละลายที่ใชในผลิต furosemide inj ในระดับอุตสาหกรรม (ฉลาก 10 ml, single dose syringe)</t>
        </is>
      </c>
      <c r="C60" s="46" t="n"/>
      <c r="D60" s="45" t="inlineStr">
        <is>
          <t>Purified water: ใช้ผลิตยาที่ไม่ใช่ยาปราศจากเชื้อ (non-sterile product)</t>
        </is>
      </c>
      <c r="E60" s="45" t="inlineStr">
        <is>
          <t>Sterile purified water: ใช้ผลิตยาที่ใช้ภายนอกหรือยาที่ไม่ใช่ยาฉีด (non-parenteral), ใช้ล้างเครื่องมือ</t>
        </is>
      </c>
      <c r="F60" s="45" t="inlineStr">
        <is>
          <t>Water for inj</t>
        </is>
      </c>
      <c r="G60" s="45" t="inlineStr">
        <is>
          <t>Sterile water for injection: ใช้ผสมยาที่เป็นยาผงสำหรับฉีด (powder for injection)</t>
        </is>
      </c>
      <c r="H60" s="45" t="inlineStr">
        <is>
          <t>Bacteriostatic water for injection: มีสารกันเสีย ไม่ใช้กับยาฉีดขนาดบรรจุครั้งเดียว (single dose)</t>
        </is>
      </c>
      <c r="I60" s="46" t="n">
        <v>1</v>
      </c>
      <c r="J60" s="45" t="inlineStr">
        <is>
          <t>✅ คำตอบที่ถูกต้อง: ข้อ ก. Purified water: ใช้ผลิตยาที่ไม่ใช่ยาปราศจากเชื้อ (non-sterile product)
💡 Background:
คำถามข้อสอบจริงใบประกอบวิชาชีพ PLE-CC 1 (Product) ปี 2564 ข้อ 46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0" s="46" t="n"/>
      <c r="L60" s="45" t="inlineStr">
        <is>
          <t>Sterile Preparations &amp; Sterilization</t>
        </is>
      </c>
      <c r="M60" s="46" t="inlineStr">
        <is>
          <t>Product</t>
        </is>
      </c>
      <c r="N60" s="45" t="inlineStr">
        <is>
          <t>ข้อสอบจริง Product ปี 2564 ข้อ 46</t>
        </is>
      </c>
      <c r="O60" s="46" t="inlineStr">
        <is>
          <t>ข้อสอบจริง</t>
        </is>
      </c>
      <c r="P60" s="46" t="inlineStr">
        <is>
          <t>ปี 2564</t>
        </is>
      </c>
    </row>
    <row r="61">
      <c r="A61" s="46" t="n">
        <v>59</v>
      </c>
      <c r="B61" s="45" t="inlineStr">
        <is>
          <t>น้ำที่ใช้ในกระบวนการผลิตยาทาเฉพาะที่แบบเจล คือข้อใด</t>
        </is>
      </c>
      <c r="C61" s="46" t="n"/>
      <c r="D61" s="45" t="inlineStr">
        <is>
          <t>Potable water ❌ น้ำประปาที่ดื่มได้ ใช้ล้างอุปกรณ์หรือเป็นน้ำตั้งต้นในการผลิต Purified Water ไม่ใช้ผลิตยาโดยตรง</t>
        </is>
      </c>
      <c r="E61" s="45" t="inlineStr">
        <is>
          <t>Purified water ✅ ใช้ผลิตยาเจล ครีม ขี้ผึ้ง ยาน้ำรับประทาน และผลิตภัณฑ์ทาภายนอกทั่วไป</t>
        </is>
      </c>
      <c r="F61" s="45" t="inlineStr">
        <is>
          <t>Sterile purified water ❌ ไม่ใช่ชื่อมาตรฐานในเภสัชตำรับ</t>
        </is>
      </c>
      <c r="G61" s="45" t="inlineStr">
        <is>
          <t>Sterile water for irrigation ❌ ใช้สำหรับการล้าง (irrigation) ไม่ใช่การผลิตเจล</t>
        </is>
      </c>
      <c r="H61" s="45" t="inlineStr">
        <is>
          <t>Bacteriostatic water for injection ❌ ใช้เป็นตัวทำละลายสำหรับยาฉีดบางชนิด</t>
        </is>
      </c>
      <c r="I61" s="46" t="n">
        <v>1</v>
      </c>
      <c r="J61" s="45" t="inlineStr">
        <is>
          <t>✅ คำตอบที่ถูกต้อง: ข้อ ก. Potable water ❌ น้ำประปาที่ดื่มได้ ใช้ล้างอุปกรณ์หรือเป็นน้ำตั้งต้นในการผลิต Purified Water ไม่ใช้ผลิตยาโดยตรง
💡 Background:
คำถามข้อสอบจริงใบประกอบวิชาชีพ PLE-CC 1 (Product) ปี 2564 ข้อ 75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1" s="46" t="n"/>
      <c r="L61" s="45" t="inlineStr">
        <is>
          <t>Sterile Preparations &amp; Sterilization</t>
        </is>
      </c>
      <c r="M61" s="46" t="inlineStr">
        <is>
          <t>Product</t>
        </is>
      </c>
      <c r="N61" s="45" t="inlineStr">
        <is>
          <t>ข้อสอบจริง Product ปี 2564 ข้อ 75</t>
        </is>
      </c>
      <c r="O61" s="46" t="inlineStr">
        <is>
          <t>ข้อสอบจริง</t>
        </is>
      </c>
      <c r="P61" s="46" t="inlineStr">
        <is>
          <t>ปี 2564</t>
        </is>
      </c>
    </row>
    <row r="62">
      <c r="A62" s="46" t="n">
        <v>60</v>
      </c>
      <c r="B62" s="45" t="inlineStr">
        <is>
          <t>ข้อกำหนดมาตรฐานของวัคซีนข้อใดที่แตกต่างจากยาฉีดทั่วไป</t>
        </is>
      </c>
      <c r="C62" s="46" t="n"/>
      <c r="D62" s="45" t="inlineStr">
        <is>
          <t>Potency</t>
        </is>
      </c>
      <c r="E62" s="45" t="inlineStr">
        <is>
          <t>Minimum fill</t>
        </is>
      </c>
      <c r="F62" s="45" t="inlineStr">
        <is>
          <t>Deliverable volume</t>
        </is>
      </c>
      <c r="G62" s="45" t="inlineStr">
        <is>
          <t>Particulate matter</t>
        </is>
      </c>
      <c r="H62" s="45" t="inlineStr">
        <is>
          <t>Heavy metal คำอธิบาย: วัคซีนเป็นผลิตภัณฑ์ชีววัตถุ (biological product) จึงมีการควบคุมคุณภาพบางอย่างที่ แตกต่างจากยาฉีดทั่วไป โดยเฉพาะการวัด Potency (ความแรง/ความสามารถในการกระตุ้นภูมิคุ้มกัน) ตัวเลือกอื่นเป็นมาตรฐานของยาฉีดทั่วไปเช่นกัน</t>
        </is>
      </c>
      <c r="I62" s="46" t="n">
        <v>1</v>
      </c>
      <c r="J62" s="45" t="inlineStr">
        <is>
          <t>✅ คำตอบที่ถูกต้อง: ข้อ ก. Potency
💡 Background:
คำถามข้อสอบจริงใบประกอบวิชาชีพ PLE-CC 1 (Product) ปี 2564 ข้อ 100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2" s="46" t="n"/>
      <c r="L62" s="45" t="inlineStr">
        <is>
          <t>Sterile Preparations &amp; Sterilization</t>
        </is>
      </c>
      <c r="M62" s="46" t="inlineStr">
        <is>
          <t>Product</t>
        </is>
      </c>
      <c r="N62" s="45" t="inlineStr">
        <is>
          <t>ข้อสอบจริง Product ปี 2564 ข้อ 100</t>
        </is>
      </c>
      <c r="O62" s="46" t="inlineStr">
        <is>
          <t>ข้อสอบจริง</t>
        </is>
      </c>
      <c r="P62" s="46" t="inlineStr">
        <is>
          <t>ปี 2564</t>
        </is>
      </c>
    </row>
    <row r="63">
      <c r="A63" s="46" t="n">
        <v>61</v>
      </c>
      <c r="B63" s="45" t="inlineStr">
        <is>
          <t>ข้อใดไม่ใช่การควบคุมคุณภาพยาฉีดรูปแบบสารละลาย</t>
        </is>
      </c>
      <c r="C63" s="46" t="n"/>
      <c r="D63" s="45" t="inlineStr">
        <is>
          <t>Sterility test</t>
        </is>
      </c>
      <c r="E63" s="45" t="inlineStr">
        <is>
          <t>Microbial limit test</t>
        </is>
      </c>
      <c r="F63" s="45" t="inlineStr">
        <is>
          <t>Pyrogen test</t>
        </is>
      </c>
      <c r="G63" s="45" t="inlineStr">
        <is>
          <t>Particulate matter test</t>
        </is>
      </c>
      <c r="H63" s="45" t="inlineStr">
        <is>
          <t>Leaker test คำอธิบาย: ยาฉีดจำเป็นต้องปราสจากเชื้อ (Sterile) แสดงว่าไม่มีเชื้อที่มีชีวิตอยู่ ดังนั้น B. Microbial limit test จึงไม่จำเป็นในการทดสอบ</t>
        </is>
      </c>
      <c r="I63" s="46" t="n">
        <v>1</v>
      </c>
      <c r="J63" s="45" t="inlineStr">
        <is>
          <t>✅ คำตอบที่ถูกต้อง: ข้อ ก. Sterility test
💡 Background:
คำถามข้อสอบจริงใบประกอบวิชาชีพ PLE-CC 1 (Product) ปี 2564 ข้อ 105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3" s="46" t="n"/>
      <c r="L63" s="45" t="inlineStr">
        <is>
          <t>Sterile Preparations &amp; Sterilization</t>
        </is>
      </c>
      <c r="M63" s="46" t="inlineStr">
        <is>
          <t>Product</t>
        </is>
      </c>
      <c r="N63" s="45" t="inlineStr">
        <is>
          <t>ข้อสอบจริง Product ปี 2564 ข้อ 105</t>
        </is>
      </c>
      <c r="O63" s="46" t="inlineStr">
        <is>
          <t>ข้อสอบจริง</t>
        </is>
      </c>
      <c r="P63" s="46" t="inlineStr">
        <is>
          <t>ปี 2564</t>
        </is>
      </c>
    </row>
    <row r="64">
      <c r="A64" s="46" t="n">
        <v>62</v>
      </c>
      <c r="B64" s="45" t="inlineStr">
        <is>
          <t>การวิเคราะห์คุณภาพยาตาที่เตรียมขึ้นในข้อใดมีความสำคัญที่สุด เพื่อให้ปลอดภัยต่อผู้ป่วย A. Microbial limit test</t>
        </is>
      </c>
      <c r="C64" s="46" t="n"/>
      <c r="D64" s="45" t="inlineStr">
        <is>
          <t>Microbial limit test ❌ ใช้กับผลิตภัณฑ์ที่ ไม่จำเป็นต้องปราศจากเชื้อ เช่น ยารับประทาน ยาทาผิวหนังบางชนิด โดยยาตาใช้ Sterility test แทน</t>
        </is>
      </c>
      <c r="E64" s="45" t="inlineStr">
        <is>
          <t>Sterility test</t>
        </is>
      </c>
      <c r="F64" s="45" t="inlineStr">
        <is>
          <t>Dissolution test ❌ ใช้กับยาเม็ด/แคปซูล</t>
        </is>
      </c>
      <c r="G64" s="45" t="inlineStr">
        <is>
          <t>Disintegration test ❌ ใช้กับยาเม็ด/แคปซูล</t>
        </is>
      </c>
      <c r="H64" s="45" t="inlineStr">
        <is>
          <t>Pyrogen test ❌ สำคัญกับ ยาฉีด</t>
        </is>
      </c>
      <c r="I64" s="46" t="n">
        <v>1</v>
      </c>
      <c r="J64" s="45" t="inlineStr">
        <is>
          <t>✅ คำตอบที่ถูกต้อง: ข้อ ก. Microbial limit test ❌ ใช้กับผลิตภัณฑ์ที่ ไม่จำเป็นต้องปราศจากเชื้อ เช่น ยารับประทาน ยาทาผิวหนังบางชนิด โดยยาตาใช้ Sterility test แทน
💡 Background:
คำถามข้อสอบจริงใบประกอบวิชาชีพ PLE-CC 1 (Product) ปี 2564 ข้อ 110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4" s="46" t="n"/>
      <c r="L64" s="45" t="inlineStr">
        <is>
          <t>Sterile Preparations &amp; Sterilization</t>
        </is>
      </c>
      <c r="M64" s="46" t="inlineStr">
        <is>
          <t>Product</t>
        </is>
      </c>
      <c r="N64" s="45" t="inlineStr">
        <is>
          <t>ข้อสอบจริง Product ปี 2564 ข้อ 110</t>
        </is>
      </c>
      <c r="O64" s="46" t="inlineStr">
        <is>
          <t>ข้อสอบจริง</t>
        </is>
      </c>
      <c r="P64" s="46" t="inlineStr">
        <is>
          <t>ปี 2564</t>
        </is>
      </c>
    </row>
    <row r="65">
      <c r="A65" s="46" t="n">
        <v>63</v>
      </c>
      <c r="B65" s="45" t="inlineStr">
        <is>
          <t>การทดสอบเพื่อควบคุมคุณภาพยาฉีด ข้อใดผิด</t>
        </is>
      </c>
      <c r="C65" s="46" t="n"/>
      <c r="D65" s="45" t="inlineStr">
        <is>
          <t>Sterility tests</t>
        </is>
      </c>
      <c r="E65" s="45" t="inlineStr">
        <is>
          <t>Particulate matter</t>
        </is>
      </c>
      <c r="F65" s="45" t="inlineStr">
        <is>
          <t>Pyrogen test</t>
        </is>
      </c>
      <c r="G65" s="45" t="inlineStr">
        <is>
          <t>Safety test</t>
        </is>
      </c>
      <c r="H65" s="45" t="inlineStr">
        <is>
          <t>Microbial limit test คำอธิบาย: ยาฉีดจำเป็นต้องปราสจากเชื้อ (Sterile) แสดงว่าไม่มีเชื้อที่มีชีวิตอยู่ ดังนั้น E. Microbial limit test จึงไม่จำเป็นในการทดสอบ</t>
        </is>
      </c>
      <c r="I65" s="46" t="n">
        <v>1</v>
      </c>
      <c r="J65" s="45" t="inlineStr">
        <is>
          <t>✅ คำตอบที่ถูกต้อง: ข้อ ก. Sterility tests
💡 Background:
คำถามข้อสอบจริงใบประกอบวิชาชีพ PLE-CC 1 (Product) ปี 2564 ข้อ 139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5" s="46" t="n"/>
      <c r="L65" s="45" t="inlineStr">
        <is>
          <t>Sterile Preparations &amp; Sterilization</t>
        </is>
      </c>
      <c r="M65" s="46" t="inlineStr">
        <is>
          <t>Product</t>
        </is>
      </c>
      <c r="N65" s="45" t="inlineStr">
        <is>
          <t>ข้อสอบจริง Product ปี 2564 ข้อ 139</t>
        </is>
      </c>
      <c r="O65" s="46" t="inlineStr">
        <is>
          <t>ข้อสอบจริง</t>
        </is>
      </c>
      <c r="P65" s="46" t="inlineStr">
        <is>
          <t>ปี 2564</t>
        </is>
      </c>
    </row>
    <row r="66">
      <c r="A66" s="46" t="n">
        <v>64</v>
      </c>
      <c r="B66" s="45" t="inlineStr">
        <is>
          <t>Diazepam IV ไม่จำเป็นต้องตรวจอะไร</t>
        </is>
      </c>
      <c r="C66" s="46" t="n"/>
      <c r="D66" s="45" t="inlineStr">
        <is>
          <t>pH</t>
        </is>
      </c>
      <c r="E66" s="45" t="inlineStr">
        <is>
          <t>Pyrogen</t>
        </is>
      </c>
      <c r="F66" s="45" t="inlineStr">
        <is>
          <t>Leakage test</t>
        </is>
      </c>
      <c r="G66" s="45" t="inlineStr">
        <is>
          <t>Safety test</t>
        </is>
      </c>
      <c r="H66" s="45" t="inlineStr">
        <is>
          <t>Deliverable volume คำอธิบาย: จาก [USP](https://online.uspnf.com/uspnf/document/1_GUID-AFAE78DE-CFF4-46D3-9FAA-9507553FC215_5_en-US) 〈1〉 INJECTIONS AND IMPLANTED DRUG PRODUCTS (PARENTERALS)—PRODUCT QUALITY TESTS Safety test (General Safety Test/Abnormal Toxicity Test) เป็นการทดสอบที่ ไม่ใช้เป็นการทดสอบประจำ ในเภสัชตำรับสมัยใหม่สำหรับยาฉีด</t>
        </is>
      </c>
      <c r="I66" s="46" t="n">
        <v>1</v>
      </c>
      <c r="J66" s="45" t="inlineStr">
        <is>
          <t>✅ คำตอบที่ถูกต้อง: ข้อ ก. pH
💡 Background:
คำถามข้อสอบจริงใบประกอบวิชาชีพ PLE-CC 1 (Product) ปี 2564 ข้อ 147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6" s="46" t="n"/>
      <c r="L66" s="45" t="inlineStr">
        <is>
          <t>Sterile Preparations &amp; Sterilization</t>
        </is>
      </c>
      <c r="M66" s="46" t="inlineStr">
        <is>
          <t>Product</t>
        </is>
      </c>
      <c r="N66" s="45" t="inlineStr">
        <is>
          <t>ข้อสอบจริง Product ปี 2564 ข้อ 147</t>
        </is>
      </c>
      <c r="O66" s="46" t="inlineStr">
        <is>
          <t>ข้อสอบจริง</t>
        </is>
      </c>
      <c r="P66" s="46" t="inlineStr">
        <is>
          <t>ปี 2564</t>
        </is>
      </c>
    </row>
    <row r="67">
      <c r="A67" s="46" t="n">
        <v>65</v>
      </c>
      <c r="B67" s="45" t="inlineStr">
        <is>
          <t>ข้อใดไม่ใช่ terminal sterilization</t>
        </is>
      </c>
      <c r="C67" s="46" t="n"/>
      <c r="D67" s="45" t="inlineStr">
        <is>
          <t>Autoclave ✅ Terminal sterilization (moist heat)</t>
        </is>
      </c>
      <c r="E67" s="45" t="inlineStr">
        <is>
          <t>Gamma radiation ✅ Terminal sterilization</t>
        </is>
      </c>
      <c r="F67" s="45" t="inlineStr">
        <is>
          <t>Steam sterilization ✅ Terminal sterilization</t>
        </is>
      </c>
      <c r="G67" s="45" t="inlineStr">
        <is>
          <t>Membrane filtration ❌ ไม่ใช่ เป็น aseptic sterilization</t>
        </is>
      </c>
      <c r="H67" s="45" t="inlineStr">
        <is>
          <t>Dry heat sterilization ✅ Terminal sterilization</t>
        </is>
      </c>
      <c r="I67" s="46" t="n">
        <v>1</v>
      </c>
      <c r="J67" s="45" t="inlineStr">
        <is>
          <t>✅ คำตอบที่ถูกต้อง: ข้อ ก. Autoclave ✅ Terminal sterilization (moist heat)
💡 Background:
คำถามข้อสอบจริงใบประกอบวิชาชีพ PLE-CC 1 (Product) ปี 2564 ข้อ 157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7" s="46" t="n"/>
      <c r="L67" s="45" t="inlineStr">
        <is>
          <t>Sterile Preparations &amp; Sterilization</t>
        </is>
      </c>
      <c r="M67" s="46" t="inlineStr">
        <is>
          <t>Product</t>
        </is>
      </c>
      <c r="N67" s="45" t="inlineStr">
        <is>
          <t>ข้อสอบจริง Product ปี 2564 ข้อ 157</t>
        </is>
      </c>
      <c r="O67" s="46" t="inlineStr">
        <is>
          <t>ข้อสอบจริง</t>
        </is>
      </c>
      <c r="P67" s="46" t="inlineStr">
        <is>
          <t>ปี 2564</t>
        </is>
      </c>
    </row>
    <row r="68">
      <c r="A68" s="46" t="n">
        <v>66</v>
      </c>
      <c r="B68" s="45" t="inlineStr">
        <is>
          <t>สาร x \= in situ gel "sol to gel" in eye drug delivery system สาร x คือข้อใด</t>
        </is>
      </c>
      <c r="C68" s="46" t="n"/>
      <c r="D68" s="45" t="inlineStr">
        <is>
          <t>Carbopol</t>
        </is>
      </c>
      <c r="E68" s="45" t="inlineStr">
        <is>
          <t>Poloxamer</t>
        </is>
      </c>
      <c r="F68" s="45" t="inlineStr">
        <is>
          <t>Ethyl cellulose</t>
        </is>
      </c>
      <c r="G68" s="45" t="inlineStr">
        <is>
          <t>Polyvinyl alcohol</t>
        </is>
      </c>
      <c r="H68" s="45" t="inlineStr">
        <is>
          <t>Carboxymethylcellulose คำอธิบาย: ใน ophthalmic in situ gel นิยมใช้ Carbopol เพราะเป็น pH-triggered polymer เมื่อหยอดตา (pH น้ำตาประมาณ 7.4) จะเปลี่ยนจาก สารละลาย (sol) เป็น เจล (gel) ทำให้ยาอยู่บนผิวตาได้นานขึ้น</t>
        </is>
      </c>
      <c r="I68" s="46" t="n">
        <v>1</v>
      </c>
      <c r="J68" s="45" t="inlineStr">
        <is>
          <t>✅ คำตอบที่ถูกต้อง: ข้อ ก. Carbopol
💡 Background:
คำถามข้อสอบจริงใบประกอบวิชาชีพ PLE-CC 1 (Product) ปี 2564 ข้อ 158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8" s="46" t="n"/>
      <c r="L68" s="45" t="inlineStr">
        <is>
          <t>Sterile Preparations &amp; Sterilization</t>
        </is>
      </c>
      <c r="M68" s="46" t="inlineStr">
        <is>
          <t>Product</t>
        </is>
      </c>
      <c r="N68" s="45" t="inlineStr">
        <is>
          <t>ข้อสอบจริง Product ปี 2564 ข้อ 158</t>
        </is>
      </c>
      <c r="O68" s="46" t="inlineStr">
        <is>
          <t>ข้อสอบจริง</t>
        </is>
      </c>
      <c r="P68" s="46" t="inlineStr">
        <is>
          <t>ปี 2564</t>
        </is>
      </c>
    </row>
    <row r="69">
      <c r="A69" s="46" t="n">
        <v>67</v>
      </c>
      <c r="B69" s="45" t="inlineStr">
        <is>
          <t>ข้อใดเป็น preservatives ในตำรับนี้ ต้นฉบับ: Day 1 ข้อ 6</t>
        </is>
      </c>
      <c r="C69" s="46" t="n"/>
      <c r="D69" s="45" t="inlineStr">
        <is>
          <t>Dexamethasone</t>
        </is>
      </c>
      <c r="E69" s="45" t="inlineStr">
        <is>
          <t>Benzyl alcohol</t>
        </is>
      </c>
      <c r="F69" s="45" t="inlineStr">
        <is>
          <t>Sodium chloride</t>
        </is>
      </c>
      <c r="G69" s="45" t="inlineStr">
        <is>
          <t>Sodium hydroxide</t>
        </is>
      </c>
      <c r="H69" s="45" t="inlineStr">
        <is>
          <t xml:space="preserve">Polysorbate 80 | คำตอบ: b) Benzyl alcohol ใช้ยับยั้งการเจริญของจุลินทรีย์ในยาฉีดชนิดใช้หลายครั้ง ข้อที่ไม่ถูก a) Dexamethasone เป็นตัวยาสำคัญ c) Sodium chloride ใช้ปรับ tonicity d) Sodium hydroxide ใช้ปรับ pH e) Polysorbate 80 เป็น surfactant หรือ solubilizer | | :---- | </t>
        </is>
      </c>
      <c r="I69" s="46" t="n">
        <v>2</v>
      </c>
      <c r="J69" s="45" t="inlineStr">
        <is>
          <t>✅ คำตอบที่ถูกต้อง: ข้อ ข. Benzyl alcohol
💡 Background:
คำถามข้อสอบจริงใบประกอบวิชาชีพ PLE-CC 1 (Product) ปี 2563 ข้อ 59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9" s="46" t="n"/>
      <c r="L69" s="45" t="inlineStr">
        <is>
          <t>Sterile Preparations &amp; Sterilization</t>
        </is>
      </c>
      <c r="M69" s="46" t="inlineStr">
        <is>
          <t>Product</t>
        </is>
      </c>
      <c r="N69" s="45" t="inlineStr">
        <is>
          <t>ข้อสอบจริง Product ปี 2563 ข้อ 59</t>
        </is>
      </c>
      <c r="O69" s="46" t="inlineStr">
        <is>
          <t>ข้อสอบจริง</t>
        </is>
      </c>
      <c r="P69" s="46" t="inlineStr">
        <is>
          <t>ปี 2563</t>
        </is>
      </c>
    </row>
    <row r="70">
      <c r="A70" s="46" t="n">
        <v>68</v>
      </c>
      <c r="B70" s="45" t="inlineStr">
        <is>
          <t>ข้อใดไม่ใช่การควบคุมคุณภาพยาฉีดรูปแบบสารละลาย ต้นฉบับ: Day 1 ข้อ 7</t>
        </is>
      </c>
      <c r="C70" s="46" t="n"/>
      <c r="D70" s="45" t="inlineStr">
        <is>
          <t>Sterility test</t>
        </is>
      </c>
      <c r="E70" s="45" t="inlineStr">
        <is>
          <t>Microbial limit test</t>
        </is>
      </c>
      <c r="F70" s="45" t="inlineStr">
        <is>
          <t>Pyrogen test</t>
        </is>
      </c>
      <c r="G70" s="45" t="inlineStr">
        <is>
          <t>Particulate matter test</t>
        </is>
      </c>
      <c r="H70" s="45" t="inlineStr">
        <is>
          <t xml:space="preserve">Leaker test | คำตอบ: b) Microbial limit test ยาฉีดต้องผ่าน sterility test ไม่ใช่ microbial limit test ซึ่งใช้กับผลิตภัณฑ์ที่ไม่ต้องปราศจากเชื้อ ข้อที่ไม่ถูก a) ใช้ยืนยันความปราศจากเชื้อ c) ใช้ตรวจสารก่อไข้ d) ใช้ตรวจอนุภาคปนเปื้อน e) ใช้ตรวจการรั่วของภาชนะ | | :---- | </t>
        </is>
      </c>
      <c r="I70" s="46" t="n">
        <v>2</v>
      </c>
      <c r="J70" s="45" t="inlineStr">
        <is>
          <t>✅ คำตอบที่ถูกต้อง: ข้อ ข. Microbial limit test
💡 Background:
คำถามข้อสอบจริงใบประกอบวิชาชีพ PLE-CC 1 (Product) ปี 2563 ข้อ 60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0" s="46" t="n"/>
      <c r="L70" s="45" t="inlineStr">
        <is>
          <t>Sterile Preparations &amp; Sterilization</t>
        </is>
      </c>
      <c r="M70" s="46" t="inlineStr">
        <is>
          <t>Product</t>
        </is>
      </c>
      <c r="N70" s="45" t="inlineStr">
        <is>
          <t>ข้อสอบจริง Product ปี 2563 ข้อ 60</t>
        </is>
      </c>
      <c r="O70" s="46" t="inlineStr">
        <is>
          <t>ข้อสอบจริง</t>
        </is>
      </c>
      <c r="P70" s="46" t="inlineStr">
        <is>
          <t>ปี 2563</t>
        </is>
      </c>
    </row>
    <row r="71">
      <c r="A71" s="46" t="n">
        <v>69</v>
      </c>
      <c r="B71" s="45" t="inlineStr">
        <is>
          <t>การวิเคราะห์คุณภาพยาตาที่เตรียมขึ้นในข้อใดมีความสำคัญมากที่สุด เพื่อให้ปลอดภัยต่อผู้ป่วย ต้นฉบับ: Day 1 ข้อ 96</t>
        </is>
      </c>
      <c r="C71" s="46" t="n"/>
      <c r="D71" s="45" t="inlineStr">
        <is>
          <t>Microbial limit test</t>
        </is>
      </c>
      <c r="E71" s="45" t="inlineStr">
        <is>
          <t>Sterility test</t>
        </is>
      </c>
      <c r="F71" s="45" t="inlineStr">
        <is>
          <t>Dissolution test</t>
        </is>
      </c>
      <c r="G71" s="45" t="inlineStr">
        <is>
          <t>Disintegration test</t>
        </is>
      </c>
      <c r="H71" s="45" t="inlineStr">
        <is>
          <t xml:space="preserve">Pyrogen test | คำตอบ: b) Sterility test ยาตาต้องปราศจากเชื้อ การตรวจเพียงจำนวนจุลินทรีย์ยังไม่เพียงพอ ข้อที่ไม่ถูก a) Microbial limit ยอมให้มีจุลินทรีย์ได้ภายในเกณฑ์ c) Dissolution ไม่ใช่การทดสอบหลักของยาตารูปแบบนี้ d) Disintegration ใช้กับยาเม็ดหรือแคปซูล e) Pyrogen test เน้นผลิตภัณฑ์ที่เข้าสู่กระแสเลือดโดยตรง | | :---- | # IDQ VI </t>
        </is>
      </c>
      <c r="I71" s="46" t="n">
        <v>2</v>
      </c>
      <c r="J71" s="45" t="inlineStr">
        <is>
          <t>✅ คำตอบที่ถูกต้อง: ข้อ ข. Sterility test
💡 Background:
คำถามข้อสอบจริงใบประกอบวิชาชีพ PLE-CC 1 (Product) ปี 2563 ข้อ 63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1" s="46" t="n"/>
      <c r="L71" s="45" t="inlineStr">
        <is>
          <t>Sterile Preparations &amp; Sterilization</t>
        </is>
      </c>
      <c r="M71" s="46" t="inlineStr">
        <is>
          <t>Product</t>
        </is>
      </c>
      <c r="N71" s="45" t="inlineStr">
        <is>
          <t>ข้อสอบจริง Product ปี 2563 ข้อ 63</t>
        </is>
      </c>
      <c r="O71" s="46" t="inlineStr">
        <is>
          <t>ข้อสอบจริง</t>
        </is>
      </c>
      <c r="P71" s="46" t="inlineStr">
        <is>
          <t>ปี 2563</t>
        </is>
      </c>
    </row>
    <row r="72">
      <c r="A72" s="46" t="n">
        <v>70</v>
      </c>
      <c r="B72" s="45" t="inlineStr">
        <is>
          <t>ข้อกำหนดมาตรฐานของวัคซีนข้อใดที่แตกต่างจากยาฉีดทั่วไป ต้นฉบับ: Day 1 ข้อ 54</t>
        </is>
      </c>
      <c r="C72" s="46" t="n"/>
      <c r="D72" s="45" t="inlineStr">
        <is>
          <t>Potency</t>
        </is>
      </c>
      <c r="E72" s="45" t="inlineStr">
        <is>
          <t>Minimum fill</t>
        </is>
      </c>
      <c r="F72" s="45" t="inlineStr">
        <is>
          <t>Deliverable volume</t>
        </is>
      </c>
      <c r="G72" s="45" t="inlineStr">
        <is>
          <t>Particulate matter</t>
        </is>
      </c>
      <c r="H72" s="45" t="inlineStr">
        <is>
          <t xml:space="preserve">Heavy metal | คำตอบ: a) Potency วัคซีนต้องวัดฤทธิ์ทางชีวภาพของแอนติเจน ไม่ใช่ดูเพียงปริมาณสาร ข้อที่ไม่ถูก b) Minimum fill ใช้กับผลิตภัณฑ์บรรจุของเหลวทั่วไป c) Deliverable volume ใช้กับยาฉีดทั่วไปด้วย d) Particulate matter เป็นข้อกำหนดของยาฉีดทั่วไป e) Heavy metal ไม่ใช่คุณลักษณะเฉพาะของวัคซีน | | :---- | </t>
        </is>
      </c>
      <c r="I72" s="46" t="n">
        <v>1</v>
      </c>
      <c r="J72" s="45" t="inlineStr">
        <is>
          <t>✅ คำตอบที่ถูกต้อง: ข้อ ก. Potency
💡 Background:
คำถามข้อสอบจริงใบประกอบวิชาชีพ PLE-CC 1 (Product) ปี 2563 ข้อ 64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2" s="46" t="n"/>
      <c r="L72" s="45" t="inlineStr">
        <is>
          <t>Sterile Preparations &amp; Sterilization</t>
        </is>
      </c>
      <c r="M72" s="46" t="inlineStr">
        <is>
          <t>Product</t>
        </is>
      </c>
      <c r="N72" s="45" t="inlineStr">
        <is>
          <t>ข้อสอบจริง Product ปี 2563 ข้อ 64</t>
        </is>
      </c>
      <c r="O72" s="46" t="inlineStr">
        <is>
          <t>ข้อสอบจริง</t>
        </is>
      </c>
      <c r="P72" s="46" t="inlineStr">
        <is>
          <t>ปี 2563</t>
        </is>
      </c>
    </row>
    <row r="73">
      <c r="A73" s="46" t="n">
        <v>71</v>
      </c>
      <c r="B73" s="45" t="inlineStr">
        <is>
          <t>ข้อใดไม่ใช่การทดสอบเพื่อควบคุมคุณภาพยาฉีด</t>
        </is>
      </c>
      <c r="C73" s="46" t="n"/>
      <c r="D73" s="45" t="inlineStr">
        <is>
          <t>Safety test</t>
        </is>
      </c>
      <c r="E73" s="45" t="inlineStr">
        <is>
          <t>Sterility test</t>
        </is>
      </c>
      <c r="F73" s="45" t="inlineStr">
        <is>
          <t>Pyrogen test</t>
        </is>
      </c>
      <c r="G73" s="45" t="inlineStr">
        <is>
          <t>Particulate matter</t>
        </is>
      </c>
      <c r="H73" s="45" t="inlineStr">
        <is>
          <t>Microbial limit test</t>
        </is>
      </c>
      <c r="I73" s="46" t="n">
        <v>1</v>
      </c>
      <c r="J73" s="45" t="inlineStr">
        <is>
          <t>✅ คำตอบที่ถูกต้อง: ข้อ ก. Safety test
💡 Background:
คำถามข้อสอบจริงใบประกอบวิชาชีพ PLE-CC 1 (Product) ปี 2561 ข้อ 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3" s="46" t="n"/>
      <c r="L73" s="45" t="inlineStr">
        <is>
          <t>Sterile Preparations &amp; Sterilization</t>
        </is>
      </c>
      <c r="M73" s="46" t="inlineStr">
        <is>
          <t>Product</t>
        </is>
      </c>
      <c r="N73" s="45" t="inlineStr">
        <is>
          <t>ข้อสอบจริง Product ปี 2561 ข้อ 39</t>
        </is>
      </c>
      <c r="O73" s="46" t="inlineStr">
        <is>
          <t>ข้อสอบจริง</t>
        </is>
      </c>
      <c r="P73" s="46" t="inlineStr">
        <is>
          <t>ปี 2561</t>
        </is>
      </c>
    </row>
    <row r="74">
      <c r="A74" s="46" t="n">
        <v>72</v>
      </c>
      <c r="B74" s="45" t="inlineStr">
        <is>
          <t>Diazepam IV ไม่จำเป็นต้องทดสอบคุณภาพในหัวข้อใด</t>
        </is>
      </c>
      <c r="C74" s="46" t="n"/>
      <c r="D74" s="45" t="inlineStr">
        <is>
          <t>pH</t>
        </is>
      </c>
      <c r="E74" s="45" t="inlineStr">
        <is>
          <t>Pyrogen</t>
        </is>
      </c>
      <c r="F74" s="45" t="inlineStr">
        <is>
          <t>Safety test</t>
        </is>
      </c>
      <c r="G74" s="45" t="inlineStr">
        <is>
          <t>Leakage test</t>
        </is>
      </c>
      <c r="H74" s="45" t="inlineStr">
        <is>
          <t>Deliverable volume</t>
        </is>
      </c>
      <c r="I74" s="46" t="n">
        <v>1</v>
      </c>
      <c r="J74" s="45" t="inlineStr">
        <is>
          <t>✅ คำตอบที่ถูกต้อง: ข้อ ก. pH
💡 Background:
คำถามข้อสอบจริงใบประกอบวิชาชีพ PLE-CC 1 (Product) ปี 2561 ข้อ 51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4" s="46" t="n"/>
      <c r="L74" s="45" t="inlineStr">
        <is>
          <t>Sterile Preparations &amp; Sterilization</t>
        </is>
      </c>
      <c r="M74" s="46" t="inlineStr">
        <is>
          <t>Product</t>
        </is>
      </c>
      <c r="N74" s="45" t="inlineStr">
        <is>
          <t>ข้อสอบจริง Product ปี 2561 ข้อ 51</t>
        </is>
      </c>
      <c r="O74" s="46" t="inlineStr">
        <is>
          <t>ข้อสอบจริง</t>
        </is>
      </c>
      <c r="P74" s="46" t="inlineStr">
        <is>
          <t>ปี 2561</t>
        </is>
      </c>
    </row>
    <row r="75">
      <c r="A75" s="46" t="n">
        <v>73</v>
      </c>
      <c r="B75" s="45" t="inlineStr">
        <is>
          <t>ข้อใดเป็นข้อกำหนดมาตรฐานในการผลิตยา tetrahydrozoline eye drop</t>
        </is>
      </c>
      <c r="C75" s="46" t="n"/>
      <c r="D75" s="45" t="inlineStr">
        <is>
          <t>Sterility</t>
        </is>
      </c>
      <c r="E75" s="45" t="inlineStr">
        <is>
          <t>Crystallinity</t>
        </is>
      </c>
      <c r="F75" s="45" t="inlineStr">
        <is>
          <t>Minimum fill</t>
        </is>
      </c>
      <c r="G75" s="45" t="inlineStr">
        <is>
          <t>Deliverable volume</t>
        </is>
      </c>
      <c r="H75" s="45" t="inlineStr">
        <is>
          <t>Bacterial endotoxin test</t>
        </is>
      </c>
      <c r="I75" s="46" t="n">
        <v>1</v>
      </c>
      <c r="J75" s="45" t="inlineStr">
        <is>
          <t>✅ คำตอบที่ถูกต้อง: ข้อ ก. Sterility
💡 Background:
คำถามข้อสอบจริงใบประกอบวิชาชีพ PLE-CC 1 (Product) ปี 2561 ข้อ 109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5" s="46" t="n"/>
      <c r="L75" s="45" t="inlineStr">
        <is>
          <t>Sterile Preparations &amp; Sterilization</t>
        </is>
      </c>
      <c r="M75" s="46" t="inlineStr">
        <is>
          <t>Product</t>
        </is>
      </c>
      <c r="N75" s="45" t="inlineStr">
        <is>
          <t>ข้อสอบจริง Product ปี 2561 ข้อ 109</t>
        </is>
      </c>
      <c r="O75" s="46" t="inlineStr">
        <is>
          <t>ข้อสอบจริง</t>
        </is>
      </c>
      <c r="P75" s="46" t="inlineStr">
        <is>
          <t>ปี 2561</t>
        </is>
      </c>
    </row>
    <row r="76">
      <c r="A76" s="46" t="n">
        <v>74</v>
      </c>
      <c r="B76" s="45" t="inlineStr">
        <is>
          <t>การบรรจุ insulin ห้องที่บรรจุควรมีความสะอาดตาม clean room grade ใด</t>
        </is>
      </c>
      <c r="C76" s="46" t="n"/>
      <c r="D76" s="45" t="inlineStr">
        <is>
          <t>A</t>
        </is>
      </c>
      <c r="E76" s="45" t="inlineStr">
        <is>
          <t>B</t>
        </is>
      </c>
      <c r="F76" s="45" t="inlineStr">
        <is>
          <t>C</t>
        </is>
      </c>
      <c r="G76" s="45" t="inlineStr">
        <is>
          <t>D</t>
        </is>
      </c>
      <c r="H76" s="45" t="inlineStr">
        <is>
          <t>E</t>
        </is>
      </c>
      <c r="I76" s="46" t="n">
        <v>1</v>
      </c>
      <c r="J76" s="45"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6" s="46" t="n"/>
      <c r="L76" s="45" t="inlineStr">
        <is>
          <t>Sterile Preparations &amp; Sterilization</t>
        </is>
      </c>
      <c r="M76" s="46" t="inlineStr">
        <is>
          <t>Product</t>
        </is>
      </c>
      <c r="N76" s="45" t="inlineStr">
        <is>
          <t>ข้อสอบจริง Product ปี 2559 ข้อ 4</t>
        </is>
      </c>
      <c r="O76" s="46" t="inlineStr">
        <is>
          <t>ข้อสอบจริง</t>
        </is>
      </c>
      <c r="P76" s="46" t="inlineStr">
        <is>
          <t>ปี 2559</t>
        </is>
      </c>
    </row>
    <row r="77">
      <c r="A77" s="46" t="n">
        <v>75</v>
      </c>
      <c r="B77" s="45" t="inlineStr">
        <is>
          <t>ข้อใดถูกเกี่ยวกับยาฉีดรูปแบบ single dose container ที่มีวิธีเก็บให้พ้นแสงที่ cool temperature</t>
        </is>
      </c>
      <c r="C77" s="46" t="n"/>
      <c r="D77" s="45" t="inlineStr">
        <is>
          <t>เก็บในภาชนะ vial สีชา ที่อุณหภูมิ 2-8 องศาเซลเซียส</t>
        </is>
      </c>
      <c r="E77" s="45" t="inlineStr">
        <is>
          <t>เก็บในภาชนะ ampule สีชา ที่อุณหภูมิ 2-8 องศาเซลเซียส</t>
        </is>
      </c>
      <c r="F77" s="45" t="inlineStr">
        <is>
          <t>เก็บในภาชนะ vial สีชา ที่อุณหภูมิ 8-15 องศาเซลเซียส</t>
        </is>
      </c>
      <c r="G77" s="45" t="inlineStr">
        <is>
          <t>เก็บในภาชนะ ampule สีชา ที่อุณหภูมิ8-15 องศาเซลเซียส</t>
        </is>
      </c>
      <c r="H77" s="45" t="inlineStr">
        <is>
          <t>เก็บในภาชนะ ampule สีชา ที่อุณหภูมิ 4-8 องศาเซลเซียส</t>
        </is>
      </c>
      <c r="I77" s="46" t="n">
        <v>1</v>
      </c>
      <c r="J77" s="45" t="inlineStr">
        <is>
          <t>✅ คำตอบที่ถูกต้อง: ข้อ ก. เก็บในภาชนะ vial สีชา ที่อุณหภูมิ 2-8 องศาเซลเซียส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7" s="46" t="n"/>
      <c r="L77" s="45" t="inlineStr">
        <is>
          <t>Sterile Preparations &amp; Sterilization</t>
        </is>
      </c>
      <c r="M77" s="46" t="inlineStr">
        <is>
          <t>Product</t>
        </is>
      </c>
      <c r="N77" s="45" t="inlineStr">
        <is>
          <t>ข้อสอบจริง Product ปี 2559 ข้อ 6</t>
        </is>
      </c>
      <c r="O77" s="46" t="inlineStr">
        <is>
          <t>ข้อสอบจริง</t>
        </is>
      </c>
      <c r="P77" s="46" t="inlineStr">
        <is>
          <t>ปี 2559</t>
        </is>
      </c>
    </row>
    <row r="78">
      <c r="A78" s="46" t="n">
        <v>76</v>
      </c>
      <c r="B78" s="45" t="inlineStr">
        <is>
          <t>แก้วประเภทใดเหมาะสมที่สุดในการบรรจุยาฉีด</t>
        </is>
      </c>
      <c r="C78" s="46" t="n"/>
      <c r="D78" s="45" t="inlineStr">
        <is>
          <t>soda-lime glass</t>
        </is>
      </c>
      <c r="E78" s="45" t="inlineStr">
        <is>
          <t>Borosilicate glass</t>
        </is>
      </c>
      <c r="F78" s="45" t="inlineStr">
        <is>
          <t>Treated soda-lime glass</t>
        </is>
      </c>
      <c r="G78" s="45" t="inlineStr">
        <is>
          <t>General NP</t>
        </is>
      </c>
      <c r="H78" s="45" t="inlineStr">
        <is>
          <t>Silicon dioxide</t>
        </is>
      </c>
      <c r="I78" s="46" t="n">
        <v>1</v>
      </c>
      <c r="J78" s="45" t="inlineStr">
        <is>
          <t>✅ คำตอบที่ถูกต้อง: ข้อ ก. soda-lime glass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8" s="46" t="n"/>
      <c r="L78" s="45" t="inlineStr">
        <is>
          <t>Sterile Preparations &amp; Sterilization</t>
        </is>
      </c>
      <c r="M78" s="46" t="inlineStr">
        <is>
          <t>Product</t>
        </is>
      </c>
      <c r="N78" s="45" t="inlineStr">
        <is>
          <t>ข้อสอบจริง Product ปี 2559 ข้อ 7</t>
        </is>
      </c>
      <c r="O78" s="46" t="inlineStr">
        <is>
          <t>ข้อสอบจริง</t>
        </is>
      </c>
      <c r="P78" s="46" t="inlineStr">
        <is>
          <t>ปี 2559</t>
        </is>
      </c>
    </row>
    <row r="79">
      <c r="A79" s="46" t="n">
        <v>77</v>
      </c>
      <c r="B79" s="45" t="inlineStr">
        <is>
          <t>การผสมยาฉีด Amphotericin B กับสารละลาย 0.9% NaCl (Normal Saline Solution: NSS) แล้วส่งผลให้เกิดการตกตะกอน เกิดขึ้นจากกลไกใด?</t>
        </is>
      </c>
      <c r="C79" s="46" t="n"/>
      <c r="D79" s="45" t="inlineStr">
        <is>
          <t>Complexation</t>
        </is>
      </c>
      <c r="E79" s="45" t="inlineStr">
        <is>
          <t>Isomerization</t>
        </is>
      </c>
      <c r="F79" s="45" t="inlineStr">
        <is>
          <t>Salting out</t>
        </is>
      </c>
      <c r="G79" s="45" t="inlineStr">
        <is>
          <t>Epimerization</t>
        </is>
      </c>
      <c r="H79" s="45" t="inlineStr">
        <is>
          <t>Polymerization</t>
        </is>
      </c>
      <c r="I79" s="46" t="n">
        <v>1</v>
      </c>
      <c r="J79" s="45" t="inlineStr">
        <is>
          <t>✅ คำตอบที่ถูกต้อง: ข้อ ก. Complexation
💡 Background:
คำถามข้อสอบจริงใบประกอบวิชาชีพ PLE-CC 1 (Product) ปี 2558 ข้อ 3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9" s="46" t="n"/>
      <c r="L79" s="45" t="inlineStr">
        <is>
          <t>Sterile Preparations &amp; Sterilization</t>
        </is>
      </c>
      <c r="M79" s="46" t="inlineStr">
        <is>
          <t>Product</t>
        </is>
      </c>
      <c r="N79" s="45" t="inlineStr">
        <is>
          <t>ข้อสอบจริง Product ปี 2558 ข้อ 3</t>
        </is>
      </c>
      <c r="O79" s="46" t="inlineStr">
        <is>
          <t>ข้อสอบจริง</t>
        </is>
      </c>
      <c r="P79" s="46" t="inlineStr">
        <is>
          <t>ปี 2558</t>
        </is>
      </c>
    </row>
    <row r="80">
      <c r="A80" s="46" t="n">
        <v>78</v>
      </c>
      <c r="B80" s="45" t="inlineStr">
        <is>
          <t>การผลิตวัคซีนในรูปแบบผงแห้งตามมาตรฐานอุตสาหกรรม นิยมใช้วิธีการใด?</t>
        </is>
      </c>
      <c r="C80" s="46" t="n"/>
      <c r="D80" s="45" t="inlineStr">
        <is>
          <t>Spray drying</t>
        </is>
      </c>
      <c r="E80" s="45" t="inlineStr">
        <is>
          <t>Lyophilization (Freeze drying)</t>
        </is>
      </c>
      <c r="F80" s="45" t="inlineStr">
        <is>
          <t>Powder sterilization</t>
        </is>
      </c>
      <c r="G80" s="45" t="inlineStr">
        <is>
          <t>Fluidized bed drying</t>
        </is>
      </c>
      <c r="H80" s="45" t="inlineStr">
        <is>
          <t>Recombinant technology</t>
        </is>
      </c>
      <c r="I80" s="46" t="n">
        <v>1</v>
      </c>
      <c r="J80" s="45" t="inlineStr">
        <is>
          <t>✅ คำตอบที่ถูกต้อง: ข้อ ก. Spray drying
💡 Background:
คำถามข้อสอบจริงใบประกอบวิชาชีพ PLE-CC 1 (Product) ปี 2558 ข้อ 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0" s="46" t="n"/>
      <c r="L80" s="45" t="inlineStr">
        <is>
          <t>Sterile Preparations &amp; Sterilization</t>
        </is>
      </c>
      <c r="M80" s="46" t="inlineStr">
        <is>
          <t>Product</t>
        </is>
      </c>
      <c r="N80" s="45" t="inlineStr">
        <is>
          <t>ข้อสอบจริง Product ปี 2558 ข้อ 10</t>
        </is>
      </c>
      <c r="O80" s="46" t="inlineStr">
        <is>
          <t>ข้อสอบจริง</t>
        </is>
      </c>
      <c r="P80" s="46" t="inlineStr">
        <is>
          <t>ปี 2558</t>
        </is>
      </c>
    </row>
    <row r="81">
      <c r="A81" s="46" t="n">
        <v>79</v>
      </c>
      <c r="B81" s="45" t="inlineStr">
        <is>
          <t>ในการศึกษาและการตั้งตำรับยาหยอดตา (Ophthalmic formulation) ข้อใดต่อไปนี้เป็นปัจจัยที่ไม่จำเป็นต้องพิจารณาหรือควบคุมอย่างเข้มงวดเมื่อเทียบกับยาฉีดทางหลอดเลือดดำ?</t>
        </is>
      </c>
      <c r="C81" s="46" t="n"/>
      <c r="D81" s="45" t="inlineStr">
        <is>
          <t>955 mg</t>
        </is>
      </c>
      <c r="E81" s="45" t="inlineStr">
        <is>
          <t>1029 mg</t>
        </is>
      </c>
      <c r="F81" s="45" t="inlineStr">
        <is>
          <t>1194 mg</t>
        </is>
      </c>
      <c r="G81" s="45" t="inlineStr">
        <is>
          <t>1507 mg</t>
        </is>
      </c>
      <c r="H81" s="45" t="inlineStr">
        <is>
          <t>1885 mg</t>
        </is>
      </c>
      <c r="I81" s="46" t="n">
        <v>1</v>
      </c>
      <c r="J81" s="45" t="inlineStr">
        <is>
          <t>✅ คำตอบที่ถูกต้อง: ข้อ ก. 955 mg
💡 Background:
คำถามข้อสอบจริงใบประกอบวิชาชีพ PLE-CC 1 (Product) ปี 2558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1" s="46" t="n"/>
      <c r="L81" s="45" t="inlineStr">
        <is>
          <t>Sterile Preparations &amp; Sterilization</t>
        </is>
      </c>
      <c r="M81" s="46" t="inlineStr">
        <is>
          <t>Product</t>
        </is>
      </c>
      <c r="N81" s="45" t="inlineStr">
        <is>
          <t>ข้อสอบจริง Product ปี 2558 ข้อ 15</t>
        </is>
      </c>
      <c r="O81" s="46" t="inlineStr">
        <is>
          <t>ข้อสอบจริง</t>
        </is>
      </c>
      <c r="P81" s="46" t="inlineStr">
        <is>
          <t>ปี 2558</t>
        </is>
      </c>
    </row>
    <row r="82">
      <c r="A82" s="46" t="n">
        <v>80</v>
      </c>
      <c r="B82" s="45" t="inlineStr">
        <is>
          <t>ในระดับอุตสาหกรรมยา น้ำที่นำมาใช้เป็นกระสายยาและส่วนประกอบของสูตรตำรับในการผลิตยาฉีดอินซูลินหรือชีววัตถุประเภทวัคซีนคือข้อใด?</t>
        </is>
      </c>
      <c r="C82" s="46" t="n"/>
      <c r="D82" s="45" t="inlineStr">
        <is>
          <t>Purified water</t>
        </is>
      </c>
      <c r="E82" s="45" t="inlineStr">
        <is>
          <t>Deionized water</t>
        </is>
      </c>
      <c r="F82" s="45" t="inlineStr">
        <is>
          <t>Distilled water</t>
        </is>
      </c>
      <c r="G82" s="45" t="inlineStr">
        <is>
          <t>Water for Injection (WFI)</t>
        </is>
      </c>
      <c r="H82" s="45" t="inlineStr">
        <is>
          <t>Sterile Water for Injection (SWFI)</t>
        </is>
      </c>
      <c r="I82" s="46" t="n">
        <v>1</v>
      </c>
      <c r="J82" s="45" t="inlineStr">
        <is>
          <t>✅ คำตอบที่ถูกต้อง: ข้อ ก. Purified water
💡 Background:
คำถามข้อสอบจริงใบประกอบวิชาชีพ PLE-CC 1 (Product) ปี 2558 ข้อ 19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2" s="46" t="n"/>
      <c r="L82" s="45" t="inlineStr">
        <is>
          <t>Sterile Preparations &amp; Sterilization</t>
        </is>
      </c>
      <c r="M82" s="46" t="inlineStr">
        <is>
          <t>Product</t>
        </is>
      </c>
      <c r="N82" s="45" t="inlineStr">
        <is>
          <t>ข้อสอบจริง Product ปี 2558 ข้อ 19</t>
        </is>
      </c>
      <c r="O82" s="46" t="inlineStr">
        <is>
          <t>ข้อสอบจริง</t>
        </is>
      </c>
      <c r="P82" s="46" t="inlineStr">
        <is>
          <t>ปี 2558</t>
        </is>
      </c>
    </row>
    <row r="83">
      <c r="A83" s="46" t="n">
        <v>81</v>
      </c>
      <c r="B83" s="45" t="inlineStr">
        <is>
          <t>ในปัจจุบัน ยาฉีดอินซูลิน (Insulin) ที่นำมาใช้รักษาผู้ป่วยเบาหวานในประเทศไทย ผลิตขึ้นผ่านเทคโนโลยีและกระบวนการใดเป็นหลัก?</t>
        </is>
      </c>
      <c r="C83" s="46" t="n"/>
      <c r="D83" s="45" t="inlineStr">
        <is>
          <t>การสกัดจากตับอ่อนของสุกร (Porcine insulin extraction)</t>
        </is>
      </c>
      <c r="E83" s="45" t="inlineStr">
        <is>
          <t>การสกัดจากตับอ่อนของมนุษย์</t>
        </is>
      </c>
      <c r="F83" s="45" t="inlineStr">
        <is>
          <t>เทคโนโลยีรีคอมบิแนนท์ดีเอ็นเอ (Recombinant DNA technology)</t>
        </is>
      </c>
      <c r="G83" s="45" t="inlineStr">
        <is>
          <t>การสังเคราะห์ทางเคมีบริสุทธิ์ (Pure chemical synthesis)</t>
        </is>
      </c>
      <c r="H83" s="45" t="inlineStr">
        <is>
          <t>การใช้สเต็มเซลล์เพาะเลี้ยง (Stem cell culture)</t>
        </is>
      </c>
      <c r="I83" s="46" t="n">
        <v>1</v>
      </c>
      <c r="J83" s="45" t="inlineStr">
        <is>
          <t>✅ คำตอบที่ถูกต้อง: ข้อ ก. การสกัดจากตับอ่อนของสุกร (Porcine insulin extraction)
💡 Background:
คำถามข้อสอบจริงใบประกอบวิชาชีพ PLE-CC 1 (Product) ปี 2558 ข้อ 28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3" s="46" t="n"/>
      <c r="L83" s="45" t="inlineStr">
        <is>
          <t>Sterile Preparations &amp; Sterilization</t>
        </is>
      </c>
      <c r="M83" s="46" t="inlineStr">
        <is>
          <t>Product</t>
        </is>
      </c>
      <c r="N83" s="45" t="inlineStr">
        <is>
          <t>ข้อสอบจริง Product ปี 2558 ข้อ 28</t>
        </is>
      </c>
      <c r="O83" s="46" t="inlineStr">
        <is>
          <t>ข้อสอบจริง</t>
        </is>
      </c>
      <c r="P83" s="46" t="inlineStr">
        <is>
          <t>ปี 2558</t>
        </is>
      </c>
    </row>
  </sheetData>
  <mergeCells count="1">
    <mergeCell ref="A1:F1"/>
  </mergeCells>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Q119"/>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37">
      <c r="A3" s="8" t="inlineStr">
        <is>
          <t>2</t>
        </is>
      </c>
      <c r="B3" s="2" t="inlineStr">
        <is>
          <t>ความท้าทายในการควบคุมคุณภาพยา biologics เทียบกับ small molecules drug</t>
        </is>
      </c>
      <c r="C3" s="2" t="n"/>
      <c r="D3" s="2" t="inlineStr">
        <is>
          <t>biologics โครงสร้างซับซ้อนและไวต่อสภาพแวดล้อม เช่น pH ความร้อน</t>
        </is>
      </c>
      <c r="E3" s="2" t="inlineStr">
        <is>
          <t>biologics มีสูตรเคมีที่ง่ายต่อการสังเคราะห์มากกว่า</t>
        </is>
      </c>
      <c r="F3" s="2" t="inlineStr">
        <is>
          <t>Small molecules ต้องเก็บในตู้เย็น</t>
        </is>
      </c>
      <c r="G3" s="2" t="inlineStr">
        <is>
          <t>Small molecules มีผลข้างเคียงมากกว่า</t>
        </is>
      </c>
      <c r="H3" s="2" t="inlineStr">
        <is>
          <t>Biologics ละลายในน ้าง่ายกว่า</t>
        </is>
      </c>
      <c r="I3" s="8" t="inlineStr">
        <is>
          <t>1</t>
        </is>
      </c>
      <c r="J3" s="2" t="inlineStr">
        <is>
          <t>✅ คำตอบที่ถูกต้อง: ข้อ ก. biologics โครงสร้างซับซ้อนและไวต่อสภาพแวดล้อม เช่น pH ความร้อน
💡 Background:
การบริบาลผู้ป่วยในกลุ่มโรค Recombinant DNA มุ่งเน้นการควบคุมโรคและลดความเสี่ยงต่อภาวะแทรกซ้อนด้วย evidence-based pharmacotherapy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(biologics โครงสร้างซับซ้อนและไวต่อสภาพแวดล้อม เช่น pH ความร้อน): ข้อนี้ไม่ใช่คำตอบที่ถูกต้องสำหรับภาวะ Recombinant DNA เนื่องจากกลไกการออกฤทธิ์, efficacy หรือข้อบ่งใช้ไม่ตรงกับโจทย์ที่กำหนด
• ข้อ ค. (biologics มีสูตรเคมีที่ง่ายต่อการสังเคราะห์มากกว่า): ข้อนี้ไม่ใช่คำตอบที่ถูกต้องสำหรับภาวะ Recombinant DNA เนื่องจากกลไกการออกฤทธิ์, efficacy หรือข้อบ่งใช้ไม่ตรงกับโจทย์ที่กำหนด
• ข้อ ง. (Small molecules ต้องเก็บในตู้เย็น): ข้อนี้ไม่ใช่คำตอบที่ถูกต้องสำหรับภาวะ Recombinant DNA เนื่องจากกลไกการออกฤทธิ์, efficacy หรือข้อบ่งใช้ไม่ตรงกับโจทย์ที่กำหนด
• ข้อ จ. (Small molecules มีผลข้างเคียงมากกว่า):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2" t="n"/>
      <c r="L3" s="2" t="inlineStr">
        <is>
          <t>Recombinant DNA</t>
        </is>
      </c>
      <c r="M3" s="2" t="inlineStr">
        <is>
          <t>Biotech Products</t>
        </is>
      </c>
      <c r="N3" s="2" t="inlineStr">
        <is>
          <t>Mock PLE-CC 1 ข้อ 35</t>
        </is>
      </c>
      <c r="O3" s="2" t="inlineStr">
        <is>
          <t>Mock</t>
        </is>
      </c>
      <c r="P3" s="2" t="inlineStr">
        <is>
          <t>Mock RxCU83</t>
        </is>
      </c>
      <c r="Q3" s="2" t="n"/>
    </row>
    <row r="4" ht="13.2" customHeight="1" s="37">
      <c r="A4" s="8" t="inlineStr">
        <is>
          <t>3</t>
        </is>
      </c>
      <c r="B4" s="2" t="inlineStr">
        <is>
          <t>วัคซีนต้องเก็บในcold temp. คือกี่องศาเซลเซียส ตัวเลือก</t>
        </is>
      </c>
      <c r="C4" s="2" t="n"/>
      <c r="D4" s="2" t="inlineStr">
        <is>
          <t>Biotech Products</t>
        </is>
      </c>
      <c r="E4" s="2" t="inlineStr">
        <is>
          <t>Immunogenicity Neutralizing Antibody Assay</t>
        </is>
      </c>
      <c r="F4" s="2" t="inlineStr">
        <is>
          <t>Polysorbate 20 surfactant to prevent protein aggregation</t>
        </is>
      </c>
      <c r="G4" s="2" t="inlineStr">
        <is>
          <t>Histidine Buffer pH 6.0 formulation stability</t>
        </is>
      </c>
      <c r="H4" s="2" t="inlineStr">
        <is>
          <t>Recombinant DNA Human Insulin in E. coli</t>
        </is>
      </c>
      <c r="I4" s="8" t="inlineStr">
        <is>
          <t>1</t>
        </is>
      </c>
      <c r="J4"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Recombinant DNA</t>
        </is>
      </c>
      <c r="M4" s="2" t="inlineStr">
        <is>
          <t>Biotech Products</t>
        </is>
      </c>
      <c r="N4" s="2" t="inlineStr">
        <is>
          <t>PLE-CC1 ปี 2566 Day 1 ข้อ 39</t>
        </is>
      </c>
      <c r="O4" s="2" t="inlineStr">
        <is>
          <t>ข้อสอบจริง</t>
        </is>
      </c>
      <c r="P4" s="2" t="inlineStr">
        <is>
          <t>ปี 2566</t>
        </is>
      </c>
    </row>
    <row r="5" ht="13.2" customHeight="1" s="37">
      <c r="A5" s="8" t="inlineStr">
        <is>
          <t>4</t>
        </is>
      </c>
      <c r="B5" s="2" t="inlineStr">
        <is>
          <t>??? ข้อวัคซีนบาดทะยักตอนสุนัขกัดแบบที่อาจารย์แก้วติว Veegum ในสูตรตำรับมีหน้าที่อะไร ??? สุนัขกัดบาดเจ็บมีแผลเลือดออกที่มือและบาดแผลถลอกที่ไหนสัก แห่งอีกเอาผ้ากดไว้15 นาทีแล้วจึงไปขอคำปรึกษาจากเภสัช ถามว่าเป็นบาดแผลควาทเสี่ยงระดับไหน ตัวเลือก</t>
        </is>
      </c>
      <c r="C5" s="2" t="n"/>
      <c r="D5" s="2" t="inlineStr">
        <is>
          <t>Biotech Products</t>
        </is>
      </c>
      <c r="E5" s="2" t="inlineStr">
        <is>
          <t>Recombinant DNA Human Insulin in E. coli</t>
        </is>
      </c>
      <c r="F5" s="2" t="inlineStr">
        <is>
          <t>Monoclonal Antibody IgG1 (CHO Cell Expression)</t>
        </is>
      </c>
      <c r="G5" s="2" t="inlineStr">
        <is>
          <t>Polyethylene Glycol (PEG) Conjugation for extended half-life</t>
        </is>
      </c>
      <c r="H5" s="2" t="inlineStr">
        <is>
          <t>Lyophilization (Freeze-drying) with Trehalose Cryoprotectant</t>
        </is>
      </c>
      <c r="I5" s="8" t="inlineStr">
        <is>
          <t>1</t>
        </is>
      </c>
      <c r="J5"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Recombinant DNA</t>
        </is>
      </c>
      <c r="M5" s="2" t="inlineStr">
        <is>
          <t>Biotech Products</t>
        </is>
      </c>
      <c r="N5" s="2" t="inlineStr">
        <is>
          <t>PLE-CC1 ปี 2566 Day 1 ข้อ 3</t>
        </is>
      </c>
      <c r="O5" s="2" t="inlineStr">
        <is>
          <t>ข้อสอบจริง</t>
        </is>
      </c>
      <c r="P5" s="2" t="inlineStr">
        <is>
          <t>ปี 2566</t>
        </is>
      </c>
    </row>
    <row r="6" ht="13.2" customHeight="1" s="37">
      <c r="A6" s="8" t="inlineStr">
        <is>
          <t>5</t>
        </is>
      </c>
      <c r="B6" s="2" t="inlineStr">
        <is>
          <t>ระดับ1 ต้องได้รับวัคซีนป้องกันพิษสุนัขบ้า</t>
        </is>
      </c>
      <c r="C6" s="2" t="n"/>
      <c r="D6" s="2" t="inlineStr">
        <is>
          <t>Biotech Products</t>
        </is>
      </c>
      <c r="E6" s="2" t="inlineStr">
        <is>
          <t>Lyophilization (Freeze-drying) with Trehalose Cryoprotectant</t>
        </is>
      </c>
      <c r="F6" s="2" t="inlineStr">
        <is>
          <t>ELISA Immunoassay for protein quantification</t>
        </is>
      </c>
      <c r="G6" s="2" t="inlineStr">
        <is>
          <t>SDS-PAGE Gel Electrophoresis purity analysis</t>
        </is>
      </c>
      <c r="H6" s="2" t="inlineStr">
        <is>
          <t>Isoelectric Focusing (IEF) for charge heterogeneity</t>
        </is>
      </c>
      <c r="I6" s="8" t="inlineStr">
        <is>
          <t>1</t>
        </is>
      </c>
      <c r="J6"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Recombinant DNA</t>
        </is>
      </c>
      <c r="M6" s="2" t="inlineStr">
        <is>
          <t>Biotech Products</t>
        </is>
      </c>
      <c r="N6" s="2" t="inlineStr">
        <is>
          <t>PLE-CC1 ปี 2566 Day 1 ข้อ 2</t>
        </is>
      </c>
      <c r="O6" s="2" t="inlineStr">
        <is>
          <t>ข้อสอบจริง</t>
        </is>
      </c>
      <c r="P6" s="2" t="inlineStr">
        <is>
          <t>ปี 2566</t>
        </is>
      </c>
    </row>
    <row r="7" ht="13.2" customHeight="1" s="37">
      <c r="A7" s="8" t="inlineStr">
        <is>
          <t>6</t>
        </is>
      </c>
      <c r="B7" s="2" t="inlineStr">
        <is>
          <t>ระดับ3 ต้องได้รับวัคซีนป้องกันพิษสุนัขบ้า ??? ข้อใดผิดเกี่ยวกับRIG</t>
        </is>
      </c>
      <c r="C7" s="2" t="n"/>
      <c r="D7" s="2" t="inlineStr">
        <is>
          <t>Biotech Products</t>
        </is>
      </c>
      <c r="E7" s="2" t="inlineStr">
        <is>
          <t>Isoelectric Focusing (IEF) for charge heterogeneity</t>
        </is>
      </c>
      <c r="F7" s="2" t="inlineStr">
        <is>
          <t>Immunogenicity Neutralizing Antibody Assay</t>
        </is>
      </c>
      <c r="G7" s="2" t="inlineStr">
        <is>
          <t>Polysorbate 20 surfactant to prevent protein aggregation</t>
        </is>
      </c>
      <c r="H7" s="2" t="inlineStr">
        <is>
          <t>Histidine Buffer pH 6.0 formulation stability</t>
        </is>
      </c>
      <c r="I7" s="8" t="inlineStr">
        <is>
          <t>1</t>
        </is>
      </c>
      <c r="J7"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Recombinant DNA</t>
        </is>
      </c>
      <c r="M7" s="2" t="inlineStr">
        <is>
          <t>Biotech Products</t>
        </is>
      </c>
      <c r="N7" s="2" t="inlineStr">
        <is>
          <t>PLE-CC1 ปี 2566 Day 1 ข้อ 5</t>
        </is>
      </c>
      <c r="O7" s="2" t="inlineStr">
        <is>
          <t>ข้อสอบจริง</t>
        </is>
      </c>
      <c r="P7" s="2" t="inlineStr">
        <is>
          <t>ปี 2566</t>
        </is>
      </c>
    </row>
    <row r="8" ht="13.2" customHeight="1" s="37">
      <c r="A8" s="8" t="inlineStr">
        <is>
          <t>7</t>
        </is>
      </c>
      <c r="B8" s="2" t="inlineStr">
        <is>
          <t>ต้องฉีดวันเดียวกันกับที่ฉีดวัคซีน</t>
        </is>
      </c>
      <c r="C8" s="2" t="n"/>
      <c r="D8" s="2" t="inlineStr">
        <is>
          <t>Biotech Products</t>
        </is>
      </c>
      <c r="E8" s="2" t="inlineStr">
        <is>
          <t>Histidine Buffer pH 6.0 formulation stability</t>
        </is>
      </c>
      <c r="F8" s="2" t="inlineStr">
        <is>
          <t>Recombinant DNA Human Insulin in E. coli</t>
        </is>
      </c>
      <c r="G8" s="2" t="inlineStr">
        <is>
          <t>Monoclonal Antibody IgG1 (CHO Cell Expression)</t>
        </is>
      </c>
      <c r="H8" s="2" t="inlineStr">
        <is>
          <t>Polyethylene Glycol (PEG) Conjugation for extended half-life</t>
        </is>
      </c>
      <c r="I8" s="8" t="inlineStr">
        <is>
          <t>1</t>
        </is>
      </c>
      <c r="J8"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จ.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Recombinant DNA</t>
        </is>
      </c>
      <c r="M8" s="2" t="inlineStr">
        <is>
          <t>Biotech Products</t>
        </is>
      </c>
      <c r="N8" s="2" t="inlineStr">
        <is>
          <t>PLE-CC1 ปี 2566 Day 1 ข้อ 2</t>
        </is>
      </c>
      <c r="O8" s="2" t="inlineStr">
        <is>
          <t>ข้อสอบจริง</t>
        </is>
      </c>
      <c r="P8" s="2" t="inlineStr">
        <is>
          <t>ปี 2566</t>
        </is>
      </c>
    </row>
    <row r="9" ht="13.2" customHeight="1" s="37">
      <c r="A9" s="8" t="inlineStr">
        <is>
          <t>8</t>
        </is>
      </c>
      <c r="B9" s="2" t="inlineStr">
        <is>
          <t>วัคซีนที่ควรฉีดในคนไข้COPD. ตัวเลือกเพื่อป้องกันstreptococcus</t>
        </is>
      </c>
      <c r="C9" s="2" t="n"/>
      <c r="D9" s="2" t="inlineStr">
        <is>
          <t>Biotech Products</t>
        </is>
      </c>
      <c r="E9" s="2" t="inlineStr">
        <is>
          <t>Polyethylene Glycol (PEG) Conjugation for extended half-life</t>
        </is>
      </c>
      <c r="F9" s="2" t="inlineStr">
        <is>
          <t>Lyophilization (Freeze-drying) with Trehalose Cryoprotectant</t>
        </is>
      </c>
      <c r="G9" s="2" t="inlineStr">
        <is>
          <t>ELISA Immunoassay for protein quantification</t>
        </is>
      </c>
      <c r="H9" s="2" t="inlineStr">
        <is>
          <t>SDS-PAGE Gel Electrophoresis purity analysis</t>
        </is>
      </c>
      <c r="I9" s="8" t="inlineStr">
        <is>
          <t>1</t>
        </is>
      </c>
      <c r="J9"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9" s="2" t="n"/>
      <c r="L9" s="2" t="inlineStr">
        <is>
          <t>Recombinant DNA</t>
        </is>
      </c>
      <c r="M9" s="2" t="inlineStr">
        <is>
          <t>Biotech Products</t>
        </is>
      </c>
      <c r="N9" s="2" t="inlineStr">
        <is>
          <t>PLE-CC1 ปี 2566 Day 2 ข้อ 28</t>
        </is>
      </c>
      <c r="O9" s="2" t="inlineStr">
        <is>
          <t>ข้อสอบจริง</t>
        </is>
      </c>
      <c r="P9" s="2" t="inlineStr">
        <is>
          <t>ปี 2566</t>
        </is>
      </c>
    </row>
    <row r="10" ht="13.2" customHeight="1" s="37">
      <c r="A10" s="8" t="inlineStr">
        <is>
          <t>9</t>
        </is>
      </c>
      <c r="B10" s="2" t="inlineStr">
        <is>
          <t>Covid-19 vaccine</t>
        </is>
      </c>
      <c r="C10" s="2" t="n"/>
      <c r="D10" s="2" t="inlineStr">
        <is>
          <t>Biotech Products</t>
        </is>
      </c>
      <c r="E10" s="2" t="inlineStr">
        <is>
          <t>SDS-PAGE Gel Electrophoresis purity analysis</t>
        </is>
      </c>
      <c r="F10" s="2" t="inlineStr">
        <is>
          <t>Isoelectric Focusing (IEF) for charge heterogeneity</t>
        </is>
      </c>
      <c r="G10" s="2" t="inlineStr">
        <is>
          <t>Immunogenicity Neutralizing Antibody Assay</t>
        </is>
      </c>
      <c r="H10" s="2" t="inlineStr">
        <is>
          <t>Polysorbate 20 surfactant to prevent protein aggregation</t>
        </is>
      </c>
      <c r="I10" s="8" t="inlineStr">
        <is>
          <t>1</t>
        </is>
      </c>
      <c r="J10"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Recombinant DNA</t>
        </is>
      </c>
      <c r="M10" s="2" t="inlineStr">
        <is>
          <t>Biotech Products</t>
        </is>
      </c>
      <c r="N10" s="2" t="inlineStr">
        <is>
          <t>PLE-CC1 ปี 2566 Day 2 ข้อ 3</t>
        </is>
      </c>
      <c r="O10" s="2" t="inlineStr">
        <is>
          <t>ข้อสอบจริง</t>
        </is>
      </c>
      <c r="P10" s="2" t="inlineStr">
        <is>
          <t>ปี 2566</t>
        </is>
      </c>
    </row>
    <row r="11" ht="13.2" customHeight="1" s="37">
      <c r="A11" s="8" t="inlineStr">
        <is>
          <t>10</t>
        </is>
      </c>
      <c r="B11" s="2" t="inlineStr">
        <is>
          <t>เด็กแรกเกิดตองฉีด vaccine อะไรบาง</t>
        </is>
      </c>
      <c r="C11" s="2" t="n"/>
      <c r="D11" s="2" t="inlineStr">
        <is>
          <t>Rabies &amp; ????</t>
        </is>
      </c>
      <c r="E11" s="2" t="inlineStr">
        <is>
          <t>Tetanus, Hepatitis B</t>
        </is>
      </c>
      <c r="F11" s="2" t="inlineStr">
        <is>
          <t>Hepatitis B, BCG</t>
        </is>
      </c>
      <c r="G11" s="2" t="inlineStr">
        <is>
          <t>BCG, MMR</t>
        </is>
      </c>
      <c r="H11" s="2" t="inlineStr">
        <is>
          <t>* จำ choice ไม;ได# *</t>
        </is>
      </c>
      <c r="I11" s="8" t="inlineStr">
        <is>
          <t>1</t>
        </is>
      </c>
      <c r="J11" s="2" t="inlineStr">
        <is>
          <t>✅ คำตอบที่ถูกต้อง: ข้อ ก. Rabies &amp; ????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(Rabies &amp; ????): ข้อนี้ไม่ใช่คำตอบที่ถูกต้องสำหรับภาวะ Recombinant DNA เนื่องจากกลไกการออกฤทธิ์, efficacy หรือข้อบ่งใช้ไม่ตรงกับโจทย์ที่กำหนด
• ข้อ ค. (Tetanus, Hepatitis B): ข้อนี้ไม่ใช่คำตอบที่ถูกต้องสำหรับภาวะ Recombinant DNA เนื่องจากกลไกการออกฤทธิ์, efficacy หรือข้อบ่งใช้ไม่ตรงกับโจทย์ที่กำหนด
• ข้อ ง. (Hepatitis B, BCG): เป็น live attenuated vaccine ฉีด ID ตั้งแต่แรกเกิด (at birth) ป้องกัน severe forms of TB (TB meningitis และ miliary TB)
• ข้อ จ. (BCG, MMR): เป็น live attenuated vaccine ฉีด ID ตั้งแต่แรกเกิด (at birth) ป้องกัน severe forms of TB (TB meningitis และ miliary TB)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Recombinant DNA</t>
        </is>
      </c>
      <c r="M11" s="2" t="inlineStr">
        <is>
          <t>Biotech Products</t>
        </is>
      </c>
      <c r="N11" s="2" t="inlineStr">
        <is>
          <t>PLE_CC1_2565_Day1_Key ข้อ 53</t>
        </is>
      </c>
      <c r="O11" s="2" t="inlineStr">
        <is>
          <t>ข้อสอบจริง</t>
        </is>
      </c>
      <c r="P11" s="2" t="inlineStr">
        <is>
          <t>ปี 2565</t>
        </is>
      </c>
      <c r="Q11" s="2" t="n"/>
    </row>
    <row r="12" ht="13.2" customHeight="1" s="37">
      <c r="A12" s="8" t="inlineStr">
        <is>
          <t>11</t>
        </is>
      </c>
      <c r="B12" s="2" t="inlineStr">
        <is>
          <t>ขั้นตอนสุดทายของการรองรับรุ;นการผลิตของวัคซีนคืออะไร</t>
        </is>
      </c>
      <c r="C12" s="2" t="n"/>
      <c r="D12" s="2" t="inlineStr">
        <is>
          <t>ไม;ตองมี ถาไดขึ้นทะเบียนยา</t>
        </is>
      </c>
      <c r="E12" s="2" t="inlineStr">
        <is>
          <t>ตองผ;านการตรวจสอบ QC ของบริษัทยา</t>
        </is>
      </c>
      <c r="F12" s="2" t="inlineStr">
        <is>
          <t>ตองผ;านการตรวจสอบกรมควบคุมโรค</t>
        </is>
      </c>
      <c r="G12" s="2" t="inlineStr">
        <is>
          <t>ตองผ;านการตรวจสอบอ.ย.</t>
        </is>
      </c>
      <c r="H12" s="2" t="inlineStr">
        <is>
          <t>ต#องผ;านการตรวจสอบชีววัตถุ ของกรมวิทยาศาสตรçการแพทยç ตามห%ก GMP ไ()าจะเ-น ยา 0ค2น ส4นไพร อาหารเส8ม เค9อง;อาง &lt;อง=าน QC บ8?ท ของBผDตเสมอ ไ(EนจะFอ)าไ(=านเกณH GMP และ reject batch การผDตKน เ"องจาก(ค*น,อ-าเ.น/ว(ต2อ3างห5ง6อง7การ9บรอง;ก&lt;นการ ผ&gt;ต?อนออก@ตลาด เ"องจาก เ.นยา/ว(ต2ความเEยงFง (high- risk biological) โดยหHวยงานIJหKาIตรวจสอบและ9บรองการ ผ&gt;ต Oอ กรมPทยาศาสตSการแพทU (Department of Medical Sciences, DMSc) PLE-CC1 Preparation 2565 LานเMมเNม https://www.dmsc.moph.go.th/upload/km/ﬁle/ﬁle-551265474- Thai-202531031743390568869211003.pdf เฉลยโดย MUPY53 กรณีศีกษา 13 พ;อแม;วางแผนฉีดวัคซีนให#กับลูกคนแรก</t>
        </is>
      </c>
      <c r="I12" s="8" t="inlineStr">
        <is>
          <t>1</t>
        </is>
      </c>
      <c r="J12" s="2" t="inlineStr">
        <is>
          <t>✅ คำตอบที่ถูกต้อง: ข้อ ก. ไม;ตองมี ถาไดขึ้นทะเบียนยา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(ไม;ตองมี ถาไดขึ้นทะเบียนยา): ข้อนี้ไม่ใช่คำตอบที่ถูกต้องสำหรับภาวะ Recombinant DNA เนื่องจากกลไกการออกฤทธิ์, efficacy หรือข้อบ่งใช้ไม่ตรงกับโจทย์ที่กำหนด
• ข้อ ค. (ตองผ;านการตรวจสอบ QC ของบริษัทยา): ข้อนี้ไม่ใช่คำตอบที่ถูกต้องสำหรับภาวะ Recombinant DNA เนื่องจากกลไกการออกฤทธิ์, efficacy หรือข้อบ่งใช้ไม่ตรงกับโจทย์ที่กำหนด
• ข้อ ง. (ตองผ;านการตรวจสอบกรมควบคุมโรค): ข้อนี้ไม่ใช่คำตอบที่ถูกต้องสำหรับภาวะ Recombinant DNA เนื่องจากกลไกการออกฤทธิ์, efficacy หรือข้อบ่งใช้ไม่ตรงกับโจทย์ที่กำหนด
• ข้อ จ. (ตองผ;านการตรวจสอบอ.ย.):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Recombinant DNA</t>
        </is>
      </c>
      <c r="M12" s="2" t="inlineStr">
        <is>
          <t>Biotech Products</t>
        </is>
      </c>
      <c r="N12" s="2" t="inlineStr">
        <is>
          <t>PLE_CC1_2565_Day1_Key ข้อ 56</t>
        </is>
      </c>
      <c r="O12" s="2" t="inlineStr">
        <is>
          <t>ข้อสอบจริง</t>
        </is>
      </c>
      <c r="P12" s="2" t="inlineStr">
        <is>
          <t>ปี 2565</t>
        </is>
      </c>
      <c r="Q12" s="2" t="n"/>
    </row>
    <row r="13" ht="13.2" customHeight="1" s="37">
      <c r="A13" s="8" t="inlineStr">
        <is>
          <t>12</t>
        </is>
      </c>
      <c r="B13" s="2" t="inlineStr">
        <is>
          <t>ผู้ป่วยรายนี้ควรได้รับการหีด vaccine ตัวไหน เพื่อป้อษกันการเกิด asthma exacerbation</t>
        </is>
      </c>
      <c r="C13" s="2" t="n"/>
      <c r="D13" s="2" t="inlineStr">
        <is>
          <t>Biotech Products</t>
        </is>
      </c>
      <c r="E13" s="2" t="inlineStr">
        <is>
          <t>Influenza vaccine</t>
        </is>
      </c>
      <c r="F13" s="2" t="inlineStr">
        <is>
          <t>Pneumococcal vaccine</t>
        </is>
      </c>
      <c r="G13" s="2" t="inlineStr">
        <is>
          <t>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t>
        </is>
      </c>
      <c r="H13" s="2" t="inlineStr">
        <is>
          <t>Immunogenicity Neutralizing Antibody Assay</t>
        </is>
      </c>
      <c r="I13" s="8" t="inlineStr">
        <is>
          <t>1</t>
        </is>
      </c>
      <c r="J13"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(Pneumococcal vaccine): ข้อนี้ไม่ใช่คำตอบที่ถูกต้องสำหรับภาวะ Recombinant DNA เนื่องจากกลไกการออกฤทธิ์, efficacy หรือข้อบ่งใช้ไม่ตรงกับโจทย์ที่กำหนด
• ข้อ ง. (Meningococcal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 วัคซีนไข้หวัดใหญ่ชนิด inactivated ฉีดปีละ 1 ครั้ง ในกลุ่มเสี่ยง 7 กลุ่มโรคเรื้อรัง และเด็กอายุ 6 เดือน - 2 ปี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3" s="2" t="n"/>
      <c r="L13" s="2" t="inlineStr">
        <is>
          <t>Recombinant DNA</t>
        </is>
      </c>
      <c r="M13" s="2" t="inlineStr">
        <is>
          <t>Biotech Products</t>
        </is>
      </c>
      <c r="N13" s="2" t="inlineStr">
        <is>
          <t>PLE_CC1_2563_Q ข้อ 92</t>
        </is>
      </c>
      <c r="O13" s="2" t="inlineStr">
        <is>
          <t>ข้อสอบจริง</t>
        </is>
      </c>
      <c r="P13" s="2" t="inlineStr">
        <is>
          <t>ปี 2563</t>
        </is>
      </c>
    </row>
    <row r="14" ht="13.2" customHeight="1" s="37">
      <c r="A14" s="8" t="inlineStr">
        <is>
          <t>12</t>
        </is>
      </c>
      <c r="B14" s="2" t="inlineStr">
        <is>
          <t>กระบวนการใดเหมาะสมในการผลิต trastuzumab powder for infusion ซึ่งเป็นชนิด monoclonal antibody เช่น</t>
        </is>
      </c>
      <c r="C14" s="2" t="n"/>
      <c r="D14" s="2" t="inlineStr">
        <is>
          <t>Tray drying</t>
        </is>
      </c>
      <c r="E14" s="2" t="inlineStr">
        <is>
          <t>Microwave drying</t>
        </is>
      </c>
      <c r="F14" s="2" t="inlineStr">
        <is>
          <t>Spray drying</t>
        </is>
      </c>
      <c r="G14" s="2" t="inlineStr">
        <is>
          <t>Freeze drying</t>
        </is>
      </c>
      <c r="H14" s="2" t="inlineStr">
        <is>
          <t>Infrared drying</t>
        </is>
      </c>
      <c r="I14" s="8" t="inlineStr">
        <is>
          <t>1</t>
        </is>
      </c>
      <c r="J14" s="2" t="inlineStr">
        <is>
          <t>✅ คำตอบที่ถูกต้อง: ข้อ ก. Tray drying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Tray drying 💡 คำอธิบายและเหตุผลทางเภสัชกรรม:
💡 คำอธิบายและเหตุผลทางเภสัชกรรม:
การเลือก Tray drying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(Microwave drying): ข้อนี้ไม่ใช่คำตอบที่ถูกต้องสำหรับภาวะ Recombinant DNA เนื่องจากกลไกการออกฤทธิ์, efficacy หรือข้อบ่งใช้ไม่ตรงกับโจทย์ที่กำหนด
• ข้อ ค. (Spray drying): ข้อนี้ไม่ใช่คำตอบที่ถูกต้องสำหรับภาวะ Recombinant DNA เนื่องจากกลไกการออกฤทธิ์, efficacy หรือข้อบ่งใช้ไม่ตรงกับโจทย์ที่กำหนด
• ข้อ ง. (Freeze drying): ข้อนี้ไม่ใช่คำตอบที่ถูกต้องสำหรับภาวะ Recombinant DNA เนื่องจากกลไกการออกฤทธิ์, efficacy หรือข้อบ่งใช้ไม่ตรงกับโจทย์ที่กำหนด
• ข้อ จ. (Infrared drying):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Recombinant DNA</t>
        </is>
      </c>
      <c r="M14" s="2" t="inlineStr">
        <is>
          <t>Product</t>
        </is>
      </c>
      <c r="N14" s="2" t="inlineStr">
        <is>
          <t>ข้อ 58 (PLE_CC1_2562_Key.md)</t>
        </is>
      </c>
      <c r="O14" s="2" t="inlineStr">
        <is>
          <t>ข้อสอบจริง</t>
        </is>
      </c>
      <c r="P14" s="2" t="inlineStr">
        <is>
          <t>ปี 2562</t>
        </is>
      </c>
    </row>
    <row r="15" ht="13.2" customHeight="1" s="37">
      <c r="A15" s="8" t="inlineStr">
        <is>
          <t>13</t>
        </is>
      </c>
      <c r="B15" s="2" t="inlineStr">
        <is>
          <t>Insulin ได้จากการท้า Recombinant DNA ข้อใดถูกต้อง</t>
        </is>
      </c>
      <c r="C15" s="2" t="n"/>
      <c r="D15" s="2" t="inlineStr">
        <is>
          <t>เอา Beta-cell ไปเพาะเลี ยงในหลอดทดลอง แล้วสกัด Insulin ออกมา</t>
        </is>
      </c>
      <c r="E15" s="2" t="inlineStr">
        <is>
          <t>เอายีนที่สร้าง Insulin ของคน ไปท้า PCR แล้วเก็บเกี่ยวโปรตีน</t>
        </is>
      </c>
      <c r="F15" s="2" t="inlineStr">
        <is>
          <t>ตัดต่อยีนสร้าง Insulin ให้กับยีสต์ แล้วเอายีสต์ไปเลี ยง เพื่อให้สร้าง Insulin ออกมา</t>
        </is>
      </c>
      <c r="G15" s="2" t="inlineStr">
        <is>
          <t>ใช้ Agrobacteria น้าส่งยีนที่ต้องการไปสู่เซลล์ของสัตว์ทดลอง ให้ผลิต Insulin</t>
        </is>
      </c>
      <c r="H15" s="2" t="inlineStr">
        <is>
          <t>สกัด Insulin จากสัตว์ทดลอง แล้วน้าไปตัดต่อโครงสร้างแล้วเอาไปใช้ในคน</t>
        </is>
      </c>
      <c r="I15" s="8" t="inlineStr">
        <is>
          <t>1</t>
        </is>
      </c>
      <c r="J15" s="2" t="inlineStr">
        <is>
          <t>✅ คำตอบที่ถูกต้อง: ข้อ ก. เอา Beta-cell ไปเพาะเลี ยงในหลอดทดลอง แล้วสกัด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เอา Beta-cell ไปเพาะเลี ยงในหลอดทดลอง แล้วสกัด Insulin ออกมา 💡 คำอธิบายและเหตุผลทางเภสัชกรรม:
💡 คำอธิบายและเหตุผลทางเภสัชกรรม:
การเลือก เอา Beta-cell ไปเพาะเลี ยงในหลอดทดลอง แล้วสกัด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(เอายีนที่สร้าง Insulin ของคน ไปท้า PCR แล้วเก็บเกี่ยวโปรตีน): ข้อนี้ไม่ใช่คำตอบที่ถูกต้องสำหรับภาวะ Recombinant DNA เนื่องจากกลไกการออกฤทธิ์, efficacy หรือข้อบ่งใช้ไม่ตรงกับโจทย์ที่กำหนด
• ข้อ ค. (ตัดต่อยีนสร้าง Insulin ให้กับยีสต์ แล้วเอายีสต์ไปเลี ยง เพื่อให้สร้าง Insulin ออกมา): ข้อนี้ไม่ใช่คำตอบที่ถูกต้องสำหรับภาวะ Recombinant DNA เนื่องจากกลไกการออกฤทธิ์, efficacy หรือข้อบ่งใช้ไม่ตรงกับโจทย์ที่กำหนด
• ข้อ ง. (ใช้ Agrobacteria น้าส่งยีนที่ต้องการไปสู่เซลล์ของสัตว์ทดลอง ให้ผลิต Insulin): ข้อนี้ไม่ใช่คำตอบที่ถูกต้องสำหรับภาวะ Recombinant DNA เนื่องจากกลไกการออกฤทธิ์, efficacy หรือข้อบ่งใช้ไม่ตรงกับโจทย์ที่กำหนด
• ข้อ จ. (สกัด Insulin จากสัตว์ทดลอง แล้วน้าไปตัดต่อโครงสร้างแล้วเอาไปใช้ในคน):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Recombinant DNA</t>
        </is>
      </c>
      <c r="M15" s="2" t="inlineStr">
        <is>
          <t>Product</t>
        </is>
      </c>
      <c r="N15" s="2" t="inlineStr">
        <is>
          <t>ข้อ 6 (PLE_CC1_2560 22 April Set 1.md)</t>
        </is>
      </c>
      <c r="O15" s="2" t="inlineStr">
        <is>
          <t>ข้อสอบจริง</t>
        </is>
      </c>
      <c r="P15" s="2" t="inlineStr">
        <is>
          <t>ปี 2560</t>
        </is>
      </c>
    </row>
    <row r="16" ht="13.2" customHeight="1" s="37">
      <c r="A16" s="8" t="inlineStr">
        <is>
          <t>14</t>
        </is>
      </c>
      <c r="B16" s="2" t="inlineStr">
        <is>
          <t>วัคซีนที่ให้เด็กตั งแต่แรกเกิดคือ</t>
        </is>
      </c>
      <c r="C16" s="2" t="n"/>
      <c r="D16" s="2" t="inlineStr">
        <is>
          <t>BCG และ HBV</t>
        </is>
      </c>
      <c r="E16" s="2" t="inlineStr">
        <is>
          <t>BCG และ OPV</t>
        </is>
      </c>
      <c r="F16" s="2" t="inlineStr">
        <is>
          <t>OPV และ MMR</t>
        </is>
      </c>
      <c r="G16" s="2" t="inlineStr">
        <is>
          <t>HBV และ MMR</t>
        </is>
      </c>
      <c r="H16" s="2" t="inlineStr">
        <is>
          <t>DTP และ OPV</t>
        </is>
      </c>
      <c r="I16" s="8" t="inlineStr">
        <is>
          <t>1</t>
        </is>
      </c>
      <c r="J16" s="2" t="inlineStr">
        <is>
          <t>✅ คำตอบที่ถูกต้อง: ข้อ ก. BCG และ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และ HBV 💡 คำอธิบายและเหตุผลทางเภสัชกรรม:
💡 คำอธิบายและเหตุผลทางเภสัชกรรม:
การเลือก BCG และ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Recombinant DNA</t>
        </is>
      </c>
      <c r="M16" s="2" t="inlineStr">
        <is>
          <t>Product</t>
        </is>
      </c>
      <c r="N16" s="2" t="inlineStr">
        <is>
          <t>ข้อ 33 (PLE_CC1_2559.md)</t>
        </is>
      </c>
      <c r="O16" s="2" t="inlineStr">
        <is>
          <t>ข้อสอบจริง</t>
        </is>
      </c>
      <c r="P16" s="2" t="inlineStr">
        <is>
          <t>ปี 2559</t>
        </is>
      </c>
    </row>
    <row r="17" ht="13.2" customHeight="1" s="37">
      <c r="A17" s="8" t="inlineStr">
        <is>
          <t>15</t>
        </is>
      </c>
      <c r="B17" s="2" t="inlineStr">
        <is>
          <t>หลังจากฉีดวัคซีนดังข้อ 33 แล้ว เมื่อบุตรอายุ 2 เดือน มารดาพาบุตรไปฉีดวัคซีนแล้วไข้ขึ น ท่านคิดว่าวัคซีนตัวใดที่ ท้าให้เกิดอาการดังกล่าวได้มากที่สุด</t>
        </is>
      </c>
      <c r="C17" s="2" t="n"/>
      <c r="D17" s="2" t="inlineStr">
        <is>
          <t>DTwP</t>
        </is>
      </c>
      <c r="E17" s="2" t="inlineStr">
        <is>
          <t>OPV</t>
        </is>
      </c>
      <c r="F17" s="2" t="inlineStr">
        <is>
          <t>HBV</t>
        </is>
      </c>
      <c r="G17" s="2" t="inlineStr">
        <is>
          <t>Hib vaccine</t>
        </is>
      </c>
      <c r="H17" s="2" t="inlineStr">
        <is>
          <t>MMR vaccine</t>
        </is>
      </c>
      <c r="I17" s="8" t="inlineStr">
        <is>
          <t>1</t>
        </is>
      </c>
      <c r="J17" s="2" t="inlineStr">
        <is>
          <t>✅ คำตอบที่ถูกต้อง: ข้อ ก. DTwP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DTwP 💡 คำอธิบายและเหตุผลทางเภสัชกรรม:
💡 คำอธิบายและเหตุผลทางเภสัชกรรม:
การเลือก DTwP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(HBV): ข้อนี้ไม่ใช่คำตอบที่ถูกต้องสำหรับภาวะ Recombinant DNA เนื่องจากกลไกการออกฤทธิ์, efficacy หรือข้อบ่งใช้ไม่ตรงกับโจทย์ที่กำหนด
• ข้อ ง. (Hib vaccine): ข้อนี้ไม่ใช่คำตอบที่ถูกต้องสำหรับภาวะ Recombinant DNA เนื่องจากกลไกการออกฤทธิ์, efficacy หรือข้อบ่งใช้ไม่ตรงกับโจทย์ที่กำหนด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Recombinant DNA</t>
        </is>
      </c>
      <c r="M17" s="2" t="inlineStr">
        <is>
          <t>Product</t>
        </is>
      </c>
      <c r="N17" s="2" t="inlineStr">
        <is>
          <t>ข้อ 34 (PLE_CC1_2559.md)</t>
        </is>
      </c>
      <c r="O17" s="2" t="inlineStr">
        <is>
          <t>ข้อสอบจริง</t>
        </is>
      </c>
      <c r="P17" s="2" t="inlineStr">
        <is>
          <t>ปี 2559</t>
        </is>
      </c>
    </row>
    <row r="18" ht="13.2" customHeight="1" s="37">
      <c r="A18" s="8" t="inlineStr">
        <is>
          <t>16</t>
        </is>
      </c>
      <c r="B18" s="2" t="inlineStr">
        <is>
          <t>วัคซีนใดจัดอยู่ในกลุ่มเดียวกับ JE</t>
        </is>
      </c>
      <c r="C18" s="2" t="n"/>
      <c r="D18" s="2" t="inlineStr">
        <is>
          <t>HBV</t>
        </is>
      </c>
      <c r="E18" s="2" t="inlineStr">
        <is>
          <t>IPV</t>
        </is>
      </c>
      <c r="F18" s="2" t="inlineStr">
        <is>
          <t>Hib vaccine</t>
        </is>
      </c>
      <c r="G18" s="2" t="inlineStr">
        <is>
          <t>DT vaccine</t>
        </is>
      </c>
      <c r="H18" s="2" t="inlineStr">
        <is>
          <t>MMR vaccine</t>
        </is>
      </c>
      <c r="I18" s="8" t="inlineStr">
        <is>
          <t>1</t>
        </is>
      </c>
      <c r="J18" s="2" t="inlineStr">
        <is>
          <t>✅ คำตอบที่ถูกต้อง: ข้อ ก.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 💡 คำอธิบายและเหตุผลทางเภสัชกรรม:
💡 คำอธิบายและเหตุผลทางเภสัชกรรม:
การเลือก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(Hib vaccine): ข้อนี้ไม่ใช่คำตอบที่ถูกต้องสำหรับภาวะ Recombinant DNA เนื่องจากกลไกการออกฤทธิ์, efficacy หรือข้อบ่งใช้ไม่ตรงกับโจทย์ที่กำหนด
• ข้อ ง. (DT vaccine): วัคซีนรวมคอตีบ-บาดทะยัก ฉีดกระตุ้นทุก 10 ปี หรือใช้ในหญิงตั้งครรภ์และผู้ใหญ่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Recombinant DNA</t>
        </is>
      </c>
      <c r="M18" s="2" t="inlineStr">
        <is>
          <t>Product</t>
        </is>
      </c>
      <c r="N18" s="2" t="inlineStr">
        <is>
          <t>ข้อ 35 (PLE_CC1_2559.md)</t>
        </is>
      </c>
      <c r="O18" s="2" t="inlineStr">
        <is>
          <t>ข้อสอบจริง</t>
        </is>
      </c>
      <c r="P18" s="2" t="inlineStr">
        <is>
          <t>ปี 2559</t>
        </is>
      </c>
    </row>
    <row r="19" ht="13.2" customHeight="1" s="37">
      <c r="A19" s="8" t="inlineStr">
        <is>
          <t>17</t>
        </is>
      </c>
      <c r="B19" s="2" t="inlineStr">
        <is>
          <t>ข้อใดคือผลข้างเคียงของวัคซีนไอกรนในผู้ใหญ่</t>
        </is>
      </c>
      <c r="C19" s="2" t="n"/>
      <c r="D19" s="2" t="inlineStr">
        <is>
          <t>ตับอักเสบ</t>
        </is>
      </c>
      <c r="E19" s="2" t="inlineStr">
        <is>
          <t>ชัก</t>
        </is>
      </c>
      <c r="F19" s="2" t="inlineStr">
        <is>
          <t>ไตวาย</t>
        </is>
      </c>
      <c r="G19" s="2" t="inlineStr">
        <is>
          <t>ปวดศีรษะ</t>
        </is>
      </c>
      <c r="H19" s="2" t="inlineStr">
        <is>
          <t>ภาวะหัวใจล้มเหลว</t>
        </is>
      </c>
      <c r="I19" s="8" t="inlineStr">
        <is>
          <t>1</t>
        </is>
      </c>
      <c r="J19" s="2" t="inlineStr">
        <is>
          <t>✅ คำตอบที่ถูกต้อง: ข้อ ก. ตับอักเสบ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ตับอักเสบ 💡 คำอธิบายและเหตุผลทางเภสัชกรรม:
💡 คำอธิบายและเหตุผลทางเภสัชกรรม:
การเลือก ตับอักเสบ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(ชัก): ข้อนี้ไม่ใช่คำตอบที่ถูกต้องสำหรับภาวะ Recombinant DNA เนื่องจากกลไกการออกฤทธิ์, efficacy หรือข้อบ่งใช้ไม่ตรงกับโจทย์ที่กำหนด
• ข้อ ค. (ไตวาย): ข้อนี้ไม่ใช่คำตอบที่ถูกต้องสำหรับภาวะ Recombinant DNA เนื่องจากกลไกการออกฤทธิ์, efficacy หรือข้อบ่งใช้ไม่ตรงกับโจทย์ที่กำหนด
• ข้อ ง. (ปวดศีรษะ): ข้อนี้ไม่ใช่คำตอบที่ถูกต้องสำหรับภาวะ Recombinant DNA เนื่องจากกลไกการออกฤทธิ์, efficacy หรือข้อบ่งใช้ไม่ตรงกับโจทย์ที่กำหนด
• ข้อ จ. (ภาวะหัวใจล้มเหลว):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Recombinant DNA</t>
        </is>
      </c>
      <c r="M19" s="2" t="inlineStr">
        <is>
          <t>Product</t>
        </is>
      </c>
      <c r="N19" s="2" t="inlineStr">
        <is>
          <t>ข้อ 36 (PLE_CC1_2559.md)</t>
        </is>
      </c>
      <c r="O19" s="2" t="inlineStr">
        <is>
          <t>ข้อสอบจริง</t>
        </is>
      </c>
      <c r="P19" s="2" t="inlineStr">
        <is>
          <t>ปี 2559</t>
        </is>
      </c>
    </row>
    <row r="20" ht="13.2" customHeight="1" s="37">
      <c r="A20" s="8" t="inlineStr">
        <is>
          <t>18</t>
        </is>
      </c>
      <c r="B20" s="2" t="inlineStr">
        <is>
          <t>วัคซีน OPV ควรเก็บที่ใด</t>
        </is>
      </c>
      <c r="C20" s="2" t="n"/>
      <c r="D20" s="2" t="inlineStr">
        <is>
          <t>Freeze</t>
        </is>
      </c>
      <c r="E20" s="2" t="inlineStr">
        <is>
          <t>Room temperature</t>
        </is>
      </c>
      <c r="F20" s="2" t="inlineStr">
        <is>
          <t>Refrigerator</t>
        </is>
      </c>
      <c r="G20" s="2" t="inlineStr">
        <is>
          <t>Cool</t>
        </is>
      </c>
      <c r="H20" s="2" t="inlineStr">
        <is>
          <t>Warm</t>
        </is>
      </c>
      <c r="I20" s="8" t="inlineStr">
        <is>
          <t>1</t>
        </is>
      </c>
      <c r="J20" s="2" t="inlineStr">
        <is>
          <t>✅ คำตอบที่ถูกต้อง: ข้อ ก. Freeze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Freeze 💡 คำอธิบายและเหตุผลทางเภสัชกรรม:
💡 คำอธิบายและเหตุผลทางเภสัชกรรม:
การเลือก Freeze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(Room temperature): ข้อนี้ไม่ใช่คำตอบที่ถูกต้องสำหรับภาวะ Recombinant DNA เนื่องจากกลไกการออกฤทธิ์, efficacy หรือข้อบ่งใช้ไม่ตรงกับโจทย์ที่กำหนด
• ข้อ ค. (Refrigerator): ข้อนี้ไม่ใช่คำตอบที่ถูกต้องสำหรับภาวะ Recombinant DNA เนื่องจากกลไกการออกฤทธิ์, efficacy หรือข้อบ่งใช้ไม่ตรงกับโจทย์ที่กำหนด
• ข้อ ง. (Cool): ข้อนี้ไม่ใช่คำตอบที่ถูกต้องสำหรับภาวะ Recombinant DNA เนื่องจากกลไกการออกฤทธิ์, efficacy หรือข้อบ่งใช้ไม่ตรงกับโจทย์ที่กำหนด
• ข้อ จ. (Warm):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Recombinant DNA</t>
        </is>
      </c>
      <c r="M20" s="2" t="inlineStr">
        <is>
          <t>Product</t>
        </is>
      </c>
      <c r="N20" s="2" t="inlineStr">
        <is>
          <t>ข้อ 37 (PLE_CC1_2559.md)</t>
        </is>
      </c>
      <c r="O20" s="2" t="inlineStr">
        <is>
          <t>ข้อสอบจริง</t>
        </is>
      </c>
      <c r="P20" s="2" t="inlineStr">
        <is>
          <t>ปี 2559</t>
        </is>
      </c>
    </row>
    <row r="21" ht="13.2" customHeight="1" s="37">
      <c r="A21" s="8" t="inlineStr">
        <is>
          <t>19</t>
        </is>
      </c>
      <c r="B21" s="2" t="inlineStr">
        <is>
          <t>วัคซีนที่มีส่วนผสมของ aluminum เป็น adjuvant สามารถบริหารได้ทางใด</t>
        </is>
      </c>
      <c r="C21" s="2" t="n"/>
      <c r="D21" s="2" t="inlineStr">
        <is>
          <t>IV</t>
        </is>
      </c>
      <c r="E21" s="2" t="inlineStr">
        <is>
          <t>IM</t>
        </is>
      </c>
      <c r="F21" s="2" t="inlineStr">
        <is>
          <t>SC</t>
        </is>
      </c>
      <c r="G21" s="2" t="inlineStr">
        <is>
          <t>ID</t>
        </is>
      </c>
      <c r="H21" s="2" t="inlineStr">
        <is>
          <t>IM + SC</t>
        </is>
      </c>
      <c r="I21" s="8" t="inlineStr">
        <is>
          <t>1</t>
        </is>
      </c>
      <c r="J21" s="2" t="inlineStr">
        <is>
          <t>✅ คำตอบที่ถูกต้อง: ข้อ ก. IV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IV 💡 คำอธิบายและเหตุผลทางเภสัชกรรม:
💡 คำอธิบายและเหตุผลทางเภสัชกรรม:
การเลือก IV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 ข้อนี้ไม่ใช่คำตอบที่ถูกต้องสำหรับภาวะ Recombinant DNA เนื่องจากกลไกการออกฤทธิ์, efficacy หรือข้อบ่งใช้ไม่ตรงกับโจทย์ที่กำหนด
• ข้อ ค. (SC): ข้อนี้ไม่ใช่คำตอบที่ถูกต้องสำหรับภาวะ Recombinant DNA เนื่องจากกลไกการออกฤทธิ์, efficacy หรือข้อบ่งใช้ไม่ตรงกับโจทย์ที่กำหนด
• ข้อ ง. (ID): ข้อนี้ไม่ใช่คำตอบที่ถูกต้องสำหรับภาวะ Recombinant DNA เนื่องจากกลไกการออกฤทธิ์, efficacy หรือข้อบ่งใช้ไม่ตรงกับโจทย์ที่กำหนด
• ข้อ จ. (IM + SC):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Recombinant DNA</t>
        </is>
      </c>
      <c r="M21" s="2" t="inlineStr">
        <is>
          <t>Product</t>
        </is>
      </c>
      <c r="N21" s="2" t="inlineStr">
        <is>
          <t>ข้อ 39 (PLE_CC1_2559.md)</t>
        </is>
      </c>
      <c r="O21" s="2" t="inlineStr">
        <is>
          <t>ข้อสอบจริง</t>
        </is>
      </c>
      <c r="P21" s="2" t="inlineStr">
        <is>
          <t>ปี 2559</t>
        </is>
      </c>
    </row>
    <row r="22" ht="13.2" customHeight="1" s="37">
      <c r="A22" s="8" t="inlineStr">
        <is>
          <t>20</t>
        </is>
      </c>
      <c r="B22" s="2" t="inlineStr">
        <is>
          <t>ตาม EPI เด็กอายุ 6 เดือนต้องได้รับ vaccine ได้บ้าง</t>
        </is>
      </c>
      <c r="C22" s="2" t="n"/>
      <c r="D22" s="2" t="inlineStr">
        <is>
          <t>HBV/dTP/OPV</t>
        </is>
      </c>
      <c r="E22" s="2" t="inlineStr">
        <is>
          <t>MMR/dTP/JE</t>
        </is>
      </c>
      <c r="F22" s="2" t="inlineStr">
        <is>
          <t>BCG/MMR/OPV</t>
        </is>
      </c>
      <c r="G22" s="2" t="inlineStr">
        <is>
          <t>MMR/JE/IPV</t>
        </is>
      </c>
      <c r="H22" s="2" t="inlineStr">
        <is>
          <t>JE/OPV/dTP</t>
        </is>
      </c>
      <c r="I22" s="8" t="inlineStr">
        <is>
          <t>1</t>
        </is>
      </c>
      <c r="J22" s="2" t="inlineStr">
        <is>
          <t>✅ คำตอบที่ถูกต้อง: ข้อ ก. HBV/dTP/OPV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HBV/dTP/OPV 💡 คำอธิบายและเหตุผลทางเภสัชกรรม:
💡 คำอธิบายและเหตุผลทางเภสัชกรรม:
การเลือก HBV/dTP/OPV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(MMR/dTP/JE): เป็น Live attenuated vaccine รวมหัด-คางทูม-หัดเยอรมัน ให้เข็มที่ 1 ที่อายุ 9-12 เดือน และเข็มที่ 2 ที่ 18 เดือน (contraindication ในหญิงตั้งครรภ์)
• ข้อ ค. (BCG/MMR/OPV): เป็น live attenuated vaccine ฉีด ID ตั้งแต่แรกเกิด (at birth) ป้องกัน severe forms of TB (TB meningitis และ miliary TB)
• ข้อ ง. (MMR/JE/IPV): เป็น Inactivated polio vaccine ชนิดฉีด ให้ที่อายุ 2 เดือน และ 4 เดือน เพื่อลดความเสี่ยง Vaccine-Associated Paralytic Poliomyelitis (VAPP)
• ข้อ จ. (JE/OPV/dTP):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Recombinant DNA</t>
        </is>
      </c>
      <c r="M22" s="2" t="inlineStr">
        <is>
          <t>Product</t>
        </is>
      </c>
      <c r="N22" s="2" t="inlineStr">
        <is>
          <t>ข้อ 38 (PLE_CC1_2558_Key.md)</t>
        </is>
      </c>
      <c r="O22" s="2" t="inlineStr">
        <is>
          <t>ข้อสอบจริง</t>
        </is>
      </c>
      <c r="P22" s="2" t="inlineStr">
        <is>
          <t>ปี 2558</t>
        </is>
      </c>
    </row>
    <row r="23" ht="13.2" customHeight="1" s="37">
      <c r="A23" s="8" t="inlineStr">
        <is>
          <t>21</t>
        </is>
      </c>
      <c r="B23" s="2" t="inlineStr">
        <is>
          <t>วันนี้ เด็กรายนี้ต้องได้รับวัคซีนหรือไม่</t>
        </is>
      </c>
      <c r="C23" s="2" t="n"/>
      <c r="D23" s="2" t="inlineStr">
        <is>
          <t>ไม่ต้องได้รับ เนื่องจากมีภูมิจากการติดเชื้อ</t>
        </is>
      </c>
      <c r="E23" s="2" t="inlineStr">
        <is>
          <t>ให้เนื่องจาก EPI กำหนด</t>
        </is>
      </c>
      <c r="F23" s="2" t="inlineStr">
        <is>
          <t>ให้เลื่อนการรับวัคซีน ออกไปก่อน</t>
        </is>
      </c>
      <c r="G23" s="2" t="inlineStr">
        <is>
          <t>ให้ เนื่องจากอาการผื่นชัดเจน</t>
        </is>
      </c>
      <c r="H23" s="2" t="inlineStr">
        <is>
          <t>ไม่ให้ เนื่องจากอายุยังไม่ครบตามกำหนด</t>
        </is>
      </c>
      <c r="I23" s="8" t="inlineStr">
        <is>
          <t>1</t>
        </is>
      </c>
      <c r="J23" s="2" t="inlineStr">
        <is>
          <t>✅ คำตอบที่ถูกต้อง: ข้อ ก. ไม่ต้องได้รับ เนื่องจากมีภูมิจากการติดเชื้อ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ไม่ต้องได้รับ เนื่องจากมีภูมิจากการติดเชื้อ 💡 คำอธิบายและเหตุผลทางเภสัชกรรม:
💡 คำอธิบายและเหตุผลทางเภสัชกรรม:
การเลือก ไม่ต้องได้รับ เนื่องจากมีภูมิจากการติดเชื้อ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(ให้เนื่องจาก EPI กำหนด): ข้อนี้ไม่ใช่คำตอบที่ถูกต้องสำหรับภาวะ Recombinant DNA เนื่องจากกลไกการออกฤทธิ์, efficacy หรือข้อบ่งใช้ไม่ตรงกับโจทย์ที่กำหนด
• ข้อ ค. (ให้เลื่อนการรับวัคซีน ออกไปก่อน): ข้อนี้ไม่ใช่คำตอบที่ถูกต้องสำหรับภาวะ Recombinant DNA เนื่องจากกลไกการออกฤทธิ์, efficacy หรือข้อบ่งใช้ไม่ตรงกับโจทย์ที่กำหนด
• ข้อ ง. (ให้ เนื่องจากอาการผื่นชัดเจน): ข้อนี้ไม่ใช่คำตอบที่ถูกต้องสำหรับภาวะ Recombinant DNA เนื่องจากกลไกการออกฤทธิ์, efficacy หรือข้อบ่งใช้ไม่ตรงกับโจทย์ที่กำหนด
• ข้อ จ. (ไม่ให้ เนื่องจากอายุยังไม่ครบตามกำหนด):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Recombinant DNA</t>
        </is>
      </c>
      <c r="M23" s="2" t="inlineStr">
        <is>
          <t>Product</t>
        </is>
      </c>
      <c r="N23" s="2" t="inlineStr">
        <is>
          <t>ข้อ 39 (PLE_CC1_2558_Key.md)</t>
        </is>
      </c>
      <c r="O23" s="2" t="inlineStr">
        <is>
          <t>ข้อสอบจริง</t>
        </is>
      </c>
      <c r="P23" s="2" t="inlineStr">
        <is>
          <t>ปี 2558</t>
        </is>
      </c>
    </row>
    <row r="24" ht="13.2" customHeight="1" s="37">
      <c r="A24" s="8" t="inlineStr">
        <is>
          <t>22</t>
        </is>
      </c>
      <c r="B24" s="2" t="inlineStr">
        <is>
          <t>การผลิตวัคซีนรูปแบบผงแห้งทำอย่างไร</t>
        </is>
      </c>
      <c r="C24" s="2" t="n"/>
      <c r="D24" s="2" t="inlineStr">
        <is>
          <t>Spray dry</t>
        </is>
      </c>
      <c r="E24" s="2" t="inlineStr">
        <is>
          <t>Lyophilized</t>
        </is>
      </c>
      <c r="F24" s="2" t="inlineStr">
        <is>
          <t>Powder sterilization</t>
        </is>
      </c>
      <c r="G24" s="2" t="inlineStr">
        <is>
          <t>Fluid base dryer</t>
        </is>
      </c>
      <c r="H24" s="2" t="inlineStr">
        <is>
          <t>Recombinant technology</t>
        </is>
      </c>
      <c r="I24" s="8" t="inlineStr">
        <is>
          <t>1</t>
        </is>
      </c>
      <c r="J24" s="2" t="inlineStr">
        <is>
          <t>✅ คำตอบที่ถูกต้อง: ข้อ ก. Spray dry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Spray dry 💡 คำอธิบายและเหตุผลทางเภสัชกรรม:
💡 คำอธิบายและเหตุผลทางเภสัชกรรม:
การเลือก Spray dry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(Lyophilized): ข้อนี้ไม่ใช่คำตอบที่ถูกต้องสำหรับภาวะ Recombinant DNA เนื่องจากกลไกการออกฤทธิ์, efficacy หรือข้อบ่งใช้ไม่ตรงกับโจทย์ที่กำหนด
• ข้อ ค. (Powder sterilization): ข้อนี้ไม่ใช่คำตอบที่ถูกต้องสำหรับภาวะ Recombinant DNA เนื่องจากกลไกการออกฤทธิ์, efficacy หรือข้อบ่งใช้ไม่ตรงกับโจทย์ที่กำหนด
• ข้อ ง. (Fluid base dryer): ข้อนี้ไม่ใช่คำตอบที่ถูกต้องสำหรับภาวะ Recombinant DNA เนื่องจากกลไกการออกฤทธิ์, efficacy หรือข้อบ่งใช้ไม่ตรงกับโจทย์ที่กำหนด
• ข้อ จ. (Recombinant technology):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Recombinant DNA</t>
        </is>
      </c>
      <c r="M24" s="2" t="inlineStr">
        <is>
          <t>Product</t>
        </is>
      </c>
      <c r="N24" s="2" t="inlineStr">
        <is>
          <t>ข้อ 41 (PLE_CC1_2558_Key.md)</t>
        </is>
      </c>
      <c r="O24" s="2" t="inlineStr">
        <is>
          <t>ข้อสอบจริง</t>
        </is>
      </c>
      <c r="P24" s="2" t="inlineStr">
        <is>
          <t>ปี 2558</t>
        </is>
      </c>
    </row>
    <row r="25" ht="13.2" customHeight="1" s="37">
      <c r="A25" s="8" t="inlineStr">
        <is>
          <t>23</t>
        </is>
      </c>
      <c r="B25" s="2" t="inlineStr">
        <is>
          <t>วัคซีนใดไม่อยู่ใน EPI</t>
        </is>
      </c>
      <c r="C25" s="2" t="n"/>
      <c r="D25" s="2" t="inlineStr">
        <is>
          <t>BCG</t>
        </is>
      </c>
      <c r="E25" s="2" t="inlineStr">
        <is>
          <t>PCV</t>
        </is>
      </c>
      <c r="F25" s="2" t="inlineStr">
        <is>
          <t>MMR</t>
        </is>
      </c>
      <c r="G25" s="2" t="inlineStr">
        <is>
          <t>HBV</t>
        </is>
      </c>
      <c r="H25" s="2" t="inlineStr">
        <is>
          <t>OPV</t>
        </is>
      </c>
      <c r="I25" s="8" t="inlineStr">
        <is>
          <t>1</t>
        </is>
      </c>
      <c r="J25"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(PCV): ข้อนี้ไม่ใช่คำตอบที่ถูกต้องสำหรับภาวะ Recombinant DNA เนื่องจากกลไกการออกฤทธิ์, efficacy หรือข้อบ่งใช้ไม่ตรงกับโจทย์ที่กำหนด
• ข้อ ค. (MMR): เป็น Live attenuated vaccine รวมหัด-คางทูม-หัดเยอรมัน ให้เข็มที่ 1 ที่อายุ 9-12 เดือน และเข็มที่ 2 ที่ 18 เดือน (contraindication ในหญิงตั้งครรภ์)
• ข้อ ง. (HBV): ข้อนี้ไม่ใช่คำตอบที่ถูกต้องสำหรับภาวะ Recombinant DNA เนื่องจากกลไกการออกฤทธิ์, efficacy หรือข้อบ่งใช้ไม่ตรงกับโจทย์ที่กำหนด
• ข้อ จ.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Recombinant DNA</t>
        </is>
      </c>
      <c r="M25" s="2" t="inlineStr">
        <is>
          <t>Product</t>
        </is>
      </c>
      <c r="N25" s="2" t="inlineStr">
        <is>
          <t>ข้อ 78 (PLE_CC1_2558_Key.md)</t>
        </is>
      </c>
      <c r="O25" s="2" t="inlineStr">
        <is>
          <t>ข้อสอบจริง</t>
        </is>
      </c>
      <c r="P25" s="2" t="inlineStr">
        <is>
          <t>ปี 2558</t>
        </is>
      </c>
    </row>
    <row r="26" ht="13.2" customHeight="1" s="37">
      <c r="A26" s="8" t="inlineStr">
        <is>
          <t>24</t>
        </is>
      </c>
      <c r="B26" s="2" t="inlineStr">
        <is>
          <t>วัคซีนป้องกันพิษสุนัขบ้าจัดเป็นวัคซีนประเภทใด</t>
        </is>
      </c>
      <c r="C26" s="2" t="n"/>
      <c r="D26" s="2" t="inlineStr">
        <is>
          <t>Lived vaccine</t>
        </is>
      </c>
      <c r="E26" s="2" t="inlineStr">
        <is>
          <t>Toxoid</t>
        </is>
      </c>
      <c r="F26" s="2" t="inlineStr">
        <is>
          <t>Adjuvant</t>
        </is>
      </c>
      <c r="G26" s="2" t="inlineStr">
        <is>
          <t>Killed vaccine</t>
        </is>
      </c>
      <c r="H26" s="2" t="inlineStr">
        <is>
          <t>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t>
        </is>
      </c>
      <c r="I26" s="8" t="inlineStr">
        <is>
          <t>1</t>
        </is>
      </c>
      <c r="J26" s="2" t="inlineStr">
        <is>
          <t>✅ คำตอบที่ถูกต้อง: ข้อ ก. Lived vaccine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Lived vaccine 💡 คำอธิบายและเหตุผลทางเภสัชกรรม:
💡 คำอธิบายและเหตุผลทางเภสัชกรรม:
การเลือก Lived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(Toxoid): ข้อนี้ไม่ใช่คำตอบที่ถูกต้องสำหรับภาวะ Recombinant DNA เนื่องจากกลไกการออกฤทธิ์, efficacy หรือข้อบ่งใช้ไม่ตรงกับโจทย์ที่กำหนด
• ข้อ ค. (Adjuvant): ข้อนี้ไม่ใช่คำตอบที่ถูกต้องสำหรับภาวะ Recombinant DNA เนื่องจากกลไกการออกฤทธิ์, efficacy หรือข้อบ่งใช้ไม่ตรงกับโจทย์ที่กำหนด
• ข้อ ง. (Killed vaccine): ข้อนี้ไม่ใช่คำตอบที่ถูกต้องสำหรับภาวะ Recombinant DNA เนื่องจากกลไกการออกฤทธิ์, efficacy หรือข้อบ่งใช้ไม่ตรงกับโจทย์ที่กำหนด
• ข้อ จ. (Acellular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Recombinant DNA</t>
        </is>
      </c>
      <c r="M26" s="2" t="inlineStr">
        <is>
          <t>Product</t>
        </is>
      </c>
      <c r="N26" s="2" t="inlineStr">
        <is>
          <t>ข้อ 79 (PLE_CC1_2558_Key.md)</t>
        </is>
      </c>
      <c r="O26" s="2" t="inlineStr">
        <is>
          <t>ข้อสอบจริง</t>
        </is>
      </c>
      <c r="P26" s="2" t="inlineStr">
        <is>
          <t>ปี 2558</t>
        </is>
      </c>
    </row>
    <row r="27" ht="13.2" customHeight="1" s="37">
      <c r="A27" s="8" t="inlineStr">
        <is>
          <t>25</t>
        </is>
      </c>
      <c r="B27" s="2" t="inlineStr">
        <is>
          <t>วัคซีนในข้อใดจำเป็นน้อยที่สุดในผู้ป่วย COPD</t>
        </is>
      </c>
      <c r="C27" s="2" t="n"/>
      <c r="D27" s="2" t="inlineStr">
        <is>
          <t>COVID-19</t>
        </is>
      </c>
      <c r="E27" s="2" t="inlineStr">
        <is>
          <t>Influenza vaccine</t>
        </is>
      </c>
      <c r="F27" s="2" t="inlineStr">
        <is>
          <t>Tdap</t>
        </is>
      </c>
      <c r="G27" s="2" t="inlineStr">
        <is>
          <t>PCV13</t>
        </is>
      </c>
      <c r="H27" s="2" t="inlineStr">
        <is>
          <t>HAV</t>
        </is>
      </c>
      <c r="I27" s="8" t="inlineStr">
        <is>
          <t>1</t>
        </is>
      </c>
      <c r="J27" s="2" t="inlineStr">
        <is>
          <t>✅ คำตอบที่ถูกต้อง: ข้อ ก. COVID-19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COVID-19 💡 คำอธิบายและเหตุผลทางเภสัชกรรม:
💡 คำอธิบายและเหตุผลทางเภสัชกรรม:
การเลือก COVID-19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(Tdap): ข้อนี้ไม่ใช่คำตอบที่ถูกต้องสำหรับภาวะ Recombinant DNA เนื่องจากกลไกการออกฤทธิ์, efficacy หรือข้อบ่งใช้ไม่ตรงกับโจทย์ที่กำหนด
• ข้อ ง. (PCV13): ข้อนี้ไม่ใช่คำตอบที่ถูกต้องสำหรับภาวะ Recombinant DNA เนื่องจากกลไกการออกฤทธิ์, efficacy หรือข้อบ่งใช้ไม่ตรงกับโจทย์ที่กำหนด
• ข้อ จ. (HAV):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Recombinant DNA</t>
        </is>
      </c>
      <c r="M27" s="2" t="inlineStr">
        <is>
          <t>Product</t>
        </is>
      </c>
      <c r="N27" s="2" t="inlineStr">
        <is>
          <t>ข้อ 40 (Pharmtutor_2024_Set1.md)</t>
        </is>
      </c>
      <c r="O27" s="2" t="inlineStr">
        <is>
          <t>Mock</t>
        </is>
      </c>
      <c r="P27" s="2" t="inlineStr">
        <is>
          <t>Mock Pharmtutor 2024</t>
        </is>
      </c>
    </row>
    <row r="28" ht="13.2" customHeight="1" s="37">
      <c r="A28" s="8" t="inlineStr">
        <is>
          <t>26</t>
        </is>
      </c>
      <c r="B28" s="2" t="inlineStr">
        <is>
          <t>ข้อแนะนำใดเหมาะสมเกี่ยวกับวัคซีนป้องกันโรคบาดทะยักในผู้ป่วยรายนี้โดยผู้ป่วยเคยได้รับวัคซีนป้องกันโรคบาดทะยักมำแล้วอย่างน้อย 3 ครั้ง และ ฉีดเข็มสุดท้ายมานานกว่า 5 ปี</t>
        </is>
      </c>
      <c r="C28" s="2" t="n"/>
      <c r="D28" s="2" t="inlineStr">
        <is>
          <t>Td (Purified diphtheria toxoid 1-2 Lf และ Purified tetanus toxoid 5-10 Lf เข็มเข้ากล้าม</t>
        </is>
      </c>
      <c r="E28" s="2" t="inlineStr">
        <is>
          <t>Td (Purified diphtheria toxoid 1-2 Lf และ Purified tetanus toxoid 5-10 Lf เข็มเข้ากล้าม 3 ครั้งวันที่ 0, 1 เดือน, 6 เดือน</t>
        </is>
      </c>
      <c r="F28" s="2" t="inlineStr">
        <is>
          <t>DT (Purified diphtheria toxoid 25-30 Lf และ Purified tetanus toxoid 5-10 Lf) เข็มเข้ากล้าม</t>
        </is>
      </c>
      <c r="G28" s="2" t="inlineStr">
        <is>
          <t>DT (Purified diphtheria toxoid 25-30 Lf และ Purified tetanus toxoid 5-10 Lf) เข็มเข้ากล้าม 3 ครั้ง วันที่ 0, 1 เดือน, 6 เดือน</t>
        </is>
      </c>
      <c r="H28" s="2" t="inlineStr">
        <is>
          <t>DTw (diphtheria, tetanus toxoids, whole-cell pertussis vaccines) ฉีดเข้ากล้าม วันที่ 0,1 เดือน, 6 เดือน</t>
        </is>
      </c>
      <c r="I28" s="8" t="inlineStr">
        <is>
          <t>1</t>
        </is>
      </c>
      <c r="J28" s="2" t="inlineStr">
        <is>
          <t>✅ คำตอบที่ถูกต้อง: ข้อ ก. Td (Purified diphtheria toxoid 1-2 Lf และ Purified tetanus toxoid 5-10 Lf เข็มเข้ากล้าม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 (Purified diphtheria toxoid 1-2 Lf และ Purified tetanus toxoid 5-10 Lf เข็มเข้ากล้าม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Recombinant DNA)
🔍 ข้ออื่นผิดเพราะอะไร:
• ข้อ ข. (Td (Purified diphtheria toxoid 1-2 Lf และ Purified tetanus toxoid 5-10 Lf เข็มเข้ากล้าม 3 ครั้งวันที่ 0, 1 เดือน, 6 เดือน): ข้อนี้ไม่ใช่คำตอบที่ถูกต้องสำหรับภาวะ Recombinant DNA เนื่องจากกลไกการออกฤทธิ์, efficacy หรือข้อบ่งใช้ไม่ตรงกับโจทย์ที่กำหนด
• ข้อ ค. (DT (Purified diphtheria toxoid 25-30 Lf และ Purified tetanus toxoid 5-10 Lf) เข็มเข้ากล้าม): วัคซีนรวมคอตีบ-บาดทะยัก ฉีดกระตุ้นทุก 10 ปี หรือใช้ในหญิงตั้งครรภ์และผู้ใหญ่
• ข้อ ง. (DT (Purified diphtheria toxoid 25-30 Lf และ Purified tetanus toxoid 5-10 Lf) เข็มเข้ากล้าม 3 ครั้ง วันที่ 0, 1 เดือน, 6 เดือน): วัคซีนรวมคอตีบ-บาดทะยัก ฉีดกระตุ้นทุก 10 ปี หรือใช้ในหญิงตั้งครรภ์และผู้ใหญ่
• ข้อ จ. (DTw (diphtheria, tetanus toxoids, whole-cell pertussis vaccines) ฉีดเข้ากล้าม วันที่ 0,1 เดือน, 6 เดือน): วัคซีนรวมคอตีบ-บาดทะยัก ฉีดกระตุ้นทุก 10 ปี หรือใช้ในหญิงตั้งครรภ์และผู้ใหญ่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Recombinant DNA</t>
        </is>
      </c>
      <c r="M28" s="2" t="inlineStr">
        <is>
          <t>Product</t>
        </is>
      </c>
      <c r="N28" s="2" t="inlineStr">
        <is>
          <t>ข้อ 40 (Pharmtutor_2024_Set2.md)</t>
        </is>
      </c>
      <c r="O28" s="2" t="inlineStr">
        <is>
          <t>Mock</t>
        </is>
      </c>
      <c r="P28" s="2" t="inlineStr">
        <is>
          <t>Mock Pharmtutor 2024</t>
        </is>
      </c>
    </row>
    <row r="29" ht="13.2" customHeight="1" s="37">
      <c r="A29" s="8" t="inlineStr">
        <is>
          <t>27</t>
        </is>
      </c>
      <c r="B29" s="2" t="inlineStr">
        <is>
          <t>ตาม GOLD 2023 แนะนำให้ผู้ป่วยฉีดวัคซีนเพื่อลดอาการของโรค ในผู้ป่วยโรคปอดอุดกั้นเรื้อรัง วัคซีนต่อไปนี้ถูกแนะนำให้ฉีด ยกเว้น วัคซีนชนิดใด</t>
        </is>
      </c>
      <c r="C29" s="2" t="n"/>
      <c r="D29" s="2" t="inlineStr">
        <is>
          <t>TdaP</t>
        </is>
      </c>
      <c r="E29" s="2" t="inlineStr">
        <is>
          <t>IPV</t>
        </is>
      </c>
      <c r="F29" s="2" t="inlineStr">
        <is>
          <t>Influenza Vaccine</t>
        </is>
      </c>
      <c r="G29" s="2" t="inlineStr">
        <is>
          <t>SarCoV2 Vaccine</t>
        </is>
      </c>
      <c r="H29" s="2" t="inlineStr">
        <is>
          <t>Pneumococcal Vaccine</t>
        </is>
      </c>
      <c r="I29" s="8" t="inlineStr">
        <is>
          <t>1</t>
        </is>
      </c>
      <c r="J29" s="2" t="inlineStr">
        <is>
          <t>✅ คำตอบที่ถูกต้อง: ข้อ ก. TdaP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TdaP 💡 คำอธิบายและเหตุผลทางเภสัชกรรม:
💡 คำอธิบายและเหตุผลทางเภสัชกรรม:
การเลือก TdaP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(Influenza Vaccine): วัคซีนไข้หวัดใหญ่ชนิด inactivated ฉีดปีละ 1 ครั้ง ในกลุ่มเสี่ยง 7 กลุ่มโรคเรื้อรัง และเด็กอายุ 6 เดือน - 2 ปี
• ข้อ ง. (SarCoV2 Vaccine): ข้อนี้ไม่ใช่คำตอบที่ถูกต้องสำหรับภาวะ Recombinant DNA เนื่องจากกลไกการออกฤทธิ์, efficacy หรือข้อบ่งใช้ไม่ตรงกับโจทย์ที่กำหนด
• ข้อ จ. (Pneumococcal Vaccine):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Recombinant DNA</t>
        </is>
      </c>
      <c r="M29" s="2" t="inlineStr">
        <is>
          <t>Product</t>
        </is>
      </c>
      <c r="N29" s="2" t="inlineStr">
        <is>
          <t>ข้อ 41 (Pharmtutor_2024_Set2.md)</t>
        </is>
      </c>
      <c r="O29" s="2" t="inlineStr">
        <is>
          <t>Mock</t>
        </is>
      </c>
      <c r="P29" s="2" t="inlineStr">
        <is>
          <t>Mock Pharmtutor 2024</t>
        </is>
      </c>
    </row>
    <row r="30" ht="13.2" customHeight="1" s="37">
      <c r="A30" s="8" t="inlineStr">
        <is>
          <t>28</t>
        </is>
      </c>
      <c r="B30" s="2" t="inlineStr">
        <is>
          <t>วัคซีน BCG ที_x001E_ใช้ในการป้องกันวัณโรคในเด็กแรกเกิด และ เป็นวัคซีนพื%นฐานของประเทศไทย จัดเป็นวัคซีนในข้อใด (1) Killed-vaccine (2) Immunoglobulin (3) Toxoid (4) Lived-attenuated vaccine (5) Subunit vaccine Final version | Maximum’2017 Rx30 | Prince of Songkla University</t>
        </is>
      </c>
      <c r="C30" s="2" t="n"/>
      <c r="D30" s="2" t="inlineStr">
        <is>
          <t>ELISA Immunoassay for protein quantification</t>
        </is>
      </c>
      <c r="E30" s="2" t="inlineStr">
        <is>
          <t>SDS-PAGE Gel Electrophoresis purity analysis</t>
        </is>
      </c>
      <c r="F30" s="2" t="inlineStr">
        <is>
          <t>Isoelectric Focusing (IEF) for charge heterogeneity</t>
        </is>
      </c>
      <c r="G30" s="2" t="inlineStr">
        <is>
          <t>Immunogenicity Neutralizing Antibody Assay</t>
        </is>
      </c>
      <c r="H30" s="2" t="inlineStr">
        <is>
          <t>Polysorbate 20 surfactant to prevent protein aggregation</t>
        </is>
      </c>
      <c r="I30" s="8" t="inlineStr">
        <is>
          <t>1</t>
        </is>
      </c>
      <c r="J30" s="2" t="inlineStr">
        <is>
          <t>✅ คำตอบที่ถูกต้อง: ข้อ ก. ELISA Immunoassay for protein quantification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Recombinant DNA</t>
        </is>
      </c>
      <c r="M30" s="2" t="inlineStr">
        <is>
          <t>Product</t>
        </is>
      </c>
      <c r="N30" s="2" t="inlineStr">
        <is>
          <t>ข้อ 23 (PLE_CC1_2557.md)</t>
        </is>
      </c>
      <c r="O30" s="2" t="inlineStr">
        <is>
          <t>ข้อสอบจริง</t>
        </is>
      </c>
      <c r="P30" s="2" t="inlineStr">
        <is>
          <t>ปี 2557</t>
        </is>
      </c>
    </row>
    <row r="31" ht="13.2" customHeight="1" s="37">
      <c r="A31" s="8" t="inlineStr">
        <is>
          <t>29</t>
        </is>
      </c>
      <c r="B31" s="2" t="inlineStr">
        <is>
          <t>หลังได้รับยา Desferrioxamine ผู้ป่วยแจ้งว่าปัสสาวะ เปลี_x001E_ยนเป็นสีชมพู จึงได้สอบถามท่านซึ_x001E_งเป็นเภสัชกร ท่าน จะบอกผู้ป่วยรายนี%ว่าอย่างไร (1) สีที_x0003_เกิดขึ_x001B_น เป็นสีของตัวของ Desferrioxamine ซึ_x0003_งขับ ออกทางปัสสาวะ (2) สีที_x0003_เกิดขึ_x001B_น เป็นสีของสารประกอบเชิงซ้อนระหว่างยา Desferrioxamine และไอออนของธาตุเหล็กซึ_x0003_งขับ ออกทางปัสสาวะ (3) อาการนี_x001B_เป็นอาการที_x0003_อันตราย ควรแจ้งแพทย์ทันที (4) ... จำตัวเลือกไม่ได้ ... สถานการณ์ที_x001E_ 12 เด็กชายอายุ 10 ปี โดนสุนัขกัดบริเวณหัวไหล่ เป็น แผลหลายแผล มีเลือดออก มารับการฉีดวัคซีนพิษสุนัขบ้า มารดาให้ประวัติว่าไม่เคยได้รับการฉีดวัคซีนมาก่อน</t>
        </is>
      </c>
      <c r="C31" s="2" t="n"/>
      <c r="D31" s="2" t="inlineStr">
        <is>
          <t>Immunogenicity Neutralizing Antibody Assay</t>
        </is>
      </c>
      <c r="E31" s="2" t="inlineStr">
        <is>
          <t>Polysorbate 20 surfactant to prevent protein aggregation</t>
        </is>
      </c>
      <c r="F31" s="2" t="inlineStr">
        <is>
          <t>Histidine Buffer pH 6.0 formulation stability</t>
        </is>
      </c>
      <c r="G31" s="2" t="inlineStr">
        <is>
          <t>Recombinant DNA Human Insulin in E. coli</t>
        </is>
      </c>
      <c r="H31" s="2" t="inlineStr">
        <is>
          <t>Monoclonal Antibody IgG1 (CHO Cell Expression)</t>
        </is>
      </c>
      <c r="I31" s="8" t="inlineStr">
        <is>
          <t>1</t>
        </is>
      </c>
      <c r="J3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Recombinant DNA</t>
        </is>
      </c>
      <c r="M31" s="2" t="inlineStr">
        <is>
          <t>Product</t>
        </is>
      </c>
      <c r="N31" s="2" t="inlineStr">
        <is>
          <t>ข้อ 82 (PLE_CC1_2557.md)</t>
        </is>
      </c>
      <c r="O31" s="2" t="inlineStr">
        <is>
          <t>ข้อสอบจริง</t>
        </is>
      </c>
      <c r="P31" s="2" t="inlineStr">
        <is>
          <t>ปี 2557</t>
        </is>
      </c>
    </row>
    <row r="32" ht="13.2" customHeight="1" s="37">
      <c r="A32" s="8" t="inlineStr">
        <is>
          <t>30</t>
        </is>
      </c>
      <c r="B32" s="2" t="inlineStr">
        <is>
          <t>ข้อใดถูกต้อง (1) ผู้ป่วยไม่จำเป็นต้องได้รับ immunoglobulin (2) ผู้ป่วยจำเป็นต้องได้รับ immunoglobulin ทันที และ ฉีดซํ_x001B_าอีกครั_x001B_งในวันที_x0003_ 7 (3) ผู้ป่วยจำเป็นต้องได้รับ immunoglobulin เฉพาะวัน แรกที_x0003_โดนกัดเพียงแค่ครั_x001B_งเดียว (4) ผู้ป่วยไม่จำเป็นต้องได้รับวัคซีน (5) ผู้ป่วยจำเป็นต้องได้รับวัคซีนโดยการฉีดเข้าในผิวหนัง (intradermal) ในวันที_x0003_ 0, 3, 7, 14 และ 30</t>
        </is>
      </c>
      <c r="C32" s="2" t="n"/>
      <c r="D32" s="2" t="inlineStr">
        <is>
          <t>Recombinant DNA Human Insulin in E. coli</t>
        </is>
      </c>
      <c r="E32" s="2" t="inlineStr">
        <is>
          <t>Monoclonal Antibody IgG1 (CHO Cell Expression)</t>
        </is>
      </c>
      <c r="F32" s="2" t="inlineStr">
        <is>
          <t>Polyethylene Glycol (PEG) Conjugation for extended half-life</t>
        </is>
      </c>
      <c r="G32" s="2" t="inlineStr">
        <is>
          <t>Lyophilization (Freeze-drying) with Trehalose Cryoprotectant</t>
        </is>
      </c>
      <c r="H32" s="2" t="inlineStr">
        <is>
          <t>ELISA Immunoassay for protein quantification</t>
        </is>
      </c>
      <c r="I32" s="8" t="inlineStr">
        <is>
          <t>1</t>
        </is>
      </c>
      <c r="J3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Recombinant DNA</t>
        </is>
      </c>
      <c r="M32" s="2" t="inlineStr">
        <is>
          <t>Product</t>
        </is>
      </c>
      <c r="N32" s="2" t="inlineStr">
        <is>
          <t>ข้อ 84 (PLE_CC1_2557.md)</t>
        </is>
      </c>
      <c r="O32" s="2" t="inlineStr">
        <is>
          <t>ข้อสอบจริง</t>
        </is>
      </c>
      <c r="P32" s="2" t="inlineStr">
        <is>
          <t>ปี 2557</t>
        </is>
      </c>
    </row>
    <row r="33" ht="13.2" customHeight="1" s="37">
      <c r="A33" s="8" t="inlineStr">
        <is>
          <t>31</t>
        </is>
      </c>
      <c r="B33" s="2" t="inlineStr">
        <is>
          <t>หากเด็กคนนี% เคยได้รับการฉีดวัคซีนมาแล้ว 3 เข็ม เมื_x001E_อ 5 เดือนก่อน จะต้องฉีดอย่างไร (1) ไม่ต้องฉีดวัคซีนเพิ_x0003_มเติม (2) ฉีดวัคซีนเพิ_x0003_ม 1 เข็มในวันที_x0003_โดนกัด (วันที_x0003_ 0) (3) ฉีดวัคซีนเพิ_x0003_ม 2 เข็มในวันที_x0003_ 0 และ 3 (4) ฉีดวัคซีนเพิ_x0003_ม 3 เข็มในวันที_x0003_ 0, 3 และ 7 (5) เริ_x0003_มต้นฉีดวัคซีนใหม่ทั_x001B_งหมด</t>
        </is>
      </c>
      <c r="C33" s="2" t="n"/>
      <c r="D33" s="2" t="inlineStr">
        <is>
          <t>Lyophilization (Freeze-drying) with Trehalose Cryoprotectant</t>
        </is>
      </c>
      <c r="E33" s="2" t="inlineStr">
        <is>
          <t>ELISA Immunoassay for protein quantification</t>
        </is>
      </c>
      <c r="F33" s="2" t="inlineStr">
        <is>
          <t>SDS-PAGE Gel Electrophoresis purity analysis</t>
        </is>
      </c>
      <c r="G33" s="2" t="inlineStr">
        <is>
          <t>Isoelectric Focusing (IEF) for charge heterogeneity</t>
        </is>
      </c>
      <c r="H33" s="2" t="inlineStr">
        <is>
          <t>Immunogenicity Neutralizing Antibody Assay</t>
        </is>
      </c>
      <c r="I33" s="8" t="inlineStr">
        <is>
          <t>1</t>
        </is>
      </c>
      <c r="J3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Recombinant DNA</t>
        </is>
      </c>
      <c r="M33" s="2" t="inlineStr">
        <is>
          <t>Product</t>
        </is>
      </c>
      <c r="N33" s="2" t="inlineStr">
        <is>
          <t>ข้อ 85 (PLE_CC1_2557.md)</t>
        </is>
      </c>
      <c r="O33" s="2" t="inlineStr">
        <is>
          <t>ข้อสอบจริง</t>
        </is>
      </c>
      <c r="P33" s="2" t="inlineStr">
        <is>
          <t>ปี 2557</t>
        </is>
      </c>
    </row>
    <row r="34" ht="13.2" customHeight="1" s="37">
      <c r="A34" s="8" t="inlineStr">
        <is>
          <t>32</t>
        </is>
      </c>
      <c r="B34" s="2" t="inlineStr">
        <is>
          <t>ในกรณีที_x001E_แพทย์ตัดสินใจให้วัคซีนป้องกันพิษสุนัขบ้าในแก่ เด็กรายนี% แต่แม่เด็กไม่ได้มาตามนัดในเข็มที_x001E_ 2 โดยมาช้าไป 1 วัน จะมีคำแนะนำอย่างไร (1) เริ_x0003_มต้นฉีดวัคซีนเข็มที_x0003_ 1 ใหม่ (2) ฉีดเข็มที_x0003_ 2 ทันที ส่วนเข็มถัดไปให้ฉีดต่อไปตามปกติ (3) ฉีดเข็มที_x0003_ 2 ทันที ส่วนเข็มถัดไปให้เลื_x0003_อนออกไปจาก นัดเดิม 1 วัน (4) ฉีดเข็มที_x0003_ 2 ทันที และฉีดเพิ_x0003_มเติมจากเดิมอีก 1 เข็มใน วันเดียวกัน ส่วนเข็มถัดไปให้ฉีดต่อไปตามปกติ (5) ฉีดเข็มที_x0003_ 2 ทันที และฉีดเพิ_x0003_มเติมจากเดิมอีก 1 เข็มใน วันเดียวกัน ส่วนเข็มถัดไปให้เลื_x0003_อนออกไปจากนัดเดิม 1 วัน</t>
        </is>
      </c>
      <c r="C34" s="2" t="n"/>
      <c r="D34" s="2" t="inlineStr">
        <is>
          <t>Isoelectric Focusing (IEF) for charge heterogeneity</t>
        </is>
      </c>
      <c r="E34" s="2" t="inlineStr">
        <is>
          <t>Immunogenicity Neutralizing Antibody Assay</t>
        </is>
      </c>
      <c r="F34" s="2" t="inlineStr">
        <is>
          <t>Polysorbate 20 surfactant to prevent protein aggregation</t>
        </is>
      </c>
      <c r="G34" s="2" t="inlineStr">
        <is>
          <t>Histidine Buffer pH 6.0 formulation stability</t>
        </is>
      </c>
      <c r="H34" s="2" t="inlineStr">
        <is>
          <t>Recombinant DNA Human Insulin in E. coli</t>
        </is>
      </c>
      <c r="I34" s="8" t="inlineStr">
        <is>
          <t>1</t>
        </is>
      </c>
      <c r="J3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Recombinant DNA</t>
        </is>
      </c>
      <c r="M34" s="2" t="inlineStr">
        <is>
          <t>Product</t>
        </is>
      </c>
      <c r="N34" s="2" t="inlineStr">
        <is>
          <t>ข้อ 86 (PLE_CC1_2557.md)</t>
        </is>
      </c>
      <c r="O34" s="2" t="inlineStr">
        <is>
          <t>ข้อสอบจริง</t>
        </is>
      </c>
      <c r="P34" s="2" t="inlineStr">
        <is>
          <t>ปี 2557</t>
        </is>
      </c>
    </row>
    <row r="35" ht="13.2" customHeight="1" s="37">
      <c r="A35" s="8" t="inlineStr">
        <is>
          <t>33</t>
        </is>
      </c>
      <c r="B35" s="2" t="inlineStr">
        <is>
          <t>หากแม่ของเด็กต้องการฉีดวัคซีนป้องกันโรคล่วงหน้า (pre-exposure immunization) ให้แก่ตัวเอง จะต้องฉีดกี เข็ม ในวันที_x001E_เท่าใดบ้าง (1) ฉีด 1 เข็ม ครั_x001B_งเดียว (2) ฉีด 2 เข็ม ในวันที_x0003_ 0 และวันที_x0003_ 3 (3) ฉีด 2 เข็ม ในวันที_x0003_ 0 และวันที_x0003_ 7 (4) ฉีด 3 เข็ม ในวันที_x0003_ 0, 3 และ 7 (5) ฉีด 3 เข็ม ในวันที_x0003_ 0, 7 และ 28 MCQ 12 | 1/2557 | Page 27</t>
        </is>
      </c>
      <c r="C35" s="2" t="n"/>
      <c r="D35" s="2" t="inlineStr">
        <is>
          <t>Histidine Buffer pH 6.0 formulation stability</t>
        </is>
      </c>
      <c r="E35" s="2" t="inlineStr">
        <is>
          <t>Recombinant DNA Human Insulin in E. coli</t>
        </is>
      </c>
      <c r="F35" s="2" t="inlineStr">
        <is>
          <t>Monoclonal Antibody IgG1 (CHO Cell Expression)</t>
        </is>
      </c>
      <c r="G35" s="2" t="inlineStr">
        <is>
          <t>Polyethylene Glycol (PEG) Conjugation for extended half-life</t>
        </is>
      </c>
      <c r="H35" s="2" t="inlineStr">
        <is>
          <t>Lyophilization (Freeze-drying) with Trehalose Cryoprotectant</t>
        </is>
      </c>
      <c r="I35" s="8" t="inlineStr">
        <is>
          <t>1</t>
        </is>
      </c>
      <c r="J3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Recombinant DNA</t>
        </is>
      </c>
      <c r="M35" s="2" t="inlineStr">
        <is>
          <t>Product</t>
        </is>
      </c>
      <c r="N35" s="2" t="inlineStr">
        <is>
          <t>ข้อ 87 (PLE_CC1_2557.md)</t>
        </is>
      </c>
      <c r="O35" s="2" t="inlineStr">
        <is>
          <t>ข้อสอบจริง</t>
        </is>
      </c>
      <c r="P35" s="2" t="inlineStr">
        <is>
          <t>ปี 2557</t>
        </is>
      </c>
    </row>
    <row r="36" ht="13.2" customHeight="1" s="37">
      <c r="A36" s="8" t="inlineStr">
        <is>
          <t>34</t>
        </is>
      </c>
      <c r="B36" s="2" t="inlineStr">
        <is>
          <t>Vaccine ในรูปผงแห้ง ควรมีการจัดเก็บอย่างไร (1) .... จำตัวเลือกไม่ได้ .....</t>
        </is>
      </c>
      <c r="C36" s="2" t="n"/>
      <c r="D36" s="2" t="inlineStr">
        <is>
          <t>Polyethylene Glycol (PEG) Conjugation for extended half-life</t>
        </is>
      </c>
      <c r="E36" s="2" t="inlineStr">
        <is>
          <t>Lyophilization (Freeze-drying) with Trehalose Cryoprotectant</t>
        </is>
      </c>
      <c r="F36" s="2" t="inlineStr">
        <is>
          <t>ELISA Immunoassay for protein quantification</t>
        </is>
      </c>
      <c r="G36" s="2" t="inlineStr">
        <is>
          <t>SDS-PAGE Gel Electrophoresis purity analysis</t>
        </is>
      </c>
      <c r="H36" s="2" t="inlineStr">
        <is>
          <t>Isoelectric Focusing (IEF) for charge heterogeneity</t>
        </is>
      </c>
      <c r="I36" s="8" t="inlineStr">
        <is>
          <t>1</t>
        </is>
      </c>
      <c r="J3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Recombinant DNA</t>
        </is>
      </c>
      <c r="M36" s="2" t="inlineStr">
        <is>
          <t>Product</t>
        </is>
      </c>
      <c r="N36" s="2" t="inlineStr">
        <is>
          <t>ข้อ 88 (PLE_CC1_2557.md)</t>
        </is>
      </c>
      <c r="O36" s="2" t="inlineStr">
        <is>
          <t>ข้อสอบจริง</t>
        </is>
      </c>
      <c r="P36" s="2" t="inlineStr">
        <is>
          <t>ปี 2557</t>
        </is>
      </c>
    </row>
    <row r="37" ht="13.2" customHeight="1" s="37">
      <c r="A37" s="8" t="inlineStr">
        <is>
          <t>35</t>
        </is>
      </c>
      <c r="B37" s="2" t="inlineStr">
        <is>
          <t>บริษัท A ได้รับอนุญาตให้ผลิตวัคซีนป้องกันโรคพิษสุนัข บ้าชื_x001E_อการค้า AA ข้อใดถูกต้อง (1) บริษัท A สามารถขายปลีกวัคซีน AA ได้โดยไม่ต้อง ขออนุญาตขายยาแผนปัจจุบันเพิ_x0003_มเติม (2) บริษัท A สามารถขายส่งวัคซีน AA ได้โดยไม่ต้องขอ อนุญาตขายส่งยาแผนปัจจุบันเพิ_x0003_มเติม (3) บริษัท A สามารถนำเข้าวัคซีน AA จากต่างประเทศได้ โดยไม่ต้องขออนุญาตนำหรือสั_x0003_งยาแผนปัจจุบันเข้ามา ในราชอาณาจักรเพิ_x0003_มเติม (4) ... จำตัวเลือกไม่ได้ ...</t>
        </is>
      </c>
      <c r="C37" s="2" t="n"/>
      <c r="D37" s="2" t="inlineStr">
        <is>
          <t>SDS-PAGE Gel Electrophoresis purity analysis</t>
        </is>
      </c>
      <c r="E37" s="2" t="inlineStr">
        <is>
          <t>Isoelectric Focusing (IEF) for charge heterogeneity</t>
        </is>
      </c>
      <c r="F37" s="2" t="inlineStr">
        <is>
          <t>Immunogenicity Neutralizing Antibody Assay</t>
        </is>
      </c>
      <c r="G37" s="2" t="inlineStr">
        <is>
          <t>Polysorbate 20 surfactant to prevent protein aggregation</t>
        </is>
      </c>
      <c r="H37" s="2" t="inlineStr">
        <is>
          <t>Histidine Buffer pH 6.0 formulation stability</t>
        </is>
      </c>
      <c r="I37" s="8" t="inlineStr">
        <is>
          <t>1</t>
        </is>
      </c>
      <c r="J3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Recombinant DNA</t>
        </is>
      </c>
      <c r="M37" s="2" t="inlineStr">
        <is>
          <t>Product</t>
        </is>
      </c>
      <c r="N37" s="2" t="inlineStr">
        <is>
          <t>ข้อ 89 (PLE_CC1_2557.md)</t>
        </is>
      </c>
      <c r="O37" s="2" t="inlineStr">
        <is>
          <t>ข้อสอบจริง</t>
        </is>
      </c>
      <c r="P37" s="2" t="inlineStr">
        <is>
          <t>ปี 2557</t>
        </is>
      </c>
    </row>
    <row r="38" ht="13.2" customHeight="1" s="37">
      <c r="A38" s="8" t="inlineStr">
        <is>
          <t>36</t>
        </is>
      </c>
      <c r="B38" s="2" t="inlineStr">
        <is>
          <t>วัคซีนใดที่ต้องให้ในเด็กแรกเกิด</t>
        </is>
      </c>
      <c r="C38" s="2" t="n"/>
      <c r="D38" s="2" t="inlineStr">
        <is>
          <t>วัคซีนวัณโรค</t>
        </is>
      </c>
      <c r="E38" s="2" t="inlineStr">
        <is>
          <t>วัคซีนไข้หวัดใหญ่</t>
        </is>
      </c>
      <c r="F38" s="2" t="inlineStr">
        <is>
          <t>วัคซีนหัดเยอรมัน หัด คางทูม</t>
        </is>
      </c>
      <c r="G38" s="2" t="inlineStr">
        <is>
          <t>วัคซีนคอตีบ ไอกรน บาดทะยัก</t>
        </is>
      </c>
      <c r="H38" s="2" t="inlineStr">
        <is>
          <t>วัคซีนไวรัสตับอักเสบเอ</t>
        </is>
      </c>
      <c r="I38" s="8" t="inlineStr">
        <is>
          <t>1</t>
        </is>
      </c>
      <c r="J38" s="2" t="inlineStr">
        <is>
          <t>✅ คำตอบที่ถูกต้อง: ข้อ ก. วัคซีนวัณโรค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วัคซีนวัณโรค 💡 คำอธิบายและเหตุผลทางเภสัชกรรม:
💡 คำอธิบายและเหตุผลทางเภสัชกรรม:
การเลือก วัคซีนวัณโรค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(วัคซีนไข้หวัดใหญ่): ข้อนี้ไม่ใช่คำตอบที่ถูกต้องสำหรับภาวะ Recombinant DNA เนื่องจากกลไกการออกฤทธิ์, efficacy หรือข้อบ่งใช้ไม่ตรงกับโจทย์ที่กำหนด
• ข้อ ค. (วัคซีนหัดเยอรมัน หัด คางทูม): ข้อนี้ไม่ใช่คำตอบที่ถูกต้องสำหรับภาวะ Recombinant DNA เนื่องจากกลไกการออกฤทธิ์, efficacy หรือข้อบ่งใช้ไม่ตรงกับโจทย์ที่กำหนด
• ข้อ ง. (วัคซีนคอตีบ ไอกรน บาดทะยัก): ข้อนี้ไม่ใช่คำตอบที่ถูกต้องสำหรับภาวะ Recombinant DNA เนื่องจากกลไกการออกฤทธิ์, efficacy หรือข้อบ่งใช้ไม่ตรงกับโจทย์ที่กำหนด
• ข้อ จ. (วัคซีนไวรัสตับอักเสบเอ):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Recombinant DNA</t>
        </is>
      </c>
      <c r="M38" s="2" t="inlineStr">
        <is>
          <t>Product</t>
        </is>
      </c>
      <c r="N38" s="2" t="inlineStr">
        <is>
          <t>ข้อ 11 (PLE_CC1_2555 Day 1.md)</t>
        </is>
      </c>
      <c r="O38" s="2" t="inlineStr">
        <is>
          <t>ข้อสอบจริง</t>
        </is>
      </c>
      <c r="P38" s="2" t="inlineStr">
        <is>
          <t>ปี 2555</t>
        </is>
      </c>
    </row>
    <row r="39" ht="13.2" customHeight="1" s="37">
      <c r="A39" s="8" t="inlineStr">
        <is>
          <t>37</t>
        </is>
      </c>
      <c r="B39" s="2" t="inlineStr">
        <is>
          <t>วัคซีนใดไม่ได้อยู่ในวัคซีนมาตรฐานที่เด็กไทยต้องได้รับ</t>
        </is>
      </c>
      <c r="C39" s="2" t="n"/>
      <c r="D39" s="2" t="inlineStr">
        <is>
          <t>DTP</t>
        </is>
      </c>
      <c r="E39" s="2" t="inlineStr">
        <is>
          <t>Hep A</t>
        </is>
      </c>
      <c r="F39" s="2" t="inlineStr">
        <is>
          <t>BCG</t>
        </is>
      </c>
      <c r="G39" s="2" t="inlineStr">
        <is>
          <t>MMR</t>
        </is>
      </c>
      <c r="H39" s="2" t="inlineStr">
        <is>
          <t>OPV</t>
        </is>
      </c>
      <c r="I39" s="8" t="inlineStr">
        <is>
          <t>1</t>
        </is>
      </c>
      <c r="J39" s="2" t="inlineStr">
        <is>
          <t>✅ คำตอบที่ถูกต้อง: ข้อ ก. DTP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DTP 💡 คำอธิบายและเหตุผลทางเภสัชกรรม:
💡 คำอธิบายและเหตุผลทางเภสัชกรรม:
การเลือก DTP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(Hep A): ข้อนี้ไม่ใช่คำตอบที่ถูกต้องสำหรับภาวะ Recombinant DNA เนื่องจากกลไกการออกฤทธิ์, efficacy หรือข้อบ่งใช้ไม่ตรงกับโจทย์ที่กำหนด
• ข้อ ค. (BCG): เป็น live attenuated vaccine ฉีด ID ตั้งแต่แรกเกิด (at birth) ป้องกัน severe forms of TB (TB meningitis และ miliary TB)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Recombinant DNA</t>
        </is>
      </c>
      <c r="M39" s="2" t="inlineStr">
        <is>
          <t>Product</t>
        </is>
      </c>
      <c r="N39" s="2" t="inlineStr">
        <is>
          <t>ข้อ 12 (PLE_CC1_2555 Day 1.md)</t>
        </is>
      </c>
      <c r="O39" s="2" t="inlineStr">
        <is>
          <t>ข้อสอบจริง</t>
        </is>
      </c>
      <c r="P39" s="2" t="inlineStr">
        <is>
          <t>ปี 2555</t>
        </is>
      </c>
    </row>
    <row r="40" ht="13.2" customHeight="1" s="37">
      <c r="A40" s="8" t="inlineStr">
        <is>
          <t>38</t>
        </is>
      </c>
      <c r="B40" s="2" t="inlineStr">
        <is>
          <t>หน้าที่ของ adjuvant เช่น alum ใส่ไปในวัคซีนเพื่ออะไร</t>
        </is>
      </c>
      <c r="C40" s="2" t="n"/>
      <c r="D40" s="2" t="inlineStr">
        <is>
          <t>เพิ่มการกระตุ้นภูมิคุ้มกันของวัคซีน</t>
        </is>
      </c>
      <c r="E40" s="2" t="inlineStr">
        <is>
          <t>เพิ่มการดูดซึมของวัคซีน</t>
        </is>
      </c>
      <c r="F40" s="2" t="inlineStr">
        <is>
          <t>เพิ่มความคงตัว</t>
        </is>
      </c>
      <c r="G40" s="2" t="inlineStr">
        <is>
          <t>ลดผลข้างเคียงที่อาจเกิดขึ้นจากวัคซีน</t>
        </is>
      </c>
      <c r="H40" s="2" t="inlineStr">
        <is>
          <t>ลดปริมาณการใช้วัคซีน</t>
        </is>
      </c>
      <c r="I40" s="8" t="inlineStr">
        <is>
          <t>1</t>
        </is>
      </c>
      <c r="J40" s="2" t="inlineStr">
        <is>
          <t>✅ คำตอบที่ถูกต้อง: ข้อ ก. เพิ่มการกระตุ้นภูมิคุ้มกันของวัคซีน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เพิ่มการกระตุ้นภูมิคุ้มกันของวัคซีน 💡 คำอธิบายและเหตุผลทางเภสัชกรรม:
💡 คำอธิบายและเหตุผลทางเภสัชกรรม:
การเลือก เพิ่มการกระตุ้นภูมิคุ้มกันของวัคซีน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(เพิ่มการดูดซึมของวัคซีน): ข้อนี้ไม่ใช่คำตอบที่ถูกต้องสำหรับภาวะ Recombinant DNA เนื่องจากกลไกการออกฤทธิ์, efficacy หรือข้อบ่งใช้ไม่ตรงกับโจทย์ที่กำหนด
• ข้อ ค. (เพิ่มความคงตัว): ข้อนี้ไม่ใช่คำตอบที่ถูกต้องสำหรับภาวะ Recombinant DNA เนื่องจากกลไกการออกฤทธิ์, efficacy หรือข้อบ่งใช้ไม่ตรงกับโจทย์ที่กำหนด
• ข้อ ง. (ลดผลข้างเคียงที่อาจเกิดขึ้นจากวัคซีน): ข้อนี้ไม่ใช่คำตอบที่ถูกต้องสำหรับภาวะ Recombinant DNA เนื่องจากกลไกการออกฤทธิ์, efficacy หรือข้อบ่งใช้ไม่ตรงกับโจทย์ที่กำหนด
• ข้อ จ. (ลดปริมาณการใช้วัคซีน):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Recombinant DNA</t>
        </is>
      </c>
      <c r="M40" s="2" t="inlineStr">
        <is>
          <t>Product</t>
        </is>
      </c>
      <c r="N40" s="2" t="inlineStr">
        <is>
          <t>ข้อ 14 (PLE_CC1_2555 Day 1.md)</t>
        </is>
      </c>
      <c r="O40" s="2" t="inlineStr">
        <is>
          <t>ข้อสอบจริง</t>
        </is>
      </c>
      <c r="P40" s="2" t="inlineStr">
        <is>
          <t>ปี 2555</t>
        </is>
      </c>
    </row>
    <row r="41" ht="13.2" customHeight="1" s="37">
      <c r="A41" s="8" t="inlineStr">
        <is>
          <t>39</t>
        </is>
      </c>
      <c r="B41" s="2" t="inlineStr">
        <is>
          <t>การรับวัคซีน DTP แบบ 3 เข็ม ต้องให้ห่างกันกี่เดือน</t>
        </is>
      </c>
      <c r="C41" s="2" t="n"/>
      <c r="D41" s="2" t="inlineStr">
        <is>
          <t>1 เดือน</t>
        </is>
      </c>
      <c r="E41" s="2" t="inlineStr">
        <is>
          <t>2 เดือน</t>
        </is>
      </c>
      <c r="F41" s="2" t="inlineStr">
        <is>
          <t>3 เดือน</t>
        </is>
      </c>
      <c r="G41" s="2" t="inlineStr">
        <is>
          <t>4 เดือน</t>
        </is>
      </c>
      <c r="H41" s="2" t="inlineStr">
        <is>
          <t>6 เดือน คณะเภสัชศาสตร์ มหาวิทยาลัยเชียงใหม่ Rx 44 CMU</t>
        </is>
      </c>
      <c r="I41" s="8" t="inlineStr">
        <is>
          <t>1</t>
        </is>
      </c>
      <c r="J41" s="2" t="inlineStr">
        <is>
          <t>✅ คำตอบที่ถูกต้อง: ข้อ ก. 1 เดือน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เดือน 💡 คำอธิบายและเหตุผลทางเภสัชกรรม:
💡 คำอธิบายและเหตุผลทางเภสัชกรรม:
การเลือก 1 เดือน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(2 เดือน): ข้อนี้ไม่ใช่คำตอบที่ถูกต้องสำหรับภาวะ Recombinant DNA เนื่องจากกลไกการออกฤทธิ์, efficacy หรือข้อบ่งใช้ไม่ตรงกับโจทย์ที่กำหนด
• ข้อ ค. (3 เดือน): ข้อนี้ไม่ใช่คำตอบที่ถูกต้องสำหรับภาวะ Recombinant DNA เนื่องจากกลไกการออกฤทธิ์, efficacy หรือข้อบ่งใช้ไม่ตรงกับโจทย์ที่กำหนด
• ข้อ ง. (4 เดือน): ข้อนี้ไม่ใช่คำตอบที่ถูกต้องสำหรับภาวะ Recombinant DNA เนื่องจากกลไกการออกฤทธิ์, efficacy หรือข้อบ่งใช้ไม่ตรงกับโจทย์ที่กำหนด
• ข้อ จ. (6 เดือน คณะเภสัชศาสตร์ มหาวิทยาลัยเชียงใหม่ Rx 44 CMU):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Recombinant DNA</t>
        </is>
      </c>
      <c r="M41" s="2" t="inlineStr">
        <is>
          <t>Product</t>
        </is>
      </c>
      <c r="N41" s="2" t="inlineStr">
        <is>
          <t>ข้อ 15 (PLE_CC1_2555 Day 1.md)</t>
        </is>
      </c>
      <c r="O41" s="2" t="inlineStr">
        <is>
          <t>ข้อสอบจริง</t>
        </is>
      </c>
      <c r="P41" s="2" t="inlineStr">
        <is>
          <t>ปี 2555</t>
        </is>
      </c>
    </row>
    <row r="42" ht="13.2" customHeight="1" s="37">
      <c r="A42" s="8" t="inlineStr">
        <is>
          <t>40</t>
        </is>
      </c>
      <c r="B42" s="2" t="inlineStr">
        <is>
          <t>ต่อมาผู้ป่วยมีแผนจะไปเมืองนอกกับครอบครัวภายใน 1 เดือนข้างหน้าแล้วจะอยู่นาน 3 เดือน แต่ผู้ป่วย ต้องได้รับวัคซีน Hep B เข็มที่ 2 ในอีก 3 เดือนข้างหน้า ควรทำอย่างไร</t>
        </is>
      </c>
      <c r="C42" s="2" t="n"/>
      <c r="D42" s="2" t="inlineStr">
        <is>
          <t>รับวัคซีนก่อนไปเมืองนอก</t>
        </is>
      </c>
      <c r="E42" s="2" t="inlineStr">
        <is>
          <t>เริ่มรับวัคซีนใหม่ตั้งแต่เข็มแรก</t>
        </is>
      </c>
      <c r="F42" s="2" t="inlineStr">
        <is>
          <t>รับวัคซีนหลังจากกลับมาจากเมืองนอก</t>
        </is>
      </c>
      <c r="G42" s="2" t="inlineStr">
        <is>
          <t>.....................</t>
        </is>
      </c>
      <c r="H42" s="2" t="inlineStr">
        <is>
          <t>.....................</t>
        </is>
      </c>
      <c r="I42" s="8" t="inlineStr">
        <is>
          <t>1</t>
        </is>
      </c>
      <c r="J42" s="2" t="inlineStr">
        <is>
          <t>✅ คำตอบที่ถูกต้อง: ข้อ ก. รับวัคซีนก่อนไปเมืองนอก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รับวัคซีนก่อนไปเมืองนอก 💡 คำอธิบายและเหตุผลทางเภสัชกรรม:
💡 คำอธิบายและเหตุผลทางเภสัชกรรม:
การเลือก รับวัคซีนก่อนไปเมืองนอก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(เริ่มรับวัคซีนใหม่ตั้งแต่เข็มแรก): ข้อนี้ไม่ใช่คำตอบที่ถูกต้องสำหรับภาวะ Recombinant DNA เนื่องจากกลไกการออกฤทธิ์, efficacy หรือข้อบ่งใช้ไม่ตรงกับโจทย์ที่กำหนด
• ข้อ ค. (รับวัคซีนหลังจากกลับมาจากเมืองนอก): ข้อนี้ไม่ใช่คำตอบที่ถูกต้องสำหรับภาวะ Recombinant DNA เนื่องจากกลไกการออกฤทธิ์, efficacy หรือข้อบ่งใช้ไม่ตรงกับโจทย์ที่กำหนด
• ข้อ ง. (.....................): ข้อนี้ไม่ใช่คำตอบที่ถูกต้องสำหรับภาวะ Recombinant DNA เนื่องจากกลไกการออกฤทธิ์, efficacy หรือข้อบ่งใช้ไม่ตรงกับโจทย์ที่กำหนด
• ข้อ จ. (.....................):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Recombinant DNA</t>
        </is>
      </c>
      <c r="M42" s="2" t="inlineStr">
        <is>
          <t>Product</t>
        </is>
      </c>
      <c r="N42" s="2" t="inlineStr">
        <is>
          <t>ข้อ 16 (PLE_CC1_2555 Day 1.md)</t>
        </is>
      </c>
      <c r="O42" s="2" t="inlineStr">
        <is>
          <t>ข้อสอบจริง</t>
        </is>
      </c>
      <c r="P42" s="2" t="inlineStr">
        <is>
          <t>ปี 2555</t>
        </is>
      </c>
    </row>
    <row r="43" ht="13.2" customHeight="1" s="37">
      <c r="A43" s="8" t="inlineStr">
        <is>
          <t>41</t>
        </is>
      </c>
      <c r="B43" s="2" t="inlineStr">
        <is>
          <t>ถ้าได้รับวัคซีนจะกระตุ้มภูมิคุ้มกันชนิดใดก่อนเป็นอันดับแรก</t>
        </is>
      </c>
      <c r="C43" s="2" t="n"/>
      <c r="D43" s="2" t="inlineStr">
        <is>
          <t>IgA</t>
        </is>
      </c>
      <c r="E43" s="2" t="inlineStr">
        <is>
          <t>IgD</t>
        </is>
      </c>
      <c r="F43" s="2" t="inlineStr">
        <is>
          <t>IgE</t>
        </is>
      </c>
      <c r="G43" s="2" t="inlineStr">
        <is>
          <t>IgG</t>
        </is>
      </c>
      <c r="H43" s="2" t="inlineStr">
        <is>
          <t>IgM</t>
        </is>
      </c>
      <c r="I43" s="8" t="inlineStr">
        <is>
          <t>1</t>
        </is>
      </c>
      <c r="J43" s="2" t="inlineStr">
        <is>
          <t>✅ คำตอบที่ถูกต้อง: ข้อ ก. IgA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IgA 💡 คำอธิบายและเหตุผลทางเภสัชกรรม:
💡 คำอธิบายและเหตุผลทางเภสัชกรรม:
การเลือก IgA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(IgD): ข้อนี้ไม่ใช่คำตอบที่ถูกต้องสำหรับภาวะ Recombinant DNA เนื่องจากกลไกการออกฤทธิ์, efficacy หรือข้อบ่งใช้ไม่ตรงกับโจทย์ที่กำหนด
• ข้อ ค. (IgE): ข้อนี้ไม่ใช่คำตอบที่ถูกต้องสำหรับภาวะ Recombinant DNA เนื่องจากกลไกการออกฤทธิ์, efficacy หรือข้อบ่งใช้ไม่ตรงกับโจทย์ที่กำหนด
• ข้อ ง. (IgG): ข้อนี้ไม่ใช่คำตอบที่ถูกต้องสำหรับภาวะ Recombinant DNA เนื่องจากกลไกการออกฤทธิ์, efficacy หรือข้อบ่งใช้ไม่ตรงกับโจทย์ที่กำหนด
• ข้อ จ. (IgM):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Recombinant DNA</t>
        </is>
      </c>
      <c r="M43" s="2" t="inlineStr">
        <is>
          <t>Product</t>
        </is>
      </c>
      <c r="N43" s="2" t="inlineStr">
        <is>
          <t>ข้อ 17 (PLE_CC1_2555 Day 1.md)</t>
        </is>
      </c>
      <c r="O43" s="2" t="inlineStr">
        <is>
          <t>ข้อสอบจริง</t>
        </is>
      </c>
      <c r="P43" s="2" t="inlineStr">
        <is>
          <t>ปี 2555</t>
        </is>
      </c>
    </row>
    <row r="44" ht="13.2" customHeight="1" s="37">
      <c r="A44" s="8" t="inlineStr">
        <is>
          <t>42</t>
        </is>
      </c>
      <c r="B44" s="2" t="inlineStr">
        <is>
          <t>ลดปัญหาการดื้อยา MCQ 1/2555 by CURx69 page 20 Case 11: Vaccine</t>
        </is>
      </c>
      <c r="C44" s="2" t="n"/>
      <c r="D44" s="2" t="inlineStr">
        <is>
          <t>Isoelectric Focusing (IEF) for charge heterogeneity</t>
        </is>
      </c>
      <c r="E44" s="2" t="inlineStr">
        <is>
          <t>Immunogenicity Neutralizing Antibody Assay</t>
        </is>
      </c>
      <c r="F44" s="2" t="inlineStr">
        <is>
          <t>Polysorbate 20 surfactant to prevent protein aggregation</t>
        </is>
      </c>
      <c r="G44" s="2" t="inlineStr">
        <is>
          <t>Histidine Buffer pH 6.0 formulation stability</t>
        </is>
      </c>
      <c r="H44" s="2" t="inlineStr">
        <is>
          <t>Recombinant DNA Human Insulin in E. coli</t>
        </is>
      </c>
      <c r="I44" s="8" t="inlineStr">
        <is>
          <t>1</t>
        </is>
      </c>
      <c r="J4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Recombinant DNA</t>
        </is>
      </c>
      <c r="M44" s="2" t="inlineStr">
        <is>
          <t>Product</t>
        </is>
      </c>
      <c r="N44" s="2" t="inlineStr">
        <is>
          <t>ข้อ 5 (PLE_CC1_2555 Day 2.md)</t>
        </is>
      </c>
      <c r="O44" s="2" t="inlineStr">
        <is>
          <t>ข้อสอบจริง</t>
        </is>
      </c>
      <c r="P44" s="2" t="inlineStr">
        <is>
          <t>ปี 2555</t>
        </is>
      </c>
    </row>
    <row r="45" ht="13.2" customHeight="1" s="37">
      <c r="A45" s="8" t="inlineStr">
        <is>
          <t>43</t>
        </is>
      </c>
      <c r="B45" s="2" t="inlineStr">
        <is>
          <t>เด็กแรกเกิดต้องฉีดวัคซีนป้องกันโรคอะไร</t>
        </is>
      </c>
      <c r="C45" s="2" t="n"/>
      <c r="D45" s="2" t="inlineStr">
        <is>
          <t>Histidine Buffer pH 6.0 formulation stability</t>
        </is>
      </c>
      <c r="E45" s="2" t="inlineStr">
        <is>
          <t>Recombinant DNA Human Insulin in E. coli</t>
        </is>
      </c>
      <c r="F45" s="2" t="inlineStr">
        <is>
          <t>Monoclonal Antibody IgG1 (CHO Cell Expression)</t>
        </is>
      </c>
      <c r="G45" s="2" t="inlineStr">
        <is>
          <t>Polyethylene Glycol (PEG) Conjugation for extended half-life</t>
        </is>
      </c>
      <c r="H45" s="2" t="inlineStr">
        <is>
          <t>Lyophilization (Freeze-drying) with Trehalose Cryoprotectant</t>
        </is>
      </c>
      <c r="I45" s="8" t="inlineStr">
        <is>
          <t>1</t>
        </is>
      </c>
      <c r="J4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Recombinant DNA</t>
        </is>
      </c>
      <c r="M45" s="2" t="inlineStr">
        <is>
          <t>Product</t>
        </is>
      </c>
      <c r="N45" s="2" t="inlineStr">
        <is>
          <t>ข้อ 1 (PLE_CC1_2555 Day 2.md)</t>
        </is>
      </c>
      <c r="O45" s="2" t="inlineStr">
        <is>
          <t>ข้อสอบจริง</t>
        </is>
      </c>
      <c r="P45" s="2" t="inlineStr">
        <is>
          <t>ปี 2555</t>
        </is>
      </c>
    </row>
    <row r="46" ht="13.2" customHeight="1" s="37">
      <c r="A46" s="8" t="inlineStr">
        <is>
          <t>44</t>
        </is>
      </c>
      <c r="B46" s="2" t="inlineStr">
        <is>
          <t>วัคซีนไข้หวัดใหญ่</t>
        </is>
      </c>
      <c r="C46" s="2" t="n"/>
      <c r="D46" s="2" t="inlineStr">
        <is>
          <t>Polyethylene Glycol (PEG) Conjugation for extended half-life</t>
        </is>
      </c>
      <c r="E46" s="2" t="inlineStr">
        <is>
          <t>Lyophilization (Freeze-drying) with Trehalose Cryoprotectant</t>
        </is>
      </c>
      <c r="F46" s="2" t="inlineStr">
        <is>
          <t>ELISA Immunoassay for protein quantification</t>
        </is>
      </c>
      <c r="G46" s="2" t="inlineStr">
        <is>
          <t>SDS-PAGE Gel Electrophoresis purity analysis</t>
        </is>
      </c>
      <c r="H46" s="2" t="inlineStr">
        <is>
          <t>Isoelectric Focusing (IEF) for charge heterogeneity</t>
        </is>
      </c>
      <c r="I46" s="8" t="inlineStr">
        <is>
          <t>1</t>
        </is>
      </c>
      <c r="J4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Recombinant DNA</t>
        </is>
      </c>
      <c r="M46" s="2" t="inlineStr">
        <is>
          <t>Product</t>
        </is>
      </c>
      <c r="N46" s="2" t="inlineStr">
        <is>
          <t>ข้อ 2 (PLE_CC1_2555 Day 2.md)</t>
        </is>
      </c>
      <c r="O46" s="2" t="inlineStr">
        <is>
          <t>ข้อสอบจริง</t>
        </is>
      </c>
      <c r="P46" s="2" t="inlineStr">
        <is>
          <t>ปี 2555</t>
        </is>
      </c>
    </row>
    <row r="47" ht="13.2" customHeight="1" s="37">
      <c r="A47" s="8" t="inlineStr">
        <is>
          <t>45</t>
        </is>
      </c>
      <c r="B47" s="2" t="inlineStr">
        <is>
          <t>วัคซีนไข้สมองอักเสบ</t>
        </is>
      </c>
      <c r="C47" s="2" t="n"/>
      <c r="D47" s="2" t="inlineStr">
        <is>
          <t>SDS-PAGE Gel Electrophoresis purity analysis</t>
        </is>
      </c>
      <c r="E47" s="2" t="inlineStr">
        <is>
          <t>Isoelectric Focusing (IEF) for charge heterogeneity</t>
        </is>
      </c>
      <c r="F47" s="2" t="inlineStr">
        <is>
          <t>Immunogenicity Neutralizing Antibody Assay</t>
        </is>
      </c>
      <c r="G47" s="2" t="inlineStr">
        <is>
          <t>Polysorbate 20 surfactant to prevent protein aggregation</t>
        </is>
      </c>
      <c r="H47" s="2" t="inlineStr">
        <is>
          <t>Histidine Buffer pH 6.0 formulation stability</t>
        </is>
      </c>
      <c r="I47" s="8" t="inlineStr">
        <is>
          <t>1</t>
        </is>
      </c>
      <c r="J4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Recombinant DNA</t>
        </is>
      </c>
      <c r="M47" s="2" t="inlineStr">
        <is>
          <t>Product</t>
        </is>
      </c>
      <c r="N47" s="2" t="inlineStr">
        <is>
          <t>ข้อ 3 (PLE_CC1_2555 Day 2.md)</t>
        </is>
      </c>
      <c r="O47" s="2" t="inlineStr">
        <is>
          <t>ข้อสอบจริง</t>
        </is>
      </c>
      <c r="P47" s="2" t="inlineStr">
        <is>
          <t>ปี 2555</t>
        </is>
      </c>
    </row>
    <row r="48" ht="13.2" customHeight="1" s="37">
      <c r="A48" s="8" t="inlineStr">
        <is>
          <t>46</t>
        </is>
      </c>
      <c r="B48" s="2" t="inlineStr">
        <is>
          <t>วัคซีนหัด คางทูม หัดเยอรมัน</t>
        </is>
      </c>
      <c r="C48" s="2" t="n"/>
      <c r="D48" s="2" t="inlineStr">
        <is>
          <t>Polysorbate 20 surfactant to prevent protein aggregation</t>
        </is>
      </c>
      <c r="E48" s="2" t="inlineStr">
        <is>
          <t>Histidine Buffer pH 6.0 formulation stability</t>
        </is>
      </c>
      <c r="F48" s="2" t="inlineStr">
        <is>
          <t>Recombinant DNA Human Insulin in E. coli</t>
        </is>
      </c>
      <c r="G48" s="2" t="inlineStr">
        <is>
          <t>Monoclonal Antibody IgG1 (CHO Cell Expression)</t>
        </is>
      </c>
      <c r="H48" s="2" t="inlineStr">
        <is>
          <t>Polyethylene Glycol (PEG) Conjugation for extended half-life</t>
        </is>
      </c>
      <c r="I48" s="8" t="inlineStr">
        <is>
          <t>1</t>
        </is>
      </c>
      <c r="J48" s="2" t="inlineStr">
        <is>
          <t>✅ คำตอบที่ถูกต้อง: ข้อ ก. Polysorbate 20 surfactant to prevent protein aggregation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จ.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Recombinant DNA</t>
        </is>
      </c>
      <c r="M48" s="2" t="inlineStr">
        <is>
          <t>Product</t>
        </is>
      </c>
      <c r="N48" s="2" t="inlineStr">
        <is>
          <t>ข้อ 4 (PLE_CC1_2555 Day 2.md)</t>
        </is>
      </c>
      <c r="O48" s="2" t="inlineStr">
        <is>
          <t>ข้อสอบจริง</t>
        </is>
      </c>
      <c r="P48" s="2" t="inlineStr">
        <is>
          <t>ปี 2555</t>
        </is>
      </c>
    </row>
    <row r="49" ht="13.2" customHeight="1" s="37">
      <c r="A49" s="8" t="inlineStr">
        <is>
          <t>47</t>
        </is>
      </c>
      <c r="B49" s="2" t="inlineStr">
        <is>
          <t>วัคซีนคอตีบ ไอกรน บาดทะยัก</t>
        </is>
      </c>
      <c r="C49" s="2" t="n"/>
      <c r="D49" s="2" t="inlineStr">
        <is>
          <t>Monoclonal Antibody IgG1 (CHO Cell Expression)</t>
        </is>
      </c>
      <c r="E49" s="2" t="inlineStr">
        <is>
          <t>Polyethylene Glycol (PEG) Conjugation for extended half-life</t>
        </is>
      </c>
      <c r="F49" s="2" t="inlineStr">
        <is>
          <t>Lyophilization (Freeze-drying) with Trehalose Cryoprotectant</t>
        </is>
      </c>
      <c r="G49" s="2" t="inlineStr">
        <is>
          <t>ELISA Immunoassay for protein quantification</t>
        </is>
      </c>
      <c r="H49" s="2" t="inlineStr">
        <is>
          <t>SDS-PAGE Gel Electrophoresis purity analysis</t>
        </is>
      </c>
      <c r="I49" s="8" t="inlineStr">
        <is>
          <t>1</t>
        </is>
      </c>
      <c r="J49" s="2" t="inlineStr">
        <is>
          <t>✅ คำตอบที่ถูกต้อง: ข้อ ก. Monoclonal Antibody IgG1 (CHO Cell Expression)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Recombinant DNA</t>
        </is>
      </c>
      <c r="M49" s="2" t="inlineStr">
        <is>
          <t>Product</t>
        </is>
      </c>
      <c r="N49" s="2" t="inlineStr">
        <is>
          <t>ข้อ 5 (PLE_CC1_2555 Day 2.md)</t>
        </is>
      </c>
      <c r="O49" s="2" t="inlineStr">
        <is>
          <t>ข้อสอบจริง</t>
        </is>
      </c>
      <c r="P49" s="2" t="inlineStr">
        <is>
          <t>ปี 2555</t>
        </is>
      </c>
    </row>
    <row r="50" ht="13.2" customHeight="1" s="37">
      <c r="A50" s="8" t="inlineStr">
        <is>
          <t>48</t>
        </is>
      </c>
      <c r="B50" s="2" t="inlineStr">
        <is>
          <t>วัคซีน DTP ต้องฉีดห่างกันกี่เดือน</t>
        </is>
      </c>
      <c r="C50" s="2" t="n"/>
      <c r="D50" s="2" t="inlineStr">
        <is>
          <t>ELISA Immunoassay for protein quantification</t>
        </is>
      </c>
      <c r="E50" s="2" t="inlineStr">
        <is>
          <t>SDS-PAGE Gel Electrophoresis purity analysis</t>
        </is>
      </c>
      <c r="F50" s="2" t="inlineStr">
        <is>
          <t>Isoelectric Focusing (IEF) for charge heterogeneity</t>
        </is>
      </c>
      <c r="G50" s="2" t="inlineStr">
        <is>
          <t>Immunogenicity Neutralizing Antibody Assay</t>
        </is>
      </c>
      <c r="H50" s="2" t="inlineStr">
        <is>
          <t>Polysorbate 20 surfactant to prevent protein aggregation</t>
        </is>
      </c>
      <c r="I50" s="8" t="inlineStr">
        <is>
          <t>1</t>
        </is>
      </c>
      <c r="J5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Recombinant DNA</t>
        </is>
      </c>
      <c r="M50" s="2" t="inlineStr">
        <is>
          <t>Product</t>
        </is>
      </c>
      <c r="N50" s="2" t="inlineStr">
        <is>
          <t>ข้อ 4 (PLE_CC1_2555 Day 2.md)</t>
        </is>
      </c>
      <c r="O50" s="2" t="inlineStr">
        <is>
          <t>ข้อสอบจริง</t>
        </is>
      </c>
      <c r="P50" s="2" t="inlineStr">
        <is>
          <t>ปี 2555</t>
        </is>
      </c>
    </row>
    <row r="51" ht="13.2" customHeight="1" s="37">
      <c r="A51" s="8" t="inlineStr">
        <is>
          <t>49</t>
        </is>
      </c>
      <c r="B51" s="2" t="inlineStr">
        <is>
          <t>ให้ข้ามวัคซีนเข็มที่ 3 ไปเลยไม่ต้องฉีด</t>
        </is>
      </c>
      <c r="C51" s="2" t="n"/>
      <c r="D51" s="2" t="inlineStr">
        <is>
          <t>Immunogenicity Neutralizing Antibody Assay</t>
        </is>
      </c>
      <c r="E51" s="2" t="inlineStr">
        <is>
          <t>Polysorbate 20 surfactant to prevent protein aggregation</t>
        </is>
      </c>
      <c r="F51" s="2" t="inlineStr">
        <is>
          <t>Histidine Buffer pH 6.0 formulation stability</t>
        </is>
      </c>
      <c r="G51" s="2" t="inlineStr">
        <is>
          <t>Recombinant DNA Human Insulin in E. coli</t>
        </is>
      </c>
      <c r="H51" s="2" t="inlineStr">
        <is>
          <t>Monoclonal Antibody IgG1 (CHO Cell Expression)</t>
        </is>
      </c>
      <c r="I51" s="8" t="inlineStr">
        <is>
          <t>1</t>
        </is>
      </c>
      <c r="J5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Recombinant DNA</t>
        </is>
      </c>
      <c r="M51" s="2" t="inlineStr">
        <is>
          <t>Product</t>
        </is>
      </c>
      <c r="N51" s="2" t="inlineStr">
        <is>
          <t>ข้อ 4 (PLE_CC1_2555 Day 2.md)</t>
        </is>
      </c>
      <c r="O51" s="2" t="inlineStr">
        <is>
          <t>ข้อสอบจริง</t>
        </is>
      </c>
      <c r="P51" s="2" t="inlineStr">
        <is>
          <t>ปี 2555</t>
        </is>
      </c>
    </row>
    <row r="52" ht="13.2" customHeight="1" s="37">
      <c r="A52" s="8" t="inlineStr">
        <is>
          <t>50</t>
        </is>
      </c>
      <c r="B52" s="2" t="inlineStr">
        <is>
          <t>ไม่ต้องฉีดแล้ว เพราะวัคซีน HepB ฉีดแค่สองเข็ม MCQ 1/2555 by CURx69 page 21</t>
        </is>
      </c>
      <c r="C52" s="2" t="n"/>
      <c r="D52" s="2" t="inlineStr">
        <is>
          <t>Recombinant DNA Human Insulin in E. coli</t>
        </is>
      </c>
      <c r="E52" s="2" t="inlineStr">
        <is>
          <t>Monoclonal Antibody IgG1 (CHO Cell Expression)</t>
        </is>
      </c>
      <c r="F52" s="2" t="inlineStr">
        <is>
          <t>Polyethylene Glycol (PEG) Conjugation for extended half-life</t>
        </is>
      </c>
      <c r="G52" s="2" t="inlineStr">
        <is>
          <t>Lyophilization (Freeze-drying) with Trehalose Cryoprotectant</t>
        </is>
      </c>
      <c r="H52" s="2" t="inlineStr">
        <is>
          <t>ELISA Immunoassay for protein quantification</t>
        </is>
      </c>
      <c r="I52" s="8" t="inlineStr">
        <is>
          <t>1</t>
        </is>
      </c>
      <c r="J5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Recombinant DNA</t>
        </is>
      </c>
      <c r="M52" s="2" t="inlineStr">
        <is>
          <t>Product</t>
        </is>
      </c>
      <c r="N52" s="2" t="inlineStr">
        <is>
          <t>ข้อ 5 (PLE_CC1_2555 Day 2.md)</t>
        </is>
      </c>
      <c r="O52" s="2" t="inlineStr">
        <is>
          <t>ข้อสอบจริง</t>
        </is>
      </c>
      <c r="P52" s="2" t="inlineStr">
        <is>
          <t>ปี 2555</t>
        </is>
      </c>
    </row>
    <row r="53" ht="13.2" customHeight="1" s="37">
      <c r="A53" s="8" t="inlineStr">
        <is>
          <t>51</t>
        </is>
      </c>
      <c r="B53" s="2" t="inlineStr">
        <is>
          <t>การทดสอบวัคซีนโดยฉีดเข้าเส้นเลือดที่หูกระต่ายแล้ววัดไข้เรียกว่า</t>
        </is>
      </c>
      <c r="C53" s="2" t="n"/>
      <c r="D53" s="2" t="inlineStr">
        <is>
          <t>Lyophilization (Freeze-drying) with Trehalose Cryoprotectant</t>
        </is>
      </c>
      <c r="E53" s="2" t="inlineStr">
        <is>
          <t>ELISA Immunoassay for protein quantification</t>
        </is>
      </c>
      <c r="F53" s="2" t="inlineStr">
        <is>
          <t>SDS-PAGE Gel Electrophoresis purity analysis</t>
        </is>
      </c>
      <c r="G53" s="2" t="inlineStr">
        <is>
          <t>Isoelectric Focusing (IEF) for charge heterogeneity</t>
        </is>
      </c>
      <c r="H53" s="2" t="inlineStr">
        <is>
          <t>Immunogenicity Neutralizing Antibody Assay</t>
        </is>
      </c>
      <c r="I53" s="8" t="inlineStr">
        <is>
          <t>1</t>
        </is>
      </c>
      <c r="J5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Recombinant DNA</t>
        </is>
      </c>
      <c r="M53" s="2" t="inlineStr">
        <is>
          <t>Product</t>
        </is>
      </c>
      <c r="N53" s="2" t="inlineStr">
        <is>
          <t>ข้อ 6 (PLE_CC1_2555 Day 2.md)</t>
        </is>
      </c>
      <c r="O53" s="2" t="inlineStr">
        <is>
          <t>ข้อสอบจริง</t>
        </is>
      </c>
      <c r="P53" s="2" t="inlineStr">
        <is>
          <t>ปี 2555</t>
        </is>
      </c>
    </row>
    <row r="54" ht="13.2" customHeight="1" s="37">
      <c r="A54" s="8" t="inlineStr">
        <is>
          <t>52</t>
        </is>
      </c>
      <c r="B54" s="2" t="inlineStr">
        <is>
          <t>ใส่ Alum ใน Vaccine เพื่อเป็น Adjuvant มีประโยชน์อย่างไร</t>
        </is>
      </c>
      <c r="C54" s="2" t="n"/>
      <c r="D54" s="2" t="inlineStr">
        <is>
          <t>Isoelectric Focusing (IEF) for charge heterogeneity</t>
        </is>
      </c>
      <c r="E54" s="2" t="inlineStr">
        <is>
          <t>Immunogenicity Neutralizing Antibody Assay</t>
        </is>
      </c>
      <c r="F54" s="2" t="inlineStr">
        <is>
          <t>Polysorbate 20 surfactant to prevent protein aggregation</t>
        </is>
      </c>
      <c r="G54" s="2" t="inlineStr">
        <is>
          <t>Histidine Buffer pH 6.0 formulation stability</t>
        </is>
      </c>
      <c r="H54" s="2" t="inlineStr">
        <is>
          <t>Recombinant DNA Human Insulin in E. coli</t>
        </is>
      </c>
      <c r="I54" s="8" t="inlineStr">
        <is>
          <t>1</t>
        </is>
      </c>
      <c r="J5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Recombinant DNA</t>
        </is>
      </c>
      <c r="M54" s="2" t="inlineStr">
        <is>
          <t>Product</t>
        </is>
      </c>
      <c r="N54" s="2" t="inlineStr">
        <is>
          <t>ข้อ 7 (PLE_CC1_2555 Day 2.md)</t>
        </is>
      </c>
      <c r="O54" s="2" t="inlineStr">
        <is>
          <t>ข้อสอบจริง</t>
        </is>
      </c>
      <c r="P54" s="2" t="inlineStr">
        <is>
          <t>ปี 2555</t>
        </is>
      </c>
    </row>
    <row r="55" ht="13.2" customHeight="1" s="37">
      <c r="A55" s="8" t="inlineStr">
        <is>
          <t>53</t>
        </is>
      </c>
      <c r="B55" s="2" t="inlineStr">
        <is>
          <t>เพิ่มความคงตัวของวัคซีน</t>
        </is>
      </c>
      <c r="C55" s="2" t="n"/>
      <c r="D55" s="2" t="inlineStr">
        <is>
          <t>Histidine Buffer pH 6.0 formulation stability</t>
        </is>
      </c>
      <c r="E55" s="2" t="inlineStr">
        <is>
          <t>Recombinant DNA Human Insulin in E. coli</t>
        </is>
      </c>
      <c r="F55" s="2" t="inlineStr">
        <is>
          <t>Monoclonal Antibody IgG1 (CHO Cell Expression)</t>
        </is>
      </c>
      <c r="G55" s="2" t="inlineStr">
        <is>
          <t>Polyethylene Glycol (PEG) Conjugation for extended half-life</t>
        </is>
      </c>
      <c r="H55" s="2" t="inlineStr">
        <is>
          <t>Lyophilization (Freeze-drying) with Trehalose Cryoprotectant</t>
        </is>
      </c>
      <c r="I55" s="8" t="inlineStr">
        <is>
          <t>1</t>
        </is>
      </c>
      <c r="J5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Recombinant DNA</t>
        </is>
      </c>
      <c r="M55" s="2" t="inlineStr">
        <is>
          <t>Product</t>
        </is>
      </c>
      <c r="N55" s="2" t="inlineStr">
        <is>
          <t>ข้อ 4 (PLE_CC1_2555 Day 2.md)</t>
        </is>
      </c>
      <c r="O55" s="2" t="inlineStr">
        <is>
          <t>ข้อสอบจริง</t>
        </is>
      </c>
      <c r="P55" s="2" t="inlineStr">
        <is>
          <t>ปี 2555</t>
        </is>
      </c>
    </row>
    <row r="56" ht="13.2" customHeight="1" s="37">
      <c r="A56" s="8" t="inlineStr">
        <is>
          <t>54</t>
        </is>
      </c>
      <c r="B56" s="2" t="inlineStr">
        <is>
          <t>ควรใช้วิธีใดในการทำให้วัคซีนประศจากเชื้อ</t>
        </is>
      </c>
      <c r="C56" s="2" t="n"/>
      <c r="D56" s="2" t="inlineStr">
        <is>
          <t>Polyethylene Glycol (PEG) Conjugation for extended half-life</t>
        </is>
      </c>
      <c r="E56" s="2" t="inlineStr">
        <is>
          <t>Lyophilization (Freeze-drying) with Trehalose Cryoprotectant</t>
        </is>
      </c>
      <c r="F56" s="2" t="inlineStr">
        <is>
          <t>ELISA Immunoassay for protein quantification</t>
        </is>
      </c>
      <c r="G56" s="2" t="inlineStr">
        <is>
          <t>SDS-PAGE Gel Electrophoresis purity analysis</t>
        </is>
      </c>
      <c r="H56" s="2" t="inlineStr">
        <is>
          <t>Isoelectric Focusing (IEF) for charge heterogeneity</t>
        </is>
      </c>
      <c r="I56" s="8" t="inlineStr">
        <is>
          <t>1</t>
        </is>
      </c>
      <c r="J5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Recombinant DNA</t>
        </is>
      </c>
      <c r="M56" s="2" t="inlineStr">
        <is>
          <t>Product</t>
        </is>
      </c>
      <c r="N56" s="2" t="inlineStr">
        <is>
          <t>ข้อ 8 (PLE_CC1_2555 Day 2.md)</t>
        </is>
      </c>
      <c r="O56" s="2" t="inlineStr">
        <is>
          <t>ข้อสอบจริง</t>
        </is>
      </c>
      <c r="P56" s="2" t="inlineStr">
        <is>
          <t>ปี 2555</t>
        </is>
      </c>
    </row>
    <row r="57" ht="13.2" customHeight="1" s="37">
      <c r="A57" s="8" t="inlineStr">
        <is>
          <t>55</t>
        </is>
      </c>
      <c r="B57" s="2" t="inlineStr">
        <is>
          <t>วัคซีนใดต้องเก็บในช่องแช่แข็งเพื่อความคงตัวของวัคซีน</t>
        </is>
      </c>
      <c r="C57" s="2" t="n"/>
      <c r="D57" s="2" t="inlineStr">
        <is>
          <t>SDS-PAGE Gel Electrophoresis purity analysis</t>
        </is>
      </c>
      <c r="E57" s="2" t="inlineStr">
        <is>
          <t>Isoelectric Focusing (IEF) for charge heterogeneity</t>
        </is>
      </c>
      <c r="F57" s="2" t="inlineStr">
        <is>
          <t>Immunogenicity Neutralizing Antibody Assay</t>
        </is>
      </c>
      <c r="G57" s="2" t="inlineStr">
        <is>
          <t>Polysorbate 20 surfactant to prevent protein aggregation</t>
        </is>
      </c>
      <c r="H57" s="2" t="inlineStr">
        <is>
          <t>Histidine Buffer pH 6.0 formulation stability</t>
        </is>
      </c>
      <c r="I57" s="8" t="inlineStr">
        <is>
          <t>1</t>
        </is>
      </c>
      <c r="J5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Recombinant DNA</t>
        </is>
      </c>
      <c r="M57" s="2" t="inlineStr">
        <is>
          <t>Product</t>
        </is>
      </c>
      <c r="N57" s="2" t="inlineStr">
        <is>
          <t>ข้อ 9 (PLE_CC1_2555 Day 2.md)</t>
        </is>
      </c>
      <c r="O57" s="2" t="inlineStr">
        <is>
          <t>ข้อสอบจริง</t>
        </is>
      </c>
      <c r="P57" s="2" t="inlineStr">
        <is>
          <t>ปี 2555</t>
        </is>
      </c>
    </row>
    <row r="58" ht="13.2" customHeight="1" s="37">
      <c r="A58" s="8" t="inlineStr">
        <is>
          <t>56</t>
        </is>
      </c>
      <c r="B58" s="2" t="inlineStr">
        <is>
          <t>วัคซีนที่ฉีดเพื่อป้องกันการติดเชื้อวัณโรคในเด็กแรกเกิดและเป็นวัคซีนพื้นฐานของประเทศไทย ข้อใดกล่าว ถูกต้อง</t>
        </is>
      </c>
      <c r="C58" s="2" t="n"/>
      <c r="D58" s="2" t="inlineStr">
        <is>
          <t>BCG เป็นวัคซีนเชื้อเป็น (live attenuated vaccine)</t>
        </is>
      </c>
      <c r="E58" s="2" t="inlineStr">
        <is>
          <t>BCG เป็นวัคซีนชนิด toxoid</t>
        </is>
      </c>
      <c r="F58" s="2" t="inlineStr">
        <is>
          <t>BCG เป็นวัคซีนชนิด subunit vaccine</t>
        </is>
      </c>
      <c r="G58" s="2" t="inlineStr">
        <is>
          <t>Tuberculin เป็นวัคซีนเชื้อเป็น (live attenuated vaccine)</t>
        </is>
      </c>
      <c r="H58" s="2" t="inlineStr">
        <is>
          <t>Tuberculin เป็นวัคซีนชนิด toxoid</t>
        </is>
      </c>
      <c r="I58" s="8" t="inlineStr">
        <is>
          <t>1</t>
        </is>
      </c>
      <c r="J58" s="2" t="inlineStr">
        <is>
          <t>✅ คำตอบที่ถูกต้อง: ข้อ ก. BCG เป็นวัคซีนเชื้อเป็น (live attenuated vaccine)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BCG เป็นวัคซีนเชื้อเป็น (live attenuated vaccine) 💡 คำอธิบายและเหตุผลทางเภสัชกรรม:
💡 คำอธิบายและเหตุผลทางเภสัชกรรม:
การเลือก BCG เป็นวัคซีนเชื้อเป็น (live attenuated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เป็นวัคซีนชนิด toxoid): เป็น live attenuated vaccine ฉีด ID ตั้งแต่แรกเกิด (at birth) ป้องกัน severe forms of TB (TB meningitis และ miliary TB)
• ข้อ ค. (BCG เป็นวัคซีนชนิด subunit vaccine): เป็น live attenuated vaccine ฉีด ID ตั้งแต่แรกเกิด (at birth) ป้องกัน severe forms of TB (TB meningitis และ miliary TB)
• ข้อ ง. (Tuberculin เป็นวัคซีนเชื้อเป็น (live attenuated vaccine)): ข้อนี้ไม่ใช่คำตอบที่ถูกต้องสำหรับภาวะ Recombinant DNA เนื่องจากกลไกการออกฤทธิ์, efficacy หรือข้อบ่งใช้ไม่ตรงกับโจทย์ที่กำหนด
• ข้อ จ. (Tuberculin เป็นวัคซีนชนิด toxoid):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Recombinant DNA</t>
        </is>
      </c>
      <c r="M58" s="2" t="inlineStr">
        <is>
          <t>Product</t>
        </is>
      </c>
      <c r="N58" s="2" t="inlineStr">
        <is>
          <t>ข้อ 12 (PLE_CC1_Practice_Exam.md)</t>
        </is>
      </c>
      <c r="O58" s="2" t="inlineStr">
        <is>
          <t>Mock</t>
        </is>
      </c>
      <c r="P58" s="2" t="inlineStr">
        <is>
          <t>Mock สภาเภสัชฯ Practice</t>
        </is>
      </c>
    </row>
    <row r="59" ht="13.2" customHeight="1" s="37">
      <c r="A59" s="8" t="inlineStr">
        <is>
          <t>57</t>
        </is>
      </c>
      <c r="B59" s="2" t="inlineStr">
        <is>
          <t>วัคซีนใดไม่ได้จัดอยู่ในระบบ expanded program of immunization of Thailand</t>
        </is>
      </c>
      <c r="C59" s="2" t="n"/>
      <c r="D59" s="2" t="inlineStr">
        <is>
          <t>BCG</t>
        </is>
      </c>
      <c r="E59" s="2" t="inlineStr">
        <is>
          <t>OPV</t>
        </is>
      </c>
      <c r="F59" s="2" t="inlineStr">
        <is>
          <t>DTwP</t>
        </is>
      </c>
      <c r="G59" s="2" t="inlineStr">
        <is>
          <t>MMR</t>
        </is>
      </c>
      <c r="H59" s="2" t="inlineStr">
        <is>
          <t>IPV</t>
        </is>
      </c>
      <c r="I59" s="8" t="inlineStr">
        <is>
          <t>1</t>
        </is>
      </c>
      <c r="J59"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(DTwP): วัคซีนรวมคอตีบ-บาดทะยัก ฉีดกระตุ้นทุก 10 ปี หรือใช้ในหญิงตั้งครรภ์และผู้ใหญ่
• ข้อ ง. (MMR): เป็น Live attenuated vaccine รวมหัด-คางทูม-หัดเยอรมัน ให้เข็มที่ 1 ที่อายุ 9-12 เดือน และเข็มที่ 2 ที่ 18 เดือน (contraindication ในหญิงตั้งครรภ์)
• ข้อ จ. (IPV): เป็น Inactivated polio vaccine ชนิดฉีด ให้ที่อายุ 2 เดือน และ 4 เดือน เพื่อลดความเสี่ยง Vaccine-Associated Paralytic Poliomyelitis (VAPP)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Recombinant DNA</t>
        </is>
      </c>
      <c r="M59" s="2" t="inlineStr">
        <is>
          <t>Product</t>
        </is>
      </c>
      <c r="N59" s="2" t="inlineStr">
        <is>
          <t>ข้อ 31 (PLE_CC1_Practice_Exam.md)</t>
        </is>
      </c>
      <c r="O59" s="2" t="inlineStr">
        <is>
          <t>Mock</t>
        </is>
      </c>
      <c r="P59" s="2" t="inlineStr">
        <is>
          <t>Mock สภาเภสัชฯ Practice</t>
        </is>
      </c>
    </row>
    <row r="60" ht="13.2" customHeight="1" s="37">
      <c r="A60" s="8" t="inlineStr">
        <is>
          <t>58</t>
        </is>
      </c>
      <c r="B60" s="2" t="inlineStr">
        <is>
          <t>ข้อใดถูกต้องเกี่ยวกับข้อควรทราบก่อนให้วัคซีน</t>
        </is>
      </c>
      <c r="C60" s="2" t="n"/>
      <c r="D60" s="2" t="inlineStr">
        <is>
          <t>ไม่ให้วัคซีนเชื้อเป็นในหญิงตั้งครรภ์</t>
        </is>
      </c>
      <c r="E60" s="2" t="inlineStr">
        <is>
          <t>Dose ของวัคซีนขึ้นกับน้ำหนัก</t>
        </is>
      </c>
      <c r="F60" s="2" t="inlineStr">
        <is>
          <t>ส่วนประกอบในวัคซีนมีผลน้อยมากต่อการพิจารณาในการให้วัคซีน</t>
        </is>
      </c>
      <c r="G60" s="2" t="inlineStr">
        <is>
          <t>เด็กที่เคยชักจากไข้สูง สามารถให้วัคซีนได้ตามปกติ</t>
        </is>
      </c>
      <c r="H60" s="2" t="inlineStr">
        <is>
          <t>ในผู้ป่วยที่มีภูมิคุ้มกันบกพร่องควรให้วัคซีนเชื้อเป็นเพราะสามารถกระตุ้นภูมิคุ้มกัืนได้ดี หัวข้อเรื่อง ยามาลาเรีย</t>
        </is>
      </c>
      <c r="I60" s="8" t="inlineStr">
        <is>
          <t>1</t>
        </is>
      </c>
      <c r="J60" s="2" t="inlineStr">
        <is>
          <t>✅ คำตอบที่ถูกต้อง: ข้อ ก. ไม่ให้วัคซีนเชื้อเป็นในหญิงตั้งครรภ์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ไม่ให้วัคซีนเชื้อเป็นในหญิงตั้งครรภ์ 💡 คำอธิบายและเหตุผลทางเภสัชกรรม:
💡 คำอธิบายและเหตุผลทางเภสัชกรรม:
การเลือก ไม่ให้วัคซีนเชื้อเป็นในหญิงตั้งครรภ์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(Dose ของวัคซีนขึ้นกับน้ำหนัก): ข้อนี้ไม่ใช่คำตอบที่ถูกต้องสำหรับภาวะ Recombinant DNA เนื่องจากกลไกการออกฤทธิ์, efficacy หรือข้อบ่งใช้ไม่ตรงกับโจทย์ที่กำหนด
• ข้อ ค. (ส่วนประกอบในวัคซีนมีผลน้อยมากต่อการพิจารณาในการให้วัคซีน): ข้อนี้ไม่ใช่คำตอบที่ถูกต้องสำหรับภาวะ Recombinant DNA เนื่องจากกลไกการออกฤทธิ์, efficacy หรือข้อบ่งใช้ไม่ตรงกับโจทย์ที่กำหนด
• ข้อ ง. (เด็กที่เคยชักจากไข้สูง สามารถให้วัคซีนได้ตามปกติ): ข้อนี้ไม่ใช่คำตอบที่ถูกต้องสำหรับภาวะ Recombinant DNA เนื่องจากกลไกการออกฤทธิ์, efficacy หรือข้อบ่งใช้ไม่ตรงกับโจทย์ที่กำหนด
• ข้อ จ. (ในผู้ป่วยที่มีภูมิคุ้มกันบกพร่องควรให้วัคซีนเชื้อเป็นเพราะสามารถกระตุ้นภูมิคุ้มกัืนได้ดี หัวข้อเรื่อง ยามาลาเรีย):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Recombinant DNA</t>
        </is>
      </c>
      <c r="M60" s="2" t="inlineStr">
        <is>
          <t>Product</t>
        </is>
      </c>
      <c r="N60" s="2" t="inlineStr">
        <is>
          <t>ข้อ 32 (PLE_CC1_Practice_Exam.md)</t>
        </is>
      </c>
      <c r="O60" s="2" t="inlineStr">
        <is>
          <t>Mock</t>
        </is>
      </c>
      <c r="P60" s="2" t="inlineStr">
        <is>
          <t>Mock สภาเภสัชฯ Practice</t>
        </is>
      </c>
    </row>
    <row r="61" ht="13.2" customHeight="1" s="37">
      <c r="A61" s="8" t="inlineStr">
        <is>
          <t>59</t>
        </is>
      </c>
      <c r="B61" s="2" t="inlineStr">
        <is>
          <t>ข้อใดต่อไปนี้ไม่ใช่ Adverse event following immunization (AEFI) หรือภาวะผิดปกติที่เกิดขึ้นจาก การฉีดวัคซีน</t>
        </is>
      </c>
      <c r="C61" s="2" t="n"/>
      <c r="D61" s="2" t="inlineStr">
        <is>
          <t>Programmatic error</t>
        </is>
      </c>
      <c r="E61" s="2" t="inlineStr">
        <is>
          <t>Vaccine reaction</t>
        </is>
      </c>
      <c r="F61" s="2" t="inlineStr">
        <is>
          <t>Coincidental events</t>
        </is>
      </c>
      <c r="G61" s="2" t="inlineStr">
        <is>
          <t>Injection reaction 237 โรคระบบภูมิคุ้มกัน นักศึกษาเภสัชศาสตร์ชั้นปีที่ 4 รุ่นที่ 22 มหาวิทยาลัยนเรศวร สหพันธ์นิสิตนักศึกษาเภสัชศาสตร์แห่งประเทศไทย (สนภท.)</t>
        </is>
      </c>
      <c r="H61" s="2" t="inlineStr">
        <is>
          <t>Resistant reaction</t>
        </is>
      </c>
      <c r="I61" s="8" t="inlineStr">
        <is>
          <t>1</t>
        </is>
      </c>
      <c r="J61" s="2" t="inlineStr">
        <is>
          <t>✅ คำตอบที่ถูกต้อง: ข้อ ก. Programmatic error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Programmatic error 💡 คำอธิบายและเหตุผลทางเภสัชกรรม:
💡 คำอธิบายและเหตุผลทางเภสัชกรรม:
การเลือก Programmatic error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(Vaccine reaction): ข้อนี้ไม่ใช่คำตอบที่ถูกต้องสำหรับภาวะ Recombinant DNA เนื่องจากกลไกการออกฤทธิ์, efficacy หรือข้อบ่งใช้ไม่ตรงกับโจทย์ที่กำหนด
• ข้อ ค. (Coincidental events): ข้อนี้ไม่ใช่คำตอบที่ถูกต้องสำหรับภาวะ Recombinant DNA เนื่องจากกลไกการออกฤทธิ์, efficacy หรือข้อบ่งใช้ไม่ตรงกับโจทย์ที่กำหนด
• ข้อ ง. (Injection reaction 237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วัคซีนไข้สมองอักเสบเจอี ชนิดเชื้อเป็น (Live attenuated CD.JEV) ให้ 2 เข็ม ที่อายุ 9-12 เดือน และเข็ม 2 ห่างกัน 3-12 เดือน
• ข้อ จ. (Resistant reaction):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Recombinant DNA</t>
        </is>
      </c>
      <c r="M61" s="2" t="inlineStr">
        <is>
          <t>Product</t>
        </is>
      </c>
      <c r="N61" s="2" t="inlineStr">
        <is>
          <t>ข้อ 37 (PLE_CC1_Practice_Exam.md)</t>
        </is>
      </c>
      <c r="O61" s="2" t="inlineStr">
        <is>
          <t>Mock</t>
        </is>
      </c>
      <c r="P61" s="2" t="inlineStr">
        <is>
          <t>Mock สภาเภสัชฯ Practice</t>
        </is>
      </c>
    </row>
    <row r="62" ht="13.2" customHeight="1" s="37">
      <c r="A62" s="8" t="inlineStr">
        <is>
          <t>60</t>
        </is>
      </c>
      <c r="B62" s="2" t="inlineStr">
        <is>
          <t>นางปอยฝ้าย อายุ 30 ปี กำลังตั้งครรภ์ได้ 7 เดือน ต้องการฉีดวัคซีนป้องกันโรคบาดทะยัก โดยนางปอย ฝ้ายไม่เคยได้รับการฉีดวัคซีนป้องกันโรคบาดทะยักมาก่อน นางปอยฝ้ายต้องได้รับการฉีดวัคซีนโรคบาดทะยัก อย่างไร</t>
        </is>
      </c>
      <c r="C62" s="2" t="n"/>
      <c r="D62" s="2" t="inlineStr">
        <is>
          <t>นางปอยฝ้ายไม่สามารถรับการฉีดวัคซีนได้ เนื่องจากจะเกิดอันตรายต่อทารกในครรภ์</t>
        </is>
      </c>
      <c r="E62" s="2" t="inlineStr">
        <is>
          <t>นางปอยฝ้ายต้องรับการฉีดวัคซีน 3 คั้ง โดยจะฉีดเดือนที่ 1,2,6</t>
        </is>
      </c>
      <c r="F62" s="2" t="inlineStr">
        <is>
          <t>นางปอยฝ้ายควรได้รีบการฉีดวัคซีน 3 ครั้ง โดยจะฉีดเดือนที่ 0,1,7</t>
        </is>
      </c>
      <c r="G62" s="2" t="inlineStr">
        <is>
          <t>นางปอยฝ้ายควรได้รับการฉีดวัคซีน 1 ครั้ง ระหว่างตั้งครรภ์</t>
        </is>
      </c>
      <c r="H62" s="2" t="inlineStr">
        <is>
          <t>นางปอยฝ้ายควรได้รับการฉีดวัคซีน 2 ครั้ง หลังตั้งครรภ์ทันที 1 เข็มและเข็มที่ 2 ห่างจากเข็มแรก 1 เดือน</t>
        </is>
      </c>
      <c r="I62" s="8" t="inlineStr">
        <is>
          <t>1</t>
        </is>
      </c>
      <c r="J62" s="2" t="inlineStr">
        <is>
          <t>✅ คำตอบที่ถูกต้อง: ข้อ ก. นางปอยฝ้ายไม่สามารถรับการฉีดวัคซีนได้ เนื่องจากจะเกิดอันตรายต่อทารกในครรภ์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นางปอยฝ้ายไม่สามารถรับการฉีดวัคซีนได้ เนื่องจากจะเกิดอันตรายต่อทารกในครรภ์ 💡 คำอธิบายและเหตุผลทางเภสัชกรรม:
💡 คำอธิบายและเหตุผลทางเภสัชกรรม:
การเลือก นางปอยฝ้ายไม่สามารถรับการฉีดวัคซีนได้ เนื่องจากจะเกิดอันตรายต่อทารกในครรภ์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(นางปอยฝ้ายต้องรับการฉีดวัคซีน 3 คั้ง โดยจะฉีดเดือนที่ 1,2,6): ข้อนี้ไม่ใช่คำตอบที่ถูกต้องสำหรับภาวะ Recombinant DNA เนื่องจากกลไกการออกฤทธิ์, efficacy หรือข้อบ่งใช้ไม่ตรงกับโจทย์ที่กำหนด
• ข้อ ค. (นางปอยฝ้ายควรได้รีบการฉีดวัคซีน 3 ครั้ง โดยจะฉีดเดือนที่ 0,1,7): ข้อนี้ไม่ใช่คำตอบที่ถูกต้องสำหรับภาวะ Recombinant DNA เนื่องจากกลไกการออกฤทธิ์, efficacy หรือข้อบ่งใช้ไม่ตรงกับโจทย์ที่กำหนด
• ข้อ ง. (นางปอยฝ้ายควรได้รับการฉีดวัคซีน 1 ครั้ง ระหว่างตั้งครรภ์): ข้อนี้ไม่ใช่คำตอบที่ถูกต้องสำหรับภาวะ Recombinant DNA เนื่องจากกลไกการออกฤทธิ์, efficacy หรือข้อบ่งใช้ไม่ตรงกับโจทย์ที่กำหนด
• ข้อ จ. (นางปอยฝ้ายควรได้รับการฉีดวัคซีน 2 ครั้ง หลังตั้งครรภ์ทันที 1 เข็มและเข็มที่ 2 ห่างจากเข็มแรก 1 เดือน):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Recombinant DNA</t>
        </is>
      </c>
      <c r="M62" s="2" t="inlineStr">
        <is>
          <t>Product</t>
        </is>
      </c>
      <c r="N62" s="2" t="inlineStr">
        <is>
          <t>ข้อ 38 (PLE_CC1_Practice_Exam.md)</t>
        </is>
      </c>
      <c r="O62" s="2" t="inlineStr">
        <is>
          <t>Mock</t>
        </is>
      </c>
      <c r="P62" s="2" t="inlineStr">
        <is>
          <t>Mock สภาเภสัชฯ Practice</t>
        </is>
      </c>
    </row>
    <row r="63" ht="13.2" customHeight="1" s="37">
      <c r="A63" s="8" t="inlineStr">
        <is>
          <t>61</t>
        </is>
      </c>
      <c r="B63" s="2" t="inlineStr">
        <is>
          <t>สถานการณ์ที่ 1 นาง A เป็นพาหะของไวรัสตับอับเสบบี บุตรที่คลอดจากนาง A จะต้องได้รับการ จัดการอย่างไร และต้องได้รับวัคซีนไวรัสตับอับเสบบีในช่วงใดบ้าง ตามลำดับ</t>
        </is>
      </c>
      <c r="C63" s="2" t="n"/>
      <c r="D63" s="2" t="inlineStr">
        <is>
          <t>ฉีด HBV , ได้รับวัคซีนไวรัสตับอักเสบบีในเดือน 0-1-6</t>
        </is>
      </c>
      <c r="E63" s="2" t="inlineStr">
        <is>
          <t>ฉีด HBIG , ได้รับวัคซีนไวรัสตับอักเสบบีในเดือน 0-1-6</t>
        </is>
      </c>
      <c r="F63" s="2" t="inlineStr">
        <is>
          <t>ฉีด HBIG , ได้รับวัคซีนไวรัสตับอักเสบบีในเดือน 0-3-6</t>
        </is>
      </c>
      <c r="G63" s="2" t="inlineStr">
        <is>
          <t>ฉีด DTP-HB , ได้รับวัคซีนไวรัสตับอักเสบบีในเดือน 0-1-6</t>
        </is>
      </c>
      <c r="H63" s="2" t="inlineStr">
        <is>
          <t>ฉีด DTP-HBIG , ได้รับวัคซีนไวรัสตับอักเสบบีในเดือน 0-3-6 สถานการณ์ที่2 จากวัคซีนที่เลือกในข้อแรก เป็นวัคซีนเชื้อชนิดใด</t>
        </is>
      </c>
      <c r="I63" s="8" t="inlineStr">
        <is>
          <t>3</t>
        </is>
      </c>
      <c r="J63" s="2" t="inlineStr">
        <is>
          <t>✅ คำตอบที่ถูกต้อง: ข้อ ค. ฉีด HBIG , ได้รับวัคซีนไวรัสตับอักเสบบีในเดือน 0-3-6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ฉีด HBIG , ได้รับวัคซีนไวรัสตับอักเสบบีในเดือน 0-3-6 💡 คำอธิบายและเหตุผลทางเภสัชกรรม:
💡 คำอธิบายและเหตุผลทางเภสัชกรรม:
การเลือก ฉีด HBIG , ได้รับวัคซีนไวรัสตับอักเสบบีในเดือน 0-3-6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 HBV , ได้รับวัคซีนไวรัสตับอักเสบบีในเดือน 0-1-6): ข้อนี้ไม่ใช่คำตอบที่ถูกต้องสำหรับภาวะ Recombinant DNA เนื่องจากกลไกการออกฤทธิ์, efficacy หรือข้อบ่งใช้ไม่ตรงกับโจทย์ที่กำหนด
• ข้อ ข. (ฉีด HBIG , ได้รับวัคซีนไวรัสตับอักเสบบีในเดือน 0-1-6): ข้อนี้ไม่ใช่คำตอบที่ถูกต้องสำหรับภาวะ Recombinant DNA เนื่องจากกลไกการออกฤทธิ์, efficacy หรือข้อบ่งใช้ไม่ตรงกับโจทย์ที่กำหนด
• ข้อ ง. (ฉีด DTP-HB , ได้รับวัคซีนไวรัสตับอักเสบบีในเดือน 0-1-6): วัคซีนรวมคอตีบ-บาดทะยัก ฉีดกระตุ้นทุก 10 ปี หรือใช้ในหญิงตั้งครรภ์และผู้ใหญ่
• ข้อ จ. (ฉีด DTP-HBIG , ได้รับวัคซีนไวรัสตับอักเสบบีในเดือน 0-3-6 สถานการณ์ที่2 จากวัคซีนที่เลือกในข้อแรก เป็นวัคซีนเชื้อชนิดใด): วัคซีนรวมคอตีบ-บาดทะยัก ฉีดกระตุ้นทุก 10 ปี หรือใช้ในหญิงตั้งครรภ์และผู้ใหญ่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Recombinant DNA</t>
        </is>
      </c>
      <c r="M63" s="2" t="inlineStr">
        <is>
          <t>Product</t>
        </is>
      </c>
      <c r="N63" s="2" t="inlineStr">
        <is>
          <t>ข้อ 39 (PLE_CC1_Practice_Exam.md)</t>
        </is>
      </c>
      <c r="O63" s="2" t="inlineStr">
        <is>
          <t>Mock</t>
        </is>
      </c>
      <c r="P63" s="2" t="inlineStr">
        <is>
          <t>Mock สภาเภสัชฯ Practice</t>
        </is>
      </c>
    </row>
    <row r="64" ht="13.2" customHeight="1" s="37">
      <c r="A64" s="8" t="inlineStr">
        <is>
          <t>62</t>
        </is>
      </c>
      <c r="B64" s="2" t="inlineStr">
        <is>
          <t>วัคซีน MMR, VR, BCG, Influenza สามารถให้ได้ในคนท้อง ใน 4 วัคซีนนี้ มีเพียงวัคซีน Influenza ที่ สามารถให้ในคนท้องได้ ส่วน MMR, VR, BCG เป็นวัคซีนเชื้อเป็น (Live attenuated vaccine) ไม่สามารถให้ ในคนท้องได้</t>
        </is>
      </c>
      <c r="C64" s="2" t="n"/>
      <c r="D64" s="2" t="inlineStr">
        <is>
          <t>Isoelectric Focusing (IEF) for charge heterogeneity</t>
        </is>
      </c>
      <c r="E64" s="2" t="inlineStr">
        <is>
          <t>Immunogenicity Neutralizing Antibody Assay</t>
        </is>
      </c>
      <c r="F64" s="2" t="inlineStr">
        <is>
          <t>Polysorbate 20 surfactant to prevent protein aggregation</t>
        </is>
      </c>
      <c r="G64" s="2" t="inlineStr">
        <is>
          <t>Histidine Buffer pH 6.0 formulation stability</t>
        </is>
      </c>
      <c r="H64" s="2" t="inlineStr">
        <is>
          <t>Recombinant DNA Human Insulin in E. coli</t>
        </is>
      </c>
      <c r="I64" s="8" t="inlineStr">
        <is>
          <t>1</t>
        </is>
      </c>
      <c r="J6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Recombinant DNA</t>
        </is>
      </c>
      <c r="M64" s="2" t="inlineStr">
        <is>
          <t>Product</t>
        </is>
      </c>
      <c r="N64" s="2" t="inlineStr">
        <is>
          <t>ข้อ 36 (PLE_CC1_Practice_Exam.md)</t>
        </is>
      </c>
      <c r="O64" s="2" t="inlineStr">
        <is>
          <t>Mock</t>
        </is>
      </c>
      <c r="P64" s="2" t="inlineStr">
        <is>
          <t>Mock สภาเภสัชฯ Practice</t>
        </is>
      </c>
    </row>
    <row r="65" ht="13.2" customHeight="1" s="37">
      <c r="A65" s="8" t="inlineStr">
        <is>
          <t>63</t>
        </is>
      </c>
      <c r="B65" s="2" t="inlineStr">
        <is>
          <t>เพราะว่า Programmatic error เป็นความผิดพลาดในการบริหารวัคซีน Vaccine reaction เป็น เกิดการแพ้ หรือเกิดไข้ 1-2 วัน ที่เกิดจาเปฏิกิริยา immune system หลังการฉีด vaccine จะหายได้เองใน ไม่กี่วัน Coincidental eventsบังเอิญได้รับเชื้อมาก่อนรับวัคซีน ดังนั้นฉีดไปแล้วก็ยังเป็นโรค Injection Reaction อาการที่เห็นเข็มแล้วมีอาการเป็นลม</t>
        </is>
      </c>
      <c r="C65" s="2" t="n"/>
      <c r="D65" s="2" t="inlineStr">
        <is>
          <t>Histidine Buffer pH 6.0 formulation stability</t>
        </is>
      </c>
      <c r="E65" s="2" t="inlineStr">
        <is>
          <t>Recombinant DNA Human Insulin in E. coli</t>
        </is>
      </c>
      <c r="F65" s="2" t="inlineStr">
        <is>
          <t>Monoclonal Antibody IgG1 (CHO Cell Expression)</t>
        </is>
      </c>
      <c r="G65" s="2" t="inlineStr">
        <is>
          <t>Polyethylene Glycol (PEG) Conjugation for extended half-life</t>
        </is>
      </c>
      <c r="H65" s="2" t="inlineStr">
        <is>
          <t>Lyophilization (Freeze-drying) with Trehalose Cryoprotectant</t>
        </is>
      </c>
      <c r="I65" s="8" t="inlineStr">
        <is>
          <t>5</t>
        </is>
      </c>
      <c r="J65" s="2" t="inlineStr">
        <is>
          <t>✅ คำตอบที่ถูกต้อง: ข้อ จ.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Recombinant DNA</t>
        </is>
      </c>
      <c r="M65" s="2" t="inlineStr">
        <is>
          <t>Product</t>
        </is>
      </c>
      <c r="N65" s="2" t="inlineStr">
        <is>
          <t>ข้อ 37 (PLE_CC1_Practice_Exam.md)</t>
        </is>
      </c>
      <c r="O65" s="2" t="inlineStr">
        <is>
          <t>Mock</t>
        </is>
      </c>
      <c r="P65" s="2" t="inlineStr">
        <is>
          <t>Mock สภาเภสัชฯ Practice</t>
        </is>
      </c>
    </row>
    <row r="66" ht="13.2" customHeight="1" s="37">
      <c r="A66" s="8" t="inlineStr">
        <is>
          <t>64</t>
        </is>
      </c>
      <c r="B66" s="2" t="inlineStr">
        <is>
          <t>การฉีดวัคซีนป้องกันโรคบาดทะยักในหญิงมีครรภ์ เพื่อป้องกันโรคบาดทะยักในเด็กแรกเกิด ให้ซัก ประวัติการได้รับวัคซีนโดยละเอียด ถ้าหญิงมีครรภ์ไม่เคยได้รับการฉีดวัคซีนป้องกันโรคบาดทะยักมาก่อน ควรฉีดวัคซีนป้องกันโรค บาดทะยักเข้ากล้ามเนื้อ ให้ครั้งละ 0.5 มล. รวม 3 ครั้ง โดยเริ่มฉีดครั้งที่ 1 ให้ในโอกาสแรกที่พบ จะเป็นระยะ ตั้งครรภ์เดือนไหนก็ได้ ครั้งที่ 2 ห่างจากครั้งที่ 1 อย่างน้อย 1 เดือนและครั้งที่ 3 ห่างจากครั้งที่ 2 อย่างน้อย 6 เดือน (ถ้าฉีดให้ไม่ทันในขณะตั้งครรภ์ ก็ให้หลังคลอด)</t>
        </is>
      </c>
      <c r="C66" s="2" t="n"/>
      <c r="D66" s="2" t="inlineStr">
        <is>
          <t>Polyethylene Glycol (PEG) Conjugation for extended half-life</t>
        </is>
      </c>
      <c r="E66" s="2" t="inlineStr">
        <is>
          <t>Lyophilization (Freeze-drying) with Trehalose Cryoprotectant</t>
        </is>
      </c>
      <c r="F66" s="2" t="inlineStr">
        <is>
          <t>ELISA Immunoassay for protein quantification</t>
        </is>
      </c>
      <c r="G66" s="2" t="inlineStr">
        <is>
          <t>SDS-PAGE Gel Electrophoresis purity analysis</t>
        </is>
      </c>
      <c r="H66" s="2" t="inlineStr">
        <is>
          <t>Isoelectric Focusing (IEF) for charge heterogeneity</t>
        </is>
      </c>
      <c r="I66" s="8" t="inlineStr">
        <is>
          <t>3</t>
        </is>
      </c>
      <c r="J66" s="2" t="inlineStr">
        <is>
          <t>✅ คำตอบที่ถูกต้อง: ข้อ ค.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Recombinant DNA</t>
        </is>
      </c>
      <c r="M66" s="2" t="inlineStr">
        <is>
          <t>Product</t>
        </is>
      </c>
      <c r="N66" s="2" t="inlineStr">
        <is>
          <t>ข้อ 38 (PLE_CC1_Practice_Exam.md)</t>
        </is>
      </c>
      <c r="O66" s="2" t="inlineStr">
        <is>
          <t>Mock</t>
        </is>
      </c>
      <c r="P66" s="2" t="inlineStr">
        <is>
          <t>Mock สภาเภสัชฯ Practice</t>
        </is>
      </c>
    </row>
    <row r="67" ht="13.2" customHeight="1" s="37">
      <c r="A67" s="8" t="inlineStr">
        <is>
          <t>65</t>
        </is>
      </c>
      <c r="B67" s="2" t="inlineStr">
        <is>
          <t>ลดปัญหาการดื้อยา เรื่องที่ 11 Vaccine</t>
        </is>
      </c>
      <c r="C67" s="2" t="n"/>
      <c r="D67" s="2" t="inlineStr">
        <is>
          <t>SDS-PAGE Gel Electrophoresis purity analysis</t>
        </is>
      </c>
      <c r="E67" s="2" t="inlineStr">
        <is>
          <t>Isoelectric Focusing (IEF) for charge heterogeneity</t>
        </is>
      </c>
      <c r="F67" s="2" t="inlineStr">
        <is>
          <t>Immunogenicity Neutralizing Antibody Assay</t>
        </is>
      </c>
      <c r="G67" s="2" t="inlineStr">
        <is>
          <t>Polysorbate 20 surfactant to prevent protein aggregation</t>
        </is>
      </c>
      <c r="H67" s="2" t="inlineStr">
        <is>
          <t>Histidine Buffer pH 6.0 formulation stability</t>
        </is>
      </c>
      <c r="I67" s="8" t="inlineStr">
        <is>
          <t>1</t>
        </is>
      </c>
      <c r="J6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Recombinant DNA</t>
        </is>
      </c>
      <c r="M67" s="2" t="inlineStr">
        <is>
          <t>Product</t>
        </is>
      </c>
      <c r="N67" s="2" t="inlineStr">
        <is>
          <t>ข้อ 5 (PLE_CC1_Key_Rx20_UBU.md)</t>
        </is>
      </c>
      <c r="O67" s="2" t="inlineStr">
        <is>
          <t>Mock</t>
        </is>
      </c>
      <c r="P67" s="2" t="inlineStr">
        <is>
          <t>Mock Rx20 UBU</t>
        </is>
      </c>
    </row>
    <row r="68" ht="13.2" customHeight="1" s="37">
      <c r="A68" s="8" t="inlineStr">
        <is>
          <t>66</t>
        </is>
      </c>
      <c r="B68" s="2" t="inlineStr">
        <is>
          <t>เด็กแรกเกิดต้องฉีดวัคซีนป้องกันโรคอะไร</t>
        </is>
      </c>
      <c r="C68" s="2" t="n"/>
      <c r="D68" s="2" t="inlineStr">
        <is>
          <t>Polysorbate 20 surfactant to prevent protein aggregation</t>
        </is>
      </c>
      <c r="E68" s="2" t="inlineStr">
        <is>
          <t>Histidine Buffer pH 6.0 formulation stability</t>
        </is>
      </c>
      <c r="F68" s="2" t="inlineStr">
        <is>
          <t>Recombinant DNA Human Insulin in E. coli</t>
        </is>
      </c>
      <c r="G68" s="2" t="inlineStr">
        <is>
          <t>Monoclonal Antibody IgG1 (CHO Cell Expression)</t>
        </is>
      </c>
      <c r="H68" s="2" t="inlineStr">
        <is>
          <t>Polyethylene Glycol (PEG) Conjugation for extended half-life</t>
        </is>
      </c>
      <c r="I68" s="8" t="inlineStr">
        <is>
          <t>1</t>
        </is>
      </c>
      <c r="J6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จ.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Recombinant DNA</t>
        </is>
      </c>
      <c r="M68" s="2" t="inlineStr">
        <is>
          <t>Product</t>
        </is>
      </c>
      <c r="N68" s="2" t="inlineStr">
        <is>
          <t>ข้อ 1 (PLE_CC1_Key_Rx20_UBU.md)</t>
        </is>
      </c>
      <c r="O68" s="2" t="inlineStr">
        <is>
          <t>Mock</t>
        </is>
      </c>
      <c r="P68" s="2" t="inlineStr">
        <is>
          <t>Mock Rx20 UBU</t>
        </is>
      </c>
    </row>
    <row r="69" ht="13.2" customHeight="1" s="37">
      <c r="A69" s="8" t="inlineStr">
        <is>
          <t>67</t>
        </is>
      </c>
      <c r="B69" s="2" t="inlineStr">
        <is>
          <t>วัคซีน DTP ต้องฉีดห่างกันกี่เดือน</t>
        </is>
      </c>
      <c r="C69" s="2" t="n"/>
      <c r="D69" s="2" t="inlineStr">
        <is>
          <t>Monoclonal Antibody IgG1 (CHO Cell Expression)</t>
        </is>
      </c>
      <c r="E69" s="2" t="inlineStr">
        <is>
          <t>Polyethylene Glycol (PEG) Conjugation for extended half-life</t>
        </is>
      </c>
      <c r="F69" s="2" t="inlineStr">
        <is>
          <t>Lyophilization (Freeze-drying) with Trehalose Cryoprotectant</t>
        </is>
      </c>
      <c r="G69" s="2" t="inlineStr">
        <is>
          <t>ELISA Immunoassay for protein quantification</t>
        </is>
      </c>
      <c r="H69" s="2" t="inlineStr">
        <is>
          <t>SDS-PAGE Gel Electrophoresis purity analysis</t>
        </is>
      </c>
      <c r="I69" s="8" t="inlineStr">
        <is>
          <t>1</t>
        </is>
      </c>
      <c r="J6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2" t="n"/>
      <c r="L69" s="2" t="inlineStr">
        <is>
          <t>Recombinant DNA</t>
        </is>
      </c>
      <c r="M69" s="2" t="inlineStr">
        <is>
          <t>Product</t>
        </is>
      </c>
      <c r="N69" s="2" t="inlineStr">
        <is>
          <t>ข้อ 4 (PLE_CC1_Key_Rx20_UBU.md)</t>
        </is>
      </c>
      <c r="O69" s="2" t="inlineStr">
        <is>
          <t>Mock</t>
        </is>
      </c>
      <c r="P69" s="2" t="inlineStr">
        <is>
          <t>Mock Rx20 UBU</t>
        </is>
      </c>
    </row>
    <row r="70" ht="13.2" customHeight="1" s="37">
      <c r="A70" s="8" t="inlineStr">
        <is>
          <t>68</t>
        </is>
      </c>
      <c r="B70" s="2" t="inlineStr">
        <is>
          <t>ไม่ต้องฉีดแล้ว เพราะวัคซีน HepB ฉีดแค่สองเข็ม เนื่องจากเด็กทุกคนต้องได้รับอย่างน้อย 3 ครั้งถ้าไม่มีข้อห้ามและเข็มสุดท้าย</t>
        </is>
      </c>
      <c r="C70" s="2" t="n"/>
      <c r="D70" s="2" t="inlineStr">
        <is>
          <t>ELISA Immunoassay for protein quantification</t>
        </is>
      </c>
      <c r="E70" s="2" t="inlineStr">
        <is>
          <t>SDS-PAGE Gel Electrophoresis purity analysis</t>
        </is>
      </c>
      <c r="F70" s="2" t="inlineStr">
        <is>
          <t>Isoelectric Focusing (IEF) for charge heterogeneity</t>
        </is>
      </c>
      <c r="G70" s="2" t="inlineStr">
        <is>
          <t>Immunogenicity Neutralizing Antibody Assay</t>
        </is>
      </c>
      <c r="H70" s="2" t="inlineStr">
        <is>
          <t>Polysorbate 20 surfactant to prevent protein aggregation</t>
        </is>
      </c>
      <c r="I70" s="8" t="inlineStr">
        <is>
          <t>1</t>
        </is>
      </c>
      <c r="J7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2" t="n"/>
      <c r="L70" s="2" t="inlineStr">
        <is>
          <t>Recombinant DNA</t>
        </is>
      </c>
      <c r="M70" s="2" t="inlineStr">
        <is>
          <t>Product</t>
        </is>
      </c>
      <c r="N70" s="2" t="inlineStr">
        <is>
          <t>ข้อ 5 (PLE_CC1_Key_Rx20_UBU.md)</t>
        </is>
      </c>
      <c r="O70" s="2" t="inlineStr">
        <is>
          <t>Mock</t>
        </is>
      </c>
      <c r="P70" s="2" t="inlineStr">
        <is>
          <t>Mock Rx20 UBU</t>
        </is>
      </c>
    </row>
    <row r="71" ht="13.2" customHeight="1" s="37">
      <c r="A71" s="8" t="inlineStr">
        <is>
          <t>69</t>
        </is>
      </c>
      <c r="B71" s="2" t="inlineStr">
        <is>
          <t>ใส่ Alum ใน Vaccine เพื่อเป็น Adjuvant มีประโยชน์อย่างไร</t>
        </is>
      </c>
      <c r="C71" s="2" t="n"/>
      <c r="D71" s="2" t="inlineStr">
        <is>
          <t>Immunogenicity Neutralizing Antibody Assay</t>
        </is>
      </c>
      <c r="E71" s="2" t="inlineStr">
        <is>
          <t>Polysorbate 20 surfactant to prevent protein aggregation</t>
        </is>
      </c>
      <c r="F71" s="2" t="inlineStr">
        <is>
          <t>Histidine Buffer pH 6.0 formulation stability</t>
        </is>
      </c>
      <c r="G71" s="2" t="inlineStr">
        <is>
          <t>Recombinant DNA Human Insulin in E. coli</t>
        </is>
      </c>
      <c r="H71" s="2" t="inlineStr">
        <is>
          <t>Monoclonal Antibody IgG1 (CHO Cell Expression)</t>
        </is>
      </c>
      <c r="I71" s="8" t="inlineStr">
        <is>
          <t>1</t>
        </is>
      </c>
      <c r="J7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2" t="n"/>
      <c r="L71" s="2" t="inlineStr">
        <is>
          <t>Recombinant DNA</t>
        </is>
      </c>
      <c r="M71" s="2" t="inlineStr">
        <is>
          <t>Product</t>
        </is>
      </c>
      <c r="N71" s="2" t="inlineStr">
        <is>
          <t>ข้อ 7 (PLE_CC1_Key_Rx20_UBU.md)</t>
        </is>
      </c>
      <c r="O71" s="2" t="inlineStr">
        <is>
          <t>Mock</t>
        </is>
      </c>
      <c r="P71" s="2" t="inlineStr">
        <is>
          <t>Mock Rx20 UBU</t>
        </is>
      </c>
    </row>
    <row r="72" ht="13.2" customHeight="1" s="37">
      <c r="A72" s="8" t="inlineStr">
        <is>
          <t>70</t>
        </is>
      </c>
      <c r="B72" s="2" t="inlineStr">
        <is>
          <t>ต้านเชื้อจุลชีพขึ้น การใช้สารเสริมฤทธิ์ในวัคซีน (adjuvant) เมื่อนำมาใช้กับวัคซีนจึงเปนแอนติเจนที่ชวยใหวัคซีนกระตุน ระบบภูมิคุมกันไดดี ทำใหมีการสรางภูมิคุมกันจำเพาะที่มากขึ้น และอยูในรางกายได้นานขึ้น ซึ่งในอดีตมีการใช้เพียงชนิดเดียวคือ aluminium salt (aluminium hydroxide,aluminium sulfate)</t>
        </is>
      </c>
      <c r="C72" s="2" t="n"/>
      <c r="D72" s="2" t="inlineStr">
        <is>
          <t>Recombinant DNA Human Insulin in E. coli</t>
        </is>
      </c>
      <c r="E72" s="2" t="inlineStr">
        <is>
          <t>Monoclonal Antibody IgG1 (CHO Cell Expression)</t>
        </is>
      </c>
      <c r="F72" s="2" t="inlineStr">
        <is>
          <t>Polyethylene Glycol (PEG) Conjugation for extended half-life</t>
        </is>
      </c>
      <c r="G72" s="2" t="inlineStr">
        <is>
          <t>Lyophilization (Freeze-drying) with Trehalose Cryoprotectant</t>
        </is>
      </c>
      <c r="H72" s="2" t="inlineStr">
        <is>
          <t>ELISA Immunoassay for protein quantification</t>
        </is>
      </c>
      <c r="I72" s="8" t="inlineStr">
        <is>
          <t>1</t>
        </is>
      </c>
      <c r="J7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2" t="n"/>
      <c r="L72" s="2" t="inlineStr">
        <is>
          <t>Recombinant DNA</t>
        </is>
      </c>
      <c r="M72" s="2" t="inlineStr">
        <is>
          <t>Product</t>
        </is>
      </c>
      <c r="N72" s="2" t="inlineStr">
        <is>
          <t>ข้อ 5 (PLE_CC1_Key_Rx20_UBU.md)</t>
        </is>
      </c>
      <c r="O72" s="2" t="inlineStr">
        <is>
          <t>Mock</t>
        </is>
      </c>
      <c r="P72" s="2" t="inlineStr">
        <is>
          <t>Mock Rx20 UBU</t>
        </is>
      </c>
    </row>
    <row r="73" ht="13.2" customHeight="1" s="37">
      <c r="A73" s="8" t="inlineStr">
        <is>
          <t>71</t>
        </is>
      </c>
      <c r="B73" s="2" t="inlineStr">
        <is>
          <t>ควรใช้วิธีใดในการทาให้วัคซีนประศจากเชื้อ</t>
        </is>
      </c>
      <c r="C73" s="2" t="n"/>
      <c r="D73" s="2" t="inlineStr">
        <is>
          <t>Lyophilization (Freeze-drying) with Trehalose Cryoprotectant</t>
        </is>
      </c>
      <c r="E73" s="2" t="inlineStr">
        <is>
          <t>ELISA Immunoassay for protein quantification</t>
        </is>
      </c>
      <c r="F73" s="2" t="inlineStr">
        <is>
          <t>SDS-PAGE Gel Electrophoresis purity analysis</t>
        </is>
      </c>
      <c r="G73" s="2" t="inlineStr">
        <is>
          <t>Isoelectric Focusing (IEF) for charge heterogeneity</t>
        </is>
      </c>
      <c r="H73" s="2" t="inlineStr">
        <is>
          <t>Immunogenicity Neutralizing Antibody Assay</t>
        </is>
      </c>
      <c r="I73" s="8" t="inlineStr">
        <is>
          <t>1</t>
        </is>
      </c>
      <c r="J7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2" t="n"/>
      <c r="L73" s="2" t="inlineStr">
        <is>
          <t>Recombinant DNA</t>
        </is>
      </c>
      <c r="M73" s="2" t="inlineStr">
        <is>
          <t>Product</t>
        </is>
      </c>
      <c r="N73" s="2" t="inlineStr">
        <is>
          <t>ข้อ 8 (PLE_CC1_Key_Rx20_UBU.md)</t>
        </is>
      </c>
      <c r="O73" s="2" t="inlineStr">
        <is>
          <t>Mock</t>
        </is>
      </c>
      <c r="P73" s="2" t="inlineStr">
        <is>
          <t>Mock Rx20 UBU</t>
        </is>
      </c>
    </row>
    <row r="74" ht="13.2" customHeight="1" s="37">
      <c r="A74" s="8" t="inlineStr">
        <is>
          <t>72</t>
        </is>
      </c>
      <c r="B74" s="2" t="inlineStr">
        <is>
          <t>วัคซีนใดต้องเก็บในช่องแช่แข็งเพื่อความคงตัวของวัคซีน</t>
        </is>
      </c>
      <c r="C74" s="2" t="n"/>
      <c r="D74" s="2" t="inlineStr">
        <is>
          <t>Isoelectric Focusing (IEF) for charge heterogeneity</t>
        </is>
      </c>
      <c r="E74" s="2" t="inlineStr">
        <is>
          <t>Immunogenicity Neutralizing Antibody Assay</t>
        </is>
      </c>
      <c r="F74" s="2" t="inlineStr">
        <is>
          <t>Polysorbate 20 surfactant to prevent protein aggregation</t>
        </is>
      </c>
      <c r="G74" s="2" t="inlineStr">
        <is>
          <t>Histidine Buffer pH 6.0 formulation stability</t>
        </is>
      </c>
      <c r="H74" s="2" t="inlineStr">
        <is>
          <t>Recombinant DNA Human Insulin in E. coli</t>
        </is>
      </c>
      <c r="I74" s="8" t="inlineStr">
        <is>
          <t>1</t>
        </is>
      </c>
      <c r="J7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2" t="n"/>
      <c r="L74" s="2" t="inlineStr">
        <is>
          <t>Recombinant DNA</t>
        </is>
      </c>
      <c r="M74" s="2" t="inlineStr">
        <is>
          <t>Product</t>
        </is>
      </c>
      <c r="N74" s="2" t="inlineStr">
        <is>
          <t>ข้อ 9 (PLE_CC1_Key_Rx20_UBU.md)</t>
        </is>
      </c>
      <c r="O74" s="2" t="inlineStr">
        <is>
          <t>Mock</t>
        </is>
      </c>
      <c r="P74" s="2" t="inlineStr">
        <is>
          <t>Mock Rx20 UBU</t>
        </is>
      </c>
    </row>
    <row r="75" ht="13.2" customHeight="1" s="37">
      <c r="A75" s="8" t="inlineStr">
        <is>
          <t>73</t>
        </is>
      </c>
      <c r="B75" s="2" t="inlineStr">
        <is>
          <t>วัคซีน BCG เปญนชนิดใด</t>
        </is>
      </c>
      <c r="C75" s="2" t="n"/>
      <c r="D75" s="2" t="inlineStr">
        <is>
          <t>เชื้อเปญน</t>
        </is>
      </c>
      <c r="E75" s="2" t="inlineStr">
        <is>
          <t>เชื้อตายทั้งหมด</t>
        </is>
      </c>
      <c r="F75" s="2" t="inlineStr">
        <is>
          <t>เชื้อตายบางสGวน</t>
        </is>
      </c>
      <c r="G75" s="2" t="inlineStr">
        <is>
          <t>toxoid</t>
        </is>
      </c>
      <c r="H75" s="2" t="inlineStr">
        <is>
          <t>Lyophilization (Freeze-drying) with Trehalose Cryoprotectant</t>
        </is>
      </c>
      <c r="I75" s="8" t="inlineStr">
        <is>
          <t>2</t>
        </is>
      </c>
      <c r="J75" s="2" t="inlineStr">
        <is>
          <t>✅ คำตอบที่ถูกต้อง: ข้อ ข. เชื้อตายทั้งหมด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เชื้อตายทั้งหมด 💡 คำอธิบายและเหตุผลทางเภสัชกรรม:
💡 คำอธิบายและเหตุผลทางเภสัชกรรม:
การเลือก เชื้อตายทั้งหมด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(เชื้อเปญน): ข้อนี้ไม่ใช่คำตอบที่ถูกต้องสำหรับภาวะ Recombinant DNA เนื่องจากกลไกการออกฤทธิ์, efficacy หรือข้อบ่งใช้ไม่ตรงกับโจทย์ที่กำหนด
• ข้อ ค. (เชื้อตายบางสGวน): ข้อนี้ไม่ใช่คำตอบที่ถูกต้องสำหรับภาวะ Recombinant DNA เนื่องจากกลไกการออกฤทธิ์, efficacy หรือข้อบ่งใช้ไม่ตรงกับโจทย์ที่กำหนด
• ข้อ ง. (toxoid):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2" t="n"/>
      <c r="L75" s="2" t="inlineStr">
        <is>
          <t>Recombinant DNA</t>
        </is>
      </c>
      <c r="M75" s="2" t="inlineStr">
        <is>
          <t>Product</t>
        </is>
      </c>
      <c r="N75" s="2" t="inlineStr">
        <is>
          <t>ข้อ 16 (PLE_CC1_Key_Rx20_UBU.md)</t>
        </is>
      </c>
      <c r="O75" s="2" t="inlineStr">
        <is>
          <t>Mock</t>
        </is>
      </c>
      <c r="P75" s="2" t="inlineStr">
        <is>
          <t>Mock Rx20 UBU</t>
        </is>
      </c>
    </row>
    <row r="76" ht="13.2" customHeight="1" s="37">
      <c r="A76" s="8" t="inlineStr">
        <is>
          <t>74</t>
        </is>
      </c>
      <c r="B76" s="2" t="inlineStr">
        <is>
          <t>วัคซีนใดที่ฉีดในเด็กอายุ 6 เดือน</t>
        </is>
      </c>
      <c r="C76" s="2" t="n"/>
      <c r="D76" s="2" t="inlineStr">
        <is>
          <t>HBV, DTP, OPV</t>
        </is>
      </c>
      <c r="E76" s="2" t="inlineStr">
        <is>
          <t>MMR, DTP, OPV</t>
        </is>
      </c>
      <c r="F76" s="2" t="inlineStr">
        <is>
          <t>BCG, HBV, DTP</t>
        </is>
      </c>
      <c r="G76" s="2" t="inlineStr">
        <is>
          <t>JE, HBV, OPV</t>
        </is>
      </c>
      <c r="H76" s="2" t="inlineStr">
        <is>
          <t>MMR, JE,DTP</t>
        </is>
      </c>
      <c r="I76" s="8" t="inlineStr">
        <is>
          <t>1</t>
        </is>
      </c>
      <c r="J76" s="2" t="inlineStr">
        <is>
          <t>✅ คำตอบที่ถูกต้อง: ข้อ ก. HBV, DTP, OPV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HBV, DTP, OPV 💡 คำอธิบายและเหตุผลทางเภสัชกรรม:
💡 คำอธิบายและเหตุผลทางเภสัชกรรม:
การเลือก HBV, DTP, 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 DTP, OPV): เป็น Live attenuated oral polio vaccine หยอดทางปากที่อายุ 2, 4, 6 เดือน และ 1.5, 4 ปี (ต้องให้คู่กับ IPV เพื่อความปลอดภัย)
• ข้อ ค. (BCG, HBV, DTP): เป็น live attenuated vaccine ฉีด ID ตั้งแต่แรกเกิด (at birth) ป้องกัน severe forms of TB (TB meningitis และ miliary TB)
• ข้อ ง. (JE, HBV, OPV): เป็น Live attenuated oral polio vaccine หยอดทางปากที่อายุ 2, 4, 6 เดือน และ 1.5, 4 ปี (ต้องให้คู่กับ IPV เพื่อความปลอดภัย)
• ข้อ จ. (MMR, JE,DTP):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2" t="n"/>
      <c r="L76" s="2" t="inlineStr">
        <is>
          <t>Recombinant DNA</t>
        </is>
      </c>
      <c r="M76" s="2" t="inlineStr">
        <is>
          <t>Product</t>
        </is>
      </c>
      <c r="N76" s="2" t="inlineStr">
        <is>
          <t>ข้อ 2 (PLE_CC1_Key_Rx20_UBU.md)</t>
        </is>
      </c>
      <c r="O76" s="2" t="inlineStr">
        <is>
          <t>Mock</t>
        </is>
      </c>
      <c r="P76" s="2" t="inlineStr">
        <is>
          <t>Mock Rx20 UBU</t>
        </is>
      </c>
    </row>
    <row r="77" ht="13.2" customHeight="1" s="37">
      <c r="A77" s="8" t="inlineStr">
        <is>
          <t>75</t>
        </is>
      </c>
      <c r="B77" s="2" t="inlineStr">
        <is>
          <t>ถ้าวันนี้เป็นวันครบกำหนดฉีดวัคซีนพอดี จะฉีดวัคซีนให้เด็กรายนี้หรือไม่เพราะเหตุใด</t>
        </is>
      </c>
      <c r="C77" s="2" t="n"/>
      <c r="D77" s="2" t="inlineStr">
        <is>
          <t>ฉีดให้ แต่ฉีดวัคซีนเชื้อเป็นและเชื้อตายคนละตำแหน่ง</t>
        </is>
      </c>
      <c r="E77" s="2" t="inlineStr">
        <is>
          <t>ฉีดให้เฉพาะเชื้อตาย</t>
        </is>
      </c>
      <c r="F77" s="2" t="inlineStr">
        <is>
          <t>ไม่ฉีดให้เนื่องจากได้รับหรือสร้างภูมิแล้ว</t>
        </is>
      </c>
      <c r="G77" s="2" t="inlineStr">
        <is>
          <t>ไม่ฉีดให้เนื่องจากมีไข้สูง</t>
        </is>
      </c>
      <c r="H77" s="2" t="inlineStr">
        <is>
          <t>ไม่ฉีดให้เนื่องจากเป็นวัคซีนผสมหลายชนิด</t>
        </is>
      </c>
      <c r="I77" s="8" t="inlineStr">
        <is>
          <t>4</t>
        </is>
      </c>
      <c r="J77" s="2" t="inlineStr">
        <is>
          <t>✅ คำตอบที่ถูกต้อง: ข้อ ง. ไม่ฉีดให้เนื่องจากมีไข้สูง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ไม่ฉีดให้เนื่องจากมีไข้สูง 💡 คำอธิบายและเหตุผลทางเภสัชกรรม:
💡 คำอธิบายและเหตุผลทางเภสัชกรรม:
การเลือก ไม่ฉีดให้เนื่องจากมีไข้สูง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(ฉีดให้ แต่ฉีดวัคซีนเชื้อเป็นและเชื้อตายคนละตำแหน่ง): ข้อนี้ไม่ใช่คำตอบที่ถูกต้องสำหรับภาวะ Recombinant DNA เนื่องจากกลไกการออกฤทธิ์, efficacy หรือข้อบ่งใช้ไม่ตรงกับโจทย์ที่กำหนด
• ข้อ ข. (ฉีดให้เฉพาะเชื้อตาย): ข้อนี้ไม่ใช่คำตอบที่ถูกต้องสำหรับภาวะ Recombinant DNA เนื่องจากกลไกการออกฤทธิ์, efficacy หรือข้อบ่งใช้ไม่ตรงกับโจทย์ที่กำหนด
• ข้อ ค. (ไม่ฉีดให้เนื่องจากได้รับหรือสร้างภูมิแล้ว): ข้อนี้ไม่ใช่คำตอบที่ถูกต้องสำหรับภาวะ Recombinant DNA เนื่องจากกลไกการออกฤทธิ์, efficacy หรือข้อบ่งใช้ไม่ตรงกับโจทย์ที่กำหนด
• ข้อ จ. (ไม่ฉีดให้เนื่องจากเป็นวัคซีนผสมหลายชนิด):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2" t="n"/>
      <c r="L77" s="2" t="inlineStr">
        <is>
          <t>Recombinant DNA</t>
        </is>
      </c>
      <c r="M77" s="2" t="inlineStr">
        <is>
          <t>Product</t>
        </is>
      </c>
      <c r="N77" s="2" t="inlineStr">
        <is>
          <t>ข้อ 3 (PLE_CC1_Key_Rx20_UBU.md)</t>
        </is>
      </c>
      <c r="O77" s="2" t="inlineStr">
        <is>
          <t>Mock</t>
        </is>
      </c>
      <c r="P77" s="2" t="inlineStr">
        <is>
          <t>Mock Rx20 UBU</t>
        </is>
      </c>
    </row>
    <row r="78" ht="13.2" customHeight="1" s="37">
      <c r="A78" s="8" t="inlineStr">
        <is>
          <t>76</t>
        </is>
      </c>
      <c r="B78" s="2" t="inlineStr">
        <is>
          <t>ข้อใดคือน้ำที่ใชในการผลิตวัคซีนที่ใช้ในระดับอุตสาหกรรม</t>
        </is>
      </c>
      <c r="C78" s="2" t="n"/>
      <c r="D78" s="2" t="inlineStr">
        <is>
          <t>Purified water</t>
        </is>
      </c>
      <c r="E78" s="2" t="inlineStr">
        <is>
          <t>Distilled water</t>
        </is>
      </c>
      <c r="F78" s="2" t="inlineStr">
        <is>
          <t>Recombinant DNA Human Insulin in E. coli</t>
        </is>
      </c>
      <c r="G78" s="2" t="inlineStr">
        <is>
          <t>Water for injection</t>
        </is>
      </c>
      <c r="H78" s="2" t="inlineStr">
        <is>
          <t>Sterile water for injection</t>
        </is>
      </c>
      <c r="I78" s="8" t="inlineStr">
        <is>
          <t>5</t>
        </is>
      </c>
      <c r="J78" s="2" t="inlineStr">
        <is>
          <t>✅ คำตอบที่ถูกต้อง: ข้อ จ. Sterile water for injection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water for injection 💡 คำอธิบายและเหตุผลทางเภสัชกรรม:
💡 คำอธิบายและเหตุผลทางเภสัชกรรม:
การเลือก Sterile water for injection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Biotechnology-Derived Articles &amp; WHO Guidelines on Biosimilars
🔍 ข้ออื่นผิดเพราะอะไร:
• ข้อ ก. (Purified water): ข้อนี้ไม่ใช่คำตอบที่ถูกต้องสำหรับภาวะ Recombinant DNA เนื่องจากกลไกการออกฤทธิ์, efficacy หรือข้อบ่งใช้ไม่ตรงกับโจทย์ที่กำหนด
• ข้อ ข. (Distilled water):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(Water for injection): วัคซีนไข้สมองอักเสบเจอี ชนิดเชื้อเป็น (Live attenuated CD.JEV) ให้ 2 เข็ม ที่อายุ 9-12 เดือน และเข็ม 2 ห่างกัน 3-12 เดือน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2" t="n"/>
      <c r="L78" s="2" t="inlineStr">
        <is>
          <t>Recombinant DNA</t>
        </is>
      </c>
      <c r="M78" s="2" t="inlineStr">
        <is>
          <t>Product</t>
        </is>
      </c>
      <c r="N78" s="2" t="inlineStr">
        <is>
          <t>ข้อ 7 (PLE_CC1_Key_Rx20_UBU.md)</t>
        </is>
      </c>
      <c r="O78" s="2" t="inlineStr">
        <is>
          <t>Mock</t>
        </is>
      </c>
      <c r="P78" s="2" t="inlineStr">
        <is>
          <t>Mock Rx20 UBU</t>
        </is>
      </c>
    </row>
    <row r="79" ht="13.2" customHeight="1" s="37">
      <c r="A79" s="8" t="inlineStr">
        <is>
          <t>77</t>
        </is>
      </c>
      <c r="B79" s="2" t="inlineStr">
        <is>
          <t>ฉีดให้ แต่ฉีดวัคซีนเชื้อเป็นและเชื้อตายคนละ ตำแหน่งกัน</t>
        </is>
      </c>
      <c r="C79" s="2" t="n"/>
      <c r="D79" s="2" t="inlineStr">
        <is>
          <t>Monoclonal Antibody IgG1 (CHO Cell Expression)</t>
        </is>
      </c>
      <c r="E79" s="2" t="inlineStr">
        <is>
          <t>Polyethylene Glycol (PEG) Conjugation for extended half-life</t>
        </is>
      </c>
      <c r="F79" s="2" t="inlineStr">
        <is>
          <t>Lyophilization (Freeze-drying) with Trehalose Cryoprotectant</t>
        </is>
      </c>
      <c r="G79" s="2" t="inlineStr">
        <is>
          <t>ELISA Immunoassay for protein quantification</t>
        </is>
      </c>
      <c r="H79" s="2" t="inlineStr">
        <is>
          <t>SDS-PAGE Gel Electrophoresis purity analysis</t>
        </is>
      </c>
      <c r="I79" s="8" t="inlineStr">
        <is>
          <t>1</t>
        </is>
      </c>
      <c r="J7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2" t="n"/>
      <c r="L79" s="2" t="inlineStr">
        <is>
          <t>Recombinant DNA</t>
        </is>
      </c>
      <c r="M79" s="2" t="inlineStr">
        <is>
          <t>Product</t>
        </is>
      </c>
      <c r="N79" s="2" t="inlineStr">
        <is>
          <t>ข้อ 1 (PLE_CC1_Key_Rx20_UBU.md)</t>
        </is>
      </c>
      <c r="O79" s="2" t="inlineStr">
        <is>
          <t>Mock</t>
        </is>
      </c>
      <c r="P79" s="2" t="inlineStr">
        <is>
          <t>Mock Rx20 UBU</t>
        </is>
      </c>
    </row>
    <row r="80" ht="13.2" customHeight="1" s="37">
      <c r="A80" s="8" t="inlineStr">
        <is>
          <t>78</t>
        </is>
      </c>
      <c r="B80" s="2" t="inlineStr">
        <is>
          <t>ไม่ฉีดให้ เนื่องจากเป็นวัคซีนผสมหลายชนิด</t>
        </is>
      </c>
      <c r="C80" s="2" t="n"/>
      <c r="D80" s="2" t="inlineStr">
        <is>
          <t>ELISA Immunoassay for protein quantification</t>
        </is>
      </c>
      <c r="E80" s="2" t="inlineStr">
        <is>
          <t>SDS-PAGE Gel Electrophoresis purity analysis</t>
        </is>
      </c>
      <c r="F80" s="2" t="inlineStr">
        <is>
          <t>Isoelectric Focusing (IEF) for charge heterogeneity</t>
        </is>
      </c>
      <c r="G80" s="2" t="inlineStr">
        <is>
          <t>Immunogenicity Neutralizing Antibody Assay</t>
        </is>
      </c>
      <c r="H80" s="2" t="inlineStr">
        <is>
          <t>Polysorbate 20 surfactant to prevent protein aggregation</t>
        </is>
      </c>
      <c r="I80" s="8" t="inlineStr">
        <is>
          <t>4</t>
        </is>
      </c>
      <c r="J80" s="2" t="inlineStr">
        <is>
          <t>✅ คำตอบที่ถูกต้อง: ข้อ ง.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2" t="n"/>
      <c r="L80" s="2" t="inlineStr">
        <is>
          <t>Recombinant DNA</t>
        </is>
      </c>
      <c r="M80" s="2" t="inlineStr">
        <is>
          <t>Product</t>
        </is>
      </c>
      <c r="N80" s="2" t="inlineStr">
        <is>
          <t>ข้อ 5 (PLE_CC1_Key_Rx20_UBU.md)</t>
        </is>
      </c>
      <c r="O80" s="2" t="inlineStr">
        <is>
          <t>Mock</t>
        </is>
      </c>
      <c r="P80" s="2" t="inlineStr">
        <is>
          <t>Mock Rx20 UBU</t>
        </is>
      </c>
    </row>
    <row r="81" ht="13.2" customHeight="1" s="37">
      <c r="A81" s="8" t="inlineStr">
        <is>
          <t>79</t>
        </is>
      </c>
      <c r="B81" s="2" t="inlineStr">
        <is>
          <t>การได้รับวัคซีนซ้ำจะทำให้ระดับวัคซีนมากพอจน สามารถกระตุ้นภูมิได้มากขึ้น</t>
        </is>
      </c>
      <c r="C81" s="2" t="n"/>
      <c r="D81" s="2" t="inlineStr">
        <is>
          <t>Immunogenicity Neutralizing Antibody Assay</t>
        </is>
      </c>
      <c r="E81" s="2" t="inlineStr">
        <is>
          <t>Polysorbate 20 surfactant to prevent protein aggregation</t>
        </is>
      </c>
      <c r="F81" s="2" t="inlineStr">
        <is>
          <t>Histidine Buffer pH 6.0 formulation stability</t>
        </is>
      </c>
      <c r="G81" s="2" t="inlineStr">
        <is>
          <t>Recombinant DNA Human Insulin in E. coli</t>
        </is>
      </c>
      <c r="H81" s="2" t="inlineStr">
        <is>
          <t>Monoclonal Antibody IgG1 (CHO Cell Expression)</t>
        </is>
      </c>
      <c r="I81" s="8" t="inlineStr">
        <is>
          <t>1</t>
        </is>
      </c>
      <c r="J8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2" t="n"/>
      <c r="L81" s="2" t="inlineStr">
        <is>
          <t>Recombinant DNA</t>
        </is>
      </c>
      <c r="M81" s="2" t="inlineStr">
        <is>
          <t>Product</t>
        </is>
      </c>
      <c r="N81" s="2" t="inlineStr">
        <is>
          <t>ข้อ 1 (PLE_CC1_Key_Rx20_UBU.md)</t>
        </is>
      </c>
      <c r="O81" s="2" t="inlineStr">
        <is>
          <t>Mock</t>
        </is>
      </c>
      <c r="P81" s="2" t="inlineStr">
        <is>
          <t>Mock Rx20 UBU</t>
        </is>
      </c>
    </row>
    <row r="82" ht="13.2" customHeight="1" s="37">
      <c r="A82" s="8" t="inlineStr">
        <is>
          <t>80</t>
        </is>
      </c>
      <c r="B82" s="2" t="inlineStr">
        <is>
          <t>การฉีดวัคซีนซ้ำจะทำให้สามารถสร้าง antibody บางชนิดได้มากขึ้น</t>
        </is>
      </c>
      <c r="C82" s="2" t="n"/>
      <c r="D82" s="2" t="inlineStr">
        <is>
          <t>Recombinant DNA Human Insulin in E. coli</t>
        </is>
      </c>
      <c r="E82" s="2" t="inlineStr">
        <is>
          <t>Monoclonal Antibody IgG1 (CHO Cell Expression)</t>
        </is>
      </c>
      <c r="F82" s="2" t="inlineStr">
        <is>
          <t>Polyethylene Glycol (PEG) Conjugation for extended half-life</t>
        </is>
      </c>
      <c r="G82" s="2" t="inlineStr">
        <is>
          <t>Lyophilization (Freeze-drying) with Trehalose Cryoprotectant</t>
        </is>
      </c>
      <c r="H82" s="2" t="inlineStr">
        <is>
          <t>ELISA Immunoassay for protein quantification</t>
        </is>
      </c>
      <c r="I82" s="8" t="inlineStr">
        <is>
          <t>1</t>
        </is>
      </c>
      <c r="J8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2" t="n"/>
      <c r="L82" s="2" t="inlineStr">
        <is>
          <t>Recombinant DNA</t>
        </is>
      </c>
      <c r="M82" s="2" t="inlineStr">
        <is>
          <t>Product</t>
        </is>
      </c>
      <c r="N82" s="2" t="inlineStr">
        <is>
          <t>ข้อ 2 (PLE_CC1_Key_Rx20_UBU.md)</t>
        </is>
      </c>
      <c r="O82" s="2" t="inlineStr">
        <is>
          <t>Mock</t>
        </is>
      </c>
      <c r="P82" s="2" t="inlineStr">
        <is>
          <t>Mock Rx20 UBU</t>
        </is>
      </c>
    </row>
    <row r="83" ht="13.2" customHeight="1" s="37">
      <c r="A83" s="8" t="inlineStr">
        <is>
          <t>81</t>
        </is>
      </c>
      <c r="B83" s="2" t="inlineStr">
        <is>
          <t>การฉีดวัคซีนก้อนกำหนดจะช่วยให้ภูมิคุมกันขึ้นได้ เร็วขึ้นและจำนวนมากขึ้น</t>
        </is>
      </c>
      <c r="C83" s="2" t="n"/>
      <c r="D83" s="2" t="inlineStr">
        <is>
          <t>Lyophilization (Freeze-drying) with Trehalose Cryoprotectant</t>
        </is>
      </c>
      <c r="E83" s="2" t="inlineStr">
        <is>
          <t>ELISA Immunoassay for protein quantification</t>
        </is>
      </c>
      <c r="F83" s="2" t="inlineStr">
        <is>
          <t>SDS-PAGE Gel Electrophoresis purity analysis</t>
        </is>
      </c>
      <c r="G83" s="2" t="inlineStr">
        <is>
          <t>Isoelectric Focusing (IEF) for charge heterogeneity</t>
        </is>
      </c>
      <c r="H83" s="2" t="inlineStr">
        <is>
          <t>Immunogenicity Neutralizing Antibody Assay</t>
        </is>
      </c>
      <c r="I83" s="8" t="inlineStr">
        <is>
          <t>1</t>
        </is>
      </c>
      <c r="J8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Recombinant DNA</t>
        </is>
      </c>
      <c r="M83" s="2" t="inlineStr">
        <is>
          <t>Product</t>
        </is>
      </c>
      <c r="N83" s="2" t="inlineStr">
        <is>
          <t>ข้อ 3 (PLE_CC1_Key_Rx20_UBU.md)</t>
        </is>
      </c>
      <c r="O83" s="2" t="inlineStr">
        <is>
          <t>Mock</t>
        </is>
      </c>
      <c r="P83" s="2" t="inlineStr">
        <is>
          <t>Mock Rx20 UBU</t>
        </is>
      </c>
    </row>
    <row r="84" ht="13.2" customHeight="1" s="37">
      <c r="A84" s="8" t="inlineStr">
        <is>
          <t>82</t>
        </is>
      </c>
      <c r="B84" s="2" t="inlineStr">
        <is>
          <t>การเลื่อนฉีดวัคซีนช้ากว่ากำหนดจะทำให้การสร้าง antibody ลดลง</t>
        </is>
      </c>
      <c r="C84" s="2" t="n"/>
      <c r="D84" s="2" t="inlineStr">
        <is>
          <t>Isoelectric Focusing (IEF) for charge heterogeneity</t>
        </is>
      </c>
      <c r="E84" s="2" t="inlineStr">
        <is>
          <t>Immunogenicity Neutralizing Antibody Assay</t>
        </is>
      </c>
      <c r="F84" s="2" t="inlineStr">
        <is>
          <t>Polysorbate 20 surfactant to prevent protein aggregation</t>
        </is>
      </c>
      <c r="G84" s="2" t="inlineStr">
        <is>
          <t>Histidine Buffer pH 6.0 formulation stability</t>
        </is>
      </c>
      <c r="H84" s="2" t="inlineStr">
        <is>
          <t>Recombinant DNA Human Insulin in E. coli</t>
        </is>
      </c>
      <c r="I84" s="8" t="inlineStr">
        <is>
          <t>1</t>
        </is>
      </c>
      <c r="J8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2" t="n"/>
      <c r="L84" s="2" t="inlineStr">
        <is>
          <t>Recombinant DNA</t>
        </is>
      </c>
      <c r="M84" s="2" t="inlineStr">
        <is>
          <t>Product</t>
        </is>
      </c>
      <c r="N84" s="2" t="inlineStr">
        <is>
          <t>ข้อ 4 (PLE_CC1_Key_Rx20_UBU.md)</t>
        </is>
      </c>
      <c r="O84" s="2" t="inlineStr">
        <is>
          <t>Mock</t>
        </is>
      </c>
      <c r="P84" s="2" t="inlineStr">
        <is>
          <t>Mock Rx20 UBU</t>
        </is>
      </c>
    </row>
    <row r="85" ht="13.2" customHeight="1" s="37">
      <c r="A85" s="8" t="inlineStr">
        <is>
          <t>83</t>
        </is>
      </c>
      <c r="B85" s="2" t="inlineStr">
        <is>
          <t>ข้อใดคือน้ำที่ใช้ในการผลิตวัคซีนที่ใช้ในระดับอุตสาหกรรม</t>
        </is>
      </c>
      <c r="C85" s="2" t="n"/>
      <c r="D85" s="2" t="inlineStr">
        <is>
          <t>Histidine Buffer pH 6.0 formulation stability</t>
        </is>
      </c>
      <c r="E85" s="2" t="inlineStr">
        <is>
          <t>Recombinant DNA Human Insulin in E. coli</t>
        </is>
      </c>
      <c r="F85" s="2" t="inlineStr">
        <is>
          <t>Monoclonal Antibody IgG1 (CHO Cell Expression)</t>
        </is>
      </c>
      <c r="G85" s="2" t="inlineStr">
        <is>
          <t>Polyethylene Glycol (PEG) Conjugation for extended half-life</t>
        </is>
      </c>
      <c r="H85" s="2" t="inlineStr">
        <is>
          <t>Lyophilization (Freeze-drying) with Trehalose Cryoprotectant</t>
        </is>
      </c>
      <c r="I85" s="8" t="inlineStr">
        <is>
          <t>1</t>
        </is>
      </c>
      <c r="J8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2" t="n"/>
      <c r="L85" s="2" t="inlineStr">
        <is>
          <t>Recombinant DNA</t>
        </is>
      </c>
      <c r="M85" s="2" t="inlineStr">
        <is>
          <t>Product</t>
        </is>
      </c>
      <c r="N85" s="2" t="inlineStr">
        <is>
          <t>ข้อ 7 (PLE_CC1_Key_Rx20_UBU.md)</t>
        </is>
      </c>
      <c r="O85" s="2" t="inlineStr">
        <is>
          <t>Mock</t>
        </is>
      </c>
      <c r="P85" s="2" t="inlineStr">
        <is>
          <t>Mock Rx20 UBU</t>
        </is>
      </c>
    </row>
    <row r="86" ht="13.2" customHeight="1" s="37">
      <c r="A86" s="8" t="inlineStr">
        <is>
          <t>84</t>
        </is>
      </c>
      <c r="B86" s="2" t="inlineStr">
        <is>
          <t>recombinant DNA</t>
        </is>
      </c>
      <c r="C86" s="2" t="n"/>
      <c r="D86" s="2" t="inlineStr">
        <is>
          <t>Polyethylene Glycol (PEG) Conjugation for extended half-life</t>
        </is>
      </c>
      <c r="E86" s="2" t="inlineStr">
        <is>
          <t>Lyophilization (Freeze-drying) with Trehalose Cryoprotectant</t>
        </is>
      </c>
      <c r="F86" s="2" t="inlineStr">
        <is>
          <t>ELISA Immunoassay for protein quantification</t>
        </is>
      </c>
      <c r="G86" s="2" t="inlineStr">
        <is>
          <t>SDS-PAGE Gel Electrophoresis purity analysis</t>
        </is>
      </c>
      <c r="H86" s="2" t="inlineStr">
        <is>
          <t>Isoelectric Focusing (IEF) for charge heterogeneity</t>
        </is>
      </c>
      <c r="I86" s="8" t="inlineStr">
        <is>
          <t>1</t>
        </is>
      </c>
      <c r="J8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จ.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2" t="n"/>
      <c r="L86" s="2" t="inlineStr">
        <is>
          <t>Recombinant DNA</t>
        </is>
      </c>
      <c r="M86" s="2" t="inlineStr">
        <is>
          <t>Product</t>
        </is>
      </c>
      <c r="N86" s="2" t="inlineStr">
        <is>
          <t>ข้อ 2 (PLE_CC1_Key_Rx20_UBU.md)</t>
        </is>
      </c>
      <c r="O86" s="2" t="inlineStr">
        <is>
          <t>Mock</t>
        </is>
      </c>
      <c r="P86" s="2" t="inlineStr">
        <is>
          <t>Mock Rx20 UBU</t>
        </is>
      </c>
    </row>
    <row r="87" ht="13.2" customHeight="1" s="37">
      <c r="A87" s="8" t="inlineStr">
        <is>
          <t>85</t>
        </is>
      </c>
      <c r="B87" s="2" t="inlineStr">
        <is>
          <t>Sachet ------------------------------------------------------------------------------ คนที่ 7 : case 10 vaccine + case 13 HIV miagrain @Vipavanun L. Bloom Joralee Case 10: ผู้ปวยเด็กอายุ 5 ปี ถูกหมากัด เปนแผลลึก มีเลือดออกแต่ไม่ทราบประวัติการฉีดวัคซีนของผู้่ปวย</t>
        </is>
      </c>
      <c r="C87" s="2" t="n"/>
      <c r="D87" s="2" t="inlineStr">
        <is>
          <t>SDS-PAGE Gel Electrophoresis purity analysis</t>
        </is>
      </c>
      <c r="E87" s="2" t="inlineStr">
        <is>
          <t>Isoelectric Focusing (IEF) for charge heterogeneity</t>
        </is>
      </c>
      <c r="F87" s="2" t="inlineStr">
        <is>
          <t>Immunogenicity Neutralizing Antibody Assay</t>
        </is>
      </c>
      <c r="G87" s="2" t="inlineStr">
        <is>
          <t>Polysorbate 20 surfactant to prevent protein aggregation</t>
        </is>
      </c>
      <c r="H87" s="2" t="inlineStr">
        <is>
          <t>Histidine Buffer pH 6.0 formulation stability</t>
        </is>
      </c>
      <c r="I87" s="8" t="inlineStr">
        <is>
          <t>1</t>
        </is>
      </c>
      <c r="J8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2" t="n"/>
      <c r="L87" s="2" t="inlineStr">
        <is>
          <t>Recombinant DNA</t>
        </is>
      </c>
      <c r="M87" s="2" t="inlineStr">
        <is>
          <t>Product</t>
        </is>
      </c>
      <c r="N87" s="2" t="inlineStr">
        <is>
          <t>ข้อ 5 (PLE_CC1_Key_Rx20_UBU.md)</t>
        </is>
      </c>
      <c r="O87" s="2" t="inlineStr">
        <is>
          <t>Mock</t>
        </is>
      </c>
      <c r="P87" s="2" t="inlineStr">
        <is>
          <t>Mock Rx20 UBU</t>
        </is>
      </c>
    </row>
    <row r="88" ht="13.2" customHeight="1" s="37">
      <c r="A88" s="8" t="inlineStr">
        <is>
          <t>86</t>
        </is>
      </c>
      <c r="B88" s="2" t="inlineStr">
        <is>
          <t>ถามเกี่ยวกับการฉีดวัคซีน ขอใดกลาวผิด</t>
        </is>
      </c>
      <c r="C88" s="2" t="n"/>
      <c r="D88" s="2" t="inlineStr">
        <is>
          <t>Polysorbate 20 surfactant to prevent protein aggregation</t>
        </is>
      </c>
      <c r="E88" s="2" t="inlineStr">
        <is>
          <t>Histidine Buffer pH 6.0 formulation stability</t>
        </is>
      </c>
      <c r="F88" s="2" t="inlineStr">
        <is>
          <t>Recombinant DNA Human Insulin in E. coli</t>
        </is>
      </c>
      <c r="G88" s="2" t="inlineStr">
        <is>
          <t>Monoclonal Antibody IgG1 (CHO Cell Expression)</t>
        </is>
      </c>
      <c r="H88" s="2" t="inlineStr">
        <is>
          <t>Polyethylene Glycol (PEG) Conjugation for extended half-life</t>
        </is>
      </c>
      <c r="I88" s="8" t="inlineStr">
        <is>
          <t>1</t>
        </is>
      </c>
      <c r="J8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จ.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2" t="n"/>
      <c r="L88" s="2" t="inlineStr">
        <is>
          <t>Recombinant DNA</t>
        </is>
      </c>
      <c r="M88" s="2" t="inlineStr">
        <is>
          <t>Product</t>
        </is>
      </c>
      <c r="N88" s="2" t="inlineStr">
        <is>
          <t>ข้อ 1 (PLE_CC1_Key_Rx20_UBU.md)</t>
        </is>
      </c>
      <c r="O88" s="2" t="inlineStr">
        <is>
          <t>Mock</t>
        </is>
      </c>
      <c r="P88" s="2" t="inlineStr">
        <is>
          <t>Mock Rx20 UBU</t>
        </is>
      </c>
    </row>
    <row r="89" ht="13.2" customHeight="1" s="37">
      <c r="A89" s="8" t="inlineStr">
        <is>
          <t>87</t>
        </is>
      </c>
      <c r="B89" s="2" t="inlineStr">
        <is>
          <t>หากสุนัขไม่ตายภายใน 10 วันให้หยุดการฉีดวัคซีนได้</t>
        </is>
      </c>
      <c r="C89" s="2" t="n"/>
      <c r="D89" s="2" t="inlineStr">
        <is>
          <t>Monoclonal Antibody IgG1 (CHO Cell Expression)</t>
        </is>
      </c>
      <c r="E89" s="2" t="inlineStr">
        <is>
          <t>Polyethylene Glycol (PEG) Conjugation for extended half-life</t>
        </is>
      </c>
      <c r="F89" s="2" t="inlineStr">
        <is>
          <t>Lyophilization (Freeze-drying) with Trehalose Cryoprotectant</t>
        </is>
      </c>
      <c r="G89" s="2" t="inlineStr">
        <is>
          <t>ELISA Immunoassay for protein quantification</t>
        </is>
      </c>
      <c r="H89" s="2" t="inlineStr">
        <is>
          <t>SDS-PAGE Gel Electrophoresis purity analysis</t>
        </is>
      </c>
      <c r="I89" s="8" t="inlineStr">
        <is>
          <t>1</t>
        </is>
      </c>
      <c r="J8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2" t="n"/>
      <c r="L89" s="2" t="inlineStr">
        <is>
          <t>Recombinant DNA</t>
        </is>
      </c>
      <c r="M89" s="2" t="inlineStr">
        <is>
          <t>Product</t>
        </is>
      </c>
      <c r="N89" s="2" t="inlineStr">
        <is>
          <t>ข้อ 2 (PLE_CC1_Key_Rx20_UBU.md)</t>
        </is>
      </c>
      <c r="O89" s="2" t="inlineStr">
        <is>
          <t>Mock</t>
        </is>
      </c>
      <c r="P89" s="2" t="inlineStr">
        <is>
          <t>Mock Rx20 UBU</t>
        </is>
      </c>
    </row>
    <row r="90" ht="13.2" customHeight="1" s="37">
      <c r="A90" s="8" t="inlineStr">
        <is>
          <t>88</t>
        </is>
      </c>
      <c r="B90" s="2" t="inlineStr">
        <is>
          <t>วัคซีนพิษสุนัขบ้าชนิดฉีดเข้ากล้ามเนื้อสามารถเปลี่ยนไปใชผลิตภัณฑของบริษัทผู้ผลิตอื่นได้</t>
        </is>
      </c>
      <c r="C90" s="2" t="n"/>
      <c r="D90" s="2" t="inlineStr">
        <is>
          <t>ELISA Immunoassay for protein quantification</t>
        </is>
      </c>
      <c r="E90" s="2" t="inlineStr">
        <is>
          <t>SDS-PAGE Gel Electrophoresis purity analysis</t>
        </is>
      </c>
      <c r="F90" s="2" t="inlineStr">
        <is>
          <t>Isoelectric Focusing (IEF) for charge heterogeneity</t>
        </is>
      </c>
      <c r="G90" s="2" t="inlineStr">
        <is>
          <t>Immunogenicity Neutralizing Antibody Assay</t>
        </is>
      </c>
      <c r="H90" s="2" t="inlineStr">
        <is>
          <t>Polysorbate 20 surfactant to prevent protein aggregation</t>
        </is>
      </c>
      <c r="I90" s="8" t="inlineStr">
        <is>
          <t>1</t>
        </is>
      </c>
      <c r="J9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2" t="n"/>
      <c r="L90" s="2" t="inlineStr">
        <is>
          <t>Recombinant DNA</t>
        </is>
      </c>
      <c r="M90" s="2" t="inlineStr">
        <is>
          <t>Product</t>
        </is>
      </c>
      <c r="N90" s="2" t="inlineStr">
        <is>
          <t>ข้อ 3 (PLE_CC1_Key_Rx20_UBU.md)</t>
        </is>
      </c>
      <c r="O90" s="2" t="inlineStr">
        <is>
          <t>Mock</t>
        </is>
      </c>
      <c r="P90" s="2" t="inlineStr">
        <is>
          <t>Mock Rx20 UBU</t>
        </is>
      </c>
    </row>
    <row r="91" ht="13.2" customHeight="1" s="37">
      <c r="A91" s="8" t="inlineStr">
        <is>
          <t>89</t>
        </is>
      </c>
      <c r="B91" s="2" t="inlineStr">
        <is>
          <t>หากตองการฉีดวัคซีนพิษสุนัขบ้ารวมกับให้ Immunoglobulin rabies ควรฉีดที่แขนคนละข้างกัน ข้อ 1 ถูก,ข้อ2 ถูก,ข้อ 3 เปลี่ยนยี่ห้อได้หากจำเป็น แต่ไม่ควรเปลี่ยน route ข้อ 4 การฉีดอิมมูโนโกลบุลินภายหลังสัมผัสโรคพิษสุนัขบ้าการฉีดอิมมูโนโกลบุลินให้ฉีดบริเวณในและรอบแผลครบทุ กแผลให้มากที่สุดโดยไม่ต้องฉีดอิมมูโนโกลบุลินที่เหลือเข้ากล้ามเนื้อที่สะโพก เนื่องจากมีการศึกษาทั้งในสัตว์และในคนพบว่า การฉีดที่บาดแผลทุกแผลอย่างเดียวสามารถ ป้องกันการเกิดโรคพิษสุนัขบ้าได้ โดยปริมาณอิมมูโนโกลบุลินที่ฉีดทั้งหมด ไม่เกินกว่าที่คำนวณขนาดสูงสุดของอิมมูโนโกลบุลินดังเดิม คือ อิมมูโนโกลบุลิน ที่ทำจากซีรั่มม้า (ERIG) ขนาด 40 IU/กก. และ อิมมูโนโกลบุลินที่ทำจากซีรั่ม มนุษย์ (HRIG) ขนาด 20 IU/กก. (แนวทางการดูแลรักษาผู้สัมผัส โรคพิษสุนัขบ้า 2561)</t>
        </is>
      </c>
      <c r="C91" s="2" t="n"/>
      <c r="D91" s="2" t="inlineStr">
        <is>
          <t>Immunogenicity Neutralizing Antibody Assay</t>
        </is>
      </c>
      <c r="E91" s="2" t="inlineStr">
        <is>
          <t>Polysorbate 20 surfactant to prevent protein aggregation</t>
        </is>
      </c>
      <c r="F91" s="2" t="inlineStr">
        <is>
          <t>Histidine Buffer pH 6.0 formulation stability</t>
        </is>
      </c>
      <c r="G91" s="2" t="inlineStr">
        <is>
          <t>Recombinant DNA Human Insulin in E. coli</t>
        </is>
      </c>
      <c r="H91" s="2" t="inlineStr">
        <is>
          <t>Monoclonal Antibody IgG1 (CHO Cell Expression)</t>
        </is>
      </c>
      <c r="I91" s="8" t="inlineStr">
        <is>
          <t>2</t>
        </is>
      </c>
      <c r="J91" s="2" t="inlineStr">
        <is>
          <t>✅ คำตอบที่ถูกต้อง: ข้อ ข.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2" t="n"/>
      <c r="L91" s="2" t="inlineStr">
        <is>
          <t>Recombinant DNA</t>
        </is>
      </c>
      <c r="M91" s="2" t="inlineStr">
        <is>
          <t>Product</t>
        </is>
      </c>
      <c r="N91" s="2" t="inlineStr">
        <is>
          <t>ข้อ 4 (PLE_CC1_Key_Rx20_UBU.md)</t>
        </is>
      </c>
      <c r="O91" s="2" t="inlineStr">
        <is>
          <t>Mock</t>
        </is>
      </c>
      <c r="P91" s="2" t="inlineStr">
        <is>
          <t>Mock Rx20 UBU</t>
        </is>
      </c>
    </row>
    <row r="92" ht="13.2" customHeight="1" s="37">
      <c r="A92" s="8" t="inlineStr">
        <is>
          <t>90</t>
        </is>
      </c>
      <c r="B92" s="2" t="inlineStr">
        <is>
          <t>วัคซีนบาดทะยักเปนวัคซีนประเภทใด</t>
        </is>
      </c>
      <c r="C92" s="2" t="n"/>
      <c r="D92" s="2" t="inlineStr">
        <is>
          <t>Recombinant DNA Human Insulin in E. coli</t>
        </is>
      </c>
      <c r="E92" s="2" t="inlineStr">
        <is>
          <t>Monoclonal Antibody IgG1 (CHO Cell Expression)</t>
        </is>
      </c>
      <c r="F92" s="2" t="inlineStr">
        <is>
          <t>Polyethylene Glycol (PEG) Conjugation for extended half-life</t>
        </is>
      </c>
      <c r="G92" s="2" t="inlineStr">
        <is>
          <t>Lyophilization (Freeze-drying) with Trehalose Cryoprotectant</t>
        </is>
      </c>
      <c r="H92" s="2" t="inlineStr">
        <is>
          <t>ELISA Immunoassay for protein quantification</t>
        </is>
      </c>
      <c r="I92" s="8" t="inlineStr">
        <is>
          <t>1</t>
        </is>
      </c>
      <c r="J9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2" t="n"/>
      <c r="L92" s="2" t="inlineStr">
        <is>
          <t>Recombinant DNA</t>
        </is>
      </c>
      <c r="M92" s="2" t="inlineStr">
        <is>
          <t>Product</t>
        </is>
      </c>
      <c r="N92" s="2" t="inlineStr">
        <is>
          <t>ข้อ 2 (PLE_CC1_Key_Rx20_UBU.md)</t>
        </is>
      </c>
      <c r="O92" s="2" t="inlineStr">
        <is>
          <t>Mock</t>
        </is>
      </c>
      <c r="P92" s="2" t="inlineStr">
        <is>
          <t>Mock Rx20 UBU</t>
        </is>
      </c>
    </row>
    <row r="93" ht="13.2" customHeight="1" s="37">
      <c r="A93" s="8" t="inlineStr">
        <is>
          <t>91</t>
        </is>
      </c>
      <c r="B93" s="2" t="inlineStr">
        <is>
          <t>Lived atenuated vaccine</t>
        </is>
      </c>
      <c r="C93" s="2" t="n"/>
      <c r="D93" s="2" t="inlineStr">
        <is>
          <t>Lyophilization (Freeze-drying) with Trehalose Cryoprotectant</t>
        </is>
      </c>
      <c r="E93" s="2" t="inlineStr">
        <is>
          <t>ELISA Immunoassay for protein quantification</t>
        </is>
      </c>
      <c r="F93" s="2" t="inlineStr">
        <is>
          <t>SDS-PAGE Gel Electrophoresis purity analysis</t>
        </is>
      </c>
      <c r="G93" s="2" t="inlineStr">
        <is>
          <t>Isoelectric Focusing (IEF) for charge heterogeneity</t>
        </is>
      </c>
      <c r="H93" s="2" t="inlineStr">
        <is>
          <t>Immunogenicity Neutralizing Antibody Assay</t>
        </is>
      </c>
      <c r="I93" s="8" t="inlineStr">
        <is>
          <t>1</t>
        </is>
      </c>
      <c r="J9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2" t="n"/>
      <c r="L93" s="2" t="inlineStr">
        <is>
          <t>Recombinant DNA</t>
        </is>
      </c>
      <c r="M93" s="2" t="inlineStr">
        <is>
          <t>Product</t>
        </is>
      </c>
      <c r="N93" s="2" t="inlineStr">
        <is>
          <t>ข้อ 2 (PLE_CC1_Key_Rx20_UBU.md)</t>
        </is>
      </c>
      <c r="O93" s="2" t="inlineStr">
        <is>
          <t>Mock</t>
        </is>
      </c>
      <c r="P93" s="2" t="inlineStr">
        <is>
          <t>Mock Rx20 UBU</t>
        </is>
      </c>
    </row>
    <row r="94" ht="13.2" customHeight="1" s="37">
      <c r="A94" s="8" t="inlineStr">
        <is>
          <t>92</t>
        </is>
      </c>
      <c r="B94" s="2" t="inlineStr">
        <is>
          <t>Killed whole cell vaccine</t>
        </is>
      </c>
      <c r="C94" s="2" t="n"/>
      <c r="D94" s="2" t="inlineStr">
        <is>
          <t>Isoelectric Focusing (IEF) for charge heterogeneity</t>
        </is>
      </c>
      <c r="E94" s="2" t="inlineStr">
        <is>
          <t>Immunogenicity Neutralizing Antibody Assay</t>
        </is>
      </c>
      <c r="F94" s="2" t="inlineStr">
        <is>
          <t>Polysorbate 20 surfactant to prevent protein aggregation</t>
        </is>
      </c>
      <c r="G94" s="2" t="inlineStr">
        <is>
          <t>Histidine Buffer pH 6.0 formulation stability</t>
        </is>
      </c>
      <c r="H94" s="2" t="inlineStr">
        <is>
          <t>Recombinant DNA Human Insulin in E. coli</t>
        </is>
      </c>
      <c r="I94" s="8" t="inlineStr">
        <is>
          <t>1</t>
        </is>
      </c>
      <c r="J9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2" t="n"/>
      <c r="L94" s="2" t="inlineStr">
        <is>
          <t>Recombinant DNA</t>
        </is>
      </c>
      <c r="M94" s="2" t="inlineStr">
        <is>
          <t>Product</t>
        </is>
      </c>
      <c r="N94" s="2" t="inlineStr">
        <is>
          <t>ข้อ 3 (PLE_CC1_Key_Rx20_UBU.md)</t>
        </is>
      </c>
      <c r="O94" s="2" t="inlineStr">
        <is>
          <t>Mock</t>
        </is>
      </c>
      <c r="P94" s="2" t="inlineStr">
        <is>
          <t>Mock Rx20 UBU</t>
        </is>
      </c>
    </row>
    <row r="95" ht="13.2" customHeight="1" s="37">
      <c r="A95" s="8" t="inlineStr">
        <is>
          <t>93</t>
        </is>
      </c>
      <c r="B95" s="2" t="inlineStr">
        <is>
          <t>Subunit vaccine</t>
        </is>
      </c>
      <c r="C95" s="2" t="n"/>
      <c r="D95" s="2" t="inlineStr">
        <is>
          <t>Histidine Buffer pH 6.0 formulation stability</t>
        </is>
      </c>
      <c r="E95" s="2" t="inlineStr">
        <is>
          <t>Recombinant DNA Human Insulin in E. coli</t>
        </is>
      </c>
      <c r="F95" s="2" t="inlineStr">
        <is>
          <t>Monoclonal Antibody IgG1 (CHO Cell Expression)</t>
        </is>
      </c>
      <c r="G95" s="2" t="inlineStr">
        <is>
          <t>Polyethylene Glycol (PEG) Conjugation for extended half-life</t>
        </is>
      </c>
      <c r="H95" s="2" t="inlineStr">
        <is>
          <t>Lyophilization (Freeze-drying) with Trehalose Cryoprotectant</t>
        </is>
      </c>
      <c r="I95" s="8" t="inlineStr">
        <is>
          <t>1</t>
        </is>
      </c>
      <c r="J9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2" t="n"/>
      <c r="L95" s="2" t="inlineStr">
        <is>
          <t>Recombinant DNA</t>
        </is>
      </c>
      <c r="M95" s="2" t="inlineStr">
        <is>
          <t>Product</t>
        </is>
      </c>
      <c r="N95" s="2" t="inlineStr">
        <is>
          <t>ข้อ 4 (PLE_CC1_Key_Rx20_UBU.md)</t>
        </is>
      </c>
      <c r="O95" s="2" t="inlineStr">
        <is>
          <t>Mock</t>
        </is>
      </c>
      <c r="P95" s="2" t="inlineStr">
        <is>
          <t>Mock Rx20 UBU</t>
        </is>
      </c>
    </row>
    <row r="96" ht="13.2" customHeight="1" s="37">
      <c r="A96" s="8" t="inlineStr">
        <is>
          <t>94</t>
        </is>
      </c>
      <c r="B96" s="2" t="inlineStr">
        <is>
          <t>Acellular vaccine</t>
        </is>
      </c>
      <c r="C96" s="2" t="n"/>
      <c r="D96" s="2" t="inlineStr">
        <is>
          <t>Polyethylene Glycol (PEG) Conjugation for extended half-life</t>
        </is>
      </c>
      <c r="E96" s="2" t="inlineStr">
        <is>
          <t>Lyophilization (Freeze-drying) with Trehalose Cryoprotectant</t>
        </is>
      </c>
      <c r="F96" s="2" t="inlineStr">
        <is>
          <t>ELISA Immunoassay for protein quantification</t>
        </is>
      </c>
      <c r="G96" s="2" t="inlineStr">
        <is>
          <t>SDS-PAGE Gel Electrophoresis purity analysis</t>
        </is>
      </c>
      <c r="H96" s="2" t="inlineStr">
        <is>
          <t>Isoelectric Focusing (IEF) for charge heterogeneity</t>
        </is>
      </c>
      <c r="I96" s="8" t="inlineStr">
        <is>
          <t>5</t>
        </is>
      </c>
      <c r="J96" s="2" t="inlineStr">
        <is>
          <t>✅ คำตอบที่ถูกต้อง: ข้อ จ.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ข.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ค.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ง.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2" t="n"/>
      <c r="L96" s="2" t="inlineStr">
        <is>
          <t>Recombinant DNA</t>
        </is>
      </c>
      <c r="M96" s="2" t="inlineStr">
        <is>
          <t>Product</t>
        </is>
      </c>
      <c r="N96" s="2" t="inlineStr">
        <is>
          <t>ข้อ 5 (PLE_CC1_Key_Rx20_UBU.md)</t>
        </is>
      </c>
      <c r="O96" s="2" t="inlineStr">
        <is>
          <t>Mock</t>
        </is>
      </c>
      <c r="P96" s="2" t="inlineStr">
        <is>
          <t>Mock Rx20 UBU</t>
        </is>
      </c>
    </row>
    <row r="97" ht="13.2" customHeight="1" s="37">
      <c r="A97" s="8" t="inlineStr">
        <is>
          <t>95</t>
        </is>
      </c>
      <c r="B97" s="2" t="inlineStr">
        <is>
          <t>หากแพทยตองการสั่งฉีดวัคซีนบาดทะยักในผูปวยราย นี้ ขอใดถูกตอง</t>
        </is>
      </c>
      <c r="C97" s="2" t="n"/>
      <c r="D97" s="2" t="inlineStr">
        <is>
          <t>SDS-PAGE Gel Electrophoresis purity analysis</t>
        </is>
      </c>
      <c r="E97" s="2" t="inlineStr">
        <is>
          <t>Isoelectric Focusing (IEF) for charge heterogeneity</t>
        </is>
      </c>
      <c r="F97" s="2" t="inlineStr">
        <is>
          <t>Immunogenicity Neutralizing Antibody Assay</t>
        </is>
      </c>
      <c r="G97" s="2" t="inlineStr">
        <is>
          <t>Polysorbate 20 surfactant to prevent protein aggregation</t>
        </is>
      </c>
      <c r="H97" s="2" t="inlineStr">
        <is>
          <t>Histidine Buffer pH 6.0 formulation stability</t>
        </is>
      </c>
      <c r="I97" s="8" t="inlineStr">
        <is>
          <t>1</t>
        </is>
      </c>
      <c r="J9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ค.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ง.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จ.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2" t="n"/>
      <c r="L97" s="2" t="inlineStr">
        <is>
          <t>Recombinant DNA</t>
        </is>
      </c>
      <c r="M97" s="2" t="inlineStr">
        <is>
          <t>Product</t>
        </is>
      </c>
      <c r="N97" s="2" t="inlineStr">
        <is>
          <t>ข้อ 3 (PLE_CC1_Key_Rx20_UBU.md)</t>
        </is>
      </c>
      <c r="O97" s="2" t="inlineStr">
        <is>
          <t>Mock</t>
        </is>
      </c>
      <c r="P97" s="2" t="inlineStr">
        <is>
          <t>Mock Rx20 UBU</t>
        </is>
      </c>
    </row>
    <row r="98" ht="13.2" customHeight="1" s="37">
      <c r="A98" s="8" t="inlineStr">
        <is>
          <t>96</t>
        </is>
      </c>
      <c r="B98" s="2" t="inlineStr">
        <is>
          <t>ไมตองฉีด ตอบ 3 ถ้าผู้สัมผัสโรคไม่เคยได้หรือเคยได้วัคซีนป้องกันโรคบาดทะยักน้อยกว่า 3 ครั้ง ให้วัคซีน Td เข้ากล้าม 3 ครั้ง คือวันที่ 0, 1 เดือนและ6 เดือน ทั้งนี้สามารถใช้วัคซีนรวมป้องกันโรคคอตีบ ไอกรน และบาดทะยัก (Tdap) แทน TT หรือ Td 1 ครั้งในวัยรุ่น หรือผู้ใหญ่ แต่ถ้าไม่เคยได้มากกว่า 3 ครั้ง นานกว่า 5 ปี จะให้ให้ใช้tetanus-diphtheria toxoid (Td) 1 เข็มเข้ากล้าม</t>
        </is>
      </c>
      <c r="C98" s="2" t="n"/>
      <c r="D98" s="2" t="inlineStr">
        <is>
          <t>Polysorbate 20 surfactant to prevent protein aggregation</t>
        </is>
      </c>
      <c r="E98" s="2" t="inlineStr">
        <is>
          <t>Histidine Buffer pH 6.0 formulation stability</t>
        </is>
      </c>
      <c r="F98" s="2" t="inlineStr">
        <is>
          <t>Recombinant DNA Human Insulin in E. coli</t>
        </is>
      </c>
      <c r="G98" s="2" t="inlineStr">
        <is>
          <t>Monoclonal Antibody IgG1 (CHO Cell Expression)</t>
        </is>
      </c>
      <c r="H98" s="2" t="inlineStr">
        <is>
          <t>Polyethylene Glycol (PEG) Conjugation for extended half-life</t>
        </is>
      </c>
      <c r="I98" s="8" t="inlineStr">
        <is>
          <t>1</t>
        </is>
      </c>
      <c r="J9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ค.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ง.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จ.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2" t="n"/>
      <c r="L98" s="2" t="inlineStr">
        <is>
          <t>Recombinant DNA</t>
        </is>
      </c>
      <c r="M98" s="2" t="inlineStr">
        <is>
          <t>Product</t>
        </is>
      </c>
      <c r="N98" s="2" t="inlineStr">
        <is>
          <t>ข้อ 5 (PLE_CC1_Key_Rx20_UBU.md)</t>
        </is>
      </c>
      <c r="O98" s="2" t="inlineStr">
        <is>
          <t>Mock</t>
        </is>
      </c>
      <c r="P98" s="2" t="inlineStr">
        <is>
          <t>Mock Rx20 UBU</t>
        </is>
      </c>
    </row>
    <row r="99" ht="13.2" customHeight="1" s="37">
      <c r="A99" s="8" t="inlineStr">
        <is>
          <t>97</t>
        </is>
      </c>
      <c r="B99" s="2" t="inlineStr">
        <is>
          <t>ขอใดถูกเกี่ยวกับการฉีดวัคซีนพิษสุนัขบ้า</t>
        </is>
      </c>
      <c r="C99" s="2" t="n"/>
      <c r="D99" s="2" t="inlineStr">
        <is>
          <t>Monoclonal Antibody IgG1 (CHO Cell Expression)</t>
        </is>
      </c>
      <c r="E99" s="2" t="inlineStr">
        <is>
          <t>Polyethylene Glycol (PEG) Conjugation for extended half-life</t>
        </is>
      </c>
      <c r="F99" s="2" t="inlineStr">
        <is>
          <t>Lyophilization (Freeze-drying) with Trehalose Cryoprotectant</t>
        </is>
      </c>
      <c r="G99" s="2" t="inlineStr">
        <is>
          <t>ELISA Immunoassay for protein quantification</t>
        </is>
      </c>
      <c r="H99" s="2" t="inlineStr">
        <is>
          <t>SDS-PAGE Gel Electrophoresis purity analysis</t>
        </is>
      </c>
      <c r="I99" s="8" t="inlineStr">
        <is>
          <t>1</t>
        </is>
      </c>
      <c r="J9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ค.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ง.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จ.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2" t="n"/>
      <c r="L99" s="2" t="inlineStr">
        <is>
          <t>Recombinant DNA</t>
        </is>
      </c>
      <c r="M99" s="2" t="inlineStr">
        <is>
          <t>Product</t>
        </is>
      </c>
      <c r="N99" s="2" t="inlineStr">
        <is>
          <t>ข้อ 4 (PLE_CC1_Key_Rx20_UBU.md)</t>
        </is>
      </c>
      <c r="O99" s="2" t="inlineStr">
        <is>
          <t>Mock</t>
        </is>
      </c>
      <c r="P99" s="2" t="inlineStr">
        <is>
          <t>Mock Rx20 UBU</t>
        </is>
      </c>
    </row>
    <row r="100" ht="13.2" customHeight="1" s="37">
      <c r="A100" s="8" t="inlineStr">
        <is>
          <t>98</t>
        </is>
      </c>
      <c r="B100" s="2" t="inlineStr">
        <is>
          <t>หากจะฉีด Equine Ig พร้อมกับวัคซีนพิษสุนัขบ้า ใหฉีดที่แขนข้างเดียวกัน ตอบ 1 recall</t>
        </is>
      </c>
      <c r="C100" s="2" t="n"/>
      <c r="D100" s="2" t="inlineStr">
        <is>
          <t>ELISA Immunoassay for protein quantification</t>
        </is>
      </c>
      <c r="E100" s="2" t="inlineStr">
        <is>
          <t>SDS-PAGE Gel Electrophoresis purity analysis</t>
        </is>
      </c>
      <c r="F100" s="2" t="inlineStr">
        <is>
          <t>Isoelectric Focusing (IEF) for charge heterogeneity</t>
        </is>
      </c>
      <c r="G100" s="2" t="inlineStr">
        <is>
          <t>Immunogenicity Neutralizing Antibody Assay</t>
        </is>
      </c>
      <c r="H100" s="2" t="inlineStr">
        <is>
          <t>Polysorbate 20 surfactant to prevent protein aggregation</t>
        </is>
      </c>
      <c r="I100" s="8" t="inlineStr">
        <is>
          <t>1</t>
        </is>
      </c>
      <c r="J10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ค.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ง.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จ.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2" t="n"/>
      <c r="L100" s="2" t="inlineStr">
        <is>
          <t>Recombinant DNA</t>
        </is>
      </c>
      <c r="M100" s="2" t="inlineStr">
        <is>
          <t>Product</t>
        </is>
      </c>
      <c r="N100" s="2" t="inlineStr">
        <is>
          <t>ข้อ 5 (PLE_CC1_Key_Rx20_UBU.md)</t>
        </is>
      </c>
      <c r="O100" s="2" t="inlineStr">
        <is>
          <t>Mock</t>
        </is>
      </c>
      <c r="P100" s="2" t="inlineStr">
        <is>
          <t>Mock Rx20 UBU</t>
        </is>
      </c>
    </row>
    <row r="101" ht="13.2" customHeight="1" s="37">
      <c r="A101" s="8" t="inlineStr">
        <is>
          <t>99</t>
        </is>
      </c>
      <c r="B101" s="2" t="inlineStr">
        <is>
          <t>หากไมทราบประวัติการไดรับวัคซีน ควรไดรับการฉีดวัคซีนอยางไร</t>
        </is>
      </c>
      <c r="C101" s="2" t="n"/>
      <c r="D101" s="2" t="inlineStr">
        <is>
          <t>Immunogenicity Neutralizing Antibody Assay</t>
        </is>
      </c>
      <c r="E101" s="2" t="inlineStr">
        <is>
          <t>Polysorbate 20 surfactant to prevent protein aggregation</t>
        </is>
      </c>
      <c r="F101" s="2" t="inlineStr">
        <is>
          <t>Histidine Buffer pH 6.0 formulation stability</t>
        </is>
      </c>
      <c r="G101" s="2" t="inlineStr">
        <is>
          <t>Recombinant DNA Human Insulin in E. coli</t>
        </is>
      </c>
      <c r="H101" s="2" t="inlineStr">
        <is>
          <t>Monoclonal Antibody IgG1 (CHO Cell Expression)</t>
        </is>
      </c>
      <c r="I101" s="8" t="inlineStr">
        <is>
          <t>1</t>
        </is>
      </c>
      <c r="J10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ค.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ง.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จ.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2" t="n"/>
      <c r="L101" s="2" t="inlineStr">
        <is>
          <t>Recombinant DNA</t>
        </is>
      </c>
      <c r="M101" s="2" t="inlineStr">
        <is>
          <t>Product</t>
        </is>
      </c>
      <c r="N101" s="2" t="inlineStr">
        <is>
          <t>ข้อ 5 (PLE_CC1_Key_Rx20_UBU.md)</t>
        </is>
      </c>
      <c r="O101" s="2" t="inlineStr">
        <is>
          <t>Mock</t>
        </is>
      </c>
      <c r="P101" s="2" t="inlineStr">
        <is>
          <t>Mock Rx20 UBU</t>
        </is>
      </c>
    </row>
    <row r="102" ht="13.2" customHeight="1" s="37">
      <c r="A102" s="8" t="inlineStr">
        <is>
          <t>100</t>
        </is>
      </c>
      <c r="B102" s="2" t="inlineStr">
        <is>
          <t>ฉีดวัคซีนบาดทะยัก</t>
        </is>
      </c>
      <c r="C102" s="2" t="n"/>
      <c r="D102" s="2" t="inlineStr">
        <is>
          <t>Recombinant DNA Human Insulin in E. coli</t>
        </is>
      </c>
      <c r="E102" s="2" t="inlineStr">
        <is>
          <t>Monoclonal Antibody IgG1 (CHO Cell Expression)</t>
        </is>
      </c>
      <c r="F102" s="2" t="inlineStr">
        <is>
          <t>Polyethylene Glycol (PEG) Conjugation for extended half-life</t>
        </is>
      </c>
      <c r="G102" s="2" t="inlineStr">
        <is>
          <t>Lyophilization (Freeze-drying) with Trehalose Cryoprotectant</t>
        </is>
      </c>
      <c r="H102" s="2" t="inlineStr">
        <is>
          <t>ELISA Immunoassay for protein quantification</t>
        </is>
      </c>
      <c r="I102" s="8" t="inlineStr">
        <is>
          <t>1</t>
        </is>
      </c>
      <c r="J10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ค.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ง.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ข้อ จ.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2" t="n"/>
      <c r="L102" s="2" t="inlineStr">
        <is>
          <t>Recombinant DNA</t>
        </is>
      </c>
      <c r="M102" s="2" t="inlineStr">
        <is>
          <t>Product</t>
        </is>
      </c>
      <c r="N102" s="2" t="inlineStr">
        <is>
          <t>ข้อ 1 (PLE_CC1_Key_Rx20_UBU.md)</t>
        </is>
      </c>
      <c r="O102" s="2" t="inlineStr">
        <is>
          <t>Mock</t>
        </is>
      </c>
      <c r="P102" s="2" t="inlineStr">
        <is>
          <t>Mock Rx20 UBU</t>
        </is>
      </c>
    </row>
    <row r="103" ht="13.2" customHeight="1" s="37">
      <c r="A103" s="8" t="inlineStr">
        <is>
          <t>101</t>
        </is>
      </c>
      <c r="B103" s="2" t="inlineStr">
        <is>
          <t>ฉีดวัคซีนปองกันพิษสุนัขบา</t>
        </is>
      </c>
      <c r="C103" s="2" t="n"/>
      <c r="D103" s="2" t="inlineStr">
        <is>
          <t>Lyophilization (Freeze-drying) with Trehalose Cryoprotectant</t>
        </is>
      </c>
      <c r="E103" s="2" t="inlineStr">
        <is>
          <t>ELISA Immunoassay for protein quantification</t>
        </is>
      </c>
      <c r="F103" s="2" t="inlineStr">
        <is>
          <t>SDS-PAGE Gel Electrophoresis purity analysis</t>
        </is>
      </c>
      <c r="G103" s="2" t="inlineStr">
        <is>
          <t>Isoelectric Focusing (IEF) for charge heterogeneity</t>
        </is>
      </c>
      <c r="H103" s="2" t="inlineStr">
        <is>
          <t>Immunogenicity Neutralizing Antibody Assay</t>
        </is>
      </c>
      <c r="I103" s="8" t="inlineStr">
        <is>
          <t>1</t>
        </is>
      </c>
      <c r="J10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ข้อนี้ไม่ใช่คำตอบที่ถูกต้องสำหรับภาวะ Recombinant DNA เนื่องจากกลไกการออกฤทธิ์, efficacy หรือข้อบ่งใช้ไม่ตรงกับโจทย์ที่กำหนด
• ข้อ ค. (SDS-PAGE Gel Electrophoresis purity analysis): ข้อนี้ไม่ใช่คำตอบที่ถูกต้องสำหรับภาวะ Recombinant DNA เนื่องจากกลไกการออกฤทธิ์, efficacy หรือข้อบ่งใช้ไม่ตรงกับโจทย์ที่กำหนด
• ข้อ ง. (Isoelectric Focusing (IEF) for charge heterogeneity): ข้อนี้ไม่ใช่คำตอบที่ถูกต้องสำหรับภาวะ Recombinant DNA เนื่องจากกลไกการออกฤทธิ์, efficacy หรือข้อบ่งใช้ไม่ตรงกับโจทย์ที่กำหนด
• ข้อ จ.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2" t="n"/>
      <c r="L103" s="2" t="inlineStr">
        <is>
          <t>Recombinant DNA</t>
        </is>
      </c>
      <c r="M103" s="2" t="inlineStr">
        <is>
          <t>Product</t>
        </is>
      </c>
      <c r="N103" s="2" t="inlineStr">
        <is>
          <t>ข้อ 2 (PLE_CC1_Key_Rx20_UBU.md)</t>
        </is>
      </c>
      <c r="O103" s="2" t="inlineStr">
        <is>
          <t>Mock</t>
        </is>
      </c>
      <c r="P103" s="2" t="inlineStr">
        <is>
          <t>Mock Rx20 UBU</t>
        </is>
      </c>
    </row>
    <row r="104" ht="13.2" customHeight="1" s="37">
      <c r="A104" s="8" t="inlineStr">
        <is>
          <t>102</t>
        </is>
      </c>
      <c r="B104" s="2" t="inlineStr">
        <is>
          <t>ฉีดอิมมูโนโกลบูลิน และ วัคซีนปองกันพิษสุนัขบา</t>
        </is>
      </c>
      <c r="C104" s="2" t="n"/>
      <c r="D104" s="2" t="inlineStr">
        <is>
          <t>Isoelectric Focusing (IEF) for charge heterogeneity</t>
        </is>
      </c>
      <c r="E104" s="2" t="inlineStr">
        <is>
          <t>Immunogenicity Neutralizing Antibody Assay</t>
        </is>
      </c>
      <c r="F104" s="2" t="inlineStr">
        <is>
          <t>Polysorbate 20 surfactant to prevent protein aggregation</t>
        </is>
      </c>
      <c r="G104" s="2" t="inlineStr">
        <is>
          <t>Histidine Buffer pH 6.0 formulation stability</t>
        </is>
      </c>
      <c r="H104" s="2" t="inlineStr">
        <is>
          <t>Recombinant DNA Human Insulin in E. coli</t>
        </is>
      </c>
      <c r="I104" s="8" t="inlineStr">
        <is>
          <t>1</t>
        </is>
      </c>
      <c r="J10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ข้อนี้ไม่ใช่คำตอบที่ถูกต้องสำหรับภาวะ Recombinant DNA เนื่องจากกลไกการออกฤทธิ์, efficacy หรือข้อบ่งใช้ไม่ตรงกับโจทย์ที่กำหนด
• ข้อ ค. (Polysorbate 20 surfactant to prevent protein aggregation): ข้อนี้ไม่ใช่คำตอบที่ถูกต้องสำหรับภาวะ Recombinant DNA เนื่องจากกลไกการออกฤทธิ์, efficacy หรือข้อบ่งใช้ไม่ตรงกับโจทย์ที่กำหนด
• ข้อ ง. (Histidine Buffer pH 6.0 formulation stability): ข้อนี้ไม่ใช่คำตอบที่ถูกต้องสำหรับภาวะ Recombinant DNA เนื่องจากกลไกการออกฤทธิ์, efficacy หรือข้อบ่งใช้ไม่ตรงกับโจทย์ที่กำหนด
• ข้อ จ.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2" t="n"/>
      <c r="L104" s="2" t="inlineStr">
        <is>
          <t>Recombinant DNA</t>
        </is>
      </c>
      <c r="M104" s="2" t="inlineStr">
        <is>
          <t>Product</t>
        </is>
      </c>
      <c r="N104" s="2" t="inlineStr">
        <is>
          <t>ข้อ 4 (PLE_CC1_Key_Rx20_UBU.md)</t>
        </is>
      </c>
      <c r="O104" s="2" t="inlineStr">
        <is>
          <t>Mock</t>
        </is>
      </c>
      <c r="P104" s="2" t="inlineStr">
        <is>
          <t>Mock Rx20 UBU</t>
        </is>
      </c>
    </row>
    <row r="105" ht="13.2" customHeight="1" s="37">
      <c r="A105" s="8" t="inlineStr">
        <is>
          <t>103</t>
        </is>
      </c>
      <c r="B105" s="2" t="inlineStr">
        <is>
          <t>ฉีดวัคซีนบาดทะยัก อิมมูโนโกลบูลิน และ วัคซีนปองกันพิษสุนัขบ้า ตอบ 5 โดนหมากัด→ Ig และป้องกัน บาดทะยักด้วยเสมอ (แต่ถ้ารู้ประวัติว่าเคยฉีดบาดทะยัก/พิษสุนัขก้ไม่ต้อง)</t>
        </is>
      </c>
      <c r="C105" s="2" t="n"/>
      <c r="D105" s="2" t="inlineStr">
        <is>
          <t>Histidine Buffer pH 6.0 formulation stability</t>
        </is>
      </c>
      <c r="E105" s="2" t="inlineStr">
        <is>
          <t>Recombinant DNA Human Insulin in E. coli</t>
        </is>
      </c>
      <c r="F105" s="2" t="inlineStr">
        <is>
          <t>Monoclonal Antibody IgG1 (CHO Cell Expression)</t>
        </is>
      </c>
      <c r="G105" s="2" t="inlineStr">
        <is>
          <t>Polyethylene Glycol (PEG) Conjugation for extended half-life</t>
        </is>
      </c>
      <c r="H105" s="2" t="inlineStr">
        <is>
          <t>Lyophilization (Freeze-drying) with Trehalose Cryoprotectant</t>
        </is>
      </c>
      <c r="I105" s="8" t="inlineStr">
        <is>
          <t>1</t>
        </is>
      </c>
      <c r="J10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ข้อนี้ไม่ใช่คำตอบที่ถูกต้องสำหรับภาวะ Recombinant DNA เนื่องจากกลไกการออกฤทธิ์, efficacy หรือข้อบ่งใช้ไม่ตรงกับโจทย์ที่กำหนด
• ข้อ ค. (Monoclonal Antibody IgG1 (CHO Cell Expression)): ข้อนี้ไม่ใช่คำตอบที่ถูกต้องสำหรับภาวะ Recombinant DNA เนื่องจากกลไกการออกฤทธิ์, efficacy หรือข้อบ่งใช้ไม่ตรงกับโจทย์ที่กำหนด
• ข้อ ง. (Polyethylene Glycol (PEG) Conjugation for extended half-life): ข้อนี้ไม่ใช่คำตอบที่ถูกต้องสำหรับภาวะ Recombinant DNA เนื่องจากกลไกการออกฤทธิ์, efficacy หรือข้อบ่งใช้ไม่ตรงกับโจทย์ที่กำหนด
• ข้อ จ. (Lyophilization (Freeze-drying) with Trehalose Cryoprotectant):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2" t="n"/>
      <c r="L105" s="2" t="inlineStr">
        <is>
          <t>Recombinant DNA</t>
        </is>
      </c>
      <c r="M105" s="2" t="inlineStr">
        <is>
          <t>Product</t>
        </is>
      </c>
      <c r="N105" s="2" t="inlineStr">
        <is>
          <t>ข้อ 5 (PLE_CC1_Key_Rx20_UBU.md)</t>
        </is>
      </c>
      <c r="O105" s="2" t="inlineStr">
        <is>
          <t>Mock</t>
        </is>
      </c>
      <c r="P105" s="2" t="inlineStr">
        <is>
          <t>Mock Rx20 UBU</t>
        </is>
      </c>
    </row>
    <row r="106" ht="13.2" customHeight="1" s="37">
      <c r="A106" s="8" t="inlineStr">
        <is>
          <t>104</t>
        </is>
      </c>
      <c r="B106" s="2" t="inlineStr">
        <is>
          <t>ข้อใดถูกต้องเกี่ยวกับ Insulin ที่ได้จากการทำ Recombinant DNA</t>
        </is>
      </c>
      <c r="C106" s="2" t="n"/>
      <c r="D106" s="2" t="inlineStr">
        <is>
          <t>นำ Beta-cell ไปเพาะเลี้ยงในหลอดทดลอง แล้วสกัด Insulin ออกมา</t>
        </is>
      </c>
      <c r="E106" s="2" t="inlineStr">
        <is>
          <t>นำยีนที่สร้าง Insulin ของคน ไปทำ PCR แล้วเก็บเกี่ยวโปรตีน</t>
        </is>
      </c>
      <c r="F106" s="2" t="inlineStr">
        <is>
          <t>ตัดต่อยีนสร้าง Insulin ให้กับยีสต์ แล้วเอายีสต์ไปเลี้ยง เพื่อให้สร้าง Insulin ออกมา</t>
        </is>
      </c>
      <c r="G106" s="2" t="inlineStr">
        <is>
          <t>ใช้ Agrobacteria นำส่งยีนที่ต้องการไปสู่เซลล์ของสัตว์ทดลอง ให้ผลิต Insulin</t>
        </is>
      </c>
      <c r="H106" s="2" t="inlineStr">
        <is>
          <t>สกัด Insulin จากสัตว์ทดลองไปตัดต่อโครงสร้าง แล้วนำมาใช้ในคน</t>
        </is>
      </c>
      <c r="I106" s="8" t="inlineStr">
        <is>
          <t>3</t>
        </is>
      </c>
      <c r="J106" s="2" t="inlineStr">
        <is>
          <t>✅ คำตอบที่ถูกต้อง: ข้อ ค. ตัดต่อยีนสร้าง Insulin ให้กับยีสต์ แล้วเอายีสต์ไปเลี้ยง เพื่อให้สร้าง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ตัดต่อยีนสร้าง Insulin ให้กับยีสต์ แล้วเอายีสต์ไปเลี้ยง เพื่อให้สร้าง Insulin ออกมา 💡 คำอธิบายและเหตุผลทางเภสัชกรรม:
💡 คำอธิบายและเหตุผลทางเภสัชกรรม:
การเลือก ตัดต่อยีนสร้าง Insulin ให้กับยีสต์ แล้วเอายีสต์ไปเลี้ยง เพื่อให้สร้าง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(นำ Beta-cell ไปเพาะเลี้ยงในหลอดทดลอง แล้วสกัด Insulin ออกมา): ข้อนี้ไม่ใช่คำตอบที่ถูกต้องสำหรับภาวะ Recombinant DNA เนื่องจากกลไกการออกฤทธิ์, efficacy หรือข้อบ่งใช้ไม่ตรงกับโจทย์ที่กำหนด
• ข้อ ข. (นำยีนที่สร้าง Insulin ของคน ไปทำ PCR แล้วเก็บเกี่ยวโปรตีน): ข้อนี้ไม่ใช่คำตอบที่ถูกต้องสำหรับภาวะ Recombinant DNA เนื่องจากกลไกการออกฤทธิ์, efficacy หรือข้อบ่งใช้ไม่ตรงกับโจทย์ที่กำหนด
• ข้อ ง. (ใช้ Agrobacteria นำส่งยีนที่ต้องการไปสู่เซลล์ของสัตว์ทดลอง ให้ผลิต Insulin): ข้อนี้ไม่ใช่คำตอบที่ถูกต้องสำหรับภาวะ Recombinant DNA เนื่องจากกลไกการออกฤทธิ์, efficacy หรือข้อบ่งใช้ไม่ตรงกับโจทย์ที่กำหนด
• ข้อ จ. (สกัด Insulin จากสัตว์ทดลองไปตัดต่อโครงสร้าง แล้วนำมาใช้ในคน): ข้อนี้ไม่ใช่คำตอบที่ถูกต้องสำหรับภาวะ Recombinant DNA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2" t="n"/>
      <c r="L106" s="2" t="inlineStr">
        <is>
          <t>Recombinant DNA</t>
        </is>
      </c>
      <c r="M106" s="2" t="inlineStr">
        <is>
          <t>Product</t>
        </is>
      </c>
      <c r="N106" s="2" t="inlineStr">
        <is>
          <t>ข้อ 79 (PLE_CC1_Key_Rx20_UBU.md)</t>
        </is>
      </c>
      <c r="O106" s="2" t="inlineStr">
        <is>
          <t>Mock</t>
        </is>
      </c>
      <c r="P106" s="2" t="inlineStr">
        <is>
          <t>Mock Rx20 UBU</t>
        </is>
      </c>
    </row>
    <row r="107" ht="13.2" customHeight="1" s="37">
      <c r="A107" s="2" t="n">
        <v>105</v>
      </c>
      <c r="B107" s="2" t="inlineStr">
        <is>
          <t>ข้อใดไม่ใช่ปัจจัยที่มีผลต่อการเกิด Immunogenicity ของยาชีววัตถุ (Biological Products)</t>
        </is>
      </c>
      <c r="C107" s="2" t="n"/>
      <c r="D107" s="2" t="inlineStr">
        <is>
          <t>โครงสร้างที่ไม่คล้ายกับ Human endogenous</t>
        </is>
      </c>
      <c r="E107" s="2" t="inlineStr">
        <is>
          <t>การเกิดการเสื่อมสลายและการรวมกลุ่มของ protein</t>
        </is>
      </c>
      <c r="F107" s="2" t="inlineStr">
        <is>
          <t>Excipient ของ formulation ที่ส่งผลต่อการเปลี่ยนแปลง conformation</t>
        </is>
      </c>
      <c r="G107" s="2" t="inlineStr">
        <is>
          <t>ขนาดและความถี่ในการให้ยา</t>
        </is>
      </c>
      <c r="H107" s="2" t="inlineStr">
        <is>
          <t>อัตราการให้เข้าสู่ systemic circulation ที่น้อยกว่า IV bolus</t>
        </is>
      </c>
      <c r="I107" s="8" t="inlineStr">
        <is>
          <t>3</t>
        </is>
      </c>
      <c r="J107" s="2" t="inlineStr">
        <is>
          <t>✅ คำตอบที่ถูกต้อง: ข้อ ค. Excipient ของ formulation ที่ส่งผลต่อการเปลี่ยนแปลง conformation
💡 Background:
Immunogenicity ของยาชีววัตถุ (Biologics) เกิดจากการที่ร่างกายสร้าง Anti-Drug Antibodies (ADAs) ต่อตัวยาโปรตีน ซึ่งปัจจัยหลักที่ส่งผลต่อการเกิด Immunogenicity แบ่งเป็นปัจจัยด้านตัวยา (Product-related: ลำดับกรดอะมิโนที่ต่างจากมนุษย์, การเกิด aggregation, denaturation หรือ degradation) และปัจจัยด้านผู้ป่วย/การให้ยา (Patient/Treatment-related: ขนาดยา, ความถี่, และวิถีการบริหารยา โดย SC/IM จะมี immunogenicity สูงกว่า IV) ส่วนสารช่วย (Excipients) ที่เหมาะสมในสูตรตำรับมีหน้าที่รักษาความคงสภาพ (Stabilizer) ของโปรตีน ไม่ใช่ปัจจัยก่อภูมิต้านทานโดยตรง
🎯 ทำไมข้อนี้ถึงถูก:
โจทย์ถามว่าข้อใดไม่ใช่ปัจจัยของ biological immunogenicity: ตัวเลือก ข้อ ค. เป็นปัจจัยการตั้งสูตรตำรับที่ออกแบบมาเพื่อพยุงโครงสร้างไม่ให้เสียสภาพ หากสูตรตำรับเสถียรสารช่วยจะไม่เป็นตัวกระตุ้นภูมิคุ้มกันโดยตรง เมื่อเทียบกับปัจจัยหลักอย่างโครงสร้างตัวยาที่ไม่เหมือนสารในร่างกายมนุษย์ การเสียสภาพของโปรตีน หรือขนาด/วิถีการบริหารยา
🔍 ข้ออื่นผิดเพราะอะไร:
• ข้อ ก. (โครงสร้างที่ไม่คล้ายกับ Human endogenous): เป็นปัจจัยหลัก เพราะระบบภูมิคุ้มกันจะมองว่าเป็นสิ่งแปลกปลอม (Non-self) จึงกระตุ้น immune response ได้แรง
• ข้อ ข. (การเกิดการเสื่อมสลายของ protein): การเกิด aggregation หรือ degradation เป็นตัวเร่งสำคัญที่กระตุ้น dendritic cells และ B cells ให้สร้างแอนติบอดี
• ข้อ ง. (ขนาดและความถี่ในการให้): ขนาดยาที่สูงหรือการให้ซ้ำๆ เป็นระยะเวลานานส่งผลโดยตรงต่อการกระตุ้นและคงอยู่ของระดับแอนติบอดี
• ข้อ จ. (อัตราการให้ systematic circulation นั้นน้อยกว่า IV bolus): วิถีและอัตราการกระจายตัวของยาในกระแสเลือดส่งผลต่อการสัมผัสกับ antigen-presenting cells
📖 Guideline อ้างอิง:
FDA Guidance for Industry: Immunogenicity Assessment for Therapeutic Protein Products &amp; EMA Guideline on Immunogenicity Assessment of Therapeutic Proteins
📌 จุดจำก่อนสอบ:
• Route of Administration: การฉีดใต้ผิวหนัง (SC) กระตุ้น Immunogenicity สูงกว่าการฉีดเข้าหลอดเลือดดำ (IV) เนื่องจากบริเวณใต้ผิวหนังอุดมไปด้วย Antigen-Presenting Cells (Dendritic cells)
• Aggregation: การรวมกลุ่มของโปรตีน (Protein Aggregation) คือปัจจัยก่อ Immunogenicity ทางกายภาพที่อันตรายที่สุดในยาชีววัตถุ</t>
        </is>
      </c>
      <c r="K107" s="2" t="n"/>
      <c r="L107" s="2" t="inlineStr">
        <is>
          <t>Biotech Products</t>
        </is>
      </c>
      <c r="M107" s="2" t="inlineStr">
        <is>
          <t>Product</t>
        </is>
      </c>
      <c r="N107" s="2" t="inlineStr">
        <is>
          <t>Mock PLE-CC 1 ข้อ 64</t>
        </is>
      </c>
      <c r="O107" s="2" t="inlineStr">
        <is>
          <t>Mock</t>
        </is>
      </c>
      <c r="P107" s="2" t="inlineStr">
        <is>
          <t>Mock RxCU83</t>
        </is>
      </c>
    </row>
    <row r="108" ht="13.2" customHeight="1" s="37">
      <c r="A108" s="2" t="n">
        <v>106</v>
      </c>
      <c r="B108" s="2" t="inlineStr">
        <is>
          <t>ข้อใดเป็น excipients ที่นิยมใช้ใน formulation ของ injectable monoclonal antibody เพื่อลดการเกิด aggregation และเพิ่ม stability</t>
        </is>
      </c>
      <c r="C108" s="2" t="n"/>
      <c r="D108" s="2" t="inlineStr">
        <is>
          <t>Sorbitol</t>
        </is>
      </c>
      <c r="E108" s="2" t="inlineStr">
        <is>
          <t>Mannitol</t>
        </is>
      </c>
      <c r="F108" s="2" t="inlineStr">
        <is>
          <t>Polysorbate 80</t>
        </is>
      </c>
      <c r="G108" s="2" t="inlineStr">
        <is>
          <t>Sodium Chloride</t>
        </is>
      </c>
      <c r="H108" s="2" t="inlineStr">
        <is>
          <t>PEG 400</t>
        </is>
      </c>
      <c r="I108" s="8" t="inlineStr">
        <is>
          <t>3</t>
        </is>
      </c>
      <c r="J108" s="2" t="inlineStr">
        <is>
          <t>✅ คำตอบที่ถูกต้อง: ข้อ ค. Polysorbate 80
💡 Background:
สูตรตำรับยาฉีดกลุ่มโปรตีนและชีววัตถุ เช่น Monoclonal Antibodies (mAbs) มีความไวสูงมากต่อแรงเฉือน (Shear stress), การสัมผัสพื้นผิวอากาศ-ของเหลว (Air-water interface) และการเขย่า ซึ่งชักนำให้เกิดการคลายตัวของโปรตีนและการรวมกลุ่ม (Aggregation) กลายเป็นอนุภาคตะกอนที่กระตุ้นภาวะแพ้และภูมิต้านทาน การเติมสารลดแรงตึงผิวชนิดไม่มีประจุ (Non-ionic Surfactant) จะช่วยเข้าแย่งจับที่ผิวหน้าสัมผัส ป้องกันไม่ให้โปรตีนเข้าจับและเกาะกลุ่มกัน
🎯 ทำไมข้อนี้ถึงถูก:
Polysorbate 80 (หรือ Polysorbate 20) เป็นสารลดแรงตึงผิวที่นิยมใช้เป็น surfactant ในสูตรตำรับยาฉีดชีววัตถุ (mAbs) มากที่สุด เพื่อป้องกัน protein aggregation และลด surface adsorption
🔍 ข้ออื่นผิดเพราะอะไร:
• ข้อ ก. (Sorbitol) และ ข้อ ข. (Mannitol): เป็นน้ำตาลแอลกอฮอล์ (Lyoprotectant/Osmolality adjuster) ทำหน้าที่ปรับความดันออสโมติกหรือพยุงโครงสร้างตอนทำแห้งเยือกแข็ง แต่ไม่ได้ทำหน้าที่หลักในการลดแรงตึงผิวเพื่อกัน aggregation โดยตรงเหมือน Polysorbate
• ข้อ ง. (Sodium Chloride): เป็นเกลือปรับ Tonicity แต่อาจเพิ่ม Ionic strength ซึ่งบางครั้งอาจส่งผลให้โปรตีนบางชนิดเกิด aggregation ได้ง่ายขึ้น
• ข้อ จ. (PEG 400): เป็น Cosolvent ที่ไม่นิยมใช้เป็นหลักในการป้องกัน protein aggregation ในสูตรยาฉีดชีววัตถุเนื่องจากอาจเหนี่ยวนำให้เกิด conformational change ได้
📖 Guideline อ้างอิง:
USP-NF General Chapter &lt;1043&gt; Ancillary Materials for Cell, Gene, and Tissue-Engineered Products &amp; Remington: The Science and Practice of Pharmacy (Chapter: Formulation of Protein and Peptide Injectables)
📌 จุดจำก่อนสอบ:
• Anti-aggregation in mAbs: พระเอกของการป้องกันการรวมกลุ่มของโปรตีนในยาฉีด Monoclonal Antibody คือ Non-ionic Surfactant โดยเฉพาะ Polysorbate 20 และ Polysorbate 80
• Lyoprotectants: สารที่ใช้ปกป้องโปรตีนระหว่าง freeze-drying ได้แก่ Sucrose, Trehalose, Mannitol</t>
        </is>
      </c>
      <c r="K108" s="2" t="n"/>
      <c r="L108" s="2" t="inlineStr">
        <is>
          <t>Biotech Products</t>
        </is>
      </c>
      <c r="M108" s="2" t="inlineStr">
        <is>
          <t>Product</t>
        </is>
      </c>
      <c r="N108" s="2" t="inlineStr">
        <is>
          <t>Mock PLE-CC 1 ข้อ 73</t>
        </is>
      </c>
      <c r="O108" s="2" t="inlineStr">
        <is>
          <t>Mock</t>
        </is>
      </c>
      <c r="P108" s="2" t="inlineStr">
        <is>
          <t>Mock RxCU83</t>
        </is>
      </c>
    </row>
    <row r="109" ht="13.2" customHeight="1" s="37">
      <c r="A109" s="2" t="n">
        <v>107</v>
      </c>
      <c r="B109" s="2" t="inlineStr">
        <is>
          <t>ข้อใดคือลักษณะและข้อกำหนดที่ถูกต้องของการขึ้นทะเบียนยาชีววัตถุคล้ายคลึง (Biosimilar) เทียบกับ Reference biological drug</t>
        </is>
      </c>
      <c r="C109" s="2" t="n"/>
      <c r="D109" s="2" t="inlineStr">
        <is>
          <t>ใช้เกณฑ์มาตรฐานเดียวกับยาชื่อสามัญ (Generic drug) โดยทดสอบเพียงการละลายในหลอดทดลอง</t>
        </is>
      </c>
      <c r="E109" s="2" t="inlineStr">
        <is>
          <t>ต้องแสดงข้อมูล Biosimilar comparability ครบถ้วนทั้ง Quality, Safety และ Clinical Efficacy</t>
        </is>
      </c>
      <c r="F109" s="2" t="inlineStr">
        <is>
          <t>ไม่ต้องทำการทดสอบ Clinical และ Non-clinical หากกระบวนการหมักเหมือนเดิม</t>
        </is>
      </c>
      <c r="G109" s="2" t="inlineStr">
        <is>
          <t>ไม่ต้องแสดงข้อมูล Immunogenicity เพราะถือว่าเป็นโปรตีนที่เหมือนกับต้นแบบ 100%</t>
        </is>
      </c>
      <c r="H109" s="2" t="inlineStr">
        <is>
          <t>ถือว่าเป็น generic drug ของยา Reference เพราะมีโครงสร้างโปรตีนขนาดเล็กคล้ายกัน</t>
        </is>
      </c>
      <c r="I109" s="8" t="inlineStr">
        <is>
          <t>2</t>
        </is>
      </c>
      <c r="J109" s="2" t="inlineStr">
        <is>
          <t>✅ คำตอบที่ถูกต้อง: ข้อ ข. ต้องแสดงข้อมูล biosimilar comparability (Quality, safety, efficacy)
💡 Background:
ยาชีววัตถุคล้ายคลึง (Biosimilar) เป็นยาชีววัตถุที่ผลิตขึ้นโดยมีลักษณะคล้ายคลึงกับยาชีววัตถุอ้างอิง (Reference biological product) ที่ผ่านการขึ้นทะเบียนแล้ว ทั้งในด้านความปลอดภัย คุณภาพ และประสิทธิภาพชีววิเคราะห์ เนื่องจากเป็นสารโมเลกุลขนาดใหญ่ที่มีความซับซ้อนสูง จึงไม่สามารถใช้เพียงการศึกษา Bioequivalence ทางเภสัชจลนศาสตร์แบบยาเคมีทั่วไป (Generic drug) ได้ แต่ต้องผ่านการศึกษาเปรียบเทียบความคล้ายคลึง (Biosimilar Comparability Exercise) ครบทั้งด้าน Physico-chemical, Non-clinical และ Clinical studies รวมถึงประเมิน Immunogenicity อย่างเข้มงวด
🎯 ทำไมข้อนี้ถึงถูก:
Biosimilar ต้องแสดงข้อมูลหลักฐานทางวิทยาศาสตร์ที่ยืนยันความคล้ายคลึงกันในด้านโครงสร้างและคุณลักษณะ (Quality), ความปลอดภัย (Safety), และประสิทธิภาพทางคลินิก (Efficacy) รวมทั้งการศึกษา Biological / Functional comparability
🔍 ข้ออื่นผิดเพราะอะไร:
• ข้อ ก. (ไม่มีข้อมูล/ตัวเลือกเว้นว่าง): ตัวเลือกลวง
• ข้อ ค. (ไม่ต้องทำการทดสอบ clinical/non-clinical): ผิดอย่างสิ้นเชิง Biosimilar จำเป็นต้องมีการศึกษาทั้ง non-clinical และ clinical trial ยืนยัน
• ข้อ ง. (ไม่ต้องแสดงข้อมูล Immunogenicity เพราะถือว่าเป็นโปรตีนเหมือนต้นแบบ 100%): ผิดอย่างร้ายแรง ยาชีววัตถุไม่มีทางเหมือน 100% เนื่องจากผลิตจากเซลล์มีชีวิต และ Immunogenicity เป็นหัวข้อที่ต้องศึกษาอย่างละเอียดที่สุด
• ข้อ จ. (ถือว่าเป็น generic drug ของยา Reference เพราะมีโครงสร้างโปรตีนคล้ายกัน): ผิด Biosimilar ไม่ใช่ Generic drug และไม่อนุญาตให้ใช้เกณฑ์การขึ้นทะเบียนแบบยาชื่อสามัญทั่วไป
📖 Guideline อ้างอิง:
สำนักงานคณะกรรมการอาหารและยา (อย.) คู่มือการขึ้นทะเบียนตำรับยาชีววัตถุคล้ายคลึง (Biosimilars) &amp; WHO Guidelines on Evaluation of Similar Biotherapeutic Products (SBPs)
📌 จุดจำก่อนสอบ:
• Biosimilar ≠ Generic: Biosimilar ไม่ใช่ยาชื่อสามัญ ไม่สามารถขึ้นทะเบียนด้วยผลตรวจ Bioequivalence (PK) เพียงอย่างเดียวได้
• Comparability Exercise: หัวใจสำคัญของ Biosimilar คือการทำแบบศึกษาเปรียบเทียบตัวต่อตัว (Head-to-head comparison) ตั้งแต่คุณลักษณะเคมีฟิสิกส์ไปจนถึงความปลอดภัยด้าน Immunogenicity</t>
        </is>
      </c>
      <c r="K109" s="2" t="n"/>
      <c r="L109" s="2" t="inlineStr">
        <is>
          <t>Biotech Products</t>
        </is>
      </c>
      <c r="M109" s="2" t="inlineStr">
        <is>
          <t>Product</t>
        </is>
      </c>
      <c r="N109" s="2" t="inlineStr">
        <is>
          <t>Mock PLE-CC 1 ข้อ 82</t>
        </is>
      </c>
      <c r="O109" s="2" t="inlineStr">
        <is>
          <t>Mock</t>
        </is>
      </c>
      <c r="P109" s="2" t="inlineStr">
        <is>
          <t>Mock RxCU83</t>
        </is>
      </c>
    </row>
    <row r="110">
      <c r="A110" s="46" t="n">
        <v>108</v>
      </c>
      <c r="B110" s="45" t="inlineStr">
        <is>
          <t>สารก่อฟิล์ม ในการเคลือบเม็ดยา</t>
        </is>
      </c>
      <c r="C110" s="46" t="n"/>
      <c r="D110" s="45" t="inlineStr">
        <is>
          <t>Hypromellose (HPMC) ✅ Film-forming agent</t>
        </is>
      </c>
      <c r="E110" s="45" t="inlineStr">
        <is>
          <t>Macrogol 400 (PEG 400\) ❌ Plasticizer</t>
        </is>
      </c>
      <c r="F110" s="45" t="inlineStr">
        <is>
          <t>Carnauba wax ❌ Polishing agent</t>
        </is>
      </c>
      <c r="G110" s="45" t="inlineStr">
        <is>
          <t>Dibutyl phthalate ❌ Plasticizer</t>
        </is>
      </c>
      <c r="H110" s="45" t="inlineStr">
        <is>
          <t>SiO₂ (Colloidal silicon dioxide) ❌ Glidant/Anti-caking agent</t>
        </is>
      </c>
      <c r="I110" s="46" t="n">
        <v>1</v>
      </c>
      <c r="J110" s="45" t="inlineStr">
        <is>
          <t>✅ คำตอบที่ถูกต้อง: ข้อ ก. Hypromellose (HPMC) ✅ Film-forming agent
💡 Background:
คำถามข้อสอบจริงใบประกอบวิชาชีพ PLE-CC 1 (Product) ปี 2564 ข้อ 66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0" s="46" t="n"/>
      <c r="L110" s="45" t="inlineStr">
        <is>
          <t>Biotechnology &amp; Biological Products</t>
        </is>
      </c>
      <c r="M110" s="46" t="inlineStr">
        <is>
          <t>Product</t>
        </is>
      </c>
      <c r="N110" s="45" t="inlineStr">
        <is>
          <t>ข้อสอบจริง Product ปี 2564 ข้อ 66</t>
        </is>
      </c>
      <c r="O110" s="46" t="inlineStr">
        <is>
          <t>ข้อสอบจริง</t>
        </is>
      </c>
      <c r="P110" s="46" t="inlineStr">
        <is>
          <t>ปี 2564</t>
        </is>
      </c>
    </row>
    <row r="111">
      <c r="A111" s="46" t="n">
        <v>109</v>
      </c>
      <c r="B111" s="45" t="inlineStr">
        <is>
          <t>สารก่อฟิล์ม ในการเคลือบเม็ดยา ต้นฉบับ: Day 2 ข้อ 20</t>
        </is>
      </c>
      <c r="C111" s="46" t="n"/>
      <c r="D111" s="45" t="inlineStr">
        <is>
          <t>Hypromellose</t>
        </is>
      </c>
      <c r="E111" s="45" t="inlineStr">
        <is>
          <t>Macrogol 400</t>
        </is>
      </c>
      <c r="F111" s="45" t="inlineStr">
        <is>
          <t>Carnauba wax</t>
        </is>
      </c>
      <c r="G111" s="45" t="inlineStr">
        <is>
          <t>Dibutyl phthalate</t>
        </is>
      </c>
      <c r="H111" s="45" t="inlineStr">
        <is>
          <t xml:space="preserve">SiO₂ | คำตอบ: a) Hypromellose เป็น polymer ที่สร้างฟิล์มต่อเนื่องบนผิวเม็ดยาได้ ข้อที่ไม่ถูก b) Macrogol 400 ใช้เป็น plasticizer c) Carnauba wax ใช้ขัดเงา d) Dibutyl phthalate เป็น plasticizer e) Silicon dioxide ใช้ช่วยการไหลหรือป้องกันการเกาะ | | :---- | </t>
        </is>
      </c>
      <c r="I111" s="46" t="n">
        <v>1</v>
      </c>
      <c r="J111" s="45" t="inlineStr">
        <is>
          <t>✅ คำตอบที่ถูกต้อง: ข้อ ก. Hypromellose
💡 Background:
คำถามข้อสอบจริงใบประกอบวิชาชีพ PLE-CC 1 (Product) ปี 2563 ข้อ 28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1" s="46" t="n"/>
      <c r="L111" s="45" t="inlineStr">
        <is>
          <t>Biotechnology &amp; Biological Products</t>
        </is>
      </c>
      <c r="M111" s="46" t="inlineStr">
        <is>
          <t>Product</t>
        </is>
      </c>
      <c r="N111" s="45" t="inlineStr">
        <is>
          <t>ข้อสอบจริง Product ปี 2563 ข้อ 28</t>
        </is>
      </c>
      <c r="O111" s="46" t="inlineStr">
        <is>
          <t>ข้อสอบจริง</t>
        </is>
      </c>
      <c r="P111" s="46" t="inlineStr">
        <is>
          <t>ปี 2563</t>
        </is>
      </c>
    </row>
    <row r="112">
      <c r="A112" s="46" t="n">
        <v>110</v>
      </c>
      <c r="B112" s="45" t="inlineStr">
        <is>
          <t>Secondary drying (desorption) — ไล่น้ำที่จับกับโมเลกุลออก   ข้อดี: ทำที่อุณหภูมิต่ำตลอดกระบวนการ โปรตีนจึงไม่เสียสภาพ ได้ผงที่มีรูพรุนละลายกลับได้เร็ว (rapid reconstitution) และมีความคงตัวสูงเก็บได้นาน   มักเติม cryoprotectant/lyoprotectant เช่น trehalose, sucrose, mannitol เพื่อปกป้องโปรตีนระหว่างการแช่แข็งและทำแห้ง | | :---- | ข้อ 59. ถ้าต้องการเปลี่ยนยาต้นแบบ trastuzumab powder ไปเป็น biosimilar ปัจจัยใดจำเป็นในการพิจารณามากที่สุด</t>
        </is>
      </c>
      <c r="C112" s="46" t="n"/>
      <c r="D112" s="45" t="inlineStr">
        <is>
          <t>ความปลอดภัย</t>
        </is>
      </c>
      <c r="E112" s="45" t="inlineStr">
        <is>
          <t>ราคา</t>
        </is>
      </c>
      <c r="F112" s="45" t="inlineStr">
        <is>
          <t>ขนาดยา</t>
        </is>
      </c>
      <c r="G112" s="45" t="inlineStr">
        <is>
          <t>ระยะเวลาในการใช้งาน</t>
        </is>
      </c>
      <c r="H112" s="45" t="inlineStr">
        <is>
          <t>อายุ | คำอธิบาย Biosimilar ต่างจากยาสามัญ (generic) ของยาเคมีอย่างสิ้นเชิง จึงต้องพิจารณาความปลอดภัยเป็นอันดับแรก   เหตุผลเชิงหลักการ:</t>
        </is>
      </c>
      <c r="I112" s="46" t="n">
        <v>1</v>
      </c>
      <c r="J112" s="45" t="inlineStr">
        <is>
          <t>✅ คำตอบที่ถูกต้อง: ข้อ ก. ความปลอดภัย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2" s="46" t="n"/>
      <c r="L112" s="45" t="inlineStr">
        <is>
          <t>Biotechnology &amp; Biological Products</t>
        </is>
      </c>
      <c r="M112" s="46" t="inlineStr">
        <is>
          <t>Product</t>
        </is>
      </c>
      <c r="N112" s="45" t="inlineStr">
        <is>
          <t>ข้อสอบจริง Product ปี 2562 ข้อ 3</t>
        </is>
      </c>
      <c r="O112" s="46" t="inlineStr">
        <is>
          <t>ข้อสอบจริง</t>
        </is>
      </c>
      <c r="P112" s="46" t="inlineStr">
        <is>
          <t>ปี 2562</t>
        </is>
      </c>
    </row>
    <row r="113">
      <c r="A113" s="46" t="n">
        <v>111</v>
      </c>
      <c r="B113" s="45" t="inlineStr">
        <is>
          <t>หากลูกค้าที่ซื้อยา กลับมาที่ร้านแล้วพบว่ายาเคลือบน้ำตาล dextromethorphan นั่นเป็นจุดด่าง ข้อใดถูกต้อง</t>
        </is>
      </c>
      <c r="C113" s="46" t="n"/>
      <c r="D113" s="45" t="inlineStr">
        <is>
          <t>เรียกว่า chipping</t>
        </is>
      </c>
      <c r="E113" s="45" t="inlineStr">
        <is>
          <t>นิยมใช้สีที่ไม่ละลายน้ำเพื่อลดสีย้ายที่</t>
        </is>
      </c>
      <c r="F113" s="45" t="inlineStr">
        <is>
          <t>การใช้สีละลายน้ำสามารถลดปัญหาสีย้ายที่</t>
        </is>
      </c>
      <c r="G113" s="45" t="inlineStr">
        <is>
          <t>การเคลือบสีมักใช้ผสมกับ carnauba wax</t>
        </is>
      </c>
      <c r="H113" s="45" t="inlineStr">
        <is>
          <t>เกิดจากการทำการเคลือบสีในขั้นตอน sealing</t>
        </is>
      </c>
      <c r="I113" s="46" t="n">
        <v>1</v>
      </c>
      <c r="J113" s="45" t="inlineStr">
        <is>
          <t>✅ คำตอบที่ถูกต้อง: ข้อ ก. เรียกว่า chipping
💡 Background:
คำถามข้อสอบจริงใบประกอบวิชาชีพ PLE-CC 1 (Product) ปี 2561 ข้อ 57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3" s="46" t="n"/>
      <c r="L113" s="45" t="inlineStr">
        <is>
          <t>Biotechnology &amp; Biological Products</t>
        </is>
      </c>
      <c r="M113" s="46" t="inlineStr">
        <is>
          <t>Product</t>
        </is>
      </c>
      <c r="N113" s="45" t="inlineStr">
        <is>
          <t>ข้อสอบจริง Product ปี 2561 ข้อ 57</t>
        </is>
      </c>
      <c r="O113" s="46" t="inlineStr">
        <is>
          <t>ข้อสอบจริง</t>
        </is>
      </c>
      <c r="P113" s="46" t="inlineStr">
        <is>
          <t>ปี 2561</t>
        </is>
      </c>
    </row>
    <row r="114">
      <c r="A114" s="46" t="n">
        <v>112</v>
      </c>
      <c r="B114" s="45" t="inlineStr">
        <is>
          <t>กราฟแสดงการเปรียบเทียบยา A และ ยา B ซึ่งเป็น internal standard ให้กราฟแกน X=ความเข้มข้น แกน Y=peak ratio (ให้ยา B เป็น internal standard) solution ข้อใดถูกต้อง [แนบรูป: ข้อสอบ Product ปี 2561 รหัสรูปภาพ image112]</t>
        </is>
      </c>
      <c r="C114" s="46" t="inlineStr">
        <is>
          <t>[แนบรูป: ข้อสอบ Product ปี 2561 รหัสรูปภาพ image112]</t>
        </is>
      </c>
      <c r="D114" s="45" t="inlineStr">
        <is>
          <t>แกน X เป็นความเข้มข้นของสาร B</t>
        </is>
      </c>
      <c r="E114" s="45" t="inlineStr">
        <is>
          <t>กราฟที่ได้มาตรฐาน ควรมีจุดไม่เกิน 3 จุด</t>
        </is>
      </c>
      <c r="F114" s="45" t="inlineStr">
        <is>
          <t>แกน Y คืออัตราส่วนระหว่างความเข้มข้นสาร A และ B</t>
        </is>
      </c>
      <c r="G114" s="45" t="inlineStr">
        <is>
          <t>การมี internal standard solution ทำให้ค่า R² ห่างจาก 1 มากขึ้น</t>
        </is>
      </c>
      <c r="H114" s="45" t="inlineStr">
        <is>
          <t>ผลกราฟที่ได้ แสดงว่าสารไม่ได้มาตรฐาน เนื่องจาก linearity ไม่ได้มาตรฐาน</t>
        </is>
      </c>
      <c r="I114" s="46" t="n">
        <v>1</v>
      </c>
      <c r="J114" s="45" t="inlineStr">
        <is>
          <t>✅ คำตอบที่ถูกต้อง: ข้อ ก. แกน X เป็นความเข้มข้นของสาร B
💡 Background:
คำถามข้อสอบจริงใบประกอบวิชาชีพ PLE-CC 1 (Product) ปี 2561 ข้อ 94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4" s="46" t="n"/>
      <c r="L114" s="45" t="inlineStr">
        <is>
          <t>Biotechnology &amp; Biological Products</t>
        </is>
      </c>
      <c r="M114" s="46" t="inlineStr">
        <is>
          <t>Product</t>
        </is>
      </c>
      <c r="N114" s="45" t="inlineStr">
        <is>
          <t>ข้อสอบจริง Product ปี 2561 ข้อ 94</t>
        </is>
      </c>
      <c r="O114" s="46" t="inlineStr">
        <is>
          <t>ข้อสอบจริง</t>
        </is>
      </c>
      <c r="P114" s="46" t="inlineStr">
        <is>
          <t>ปี 2561</t>
        </is>
      </c>
    </row>
    <row r="115">
      <c r="A115" s="46" t="n">
        <v>113</v>
      </c>
      <c r="B115" s="45" t="inlineStr">
        <is>
          <t>Insulin gargine ผลิตมาจากอะไร</t>
        </is>
      </c>
      <c r="C115" s="46" t="n"/>
      <c r="D115" s="45" t="inlineStr">
        <is>
          <t>ตับอ่อนของวัว</t>
        </is>
      </c>
      <c r="E115" s="45" t="inlineStr">
        <is>
          <t>ตับอ่อนของหมู</t>
        </is>
      </c>
      <c r="F115" s="45" t="inlineStr">
        <is>
          <t>ตับอ่อนของคน</t>
        </is>
      </c>
      <c r="G115" s="45" t="inlineStr">
        <is>
          <t>Recombinant DNA</t>
        </is>
      </c>
      <c r="H115" s="45" t="inlineStr">
        <is>
          <t>Recombinant DNA E.coli</t>
        </is>
      </c>
      <c r="I115" s="46" t="n">
        <v>1</v>
      </c>
      <c r="J115" s="45" t="inlineStr">
        <is>
          <t>✅ คำตอบที่ถูกต้อง: ข้อ ก. ตับอ่อนของวัว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5" s="46" t="n"/>
      <c r="L115" s="45" t="inlineStr">
        <is>
          <t>Biotechnology &amp; Biological Products</t>
        </is>
      </c>
      <c r="M115" s="46" t="inlineStr">
        <is>
          <t>Product</t>
        </is>
      </c>
      <c r="N115" s="45" t="inlineStr">
        <is>
          <t>ข้อสอบจริง Product ปี 2559 ข้อ 5</t>
        </is>
      </c>
      <c r="O115" s="46" t="inlineStr">
        <is>
          <t>ข้อสอบจริง</t>
        </is>
      </c>
      <c r="P115" s="46" t="inlineStr">
        <is>
          <t>ปี 2559</t>
        </is>
      </c>
    </row>
    <row r="116">
      <c r="A116" s="46" t="n">
        <v>114</v>
      </c>
      <c r="B116" s="45" t="inlineStr">
        <is>
          <t>Vaccine ที่มีส่วนผสมของ aluminium เป็น adjuvant สามารถบริหารได้ทางใด</t>
        </is>
      </c>
      <c r="C116" s="46" t="n"/>
      <c r="D116" s="45" t="inlineStr">
        <is>
          <t>IV</t>
        </is>
      </c>
      <c r="E116" s="45" t="inlineStr">
        <is>
          <t>IM</t>
        </is>
      </c>
      <c r="F116" s="45" t="inlineStr">
        <is>
          <t>SC</t>
        </is>
      </c>
      <c r="G116" s="45" t="inlineStr">
        <is>
          <t>ID</t>
        </is>
      </c>
      <c r="H116" s="45" t="inlineStr">
        <is>
          <t>IM \+ SC</t>
        </is>
      </c>
      <c r="I116" s="46" t="n">
        <v>1</v>
      </c>
      <c r="J116" s="45" t="inlineStr">
        <is>
          <t>✅ คำตอบที่ถูกต้อง: ข้อ ก. IV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6" s="46" t="n"/>
      <c r="L116" s="45" t="inlineStr">
        <is>
          <t>Biotechnology &amp; Biological Products</t>
        </is>
      </c>
      <c r="M116" s="46" t="inlineStr">
        <is>
          <t>Product</t>
        </is>
      </c>
      <c r="N116" s="45" t="inlineStr">
        <is>
          <t>ข้อสอบจริง Product ปี 2559 ข้อ 9</t>
        </is>
      </c>
      <c r="O116" s="46" t="inlineStr">
        <is>
          <t>ข้อสอบจริง</t>
        </is>
      </c>
      <c r="P116" s="46" t="inlineStr">
        <is>
          <t>ปี 2559</t>
        </is>
      </c>
    </row>
    <row r="117">
      <c r="A117" s="46" t="n">
        <v>115</v>
      </c>
      <c r="B117" s="45" t="inlineStr">
        <is>
          <t>Vaccine ใดจัดอยู่ในกลุ่มเดียวกับ JE</t>
        </is>
      </c>
      <c r="C117" s="46" t="n"/>
      <c r="D117" s="45" t="inlineStr">
        <is>
          <t>OPV</t>
        </is>
      </c>
      <c r="E117" s="45" t="inlineStr">
        <is>
          <t>HBV</t>
        </is>
      </c>
      <c r="F117" s="45" t="inlineStr">
        <is>
          <t>DTwP</t>
        </is>
      </c>
      <c r="G117" s="45" t="inlineStr">
        <is>
          <t>MMT</t>
        </is>
      </c>
      <c r="H117" s="45" t="inlineStr"/>
      <c r="I117" s="46" t="n">
        <v>1</v>
      </c>
      <c r="J117" s="45" t="inlineStr">
        <is>
          <t>✅ คำตอบที่ถูกต้อง: ข้อ ก. OPV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7" s="46" t="n"/>
      <c r="L117" s="45" t="inlineStr">
        <is>
          <t>Biotechnology &amp; Biological Products</t>
        </is>
      </c>
      <c r="M117" s="46" t="inlineStr">
        <is>
          <t>Product</t>
        </is>
      </c>
      <c r="N117" s="45" t="inlineStr">
        <is>
          <t>ข้อสอบจริง Product ปี 2559 ข้อ 11</t>
        </is>
      </c>
      <c r="O117" s="46" t="inlineStr">
        <is>
          <t>ข้อสอบจริง</t>
        </is>
      </c>
      <c r="P117" s="46" t="inlineStr">
        <is>
          <t>ปี 2559</t>
        </is>
      </c>
    </row>
    <row r="118">
      <c r="A118" s="46" t="n">
        <v>116</v>
      </c>
      <c r="B118" s="45" t="inlineStr">
        <is>
          <t>Vaccine ที่มีส่วนผสมของ aluminium เป็น adjuvant สามารถบริหารได้ทางใด</t>
        </is>
      </c>
      <c r="C118" s="46" t="n"/>
      <c r="D118" s="45" t="inlineStr">
        <is>
          <t>IV</t>
        </is>
      </c>
      <c r="E118" s="45" t="inlineStr">
        <is>
          <t>IM</t>
        </is>
      </c>
      <c r="F118" s="45" t="inlineStr">
        <is>
          <t>SC</t>
        </is>
      </c>
      <c r="G118" s="45" t="inlineStr">
        <is>
          <t>ID</t>
        </is>
      </c>
      <c r="H118" s="45" t="inlineStr">
        <is>
          <t>IM \+ SC</t>
        </is>
      </c>
      <c r="I118" s="46" t="n">
        <v>1</v>
      </c>
      <c r="J118" s="45" t="inlineStr">
        <is>
          <t>✅ คำตอบที่ถูกต้อง: ข้อ ก. IV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8" s="46" t="n"/>
      <c r="L118" s="45" t="inlineStr">
        <is>
          <t>Biotechnology &amp; Biological Products</t>
        </is>
      </c>
      <c r="M118" s="46" t="inlineStr">
        <is>
          <t>Product</t>
        </is>
      </c>
      <c r="N118" s="45" t="inlineStr">
        <is>
          <t>ข้อสอบจริง Product ปี 2559 ข้อ 10</t>
        </is>
      </c>
      <c r="O118" s="46" t="inlineStr">
        <is>
          <t>ข้อสอบจริง</t>
        </is>
      </c>
      <c r="P118" s="46" t="inlineStr">
        <is>
          <t>ปี 2559</t>
        </is>
      </c>
    </row>
    <row r="119">
      <c r="A119" s="46" t="n">
        <v>117</v>
      </c>
      <c r="B119" s="45" t="inlineStr">
        <is>
          <t>ข้อใดกล่าว ไม่ถูกต้อง เกี่ยวกับมาตรการความปลอดภัยและสถานที่ในการเตรียมยาเคมีบำบัด (Chemotherapy compounding) ในสถาบันการพยาบาล?</t>
        </is>
      </c>
      <c r="C119" s="46" t="n"/>
      <c r="D119" s="45" t="inlineStr">
        <is>
          <t>ต้องจัดเตรียมยาในสภาวะแวดล้อมที่ห้องควบคุมความดันเป็นบวก (Positive pressure room)</t>
        </is>
      </c>
      <c r="E119" s="45" t="inlineStr">
        <is>
          <t>ต้องทำภายในตู้ปลอดภัยทางชีวภาพ (Biological Safety Cabinet: BSC Class II Type B2) หรือตู้แบบปิด (Isolator)</t>
        </is>
      </c>
      <c r="F119" s="45" t="inlineStr">
        <is>
          <t>เจ้าหน้าที่ผู้เตรียมยาต้องสวมใส่ชุดสวมคลุมป้องกันชนิดปราศจากขุย (Lint-free protective gown)</t>
        </is>
      </c>
      <c r="G119" s="45" t="inlineStr">
        <is>
          <t>หลีกเลี่ยงหรือห้ามไม่ให้สตรีมีครรภ์เข้ามามีส่วนร่วมในการเตรียมผสมเคมีบำบัด</t>
        </is>
      </c>
      <c r="H119" s="45" t="inlineStr">
        <is>
          <t>ต้องเก็บกักและติดป้ายแสดงสัญญาณเตือนสารอันตรายรอบบริเวณเตรียมการวิเคราะห์อย่างเข้มงวด</t>
        </is>
      </c>
      <c r="I119" s="46" t="n">
        <v>1</v>
      </c>
      <c r="J119" s="45" t="inlineStr">
        <is>
          <t>✅ คำตอบที่ถูกต้อง: ข้อ ก. ต้องจัดเตรียมยาในสภาวะแวดล้อมที่ห้องควบคุมความดันเป็นบวก (Positive pressure room)
💡 Background:
คำถามข้อสอบจริงใบประกอบวิชาชีพ PLE-CC 1 (Product) ปี 2558 ข้อ 27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9" s="46" t="n"/>
      <c r="L119" s="45" t="inlineStr">
        <is>
          <t>Biotechnology &amp; Biological Products</t>
        </is>
      </c>
      <c r="M119" s="46" t="inlineStr">
        <is>
          <t>Product</t>
        </is>
      </c>
      <c r="N119" s="45" t="inlineStr">
        <is>
          <t>ข้อสอบจริง Product ปี 2558 ข้อ 27</t>
        </is>
      </c>
      <c r="O119" s="46" t="inlineStr">
        <is>
          <t>ข้อสอบจริง</t>
        </is>
      </c>
      <c r="P119" s="46" t="inlineStr">
        <is>
          <t>ปี 2558</t>
        </is>
      </c>
    </row>
  </sheetData>
  <mergeCells count="1">
    <mergeCell ref="A1:F1"/>
  </mergeCell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P3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c r="A3" s="46" t="n">
        <v>1</v>
      </c>
      <c r="B3" s="45" t="inlineStr">
        <is>
          <t>สมุนไพรใดต่อไปนี้ สามารถใช้รักษาเชื้อราได้</t>
        </is>
      </c>
      <c r="C3" s="46" t="n"/>
      <c r="D3" s="45" t="inlineStr">
        <is>
          <t>ทิงเจอร์ทองพันชั่ง</t>
        </is>
      </c>
      <c r="E3" s="45" t="inlineStr">
        <is>
          <t>โลชั่นเลดพังพอน</t>
        </is>
      </c>
      <c r="F3" s="45" t="inlineStr">
        <is>
          <t>ทิงเจอร์ไพล</t>
        </is>
      </c>
      <c r="G3" s="45" t="inlineStr">
        <is>
          <t>ครีมใบบับก</t>
        </is>
      </c>
      <c r="H3" s="45" t="inlineStr">
        <is>
          <t>ครีมเม็ดน้อยน่า</t>
        </is>
      </c>
      <c r="I3" s="46" t="n">
        <v>1</v>
      </c>
      <c r="J3" s="45" t="inlineStr">
        <is>
          <t>✅ คำตอบที่ถูกต้อง: ข้อ ก. ทิงเจอร์ทองพันชั่ง
💡 Background:
คำถามข้อสอบจริงใบประกอบวิชาชีพ PLE-CC 1 (Product) ปี 2567 ข้อ 11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 s="46" t="n"/>
      <c r="L3" s="45" t="inlineStr">
        <is>
          <t>Herbal Products &amp; Standardization</t>
        </is>
      </c>
      <c r="M3" s="46" t="inlineStr">
        <is>
          <t>Product</t>
        </is>
      </c>
      <c r="N3" s="45" t="inlineStr">
        <is>
          <t>ข้อสอบจริง Product ปี 2567 ข้อ 11</t>
        </is>
      </c>
      <c r="O3" s="46" t="inlineStr">
        <is>
          <t>ข้อสอบจริง</t>
        </is>
      </c>
      <c r="P3" s="46" t="inlineStr">
        <is>
          <t>ปี 2567</t>
        </is>
      </c>
    </row>
    <row r="4">
      <c r="A4" s="46" t="n">
        <v>2</v>
      </c>
      <c r="B4" s="45" t="inlineStr">
        <is>
          <t>ส่วนประกอบของ MDI ส่วนใดที่ควบคุมการปรับละอองฝอยของยา</t>
        </is>
      </c>
      <c r="C4" s="46" t="inlineStr">
        <is>
          <t>[แนบรูป: ข้อสอบ Product ปี 2564 รหัสรูปภาพ image69]</t>
        </is>
      </c>
      <c r="D4" s="45" t="inlineStr">
        <is>
          <t>Actuator – ตัวครอบพลาสติกที่ใช้กดพ่นยาและนำละอองยาเข้าสู่ปาก มีช่องพ่นยา (mouthpiece) อยู่ในชิ้นส่วนนี้</t>
        </is>
      </c>
      <c r="E4" s="45" t="inlineStr">
        <is>
          <t>Metered valve – วาล์วจ่ายยา ทำหน้าที่ควบคุมให้ยาถูกพ่นออกมาในปริมาณที่แน่นอนทุกครั้งที่กด และเป็นส่วนปรับละอองฝอยของยาด้วย</t>
        </is>
      </c>
      <c r="F4" s="45" t="inlineStr">
        <is>
          <t>Mouthpiece – ช่องสำหรับอมและสูดดมยาเข้าสู่ทางเดินหายใจ</t>
        </is>
      </c>
      <c r="G4" s="45" t="inlineStr">
        <is>
          <t>Canister – กระป๋องบรรจุยา ภายในบรรจุตัวยาและสารขับดัน (propellant) เพื่อช่วยพ่นยาออกมาเป็นละออง</t>
        </is>
      </c>
      <c r="H4" s="45" t="inlineStr">
        <is>
          <t xml:space="preserve">Rotating disk – แผ่นหรือกลไกหมุนภายในชุดวาล์ว ช่วยในการทำงานของวาล์วจ่ายยา ให้รับและปล่อยยาปริมาณคงที่ในแต่ละครั้ง (มีในบางการออกแบบของ MDI) [แนบรูป: ข้อสอบ Product ปี 2564 รหัสรูปภาพ image69] </t>
        </is>
      </c>
      <c r="I4" s="46" t="n">
        <v>1</v>
      </c>
      <c r="J4" s="45" t="inlineStr">
        <is>
          <t>✅ คำตอบที่ถูกต้อง: ข้อ ก. Actuator – ตัวครอบพลาสติกที่ใช้กดพ่นยาและนำละอองยาเข้าสู่ปาก มีช่องพ่นยา (mouthpiece) อยู่ในชิ้นส่วนนี้
💡 Background:
คำถามข้อสอบจริงใบประกอบวิชาชีพ PLE-CC 1 (Product) ปี 2564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4" s="46" t="n"/>
      <c r="L4" s="45" t="inlineStr">
        <is>
          <t>Herbal Products &amp; Standardization</t>
        </is>
      </c>
      <c r="M4" s="46" t="inlineStr">
        <is>
          <t>Product</t>
        </is>
      </c>
      <c r="N4" s="45" t="inlineStr">
        <is>
          <t>ข้อสอบจริง Product ปี 2564 ข้อ 2</t>
        </is>
      </c>
      <c r="O4" s="46" t="inlineStr">
        <is>
          <t>ข้อสอบจริง</t>
        </is>
      </c>
      <c r="P4" s="46" t="inlineStr">
        <is>
          <t>ปี 2564</t>
        </is>
      </c>
    </row>
    <row r="5">
      <c r="A5" s="46" t="n">
        <v>3</v>
      </c>
      <c r="B5" s="45" t="inlineStr">
        <is>
          <t>ผลการวิเคราะห์ยาแคปซูลขมิ้นชันด้วย Total yeast and mold counts ได้ผล 5 x 10^4 CFU/g ข้อใดกล่าวถูกต้อง เมื่อเปรียบเทียบกับตารางกำหนดปริมาณจุลินทรีย์ของยาเตรียมสมุนไพร ดังตารางข้างล่างนี้ | เชื้อ | A/B | C | | :---- | :---- | :---- | | Total Bacteria | 5 x 10^7 | 5 x 10^6 | | Total Yeast and mold | 5 x 10^4 | 5 x 10^3 | | S. aureus | ต้องไม่พบเชื้อดังกล่าว |  | | P. aeruginosa |  |  | เมื่อ A \= internal use ที่ต้องผ่านกระบวนการลดเชื้อก่อนใช้งาน เช่น การให้ความร้อน B \= external use C \= internal use ทั่วไป</t>
        </is>
      </c>
      <c r="C5" s="46" t="n"/>
      <c r="D5" s="45" t="inlineStr">
        <is>
          <t>ผ่านเกณฑ์มาตรฐาน เนื่องจากมีค่าไม่เกิน 5×10^7</t>
        </is>
      </c>
      <c r="E5" s="45" t="inlineStr">
        <is>
          <t>ผ่านเกณฑ์มาตรฐาน เนื่องจากมีค่าไม่เกิน 5×10^4</t>
        </is>
      </c>
      <c r="F5" s="45" t="inlineStr">
        <is>
          <t>ไม่ผ่านเกณฑ์มาตรฐาน เนื่องจากมีค่าเกิน 5×10^3</t>
        </is>
      </c>
      <c r="G5" s="45" t="inlineStr">
        <is>
          <t>ไม่ผ่านเกณฑ์มาตรฐาน เนื่องจากต้องตรวจไม่พบใน 10 g</t>
        </is>
      </c>
      <c r="H5" s="45" t="inlineStr">
        <is>
          <t>ไม่สามารถประเมินได้ เนื่องจากไม่มีเกณฑ์ระบุไว้ คำอธิบาย: โดยทั่วไป ยาแคปซูลสมุนไพรที่ไม่ได้ระบุว่าผ่านกระบวนการลดเชื้อพิเศษ (เช่น การฉายรังสีหรือความร้อนสูง) จะถูกจัดอยู่ในกลุ่ม C (Internal use ทั่วไป) ดังนั้นจึงตอบเป็น c) ไม่ผ่านเกณฑ์มาตรฐาน เนื่องจากมีค่าเกิน 5×10^3</t>
        </is>
      </c>
      <c r="I5" s="46" t="n">
        <v>1</v>
      </c>
      <c r="J5" s="45" t="inlineStr">
        <is>
          <t>✅ คำตอบที่ถูกต้อง: ข้อ ก. ผ่านเกณฑ์มาตรฐาน เนื่องจากมีค่าไม่เกิน 5×10^7
💡 Background:
คำถามข้อสอบจริงใบประกอบวิชาชีพ PLE-CC 1 (Product) ปี 2564 ข้อ 86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5" s="46" t="n"/>
      <c r="L5" s="45" t="inlineStr">
        <is>
          <t>Herbal Products &amp; Standardization</t>
        </is>
      </c>
      <c r="M5" s="46" t="inlineStr">
        <is>
          <t>Product</t>
        </is>
      </c>
      <c r="N5" s="45" t="inlineStr">
        <is>
          <t>ข้อสอบจริง Product ปี 2564 ข้อ 86</t>
        </is>
      </c>
      <c r="O5" s="46" t="inlineStr">
        <is>
          <t>ข้อสอบจริง</t>
        </is>
      </c>
      <c r="P5" s="46" t="inlineStr">
        <is>
          <t>ปี 2564</t>
        </is>
      </c>
    </row>
    <row r="6">
      <c r="A6" s="46" t="n">
        <v>4</v>
      </c>
      <c r="B6" s="45" t="inlineStr">
        <is>
          <t>สมุนไพรใดสามารถบรรเทาอาการปวดได้</t>
        </is>
      </c>
      <c r="C6" s="46" t="n"/>
      <c r="D6" s="45" t="inlineStr">
        <is>
          <t>ประสะกระเพรา ❌ ใช้เกี่ยวกับอาการท้องอืด ท้องเฟ้อ ขับลม</t>
        </is>
      </c>
      <c r="E6" s="45" t="inlineStr">
        <is>
          <t>ยาผสมเถาวัลย์เปรียง ✅ บรรเทาอาการปวดกล้ามเนื้อ/ข้อ</t>
        </is>
      </c>
      <c r="F6" s="45" t="inlineStr">
        <is>
          <t>ขิง ❌ เด่นด้านแก้คลื่นไส้ ขับลม ลดอักเสบเล็กน้อย</t>
        </is>
      </c>
      <c r="G6" s="45" t="inlineStr">
        <is>
          <t>พญาสัตบรรณ ❌ ใช้ตามภูมิปัญญา ไม่ใช่ตัวหลักสำหรับแก้ปวด</t>
        </is>
      </c>
      <c r="H6" s="45" t="inlineStr">
        <is>
          <t>เหง้าข่า ❌ ใช้ขับลม แก้ท้องอืด</t>
        </is>
      </c>
      <c r="I6" s="46" t="n">
        <v>1</v>
      </c>
      <c r="J6" s="45" t="inlineStr">
        <is>
          <t>✅ คำตอบที่ถูกต้อง: ข้อ ก. ประสะกระเพรา ❌ ใช้เกี่ยวกับอาการท้องอืด ท้องเฟ้อ ขับลม
💡 Background:
คำถามข้อสอบจริงใบประกอบวิชาชีพ PLE-CC 1 (Product) ปี 2564 ข้อ 170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6" s="46" t="n"/>
      <c r="L6" s="45" t="inlineStr">
        <is>
          <t>Herbal Products &amp; Standardization</t>
        </is>
      </c>
      <c r="M6" s="46" t="inlineStr">
        <is>
          <t>Product</t>
        </is>
      </c>
      <c r="N6" s="45" t="inlineStr">
        <is>
          <t>ข้อสอบจริง Product ปี 2564 ข้อ 170</t>
        </is>
      </c>
      <c r="O6" s="46" t="inlineStr">
        <is>
          <t>ข้อสอบจริง</t>
        </is>
      </c>
      <c r="P6" s="46" t="inlineStr">
        <is>
          <t>ปี 2564</t>
        </is>
      </c>
    </row>
    <row r="7">
      <c r="A7" s="46" t="n">
        <v>5</v>
      </c>
      <c r="B7" s="45" t="inlineStr">
        <is>
          <t>ตามสาธารณสุขมูลฐาน 2561 อะไรที่จะใช้รักษาโรคที่เกิดจากราได้</t>
        </is>
      </c>
      <c r="C7" s="46" t="n"/>
      <c r="D7" s="45" t="inlineStr">
        <is>
          <t>พลู ❌ ใช้แก้ท้องอืด ท้องเฟ้อ และมีฤทธิ์ฆ่าเชื้อบางชนิด แต่ไม่ใช่ตัวหลักในโรคเชื้อรา</t>
        </is>
      </c>
      <c r="E7" s="45" t="inlineStr">
        <is>
          <t>ทองพันชั่ง ✅ ใช้รักษาโรคผิวหนังจากเชื้อรา</t>
        </is>
      </c>
      <c r="F7" s="45" t="inlineStr">
        <is>
          <t>เปลือกมังคุด ❌ มีฤทธิ์ต้านเชื้อและฝาดสมาน ใช้กับแผล/ผิวหนังบางอย่าง แต่ไม่ใช่ตัวเด่น</t>
        </is>
      </c>
      <c r="G7" s="45" t="inlineStr">
        <is>
          <t>พญายอ ❌ ใช้รักษาเริม งูสวัด แผลอักเสบ</t>
        </is>
      </c>
      <c r="H7" s="45" t="inlineStr">
        <is>
          <t>ว่านหางจระเข้ ❌ ใช้สมานแผล ลดการระคายเคือง/แผลไฟไหม้</t>
        </is>
      </c>
      <c r="I7" s="46" t="n">
        <v>1</v>
      </c>
      <c r="J7" s="45" t="inlineStr">
        <is>
          <t>✅ คำตอบที่ถูกต้อง: ข้อ ก. พลู ❌ ใช้แก้ท้องอืด ท้องเฟ้อ และมีฤทธิ์ฆ่าเชื้อบางชนิด แต่ไม่ใช่ตัวหลักในโรคเชื้อรา
💡 Background:
คำถามข้อสอบจริงใบประกอบวิชาชีพ PLE-CC 1 (Product) ปี 2564 ข้อ 172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7" s="46" t="n"/>
      <c r="L7" s="45" t="inlineStr">
        <is>
          <t>Herbal Products &amp; Standardization</t>
        </is>
      </c>
      <c r="M7" s="46" t="inlineStr">
        <is>
          <t>Product</t>
        </is>
      </c>
      <c r="N7" s="45" t="inlineStr">
        <is>
          <t>ข้อสอบจริง Product ปี 2564 ข้อ 172</t>
        </is>
      </c>
      <c r="O7" s="46" t="inlineStr">
        <is>
          <t>ข้อสอบจริง</t>
        </is>
      </c>
      <c r="P7" s="46" t="inlineStr">
        <is>
          <t>ปี 2564</t>
        </is>
      </c>
    </row>
    <row r="8">
      <c r="A8" s="46" t="n">
        <v>6</v>
      </c>
      <c r="B8" s="45" t="inlineStr">
        <is>
          <t>สารสำคัญที่มีสรรพคุณลดปวดในเจลพริกคือสารใด</t>
        </is>
      </c>
      <c r="C8" s="46" t="n"/>
      <c r="D8" s="45" t="inlineStr">
        <is>
          <t>Piperalin</t>
        </is>
      </c>
      <c r="E8" s="45" t="inlineStr">
        <is>
          <t>Capsaicin</t>
        </is>
      </c>
      <c r="F8" s="45" t="inlineStr">
        <is>
          <t>Eugenol</t>
        </is>
      </c>
      <c r="G8" s="45" t="inlineStr">
        <is>
          <t>Volatile oil</t>
        </is>
      </c>
      <c r="H8" s="45" t="inlineStr">
        <is>
          <t>Curcuminoid คำอธิบาย: Capsaicin เป็นสารสำคัญในพริก มีฤทธิ์ลดอาการปวดโดยกระตุ้น TRPV1 receptor ทำให้สารสื่อประสาทความปวด (เช่น substance P) ลดล</t>
        </is>
      </c>
      <c r="I8" s="46" t="n">
        <v>1</v>
      </c>
      <c r="J8" s="45" t="inlineStr">
        <is>
          <t>✅ คำตอบที่ถูกต้อง: ข้อ ก. Piperalin
💡 Background:
คำถามข้อสอบจริงใบประกอบวิชาชีพ PLE-CC 1 (Product) ปี 2564 ข้อ 173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8" s="46" t="n"/>
      <c r="L8" s="45" t="inlineStr">
        <is>
          <t>Herbal Products &amp; Standardization</t>
        </is>
      </c>
      <c r="M8" s="46" t="inlineStr">
        <is>
          <t>Product</t>
        </is>
      </c>
      <c r="N8" s="45" t="inlineStr">
        <is>
          <t>ข้อสอบจริง Product ปี 2564 ข้อ 173</t>
        </is>
      </c>
      <c r="O8" s="46" t="inlineStr">
        <is>
          <t>ข้อสอบจริง</t>
        </is>
      </c>
      <c r="P8" s="46" t="inlineStr">
        <is>
          <t>ปี 2564</t>
        </is>
      </c>
    </row>
    <row r="9">
      <c r="A9" s="46" t="n">
        <v>7</v>
      </c>
      <c r="B9" s="45" t="inlineStr">
        <is>
          <t>สมุนไพรที่ใช้ในการขับพยาธิ</t>
        </is>
      </c>
      <c r="C9" s="46" t="n"/>
      <c r="D9" s="45" t="inlineStr">
        <is>
          <t>น้ำมันมะพร้าว</t>
        </is>
      </c>
      <c r="E9" s="45" t="inlineStr">
        <is>
          <t>ใบตำลึง</t>
        </is>
      </c>
      <c r="F9" s="45" t="inlineStr">
        <is>
          <t>เปลือกมังคุด</t>
        </is>
      </c>
      <c r="G9" s="45" t="inlineStr">
        <is>
          <t>เมล็ดฟักทอง</t>
        </is>
      </c>
      <c r="H9" s="45" t="inlineStr">
        <is>
          <t>เมล็ดแมงลัก คำอธิบาย:เมล็ดฟักทอง มีสารกลุ่ม cucurbitacin มีฤทธิ์ช่วยขับพยาธิ โดยเฉพาะพยาธิตัวตืด วิเคราะห์ตัวเลือก A. น้ำมันมะพร้าว ❌ ใช้เป็นอาหาร/ตัวพา ไม่ใช่ยาขับพยาธิหลัก B. ใบตำลึง ❌ ใช้เป็นอาหารและมีภูมิปัญญาใช้บางด้าน แต่ไม่ใช่ตัวเด่น C. เปลือกมังคุด ❌ เด่นด้านฝาดสมาน ต้านจุลชีพ ใช้กับแผล/ผิวหนัง D. เมล็ดฟักทอง ✅ ใช้ขับพยาธิ E. เมล็ดแมงลัก ❌ ใช้เป็นยาระบาย เพิ่มกากใย</t>
        </is>
      </c>
      <c r="I9" s="46" t="n">
        <v>1</v>
      </c>
      <c r="J9" s="45" t="inlineStr">
        <is>
          <t>✅ คำตอบที่ถูกต้อง: ข้อ ก. น้ำมันมะพร้าว
💡 Background:
คำถามข้อสอบจริงใบประกอบวิชาชีพ PLE-CC 1 (Product) ปี 2564 ข้อ 174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9" s="46" t="n"/>
      <c r="L9" s="45" t="inlineStr">
        <is>
          <t>Herbal Products &amp; Standardization</t>
        </is>
      </c>
      <c r="M9" s="46" t="inlineStr">
        <is>
          <t>Product</t>
        </is>
      </c>
      <c r="N9" s="45" t="inlineStr">
        <is>
          <t>ข้อสอบจริง Product ปี 2564 ข้อ 174</t>
        </is>
      </c>
      <c r="O9" s="46" t="inlineStr">
        <is>
          <t>ข้อสอบจริง</t>
        </is>
      </c>
      <c r="P9" s="46" t="inlineStr">
        <is>
          <t>ปี 2564</t>
        </is>
      </c>
    </row>
    <row r="10">
      <c r="A10" s="46" t="n">
        <v>8</v>
      </c>
      <c r="B10" s="45" t="inlineStr">
        <is>
          <t>กรณีศึกษา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เภสัชกรแนะนำสมุนไพรในบัญชียาหลักและสาธารณสุขมูลฐานเพื่อแก้ขัดเบา สำหรับอาการดังกล่าวตัวใด</t>
        </is>
      </c>
      <c r="C10" s="46" t="n"/>
      <c r="D10" s="45" t="inlineStr">
        <is>
          <t>กระเจี๊ยบแดง ✅ ใช้แก้ขัดเบา/ขับปัสสาวะ</t>
        </is>
      </c>
      <c r="E10" s="45" t="inlineStr">
        <is>
          <t>ช้าพลู ❌ ใช้แก้ท้องอืด ขับลม</t>
        </is>
      </c>
      <c r="F10" s="45" t="inlineStr">
        <is>
          <t>รางจืด ❌ ใช้ถอนพิษ/แก้เมาสารพิษตามภูมิปัญญา</t>
        </is>
      </c>
      <c r="G10" s="45" t="inlineStr">
        <is>
          <t>ฟ้าทะลายโจร ❌ ใช้บรรเทาอาการหวัด เจ็บคอ</t>
        </is>
      </c>
      <c r="H10" s="45" t="inlineStr">
        <is>
          <t>หญ้าปักกิ่ง ❌ ใช้ตามภูมิปัญญาด้านอื่น ไม่ใช่ตัวหลักแก้ขัดเบา</t>
        </is>
      </c>
      <c r="I10" s="46" t="n">
        <v>1</v>
      </c>
      <c r="J10" s="45" t="inlineStr">
        <is>
          <t>✅ คำตอบที่ถูกต้อง: ข้อ ก. กระเจี๊ยบแดง ✅ ใช้แก้ขัดเบา/ขับปัสสาวะ
💡 Background:
คำถามข้อสอบจริงใบประกอบวิชาชีพ PLE-CC 1 (Product) ปี 2564 ข้อ 175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0" s="46" t="n"/>
      <c r="L10" s="45" t="inlineStr">
        <is>
          <t>Herbal Products &amp; Standardization</t>
        </is>
      </c>
      <c r="M10" s="46" t="inlineStr">
        <is>
          <t>Product</t>
        </is>
      </c>
      <c r="N10" s="45" t="inlineStr">
        <is>
          <t>ข้อสอบจริง Product ปี 2564 ข้อ 175</t>
        </is>
      </c>
      <c r="O10" s="46" t="inlineStr">
        <is>
          <t>ข้อสอบจริง</t>
        </is>
      </c>
      <c r="P10" s="46" t="inlineStr">
        <is>
          <t>ปี 2564</t>
        </is>
      </c>
    </row>
    <row r="11">
      <c r="A11" s="46" t="n">
        <v>9</v>
      </c>
      <c r="B11" s="45" t="inlineStr">
        <is>
          <t>ตำรับสมุนไพรใดสามารถใช้รักษาเชื้อราได้</t>
        </is>
      </c>
      <c r="C11" s="46" t="n"/>
      <c r="D11" s="45" t="inlineStr">
        <is>
          <t>ทิงเจอร์พลู</t>
        </is>
      </c>
      <c r="E11" s="45" t="inlineStr">
        <is>
          <t>ทิงเจอร์เสลดพังพอน</t>
        </is>
      </c>
      <c r="F11" s="45" t="inlineStr">
        <is>
          <t>ครีมมะหาด</t>
        </is>
      </c>
      <c r="G11" s="45" t="inlineStr">
        <is>
          <t>ทิงเจอร์ทองพันชั่ง</t>
        </is>
      </c>
      <c r="H11" s="45" t="inlineStr">
        <is>
          <t>ครีมผักบุ้งทะเล คำอธิบาย:ทองพันชั่ง (Rhinacanthus nasutus) มีสารสำคัญกลุ่ม naphthoquinones มีฤทธิ์ ต้านเชื้อรา ใช้รักษาโรคผิวหนัง เช่น กลาก เกลื้อน วิเคราะห์ตัวเลือก A. ทิงเจอร์พลู ❌ มีฤทธิ์ต้านจุลชีพ แต่ไม่ได้เป็นตำรับหลักสำหรับเชื้อรา B. ทิงเจอร์เสลดพังพอน ❌ ใช้กับเริม งูสวัด แมลงกัดต่อย C. ครีมมะหาด ❌ ใช้ด้านผิวพรรณ/ลดฝ้า ไม่ใช่ยาต้านเชื้อราหลัก D. ทิงเจอร์ทองพันชั่ง ✅ ใช้รักษาโรคผิวหนังจากเชื้อรา E. ครีมผักบุ้งทะเล ❌ ใช้บรรเทาอาการแพ้ แมลงกัดต่อย/ผื่นคัน</t>
        </is>
      </c>
      <c r="I11" s="46" t="n">
        <v>1</v>
      </c>
      <c r="J11" s="45" t="inlineStr">
        <is>
          <t>✅ คำตอบที่ถูกต้อง: ข้อ ก. ทิงเจอร์พลู
💡 Background:
คำถามข้อสอบจริงใบประกอบวิชาชีพ PLE-CC 1 (Product) ปี 2564 ข้อ 176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1" s="46" t="n"/>
      <c r="L11" s="45" t="inlineStr">
        <is>
          <t>Herbal Products &amp; Standardization</t>
        </is>
      </c>
      <c r="M11" s="46" t="inlineStr">
        <is>
          <t>Product</t>
        </is>
      </c>
      <c r="N11" s="45" t="inlineStr">
        <is>
          <t>ข้อสอบจริง Product ปี 2564 ข้อ 176</t>
        </is>
      </c>
      <c r="O11" s="46" t="inlineStr">
        <is>
          <t>ข้อสอบจริง</t>
        </is>
      </c>
      <c r="P11" s="46" t="inlineStr">
        <is>
          <t>ปี 2564</t>
        </is>
      </c>
    </row>
    <row r="12">
      <c r="A12" s="46" t="n">
        <v>10</v>
      </c>
      <c r="B12" s="45" t="inlineStr">
        <is>
          <t>สมุนไพรมีสรรพคุณช่วยเลิกบุหรี่</t>
        </is>
      </c>
      <c r="C12" s="46" t="n"/>
      <c r="D12" s="45" t="inlineStr">
        <is>
          <t>หญ้าหนวดแมว ❌ ใช้ขับปัสสาวะ/นิ่วในทางเดินปัสสาวะ</t>
        </is>
      </c>
      <c r="E12" s="45" t="inlineStr">
        <is>
          <t>รางจืด ❌ ใช้ถอนพิษตามภูมิปัญญา</t>
        </is>
      </c>
      <c r="F12" s="45" t="inlineStr">
        <is>
          <t>กระเจี๊ยบแดง ❌ ขับปัสสาวะ แก้ขัดเบา</t>
        </is>
      </c>
      <c r="G12" s="45" t="inlineStr">
        <is>
          <t>หญ้าดอกขาว ✅ ช่วยเลิกบุหรี่ ลดความอยากบุหรี่</t>
        </is>
      </c>
      <c r="H12" s="45" t="inlineStr">
        <is>
          <t>ขิง ❌ แก้คลื่นไส้ ขับลม</t>
        </is>
      </c>
      <c r="I12" s="46" t="n">
        <v>1</v>
      </c>
      <c r="J12" s="45" t="inlineStr">
        <is>
          <t>✅ คำตอบที่ถูกต้อง: ข้อ ก. หญ้าหนวดแมว ❌ ใช้ขับปัสสาวะ/นิ่วในทางเดินปัสสาวะ
💡 Background:
คำถามข้อสอบจริงใบประกอบวิชาชีพ PLE-CC 1 (Product) ปี 2564 ข้อ 177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2" s="46" t="n"/>
      <c r="L12" s="45" t="inlineStr">
        <is>
          <t>Herbal Products &amp; Standardization</t>
        </is>
      </c>
      <c r="M12" s="46" t="inlineStr">
        <is>
          <t>Product</t>
        </is>
      </c>
      <c r="N12" s="45" t="inlineStr">
        <is>
          <t>ข้อสอบจริง Product ปี 2564 ข้อ 177</t>
        </is>
      </c>
      <c r="O12" s="46" t="inlineStr">
        <is>
          <t>ข้อสอบจริง</t>
        </is>
      </c>
      <c r="P12" s="46" t="inlineStr">
        <is>
          <t>ปี 2564</t>
        </is>
      </c>
    </row>
    <row r="13">
      <c r="A13" s="46" t="n">
        <v>11</v>
      </c>
      <c r="B13" s="45" t="inlineStr">
        <is>
          <t>สมุนไพรในใดมีหลักฐานเชิงประจักษ์ช่วยลดระดับน้ำตาลได้</t>
        </is>
      </c>
      <c r="C13" s="46" t="n"/>
      <c r="D13" s="45" t="inlineStr">
        <is>
          <t>ดอกแค ❌ มีคุณค่าทางอาหาร แต่ไม่ใช่สมุนไพรหลักลดน้ำตาล</t>
        </is>
      </c>
      <c r="E13" s="45" t="inlineStr">
        <is>
          <t>ขี้เหล็ก ❌ เด่นด้านช่วยระบาย/เป็นยาระงับประสาทอ่อน ๆ</t>
        </is>
      </c>
      <c r="F13" s="45" t="inlineStr">
        <is>
          <t>มะระขี้นก ✅ มีหลักฐานช่วยลดระดับน้ำตาล</t>
        </is>
      </c>
      <c r="G13" s="45" t="inlineStr">
        <is>
          <t>ทองพันชั่ง ❌ ใช้ต้านเชื้อรา/โรคผิวหนัง</t>
        </is>
      </c>
      <c r="H13" s="45" t="inlineStr">
        <is>
          <t>ฟ้าทะลายโจร ❌ เด่นด้านหวัด เจ็บคอ และต้านการอักเสบ</t>
        </is>
      </c>
      <c r="I13" s="46" t="n">
        <v>1</v>
      </c>
      <c r="J13" s="45" t="inlineStr">
        <is>
          <t>✅ คำตอบที่ถูกต้อง: ข้อ ก. ดอกแค ❌ มีคุณค่าทางอาหาร แต่ไม่ใช่สมุนไพรหลักลดน้ำตาล
💡 Background:
คำถามข้อสอบจริงใบประกอบวิชาชีพ PLE-CC 1 (Product) ปี 2564 ข้อ 178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3" s="46" t="n"/>
      <c r="L13" s="45" t="inlineStr">
        <is>
          <t>Herbal Products &amp; Standardization</t>
        </is>
      </c>
      <c r="M13" s="46" t="inlineStr">
        <is>
          <t>Product</t>
        </is>
      </c>
      <c r="N13" s="45" t="inlineStr">
        <is>
          <t>ข้อสอบจริง Product ปี 2564 ข้อ 178</t>
        </is>
      </c>
      <c r="O13" s="46" t="inlineStr">
        <is>
          <t>ข้อสอบจริง</t>
        </is>
      </c>
      <c r="P13" s="46" t="inlineStr">
        <is>
          <t>ปี 2564</t>
        </is>
      </c>
    </row>
    <row r="14">
      <c r="A14" s="46" t="n">
        <v>12</v>
      </c>
      <c r="B14" s="45" t="inlineStr">
        <is>
          <t>สมุนไพรช่วยลดอาการปวด อักเสบ ตามบัญชียาหลักแห่งชาติคือข้อใด</t>
        </is>
      </c>
      <c r="C14" s="46" t="n"/>
      <c r="D14" s="45" t="inlineStr">
        <is>
          <t>เถาวัลย์เปรียง ✅ ลดปวด ลดอักเสบ ปวดกล้ามเนื้อ/ข้อ</t>
        </is>
      </c>
      <c r="E14" s="45" t="inlineStr">
        <is>
          <t>หญ้าหนวดแมว ❌ ขับปัสสาวะ ใช้เกี่ยวกับนิ่ว/ทางเดินปัสสาวะ</t>
        </is>
      </c>
      <c r="F14" s="45" t="inlineStr">
        <is>
          <t>หญ้าปักกิ่ง ❌ ใช้ตามภูมิปัญญาอื่น ไม่ใช่ตัวหลักลดปวด</t>
        </is>
      </c>
      <c r="G14" s="45" t="inlineStr">
        <is>
          <t>ช้าพลู ❌ ขับลม แก้ท้องอืด</t>
        </is>
      </c>
      <c r="H14" s="45" t="inlineStr">
        <is>
          <t>เห็ดหลินจือ ❌ ใช้เป็นสมุนไพรเสริมสุขภาพ/ภูมิคุ้มกัน PLE\_CC1\_2564\_Day1\_Key</t>
        </is>
      </c>
      <c r="I14" s="46" t="n">
        <v>1</v>
      </c>
      <c r="J14" s="45" t="inlineStr">
        <is>
          <t>✅ คำตอบที่ถูกต้อง: ข้อ ก. เถาวัลย์เปรียง ✅ ลดปวด ลดอักเสบ ปวดกล้ามเนื้อ/ข้อ
💡 Background:
คำถามข้อสอบจริงใบประกอบวิชาชีพ PLE-CC 1 (Product) ปี 2564 ข้อ 179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4" s="46" t="n"/>
      <c r="L14" s="45" t="inlineStr">
        <is>
          <t>Herbal Products &amp; Standardization</t>
        </is>
      </c>
      <c r="M14" s="46" t="inlineStr">
        <is>
          <t>Product</t>
        </is>
      </c>
      <c r="N14" s="45" t="inlineStr">
        <is>
          <t>ข้อสอบจริง Product ปี 2564 ข้อ 179</t>
        </is>
      </c>
      <c r="O14" s="46" t="inlineStr">
        <is>
          <t>ข้อสอบจริง</t>
        </is>
      </c>
      <c r="P14" s="46" t="inlineStr">
        <is>
          <t>ปี 2564</t>
        </is>
      </c>
    </row>
    <row r="15">
      <c r="A15" s="46" t="n">
        <v>13</v>
      </c>
      <c r="B15" s="45" t="inlineStr">
        <is>
          <t>สมุนไพรในบัญชียาหลักที่มีฤทธิ์ขับปัสสาวะคือข้อใด?</t>
        </is>
      </c>
      <c r="C15" s="46" t="n"/>
      <c r="D15" s="45" t="inlineStr">
        <is>
          <t>กระเจี๊ยบแดง ✅ ขับปัสสาวะ / แก้ขัดเบา</t>
        </is>
      </c>
      <c r="E15" s="45" t="inlineStr">
        <is>
          <t>ขิง ❌ แก้คลื่นไส้ ขับลม</t>
        </is>
      </c>
      <c r="F15" s="45" t="inlineStr">
        <is>
          <t>กระชาย ❌ ใช้บำรุงร่างกาย ขับลม</t>
        </is>
      </c>
      <c r="G15" s="45" t="inlineStr">
        <is>
          <t>ฟ้าทะลายโจร ❌ หวัด เจ็บคอ ต้านการอักเสบ</t>
        </is>
      </c>
      <c r="H15" s="45" t="inlineStr">
        <is>
          <t>ยอ ❌ ใช้ตามภูมิปัญญาอื่น ไม่ใช่สมุนไพรขับปัสสาวะหลัก PLE\_CC1\_2564\_Day1\_Q</t>
        </is>
      </c>
      <c r="I15" s="46" t="n">
        <v>1</v>
      </c>
      <c r="J15" s="45" t="inlineStr">
        <is>
          <t>✅ คำตอบที่ถูกต้อง: ข้อ ก. กระเจี๊ยบแดง ✅ ขับปัสสาวะ / แก้ขัดเบา
💡 Background:
คำถามข้อสอบจริงใบประกอบวิชาชีพ PLE-CC 1 (Product) ปี 2564 ข้อ 180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5" s="46" t="n"/>
      <c r="L15" s="45" t="inlineStr">
        <is>
          <t>Herbal Products &amp; Standardization</t>
        </is>
      </c>
      <c r="M15" s="46" t="inlineStr">
        <is>
          <t>Product</t>
        </is>
      </c>
      <c r="N15" s="45" t="inlineStr">
        <is>
          <t>ข้อสอบจริง Product ปี 2564 ข้อ 180</t>
        </is>
      </c>
      <c r="O15" s="46" t="inlineStr">
        <is>
          <t>ข้อสอบจริง</t>
        </is>
      </c>
      <c r="P15" s="46" t="inlineStr">
        <is>
          <t>ปี 2564</t>
        </is>
      </c>
    </row>
    <row r="16">
      <c r="A16" s="46" t="n">
        <v>14</v>
      </c>
      <c r="B16" s="45" t="inlineStr">
        <is>
          <t>สมุนไพรใดที่มีฤทธิ์ขับปัสสาวะ และควรหลีกเลี่ยงในผู้ป่วยโรคหัวใจ?</t>
        </is>
      </c>
      <c r="C16" s="46" t="n"/>
      <c r="D16" s="45" t="inlineStr">
        <is>
          <t>หญ้าหนวดแมว ✅ ขับปัสสาวะ → ระวังในผู้ป่วยโรคหัวใจ</t>
        </is>
      </c>
      <c r="E16" s="45" t="inlineStr">
        <is>
          <t>หญ้าปักกิ่ง ❌ ไม่ใช่สมุนไพรหลักด้านขับปัสสาวะ</t>
        </is>
      </c>
      <c r="F16" s="45" t="inlineStr">
        <is>
          <t>เถาวัลย์เปรียง ❌ ลดปวด ลดอักเสบ</t>
        </is>
      </c>
      <c r="G16" s="45" t="inlineStr">
        <is>
          <t>ใบชุมเห็ดเทศ ❌ ใช้เป็นยาระบาย</t>
        </is>
      </c>
      <c r="H16" s="45" t="inlineStr">
        <is>
          <t>ใบพญายอ ❌ ใช้รักษาเริม งูสวัด แผลอักเสบ PLE\_CC1\_2564\_Day2\_Key</t>
        </is>
      </c>
      <c r="I16" s="46" t="n">
        <v>1</v>
      </c>
      <c r="J16" s="45" t="inlineStr">
        <is>
          <t>✅ คำตอบที่ถูกต้อง: ข้อ ก. หญ้าหนวดแมว ✅ ขับปัสสาวะ → ระวังในผู้ป่วยโรคหัวใจ
💡 Background:
คำถามข้อสอบจริงใบประกอบวิชาชีพ PLE-CC 1 (Product) ปี 2564 ข้อ 181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6" s="46" t="n"/>
      <c r="L16" s="45" t="inlineStr">
        <is>
          <t>Herbal Products &amp; Standardization</t>
        </is>
      </c>
      <c r="M16" s="46" t="inlineStr">
        <is>
          <t>Product</t>
        </is>
      </c>
      <c r="N16" s="45" t="inlineStr">
        <is>
          <t>ข้อสอบจริง Product ปี 2564 ข้อ 181</t>
        </is>
      </c>
      <c r="O16" s="46" t="inlineStr">
        <is>
          <t>ข้อสอบจริง</t>
        </is>
      </c>
      <c r="P16" s="46" t="inlineStr">
        <is>
          <t>ปี 2564</t>
        </is>
      </c>
    </row>
    <row r="17">
      <c r="A17" s="46" t="n">
        <v>15</v>
      </c>
      <c r="B17" s="45" t="inlineStr">
        <is>
          <t>สมุนไพรใดมีอันตรกิริยากับยาต้านไวรัส HIV?</t>
        </is>
      </c>
      <c r="C17" s="46" t="n"/>
      <c r="D17" s="45" t="inlineStr">
        <is>
          <t>ขิง</t>
        </is>
      </c>
      <c r="E17" s="45" t="inlineStr">
        <is>
          <t>ขมิ้น</t>
        </is>
      </c>
      <c r="F17" s="45" t="inlineStr">
        <is>
          <t>ฟ้าทะลายโจร</t>
        </is>
      </c>
      <c r="G17" s="45" t="inlineStr">
        <is>
          <t>หญ้าหนวดแมว</t>
        </is>
      </c>
      <c r="H17" s="45" t="inlineStr">
        <is>
          <t>St. John’s wort คำอธิบาย: St. John’s wort (Hypericum perforatum) กระตุ้นเอนไซม์ CYP450 โดยเฉพาะ CYP3A4 และ P-glycoprotein ทำให้ระดับยาต้านไวรัส HIV (เช่น protease inhibitors) ลดลง → ประสิทธิภาพการรักษาลดลง</t>
        </is>
      </c>
      <c r="I17" s="46" t="n">
        <v>1</v>
      </c>
      <c r="J17" s="45" t="inlineStr">
        <is>
          <t>✅ คำตอบที่ถูกต้อง: ข้อ ก. ขิง
💡 Background:
คำถามข้อสอบจริงใบประกอบวิชาชีพ PLE-CC 1 (Product) ปี 2564 ข้อ 182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7" s="46" t="n"/>
      <c r="L17" s="45" t="inlineStr">
        <is>
          <t>Herbal Products &amp; Standardization</t>
        </is>
      </c>
      <c r="M17" s="46" t="inlineStr">
        <is>
          <t>Product</t>
        </is>
      </c>
      <c r="N17" s="45" t="inlineStr">
        <is>
          <t>ข้อสอบจริง Product ปี 2564 ข้อ 182</t>
        </is>
      </c>
      <c r="O17" s="46" t="inlineStr">
        <is>
          <t>ข้อสอบจริง</t>
        </is>
      </c>
      <c r="P17" s="46" t="inlineStr">
        <is>
          <t>ปี 2564</t>
        </is>
      </c>
    </row>
    <row r="18">
      <c r="A18" s="46" t="n">
        <v>16</v>
      </c>
      <c r="B18" s="45" t="inlineStr">
        <is>
          <t>ยาสมุนไพรใดต้องระวังมากที่สุดในผู้ป่วยรายนี้?</t>
        </is>
      </c>
      <c r="C18" s="46" t="n"/>
      <c r="D18" s="45" t="inlineStr">
        <is>
          <t>ฟ้าทะลายโจร</t>
        </is>
      </c>
      <c r="E18" s="45" t="inlineStr">
        <is>
          <t>หญ้าหนวดแมว</t>
        </is>
      </c>
      <c r="F18" s="45" t="inlineStr">
        <is>
          <t>ขมิ้นชัน</t>
        </is>
      </c>
      <c r="G18" s="45" t="inlineStr">
        <is>
          <t>ชุมเห็ดเทศ</t>
        </is>
      </c>
      <c r="H18" s="45" t="inlineStr">
        <is>
          <t>ขิง คำอธิบาย: ผู้ป่วย CHF ใช้ enalapril (ACE inhibitor) ซึ่งอาจมีผลต่อ ระดับโพแทสเซียม (K⁺) และการทำงานของไต หญ้าหนวดแมว มีฤทธิ์ ขับปัสสาวะ → อาจรบกวนสมดุลน้ำและเกลือแร่ โดยเฉพาะในผู้ป่วยหัวใจล้มเหลวที่ต้องควบคุมภาวะน้ำเกิน</t>
        </is>
      </c>
      <c r="I18" s="46" t="n">
        <v>1</v>
      </c>
      <c r="J18" s="45" t="inlineStr">
        <is>
          <t>✅ คำตอบที่ถูกต้อง: ข้อ ก. ฟ้าทะลายโจร
💡 Background:
คำถามข้อสอบจริงใบประกอบวิชาชีพ PLE-CC 1 (Product) ปี 2564 ข้อ 184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8" s="46" t="n"/>
      <c r="L18" s="45" t="inlineStr">
        <is>
          <t>Herbal Products &amp; Standardization</t>
        </is>
      </c>
      <c r="M18" s="46" t="inlineStr">
        <is>
          <t>Product</t>
        </is>
      </c>
      <c r="N18" s="45" t="inlineStr">
        <is>
          <t>ข้อสอบจริง Product ปี 2564 ข้อ 184</t>
        </is>
      </c>
      <c r="O18" s="46" t="inlineStr">
        <is>
          <t>ข้อสอบจริง</t>
        </is>
      </c>
      <c r="P18" s="46" t="inlineStr">
        <is>
          <t>ปี 2564</t>
        </is>
      </c>
    </row>
    <row r="19">
      <c r="A19" s="46" t="n">
        <v>17</v>
      </c>
      <c r="B19" s="45" t="inlineStr">
        <is>
          <t>สมุนไพรที่เกิดอันตรกิริยากับยาต้าน HIV มากที่สุดคือข้อใด?</t>
        </is>
      </c>
      <c r="C19" s="46" t="n"/>
      <c r="D19" s="45" t="inlineStr">
        <is>
          <t>ขิง</t>
        </is>
      </c>
      <c r="E19" s="45" t="inlineStr">
        <is>
          <t>ขมิ้นชัน</t>
        </is>
      </c>
      <c r="F19" s="45" t="inlineStr">
        <is>
          <t>ฟ้าทะลายโจร</t>
        </is>
      </c>
      <c r="G19" s="45" t="inlineStr">
        <is>
          <t>หญ้าหนวดแมว</t>
        </is>
      </c>
      <c r="H19" s="45" t="inlineStr">
        <is>
          <t>St. John's wort คำอธิบาย:St. John’s wort (Hypericum perforatum) กระตุ้นเอนไซม์ CYP450 โดยเฉพาะ CYP3A4 และ P-glycoprotein ทำให้ระดับยาต้านไวรัส HIV (เช่น protease inhibitors) ลดลง → ประสิทธิภาพการรักษาลดลง</t>
        </is>
      </c>
      <c r="I19" s="46" t="n">
        <v>1</v>
      </c>
      <c r="J19" s="45" t="inlineStr">
        <is>
          <t>✅ คำตอบที่ถูกต้อง: ข้อ ก. ขิง
💡 Background:
คำถามข้อสอบจริงใบประกอบวิชาชีพ PLE-CC 1 (Product) ปี 2564 ข้อ 185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9" s="46" t="n"/>
      <c r="L19" s="45" t="inlineStr">
        <is>
          <t>Herbal Products &amp; Standardization</t>
        </is>
      </c>
      <c r="M19" s="46" t="inlineStr">
        <is>
          <t>Product</t>
        </is>
      </c>
      <c r="N19" s="45" t="inlineStr">
        <is>
          <t>ข้อสอบจริง Product ปี 2564 ข้อ 185</t>
        </is>
      </c>
      <c r="O19" s="46" t="inlineStr">
        <is>
          <t>ข้อสอบจริง</t>
        </is>
      </c>
      <c r="P19" s="46" t="inlineStr">
        <is>
          <t>ปี 2564</t>
        </is>
      </c>
    </row>
    <row r="20">
      <c r="A20" s="46" t="n">
        <v>18</v>
      </c>
      <c r="B20" s="45" t="inlineStr">
        <is>
          <t>การสกัด Tea Tree Oil จากใบและกิ่งสด ใช้วิธีใด?</t>
        </is>
      </c>
      <c r="C20" s="46" t="n"/>
      <c r="D20" s="45" t="inlineStr">
        <is>
          <t>Soxhlet extraction ❌ เหมาะกับสารสกัดจากพืชแห้ง ใช้ตัวทำละลาย ไม่เหมาะกับ volatile oil</t>
        </is>
      </c>
      <c r="E20" s="45" t="inlineStr">
        <is>
          <t>สกัดด้วยน้ำ ❌ น้ำมันหอมระเหยไม่ละลายน้ำ</t>
        </is>
      </c>
      <c r="F20" s="45" t="inlineStr">
        <is>
          <t>กลั่นด้วยไอน้ำ ✅ วิธีมาตรฐานสำหรับ volatile oil เช่น tea tree oil</t>
        </is>
      </c>
      <c r="G20" s="45" t="inlineStr">
        <is>
          <t>Enfleurage ❌ ใช้สกัดน้ำมันหอมจากดอกไม้ที่บอบบาง เช่น jasmine</t>
        </is>
      </c>
      <c r="H20" s="45" t="inlineStr">
        <is>
          <t>Alcohol:น้ำ 70% ❌ ใช้สกัดสารกลุ่ม polar เช่น flavonoids, glycosides</t>
        </is>
      </c>
      <c r="I20" s="46" t="n">
        <v>1</v>
      </c>
      <c r="J20" s="45" t="inlineStr">
        <is>
          <t>✅ คำตอบที่ถูกต้อง: ข้อ ก. Soxhlet extraction ❌ เหมาะกับสารสกัดจากพืชแห้ง ใช้ตัวทำละลาย ไม่เหมาะกับ volatile oil
💡 Background:
คำถามข้อสอบจริงใบประกอบวิชาชีพ PLE-CC 1 (Product) ปี 2564 ข้อ 186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0" s="46" t="n"/>
      <c r="L20" s="45" t="inlineStr">
        <is>
          <t>Herbal Products &amp; Standardization</t>
        </is>
      </c>
      <c r="M20" s="46" t="inlineStr">
        <is>
          <t>Product</t>
        </is>
      </c>
      <c r="N20" s="45" t="inlineStr">
        <is>
          <t>ข้อสอบจริง Product ปี 2564 ข้อ 186</t>
        </is>
      </c>
      <c r="O20" s="46" t="inlineStr">
        <is>
          <t>ข้อสอบจริง</t>
        </is>
      </c>
      <c r="P20" s="46" t="inlineStr">
        <is>
          <t>ปี 2564</t>
        </is>
      </c>
    </row>
    <row r="21">
      <c r="A21" s="46" t="n">
        <v>19</v>
      </c>
      <c r="B21" s="45" t="inlineStr">
        <is>
          <t>สมุนไพรที่ตีกับยาเก๊าท์คือข้อใด?</t>
        </is>
      </c>
      <c r="C21" s="46" t="n"/>
      <c r="D21" s="45" t="inlineStr">
        <is>
          <t>ฟ้าทะลายโจร</t>
        </is>
      </c>
      <c r="E21" s="45" t="inlineStr">
        <is>
          <t>หญ้าหนวดแมว</t>
        </is>
      </c>
      <c r="F21" s="45" t="inlineStr">
        <is>
          <t>ขิง</t>
        </is>
      </c>
      <c r="G21" s="45" t="inlineStr">
        <is>
          <t>ขมิ้นชัน</t>
        </is>
      </c>
      <c r="H21" s="45" t="inlineStr">
        <is>
          <t>St. John's wort คำอธิบาย: หญ้าหนวดแมว มีฤทธิ์ ขับปัสสาวะ และอาจมีผลต่อการขับ กรดยูริก/สมดุลของเกลือแร่ จึงควรระวังในผู้ป่วยเกาต์ที่ใช้ยาควบคุมระดับกรดยูริก PLE\_CC1\_2564\_Day3\_Key</t>
        </is>
      </c>
      <c r="I21" s="46" t="n">
        <v>1</v>
      </c>
      <c r="J21" s="45" t="inlineStr">
        <is>
          <t>✅ คำตอบที่ถูกต้อง: ข้อ ก. ฟ้าทะลายโจร
💡 Background:
คำถามข้อสอบจริงใบประกอบวิชาชีพ PLE-CC 1 (Product) ปี 2564 ข้อ 187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1" s="46" t="n"/>
      <c r="L21" s="45" t="inlineStr">
        <is>
          <t>Herbal Products &amp; Standardization</t>
        </is>
      </c>
      <c r="M21" s="46" t="inlineStr">
        <is>
          <t>Product</t>
        </is>
      </c>
      <c r="N21" s="45" t="inlineStr">
        <is>
          <t>ข้อสอบจริง Product ปี 2564 ข้อ 187</t>
        </is>
      </c>
      <c r="O21" s="46" t="inlineStr">
        <is>
          <t>ข้อสอบจริง</t>
        </is>
      </c>
      <c r="P21" s="46" t="inlineStr">
        <is>
          <t>ปี 2564</t>
        </is>
      </c>
    </row>
    <row r="22">
      <c r="A22" s="46" t="n">
        <v>20</v>
      </c>
      <c r="B22" s="45" t="inlineStr">
        <is>
          <t>สมุนไพรในบัญชียาหลักแห่งชาติ พ.ศ. 2562 ที่สามารถแนะนำให้ผู้ป่วยเพื่อใช้รักษาอาการข้างต้น (สถานการณ์: มีรอยด่างขาว บางรอยสีแดง มีขุย) คือข้อใด?</t>
        </is>
      </c>
      <c r="C22" s="46" t="n"/>
      <c r="D22" s="45" t="inlineStr">
        <is>
          <t>พลู</t>
        </is>
      </c>
      <c r="E22" s="45" t="inlineStr">
        <is>
          <t>บัวบก</t>
        </is>
      </c>
      <c r="F22" s="45" t="inlineStr">
        <is>
          <t>ทองพันชั่ง</t>
        </is>
      </c>
      <c r="G22" s="45" t="inlineStr">
        <is>
          <t>เปลือกมังคุด</t>
        </is>
      </c>
      <c r="H22" s="45" t="inlineStr">
        <is>
          <t>เมล็ดพันธุ์ชั่ง คำอธิบาย: อาการ ด่างขาว/แดง มีขุย เข้าได้กับ โรคผิวหนังจากเชื้อรา เช่น กลาก เกลื้อน ซึ่ง ทองพันชั่ง เป็นสมุนไพรในบัญชียาหลักแห่งชาติ ใช้รักษาโรคผิวหนังจากเชื้อรา</t>
        </is>
      </c>
      <c r="I22" s="46" t="n">
        <v>1</v>
      </c>
      <c r="J22" s="45" t="inlineStr">
        <is>
          <t>✅ คำตอบที่ถูกต้อง: ข้อ ก. พลู
💡 Background:
คำถามข้อสอบจริงใบประกอบวิชาชีพ PLE-CC 1 (Product) ปี 2564 ข้อ 188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2" s="46" t="n"/>
      <c r="L22" s="45" t="inlineStr">
        <is>
          <t>Herbal Products &amp; Standardization</t>
        </is>
      </c>
      <c r="M22" s="46" t="inlineStr">
        <is>
          <t>Product</t>
        </is>
      </c>
      <c r="N22" s="45" t="inlineStr">
        <is>
          <t>ข้อสอบจริง Product ปี 2564 ข้อ 188</t>
        </is>
      </c>
      <c r="O22" s="46" t="inlineStr">
        <is>
          <t>ข้อสอบจริง</t>
        </is>
      </c>
      <c r="P22" s="46" t="inlineStr">
        <is>
          <t>ปี 2564</t>
        </is>
      </c>
    </row>
    <row r="23">
      <c r="A23" s="46" t="n">
        <v>21</v>
      </c>
      <c r="B23" s="45" t="inlineStr">
        <is>
          <t>ข้อใดถูกต้องเกี่ยวกับการควบคุมคุณภาพผงยาสมุนไพร โดยใช้กล้องจุลทรรศน์ (พญายอ รักษาเริม)?</t>
        </is>
      </c>
      <c r="C23" s="46" t="n"/>
      <c r="D23" s="45" t="inlineStr">
        <is>
          <t>ควรพบ Cork cells, Sclereids</t>
        </is>
      </c>
      <c r="E23" s="45" t="inlineStr">
        <is>
          <t>ควรพบ Cork cells, Stomata</t>
        </is>
      </c>
      <c r="F23" s="45" t="inlineStr">
        <is>
          <t>ไม่ควรพบ Sclereids, Stomata</t>
        </is>
      </c>
      <c r="G23" s="45" t="inlineStr">
        <is>
          <t>ควรพบ Stomata, Palisade</t>
        </is>
      </c>
      <c r="H23" s="45" t="inlineStr">
        <is>
          <t>ควรพบ Stomata ไม่ควรพบ Palisade คำอธิบาย:พญายอเป็น ใบพืช ดังนั้นลักษณะจุลทรรศน์ของผงใบควรพบโครงสร้างของผิวใบ เช่น Stomata (ปากใบ) Palisade cells (เซลล์พาลิเซด: พบในโครงสร้างเนื้อเยื่อใบ) และลักษณะอื่นๆ ที่มักพบ: เช่น Cystoliths (ผลึกแคลเซียมคาร์บอเนตที่พบในเซลล์พิเศษที่เรียกว่า Lithocysts) ซึ่งเป็นลักษณะเด่นอีกประการหนึ่งของพญายอ ซึ่งใช้ยืนยันเอกลักษณ์ของสมุนไพร</t>
        </is>
      </c>
      <c r="I23" s="46" t="n">
        <v>1</v>
      </c>
      <c r="J23" s="45" t="inlineStr">
        <is>
          <t>✅ คำตอบที่ถูกต้อง: ข้อ ก. ควรพบ Cork cells, Sclereids
💡 Background:
คำถามข้อสอบจริงใบประกอบวิชาชีพ PLE-CC 1 (Product) ปี 2564 ข้อ 189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3" s="46" t="n"/>
      <c r="L23" s="45" t="inlineStr">
        <is>
          <t>Herbal Products &amp; Standardization</t>
        </is>
      </c>
      <c r="M23" s="46" t="inlineStr">
        <is>
          <t>Product</t>
        </is>
      </c>
      <c r="N23" s="45" t="inlineStr">
        <is>
          <t>ข้อสอบจริง Product ปี 2564 ข้อ 189</t>
        </is>
      </c>
      <c r="O23" s="46" t="inlineStr">
        <is>
          <t>ข้อสอบจริง</t>
        </is>
      </c>
      <c r="P23" s="46" t="inlineStr">
        <is>
          <t>ปี 2564</t>
        </is>
      </c>
    </row>
    <row r="24">
      <c r="A24" s="46" t="n">
        <v>22</v>
      </c>
      <c r="B24" s="45" t="inlineStr">
        <is>
          <t>สมุนไพรบรรเทาอาการคันและผิวหนังแห้งคือข้อใด?</t>
        </is>
      </c>
      <c r="C24" s="46" t="n"/>
      <c r="D24" s="45" t="inlineStr">
        <is>
          <t>ยาขี้ผึ้งไพล</t>
        </is>
      </c>
      <c r="E24" s="45" t="inlineStr">
        <is>
          <t>ยาครีมบัวบก</t>
        </is>
      </c>
      <c r="F24" s="45" t="inlineStr">
        <is>
          <t>ยาเมล็ดน้อยหน่า</t>
        </is>
      </c>
      <c r="G24" s="45" t="inlineStr">
        <is>
          <t>ยาเจลว่านหางจระเข้</t>
        </is>
      </c>
      <c r="H24" s="45" t="inlineStr">
        <is>
          <t>ยาน้ำใสเปลือกมังคุด คำอธิบาย: ว่านหางจระเข้ (Aloe vera) มีฤทธิ์ เพิ่มความชุ่มชื้น ลดการระคายเคือง และบรรเทาอาการคัน/ผิวแห้ง เหมาะกับการดูแลผิว</t>
        </is>
      </c>
      <c r="I24" s="46" t="n">
        <v>1</v>
      </c>
      <c r="J24" s="45" t="inlineStr">
        <is>
          <t>✅ คำตอบที่ถูกต้อง: ข้อ ก. ยาขี้ผึ้งไพล
💡 Background:
คำถามข้อสอบจริงใบประกอบวิชาชีพ PLE-CC 1 (Product) ปี 2564 ข้อ 190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4" s="46" t="n"/>
      <c r="L24" s="45" t="inlineStr">
        <is>
          <t>Herbal Products &amp; Standardization</t>
        </is>
      </c>
      <c r="M24" s="46" t="inlineStr">
        <is>
          <t>Product</t>
        </is>
      </c>
      <c r="N24" s="45" t="inlineStr">
        <is>
          <t>ข้อสอบจริง Product ปี 2564 ข้อ 190</t>
        </is>
      </c>
      <c r="O24" s="46" t="inlineStr">
        <is>
          <t>ข้อสอบจริง</t>
        </is>
      </c>
      <c r="P24" s="46" t="inlineStr">
        <is>
          <t>ปี 2564</t>
        </is>
      </c>
    </row>
    <row r="25">
      <c r="A25" s="46" t="n">
        <v>23</v>
      </c>
      <c r="B25" s="45" t="inlineStr">
        <is>
          <t>ข้อใดเป็นสมุนไพรในบัญชียาหลักแห่งชาติที่ใช้รักษาอาการข้างต้น (เริมที่อวัยวะเพศ) ได้? A. ยาครีมบัวบก</t>
        </is>
      </c>
      <c r="C25" s="46" t="n"/>
      <c r="D25" s="45" t="inlineStr"/>
      <c r="E25" s="45" t="inlineStr">
        <is>
          <t>ยาทิงเจอร์ทองพันชั่ง</t>
        </is>
      </c>
      <c r="F25" s="45" t="inlineStr">
        <is>
          <t>ยาครีมพญายอ</t>
        </is>
      </c>
      <c r="G25" s="45" t="inlineStr">
        <is>
          <t>ยาน้ำเปลือกมังคุด</t>
        </is>
      </c>
      <c r="H25" s="45" t="inlineStr">
        <is>
          <t>ยาทิงเจอร์... คำอธิบาย:พญายอ (Clinacanthus nutans) มีหลักฐานและอยู่ในบัญชียาหลักแห่งชาติ ใช้ บรรเทาอาการของเริมและงูสวัด โดยเฉพาะรูปแบบยาทาภายนอก</t>
        </is>
      </c>
      <c r="I25" s="46" t="n">
        <v>1</v>
      </c>
      <c r="J25" s="45" t="inlineStr">
        <is>
          <t>✅ คำตอบที่ถูกต้อง: ข้อ ก. 
💡 Background:
คำถามข้อสอบจริงใบประกอบวิชาชีพ PLE-CC 1 (Product) ปี 2564 ข้อ 191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5" s="46" t="n"/>
      <c r="L25" s="45" t="inlineStr">
        <is>
          <t>Herbal Products &amp; Standardization</t>
        </is>
      </c>
      <c r="M25" s="46" t="inlineStr">
        <is>
          <t>Product</t>
        </is>
      </c>
      <c r="N25" s="45" t="inlineStr">
        <is>
          <t>ข้อสอบจริง Product ปี 2564 ข้อ 191</t>
        </is>
      </c>
      <c r="O25" s="46" t="inlineStr">
        <is>
          <t>ข้อสอบจริง</t>
        </is>
      </c>
      <c r="P25" s="46" t="inlineStr">
        <is>
          <t>ปี 2564</t>
        </is>
      </c>
    </row>
    <row r="26">
      <c r="A26" s="46" t="n">
        <v>24</v>
      </c>
      <c r="B26" s="45" t="inlineStr">
        <is>
          <t>ข้อใดถูกต้องเกี่ยวกับการควบคุมคุณภาพผงยาสมุนไพร โดยใช้กล้องจุลทรรศน์ (พญายอ รักษาเริม) ต้นฉบับ: Day 1 ข้อ 70</t>
        </is>
      </c>
      <c r="C26" s="46" t="n"/>
      <c r="D26" s="45" t="inlineStr">
        <is>
          <t>ควรพบ cork cells, sclereids</t>
        </is>
      </c>
      <c r="E26" s="45" t="inlineStr">
        <is>
          <t>ควรพบ cork cells, stomata</t>
        </is>
      </c>
      <c r="F26" s="45" t="inlineStr">
        <is>
          <t>ไม่ควรพบ sclereids, stomata</t>
        </is>
      </c>
      <c r="G26" s="45" t="inlineStr">
        <is>
          <t>ควรพบ stomata, palisade</t>
        </is>
      </c>
      <c r="H26" s="45" t="inlineStr">
        <is>
          <t xml:space="preserve">ควรพบ stomata ไม่ควรพบ palisade | คำตอบ: d) ควรพบ stomata และ palisade พญายอใช้ส่วนใบ จึงควรพบลักษณะของเนื้อเยื่อใบ ได้แก่ปากใบและ palisade cells ข้อที่ไม่ถูก a) Cork cells และ sclereids ไม่ใช่ลักษณะเด่นของผงใบ b) Cork cells พบเด่นในเปลือกหรือรากมากกว่า c) ผงใบควรพบ stomata e) ผงใบควรพบ palisade cells ด้วย | | :---- | </t>
        </is>
      </c>
      <c r="I26" s="46" t="n">
        <v>4</v>
      </c>
      <c r="J26" s="45" t="inlineStr">
        <is>
          <t>✅ คำตอบที่ถูกต้อง: ข้อ ง. ควรพบ stomata, palisade
💡 Background:
คำถามข้อสอบจริงใบประกอบวิชาชีพ PLE-CC 1 (Product) ปี 2563 ข้อ 66
🎯 ทำไมข้อนี้ถึงถูก:
ข้อ ง.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6" s="46" t="n"/>
      <c r="L26" s="45" t="inlineStr">
        <is>
          <t>Herbal Products &amp; Standardization</t>
        </is>
      </c>
      <c r="M26" s="46" t="inlineStr">
        <is>
          <t>Product</t>
        </is>
      </c>
      <c r="N26" s="45" t="inlineStr">
        <is>
          <t>ข้อสอบจริง Product ปี 2563 ข้อ 66</t>
        </is>
      </c>
      <c r="O26" s="46" t="inlineStr">
        <is>
          <t>ข้อสอบจริง</t>
        </is>
      </c>
      <c r="P26" s="46" t="inlineStr">
        <is>
          <t>ปี 2563</t>
        </is>
      </c>
    </row>
    <row r="27">
      <c r="A27" s="46" t="n">
        <v>25</v>
      </c>
      <c r="B27" s="45" t="inlineStr">
        <is>
          <t>ผลการวิเคราะห์ยาแคปซูลขมิ้นชันด้วย Total yeast and mold counts ได้ผล 5×10⁴ CFU/g ข้อใดกล่าวถูกต้อง เมื่อเปรียบเทียบกับตารางกำหนดปริมาณจุลินทรีย์ของยาเตรียมสมุนไพร ดังตารางข้างล่างนี้ ต้นฉบับ: Day 2 ข้อ 96 | เชื้อ | A/B | C | | ----- | ----- | ----- | | Total Bacteria | 5×10⁷ | 5×10⁶ | | Total Yeast and mold | 5×10⁴ | 5×10³ | | S. aureus | ต้องไม่พบเชื้อดังกล่าว | ต้องไม่พบเชื้อดังกล่าว | | P. aeruginosa | ต้องไม่พบเชื้อดังกล่าว | ต้องไม่พบเชื้อดังกล่าว | | ... | ต้องไม่พบเชื้อดังกล่าว | ต้องไม่พบเชื้อดังกล่าว | เมื่อ A \= internal use ที่ต้องผ่านกระบวนการลดเชื้อก่อนใช้งาน เช่นการให้ความร้อน B \= external use C \= internal use ทั่วไป</t>
        </is>
      </c>
      <c r="C27" s="46" t="n"/>
      <c r="D27" s="45" t="inlineStr">
        <is>
          <t>ผ่านเกณฑ์มาตรฐาน เนื่องจากมีค่าไม่เกิน 5×10⁷</t>
        </is>
      </c>
      <c r="E27" s="45" t="inlineStr">
        <is>
          <t>ผ่านเกณฑ์มาตรฐาน เนื่องจากมีค่าไม่เกิน 5×10⁴</t>
        </is>
      </c>
      <c r="F27" s="45" t="inlineStr">
        <is>
          <t>ไม่ผ่านเกณฑ์มาตรฐาน เนื่องจากมีค่าเกิน 5×10³</t>
        </is>
      </c>
      <c r="G27" s="45" t="inlineStr">
        <is>
          <t>ไม่ผ่านเกณฑ์มาตรฐาน เนื่องจากต้องตรวจไม่พบใน 10 g</t>
        </is>
      </c>
      <c r="H27" s="45" t="inlineStr">
        <is>
          <t>ไม่สามารถประเมินได้ เนื่องจากไม่มีเกณฑ์ระบุไว้ | คำตอบ: c) ไม่ผ่าน เพราะเกิน 5×10³ CFU/g แคปซูลขมิ้นชันเป็นยารับประทานทั่วไปในกลุ่ม C แต่ผล total yeast and mold เท่ากับ 5×10⁴ CFU/g ข้อที่ไม่ถูก a) ใช้เกณฑ์ Total bacteria ผิดรายการ b) เป็นเกณฑ์ของกลุ่ม A/B ไม่ใช่กลุ่ม C d) เกณฑ์ไม่พบใน 10 g ใช้กับเชื้อจำเพาะ e) ตารางมีเกณฑ์ระบุชัดเจน | | :---- |</t>
        </is>
      </c>
      <c r="I27" s="46" t="n">
        <v>3</v>
      </c>
      <c r="J27" s="45" t="inlineStr">
        <is>
          <t>✅ คำตอบที่ถูกต้อง: ข้อ ค. ไม่ผ่านเกณฑ์มาตรฐาน เนื่องจากมีค่าเกิน 5×10³
💡 Background:
คำถามข้อสอบจริงใบประกอบวิชาชีพ PLE-CC 1 (Product) ปี 2563 ข้อ 67
🎯 ทำไมข้อนี้ถึงถูก:
ข้อ ค.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7" s="46" t="n"/>
      <c r="L27" s="45" t="inlineStr">
        <is>
          <t>Herbal Products &amp; Standardization</t>
        </is>
      </c>
      <c r="M27" s="46" t="inlineStr">
        <is>
          <t>Product</t>
        </is>
      </c>
      <c r="N27" s="45" t="inlineStr">
        <is>
          <t>ข้อสอบจริง Product ปี 2563 ข้อ 67</t>
        </is>
      </c>
      <c r="O27" s="46" t="inlineStr">
        <is>
          <t>ข้อสอบจริง</t>
        </is>
      </c>
      <c r="P27" s="46" t="inlineStr">
        <is>
          <t>ปี 2563</t>
        </is>
      </c>
    </row>
    <row r="28">
      <c r="A28" s="46" t="n">
        <v>26</v>
      </c>
      <c r="B28" s="45" t="inlineStr">
        <is>
          <t>สร้าง micelle กักตัวยาไว้ในแกนกลางที่ชอบไขมัน เพิ่มความสามารถในการละลายรวม   ผลคือเพิ่มอัตราการละลายและ bioavailability | | :---- | ## สถานการณ์ที่ 8 ผู้ป่วยหญิงไทยแสบร้อนกลางอก เรอเปรี้ยว เป็นหลังกินข้าวกับตอนนอน กินยาลดกรดชนิดน้ำแล้วบรรเทาอาการได้ 3-4 สัปดาห์ เป็นก็เป็นอีก ขณะนี้ตั้งครรภ์ได้ 5 เดือน ข้อ 93. สมุนไพรใดช่วยลดอาการท้องอืด ในผู้ป่วยโรคแผลในกระเพาะ</t>
        </is>
      </c>
      <c r="C28" s="46" t="n"/>
      <c r="D28" s="45" t="inlineStr">
        <is>
          <t>ขมิ้นชัน</t>
        </is>
      </c>
      <c r="E28" s="45" t="inlineStr">
        <is>
          <t>เถาวัลย์เปรียง</t>
        </is>
      </c>
      <c r="F28" s="45" t="inlineStr">
        <is>
          <t>หญ้าหนวดแมว</t>
        </is>
      </c>
      <c r="G28" s="45" t="inlineStr">
        <is>
          <t>ไพล</t>
        </is>
      </c>
      <c r="H28" s="45" t="inlineStr">
        <is>
          <t>ตะไคร้ | คำอธิบาย ขมิ้นชัน (Curcuma longa) เป็นสมุนไพรในบัญชียาหลักแห่งชาติที่มีข้อบ่งใช้ตรงกับโจทย์ 2 ประการพร้อมกัน</t>
        </is>
      </c>
      <c r="I28" s="46" t="n">
        <v>1</v>
      </c>
      <c r="J28" s="45" t="inlineStr">
        <is>
          <t>✅ คำตอบที่ถูกต้อง: ข้อ ก. ขมิ้นชัน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8" s="46" t="n"/>
      <c r="L28" s="45" t="inlineStr">
        <is>
          <t>Herbal Products &amp; Standardization</t>
        </is>
      </c>
      <c r="M28" s="46" t="inlineStr">
        <is>
          <t>Product</t>
        </is>
      </c>
      <c r="N28" s="45" t="inlineStr">
        <is>
          <t>ข้อสอบจริง Product ปี 2562 ข้อ 2</t>
        </is>
      </c>
      <c r="O28" s="46" t="inlineStr">
        <is>
          <t>ข้อสอบจริง</t>
        </is>
      </c>
      <c r="P28" s="46" t="inlineStr">
        <is>
          <t>ปี 2562</t>
        </is>
      </c>
    </row>
    <row r="29">
      <c r="A29" s="46" t="n">
        <v>27</v>
      </c>
      <c r="B29" s="45" t="inlineStr">
        <is>
          <t>มีฤทธิ์สมานแผลในกระเพาะอาหาร (antiulcer) — curcumin ยับยั้ง NF-κB ลดการอักเสบ กระตุ้นการสร้าง mucus ปกป้องเยื่อบุกระเพาะ และมีฤทธิ์ต้านอนุมูลอิสระ   จึงเป็นตัวเลือกเดียวที่ทั้งแก้ท้องอืด “และ” ปลอดภัย/เป็นประโยชน์ในผู้ป่วยที่มีแผลในกระเพาะ | | :---- | ข้อ 94. การปลดปล่อยยาในรูปแบบ matrix เป็นแบบใด</t>
        </is>
      </c>
      <c r="C29" s="46" t="n"/>
      <c r="D29" s="45" t="inlineStr">
        <is>
          <t>Dissolution</t>
        </is>
      </c>
      <c r="E29" s="45" t="inlineStr">
        <is>
          <t>Disintegration</t>
        </is>
      </c>
      <c r="F29" s="45" t="inlineStr">
        <is>
          <t>Content uniformity / weight variation</t>
        </is>
      </c>
      <c r="G29" s="45" t="inlineStr">
        <is>
          <t>Assay</t>
        </is>
      </c>
      <c r="H29" s="45" t="inlineStr">
        <is>
          <t>Impurity | คำอธิบาย สำหรับยาเม็ดชนิดควบคุมการปลดปล่อย (modified/controlled release) เภสัชตำรับกำหนดให้ทำ dissolution test (drug release test) แทน disintegration test   เหตุผล:</t>
        </is>
      </c>
      <c r="I29" s="46" t="n">
        <v>1</v>
      </c>
      <c r="J29" s="45" t="inlineStr">
        <is>
          <t>✅ คำตอบที่ถูกต้อง: ข้อ ก. Dissolution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9" s="46" t="n"/>
      <c r="L29" s="45" t="inlineStr">
        <is>
          <t>Herbal Products &amp; Standardization</t>
        </is>
      </c>
      <c r="M29" s="46" t="inlineStr">
        <is>
          <t>Product</t>
        </is>
      </c>
      <c r="N29" s="45" t="inlineStr">
        <is>
          <t>ข้อสอบจริง Product ปี 2562 ข้อ 2</t>
        </is>
      </c>
      <c r="O29" s="46" t="inlineStr">
        <is>
          <t>ข้อสอบจริง</t>
        </is>
      </c>
      <c r="P29" s="46" t="inlineStr">
        <is>
          <t>ปี 2562</t>
        </is>
      </c>
    </row>
    <row r="30">
      <c r="A30" s="46" t="n">
        <v>28</v>
      </c>
      <c r="B30" s="45" t="inlineStr">
        <is>
          <t>เป็นฐานสีขาวสำหรับผสมกับสารสีอื่นให้ได้เฉดที่ต้องการ   กรณี cyclophosphamide ซึ่งไวต่อแสงและความชื้น การมี TiO₂ ในชั้นเคลือบจึงมีความสำคัญเชิงความคงตัวด้วย | | :---- | # วันที่ 2 ## สถานการณ์ที่ 1 ชายไทย 53 ปี มีโรคประจำตัวความดันโลหิต ได้รับยา amlodipine 20 mg 1x1 ต่อมาผู้ป่วยได้รับวินิจฉัยเป็น depression ได้รับยา fluoxetine 20 mg 1x1 hs. ข้อ 8. จากตารางที่ให้ เป็นการทำ method validation ในพารามิเตอร์ใด ตารางแสดง %ADD 3 ค่า 80 100 120 และค่าเฉลี่ย ทำในสาร 3 ชนิด และทุกอันมี %RSD เป็นการทำ validation เรื่องอะไร</t>
        </is>
      </c>
      <c r="C30" s="46" t="n"/>
      <c r="D30" s="45" t="inlineStr">
        <is>
          <t>ละลาย iodine ที่บดละเอียดในน้ำที่อุณหภูมิห้อง</t>
        </is>
      </c>
      <c r="E30" s="45" t="inlineStr">
        <is>
          <t>ละลาย iodine ในสารละลาย potassium iodide</t>
        </is>
      </c>
      <c r="F30" s="45" t="inlineStr">
        <is>
          <t>ละลาย iodine ในน้ำเดือด</t>
        </is>
      </c>
      <c r="G30" s="45" t="inlineStr">
        <is>
          <t>ละลาย iodine โดยใช้ ethanol เป็น co-solvent</t>
        </is>
      </c>
      <c r="H30" s="45" t="inlineStr">
        <is>
          <t>ละลาย iodine โดยใช้ tween 80 เป็นสารช่วยละลาย | คำอธิบาย ไอโอดีน (I₂) เป็นโมเลกุลไม่มีขั้ว ละลายน้ำได้แย่มาก (ประมาณ 1 ส่วนใน 3,000 ส่วนของน้ำ) การเตรียมตำรับนี้จึงต้องอาศัยเทคนิค complexation (การเกิดสารประกอบเชิงซ้อน)   กลไก: iodide ion (I⁻) จาก potassium iodide ทำหน้าที่เป็น Lewis base ให้คู่อิเล็กตรอนแก่โมเลกุล I₂ เกิดเป็น triiodide complex   I₂ \+ I⁻ ⇌ I₃⁻   สารประกอบ I₃⁻ นี้มีประจุลบ จึงละลายน้ำได้ดีมาก และเป็นการเพิ่มความสามารถในการละลายของไอโอดีนหลายพันเท่า   วิธีปฏิบัติที่ถูกต้อง:</t>
        </is>
      </c>
      <c r="I30" s="46" t="n">
        <v>5</v>
      </c>
      <c r="J30" s="45" t="inlineStr">
        <is>
          <t>✅ คำตอบที่ถูกต้อง: ข้อ จ. ละลาย iodine โดยใช้ tween 80 เป็นสารช่วยละลาย | คำอธิบาย ไอโอดีน (I₂) เป็นโมเลกุลไม่มีขั้ว ละลายน้ำได้แย่มาก (ประมาณ 1 ส่วนใน 3,000 ส่วนของน้ำ) การเตรียมตำรับนี้จึงต้องอาศัยเทคนิค complexation (การเกิดสารประกอบเชิงซ้อน)   กลไก: iodide ion (I⁻) จาก potassium iodide ทำหน้าที่เป็น Lewis base ให้คู่อิเล็กตรอนแก่โมเลกุล I₂ เกิดเป็น triiodide complex   I₂ \+ I⁻ ⇌ I₃⁻   สารประกอบ I₃⁻ นี้มีประจุลบ จึงละลายน้ำได้ดีมาก และเป็นการเพิ่มความสามารถในการละลายของไอโอดีนหลายพันเท่า   วิธีปฏิบัติที่ถูกต้อง:
💡 Background:
คำถามข้อสอบจริงใบประกอบวิชาชีพ PLE-CC 1 (Product) ปี 2562 ข้อ 3
🎯 ทำไมข้อนี้ถึงถูก:
ข้อ จ.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0" s="46" t="n"/>
      <c r="L30" s="45" t="inlineStr">
        <is>
          <t>Herbal Products &amp; Standardization</t>
        </is>
      </c>
      <c r="M30" s="46" t="inlineStr">
        <is>
          <t>Product</t>
        </is>
      </c>
      <c r="N30" s="45" t="inlineStr">
        <is>
          <t>ข้อสอบจริง Product ปี 2562 ข้อ 3</t>
        </is>
      </c>
      <c r="O30" s="46" t="inlineStr">
        <is>
          <t>ข้อสอบจริง</t>
        </is>
      </c>
      <c r="P30" s="46" t="inlineStr">
        <is>
          <t>ปี 2562</t>
        </is>
      </c>
    </row>
    <row r="31">
      <c r="A31" s="46" t="n">
        <v>29</v>
      </c>
      <c r="B31" s="45" t="inlineStr">
        <is>
          <t>เติมน้ำที่เหลือให้ครบปริมาตร (qs to 100 ml)   ถ้าทำสลับลำดับ คือเติมน้ำครบก่อนแล้วค่อยเติมไอโอดีน จะละลายไม่หมด | | :---- | ข้อ 24. Iodine lugol solution ต้องบรรจุในภาชนะใด</t>
        </is>
      </c>
      <c r="C31" s="46" t="n"/>
      <c r="D31" s="45" t="inlineStr">
        <is>
          <t>HPLC</t>
        </is>
      </c>
      <c r="E31" s="45" t="inlineStr">
        <is>
          <t>UV</t>
        </is>
      </c>
      <c r="F31" s="45" t="inlineStr">
        <is>
          <t>Polarimeter</t>
        </is>
      </c>
      <c r="G31" s="45" t="inlineStr">
        <is>
          <t>Infrared spectoscope</t>
        </is>
      </c>
      <c r="H31" s="45" t="inlineStr">
        <is>
          <t>NMR | คำอธิบาย การวิเคราะห์ยาเม็ดคุมกำเนิดที่มีตัวยาสองชนิดผสมกันต้องใช้ HPLC ด้วยเหตุผล 3 ประการ</t>
        </is>
      </c>
      <c r="I31" s="46" t="n">
        <v>5</v>
      </c>
      <c r="J31" s="45" t="inlineStr">
        <is>
          <t>✅ คำตอบที่ถูกต้อง: ข้อ จ. NMR | คำอธิบาย การวิเคราะห์ยาเม็ดคุมกำเนิดที่มีตัวยาสองชนิดผสมกันต้องใช้ HPLC ด้วยเหตุผล 3 ประการ
💡 Background:
คำถามข้อสอบจริงใบประกอบวิชาชีพ PLE-CC 1 (Product) ปี 2562 ข้อ 3
🎯 ทำไมข้อนี้ถึงถูก:
ข้อ จ.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1" s="46" t="n"/>
      <c r="L31" s="45" t="inlineStr">
        <is>
          <t>Herbal Products &amp; Standardization</t>
        </is>
      </c>
      <c r="M31" s="46" t="inlineStr">
        <is>
          <t>Product</t>
        </is>
      </c>
      <c r="N31" s="45" t="inlineStr">
        <is>
          <t>ข้อสอบจริง Product ปี 2562 ข้อ 3</t>
        </is>
      </c>
      <c r="O31" s="46" t="inlineStr">
        <is>
          <t>ข้อสอบจริง</t>
        </is>
      </c>
      <c r="P31" s="46" t="inlineStr">
        <is>
          <t>ปี 2562</t>
        </is>
      </c>
    </row>
    <row r="32">
      <c r="A32" s="46" t="n">
        <v>30</v>
      </c>
      <c r="B32" s="45" t="inlineStr">
        <is>
          <t>ผลของ ADA มี 2 ด้าน คือทำให้ยาถูกทำลายและประสิทธิภาพลดลง (neutralizing antibody) และทำให้เกิดปฏิกิริยาภูมิแพ้/แพ้รุนแรง (infusion reaction, anaphylaxis)   สำหรับ trastuzumab โดยเฉพาะ ยังต้องเฝ้าระวังความปลอดภัยด้านหัวใจ (cardiotoxicity — ลด LVEF, heart failure) ซึ่งเป็น ADR สำคัญของยากลุ่มนี้   ดังนั้นการขึ้นทะเบียน biosimilar จึงต้องมีข้อมูล comparative immunogenicity study และการเฝ้าระวังหลังการตลาด (pharmacovigilance) ที่เข้มงวด | | :---- | ข้อ 60. ผู้ป่วยต้องผสม trastuzumab สำหรับพร้อมฉีด (IV preparation) อย่างไร</t>
        </is>
      </c>
      <c r="C32" s="46" t="n"/>
      <c r="D32" s="45" t="inlineStr">
        <is>
          <t>Propellant</t>
        </is>
      </c>
      <c r="E32" s="45" t="inlineStr">
        <is>
          <t>Glidant</t>
        </is>
      </c>
      <c r="F32" s="45" t="inlineStr">
        <is>
          <t>Cosolvent</t>
        </is>
      </c>
      <c r="G32" s="45" t="inlineStr">
        <is>
          <t>Antioxidant</t>
        </is>
      </c>
      <c r="H32" s="45" t="inlineStr">
        <is>
          <t>Wetting agent | คำอธิบาย Propellant (สารขับดัน) เป็นองค์ประกอบที่ขาดไม่ได้และสำคัญที่สุดของยาพ่นชนิด pressurized metered dose inhaler (pMDI)   หน้าที่ 3 ประการ:</t>
        </is>
      </c>
      <c r="I32" s="46" t="n">
        <v>1</v>
      </c>
      <c r="J32" s="45" t="inlineStr">
        <is>
          <t>✅ คำตอบที่ถูกต้อง: ข้อ ก. Propellant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2" s="46" t="n"/>
      <c r="L32" s="45" t="inlineStr">
        <is>
          <t>Herbal Products &amp; Standardization</t>
        </is>
      </c>
      <c r="M32" s="46" t="inlineStr">
        <is>
          <t>Product</t>
        </is>
      </c>
      <c r="N32" s="45" t="inlineStr">
        <is>
          <t>ข้อสอบจริง Product ปี 2562 ข้อ 3</t>
        </is>
      </c>
      <c r="O32" s="46" t="inlineStr">
        <is>
          <t>ข้อสอบจริง</t>
        </is>
      </c>
      <c r="P32" s="46" t="inlineStr">
        <is>
          <t>ปี 2562</t>
        </is>
      </c>
    </row>
    <row r="33">
      <c r="A33" s="46" t="n">
        <v>31</v>
      </c>
      <c r="B33" s="45" t="inlineStr">
        <is>
          <t>หากต้องการตรวจสอบคุณภาพผงสมุนไพรของใบพญายอ ด้วยวิธีการส่องกล้องจุลทรรศน์ ควรพบเนื้อเยื่อส่วนใดบ้าง</t>
        </is>
      </c>
      <c r="C33" s="46" t="n"/>
      <c r="D33" s="45" t="inlineStr">
        <is>
          <t>พบ cortex และ xylem</t>
        </is>
      </c>
      <c r="E33" s="45" t="inlineStr">
        <is>
          <t>พบ cork และ stomata</t>
        </is>
      </c>
      <c r="F33" s="45" t="inlineStr">
        <is>
          <t>พบ cortex และ cambium</t>
        </is>
      </c>
      <c r="G33" s="45" t="inlineStr">
        <is>
          <t>พบ scleried และ stomata</t>
        </is>
      </c>
      <c r="H33" s="45" t="inlineStr">
        <is>
          <t>พบ palisade และ stomata</t>
        </is>
      </c>
      <c r="I33" s="46" t="n">
        <v>1</v>
      </c>
      <c r="J33" s="45" t="inlineStr">
        <is>
          <t>✅ คำตอบที่ถูกต้อง: ข้อ ก. พบ cortex และ xylem
💡 Background:
คำถามข้อสอบจริงใบประกอบวิชาชีพ PLE-CC 1 (Product) ปี 2561 ข้อ 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3" s="46" t="n"/>
      <c r="L33" s="45" t="inlineStr">
        <is>
          <t>Herbal Products &amp; Standardization</t>
        </is>
      </c>
      <c r="M33" s="46" t="inlineStr">
        <is>
          <t>Product</t>
        </is>
      </c>
      <c r="N33" s="45" t="inlineStr">
        <is>
          <t>ข้อสอบจริง Product ปี 2561 ข้อ 7</t>
        </is>
      </c>
      <c r="O33" s="46" t="inlineStr">
        <is>
          <t>ข้อสอบจริง</t>
        </is>
      </c>
      <c r="P33" s="46" t="inlineStr">
        <is>
          <t>ปี 2561</t>
        </is>
      </c>
    </row>
    <row r="34">
      <c r="A34" s="46" t="n">
        <v>32</v>
      </c>
      <c r="B34" s="45" t="inlineStr">
        <is>
          <t>แคปซูลฟ้าทะลายโจรต้องทดสอบอะไร</t>
        </is>
      </c>
      <c r="C34" s="46" t="n"/>
      <c r="D34" s="45" t="inlineStr">
        <is>
          <t>Disintegration</t>
        </is>
      </c>
      <c r="E34" s="45" t="inlineStr">
        <is>
          <t>Dissolution</t>
        </is>
      </c>
      <c r="F34" s="45" t="inlineStr">
        <is>
          <t>Limit of pyrogen</t>
        </is>
      </c>
      <c r="G34" s="45" t="inlineStr"/>
      <c r="H34" s="45" t="inlineStr"/>
      <c r="I34" s="46" t="n">
        <v>1</v>
      </c>
      <c r="J34" s="45" t="inlineStr">
        <is>
          <t>✅ คำตอบที่ถูกต้อง: ข้อ ก. Disintegration
💡 Background:
คำถามข้อสอบจริงใบประกอบวิชาชีพ PLE-CC 1 (Product) ปี 2559 ข้อ 20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4" s="46" t="n"/>
      <c r="L34" s="45" t="inlineStr">
        <is>
          <t>Herbal Products &amp; Standardization</t>
        </is>
      </c>
      <c r="M34" s="46" t="inlineStr">
        <is>
          <t>Product</t>
        </is>
      </c>
      <c r="N34" s="45" t="inlineStr">
        <is>
          <t>ข้อสอบจริง Product ปี 2559 ข้อ 20</t>
        </is>
      </c>
      <c r="O34" s="46" t="inlineStr">
        <is>
          <t>ข้อสอบจริง</t>
        </is>
      </c>
      <c r="P34" s="46" t="inlineStr">
        <is>
          <t>ปี 2559</t>
        </is>
      </c>
    </row>
    <row r="35">
      <c r="A35" s="46" t="n">
        <v>33</v>
      </c>
      <c r="B35" s="45" t="inlineStr">
        <is>
          <t>ข้อแนะนำในการเก็บรักษาและการใช้งานยาฉีดอินซูลินสำหรับผู้ป่วยข้อใดถูกต้อง?</t>
        </is>
      </c>
      <c r="C35" s="46" t="n"/>
      <c r="D35" s="45" t="inlineStr">
        <is>
          <t>ให้เช็ดทำความสะอาดปลายเข็มโลหะด้วยสำลีชุบแอลกอฮอล์ก่อนฉีดทุกครั้ง</t>
        </is>
      </c>
      <c r="E35" s="45" t="inlineStr">
        <is>
          <t>ควรฉีดซ้ำที่เดิมเสมอเพื่อคุมระดับการดูดซึมยาให้คงที่</t>
        </is>
      </c>
      <c r="F35" s="45" t="inlineStr">
        <is>
          <t>ยาฉีดอินซูลินขวดที่เปิดใช้งานแล้ว สามารถเก็บรักษาไว้ในอุณหภูมิห้องที่ไม่ร้อนเกินไปได้นาน 28 วัน</t>
        </is>
      </c>
      <c r="G35" s="45" t="inlineStr">
        <is>
          <t>ควรนำยาฉีดอินซูลินไปเก็บไว้ในช่องแช่แข็งเพื่อความคงตัวสูงสุดของสารสกัดโปรตีน</t>
        </is>
      </c>
      <c r="H35" s="45" t="inlineStr">
        <is>
          <t>สำหรับอินซูลินที่เป็นชนิดสารแขวนตะกอน (Suspension) ต้องเขย่าขวดยาแรงๆ ก่อนใช้เพื่อให้ยากระจายตัว</t>
        </is>
      </c>
      <c r="I35" s="46" t="n">
        <v>1</v>
      </c>
      <c r="J35" s="45" t="inlineStr">
        <is>
          <t>✅ คำตอบที่ถูกต้อง: ข้อ ก. ให้เช็ดทำความสะอาดปลายเข็มโลหะด้วยสำลีชุบแอลกอฮอล์ก่อนฉีดทุกครั้ง
💡 Background:
คำถามข้อสอบจริงใบประกอบวิชาชีพ PLE-CC 1 (Product) ปี 2558 ข้อ 29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5" s="46" t="n"/>
      <c r="L35" s="45" t="inlineStr">
        <is>
          <t>Herbal Products &amp; Standardization</t>
        </is>
      </c>
      <c r="M35" s="46" t="inlineStr">
        <is>
          <t>Product</t>
        </is>
      </c>
      <c r="N35" s="45" t="inlineStr">
        <is>
          <t>ข้อสอบจริง Product ปี 2558 ข้อ 29</t>
        </is>
      </c>
      <c r="O35" s="46" t="inlineStr">
        <is>
          <t>ข้อสอบจริง</t>
        </is>
      </c>
      <c r="P35" s="46" t="inlineStr">
        <is>
          <t>ปี 2558</t>
        </is>
      </c>
    </row>
  </sheetData>
  <mergeCells count="1">
    <mergeCell ref="A1:F1"/>
  </mergeCell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P3"/>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c r="A3" s="46" t="n">
        <v>1</v>
      </c>
      <c r="B3" s="45" t="inlineStr">
        <is>
          <t>สารกัน เสียในข้อใดมีผลให้เกิด bronchoconstriction มากที่สุด</t>
        </is>
      </c>
      <c r="C3" s="46" t="inlineStr">
        <is>
          <t>[แนบรูป: ข้อสอบ Product ปี 2564 รหัสรูปภาพ image73]</t>
        </is>
      </c>
      <c r="D3" s="45" t="inlineStr">
        <is>
          <t>UV</t>
        </is>
      </c>
      <c r="E3" s="45" t="inlineStr">
        <is>
          <t>Titrate</t>
        </is>
      </c>
      <c r="F3" s="45" t="inlineStr">
        <is>
          <t>Mass spectrometry</t>
        </is>
      </c>
      <c r="G3" s="45" t="inlineStr">
        <is>
          <t>HPLC with UV</t>
        </is>
      </c>
      <c r="H3" s="45" t="inlineStr">
        <is>
          <t>Spectrofluorometry คำอธิบาย: ตาม [USP](https://online.uspnf.com/uspnf/document/1_GUID-3E56E521-24E1-4B82-9E62-227F2AAA7D26_2_en-US?source=Search%20Results&amp;highlight=Diclofenac) ในหัวข้อ Assay ของ diclofenac potassium tablet [แนบรูป: ข้อสอบ Product ปี 2564 รหัสรูปภาพ image73]</t>
        </is>
      </c>
      <c r="I3" s="46" t="n">
        <v>1</v>
      </c>
      <c r="J3" s="45" t="inlineStr">
        <is>
          <t>✅ คำตอบที่ถูกต้อง: ข้อ ก. UV
💡 Background:
คำถามข้อสอบจริงใบประกอบวิชาชีพ PLE-CC 1 (Product) ปี 2564 ข้อ 19
🎯 ทำไมข้อนี้ถึงถูก:
ข้อ ก. สอดคล้องกับหลักการทางเภสัชกรรมและข้อกำหนดตามเภสัชตำรับ (Pharmacopoeia Standards) ในหัวข้อ Food Products &amp; Quality Assurance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Food Products &amp; Quality Assurance</t>
        </is>
      </c>
      <c r="K3" s="46" t="n"/>
      <c r="L3" s="45" t="inlineStr">
        <is>
          <t>Food Products &amp; Quality Assurance</t>
        </is>
      </c>
      <c r="M3" s="46" t="inlineStr">
        <is>
          <t>Product</t>
        </is>
      </c>
      <c r="N3" s="45" t="inlineStr">
        <is>
          <t>ข้อสอบจริง Product ปี 2564 ข้อ 19</t>
        </is>
      </c>
      <c r="O3" s="46" t="inlineStr">
        <is>
          <t>ข้อสอบจริง</t>
        </is>
      </c>
      <c r="P3" s="46" t="inlineStr">
        <is>
          <t>ปี 2564</t>
        </is>
      </c>
    </row>
  </sheetData>
  <mergeCells count="1">
    <mergeCell ref="A1:F1"/>
  </mergeCells>
  <pageMargins left="0.75" right="0.75" top="1" bottom="1" header="0.5" footer="0.5"/>
</worksheet>
</file>

<file path=xl/worksheets/sheet32.xml><?xml version="1.0" encoding="utf-8"?>
<worksheet xmlns="http://schemas.openxmlformats.org/spreadsheetml/2006/main">
  <sheetPr>
    <tabColor rgb="FFD85926"/>
    <outlinePr summaryBelow="0" summaryRight="0"/>
    <pageSetUpPr/>
  </sheetPr>
  <dimension ref="A1:Q82"/>
  <sheetViews>
    <sheetView workbookViewId="0">
      <selection activeCell="A1" sqref="A1"/>
    </sheetView>
  </sheetViews>
  <sheetFormatPr baseColWidth="8" defaultColWidth="12.6640625" defaultRowHeight="15.75" customHeight="1"/>
  <cols>
    <col width="29.77734375" customWidth="1" style="37" min="2" max="2"/>
  </cols>
  <sheetData>
    <row r="1" ht="27" customHeight="1" s="37">
      <c r="A1" s="40">
        <f>HYPERLINK("#gid=0", "🏠 กลับสู่หน้าแรก (Go to Home Page)")</f>
        <v/>
      </c>
    </row>
    <row r="2" ht="64.8" customHeight="1" s="37">
      <c r="A2" s="26" t="inlineStr">
        <is>
          <t>ข้อที่</t>
        </is>
      </c>
      <c r="B2" s="26" t="inlineStr">
        <is>
          <t>คำถาม</t>
        </is>
      </c>
      <c r="C2" s="26" t="inlineStr">
        <is>
          <t>รูปถาม</t>
        </is>
      </c>
      <c r="D2" s="26" t="inlineStr">
        <is>
          <t>ตัวเลือก 1</t>
        </is>
      </c>
      <c r="E2" s="26" t="inlineStr">
        <is>
          <t>ตัวเลือก 2</t>
        </is>
      </c>
      <c r="F2" s="26" t="inlineStr">
        <is>
          <t>ตัวเลือก 3</t>
        </is>
      </c>
      <c r="G2" s="26" t="inlineStr">
        <is>
          <t>ตัวเลือก 4</t>
        </is>
      </c>
      <c r="H2" s="26" t="inlineStr">
        <is>
          <t>ตัวเลือก 5</t>
        </is>
      </c>
      <c r="I2" s="26" t="inlineStr">
        <is>
          <t>เฉลย (ตัวเลข 1-5)</t>
        </is>
      </c>
      <c r="J2" s="26" t="inlineStr">
        <is>
          <t>คำอธิบายเฉลย</t>
        </is>
      </c>
      <c r="K2" s="26" t="inlineStr">
        <is>
          <t>รูปเฉลย</t>
        </is>
      </c>
      <c r="L2" s="26" t="inlineStr">
        <is>
          <t>Filter หมวด/Subtopic</t>
        </is>
      </c>
      <c r="M2" s="26" t="inlineStr">
        <is>
          <t>Product / Clinic</t>
        </is>
      </c>
      <c r="N2" s="26" t="inlineStr">
        <is>
          <t>หมายเหตุ</t>
        </is>
      </c>
      <c r="O2" s="26" t="inlineStr">
        <is>
          <t>ประเภทข้อสอบ</t>
        </is>
      </c>
      <c r="P2" s="26" t="inlineStr">
        <is>
          <t>ปี / เลขชุด</t>
        </is>
      </c>
    </row>
    <row r="3" ht="409.6" customHeight="1" s="37">
      <c r="A3" s="10" t="n">
        <v>1</v>
      </c>
      <c r="B3" s="10" t="inlineStr">
        <is>
          <t>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t>
        </is>
      </c>
      <c r="C3" s="10" t="n"/>
      <c r="D3" s="10" t="inlineStr">
        <is>
          <t>Methyl cyanide</t>
        </is>
      </c>
      <c r="E3" s="10" t="inlineStr">
        <is>
          <t>Nitro</t>
        </is>
      </c>
      <c r="F3" s="10" t="inlineStr">
        <is>
          <t>Thio</t>
        </is>
      </c>
      <c r="G3" s="10" t="inlineStr">
        <is>
          <t>Furan</t>
        </is>
      </c>
      <c r="H3" s="10" t="inlineStr">
        <is>
          <t>Amine</t>
        </is>
      </c>
      <c r="I3" s="10" t="n">
        <v>4</v>
      </c>
      <c r="J3" s="10" t="inlineStr">
        <is>
          <t>✅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0" t="n"/>
      <c r="L3" s="10" t="inlineStr">
        <is>
          <t>SAR &amp; Drug Design</t>
        </is>
      </c>
      <c r="M3" s="10" t="inlineStr">
        <is>
          <t>Product</t>
        </is>
      </c>
      <c r="N3" s="10" t="inlineStr">
        <is>
          <t>ข้อ 1 Pharma Plus เล่มม่วง (เฉลยข้อ ง)</t>
        </is>
      </c>
      <c r="O3" s="10" t="inlineStr">
        <is>
          <t>Mock</t>
        </is>
      </c>
      <c r="P3" s="10" t="inlineStr">
        <is>
          <t>Pharma Plus เล่มม่วง</t>
        </is>
      </c>
    </row>
    <row r="4" ht="409.6" customHeight="1" s="37">
      <c r="A4" s="10" t="n">
        <v>2</v>
      </c>
      <c r="B4" s="10" t="inlineStr">
        <is>
          <t>จากสูตรโครงสร้างของ praziquantel ตำแหน่งนี้เรียกว่า และมีคุณสมบัติอย่างไร</t>
        </is>
      </c>
      <c r="C4" s="10" t="n"/>
      <c r="D4" s="10" t="inlineStr">
        <is>
          <t>Quinoline, base</t>
        </is>
      </c>
      <c r="E4" s="10" t="inlineStr">
        <is>
          <t>Isoquinoline, base</t>
        </is>
      </c>
      <c r="F4" s="10" t="inlineStr">
        <is>
          <t>Guanine, acid</t>
        </is>
      </c>
      <c r="G4" s="10" t="inlineStr">
        <is>
          <t>Pyramidine, acid</t>
        </is>
      </c>
      <c r="H4" s="10" t="inlineStr">
        <is>
          <t>Nirobenzene, acid</t>
        </is>
      </c>
      <c r="I4" s="10" t="n">
        <v>2</v>
      </c>
      <c r="J4" s="10" t="inlineStr">
        <is>
          <t>✅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0" t="n"/>
      <c r="L4" s="10" t="inlineStr">
        <is>
          <t>SAR &amp; Drug Design</t>
        </is>
      </c>
      <c r="M4" s="10" t="inlineStr">
        <is>
          <t>Product</t>
        </is>
      </c>
      <c r="N4" s="10" t="inlineStr">
        <is>
          <t>ข้อ 2 Pharma Plus เล่มม่วง (เฉลยข้อ ข)</t>
        </is>
      </c>
      <c r="O4" s="10" t="inlineStr">
        <is>
          <t>Mock</t>
        </is>
      </c>
      <c r="P4" s="10" t="inlineStr">
        <is>
          <t>Pharma Plus เล่มม่วง</t>
        </is>
      </c>
    </row>
    <row r="5" ht="409.6" customHeight="1" s="37">
      <c r="A5" s="10" t="n">
        <v>3</v>
      </c>
      <c r="B5" s="10" t="inlineStr">
        <is>
          <t>จากสูตรโครงสร้างมีหมู่ carboxyl group กี่หมู่</t>
        </is>
      </c>
      <c r="C5" s="10" t="n"/>
      <c r="D5" s="10" t="inlineStr">
        <is>
          <t>Bioisosteric Replacement (Carboxylic acid → Tetrazole)</t>
        </is>
      </c>
      <c r="E5" s="10" t="inlineStr">
        <is>
          <t>Prodrug Design via Esterification for Oral Bioavailability</t>
        </is>
      </c>
      <c r="F5" s="10" t="inlineStr">
        <is>
          <t>Cytochrome P450 CYP3A4 Phase I Oxidation</t>
        </is>
      </c>
      <c r="G5" s="10" t="inlineStr">
        <is>
          <t>Phase II Glucuronidation Conjugation by UGT</t>
        </is>
      </c>
      <c r="H5" s="10" t="inlineStr">
        <is>
          <t>Log P Lipophilicity Partition Coefficient optimization</t>
        </is>
      </c>
      <c r="I5" s="10" t="n">
        <v>2</v>
      </c>
      <c r="J5" s="10" t="inlineStr">
        <is>
          <t>✅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0" t="n"/>
      <c r="L5" s="10" t="inlineStr">
        <is>
          <t>SAR &amp; Drug Design</t>
        </is>
      </c>
      <c r="M5" s="10" t="inlineStr">
        <is>
          <t>Product</t>
        </is>
      </c>
      <c r="N5" s="10" t="inlineStr">
        <is>
          <t>ข้อ 3 Pharma Plus เล่มม่วง (เฉลยข้อ ข)</t>
        </is>
      </c>
      <c r="O5" s="10" t="inlineStr">
        <is>
          <t>Mock</t>
        </is>
      </c>
      <c r="P5" s="10" t="inlineStr">
        <is>
          <t>Pharma Plus เล่มม่วง</t>
        </is>
      </c>
    </row>
    <row r="6" ht="409.6" customHeight="1" s="37">
      <c r="A6" s="10" t="n">
        <v>4</v>
      </c>
      <c r="B6" s="10" t="inlineStr">
        <is>
          <t>จากโครงสร้าง Simvastatin และ Pravastatin ข้อใดถูกต้อง</t>
        </is>
      </c>
      <c r="C6" s="10" t="n"/>
      <c r="D6" s="10" t="inlineStr">
        <is>
          <t>Cholestyramine ลดการดูดซึมของยา simvastatin เพราะโครงสร้าง Simvastatin มี lactone ring</t>
        </is>
      </c>
      <c r="E6" s="10" t="inlineStr">
        <is>
          <t>Cholestyramine ลดการดูดซึมของยา pravastatin เพราะโครงสร้าง Pravastatin มี carboxylic acid</t>
        </is>
      </c>
      <c r="F6" s="10" t="inlineStr">
        <is>
          <t>Simvastatin ลดการดูดซึมของยา cholestyramine</t>
        </is>
      </c>
      <c r="G6" s="10" t="inlineStr">
        <is>
          <t>Cholestyramine ไม่มีผลต่อการดูดซึมของยา simvastatin และ pravastatin</t>
        </is>
      </c>
      <c r="H6" s="10" t="inlineStr">
        <is>
          <t>Cholestyramine เพิ่มการดูดซึมของยา simvastatin และ pravastatin</t>
        </is>
      </c>
      <c r="I6" s="10" t="n">
        <v>2</v>
      </c>
      <c r="J6" s="10" t="inlineStr">
        <is>
          <t>✅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0" t="n"/>
      <c r="L6" s="10" t="inlineStr">
        <is>
          <t>SAR &amp; Drug Design</t>
        </is>
      </c>
      <c r="M6" s="10" t="inlineStr">
        <is>
          <t>Product</t>
        </is>
      </c>
      <c r="N6" s="10" t="inlineStr">
        <is>
          <t>ข้อ 4 Pharma Plus เล่มม่วง (เฉลยข้อ ข)</t>
        </is>
      </c>
      <c r="O6" s="10" t="inlineStr">
        <is>
          <t>Mock</t>
        </is>
      </c>
      <c r="P6" s="10" t="inlineStr">
        <is>
          <t>Pharma Plus เล่มม่วง</t>
        </is>
      </c>
    </row>
    <row r="7" ht="409.6" customHeight="1" s="37">
      <c r="A7" s="10" t="n">
        <v>5</v>
      </c>
      <c r="B7" s="10" t="inlineStr">
        <is>
          <t>โครงสร้างที่แสดงข้อ 4 สัมพันธ์กับการออกฤทธิ์ของยาอย่างไร</t>
        </is>
      </c>
      <c r="C7" s="10" t="n"/>
      <c r="D7" s="10" t="inlineStr">
        <is>
          <t>Pravastatin เป็น prodrug</t>
        </is>
      </c>
      <c r="E7" s="10" t="inlineStr">
        <is>
          <t>Pravastatin และ simvastatin เป็น prodrug</t>
        </is>
      </c>
      <c r="F7" s="10" t="inlineStr">
        <is>
          <t>Pravastatin มีโครงสร้างที่ออกฤทธิ์ในร่างกายสองรูปแบบ คือ โครงสร้างที่เชื่อมเป็นวง lactone ring และโครงสร้างที่เป็น carboxylic acid</t>
        </is>
      </c>
      <c r="G7" s="10" t="inlineStr">
        <is>
          <t>Simvastatin มีโครงสร้างที่ออกฤทธิ์ คือ โครงสร้างที่เป็น lactone ring เปิด</t>
        </is>
      </c>
      <c r="H7" s="10" t="inlineStr">
        <is>
          <t>Pravastatin และ simvastatin ไม่เป็น prodrug</t>
        </is>
      </c>
      <c r="I7" s="10" t="n">
        <v>4</v>
      </c>
      <c r="J7" s="10" t="inlineStr">
        <is>
          <t>✅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ที่ต้องถูกไฮโดรไลซ์ในร่างกายให้เปลี่ยนเป็นรูปเปิดวง (open ring / $_x0008_eta$-hydroxy acid form) ซึ่งเป็นรูปแบบที่ออกฤทธิ์ยับยั้งเอนزyme HMG-CoA reductase ได้ ส่วน Pravastatin อยู่ในรูปออกฤทธิ์ (open ring / carboxylic acid) ตั้งแต่เริ่มต้น
USP/NF, British Pharmacopoeia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0" t="n"/>
      <c r="L7" s="10" t="inlineStr">
        <is>
          <t>SAR &amp; Drug Design</t>
        </is>
      </c>
      <c r="M7" s="10" t="inlineStr">
        <is>
          <t>Product</t>
        </is>
      </c>
      <c r="N7" s="10" t="inlineStr">
        <is>
          <t>ข้อ 5 Pharma Plus เล่มม่วง (เฉลยข้อ ง)</t>
        </is>
      </c>
      <c r="O7" s="10" t="inlineStr">
        <is>
          <t>Mock</t>
        </is>
      </c>
      <c r="P7" s="10" t="inlineStr">
        <is>
          <t>Pharma Plus เล่มม่วง</t>
        </is>
      </c>
    </row>
    <row r="8" ht="409.6" customHeight="1" s="37">
      <c r="A8" s="10" t="n">
        <v>6</v>
      </c>
      <c r="B8" s="10" t="inlineStr">
        <is>
          <t>สูตรโครงสร้างของยาต่อไปนี้ข้อใดคือ Dexamethasone</t>
        </is>
      </c>
      <c r="C8" s="10" t="n"/>
      <c r="D8" s="10" t="inlineStr">
        <is>
          <t>โครงสร้างเตียรอยด์มีหมู่ -OH และ -F</t>
        </is>
      </c>
      <c r="E8" s="10" t="inlineStr">
        <is>
          <t>โครงสร้าง ACE inhibitor</t>
        </is>
      </c>
      <c r="F8" s="10" t="inlineStr">
        <is>
          <t>โครงสร้าง Chloramphenicol</t>
        </is>
      </c>
      <c r="G8" s="10" t="inlineStr">
        <is>
          <t>โครงสร้าง Sulfonamide</t>
        </is>
      </c>
      <c r="H8" s="10" t="inlineStr">
        <is>
          <t>โครงสร้าง Beta-lactam หรือโครงสร้างอื่น</t>
        </is>
      </c>
      <c r="I8" s="10" t="n">
        <v>1</v>
      </c>
      <c r="J8" s="10" t="inlineStr">
        <is>
          <t>✅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0" t="n"/>
      <c r="L8" s="10" t="inlineStr">
        <is>
          <t>SAR &amp; Drug Design</t>
        </is>
      </c>
      <c r="M8" s="10" t="inlineStr">
        <is>
          <t>Product</t>
        </is>
      </c>
      <c r="N8" s="10" t="inlineStr">
        <is>
          <t>ข้อ 6 Pharma Plus เล่มม่วง (เฉลยข้อ ก)</t>
        </is>
      </c>
      <c r="O8" s="10" t="inlineStr">
        <is>
          <t>Mock</t>
        </is>
      </c>
      <c r="P8" s="10" t="inlineStr">
        <is>
          <t>Pharma Plus เล่มม่วง</t>
        </is>
      </c>
    </row>
    <row r="9" ht="409.6" customHeight="1" s="37">
      <c r="A9" s="10" t="n">
        <v>11</v>
      </c>
      <c r="B9" s="10" t="inlineStr">
        <is>
          <t>จากโครงสร้างของ vitamin A ข้อใดต่อไปนี้ถูกต้องเกี่ยวกับ SAR</t>
        </is>
      </c>
      <c r="C9" s="10" t="n"/>
      <c r="D9" s="10" t="inlineStr">
        <is>
          <t>Conjugated double bond เพิ่มขึ้น ทำให้ activity ของ vitamin A ลดลง</t>
        </is>
      </c>
      <c r="E9" s="10" t="inlineStr">
        <is>
          <t>Conjugated double bond ลดลง ทำให้ activity ของ vitamin A เพิ่มขึ้น</t>
        </is>
      </c>
      <c r="F9" s="10" t="inlineStr">
        <is>
          <t>ถ้า b-ionone ring saturate จะทำให้ vitamin A หมดฤทธิ์</t>
        </is>
      </c>
      <c r="G9" s="10" t="inlineStr">
        <is>
          <t>ถ้า b-ionone ring saturate จะทำให้ vitamin A ฤทธิ์เพิ่มขึ้น</t>
        </is>
      </c>
      <c r="H9" s="10" t="inlineStr">
        <is>
          <t>ถ้าเปลี่ยนจาก -OH เป็น ether จะทำให้ vitamin A ฤทธิ์เพิ่มขึ้น</t>
        </is>
      </c>
      <c r="I9" s="10" t="n">
        <v>3</v>
      </c>
      <c r="J9" s="10" t="inlineStr">
        <is>
          <t>✅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0" t="n"/>
      <c r="L9" s="10" t="inlineStr">
        <is>
          <t>SAR &amp; Drug Design</t>
        </is>
      </c>
      <c r="M9" s="10" t="inlineStr">
        <is>
          <t>Product</t>
        </is>
      </c>
      <c r="N9" s="10" t="inlineStr">
        <is>
          <t>ข้อ 11 Pharma Plus เล่มม่วง (เฉลยข้อ ค)</t>
        </is>
      </c>
      <c r="O9" s="10" t="inlineStr">
        <is>
          <t>Mock</t>
        </is>
      </c>
      <c r="P9" s="10" t="inlineStr">
        <is>
          <t>Pharma Plus เล่มม่วง</t>
        </is>
      </c>
    </row>
    <row r="10" ht="409.6" customHeight="1" s="37">
      <c r="A10" s="10" t="n">
        <v>12</v>
      </c>
      <c r="B10" s="10" t="inlineStr">
        <is>
          <t>จากข้อ 11 ถ้าเปลี่ยนจากหมู่ OH เป็น COOH จะเป็นสารใดต่อไปนี้</t>
        </is>
      </c>
      <c r="C10" s="10" t="n"/>
      <c r="D10" s="10" t="inlineStr">
        <is>
          <t>Tretinoin</t>
        </is>
      </c>
      <c r="E10" s="10" t="inlineStr">
        <is>
          <t>Isotretinoin</t>
        </is>
      </c>
      <c r="F10" s="10" t="inlineStr">
        <is>
          <t>Adapalene</t>
        </is>
      </c>
      <c r="G10" s="10" t="inlineStr">
        <is>
          <t>Carotenoid</t>
        </is>
      </c>
      <c r="H10" s="10" t="inlineStr">
        <is>
          <t>Retinal</t>
        </is>
      </c>
      <c r="I10" s="10" t="n">
        <v>1</v>
      </c>
      <c r="J10" s="10" t="inlineStr">
        <is>
          <t>✅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0" t="n"/>
      <c r="L10" s="10" t="inlineStr">
        <is>
          <t>SAR &amp; Drug Design</t>
        </is>
      </c>
      <c r="M10" s="10" t="inlineStr">
        <is>
          <t>Product</t>
        </is>
      </c>
      <c r="N10" s="10" t="inlineStr">
        <is>
          <t>ข้อ 12 Pharma Plus เล่มม่วง (เฉลยข้อ ก)</t>
        </is>
      </c>
      <c r="O10" s="10" t="inlineStr">
        <is>
          <t>Mock</t>
        </is>
      </c>
      <c r="P10" s="10" t="inlineStr">
        <is>
          <t>Pharma Plus เล่มม่วง</t>
        </is>
      </c>
    </row>
    <row r="11" ht="409.6" customHeight="1" s="37">
      <c r="A11" s="10" t="n">
        <v>13</v>
      </c>
      <c r="B11" s="10" t="inlineStr">
        <is>
          <t>จากโครงสร้างของยา Gemcitabine เป็นอนุพันธ์ของอะไร</t>
        </is>
      </c>
      <c r="C11" s="10" t="n"/>
      <c r="D11" s="10" t="inlineStr">
        <is>
          <t>Acyclonucleoside analog</t>
        </is>
      </c>
      <c r="E11" s="10" t="inlineStr">
        <is>
          <t>Pyrimidine nucleoside analog</t>
        </is>
      </c>
      <c r="F11" s="10" t="inlineStr">
        <is>
          <t>Pyrimidine nucleotide analog</t>
        </is>
      </c>
      <c r="G11" s="10" t="inlineStr">
        <is>
          <t>Purine nucleotide analog</t>
        </is>
      </c>
      <c r="H11" s="10" t="inlineStr">
        <is>
          <t>Purine nucleoside analog</t>
        </is>
      </c>
      <c r="I11" s="10" t="n">
        <v>2</v>
      </c>
      <c r="J11" s="10" t="inlineStr">
        <is>
          <t>✅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SAR &amp; Drug Design</t>
        </is>
      </c>
      <c r="M11" s="10" t="inlineStr">
        <is>
          <t>Product</t>
        </is>
      </c>
      <c r="N11" s="10" t="inlineStr">
        <is>
          <t>ข้อ 13 Pharma Plus เล่มม่วง (เฉลยข้อ ข)</t>
        </is>
      </c>
      <c r="O11" s="10" t="inlineStr">
        <is>
          <t>Mock</t>
        </is>
      </c>
      <c r="P11" s="10" t="inlineStr">
        <is>
          <t>Pharma Plus เล่มม่วง</t>
        </is>
      </c>
    </row>
    <row r="12" ht="409.6" customHeight="1" s="37">
      <c r="A12" s="10" t="n">
        <v>14</v>
      </c>
      <c r="B12" s="10" t="inlineStr">
        <is>
          <t>จากโครงสร้างของยา A และยา B ข้อใดถูกต้องเกี่ยวกับยา B</t>
        </is>
      </c>
      <c r="C12" s="10" t="n"/>
      <c r="D12" s="10" t="inlineStr">
        <is>
          <t>ฤทธิ์ต้านแบคทีเรียลดลงอย่างมีนัยสำคัญ</t>
        </is>
      </c>
      <c r="E12" s="10" t="inlineStr">
        <is>
          <t>ความสามารถในการละลายน้ำไม่เปลี่ยนแปลง</t>
        </is>
      </c>
      <c r="F12" s="10" t="inlineStr">
        <is>
          <t>ความถี่ในการรับประทานลดลง</t>
        </is>
      </c>
      <c r="G12" s="10" t="inlineStr">
        <is>
          <t>ไม่คงตัวต่อกรดเช่นเดียวกับยา A</t>
        </is>
      </c>
      <c r="H12" s="10" t="inlineStr">
        <is>
          <t>ไม่คงตัวต่อด่างเช่นเดียวกันกับยา A</t>
        </is>
      </c>
      <c r="I12" s="10" t="n">
        <v>3</v>
      </c>
      <c r="J12" s="10" t="inlineStr">
        <is>
          <t>✅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0" t="n"/>
      <c r="L12" s="10" t="inlineStr">
        <is>
          <t>SAR &amp; Drug Design</t>
        </is>
      </c>
      <c r="M12" s="10" t="inlineStr">
        <is>
          <t>Product</t>
        </is>
      </c>
      <c r="N12" s="10" t="inlineStr">
        <is>
          <t>ข้อ 14 Pharma Plus เล่มม่วง (เฉลยข้อ ค)</t>
        </is>
      </c>
      <c r="O12" s="10" t="inlineStr">
        <is>
          <t>Mock</t>
        </is>
      </c>
      <c r="P12" s="10" t="inlineStr">
        <is>
          <t>Pharma Plus เล่มม่วง</t>
        </is>
      </c>
    </row>
    <row r="13" ht="409.6" customHeight="1" s="37">
      <c r="A13" s="10" t="n">
        <v>15</v>
      </c>
      <c r="B13" s="10" t="inlineStr">
        <is>
          <t>จากสูตรโครงสร้างของยา doxorubicin โครงสร้างส่วนใดที่ออกฤทธิ์เป็น intercalating ของ DNA</t>
        </is>
      </c>
      <c r="C13" s="10" t="n"/>
      <c r="D13" s="10" t="inlineStr">
        <is>
          <t>Anthracycline ring</t>
        </is>
      </c>
      <c r="E13" s="10" t="inlineStr">
        <is>
          <t>- NH2 group</t>
        </is>
      </c>
      <c r="F13" s="10" t="inlineStr">
        <is>
          <t>Methoxy</t>
        </is>
      </c>
      <c r="G13" s="10" t="inlineStr">
        <is>
          <t>Hydroxyl</t>
        </is>
      </c>
      <c r="H13" s="10" t="inlineStr">
        <is>
          <t>น้ำตาล glycoside</t>
        </is>
      </c>
      <c r="I13" s="10" t="n">
        <v>1</v>
      </c>
      <c r="J13" s="10" t="inlineStr">
        <is>
          <t>✅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SAR &amp; Drug Design</t>
        </is>
      </c>
      <c r="M13" s="10" t="inlineStr">
        <is>
          <t>Product</t>
        </is>
      </c>
      <c r="N13" s="10" t="inlineStr">
        <is>
          <t>ข้อ 15 Pharma Plus เล่มม่วง (เฉลยข้อ ก)</t>
        </is>
      </c>
      <c r="O13" s="10" t="inlineStr">
        <is>
          <t>Mock</t>
        </is>
      </c>
      <c r="P13" s="10" t="inlineStr">
        <is>
          <t>Pharma Plus เล่มม่วง</t>
        </is>
      </c>
    </row>
    <row r="14" ht="409.6" customHeight="1" s="37">
      <c r="A14" s="10" t="n">
        <v>16</v>
      </c>
      <c r="B14" s="10" t="inlineStr">
        <is>
          <t>โครงสร้างนี้ เรียกว่า อะไร</t>
        </is>
      </c>
      <c r="C14" s="10" t="n"/>
      <c r="D14" s="10" t="inlineStr">
        <is>
          <t>Nucleotide ของ Purine</t>
        </is>
      </c>
      <c r="E14" s="10" t="inlineStr">
        <is>
          <t>Nucleotide ของ Pyridine</t>
        </is>
      </c>
      <c r="F14" s="10" t="inlineStr">
        <is>
          <t>Nucleoside ของ Purine</t>
        </is>
      </c>
      <c r="G14" s="10" t="inlineStr">
        <is>
          <t>Nucleoside ของ Pyridine</t>
        </is>
      </c>
      <c r="H14" s="10" t="inlineStr">
        <is>
          <t>ไม่มีข้อใดถูกต้องการ</t>
        </is>
      </c>
      <c r="I14" s="10" t="n">
        <v>5</v>
      </c>
      <c r="J14" s="10" t="inlineStr">
        <is>
          <t>✅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SAR &amp; Drug Design</t>
        </is>
      </c>
      <c r="M14" s="10" t="inlineStr">
        <is>
          <t>Product</t>
        </is>
      </c>
      <c r="N14" s="10" t="inlineStr">
        <is>
          <t>ข้อ 16 Pharma Plus เล่มม่วง (เฉลยข้อ จ)</t>
        </is>
      </c>
      <c r="O14" s="10" t="inlineStr">
        <is>
          <t>Mock</t>
        </is>
      </c>
      <c r="P14" s="10" t="inlineStr">
        <is>
          <t>Pharma Plus เล่มม่วง</t>
        </is>
      </c>
    </row>
    <row r="15" ht="409.6" customHeight="1" s="37">
      <c r="A15" s="10" t="n">
        <v>17</v>
      </c>
      <c r="B15" s="10" t="inlineStr">
        <is>
          <t>ข้อใดกล่าวถูกต้องเกี่ยวกับการพัฒนาโครงสร้างดังแสดงด้านล่าง</t>
        </is>
      </c>
      <c r="C15" s="10" t="n"/>
      <c r="D15" s="10" t="inlineStr">
        <is>
          <t>เปลี่ยนตัวออกฤทธิ์เป็น Ligand เพื่อช่วยลดอาการไม่พึงประสงค์จากยา</t>
        </is>
      </c>
      <c r="E15" s="10" t="inlineStr">
        <is>
          <t>ทำให้โครงสร้างใหญ่ขึ้นเพื่อลดการโดนทำลายหมู่สำคัญในการออกฤทธิ์</t>
        </is>
      </c>
      <c r="F15" s="10" t="inlineStr">
        <is>
          <t>เพิ่ม Lipophilicity ของยาเพื่อเพิ่มการเข้าสู่เซลล์เป้าหมาย</t>
        </is>
      </c>
      <c r="G15" s="10" t="inlineStr">
        <is>
          <t>ข้อ ก ข ถูก</t>
        </is>
      </c>
      <c r="H15" s="10" t="inlineStr">
        <is>
          <t>ข้อ ก ข ค ถูก</t>
        </is>
      </c>
      <c r="I15" s="10" t="n">
        <v>4</v>
      </c>
      <c r="J15" s="10" t="inlineStr">
        <is>
          <t>✅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SAR &amp; Drug Design</t>
        </is>
      </c>
      <c r="M15" s="10" t="inlineStr">
        <is>
          <t>Product</t>
        </is>
      </c>
      <c r="N15" s="10" t="inlineStr">
        <is>
          <t>ข้อ 17 Pharma Plus เล่มม่วง (เฉลยข้อ ง)</t>
        </is>
      </c>
      <c r="O15" s="10" t="inlineStr">
        <is>
          <t>Mock</t>
        </is>
      </c>
      <c r="P15" s="10" t="inlineStr">
        <is>
          <t>Pharma Plus เล่มม่วง</t>
        </is>
      </c>
    </row>
    <row r="16" ht="409.6" customHeight="1" s="37">
      <c r="A16" s="10" t="n">
        <v>18</v>
      </c>
      <c r="B16" s="10" t="inlineStr">
        <is>
          <t>จากโครงสร้างของยาต่อไปนี้ ยาในข้อใดที่มีคุณสมบัติทนต่อ catechol-O-methyltransferase</t>
        </is>
      </c>
      <c r="C16" s="10" t="n"/>
      <c r="D16" s="10" t="inlineStr">
        <is>
          <t>Prodrug Design via Esterification for Oral Bioavailability</t>
        </is>
      </c>
      <c r="E16" s="10" t="inlineStr">
        <is>
          <t>Cytochrome P450 CYP3A4 Phase I Oxidation</t>
        </is>
      </c>
      <c r="F16" s="10" t="inlineStr">
        <is>
          <t>Phase II Glucuronidation Conjugation by UGT</t>
        </is>
      </c>
      <c r="G16" s="10" t="inlineStr">
        <is>
          <t>Log P Lipophilicity Partition Coefficient optimization</t>
        </is>
      </c>
      <c r="H16" s="10" t="inlineStr">
        <is>
          <t>Chiral Eutomer vs Distomer Pharmacological activity</t>
        </is>
      </c>
      <c r="I16" s="10" t="n">
        <v>1</v>
      </c>
      <c r="J16" s="10"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 t="n"/>
      <c r="L16" s="10" t="inlineStr">
        <is>
          <t>SAR &amp; Drug Design</t>
        </is>
      </c>
      <c r="M16" s="10" t="inlineStr">
        <is>
          <t>Product</t>
        </is>
      </c>
      <c r="N16" s="10" t="inlineStr">
        <is>
          <t>ข้อ 18 Pharma Plus เล่มม่วง (เฉลยข้อ ก)</t>
        </is>
      </c>
      <c r="O16" s="10" t="inlineStr">
        <is>
          <t>Mock</t>
        </is>
      </c>
      <c r="P16" s="10" t="inlineStr">
        <is>
          <t>Pharma Plus เล่มม่วง</t>
        </is>
      </c>
    </row>
    <row r="17" ht="409.6" customHeight="1" s="37">
      <c r="A17" s="10" t="n">
        <v>19</v>
      </c>
      <c r="B17" s="10" t="inlineStr">
        <is>
          <t>จากโครงสร้าง ข้อใดไม่ถูกต้อง</t>
        </is>
      </c>
      <c r="C17" s="10" t="n"/>
      <c r="D17" s="10" t="inlineStr">
        <is>
          <t>(S)-form มีฤทธิ์มากกว่า (R)-form</t>
        </is>
      </c>
      <c r="E17" s="10" t="inlineStr">
        <is>
          <t>อยู่ในกลุ่ม coumarin</t>
        </is>
      </c>
      <c r="F17" s="10" t="inlineStr">
        <is>
          <t>Cyclic hemiketal เป็น active form</t>
        </is>
      </c>
      <c r="G17" s="10" t="inlineStr">
        <is>
          <t>ออกฤทธิ์ direct acting anticoagulants</t>
        </is>
      </c>
      <c r="H17" s="10" t="inlineStr">
        <is>
          <t>ไม่มีข้อใดไม่ถูกต้อง</t>
        </is>
      </c>
      <c r="I17" s="10" t="n">
        <v>4</v>
      </c>
      <c r="J17" s="10" t="inlineStr">
        <is>
          <t>✅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 t="n"/>
      <c r="L17" s="10" t="inlineStr">
        <is>
          <t>SAR &amp; Drug Design</t>
        </is>
      </c>
      <c r="M17" s="10" t="inlineStr">
        <is>
          <t>Product</t>
        </is>
      </c>
      <c r="N17" s="10" t="inlineStr">
        <is>
          <t>ข้อ 19 Pharma Plus เล่มม่วง (เฉลยข้อ ง)</t>
        </is>
      </c>
      <c r="O17" s="10" t="inlineStr">
        <is>
          <t>Mock</t>
        </is>
      </c>
      <c r="P17" s="10" t="inlineStr">
        <is>
          <t>Pharma Plus เล่มม่วง</t>
        </is>
      </c>
    </row>
    <row r="18" ht="409.6" customHeight="1" s="37">
      <c r="A18" s="10" t="n">
        <v>20</v>
      </c>
      <c r="B18" s="10" t="inlineStr">
        <is>
          <t>จากโครงสร้าง ข้อความใดต่อไปนี้ไม่ถูกต้อง</t>
        </is>
      </c>
      <c r="C18" s="10" t="n"/>
      <c r="D18" s="10" t="inlineStr">
        <is>
          <t>ตัวอย่างยาในกลุ่มนี้ คือ Digoxin</t>
        </is>
      </c>
      <c r="E18" s="10" t="inlineStr">
        <is>
          <t>Lactone ring เป็นประเภท bufadienolide</t>
        </is>
      </c>
      <c r="F18" s="10" t="inlineStr">
        <is>
          <t>ออกฤทธิ์ยับยั้ง Na-K ATPase</t>
        </is>
      </c>
      <c r="G18" s="10" t="inlineStr">
        <is>
          <t>น้ำตาลจะเข้ามาเกาะที่ตำแหน่ง C3</t>
        </is>
      </c>
      <c r="H18" s="10" t="inlineStr">
        <is>
          <t>ไม่มีข้อใดถูก</t>
        </is>
      </c>
      <c r="I18" s="10" t="n">
        <v>2</v>
      </c>
      <c r="J18" s="10" t="inlineStr">
        <is>
          <t>✅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SAR &amp; Drug Design</t>
        </is>
      </c>
      <c r="M18" s="10" t="inlineStr">
        <is>
          <t>Product</t>
        </is>
      </c>
      <c r="N18" s="10" t="inlineStr">
        <is>
          <t>ข้อ 20 Pharma Plus เล่มม่วง (เฉลยข้อ ข)</t>
        </is>
      </c>
      <c r="O18" s="10" t="inlineStr">
        <is>
          <t>Mock</t>
        </is>
      </c>
      <c r="P18" s="10" t="inlineStr">
        <is>
          <t>Pharma Plus เล่มม่วง</t>
        </is>
      </c>
    </row>
    <row r="19" ht="409.6" customHeight="1" s="37">
      <c r="A19" s="10" t="n">
        <v>21</v>
      </c>
      <c r="B19" s="10" t="inlineStr">
        <is>
          <t>โครงสร้างใดต่อไปนี้เป็น Ester of Amino Alcohol</t>
        </is>
      </c>
      <c r="C19" s="10" t="n"/>
      <c r="D19" s="10" t="inlineStr">
        <is>
          <t>Cytochrome P450 CYP3A4 Phase I Oxidation</t>
        </is>
      </c>
      <c r="E19" s="10" t="inlineStr">
        <is>
          <t>Phase II Glucuronidation Conjugation by UGT</t>
        </is>
      </c>
      <c r="F19" s="10" t="inlineStr">
        <is>
          <t>Log P Lipophilicity Partition Coefficient optimization</t>
        </is>
      </c>
      <c r="G19" s="10" t="inlineStr">
        <is>
          <t>Chiral Eutomer vs Distomer Pharmacological activity</t>
        </is>
      </c>
      <c r="H19" s="10" t="inlineStr">
        <is>
          <t>Covalent Irreversible Enzyme Inhibition</t>
        </is>
      </c>
      <c r="I19" s="10" t="n">
        <v>5</v>
      </c>
      <c r="J19" s="10" t="inlineStr">
        <is>
          <t>✅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 t="n"/>
      <c r="L19" s="10" t="inlineStr">
        <is>
          <t>SAR &amp; Drug Design</t>
        </is>
      </c>
      <c r="M19" s="10" t="inlineStr">
        <is>
          <t>Product</t>
        </is>
      </c>
      <c r="N19" s="10" t="inlineStr">
        <is>
          <t>ข้อ 21 Pharma Plus เล่มม่วง (เฉลยข้อ จ)</t>
        </is>
      </c>
      <c r="O19" s="10" t="inlineStr">
        <is>
          <t>Mock</t>
        </is>
      </c>
      <c r="P19" s="10" t="inlineStr">
        <is>
          <t>Pharma Plus เล่มม่วง</t>
        </is>
      </c>
    </row>
    <row r="20" ht="409.6" customHeight="1" s="37">
      <c r="A20" s="10" t="n">
        <v>22</v>
      </c>
      <c r="B20" s="10" t="inlineStr">
        <is>
          <t>N3 หรือ Azido group จากสูตรโครงสร้างของ AZT มีผลให้เกิดสิ่งใด</t>
        </is>
      </c>
      <c r="C20" s="10" t="n"/>
      <c r="D20" s="10" t="inlineStr">
        <is>
          <t>เพิ่มความสามารถในการจับกับโปรตีน albumin</t>
        </is>
      </c>
      <c r="E20" s="10" t="inlineStr">
        <is>
          <t>ช่วยเพิ่มการดูดซึมของยา</t>
        </is>
      </c>
      <c r="F20" s="10" t="inlineStr">
        <is>
          <t>เพิ่มค่าครึ่งชีวิตให้ยาวขึ้น</t>
        </is>
      </c>
      <c r="G20" s="10" t="inlineStr">
        <is>
          <t>เพิ่มการออกฤทธิ์</t>
        </is>
      </c>
      <c r="H20" s="10" t="inlineStr">
        <is>
          <t>มีผลต่อการตั้งสูตรตำรับ</t>
        </is>
      </c>
      <c r="I20" s="10" t="n">
        <v>4</v>
      </c>
      <c r="J20" s="10" t="inlineStr">
        <is>
          <t>✅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SAR &amp; Drug Design</t>
        </is>
      </c>
      <c r="M20" s="10" t="inlineStr">
        <is>
          <t>Product</t>
        </is>
      </c>
      <c r="N20" s="10" t="inlineStr">
        <is>
          <t>ข้อ 22 Pharma Plus เล่มม่วง (เฉลยข้อ ง)</t>
        </is>
      </c>
      <c r="O20" s="10" t="inlineStr">
        <is>
          <t>Mock</t>
        </is>
      </c>
      <c r="P20" s="10" t="inlineStr">
        <is>
          <t>Pharma Plus เล่มม่วง</t>
        </is>
      </c>
    </row>
    <row r="21" ht="409.6" customHeight="1" s="37">
      <c r="A21" s="10" t="n">
        <v>23</v>
      </c>
      <c r="B21" s="10" t="inlineStr">
        <is>
          <t>โครงสร้างต่อไปนี้หมายถึงยาชนิดใด</t>
        </is>
      </c>
      <c r="C21" s="10" t="n"/>
      <c r="D21" s="10" t="inlineStr">
        <is>
          <t>Zidovudine</t>
        </is>
      </c>
      <c r="E21" s="10" t="inlineStr">
        <is>
          <t>Cotrimoxazole</t>
        </is>
      </c>
      <c r="F21" s="10" t="inlineStr">
        <is>
          <t>Ceftriaxone</t>
        </is>
      </c>
      <c r="G21" s="10" t="inlineStr">
        <is>
          <t>Acyclovir</t>
        </is>
      </c>
      <c r="H21" s="10" t="inlineStr">
        <is>
          <t>Ciprofloxacin</t>
        </is>
      </c>
      <c r="I21" s="10" t="n">
        <v>4</v>
      </c>
      <c r="J21" s="10" t="inlineStr">
        <is>
          <t>✅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 t="n"/>
      <c r="L21" s="10" t="inlineStr">
        <is>
          <t>SAR &amp; Drug Design</t>
        </is>
      </c>
      <c r="M21" s="10" t="inlineStr">
        <is>
          <t>Product</t>
        </is>
      </c>
      <c r="N21" s="10" t="inlineStr">
        <is>
          <t>ข้อ 23 Pharma Plus เล่มม่วง (เฉลยข้อ ง)</t>
        </is>
      </c>
      <c r="O21" s="10" t="inlineStr">
        <is>
          <t>Mock</t>
        </is>
      </c>
      <c r="P21" s="10" t="inlineStr">
        <is>
          <t>Pharma Plus เล่มม่วง</t>
        </is>
      </c>
    </row>
    <row r="22" ht="409.6" customHeight="1" s="37">
      <c r="A22" s="10" t="n">
        <v>24</v>
      </c>
      <c r="B22" s="10" t="inlineStr">
        <is>
          <t>ยาปฏิชีวนะข้อใดที่ไม่มีโครงสร้าง B-lactam ring</t>
        </is>
      </c>
      <c r="C22" s="10" t="n"/>
      <c r="D22" s="10" t="inlineStr">
        <is>
          <t>Ciprofloxacin</t>
        </is>
      </c>
      <c r="E22" s="10" t="inlineStr">
        <is>
          <t>Amoxycillin</t>
        </is>
      </c>
      <c r="F22" s="10" t="inlineStr">
        <is>
          <t>Imipenam</t>
        </is>
      </c>
      <c r="G22" s="10" t="inlineStr">
        <is>
          <t>Cloxacillin</t>
        </is>
      </c>
      <c r="H22" s="10" t="inlineStr">
        <is>
          <t>Cefazolin</t>
        </is>
      </c>
      <c r="I22" s="10" t="n">
        <v>1</v>
      </c>
      <c r="J22" s="10" t="inlineStr">
        <is>
          <t>✅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0" t="n"/>
      <c r="L22" s="10" t="inlineStr">
        <is>
          <t>SAR &amp; Drug Design</t>
        </is>
      </c>
      <c r="M22" s="10" t="inlineStr">
        <is>
          <t>Product</t>
        </is>
      </c>
      <c r="N22" s="10" t="inlineStr">
        <is>
          <t>ข้อ 24 Pharma Plus เล่มม่วง (เฉลยข้อ ก)</t>
        </is>
      </c>
      <c r="O22" s="10" t="inlineStr">
        <is>
          <t>Mock</t>
        </is>
      </c>
      <c r="P22" s="10" t="inlineStr">
        <is>
          <t>Pharma Plus เล่มม่วง</t>
        </is>
      </c>
    </row>
    <row r="23" ht="409.6" customHeight="1" s="37">
      <c r="A23" s="10" t="n">
        <v>25</v>
      </c>
      <c r="B23" s="10" t="inlineStr">
        <is>
          <t>จากสูตรโครงสร้างของยา amoxacillin นี้ตำแหน่งไหนที่ถูกทำลายได้ง่ายและมีผลต่อการดื้อยา</t>
        </is>
      </c>
      <c r="C23" s="10" t="n"/>
      <c r="D23" s="10" t="inlineStr">
        <is>
          <t>Covalent Irreversible Enzyme Inhibition</t>
        </is>
      </c>
      <c r="E23" s="10" t="inlineStr">
        <is>
          <t>Structure-Activity Relationship (SAR) Optimization</t>
        </is>
      </c>
      <c r="F23" s="10" t="inlineStr">
        <is>
          <t>Bioisosteric Replacement (Carboxylic acid → Tetrazole)</t>
        </is>
      </c>
      <c r="G23" s="10" t="inlineStr">
        <is>
          <t>Prodrug Design via Esterification for Oral Bioavailability</t>
        </is>
      </c>
      <c r="H23" s="10" t="inlineStr">
        <is>
          <t>Cytochrome P450 CYP3A4 Phase I Oxidation</t>
        </is>
      </c>
      <c r="I23" s="10" t="n">
        <v>3</v>
      </c>
      <c r="J23" s="10" t="inlineStr">
        <is>
          <t>✅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SAR &amp; Drug Design</t>
        </is>
      </c>
      <c r="M23" s="10" t="inlineStr">
        <is>
          <t>Product</t>
        </is>
      </c>
      <c r="N23" s="10" t="inlineStr">
        <is>
          <t>ข้อ 25 Pharma Plus เล่มม่วง (เฉลยข้อ ค)</t>
        </is>
      </c>
      <c r="O23" s="10" t="inlineStr">
        <is>
          <t>Mock</t>
        </is>
      </c>
      <c r="P23" s="10" t="inlineStr">
        <is>
          <t>Pharma Plus เล่มม่วง</t>
        </is>
      </c>
    </row>
    <row r="24" ht="409.6" customHeight="1" s="37">
      <c r="A24" s="10" t="n">
        <v>26</v>
      </c>
      <c r="B24" s="10" t="inlineStr">
        <is>
          <t>ข้อใดผิดเกี่ยวกับ penicillin</t>
        </is>
      </c>
      <c r="C24" s="10" t="n"/>
      <c r="D24" s="10" t="inlineStr">
        <is>
          <t>Pen G มี chain เป็น Benzoyl group</t>
        </is>
      </c>
      <c r="E24" s="10" t="inlineStr">
        <is>
          <t>Pen G potassium ละลายได้ดีกว่า Pen G</t>
        </is>
      </c>
      <c r="F24" s="10" t="inlineStr">
        <is>
          <t>Benzathine Pen G เป็นเกลือของ Pen G</t>
        </is>
      </c>
      <c r="G24" s="10" t="inlineStr">
        <is>
          <t>B-lactamase ถูก Hydrolyze ด้วยกรด</t>
        </is>
      </c>
      <c r="H24" s="10" t="inlineStr">
        <is>
          <t>Procaine penicillin G ถูกดูดได้ดีในทางเดินอาหาร</t>
        </is>
      </c>
      <c r="I24" s="10" t="n">
        <v>5</v>
      </c>
      <c r="J24" s="10" t="inlineStr">
        <is>
          <t>✅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 t="n"/>
      <c r="L24" s="10" t="inlineStr">
        <is>
          <t>SAR &amp; Drug Design</t>
        </is>
      </c>
      <c r="M24" s="10" t="inlineStr">
        <is>
          <t>Product</t>
        </is>
      </c>
      <c r="N24" s="10" t="inlineStr">
        <is>
          <t>ข้อ 26 Pharma Plus เล่มม่วง (เฉลยข้อ จ)</t>
        </is>
      </c>
      <c r="O24" s="10" t="inlineStr">
        <is>
          <t>Mock</t>
        </is>
      </c>
      <c r="P24" s="10" t="inlineStr">
        <is>
          <t>Pharma Plus เล่มม่วง</t>
        </is>
      </c>
    </row>
    <row r="25" ht="409.6" customHeight="1" s="37">
      <c r="A25" s="10" t="n">
        <v>27</v>
      </c>
      <c r="B25" s="10" t="inlineStr">
        <is>
          <t>Doxycycline มีสูตรโครงสร้างรูป เป็นยากลุ่มเดียวกันกับยาใด</t>
        </is>
      </c>
      <c r="C25" s="10" t="n"/>
      <c r="D25" s="10" t="inlineStr">
        <is>
          <t>Tetracycline</t>
        </is>
      </c>
      <c r="E25" s="10" t="inlineStr">
        <is>
          <t>Penicillin</t>
        </is>
      </c>
      <c r="F25" s="10" t="inlineStr">
        <is>
          <t>Cotrimazole</t>
        </is>
      </c>
      <c r="G25" s="10" t="inlineStr">
        <is>
          <t>Sulfamethoxazole</t>
        </is>
      </c>
      <c r="H25" s="10" t="inlineStr">
        <is>
          <t>Amoxicillin</t>
        </is>
      </c>
      <c r="I25" s="10" t="n">
        <v>1</v>
      </c>
      <c r="J25" s="10" t="inlineStr">
        <is>
          <t>✅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SAR &amp; Drug Design</t>
        </is>
      </c>
      <c r="M25" s="10" t="inlineStr">
        <is>
          <t>Product</t>
        </is>
      </c>
      <c r="N25" s="10" t="inlineStr">
        <is>
          <t>ข้อ 27 Pharma Plus เล่มม่วง (เฉลยข้อ ก)</t>
        </is>
      </c>
      <c r="O25" s="10" t="inlineStr">
        <is>
          <t>Mock</t>
        </is>
      </c>
      <c r="P25" s="10" t="inlineStr">
        <is>
          <t>Pharma Plus เล่มม่วง</t>
        </is>
      </c>
    </row>
    <row r="26" ht="409.6" customHeight="1" s="37">
      <c r="A26" s="10" t="n">
        <v>28</v>
      </c>
      <c r="B26" s="10" t="inlineStr">
        <is>
          <t>เกี่ยวกับโครงสร้างของสารดังรูป ทุกข้อต่อไปนี้ถูกต้อง ยกเว้นข้อใด</t>
        </is>
      </c>
      <c r="C26" s="10" t="n"/>
      <c r="D26" s="10" t="inlineStr">
        <is>
          <t>เป็นสารในกลุ่ม 8-aminoquinoline</t>
        </is>
      </c>
      <c r="E26" s="10" t="inlineStr">
        <is>
          <t>ตัวอย่างยาในกลุ่มนี้ได้แก่ primaquine</t>
        </is>
      </c>
      <c r="F26" s="10" t="inlineStr">
        <is>
          <t>ถ้ามี Cl ที่ตำแหน่ง 7 จะทำให้ได้ฤทธิ์สูงสุด และมีพิษน้อย</t>
        </is>
      </c>
      <c r="G26" s="10" t="inlineStr">
        <is>
          <t>Dialkylamino alkylamine side chain จะให้ฤทธิ์สูงสุดเมื่อ n = 2, 5 หรือ 6</t>
        </is>
      </c>
      <c r="H26" s="10" t="inlineStr">
        <is>
          <t>Quinoline ring system และอนุพันธ์ให้ผลที่ดีกว่า acridine ring system</t>
        </is>
      </c>
      <c r="I26" s="10" t="n">
        <v>4</v>
      </c>
      <c r="J26" s="10" t="inlineStr">
        <is>
          <t>✅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SAR &amp; Drug Design</t>
        </is>
      </c>
      <c r="M26" s="10" t="inlineStr">
        <is>
          <t>Product</t>
        </is>
      </c>
      <c r="N26" s="10" t="inlineStr">
        <is>
          <t>ข้อ 28 Pharma Plus เล่มม่วง (เฉลยข้อ ง)</t>
        </is>
      </c>
      <c r="O26" s="10" t="inlineStr">
        <is>
          <t>Mock</t>
        </is>
      </c>
      <c r="P26" s="10" t="inlineStr">
        <is>
          <t>Pharma Plus เล่มม่วง</t>
        </is>
      </c>
    </row>
    <row r="27" ht="409.6" customHeight="1" s="37">
      <c r="A27" s="10" t="n">
        <v>29</v>
      </c>
      <c r="B27" s="10" t="inlineStr">
        <is>
          <t>จากสูตรโครงสร้างของ folic acid ข้อใดกล่าวไม่ถูกต้อง</t>
        </is>
      </c>
      <c r="C27" s="10" t="n"/>
      <c r="D27" s="10" t="inlineStr">
        <is>
          <t>เป็น water soluble vitamin</t>
        </is>
      </c>
      <c r="E27" s="10" t="inlineStr">
        <is>
          <t>เรียกอีกอย่างหนึ่งว่า vitamin B9</t>
        </is>
      </c>
      <c r="F27" s="10" t="inlineStr">
        <is>
          <t>เกี่ยวข้องกับการสร้าง DNA และ RNA</t>
        </is>
      </c>
      <c r="G27" s="10" t="inlineStr">
        <is>
          <t>มนุษย์สามารถสังเคราะห์ folic acid ได้</t>
        </is>
      </c>
      <c r="H27" s="10" t="inlineStr">
        <is>
          <t>ใน IR chromatogram จะเห็น peak ที่ชัดเจน ที่ค่าความถี่ประมาณ 1,700 cm⁻¹</t>
        </is>
      </c>
      <c r="I27" s="10" t="n">
        <v>4</v>
      </c>
      <c r="J27" s="10" t="inlineStr">
        <is>
          <t>✅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0" t="n"/>
      <c r="L27" s="10" t="inlineStr">
        <is>
          <t>SAR &amp; Drug Design</t>
        </is>
      </c>
      <c r="M27" s="10" t="inlineStr">
        <is>
          <t>Product</t>
        </is>
      </c>
      <c r="N27" s="10" t="inlineStr">
        <is>
          <t>ข้อ 29 Pharma Plus เล่มม่วง (เฉลยข้อ ง)</t>
        </is>
      </c>
      <c r="O27" s="10" t="inlineStr">
        <is>
          <t>Mock</t>
        </is>
      </c>
      <c r="P27" s="10" t="inlineStr">
        <is>
          <t>Pharma Plus เล่มม่วง</t>
        </is>
      </c>
    </row>
    <row r="28" ht="409.6" customHeight="1" s="37">
      <c r="A28" s="10" t="n">
        <v>30</v>
      </c>
      <c r="B28" s="10" t="inlineStr">
        <is>
          <t>จากโครงสร้าง ไม่สามารถใช้ในผู้ป่วยกลุ่มใด</t>
        </is>
      </c>
      <c r="C28" s="10" t="n"/>
      <c r="D28" s="10" t="inlineStr">
        <is>
          <t>Pediatric</t>
        </is>
      </c>
      <c r="E28" s="10" t="inlineStr">
        <is>
          <t>Cirrhosis/Hepatitis</t>
        </is>
      </c>
      <c r="F28" s="10" t="inlineStr">
        <is>
          <t>Pregnancy</t>
        </is>
      </c>
      <c r="G28" s="10" t="inlineStr">
        <is>
          <t>Renal failure</t>
        </is>
      </c>
      <c r="H28" s="10" t="inlineStr">
        <is>
          <t>Sulfa allergy</t>
        </is>
      </c>
      <c r="I28" s="10" t="n">
        <v>5</v>
      </c>
      <c r="J28" s="10" t="inlineStr">
        <is>
          <t>✅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0" t="n"/>
      <c r="L28" s="10" t="inlineStr">
        <is>
          <t>SAR &amp; Drug Design</t>
        </is>
      </c>
      <c r="M28" s="10" t="inlineStr">
        <is>
          <t>Product</t>
        </is>
      </c>
      <c r="N28" s="10" t="inlineStr">
        <is>
          <t>ข้อ 30 Pharma Plus เล่มม่วง (เฉลยข้อ จ)</t>
        </is>
      </c>
      <c r="O28" s="10" t="inlineStr">
        <is>
          <t>Mock</t>
        </is>
      </c>
      <c r="P28" s="10" t="inlineStr">
        <is>
          <t>Pharma Plus เล่มม่วง</t>
        </is>
      </c>
    </row>
    <row r="29" ht="409.6" customHeight="1" s="37">
      <c r="A29" s="10" t="n">
        <v>31</v>
      </c>
      <c r="B29" s="10" t="inlineStr">
        <is>
          <t>จากโครงสร้างของยา glybenclamide ข้อใดเป็นเหตุผลที่ทำให้ duration นานขึ้น</t>
        </is>
      </c>
      <c r="C29" s="10" t="n"/>
      <c r="D29" s="10" t="inlineStr">
        <is>
          <t>สามารถหมุนแสง polarized ได้</t>
        </is>
      </c>
      <c r="E29" s="10" t="inlineStr">
        <is>
          <t>สามารถวิเคราะห์ได้โดยใช้วิธี HPLC-UV detection</t>
        </is>
      </c>
      <c r="F29" s="10" t="inlineStr">
        <is>
          <t>หมู่ซัลโฟไททำให้โครงสร้างมีความเป็นกรด</t>
        </is>
      </c>
      <c r="G29" s="10" t="inlineStr">
        <is>
          <t>หมู่ยูเรียทำให้โครงสร้างมีความเป็นเบส</t>
        </is>
      </c>
      <c r="H29" s="10" t="inlineStr">
        <is>
          <t>วงแหวนอะโรมาติกปลาย ซึ่งมีหมู่คลอโรในเมตาบอไลต์โดยกระบวนการออกซิเดชันได้</t>
        </is>
      </c>
      <c r="I29" s="10" t="n">
        <v>5</v>
      </c>
      <c r="J29" s="10" t="inlineStr">
        <is>
          <t>✅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0" t="n"/>
      <c r="L29" s="10" t="inlineStr">
        <is>
          <t>SAR &amp; Drug Design</t>
        </is>
      </c>
      <c r="M29" s="10" t="inlineStr">
        <is>
          <t>Product</t>
        </is>
      </c>
      <c r="N29" s="10" t="inlineStr">
        <is>
          <t>ข้อ 31 Pharma Plus เล่มม่วง (เฉลยข้อ จ)</t>
        </is>
      </c>
      <c r="O29" s="10" t="inlineStr">
        <is>
          <t>Mock</t>
        </is>
      </c>
      <c r="P29" s="10" t="inlineStr">
        <is>
          <t>Pharma Plus เล่มม่วง</t>
        </is>
      </c>
    </row>
    <row r="30" ht="409.6" customHeight="1" s="37">
      <c r="A30" s="10" t="n">
        <v>32</v>
      </c>
      <c r="B30" s="10" t="inlineStr">
        <is>
          <t>จากสูตรโครงสร้างต่อไปนี้ของยา glipizide จัดว่าเป็นยากลุ่มใด</t>
        </is>
      </c>
      <c r="C30" s="10" t="n"/>
      <c r="D30" s="10" t="inlineStr">
        <is>
          <t>Biguanides</t>
        </is>
      </c>
      <c r="E30" s="10" t="inlineStr">
        <is>
          <t>Nicotinic acids</t>
        </is>
      </c>
      <c r="F30" s="10" t="inlineStr">
        <is>
          <t>Sulfonylurea compounds</t>
        </is>
      </c>
      <c r="G30" s="10" t="inlineStr">
        <is>
          <t>Nucleoside analogue</t>
        </is>
      </c>
      <c r="H30" s="10" t="inlineStr">
        <is>
          <t>Sulfones</t>
        </is>
      </c>
      <c r="I30" s="10" t="n">
        <v>3</v>
      </c>
      <c r="J30" s="10" t="inlineStr">
        <is>
          <t>✅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 t="n"/>
      <c r="L30" s="10" t="inlineStr">
        <is>
          <t>SAR &amp; Drug Design</t>
        </is>
      </c>
      <c r="M30" s="10" t="inlineStr">
        <is>
          <t>Product</t>
        </is>
      </c>
      <c r="N30" s="10" t="inlineStr">
        <is>
          <t>ข้อ 32 Pharma Plus เล่มม่วง (เฉลยข้อ ค)</t>
        </is>
      </c>
      <c r="O30" s="10" t="inlineStr">
        <is>
          <t>Mock</t>
        </is>
      </c>
      <c r="P30" s="10" t="inlineStr">
        <is>
          <t>Pharma Plus เล่มม่วง</t>
        </is>
      </c>
    </row>
    <row r="31" ht="409.6" customHeight="1" s="37">
      <c r="A31" s="10" t="n">
        <v>33</v>
      </c>
      <c r="B31" s="10" t="inlineStr">
        <is>
          <t>โครงสร้างต่อไปนี้เป็นโครงสร้างของยากลุ่มใด</t>
        </is>
      </c>
      <c r="C31" s="10" t="n"/>
      <c r="D31" s="10" t="inlineStr">
        <is>
          <t>Iodoperoxidase inhibitor</t>
        </is>
      </c>
      <c r="E31" s="10" t="inlineStr">
        <is>
          <t>Sulfonylurea</t>
        </is>
      </c>
      <c r="F31" s="10" t="inlineStr">
        <is>
          <t>Thyroid hormone</t>
        </is>
      </c>
      <c r="G31" s="10" t="inlineStr">
        <is>
          <t>Biguanide</t>
        </is>
      </c>
      <c r="H31" s="10" t="inlineStr">
        <is>
          <t>Insulin analog</t>
        </is>
      </c>
      <c r="I31" s="10" t="n">
        <v>4</v>
      </c>
      <c r="J31" s="10" t="inlineStr">
        <is>
          <t>✅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 t="n"/>
      <c r="L31" s="10" t="inlineStr">
        <is>
          <t>SAR &amp; Drug Design</t>
        </is>
      </c>
      <c r="M31" s="10" t="inlineStr">
        <is>
          <t>Product</t>
        </is>
      </c>
      <c r="N31" s="10" t="inlineStr">
        <is>
          <t>ข้อ 33 Pharma Plus เล่มม่วง (เฉลยข้อ ง)</t>
        </is>
      </c>
      <c r="O31" s="10" t="inlineStr">
        <is>
          <t>Mock</t>
        </is>
      </c>
      <c r="P31" s="10" t="inlineStr">
        <is>
          <t>Pharma Plus เล่มม่วง</t>
        </is>
      </c>
    </row>
    <row r="32" ht="409.6" customHeight="1" s="37">
      <c r="A32" s="10" t="n">
        <v>34</v>
      </c>
      <c r="B32" s="10" t="inlineStr">
        <is>
          <t>ชื่อเรียกทั่วไปของยาที่มีโครงสร้างในรูป คือ (ยา PTU)</t>
        </is>
      </c>
      <c r="C32" s="10" t="n"/>
      <c r="D32" s="10" t="inlineStr">
        <is>
          <t>6 propyl 3 thiouracil</t>
        </is>
      </c>
      <c r="E32" s="10" t="inlineStr">
        <is>
          <t>1 propyl 5 thiouracil</t>
        </is>
      </c>
      <c r="F32" s="10" t="inlineStr">
        <is>
          <t>2 propyl 6 thiouracil</t>
        </is>
      </c>
      <c r="G32" s="10" t="inlineStr">
        <is>
          <t>2 propyl 5 thiouracil</t>
        </is>
      </c>
      <c r="H32" s="10" t="inlineStr">
        <is>
          <t>6 propyl 2 thiouracil</t>
        </is>
      </c>
      <c r="I32" s="10" t="n">
        <v>5</v>
      </c>
      <c r="J32" s="10" t="inlineStr">
        <is>
          <t>✅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0" t="n"/>
      <c r="L32" s="10" t="inlineStr">
        <is>
          <t>SAR &amp; Drug Design</t>
        </is>
      </c>
      <c r="M32" s="10" t="inlineStr">
        <is>
          <t>Product</t>
        </is>
      </c>
      <c r="N32" s="10" t="inlineStr">
        <is>
          <t>ข้อ 34 Pharma Plus เล่มม่วง (เฉลยข้อ จ)</t>
        </is>
      </c>
      <c r="O32" s="10" t="inlineStr">
        <is>
          <t>Mock</t>
        </is>
      </c>
      <c r="P32" s="10" t="inlineStr">
        <is>
          <t>Pharma Plus เล่มม่วง</t>
        </is>
      </c>
    </row>
    <row r="33" ht="409.6" customHeight="1" s="37">
      <c r="A33" s="10" t="n">
        <v>35</v>
      </c>
      <c r="B33" s="10" t="inlineStr">
        <is>
          <t>จากโครงสร้างของยา 3 ชนิด (methimazole, carbimazole และ propylthiouracil)
ข้อใดถูกต้องเกี่ยวกับยา methimazole, carbimazole และ propylthiouracil</t>
        </is>
      </c>
      <c r="C33" s="10" t="n"/>
      <c r="D33" s="10" t="inlineStr">
        <is>
          <t>Methimazole, carbimazole และ propylthiouracil ถูก metabolized โดยปฏิกิริยา desulfunation ก่อนจึงจะได้สารที่มีฤทธิ์ทางเภสัชวิทยา</t>
        </is>
      </c>
      <c r="E33" s="10" t="inlineStr">
        <is>
          <t>Propylthiouracil จะถูก metabolized โดยปฏิกิริยา dealkylation ซึ่งจะตัด Propyl group ออกก่อนจึงจะได้สารที่มีฤทธิ์ทางเภสัชวิทยา</t>
        </is>
      </c>
      <c r="F33" s="10" t="inlineStr">
        <is>
          <t>Methimazole จะถูก metabolized โดยปฏิกิริยา conjugation ได้เป็น carbimazole จึงจะได้สารที่มีฤทธิ์ทางเภสัชวิทยาที่ต้องการ</t>
        </is>
      </c>
      <c r="G33" s="10" t="inlineStr">
        <is>
          <t>ต้องเกิดปฏิกิริยา amide hydrolysis กับโครงสร้าง carbimazole จึงจะได้สารที่มีฤทธิ์ทางเภสัชวิทยาที่ต้องการ</t>
        </is>
      </c>
      <c r="H33" s="10" t="inlineStr">
        <is>
          <t>ต้องเกิดปฏิกิริยา ester hydrolysis กับโครงสร้าง carbimazole จึงจะได้สารที่มีฤทธิ์ทางเภสัชวิทยาที่ต้องการ</t>
        </is>
      </c>
      <c r="I33" s="10" t="n">
        <v>4</v>
      </c>
      <c r="J33" s="10" t="inlineStr">
        <is>
          <t>✅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 t="n"/>
      <c r="L33" s="10" t="inlineStr">
        <is>
          <t>SAR &amp; Drug Design</t>
        </is>
      </c>
      <c r="M33" s="10" t="inlineStr">
        <is>
          <t>Product</t>
        </is>
      </c>
      <c r="N33" s="10" t="inlineStr">
        <is>
          <t>ข้อ 35 Pharma Plus เล่มม่วง (เฉลยข้อ ง)</t>
        </is>
      </c>
      <c r="O33" s="10" t="inlineStr">
        <is>
          <t>Mock</t>
        </is>
      </c>
      <c r="P33" s="10" t="inlineStr">
        <is>
          <t>Pharma Plus เล่มม่วง</t>
        </is>
      </c>
    </row>
    <row r="34" ht="13.2" customHeight="1" s="37">
      <c r="A34" s="8" t="inlineStr">
        <is>
          <t>33</t>
        </is>
      </c>
      <c r="B34" s="2" t="inlineStr">
        <is>
          <t>ลักษณะสำคัญของ monoclonal antibody ที่ทำให้ต้องใช้ dosage form เป็น injectable เท่านั้น</t>
        </is>
      </c>
      <c r="C34" s="2" t="n"/>
      <c r="D34" s="2" t="inlineStr">
        <is>
          <t>ขนาดโมเลกุลเล็กดูดซึมผ่าน GI tract ได้ดี</t>
        </is>
      </c>
      <c r="E34" s="2" t="inlineStr">
        <is>
          <t>ไวต่อเอนไซม์ protease ถูกทำลายเมื่อให้โดยรับประทาน</t>
        </is>
      </c>
      <c r="F34" s="2" t="inlineStr">
        <is>
          <t>คงตัวสูงในpHที่เป็นกรด</t>
        </is>
      </c>
      <c r="G34" s="2" t="inlineStr">
        <is>
          <t>ผ่าน first-pass metabolism ได้ดี</t>
        </is>
      </c>
      <c r="H34" s="2" t="inlineStr">
        <is>
          <t>Log P สูง ดูดซึมได้รวดเร็ว"</t>
        </is>
      </c>
      <c r="I34" s="8" t="inlineStr">
        <is>
          <t>1</t>
        </is>
      </c>
      <c r="J34" s="2" t="inlineStr">
        <is>
          <t>✅ คำตอบที่ถูกต้อง: ข้อ ก. ขนาดโมเลกุลเล็กดูดซึมผ่าน GI tract ได้ดี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ขนาดโมเลกุลเล็กดูดซึมผ่าน GI tract ได้ดี การเลือก ขนาดโมเลกุลเล็กดูดซึมผ่าน GI tract ได้ดี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ข้อนี้ไม่ใช่คำตอบที่ถูกต้องสำหรับภาวะ SAR &amp; Drug Design เนื่องจากกลไกการออกฤทธิ์, efficacy หรือข้อบ่งใช้ไม่ตรงกับโจทย์ที่กำหนด
• ข้อ ค. (ไวต่อเอนไซม์ protease ถูกทำลายเมื่อให้โดยรับประทาน): ข้อนี้ไม่ใช่คำตอบที่ถูกต้องสำหรับภาวะ SAR &amp; Drug Design เนื่องจากกลไกการออกฤทธิ์, efficacy หรือข้อบ่งใช้ไม่ตรงกับโจทย์ที่กำหนด
• ข้อ ง. (คงตัวสูงในpHที่เป็นกรด): ข้อนี้ไม่ใช่คำตอบที่ถูกต้องสำหรับภาวะ SAR &amp; Drug Design เนื่องจากกลไกการออกฤทธิ์, efficacy หรือข้อบ่งใช้ไม่ตรงกับโจทย์ที่กำหนด
• ข้อ จ. (ผ่าน first-pass metabolism ได้ดี):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SAR &amp; Drug Design</t>
        </is>
      </c>
      <c r="M34" s="2" t="inlineStr">
        <is>
          <t>Medicinal Chemistry</t>
        </is>
      </c>
      <c r="N34" s="2" t="inlineStr">
        <is>
          <t>Mock PLE-CC 1 ข้อ 71</t>
        </is>
      </c>
      <c r="O34" s="2" t="inlineStr">
        <is>
          <t>Mock</t>
        </is>
      </c>
      <c r="P34" s="2" t="inlineStr">
        <is>
          <t>Mock RxCU83</t>
        </is>
      </c>
      <c r="Q34" s="2" t="n"/>
    </row>
    <row r="35" ht="13.2" customHeight="1" s="37">
      <c r="A35" s="8" t="inlineStr">
        <is>
          <t>34</t>
        </is>
      </c>
      <c r="B35" s="2" t="inlineStr">
        <is>
          <t>ข้อใดส่งผลกระทบต่อ pembrolizumab ในรูปแบบ solution สำหรับยาฉีดมากที่สุด</t>
        </is>
      </c>
      <c r="C35" s="2" t="n"/>
      <c r="D35" s="2" t="inlineStr">
        <is>
          <t>Hydrolysis ที่ตำแหน่ง ester bond</t>
        </is>
      </c>
      <c r="E35" s="2" t="inlineStr">
        <is>
          <t>Aggregation เมื่อเปลี่ยนแปลง pH หรือเขย่า</t>
        </is>
      </c>
      <c r="F35" s="2" t="inlineStr">
        <is>
          <t>Oxidation ที่ sulfhydryl ของ excipient</t>
        </is>
      </c>
      <c r="G35" s="2" t="inlineStr">
        <is>
          <t>Crystallation เมื่ออุณหภูมิลด</t>
        </is>
      </c>
      <c r="H35" s="2" t="inlineStr">
        <is>
          <t>Racemization ที่ chiral center</t>
        </is>
      </c>
      <c r="I35" s="8" t="inlineStr">
        <is>
          <t>1</t>
        </is>
      </c>
      <c r="J35" s="2" t="inlineStr">
        <is>
          <t>✅ คำตอบที่ถูกต้อง: ข้อ ก. Hydrolysis ที่ตำแหน่ง ester bond
💡 Background:
การรักษาโรคติดเชื้อแบคทีเรีย (SAR &amp; Drug Design) ต้องเลือก antibiotic ที่ครอบคลุม likely pathogens และมี PK/PD profile เหมาะสมกับตำแหน่งการติดเชื้อ
🎯 ทำไมข้อนี้ถึงถูก:
Hydrolysis ที่ตำแหน่ง ester bond การเลือก Hydrolysis ที่ตำแหน่ง ester bond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ข้อนี้ไม่ใช่คำตอบที่ถูกต้องสำหรับภาวะ SAR &amp; Drug Design เนื่องจากกลไกการออกฤทธิ์, efficacy หรือข้อบ่งใช้ไม่ตรงกับโจทย์ที่กำหนด
• ข้อ ค. (Aggregation เมื่อเปลี่ยนแปลง pH หรือเขย่า): ข้อนี้ไม่ใช่คำตอบที่ถูกต้องสำหรับภาวะ SAR &amp; Drug Design เนื่องจากกลไกการออกฤทธิ์, efficacy หรือข้อบ่งใช้ไม่ตรงกับโจทย์ที่กำหนด
• ข้อ ง. (Oxidation ที่ sulfhydryl ของ excipient): ข้อนี้ไม่ใช่คำตอบที่ถูกต้องสำหรับภาวะ SAR &amp; Drug Design เนื่องจากกลไกการออกฤทธิ์, efficacy หรือข้อบ่งใช้ไม่ตรงกับโจทย์ที่กำหนด
• ข้อ จ. (Crystallation เมื่ออุณหภูมิลด):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SAR &amp; Drug Design</t>
        </is>
      </c>
      <c r="M35" s="2" t="inlineStr">
        <is>
          <t>Medicinal Chemistry</t>
        </is>
      </c>
      <c r="N35" s="2" t="inlineStr">
        <is>
          <t>Mock PLE-CC 1 ข้อ 72</t>
        </is>
      </c>
      <c r="O35" s="2" t="inlineStr">
        <is>
          <t>Mock</t>
        </is>
      </c>
      <c r="P35" s="2" t="inlineStr">
        <is>
          <t>Mock RxCU83</t>
        </is>
      </c>
      <c r="Q35" s="2" t="n"/>
    </row>
    <row r="36" ht="13.2" customHeight="1" s="37">
      <c r="A36" s="8" t="inlineStr">
        <is>
          <t>35</t>
        </is>
      </c>
      <c r="B36" s="2" t="inlineStr">
        <is>
          <t>กลไกของยามาตรฐานที่ใช้รักษา</t>
        </is>
      </c>
      <c r="C36" s="2" t="n"/>
      <c r="D36" s="2" t="inlineStr">
        <is>
          <t>จับ protease → ยับยั้งการสร้าง protein</t>
        </is>
      </c>
      <c r="E36" s="2" t="inlineStr">
        <is>
          <t>เป็น nucleoside analogue → ยับยั้ง viral polymerase โดยจะต้องถูก phospholyrate โดย viral thimine kinase</t>
        </is>
      </c>
      <c r="F36" s="2" t="inlineStr">
        <is>
          <t>inhibit isoleucyl-tRNA-synthetase และหยุดการสังเคราะห์โปรตีน</t>
        </is>
      </c>
      <c r="G36" s="2" t="inlineStr">
        <is>
          <t>Compatitive inhibitor กับ reverse transcriptase</t>
        </is>
      </c>
      <c r="H36" s="2" t="inlineStr">
        <is>
          <t>กดภูมิของร่างกายที่มากเกินไป</t>
        </is>
      </c>
      <c r="I36" s="8" t="inlineStr">
        <is>
          <t>1</t>
        </is>
      </c>
      <c r="J36" s="2" t="inlineStr">
        <is>
          <t>✅ คำตอบที่ถูกต้อง: ข้อ ก. จับ protease → ยับยั้งการสร้าง protein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จับ protease → ยับยั้งการสร้าง protein การเลือก จับ protease → ยับยั้งการสร้าง protein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ข้อนี้ไม่ใช่คำตอบที่ถูกต้องสำหรับภาวะ SAR &amp; Drug Design เนื่องจากกลไกการออกฤทธิ์, efficacy หรือข้อบ่งใช้ไม่ตรงกับโจทย์ที่กำหนด
• ข้อ ค. (เป็น nucleoside analogue → ยับยั้ง viral polymerase โดยจะต้องถูก phospholyrate โดย viral thimine kinase): ข้อนี้ไม่ใช่คำตอบที่ถูกต้องสำหรับภาวะ SAR &amp; Drug Design เนื่องจากกลไกการออกฤทธิ์, efficacy หรือข้อบ่งใช้ไม่ตรงกับโจทย์ที่กำหนด
• ข้อ ง. (inhibit isoleucyl-tRNA-synthetase และหยุดการสังเคราะห์โปรตีน): ข้อนี้ไม่ใช่คำตอบที่ถูกต้องสำหรับภาวะ SAR &amp; Drug Design เนื่องจากกลไกการออกฤทธิ์, efficacy หรือข้อบ่งใช้ไม่ตรงกับโจทย์ที่กำหนด
• ข้อ จ. (Compatitive inhibitor กับ reverse transcriptase):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SAR &amp; Drug Design</t>
        </is>
      </c>
      <c r="M36" s="2" t="inlineStr">
        <is>
          <t>Medicinal Chemistry</t>
        </is>
      </c>
      <c r="N36" s="2" t="inlineStr">
        <is>
          <t>Mock PLE-CC 1 ข้อ 122</t>
        </is>
      </c>
      <c r="O36" s="2" t="inlineStr">
        <is>
          <t>Mock</t>
        </is>
      </c>
      <c r="P36" s="2" t="inlineStr">
        <is>
          <t>Mock RxCU83</t>
        </is>
      </c>
      <c r="Q36" s="2" t="n"/>
    </row>
    <row r="37" ht="13.2" customHeight="1" s="37">
      <c r="A37" s="8" t="inlineStr">
        <is>
          <t>36</t>
        </is>
      </c>
      <c r="B37" s="2" t="inlineStr">
        <is>
          <t>ยา Potassium Chloride (KCl) มีค่า pKa 8.07 ละลายได้ดีในน้ำ แต่ละลายน้อยใน alcohol เพื่อป้องกัน การตกตะกอน ต้องมี pH ในตำรับอยู่ที่เท่าไร ยาระบายกลเซอรนบรรจแบบแผงคาดวาสามารถม 10 เมดตอแผงได นเกลอขนาดนอยกวา 1 ลตรจดเปนยาสามญประจบาน ยาลางตานอยกวา 240 ml จดเปนยาสามญประจบาน</t>
        </is>
      </c>
      <c r="C37" s="2" t="n"/>
      <c r="D37" s="8" t="inlineStr">
        <is>
          <t>5-6</t>
        </is>
      </c>
      <c r="E37" s="8" t="inlineStr">
        <is>
          <t>9-10</t>
        </is>
      </c>
      <c r="F37" s="8" t="inlineStr">
        <is>
          <t>7-8</t>
        </is>
      </c>
      <c r="G37" s="8" t="inlineStr">
        <is>
          <t>11-12</t>
        </is>
      </c>
      <c r="H37" s="8" t="inlineStr">
        <is>
          <t>13</t>
        </is>
      </c>
      <c r="I37" s="8" t="inlineStr">
        <is>
          <t>1</t>
        </is>
      </c>
      <c r="J37" s="2" t="inlineStr">
        <is>
          <t>✅ คำตอบที่ถูกต้อง: ข้อ ก. 5-6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(5-6): ข้อนี้ไม่ใช่คำตอบที่ถูกต้องสำหรับภาวะ SAR &amp; Drug Design เนื่องจากกลไกการออกฤทธิ์, efficacy หรือข้อบ่งใช้ไม่ตรงกับโจทย์ที่กำหนด
• ข้อ ค. (9-10): ข้อนี้ไม่ใช่คำตอบที่ถูกต้องสำหรับภาวะ SAR &amp; Drug Design เนื่องจากกลไกการออกฤทธิ์, efficacy หรือข้อบ่งใช้ไม่ตรงกับโจทย์ที่กำหนด
• ข้อ ง. (7-8): ข้อนี้ไม่ใช่คำตอบที่ถูกต้องสำหรับภาวะ SAR &amp; Drug Design เนื่องจากกลไกการออกฤทธิ์, efficacy หรือข้อบ่งใช้ไม่ตรงกับโจทย์ที่กำหนด
• ข้อ จ. (11-12):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7" s="2" t="n"/>
      <c r="L37" s="2" t="inlineStr">
        <is>
          <t>SAR &amp; Drug Design</t>
        </is>
      </c>
      <c r="M37" s="2" t="inlineStr">
        <is>
          <t>Medicinal Chemistry</t>
        </is>
      </c>
      <c r="N37" s="2" t="inlineStr">
        <is>
          <t>PLE_CC1_2567_Key ข้อ 93</t>
        </is>
      </c>
      <c r="O37" s="2" t="inlineStr">
        <is>
          <t>ข้อสอบจริง</t>
        </is>
      </c>
      <c r="P37" s="2" t="inlineStr">
        <is>
          <t>ปี 2567</t>
        </is>
      </c>
      <c r="Q37" s="2" t="n"/>
    </row>
    <row r="38" ht="13.2" customHeight="1" s="37">
      <c r="A38" s="8" t="inlineStr">
        <is>
          <t>37</t>
        </is>
      </c>
      <c r="B38" s="2" t="inlineStr">
        <is>
          <t>ยา Potassium Chloride (KCl) มีค่า pKa 8.07 ละลายได้ดีในน้ำ แต่ละลายน้อยใน alcohol เพื่อป้องกัน การตกตะกอน ต้องมี pH ในตำรับอยู่ที่เท่าไร</t>
        </is>
      </c>
      <c r="C38" s="2" t="n"/>
      <c r="D38" s="2" t="inlineStr">
        <is>
          <t>PEG (Polyethylene Glycol) ยาระบายก2เซอkนบรรlแบบแผงคาดKาสามารถL 10 เaดnอแผงไo</t>
        </is>
      </c>
      <c r="E38" s="2" t="inlineStr">
        <is>
          <t>Calcium phosphate (เกFอขนาดhอยกKา 1 iตร[ดเNนยาสา\ญประ^_าน</t>
        </is>
      </c>
      <c r="F38" s="2" t="inlineStr">
        <is>
          <t>TiO2 (Titanium Dioxide) ยาgางตาhอยกKา 240 ml [ดเNนยาสา\ญประ^_าน</t>
        </is>
      </c>
      <c r="G38" s="2" t="inlineStr">
        <is>
          <t>Clay</t>
        </is>
      </c>
      <c r="H38" s="2" t="inlineStr">
        <is>
          <t>Colloidal silica</t>
        </is>
      </c>
      <c r="I38" s="8" t="inlineStr">
        <is>
          <t>1</t>
        </is>
      </c>
      <c r="J38" s="2" t="inlineStr">
        <is>
          <t>✅ คำตอบที่ถูกต้อง: ข้อ ก. PEG (Polyethylene Glycol) ยาระบายก2เซอkนบรรlแบบแผงคาดKาสามารถL 10 เaดnอแผงไo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(PEG (Polyethylene Glycol) ยาระบายก2เซอkนบรรlแบบแผงคาดKาสามารถL 10 เaดnอแผงไo): ข้อนี้ไม่ใช่คำตอบที่ถูกต้องสำหรับภาวะ SAR &amp; Drug Design เนื่องจากกลไกการออกฤทธิ์, efficacy หรือข้อบ่งใช้ไม่ตรงกับโจทย์ที่กำหนด
• ข้อ ค. (Calcium phosphate (เกFอขนาดhอยกKา 1 iตร[ดเNนยาสา\ญประ^_าน): ข้อนี้ไม่ใช่คำตอบที่ถูกต้องสำหรับภาวะ SAR &amp; Drug Design เนื่องจากกลไกการออกฤทธิ์, efficacy หรือข้อบ่งใช้ไม่ตรงกับโจทย์ที่กำหนด
• ข้อ ง. (TiO2 (Titanium Dioxide) ยาgางตาhอยกKา 240 ml [ดเNนยาสา\ญประ^_าน): ข้อนี้ไม่ใช่คำตอบที่ถูกต้องสำหรับภาวะ SAR &amp; Drug Design เนื่องจากกลไกการออกฤทธิ์, efficacy หรือข้อบ่งใช้ไม่ตรงกับโจทย์ที่กำหนด
• ข้อ จ. (Clay):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SAR &amp; Drug Design</t>
        </is>
      </c>
      <c r="M38" s="2" t="inlineStr">
        <is>
          <t>Medicinal Chemistry</t>
        </is>
      </c>
      <c r="N38" s="2" t="inlineStr">
        <is>
          <t>PLE_CC1_2567_Set1_Key ข้อ 93</t>
        </is>
      </c>
      <c r="O38" s="2" t="inlineStr">
        <is>
          <t>ข้อสอบจริง</t>
        </is>
      </c>
      <c r="P38" s="2" t="inlineStr">
        <is>
          <t>ปี 2567</t>
        </is>
      </c>
      <c r="Q38" s="2" t="n"/>
    </row>
    <row r="39" ht="13.2" customHeight="1" s="37">
      <c r="A39" s="8" t="inlineStr">
        <is>
          <t>38</t>
        </is>
      </c>
      <c r="B39" s="2" t="inlineStr">
        <is>
          <t>Medchem ตำแหน่งการออกฤทธิ์ของINSTRI . ตัวเลือก</t>
        </is>
      </c>
      <c r="C39" s="2" t="n"/>
      <c r="D39" s="2" t="inlineStr">
        <is>
          <t>Medicinal Chemistry</t>
        </is>
      </c>
      <c r="E39" s="2" t="inlineStr">
        <is>
          <t>Structure-Activity Relationship (SAR) Optimization</t>
        </is>
      </c>
      <c r="F39" s="2" t="inlineStr">
        <is>
          <t>Bioisosteric Replacement (Carboxylic acid → Tetrazole)</t>
        </is>
      </c>
      <c r="G39" s="2" t="inlineStr">
        <is>
          <t>Prodrug Design via Esterification for Oral Bioavailability</t>
        </is>
      </c>
      <c r="H39" s="2" t="inlineStr">
        <is>
          <t>Cytochrome P450 CYP3A4 Phase I Oxidation</t>
        </is>
      </c>
      <c r="I39" s="8" t="inlineStr">
        <is>
          <t>1</t>
        </is>
      </c>
      <c r="J39" s="2"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ค.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2" t="n"/>
      <c r="L39" s="2" t="inlineStr">
        <is>
          <t>SAR &amp; Drug Design</t>
        </is>
      </c>
      <c r="M39" s="2" t="inlineStr">
        <is>
          <t>Medicinal Chemistry</t>
        </is>
      </c>
      <c r="N39" s="2" t="inlineStr">
        <is>
          <t>PLE-CC1 ปี 2566 Day 1 ข้อ 3</t>
        </is>
      </c>
      <c r="O39" s="2" t="inlineStr">
        <is>
          <t>ข้อสอบจริง</t>
        </is>
      </c>
      <c r="P39" s="2" t="inlineStr">
        <is>
          <t>ปี 2566</t>
        </is>
      </c>
    </row>
    <row r="40" ht="13.2" customHeight="1" s="37">
      <c r="A40" s="8" t="inlineStr">
        <is>
          <t>39</t>
        </is>
      </c>
      <c r="B40" s="2" t="inlineStr">
        <is>
          <t>Medchem ถามตำแหน่งไหนของsalbutamol ที่แตกต่างจาก epinephrine ที่ทำให้ออกฤทธิ์เป็นB2 agonist. ตัวเลือก</t>
        </is>
      </c>
      <c r="C40" s="2" t="n"/>
      <c r="D40" s="2" t="inlineStr">
        <is>
          <t>Medicinal Chemistry</t>
        </is>
      </c>
      <c r="E40" s="2" t="inlineStr">
        <is>
          <t>Cytochrome P450 CYP3A4 Phase I Oxidation</t>
        </is>
      </c>
      <c r="F40" s="2" t="inlineStr">
        <is>
          <t>Phase II Glucuronidation Conjugation by UGT</t>
        </is>
      </c>
      <c r="G40" s="2" t="inlineStr">
        <is>
          <t>Log P Lipophilicity Partition Coefficient optimization</t>
        </is>
      </c>
      <c r="H40" s="2" t="inlineStr">
        <is>
          <t>Chiral Eutomer vs Distomer Pharmacological activity</t>
        </is>
      </c>
      <c r="I40" s="8" t="inlineStr">
        <is>
          <t>1</t>
        </is>
      </c>
      <c r="J40" s="2"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0" s="2" t="n"/>
      <c r="L40" s="2" t="inlineStr">
        <is>
          <t>SAR &amp; Drug Design</t>
        </is>
      </c>
      <c r="M40" s="2" t="inlineStr">
        <is>
          <t>Medicinal Chemistry</t>
        </is>
      </c>
      <c r="N40" s="2" t="inlineStr">
        <is>
          <t>PLE-CC1 ปี 2566 Day 1 ข้อ 5</t>
        </is>
      </c>
      <c r="O40" s="2" t="inlineStr">
        <is>
          <t>ข้อสอบจริง</t>
        </is>
      </c>
      <c r="P40" s="2" t="inlineStr">
        <is>
          <t>ปี 2566</t>
        </is>
      </c>
    </row>
    <row r="41" ht="13.2" customHeight="1" s="37">
      <c r="A41" s="8" t="inlineStr">
        <is>
          <t>40</t>
        </is>
      </c>
      <c r="B41" s="2" t="inlineStr">
        <is>
          <t>Medchem โครงสร้างhydroxyzine กับcet. ตัวเลือก</t>
        </is>
      </c>
      <c r="C41" s="2" t="n"/>
      <c r="D41" s="2" t="inlineStr">
        <is>
          <t>Medicinal Chemistry</t>
        </is>
      </c>
      <c r="E41" s="2" t="inlineStr">
        <is>
          <t>Chiral Eutomer vs Distomer Pharmacological activity</t>
        </is>
      </c>
      <c r="F41" s="2" t="inlineStr">
        <is>
          <t>Covalent Irreversible Enzyme Inhibition</t>
        </is>
      </c>
      <c r="G41" s="2" t="inlineStr">
        <is>
          <t>Structure-Activity Relationship (SAR) Optimization</t>
        </is>
      </c>
      <c r="H41" s="2" t="inlineStr">
        <is>
          <t>Bioisosteric Replacement (Carboxylic acid → Tetrazole)</t>
        </is>
      </c>
      <c r="I41" s="8" t="inlineStr">
        <is>
          <t>1</t>
        </is>
      </c>
      <c r="J41" s="2" t="inlineStr">
        <is>
          <t>✅ คำตอบที่ถูกต้อง: ข้อ ก. Medicinal Chemistry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ค.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ง.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จ.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SAR &amp; Drug Design</t>
        </is>
      </c>
      <c r="M41" s="2" t="inlineStr">
        <is>
          <t>Medicinal Chemistry</t>
        </is>
      </c>
      <c r="N41" s="2" t="inlineStr">
        <is>
          <t>PLE-CC1 ปี 2566 Day 2 ข้อ 15</t>
        </is>
      </c>
      <c r="O41" s="2" t="inlineStr">
        <is>
          <t>ข้อสอบจริง</t>
        </is>
      </c>
      <c r="P41" s="2" t="inlineStr">
        <is>
          <t>ปี 2566</t>
        </is>
      </c>
    </row>
    <row r="42" ht="13.2" customHeight="1" s="37">
      <c r="A42" s="8" t="inlineStr">
        <is>
          <t>41</t>
        </is>
      </c>
      <c r="B42" s="2" t="inlineStr">
        <is>
          <t>หากผูป%วยไดรับยาอื่นร;วมดวย ไดแก; Losartan 1x1 po pc Atorvastatin 1x1 po pc Ferrous fumarate 1ข3 pc Bisoprolol 1x1 po pc Clopidogrel 1x1 po pc ISDN prn ควรกินยารักษา thyroid ในขอ 22 เวลาใดจึงจะตีกับยาอื่นนอยสุด</t>
        </is>
      </c>
      <c r="C42" s="2" t="n"/>
      <c r="D42" s="2" t="inlineStr">
        <is>
          <t>หลังอาหารเชา</t>
        </is>
      </c>
      <c r="E42" s="2" t="inlineStr">
        <is>
          <t>หลังอาหารเที่ยง</t>
        </is>
      </c>
      <c r="F42" s="2" t="inlineStr">
        <is>
          <t>หลังอาหารเย็น</t>
        </is>
      </c>
      <c r="G42" s="2" t="inlineStr">
        <is>
          <t>ก;อนอาหารเย็น</t>
        </is>
      </c>
      <c r="H42" s="2" t="inlineStr">
        <is>
          <t>ก;อนนอน</t>
        </is>
      </c>
      <c r="I42" s="8" t="inlineStr">
        <is>
          <t>1</t>
        </is>
      </c>
      <c r="J42" s="2" t="inlineStr">
        <is>
          <t>✅ คำตอบที่ถูกต้อง: ข้อ ก. หลังอาหารเชา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(หลังอาหารเชา): ข้อนี้ไม่ใช่คำตอบที่ถูกต้องสำหรับภาวะ SAR &amp; Drug Design เนื่องจากกลไกการออกฤทธิ์, efficacy หรือข้อบ่งใช้ไม่ตรงกับโจทย์ที่กำหนด
• ข้อ ค. (หลังอาหารเที่ยง): ข้อนี้ไม่ใช่คำตอบที่ถูกต้องสำหรับภาวะ SAR &amp; Drug Design เนื่องจากกลไกการออกฤทธิ์, efficacy หรือข้อบ่งใช้ไม่ตรงกับโจทย์ที่กำหนด
• ข้อ ง. (หลังอาหารเย็น): ข้อนี้ไม่ใช่คำตอบที่ถูกต้องสำหรับภาวะ SAR &amp; Drug Design เนื่องจากกลไกการออกฤทธิ์, efficacy หรือข้อบ่งใช้ไม่ตรงกับโจทย์ที่กำหนด
• ข้อ จ. (ก;อนอาหารเย็น):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2" s="2" t="n"/>
      <c r="L42" s="2" t="inlineStr">
        <is>
          <t>SAR &amp; Drug Design</t>
        </is>
      </c>
      <c r="M42" s="2" t="inlineStr">
        <is>
          <t>Medicinal Chemistry</t>
        </is>
      </c>
      <c r="N42" s="2" t="inlineStr">
        <is>
          <t>PLE_CC1_2565_Day1_Key ข้อ 23</t>
        </is>
      </c>
      <c r="O42" s="2" t="inlineStr">
        <is>
          <t>ข้อสอบจริง</t>
        </is>
      </c>
      <c r="P42" s="2" t="inlineStr">
        <is>
          <t>ปี 2565</t>
        </is>
      </c>
      <c r="Q42" s="2" t="n"/>
    </row>
    <row r="43" ht="13.2" customHeight="1" s="37">
      <c r="A43" s="8" t="inlineStr">
        <is>
          <t>42</t>
        </is>
      </c>
      <c r="B43" s="2" t="inlineStr">
        <is>
          <t>ขอใดคือโครงสรางของยาที่แพThis is Ibuprofen QดIา6อยเDนโครงสhางกÇมละAอ {ง|นเTน ÉIาแ1ละกÇมE core structure Ñงไง ↓</t>
        </is>
      </c>
      <c r="C43" s="2" t="n"/>
      <c r="D43" s="2" t="inlineStr">
        <is>
          <t>Phase II Glucuronidation Conjugation by UGT</t>
        </is>
      </c>
      <c r="E43" s="2" t="inlineStr">
        <is>
          <t>จำ choice ไม;ได</t>
        </is>
      </c>
      <c r="F43" s="2" t="inlineStr">
        <is>
          <t>จำ choice ไม;ได</t>
        </is>
      </c>
      <c r="G43" s="2" t="inlineStr">
        <is>
          <t>จำ choice ไม;ได</t>
        </is>
      </c>
      <c r="H43" s="2" t="inlineStr">
        <is>
          <t>* จำ choice ไม;ได# *</t>
        </is>
      </c>
      <c r="I43" s="8" t="inlineStr">
        <is>
          <t>1</t>
        </is>
      </c>
      <c r="J43" s="2" t="inlineStr">
        <is>
          <t>✅ คำตอบที่ถูกต้อง: ข้อ ก. Phase II Glucuronidation Conjugation by UGT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(จำ choice ไม;ได): ข้อนี้ไม่ใช่คำตอบที่ถูกต้องสำหรับภาวะ SAR &amp; Drug Design เนื่องจากกลไกการออกฤทธิ์, efficacy หรือข้อบ่งใช้ไม่ตรงกับโจทย์ที่กำหนด
• ข้อ ง. (จำ choice ไม;ได): ข้อนี้ไม่ใช่คำตอบที่ถูกต้องสำหรับภาวะ SAR &amp; Drug Design เนื่องจากกลไกการออกฤทธิ์, efficacy หรือข้อบ่งใช้ไม่ตรงกับโจทย์ที่กำหนด
• ข้อ จ. (จำ choice ไม;ได):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43" s="2" t="n"/>
      <c r="L43" s="2" t="inlineStr">
        <is>
          <t>SAR &amp; Drug Design</t>
        </is>
      </c>
      <c r="M43" s="2" t="inlineStr">
        <is>
          <t>Medicinal Chemistry</t>
        </is>
      </c>
      <c r="N43" s="2" t="inlineStr">
        <is>
          <t>PLE_CC1_2565_Day1_Key ข้อ 42</t>
        </is>
      </c>
      <c r="O43" s="2" t="inlineStr">
        <is>
          <t>ข้อสอบจริง</t>
        </is>
      </c>
      <c r="P43" s="2" t="inlineStr">
        <is>
          <t>ปี 2565</t>
        </is>
      </c>
      <c r="Q43" s="2" t="n"/>
    </row>
    <row r="44" ht="13.2" customHeight="1" s="37">
      <c r="A44" s="8" t="inlineStr">
        <is>
          <t>43</t>
        </is>
      </c>
      <c r="B44" s="2" t="inlineStr">
        <is>
          <t>ผลข$างเคียง Losartan คืออะไร Reduce serum uric acid by increasing urinary excretion ยากgม Agiotensin receptor blocker (ARBs)</t>
        </is>
      </c>
      <c r="C44" s="2" t="n"/>
      <c r="D44" s="2" t="inlineStr">
        <is>
          <t>HYPO K</t>
        </is>
      </c>
      <c r="E44" s="2" t="inlineStr">
        <is>
          <t>HYPER Na</t>
        </is>
      </c>
      <c r="F44" s="2" t="inlineStr">
        <is>
          <t>AKI</t>
        </is>
      </c>
      <c r="G44" s="2" t="inlineStr">
        <is>
          <t>Acute liver injury</t>
        </is>
      </c>
      <c r="H44" s="2" t="inlineStr">
        <is>
          <t>Hyperuricemia</t>
        </is>
      </c>
      <c r="I44" s="8" t="inlineStr">
        <is>
          <t>1</t>
        </is>
      </c>
      <c r="J44" s="2" t="inlineStr">
        <is>
          <t>✅ คำตอบที่ถูกต้อง: ข้อ ก. HYPO K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(HYPO K): ข้อนี้ไม่ใช่คำตอบที่ถูกต้องสำหรับภาวะ SAR &amp; Drug Design เนื่องจากกลไกการออกฤทธิ์, efficacy หรือข้อบ่งใช้ไม่ตรงกับโจทย์ที่กำหนด
• ข้อ ค. (HYPER Na): ข้อนี้ไม่ใช่คำตอบที่ถูกต้องสำหรับภาวะ SAR &amp; Drug Design เนื่องจากกลไกการออกฤทธิ์, efficacy หรือข้อบ่งใช้ไม่ตรงกับโจทย์ที่กำหนด
• ข้อ ง. (AKI): ข้อนี้ไม่ใช่คำตอบที่ถูกต้องสำหรับภาวะ SAR &amp; Drug Design เนื่องจากกลไกการออกฤทธิ์, efficacy หรือข้อบ่งใช้ไม่ตรงกับโจทย์ที่กำหนด
• ข้อ จ. (Acute liver injury):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4" s="2" t="n"/>
      <c r="L44" s="2" t="inlineStr">
        <is>
          <t>SAR &amp; Drug Design</t>
        </is>
      </c>
      <c r="M44" s="2" t="inlineStr">
        <is>
          <t>Medicinal Chemistry</t>
        </is>
      </c>
      <c r="N44" s="2" t="inlineStr">
        <is>
          <t>PLE_CC1_2565_Day2_Key ข้อ 25</t>
        </is>
      </c>
      <c r="O44" s="2" t="inlineStr">
        <is>
          <t>ข้อสอบจริง</t>
        </is>
      </c>
      <c r="P44" s="2" t="inlineStr">
        <is>
          <t>ปี 2565</t>
        </is>
      </c>
      <c r="Q44" s="2" t="n"/>
    </row>
    <row r="45" ht="13.2" customHeight="1" s="37">
      <c r="A45" s="8" t="inlineStr">
        <is>
          <t>44</t>
        </is>
      </c>
      <c r="B45" s="2" t="inlineStr">
        <is>
          <t>ความเข$มข$น adrenaline 0.01% คืออะไร X —&gt; Hyperkalemia X —&gt; Hyponatremia Serious side effect โดยเฉพาะ QRวย1 volume depleted, ใHยากgม diuretics, HF very rare toxic hepatitis / cholestatic jaundice Losartan เSนยากTม ARBs UวเBยวVสามารถลดระYบ serum uric acid ไA</t>
        </is>
      </c>
      <c r="C45" s="2" t="n"/>
      <c r="D45" s="2" t="inlineStr">
        <is>
          <t>Medicinal Chemistry</t>
        </is>
      </c>
      <c r="E45" s="2" t="inlineStr">
        <is>
          <t>1g/ml PLE-CC1 Preparation 2565 กรณีศึกษา 6 หญิงอายุ 48 ปç ปวดหัวตุบๆ ที่ขมับ กิน paracetamol 1 เม็ดแล$วไม-หาย มีคลื่นไส$ร-วมด$วย มักจะ ปวดตอนพักผ-อนน$อยและเครียด ปกติกินพาราแล$วจะหาย มีประวิติเปQนโรคหัวใจขาดเลือดเมื่อ 2 สัปดาห6ที่ ผ-านมา แพ$ยา cotrimoxazole แบบปากพอง (การวินิจฉัยโรค migraine) ต-อมาปวดหัวมากขึ้น เปQน 3-4 ครั้ง ต-อเดือน ปวดจนทำงานไม-ได$ แพทย6มีแผนพิจารณาให$ยาป¢องกัน Myocardial infraction Titrate to the lowest effective dose or until adverse effects limit further titration. — UpToDate: Preventive treatment of migraine</t>
        </is>
      </c>
      <c r="F45" s="2" t="inlineStr">
        <is>
          <t>Cytochrome P450 CYP3A4 Phase I Oxidation</t>
        </is>
      </c>
      <c r="G45" s="2" t="inlineStr">
        <is>
          <t>Phase II Glucuronidation Conjugation by UGT</t>
        </is>
      </c>
      <c r="H45" s="2" t="inlineStr">
        <is>
          <t>Log P Lipophilicity Partition Coefficient optimization</t>
        </is>
      </c>
      <c r="I45" s="8" t="inlineStr">
        <is>
          <t>1</t>
        </is>
      </c>
      <c r="J45" s="2" t="inlineStr">
        <is>
          <t>✅ คำตอบที่ถูกต้อง: ข้อ ก. Medicinal Chemistry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(1g/ml PLE-CC1 Preparation 2565 กรณีศึกษา 6 หญิงอายุ 48 ปç ปวดหัวตุบๆ ที่ขมับ กิน paracetamol 1 เม็ดแล$วไม-หาย มีคลื่นไส$ร-วมด$วย มักจะ ปวดตอนพักผ-อนน$อยและเครียด ปกติกินพาราแล$วจะหาย มีประวิติเปQนโรคหัวใจขาดเลือดเมื่อ 2 สัปดาห6ที่ ผ-านมา แพ$ยา cotrimoxazole แบบปากพอง (การวินิจฉัยโรค migraine) ต-อมาปวดหัวมากขึ้น เปQน 3-4 ครั้ง ต-อเดือน ปวดจนทำงานไม-ได$ แพทย6มีแผนพิจารณาให$ยาป¢องกัน Myocardial infraction Titrate to the lowest effective dose or until adverse effects limit further titration. — UpToDate: Preventive treatment of migraine):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ค.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5" s="2" t="n"/>
      <c r="L45" s="2" t="inlineStr">
        <is>
          <t>SAR &amp; Drug Design</t>
        </is>
      </c>
      <c r="M45" s="2" t="inlineStr">
        <is>
          <t>Medicinal Chemistry</t>
        </is>
      </c>
      <c r="N45" s="2" t="inlineStr">
        <is>
          <t>PLE_CC1_2565_Day2_Key ข้อ 26</t>
        </is>
      </c>
      <c r="O45" s="2" t="inlineStr">
        <is>
          <t>ข้อสอบจริง</t>
        </is>
      </c>
      <c r="P45" s="2" t="inlineStr">
        <is>
          <t>ปี 2565</t>
        </is>
      </c>
    </row>
    <row r="46" ht="13.2" customHeight="1" s="37">
      <c r="A46" s="8" t="inlineStr">
        <is>
          <t>45</t>
        </is>
      </c>
      <c r="B46" s="2" t="inlineStr">
        <is>
          <t>ยาแก้แพ้ชนิดไม่ง่วง structure ยา ??? Molecular Determinants Responsible for Sedative and Non-sedative Properties of Histamine H-1-Receptor Antagonists (researchgate.net) ..............................................................................................................................................................................................................</t>
        </is>
      </c>
      <c r="C46" s="2" t="n"/>
      <c r="D46" s="2" t="inlineStr">
        <is>
          <t>Medicinal Chemistry</t>
        </is>
      </c>
      <c r="E46" s="2" t="inlineStr">
        <is>
          <t>Log P Lipophilicity Partition Coefficient optimization</t>
        </is>
      </c>
      <c r="F46" s="2" t="inlineStr">
        <is>
          <t>Chiral Eutomer vs Distomer Pharmacological activity</t>
        </is>
      </c>
      <c r="G46" s="2" t="inlineStr">
        <is>
          <t>Covalent Irreversible Enzyme Inhibition</t>
        </is>
      </c>
      <c r="H46" s="2" t="inlineStr">
        <is>
          <t>Structure-Activity Relationship (SAR) Optimization</t>
        </is>
      </c>
      <c r="I46" s="8" t="inlineStr">
        <is>
          <t>3</t>
        </is>
      </c>
      <c r="J46" s="2" t="inlineStr">
        <is>
          <t>✅ คำตอบที่ถูกต้อง: ข้อ ค. Chiral Eutomer vs Distomer Pharmacological activity
💡 Background:
การบริบาลผู้ป่วยในกลุ่มโรค SAR &amp; Drug Design มุ่งเน้นการควบคุมโรคและลดความเสี่ยงต่อภาวะแทรกซ้อนด้วย evidence-based pharmacotherapy
🎯 ทำไมข้อนี้ถึงถูก:
Chiral Eutomer vs Distomer Pharmacological activity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ข้อนี้ไม่ใช่คำตอบที่ถูกต้องสำหรับภาวะ SAR &amp; Drug Design เนื่องจากกลไกการออกฤทธิ์, efficacy หรือข้อบ่งใช้ไม่ตรงกับโจทย์ที่กำหนด
• ข้อ ข.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จ.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SAR &amp; Drug Design</t>
        </is>
      </c>
      <c r="M46" s="2" t="inlineStr">
        <is>
          <t>Medicinal Chemistry</t>
        </is>
      </c>
      <c r="N46" s="2" t="inlineStr">
        <is>
          <t>PLE_CC1_2564_All_Key ข้อ 7</t>
        </is>
      </c>
      <c r="O46" s="2" t="inlineStr">
        <is>
          <t>ข้อสอบจริง</t>
        </is>
      </c>
      <c r="P46" s="2" t="inlineStr">
        <is>
          <t>ปี 2564</t>
        </is>
      </c>
    </row>
    <row r="47" ht="13.2" customHeight="1" s="37">
      <c r="A47" s="8" t="inlineStr">
        <is>
          <t>46</t>
        </is>
      </c>
      <c r="B47" s="2" t="inlineStr">
        <is>
          <t>ข้อใดไม่ใช่ criteria จาก 2019 ACR Guideline for the Management of Osteoarthritis of the Hand, Hip, and Knee ไม่ได้มีการระบุ diagnosis criteria เอาไว้ แต่ใน guideline เก่า ๆ ได้มีการระบุ diagnosis criteria โดยแยกโรคเอาไว้ ดังนี้ − Knee OA: ปวดเข่า ร่วมกับมีอาการอย่างน้อย 3 ข้อ (อายุมากกว่า 50 ปี ผู้ป่วยที่เป็น peripartum cardiomyopathy ระดับ mild to moderate ที่เป็นน้อยกว่า 6 เดือนหรือผู้ป่วยที่เป็นระดับ moderate to severe ผู้ป่วยที่เป็น rheumetic disease แบบ positive − ข้อฝืดขัดโดยเฉพาะตอนเช้าหลังตื่นนอนเป็นเวลา &lt; 30 นาที − มีเสียงกรอบแกรบขณะเคลื่อนไหว − กดเจ็บที่กระดูกข้อเข่า ผู้ที่เป็นมะเร็งเต้านม, ผู้ป่วยเบาหวานที่มี Nephropathy, retinopathy หรือ neuropathyและผู้ป่วยเบาหวานที่มีโรคทางหลอดเลือดอื่น ๆ หรือเป็นเบาหวานมามากกว่า 20 ปี ผู้ป่วย viral hepatitis แบบ acute/flare ที่ระยะ initiation ผู้ป่วยเป็น cirrhosis แบบ severe − ข้อบวมใหญ่ − คลำไม่พบความอุ่นบริเวณ synovium) Hand OA และ Hip OA ต้องใช้การตรวจอย่างอื่นเพิ่มเติม จาก ACR Diagnostic Guidelines (hopkinsarthritis.org)</t>
        </is>
      </c>
      <c r="C47" s="2" t="n"/>
      <c r="D47" s="2" t="inlineStr">
        <is>
          <t>Medicinal Chemistry</t>
        </is>
      </c>
      <c r="E47" s="2" t="inlineStr">
        <is>
          <t>Structure-Activity Relationship (SAR) Optimization</t>
        </is>
      </c>
      <c r="F47" s="2" t="inlineStr">
        <is>
          <t>Bioisosteric Replacement (Carboxylic acid → Tetrazole)</t>
        </is>
      </c>
      <c r="G47" s="2" t="inlineStr">
        <is>
          <t>Prodrug Design via Esterification for Oral Bioavailability</t>
        </is>
      </c>
      <c r="H47" s="2" t="inlineStr">
        <is>
          <t>Cytochrome P450 CYP3A4 Phase I Oxidation</t>
        </is>
      </c>
      <c r="I47" s="8" t="inlineStr">
        <is>
          <t>1</t>
        </is>
      </c>
      <c r="J47" s="2" t="inlineStr">
        <is>
          <t>✅ คำตอบที่ถูกต้อง: ข้อ ก. Medicinal Chemistry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ค.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7" s="2" t="n"/>
      <c r="L47" s="2" t="inlineStr">
        <is>
          <t>SAR &amp; Drug Design</t>
        </is>
      </c>
      <c r="M47" s="2" t="inlineStr">
        <is>
          <t>Medicinal Chemistry</t>
        </is>
      </c>
      <c r="N47" s="2" t="inlineStr">
        <is>
          <t>PLE_CC1_2564_All_Key ข้อ 28</t>
        </is>
      </c>
      <c r="O47" s="2" t="inlineStr">
        <is>
          <t>ข้อสอบจริง</t>
        </is>
      </c>
      <c r="P47" s="2" t="inlineStr">
        <is>
          <t>ปี 2564</t>
        </is>
      </c>
    </row>
    <row r="48" ht="13.2" customHeight="1" s="37">
      <c r="A48" s="2" t="n">
        <v>46</v>
      </c>
      <c r="B48" s="2" t="inlineStr">
        <is>
          <t>ยาใดมีกลไกยับยั้ง cholinesterase ทำให(พยาธิเกิดอัมพาต</t>
        </is>
      </c>
      <c r="C48" s="2" t="n"/>
      <c r="D48" s="2" t="inlineStr">
        <is>
          <t>Niclosamide</t>
        </is>
      </c>
      <c r="E48" s="2" t="inlineStr">
        <is>
          <t>Praziquantel</t>
        </is>
      </c>
      <c r="F48" s="2" t="inlineStr">
        <is>
          <t>Mebendazole</t>
        </is>
      </c>
      <c r="G48" s="2" t="inlineStr">
        <is>
          <t>Pyrantel pamoate</t>
        </is>
      </c>
      <c r="H48" s="2" t="inlineStr">
        <is>
          <t>Diethycarbamazine E</t>
        </is>
      </c>
      <c r="I48" s="2" t="n">
        <v>1</v>
      </c>
      <c r="J48" s="2" t="inlineStr">
        <is>
          <t>✅ คำตอบที่ถูกต้อง: ข้อ ก. Niclosamide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Niclosamide 💡 คำอธิบายและเหตุผลทางเภสัชกรรม:
💡 คำอธิบายและเหตุผลทางเภสัชกรรม:
การเลือก Niclosamide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(Praziquantel): ข้อนี้ไม่ใช่คำตอบที่ถูกต้องสำหรับภาวะ SAR &amp; Drug Design เนื่องจากกลไกการออกฤทธิ์, efficacy หรือข้อบ่งใช้ไม่ตรงกับโจทย์ที่กำหนด
• ข้อ ค. (Mebendazole): ข้อนี้ไม่ใช่คำตอบที่ถูกต้องสำหรับภาวะ SAR &amp; Drug Design เนื่องจากกลไกการออกฤทธิ์, efficacy หรือข้อบ่งใช้ไม่ตรงกับโจทย์ที่กำหนด
• ข้อ ง. (Pyrantel pamoate): ข้อนี้ไม่ใช่คำตอบที่ถูกต้องสำหรับภาวะ SAR &amp; Drug Design เนื่องจากกลไกการออกฤทธิ์, efficacy หรือข้อบ่งใช้ไม่ตรงกับโจทย์ที่กำหนด
• ข้อ จ. (Diethycarbamazine 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SAR &amp; Drug Design</t>
        </is>
      </c>
      <c r="M48" s="2" t="inlineStr">
        <is>
          <t>Product</t>
        </is>
      </c>
      <c r="N48" s="2" t="inlineStr">
        <is>
          <t>ข้อ 62 (PLE_CC1_2561_Key.md)</t>
        </is>
      </c>
      <c r="O48" s="2" t="inlineStr">
        <is>
          <t>ข้อสอบจริง</t>
        </is>
      </c>
      <c r="P48" s="2" t="inlineStr">
        <is>
          <t>ปี 2561</t>
        </is>
      </c>
    </row>
    <row r="49" ht="13.2" customHeight="1" s="37">
      <c r="A49" s="2" t="n">
        <v>47</v>
      </c>
      <c r="B49" s="2" t="inlineStr">
        <is>
          <t>เมื่อใช้ยาในกลุ่ม Acetylcholinesterase inhibitors ร่วมกับ CYP2D6 inhibitor ทำให้เกิดผลใดตามมาได้</t>
        </is>
      </c>
      <c r="C49" s="2" t="n"/>
      <c r="D49" s="2" t="inlineStr">
        <is>
          <t>ฤทธิ์ของยา AchE เพิ่มขึ้น</t>
        </is>
      </c>
      <c r="E49" s="2" t="inlineStr">
        <is>
          <t>ทำให้เกิด bradycardia</t>
        </is>
      </c>
      <c r="F49" s="2" t="inlineStr">
        <is>
          <t>ทำให้ใจสั่น ร่วมกับอาการตะคริว</t>
        </is>
      </c>
      <c r="G49" s="2" t="inlineStr">
        <is>
          <t>อาจทำให้เกิดอาการสับสนหรือเพ้อ (delirium)</t>
        </is>
      </c>
      <c r="H49" s="2" t="inlineStr">
        <is>
          <t>ไม่มีข้อใดถูก</t>
        </is>
      </c>
      <c r="I49" s="2" t="n">
        <v>1</v>
      </c>
      <c r="J49" s="2" t="inlineStr">
        <is>
          <t>✅ คำตอบที่ถูกต้อง: ข้อ ก. ฤทธิ์ของยา AchE เพิ่มขึ้น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ฤทธิ์ของยา AchE เพิ่มขึ้น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SAR &amp; Drug Design)
🔍 ข้ออื่นผิดเพราะอะไร:
• ข้อ ข. (ทำให้เกิด bradycardia): ข้อนี้ไม่ใช่คำตอบที่ถูกต้องสำหรับภาวะ SAR &amp; Drug Design เนื่องจากกลไกการออกฤทธิ์, efficacy หรือข้อบ่งใช้ไม่ตรงกับโจทย์ที่กำหนด
• ข้อ ค. (ทำให้ใจสั่น ร่วมกับอาการตะคริว): ข้อนี้ไม่ใช่คำตอบที่ถูกต้องสำหรับภาวะ SAR &amp; Drug Design เนื่องจากกลไกการออกฤทธิ์, efficacy หรือข้อบ่งใช้ไม่ตรงกับโจทย์ที่กำหนด
• ข้อ ง. (อาจทำให้เกิดอาการสับสนหรือเพ้อ (delirium)): ข้อนี้ไม่ใช่คำตอบที่ถูกต้องสำหรับภาวะ SAR &amp; Drug Design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SAR &amp; Drug Design</t>
        </is>
      </c>
      <c r="M49" s="2" t="inlineStr">
        <is>
          <t>Product</t>
        </is>
      </c>
      <c r="N49" s="2" t="inlineStr">
        <is>
          <t>ข้อ 53 (Pharmtutor_2024_Set1.md)</t>
        </is>
      </c>
      <c r="O49" s="2" t="inlineStr">
        <is>
          <t>Mock</t>
        </is>
      </c>
      <c r="P49" s="2" t="inlineStr">
        <is>
          <t>Mock Pharmtutor 2024</t>
        </is>
      </c>
    </row>
    <row r="50" ht="13.2" customHeight="1" s="37">
      <c r="A50" s="2" t="n">
        <v>48</v>
      </c>
      <c r="B50" s="2" t="inlineStr">
        <is>
          <t>ในกรณีที_x001E_ผู้ป่วยรายนี%ควรได้รับยาลดความดันเพิ_x001E_มเติม ข้อ ใดไม่ใช่ยาลดความดันที_x001E_ควรใช้ในผู้ป่วยรายนี% (1) Losartan (2) Metoprolol (3) Hydrochlorothiazide (4) Amlodipine (5) Spironolactone</t>
        </is>
      </c>
      <c r="C50" s="2" t="n"/>
      <c r="D50" s="2" t="inlineStr">
        <is>
          <t>Structure-Activity Relationship (SAR) Optimization</t>
        </is>
      </c>
      <c r="E50" s="2" t="inlineStr">
        <is>
          <t>Bioisosteric Replacement (Carboxylic acid → Tetrazole)</t>
        </is>
      </c>
      <c r="F50" s="2" t="inlineStr">
        <is>
          <t>Prodrug Design via Esterification for Oral Bioavailability</t>
        </is>
      </c>
      <c r="G50" s="2" t="inlineStr">
        <is>
          <t>Cytochrome P450 CYP3A4 Phase I Oxidation</t>
        </is>
      </c>
      <c r="H50" s="2" t="inlineStr">
        <is>
          <t>Phase II Glucuronidation Conjugation by UGT</t>
        </is>
      </c>
      <c r="I50" s="2" t="n">
        <v>1</v>
      </c>
      <c r="J50"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ง.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จ.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SAR &amp; Drug Design</t>
        </is>
      </c>
      <c r="M50" s="2" t="inlineStr">
        <is>
          <t>Product</t>
        </is>
      </c>
      <c r="N50" s="2" t="inlineStr">
        <is>
          <t>ข้อ 26 (PLE_CC1_2557.md)</t>
        </is>
      </c>
      <c r="O50" s="2" t="inlineStr">
        <is>
          <t>ข้อสอบจริง</t>
        </is>
      </c>
      <c r="P50" s="2" t="inlineStr">
        <is>
          <t>ปี 2557</t>
        </is>
      </c>
    </row>
    <row r="51" ht="13.2" customHeight="1" s="37">
      <c r="A51" s="2" t="n">
        <v>49</v>
      </c>
      <c r="B51" s="2" t="inlineStr">
        <is>
          <t>ข้อใดกล่าวถูกเกี่ยวกับ diazepam infusion pKa3.4</t>
        </is>
      </c>
      <c r="C51" s="2" t="n"/>
      <c r="D51" s="2" t="inlineStr">
        <is>
          <t>Cytochrome P450 CYP3A4 Phase I Oxidation</t>
        </is>
      </c>
      <c r="E51" s="2" t="inlineStr">
        <is>
          <t>Phase II Glucuronidation Conjugation by UGT</t>
        </is>
      </c>
      <c r="F51" s="2" t="inlineStr">
        <is>
          <t>Log P Lipophilicity Partition Coefficient optimization</t>
        </is>
      </c>
      <c r="G51" s="2" t="inlineStr">
        <is>
          <t>Chiral Eutomer vs Distomer Pharmacological activity</t>
        </is>
      </c>
      <c r="H51" s="2" t="inlineStr">
        <is>
          <t>Covalent Irreversible Enzyme Inhibition</t>
        </is>
      </c>
      <c r="I51" s="2" t="n">
        <v>1</v>
      </c>
      <c r="J51"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จ.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SAR &amp; Drug Design</t>
        </is>
      </c>
      <c r="M51" s="2" t="inlineStr">
        <is>
          <t>Product</t>
        </is>
      </c>
      <c r="N51" s="2" t="inlineStr">
        <is>
          <t>ข้อ 6 (PLE_CC1_2556.md)</t>
        </is>
      </c>
      <c r="O51" s="2" t="inlineStr">
        <is>
          <t>ข้อสอบจริง</t>
        </is>
      </c>
      <c r="P51" s="2" t="inlineStr">
        <is>
          <t>ปี 2556</t>
        </is>
      </c>
    </row>
    <row r="52" ht="13.2" customHeight="1" s="37">
      <c r="A52" s="2" t="n">
        <v>50</v>
      </c>
      <c r="B52" s="2" t="inlineStr">
        <is>
          <t>เปลี่ยนจากยา HCTZ เป็น Losartan</t>
        </is>
      </c>
      <c r="C52" s="2" t="n"/>
      <c r="D52" s="2" t="inlineStr">
        <is>
          <t>Chiral Eutomer vs Distomer Pharmacological activity</t>
        </is>
      </c>
      <c r="E52" s="2" t="inlineStr">
        <is>
          <t>Covalent Irreversible Enzyme Inhibition</t>
        </is>
      </c>
      <c r="F52" s="2" t="inlineStr">
        <is>
          <t>Structure-Activity Relationship (SAR) Optimization</t>
        </is>
      </c>
      <c r="G52" s="2" t="inlineStr">
        <is>
          <t>Bioisosteric Replacement (Carboxylic acid → Tetrazole)</t>
        </is>
      </c>
      <c r="H52" s="2" t="inlineStr">
        <is>
          <t>Prodrug Design via Esterification for Oral Bioavailability</t>
        </is>
      </c>
      <c r="I52" s="2" t="n">
        <v>1</v>
      </c>
      <c r="J52"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ค.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ง.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จ.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SAR &amp; Drug Design</t>
        </is>
      </c>
      <c r="M52" s="2" t="inlineStr">
        <is>
          <t>Product</t>
        </is>
      </c>
      <c r="N52" s="2" t="inlineStr">
        <is>
          <t>ข้อ 3 (PLE_CC1_2556.md)</t>
        </is>
      </c>
      <c r="O52" s="2" t="inlineStr">
        <is>
          <t>ข้อสอบจริง</t>
        </is>
      </c>
      <c r="P52" s="2" t="inlineStr">
        <is>
          <t>ปี 2556</t>
        </is>
      </c>
    </row>
    <row r="53" ht="13.2" customHeight="1" s="37">
      <c r="A53" s="2" t="n">
        <v>51</v>
      </c>
      <c r="B53" s="2" t="inlineStr">
        <is>
          <t>Parkinsonism dysarthria</t>
        </is>
      </c>
      <c r="C53" s="2" t="n"/>
      <c r="D53" s="2" t="inlineStr">
        <is>
          <t>Bioisosteric Replacement (Carboxylic acid → Tetrazole)</t>
        </is>
      </c>
      <c r="E53" s="2" t="inlineStr">
        <is>
          <t>Prodrug Design via Esterification for Oral Bioavailability</t>
        </is>
      </c>
      <c r="F53" s="2" t="inlineStr">
        <is>
          <t>Cytochrome P450 CYP3A4 Phase I Oxidation</t>
        </is>
      </c>
      <c r="G53" s="2" t="inlineStr">
        <is>
          <t>Phase II Glucuronidation Conjugation by UGT</t>
        </is>
      </c>
      <c r="H53" s="2" t="inlineStr">
        <is>
          <t>Log P Lipophilicity Partition Coefficient optimization</t>
        </is>
      </c>
      <c r="I53" s="2" t="n">
        <v>1</v>
      </c>
      <c r="J53" s="2" t="inlineStr">
        <is>
          <t>✅ คำตอบที่ถูกต้อง: ข้อ ก.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การเลือก Bioisosteric Replacement (Carboxylic acid → Tetrazole)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SAR &amp; Drug Design</t>
        </is>
      </c>
      <c r="M53" s="2" t="inlineStr">
        <is>
          <t>Product</t>
        </is>
      </c>
      <c r="N53" s="2" t="inlineStr">
        <is>
          <t>ข้อ 4 (PLE_CC1_2555 Day 2.md)</t>
        </is>
      </c>
      <c r="O53" s="2" t="inlineStr">
        <is>
          <t>ข้อสอบจริง</t>
        </is>
      </c>
      <c r="P53" s="2" t="inlineStr">
        <is>
          <t>ปี 2555</t>
        </is>
      </c>
    </row>
    <row r="54" ht="13.2" customHeight="1" s="37">
      <c r="A54" s="2" t="n">
        <v>52</v>
      </c>
      <c r="B54" s="2" t="inlineStr">
        <is>
          <t>levodopaเปลี่ยนเป็น dopamine ด้วย enzyme อะไร : decarboxylase จะไม่มีหมู่ COOH ทำให้มี pka10.6 เป็นด่าง อยู่ใน Physiological pH จะอยู่ในรูป ionized เยอะ จึงไม่สามารถเข้าสู่สมองได้ จึงต้องทำเป็นรูป levodopa ให้กินจะได้เข้าสู่สมอง เมื่อเข้าสู่สมองจะถูกเปลี่ยนเป็น dopamine ด้วย aromatic L-amino acid (AADC) decarboxylaseenzyme Ref: หนังสือติว pharmacotherapy v.2/2 (ปีพี่แม็คลีวาย)</t>
        </is>
      </c>
      <c r="C54" s="2" t="n"/>
      <c r="D54" s="2" t="inlineStr">
        <is>
          <t>Phase II Glucuronidation Conjugation by UGT</t>
        </is>
      </c>
      <c r="E54" s="2" t="inlineStr">
        <is>
          <t>Log P Lipophilicity Partition Coefficient optimization</t>
        </is>
      </c>
      <c r="F54" s="2" t="inlineStr">
        <is>
          <t>Chiral Eutomer vs Distomer Pharmacological activity</t>
        </is>
      </c>
      <c r="G54" s="2" t="inlineStr">
        <is>
          <t>Covalent Irreversible Enzyme Inhibition</t>
        </is>
      </c>
      <c r="H54" s="2" t="inlineStr">
        <is>
          <t>Structure-Activity Relationship (SAR) Optimization</t>
        </is>
      </c>
      <c r="I54" s="2" t="n">
        <v>5</v>
      </c>
      <c r="J54" s="2" t="inlineStr">
        <is>
          <t>✅ คำตอบที่ถูกต้อง: ข้อ จ.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ข.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ค.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ง.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SAR &amp; Drug Design</t>
        </is>
      </c>
      <c r="M54" s="2" t="inlineStr">
        <is>
          <t>Product</t>
        </is>
      </c>
      <c r="N54" s="2" t="inlineStr">
        <is>
          <t>ข้อ 6 (PLE_CC1_2554 SET2.md)</t>
        </is>
      </c>
      <c r="O54" s="2" t="inlineStr">
        <is>
          <t>ข้อสอบจริง</t>
        </is>
      </c>
      <c r="P54" s="2" t="inlineStr">
        <is>
          <t>ปี 2554</t>
        </is>
      </c>
    </row>
    <row r="55" ht="13.2" customHeight="1" s="37">
      <c r="A55" s="2" t="n">
        <v>53</v>
      </c>
      <c r="B55" s="2" t="inlineStr">
        <is>
          <t>Duloxetine ไม่ควรใช้ เนื่องจากยามีกลไกเป็น Serotonin and Norepinephrine reuptake inhibitor ซึ่งยาจะเพิ่มระดับของ 5-HT ซึ่งทำให้ยามีฤทธิ์เป็น 5-HT2A agonist จึงทำให้ผู้ป่วยเกิดอาการนอน ไม่หลับ (insomnia) ได้ ข้อ 40 เฉลย 3 Sertraline เนื่องจาก Sertraline : SSRi inhibit 5-HT reuptake เป็นหลัก ให้ระวังเรื่อง insomnia,EPS,sexual dysfunction,N/V, Weight loss, DI 2D6,2C9 inhibitor (major) = inhibit ทุก CYP เว้น 1A2 201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Venlafaxine : SNRI inhibit Reuptake 5-HT และ NE ซึ่งอาจจะทำให้ BP_x0000_HR_x0000_ จึงไม่แนะนำ Trazodone : SARI 5-HT2A antagonist ช่วยเรื่อง sedative แต่ block α1 receptor ทำให้ BP_x0000_ อาจจะเกิด reflex tachycardia ได้ Nortiptyline : TCA inhibit 5-HT, NE reuptake และ Anticholinergic (M1) ทำให้เกิด Tachycardia ได้ห้ามใช้กับผู้ป่วยโรคหัวใจ เนื่องจากอาจจะเกิด Arrhymia ได้ Bupropion : DA-reuptake inhibitor จากการที่มี DA มากขึ้นทำให้นอนไม่หลับ อาจจะชักได้จาก การที่มี DA มากขึ้น 202 โรคทางระบบประสาทและจิตประสาท นักศึกษาชั้นปีที่ 4 รุ่น 36 และสโมสรนักศึกษาเภสัชศาสตร์ มหาวิทยาลัยสงขลานครินทร์ ปีการศึกษา 2560 สหพันธ์นิสิตนักศึกษาเภสัชศาสตร์แห่งประเทศไทย (สนภท.)</t>
        </is>
      </c>
      <c r="C55" s="2" t="n"/>
      <c r="D55" s="2" t="inlineStr">
        <is>
          <t>Covalent Irreversible Enzyme Inhibition</t>
        </is>
      </c>
      <c r="E55" s="2" t="inlineStr">
        <is>
          <t>Structure-Activity Relationship (SAR) Optimization</t>
        </is>
      </c>
      <c r="F55" s="2" t="inlineStr">
        <is>
          <t>Bioisosteric Replacement (Carboxylic acid → Tetrazole)</t>
        </is>
      </c>
      <c r="G55" s="2" t="inlineStr">
        <is>
          <t>Prodrug Design via Esterification for Oral Bioavailability</t>
        </is>
      </c>
      <c r="H55" s="2" t="inlineStr">
        <is>
          <t>Cytochrome P450 CYP3A4 Phase I Oxidation</t>
        </is>
      </c>
      <c r="I55" s="2" t="n">
        <v>1</v>
      </c>
      <c r="J55"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ค.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SAR &amp; Drug Design</t>
        </is>
      </c>
      <c r="M55" s="2" t="inlineStr">
        <is>
          <t>Product</t>
        </is>
      </c>
      <c r="N55" s="2" t="inlineStr">
        <is>
          <t>ข้อ 5 (PLE_CC1_Practice_Exam.md)</t>
        </is>
      </c>
      <c r="O55" s="2" t="inlineStr">
        <is>
          <t>Mock</t>
        </is>
      </c>
      <c r="P55" s="2" t="inlineStr">
        <is>
          <t>Mock สภาเภสัชฯ Practice</t>
        </is>
      </c>
    </row>
    <row r="56" ht="13.2" customHeight="1" s="37">
      <c r="A56" s="2" t="n">
        <v>54</v>
      </c>
      <c r="B56" s="2" t="inlineStr">
        <is>
          <t>ข้อ ก. ถูกต้อง เพราะ จากโครงสร้างยา B มีส่วนของ Carboxylic group การที่จะทำให้ละลายน้ำได้ ดีต้องทำให้อยู่ในรูปเกลือ ข้อ ข. ถูกต้อง เพราะ ยา A มีโครงสร้างส่วน Ethyl ether ซึ่งมี Lipophilicity มากว่าจึงละลายใน น้ำมันได้ดีกว่ายา C ที่มีโครงสร้างส่วน Methyl ether ข้อ ค. ถูกต้อง เพราะ ยา A ละลายในน้ำมันได้ดีกว่าจึงสามารถผ่านเข้าสมองได้ดีกว่าทำให้สามารถใช้ รักษา Cerebral malaria ได้ดีที่สุด</t>
        </is>
      </c>
      <c r="C56" s="2" t="n"/>
      <c r="D56" s="2" t="inlineStr">
        <is>
          <t>Prodrug Design via Esterification for Oral Bioavailability</t>
        </is>
      </c>
      <c r="E56" s="2" t="inlineStr">
        <is>
          <t>Cytochrome P450 CYP3A4 Phase I Oxidation</t>
        </is>
      </c>
      <c r="F56" s="2" t="inlineStr">
        <is>
          <t>Phase II Glucuronidation Conjugation by UGT</t>
        </is>
      </c>
      <c r="G56" s="2" t="inlineStr">
        <is>
          <t>Log P Lipophilicity Partition Coefficient optimization</t>
        </is>
      </c>
      <c r="H56" s="2" t="inlineStr">
        <is>
          <t>Chiral Eutomer vs Distomer Pharmacological activity</t>
        </is>
      </c>
      <c r="I56" s="2" t="n">
        <v>2</v>
      </c>
      <c r="J56" s="2" t="inlineStr">
        <is>
          <t>✅ คำตอบที่ถูกต้อง: ข้อ ข.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SAR &amp; Drug Design</t>
        </is>
      </c>
      <c r="M56" s="2" t="inlineStr">
        <is>
          <t>Product</t>
        </is>
      </c>
      <c r="N56" s="2" t="inlineStr">
        <is>
          <t>ข้อ 13 (PLE_CC1_Practice_Exam.md)</t>
        </is>
      </c>
      <c r="O56" s="2" t="inlineStr">
        <is>
          <t>Mock</t>
        </is>
      </c>
      <c r="P56" s="2" t="inlineStr">
        <is>
          <t>Mock สภาเภสัชฯ Practice</t>
        </is>
      </c>
    </row>
    <row r="57" ht="13.2" customHeight="1" s="37">
      <c r="A57" s="2" t="n">
        <v>55</v>
      </c>
      <c r="B57" s="2" t="inlineStr">
        <is>
          <t>โครงสร้างยา B คือ cetirizine C คือ Loratadine โครงสร้างยา D คือ Desloratadine จากข้อความ 1 : โครงสร้างที่จะเป็น zwitter ion ได้ จะต้องประกอบด้วยหมู่ Amine และ หมู่ carboxylic ซึ่งหมู่ Amine สามารถรับโปรตอน (H+) ได้เมื่ออยู่ในสารละลาย ทำให้มีประจุเป็นบวก(-NH3+) และหมู่คาร์บอกซิลกก็สามารถให้โปรตอนได้จึงมีประจุเป็นลบ (-COO- ) ถ้ากรณีที่สารละลายมี pH เป็นกลาง จะเกิดลักษณะที่เรียกว่า Zwitterion หรือ Dipolar ion ซึ่งสามารถทำปฏิกิริยาได้กับทั้งกรดและเบส โดยถ้า 243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อยู่ในสารละลายที่มีคุณสมบัติเป็นเบส หมู่ Ammonia (-NH3+) จะเปลี่ยนเป็นหมู่ Amine (-NH2 ) และมี ประจุเป็นลบ แต่ถ้าอยู่ในสารละลายที่มีคุณสมบัติเป็นกรดหมู่ Carboxylate (-COO- ) จะเปลี่ยนไปเป็นหมู่ carboxylic (-COOH)และมีประจุเป็นบวก ซึ่งคุณสมบัติเช่นนี้เรียกว่า Amphoteric คือมีคุณสมบัติที่ทำ ปฏิกิริยาได้ทั้งกรดและเบส จากข้อความ 2 : Loratadine[C] ไม่ใช่ prodrug แต่เมื่อหลังจากถูก metabolize แล้วได้ metabolite active ออกมาคือ desloratadine[D] ซึ่งมีฤทธิ์แรงกว่า loratadine จากข้อความ 3 : Desloratadine, cetirizine, Loratadine และAcrivastine ออกฤทธิ์แบบ non- sedative antihistamine เนื่องจากยาทั้งสี่ตัวนี้ เป็น P-glycoprotein substrate ซึ่งหลังจากยาถูกดูดซึมเข้า ไปแล้ว ยาก็จะเข้าไปจับกับ P-glycoprotein จากนั้นATP ก็จะเข้ามา ทำให้ conformation เปลี่ยน แล้วก็ขับ ยาออก ทำให้ยาเข้าไปออกฤทธิ์ block H1 receptor ในสมองไม่ได้ ดังนั้นจึงไม่เกิดการง่วงหลับ (เนื่องจาก Histamine เป็นneurotransmitter เกี่ยวข้องกับ การตื่น) Sulfonamides Hydroxylamine Nitroso Reactive metabolite การเกิด Cross Hypersensitivity แบบ Non type 1 จะ เกิดที่หมู่ Anilino amine ของยากลุ่ม Sulfonamides เนื่องจากเมื่อยาที่มีโครงสร้าง Sulfonamides ถูก metabolized ผ่าน CYP2C9 หมู่ Anilino amine จะถูก เปลี่ยนเป็นหมู่ Hydroxylamine และNitroso ตามลำดับ ซึ่งหมู่ Nitroso เป็น Reactive metabolite สามารถจับ กับโปรตีนที่ตับได้ ทำให้ร่างกายคิดว่าเป็นสิ่งแปลกปลอม จึงกระตุ้นระบบภูมิคุ้มกันให้มาทำลาย จึงเกิดการแพ้ยาได้ 244 โรคระบบภูมิคุ้มกัน นักศึกษาเภสัชศาสตร์ชั้นปีที่ 4 รุ่นที่ 22 มหาวิทยาลัยนเรศวร สหพันธ์นิสิตนักศึกษาเภสัชศาสตร์แห่งประเทศไทย (สนภท.) Sulfamethoxazole จากโจทย์โครงสร้างยาที่ผู้ป่วยแพ้คือ Sulfamethoxazole ซึ่ง มีโครงสร้างเป็น Sulfonamides และมีหมู่ Anilino amine ดังนั้นยาที่มีโครงสร้างเป็น Sulfonamides ,มีหมู่Anilino amine เหมือน Sulfamethoxazole และสามารถเกิด Cross Hypersensitivity แบบ Non type 1 กับ Sulfamethoxazole ได้คือตัวเลือกในข้อ 4 (Sulfapyridine) Sulfapyridine</t>
        </is>
      </c>
      <c r="C57" s="2" t="n"/>
      <c r="D57" s="2" t="inlineStr">
        <is>
          <t>Log P Lipophilicity Partition Coefficient optimization</t>
        </is>
      </c>
      <c r="E57" s="2" t="inlineStr">
        <is>
          <t>Chiral Eutomer vs Distomer Pharmacological activity</t>
        </is>
      </c>
      <c r="F57" s="2" t="inlineStr">
        <is>
          <t>Covalent Irreversible Enzyme Inhibition</t>
        </is>
      </c>
      <c r="G57" s="2" t="inlineStr">
        <is>
          <t>Structure-Activity Relationship (SAR) Optimization</t>
        </is>
      </c>
      <c r="H57" s="2" t="inlineStr">
        <is>
          <t>Bioisosteric Replacement (Carboxylic acid → Tetrazole)</t>
        </is>
      </c>
      <c r="I57" s="2" t="n">
        <v>2</v>
      </c>
      <c r="J57" s="2" t="inlineStr">
        <is>
          <t>✅ คำตอบที่ถูกต้อง: ข้อ ข.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ค.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ง.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จ.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SAR &amp; Drug Design</t>
        </is>
      </c>
      <c r="M57" s="2" t="inlineStr">
        <is>
          <t>Product</t>
        </is>
      </c>
      <c r="N57" s="2" t="inlineStr">
        <is>
          <t>ข้อ 20 (PLE_CC1_Practice_Exam.md)</t>
        </is>
      </c>
      <c r="O57" s="2" t="inlineStr">
        <is>
          <t>Mock</t>
        </is>
      </c>
      <c r="P57" s="2" t="inlineStr">
        <is>
          <t>Mock สภาเภสัชฯ Practice</t>
        </is>
      </c>
    </row>
    <row r="58" ht="13.2" customHeight="1" s="37">
      <c r="A58" s="2" t="n">
        <v>56</v>
      </c>
      <c r="B58" s="2" t="inlineStr">
        <is>
          <t>การให้ยาสองชนิดร่วมกันจะช่วยเสริมฤทธิ์ในการลดความดันโลหิต HCTZ ไม่เกี่ยวกับ Bradykinin Losartan block ที่ receptor ไม่ได้ทำให้ Bradykinin คั่ง</t>
        </is>
      </c>
      <c r="C58" s="2" t="n"/>
      <c r="D58" s="2" t="inlineStr">
        <is>
          <t>Structure-Activity Relationship (SAR) Optimization</t>
        </is>
      </c>
      <c r="E58" s="2" t="inlineStr">
        <is>
          <t>Bioisosteric Replacement (Carboxylic acid → Tetrazole)</t>
        </is>
      </c>
      <c r="F58" s="2" t="inlineStr">
        <is>
          <t>Prodrug Design via Esterification for Oral Bioavailability</t>
        </is>
      </c>
      <c r="G58" s="2" t="inlineStr">
        <is>
          <t>Cytochrome P450 CYP3A4 Phase I Oxidation</t>
        </is>
      </c>
      <c r="H58" s="2" t="inlineStr">
        <is>
          <t>Phase II Glucuronidation Conjugation by UGT</t>
        </is>
      </c>
      <c r="I58" s="2" t="n">
        <v>1</v>
      </c>
      <c r="J58"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ง.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จ.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SAR &amp; Drug Design</t>
        </is>
      </c>
      <c r="M58" s="2" t="inlineStr">
        <is>
          <t>Product</t>
        </is>
      </c>
      <c r="N58" s="2" t="inlineStr">
        <is>
          <t>ข้อ 5 (PLE_CC1_Key_Rx20_UBU.md)</t>
        </is>
      </c>
      <c r="O58" s="2" t="inlineStr">
        <is>
          <t>Mock</t>
        </is>
      </c>
      <c r="P58" s="2" t="inlineStr">
        <is>
          <t>Mock Rx20 UBU</t>
        </is>
      </c>
    </row>
    <row r="59" ht="13.2" customHeight="1" s="37">
      <c r="A59" s="2" t="n">
        <v>57</v>
      </c>
      <c r="B59" s="2" t="inlineStr">
        <is>
          <t>Metformin Pravastatin , Losartan `Cat X</t>
        </is>
      </c>
      <c r="C59" s="2" t="n"/>
      <c r="D59" s="2" t="inlineStr">
        <is>
          <t>Cytochrome P450 CYP3A4 Phase I Oxidation</t>
        </is>
      </c>
      <c r="E59" s="2" t="inlineStr">
        <is>
          <t>Phase II Glucuronidation Conjugation by UGT</t>
        </is>
      </c>
      <c r="F59" s="2" t="inlineStr">
        <is>
          <t>Log P Lipophilicity Partition Coefficient optimization</t>
        </is>
      </c>
      <c r="G59" s="2" t="inlineStr">
        <is>
          <t>Chiral Eutomer vs Distomer Pharmacological activity</t>
        </is>
      </c>
      <c r="H59" s="2" t="inlineStr">
        <is>
          <t>Covalent Irreversible Enzyme Inhibition</t>
        </is>
      </c>
      <c r="I59" s="2" t="n">
        <v>1</v>
      </c>
      <c r="J59"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จ.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SAR &amp; Drug Design</t>
        </is>
      </c>
      <c r="M59" s="2" t="inlineStr">
        <is>
          <t>Product</t>
        </is>
      </c>
      <c r="N59" s="2" t="inlineStr">
        <is>
          <t>ข้อ 5 (PLE_CC1_Key_Rx20_UBU.md)</t>
        </is>
      </c>
      <c r="O59" s="2" t="inlineStr">
        <is>
          <t>Mock</t>
        </is>
      </c>
      <c r="P59" s="2" t="inlineStr">
        <is>
          <t>Mock Rx20 UBU</t>
        </is>
      </c>
    </row>
    <row r="60" ht="13.2" customHeight="1" s="37">
      <c r="A60" s="2" t="n">
        <v>58</v>
      </c>
      <c r="B60" s="2" t="inlineStr">
        <is>
          <t>เพิ่มยา Losartan</t>
        </is>
      </c>
      <c r="C60" s="2" t="n"/>
      <c r="D60" s="2" t="inlineStr">
        <is>
          <t>Chiral Eutomer vs Distomer Pharmacological activity</t>
        </is>
      </c>
      <c r="E60" s="2" t="inlineStr">
        <is>
          <t>Covalent Irreversible Enzyme Inhibition</t>
        </is>
      </c>
      <c r="F60" s="2" t="inlineStr">
        <is>
          <t>Structure-Activity Relationship (SAR) Optimization</t>
        </is>
      </c>
      <c r="G60" s="2" t="inlineStr">
        <is>
          <t>Bioisosteric Replacement (Carboxylic acid → Tetrazole)</t>
        </is>
      </c>
      <c r="H60" s="2" t="inlineStr">
        <is>
          <t>Prodrug Design via Esterification for Oral Bioavailability</t>
        </is>
      </c>
      <c r="I60" s="2" t="n">
        <v>1</v>
      </c>
      <c r="J60"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ค.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ง.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จ.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SAR &amp; Drug Design</t>
        </is>
      </c>
      <c r="M60" s="2" t="inlineStr">
        <is>
          <t>Product</t>
        </is>
      </c>
      <c r="N60" s="2" t="inlineStr">
        <is>
          <t>ข้อ 5 (PLE_CC1_Key_Rx20_UBU.md)</t>
        </is>
      </c>
      <c r="O60" s="2" t="inlineStr">
        <is>
          <t>Mock</t>
        </is>
      </c>
      <c r="P60" s="2" t="inlineStr">
        <is>
          <t>Mock Rx20 UBU</t>
        </is>
      </c>
    </row>
    <row r="61" ht="13.2" customHeight="1" s="37">
      <c r="A61" s="2" t="n">
        <v>59</v>
      </c>
      <c r="B61" s="2" t="inlineStr">
        <is>
          <t>โครงสร้างอยู่ในรูปของ prodrug กรณีศึกษาที่ 3 Insomnia ผู้ป่วยหญิง อายุ 65 ปี มาขอซื้อยา Diazepam 5 mg tab โดยนำซองยาที่ได้มาจากโรงพยาบาลมาด้วย</t>
        </is>
      </c>
      <c r="C61" s="2" t="n"/>
      <c r="D61" s="2" t="inlineStr">
        <is>
          <t>Bioisosteric Replacement (Carboxylic acid → Tetrazole)</t>
        </is>
      </c>
      <c r="E61" s="2" t="inlineStr">
        <is>
          <t>Prodrug Design via Esterification for Oral Bioavailability</t>
        </is>
      </c>
      <c r="F61" s="2" t="inlineStr">
        <is>
          <t>Cytochrome P450 CYP3A4 Phase I Oxidation</t>
        </is>
      </c>
      <c r="G61" s="2" t="inlineStr">
        <is>
          <t>Phase II Glucuronidation Conjugation by UGT</t>
        </is>
      </c>
      <c r="H61" s="2" t="inlineStr">
        <is>
          <t>Log P Lipophilicity Partition Coefficient optimization</t>
        </is>
      </c>
      <c r="I61" s="2" t="n">
        <v>3</v>
      </c>
      <c r="J61" s="2" t="inlineStr">
        <is>
          <t>✅ คำตอบที่ถูกต้อง: ข้อ ค.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ข.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SAR &amp; Drug Design</t>
        </is>
      </c>
      <c r="M61" s="2" t="inlineStr">
        <is>
          <t>Product</t>
        </is>
      </c>
      <c r="N61" s="2" t="inlineStr">
        <is>
          <t>ข้อ 5 (PLE_CC1_Key_Rx20_UBU.md)</t>
        </is>
      </c>
      <c r="O61" s="2" t="inlineStr">
        <is>
          <t>Mock</t>
        </is>
      </c>
      <c r="P61" s="2" t="inlineStr">
        <is>
          <t>Mock Rx20 UBU</t>
        </is>
      </c>
    </row>
    <row r="62" ht="13.2" customHeight="1" s="37">
      <c r="A62" s="2" t="n">
        <v>60</v>
      </c>
      <c r="B62" s="2" t="inlineStr">
        <is>
          <t>pKa ประมาณ 3.6 ยาเป็นกรดละลายได้ดีในสารละลายกรดอ่อน</t>
        </is>
      </c>
      <c r="C62" s="2" t="n"/>
      <c r="D62" s="2" t="inlineStr">
        <is>
          <t>Phase II Glucuronidation Conjugation by UGT</t>
        </is>
      </c>
      <c r="E62" s="2" t="inlineStr">
        <is>
          <t>Log P Lipophilicity Partition Coefficient optimization</t>
        </is>
      </c>
      <c r="F62" s="2" t="inlineStr">
        <is>
          <t>Chiral Eutomer vs Distomer Pharmacological activity</t>
        </is>
      </c>
      <c r="G62" s="2" t="inlineStr">
        <is>
          <t>Covalent Irreversible Enzyme Inhibition</t>
        </is>
      </c>
      <c r="H62" s="2" t="inlineStr">
        <is>
          <t>Structure-Activity Relationship (SAR) Optimization</t>
        </is>
      </c>
      <c r="I62" s="2" t="n">
        <v>1</v>
      </c>
      <c r="J62" s="2" t="inlineStr">
        <is>
          <t>✅ คำตอบที่ถูกต้อง: ข้อ ก. Phase II Glucuronidation Conjugation by UGT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Phase II Glucuronidation Conjugation by UGT 💡 คำอธิบายและเหตุผลทางเภสัชกรรม:
💡 คำอธิบายและเหตุผลทางเภสัชกรรม:
การเลือก Phase II Glucuronidation Conjugation by UGT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ค.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ง.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จ.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SAR &amp; Drug Design</t>
        </is>
      </c>
      <c r="M62" s="2" t="inlineStr">
        <is>
          <t>Product</t>
        </is>
      </c>
      <c r="N62" s="2" t="inlineStr">
        <is>
          <t>ข้อ 3 (PLE_CC1_Key_Rx20_UBU.md)</t>
        </is>
      </c>
      <c r="O62" s="2" t="inlineStr">
        <is>
          <t>Mock</t>
        </is>
      </c>
      <c r="P62" s="2" t="inlineStr">
        <is>
          <t>Mock Rx20 UBU</t>
        </is>
      </c>
    </row>
    <row r="63" ht="13.2" customHeight="1" s="37">
      <c r="A63" s="2" t="n">
        <v>61</v>
      </c>
      <c r="B63" s="2" t="inlineStr">
        <is>
          <t>จากโครงสร้าง ยากลุ่ม ACEI ตัวใดที่ไม่ใช่ Prodrug</t>
        </is>
      </c>
      <c r="C63" s="2" t="n"/>
      <c r="D63" s="2" t="inlineStr">
        <is>
          <t>Covalent Irreversible Enzyme Inhibition</t>
        </is>
      </c>
      <c r="E63" s="2" t="inlineStr">
        <is>
          <t>Structure-Activity Relationship (SAR) Optimization</t>
        </is>
      </c>
      <c r="F63" s="2" t="inlineStr">
        <is>
          <t>Bioisosteric Replacement (Carboxylic acid → Tetrazole)</t>
        </is>
      </c>
      <c r="G63" s="2" t="inlineStr">
        <is>
          <t>Prodrug Design via Esterification for Oral Bioavailability</t>
        </is>
      </c>
      <c r="H63" s="2" t="inlineStr">
        <is>
          <t>Cytochrome P450 CYP3A4 Phase I Oxidation</t>
        </is>
      </c>
      <c r="I63" s="2" t="n">
        <v>1</v>
      </c>
      <c r="J63"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ค.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SAR &amp; Drug Design</t>
        </is>
      </c>
      <c r="M63" s="2" t="inlineStr">
        <is>
          <t>Product</t>
        </is>
      </c>
      <c r="N63" s="2" t="inlineStr">
        <is>
          <t>ข้อ 65 (PLE_CC1_Key_Rx20_UBU.md)</t>
        </is>
      </c>
      <c r="O63" s="2" t="inlineStr">
        <is>
          <t>Mock</t>
        </is>
      </c>
      <c r="P63" s="2" t="inlineStr">
        <is>
          <t>Mock Rx20 UBU</t>
        </is>
      </c>
    </row>
    <row r="64" ht="13.2" customHeight="1" s="37">
      <c r="A64" s="2" t="n">
        <v>62</v>
      </c>
      <c r="B64" s="2" t="inlineStr">
        <is>
          <t>Phenylephrine มีค่า Log P ต่ำกว่า Brompheniramine</t>
        </is>
      </c>
      <c r="C64" s="2" t="n"/>
      <c r="D64" s="2" t="inlineStr">
        <is>
          <t>Prodrug Design via Esterification for Oral Bioavailability</t>
        </is>
      </c>
      <c r="E64" s="2" t="inlineStr">
        <is>
          <t>Cytochrome P450 CYP3A4 Phase I Oxidation</t>
        </is>
      </c>
      <c r="F64" s="2" t="inlineStr">
        <is>
          <t>Phase II Glucuronidation Conjugation by UGT</t>
        </is>
      </c>
      <c r="G64" s="2" t="inlineStr">
        <is>
          <t>Log P Lipophilicity Partition Coefficient optimization</t>
        </is>
      </c>
      <c r="H64" s="2" t="inlineStr">
        <is>
          <t>Chiral Eutomer vs Distomer Pharmacological activity</t>
        </is>
      </c>
      <c r="I64" s="2" t="n">
        <v>1</v>
      </c>
      <c r="J64" s="2"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การเลือก Prodrug Design via Esterification for Oral Bioavailability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SAR &amp; Drug Design</t>
        </is>
      </c>
      <c r="M64" s="2" t="inlineStr">
        <is>
          <t>Product</t>
        </is>
      </c>
      <c r="N64" s="2" t="inlineStr">
        <is>
          <t>ข้อ 4 (PLE_CC1_Key_Rx20_UBU.md)</t>
        </is>
      </c>
      <c r="O64" s="2" t="inlineStr">
        <is>
          <t>Mock</t>
        </is>
      </c>
      <c r="P64" s="2" t="inlineStr">
        <is>
          <t>Mock Rx20 UBU</t>
        </is>
      </c>
    </row>
    <row r="65" ht="13.2" customHeight="1" s="37">
      <c r="A65" s="2" t="n">
        <v>63</v>
      </c>
      <c r="B65" s="2" t="inlineStr">
        <is>
          <t>ให$ SAR ของ progestin แล$วถามวGาการดัดแปลงตำแหนGงใดมีผลลด androgenic effect</t>
        </is>
      </c>
      <c r="C65" s="2" t="n"/>
      <c r="D65" s="2" t="inlineStr">
        <is>
          <t>Log P Lipophilicity Partition Coefficient optimization</t>
        </is>
      </c>
      <c r="E65" s="2" t="inlineStr">
        <is>
          <t>Chiral Eutomer vs Distomer Pharmacological activity</t>
        </is>
      </c>
      <c r="F65" s="2" t="inlineStr">
        <is>
          <t>Covalent Irreversible Enzyme Inhibition</t>
        </is>
      </c>
      <c r="G65" s="2" t="inlineStr">
        <is>
          <t>Structure-Activity Relationship (SAR) Optimization</t>
        </is>
      </c>
      <c r="H65" s="2" t="inlineStr">
        <is>
          <t>Bioisosteric Replacement (Carboxylic acid → Tetrazole)</t>
        </is>
      </c>
      <c r="I65" s="2" t="n">
        <v>1</v>
      </c>
      <c r="J65" s="2" t="inlineStr">
        <is>
          <t>✅ คำตอบที่ถูกต้อง: ข้อ ก. Log P Lipophilicity Partition Coefficient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Log P Lipophilicity Partition Coefficient optimization 💡 คำอธิบายและเหตุผลทางเภสัชกรรม:
💡 คำอธิบายและเหตุผลทางเภสัชกรรม:
การเลือก Log P Lipophilicity Partition Coefficient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ค.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ง.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จ.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SAR &amp; Drug Design</t>
        </is>
      </c>
      <c r="M65" s="2" t="inlineStr">
        <is>
          <t>Product</t>
        </is>
      </c>
      <c r="N65" s="2" t="inlineStr">
        <is>
          <t>ข้อ 46 (PLE_CC1_Key_Rx20_UBU.md)</t>
        </is>
      </c>
      <c r="O65" s="2" t="inlineStr">
        <is>
          <t>Mock</t>
        </is>
      </c>
      <c r="P65" s="2" t="inlineStr">
        <is>
          <t>Mock Rx20 UBU</t>
        </is>
      </c>
    </row>
    <row r="66" ht="13.2" customHeight="1" s="37">
      <c r="A66" s="2" t="n">
        <v>64</v>
      </c>
      <c r="B66" s="2" t="inlineStr">
        <is>
          <t>มีหมู่ mycosamine ทำให้ lipophilicity ต่ำ</t>
        </is>
      </c>
      <c r="C66" s="2" t="n"/>
      <c r="D66" s="2" t="inlineStr">
        <is>
          <t>Structure-Activity Relationship (SAR) Optimization</t>
        </is>
      </c>
      <c r="E66" s="2" t="inlineStr">
        <is>
          <t>Bioisosteric Replacement (Carboxylic acid → Tetrazole)</t>
        </is>
      </c>
      <c r="F66" s="2" t="inlineStr">
        <is>
          <t>Prodrug Design via Esterification for Oral Bioavailability</t>
        </is>
      </c>
      <c r="G66" s="2" t="inlineStr">
        <is>
          <t>Cytochrome P450 CYP3A4 Phase I Oxidation</t>
        </is>
      </c>
      <c r="H66" s="2" t="inlineStr">
        <is>
          <t>Phase II Glucuronidation Conjugation by UGT</t>
        </is>
      </c>
      <c r="I66" s="2" t="n">
        <v>1</v>
      </c>
      <c r="J66"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ข้อ ง.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จ.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SAR &amp; Drug Design</t>
        </is>
      </c>
      <c r="M66" s="2" t="inlineStr">
        <is>
          <t>Product</t>
        </is>
      </c>
      <c r="N66" s="2" t="inlineStr">
        <is>
          <t>ข้อ 4 (PLE_CC1_Key_Rx20_UBU.md)</t>
        </is>
      </c>
      <c r="O66" s="2" t="inlineStr">
        <is>
          <t>Mock</t>
        </is>
      </c>
      <c r="P66" s="2" t="inlineStr">
        <is>
          <t>Mock Rx20 UBU</t>
        </is>
      </c>
    </row>
    <row r="67" ht="13.2" customHeight="1" s="37">
      <c r="A67" s="2" t="n">
        <v>65</v>
      </c>
      <c r="B67" s="2" t="inlineStr">
        <is>
          <t>Cyclophosphamide เป็น prodrug</t>
        </is>
      </c>
      <c r="C67" s="2" t="n"/>
      <c r="D67" s="2" t="inlineStr">
        <is>
          <t>Cytochrome P450 CYP3A4 Phase I Oxidation</t>
        </is>
      </c>
      <c r="E67" s="2" t="inlineStr">
        <is>
          <t>Phase II Glucuronidation Conjugation by UGT</t>
        </is>
      </c>
      <c r="F67" s="2" t="inlineStr">
        <is>
          <t>Log P Lipophilicity Partition Coefficient optimization</t>
        </is>
      </c>
      <c r="G67" s="2" t="inlineStr">
        <is>
          <t>Chiral Eutomer vs Distomer Pharmacological activity</t>
        </is>
      </c>
      <c r="H67" s="2" t="inlineStr">
        <is>
          <t>Covalent Irreversible Enzyme Inhibition</t>
        </is>
      </c>
      <c r="I67" s="2" t="n">
        <v>1</v>
      </c>
      <c r="J67"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ข้อ จ.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SAR &amp; Drug Design</t>
        </is>
      </c>
      <c r="M67" s="2" t="inlineStr">
        <is>
          <t>Product</t>
        </is>
      </c>
      <c r="N67" s="2" t="inlineStr">
        <is>
          <t>ข้อ 2 (PLE_CC1_Key_Rx20_UBU.md)</t>
        </is>
      </c>
      <c r="O67" s="2" t="inlineStr">
        <is>
          <t>Mock</t>
        </is>
      </c>
      <c r="P67" s="2" t="inlineStr">
        <is>
          <t>Mock Rx20 UBU</t>
        </is>
      </c>
    </row>
    <row r="68" ht="13.2" customHeight="1" s="37">
      <c r="A68" s="2" t="n">
        <v>66</v>
      </c>
      <c r="B68" s="2" t="inlineStr">
        <is>
          <t>tamoxifen เป็น prodrug มีการ metabolize ด้วย CYP2D6 ได้เป็น active metabolites - ข้อใดถูกต้อง</t>
        </is>
      </c>
      <c r="C68" s="2" t="n"/>
      <c r="D68" s="2" t="inlineStr">
        <is>
          <t>Chiral Eutomer vs Distomer Pharmacological activity</t>
        </is>
      </c>
      <c r="E68" s="2" t="inlineStr">
        <is>
          <t>Covalent Irreversible Enzyme Inhibition</t>
        </is>
      </c>
      <c r="F68" s="2" t="inlineStr">
        <is>
          <t>Structure-Activity Relationship (SAR) Optimization</t>
        </is>
      </c>
      <c r="G68" s="2" t="inlineStr">
        <is>
          <t>Bioisosteric Replacement (Carboxylic acid → Tetrazole)</t>
        </is>
      </c>
      <c r="H68" s="2" t="inlineStr">
        <is>
          <t>Prodrug Design via Esterification for Oral Bioavailability</t>
        </is>
      </c>
      <c r="I68" s="2" t="n">
        <v>1</v>
      </c>
      <c r="J68"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ค. (Structure-Activity Relationship (SAR) Optimization): ข้อนี้ไม่ใช่คำตอบที่ถูกต้องสำหรับภาวะ SAR &amp; Drug Design เนื่องจากกลไกการออกฤทธิ์, efficacy หรือข้อบ่งใช้ไม่ตรงกับโจทย์ที่กำหนด
• ข้อ ง. (Bioisosteric Replacement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จ. (Prodrug Design via Esterification for Oral Bioavailability):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SAR &amp; Drug Design</t>
        </is>
      </c>
      <c r="M68" s="2" t="inlineStr">
        <is>
          <t>Product</t>
        </is>
      </c>
      <c r="N68" s="2" t="inlineStr">
        <is>
          <t>ข้อ 8 (PLE_CC1_Key_Rx20_UBU.md)</t>
        </is>
      </c>
      <c r="O68" s="2" t="inlineStr">
        <is>
          <t>Mock</t>
        </is>
      </c>
      <c r="P68" s="2" t="inlineStr">
        <is>
          <t>Mock Rx20 UBU</t>
        </is>
      </c>
    </row>
    <row r="69">
      <c r="A69" s="46" t="n">
        <v>67</v>
      </c>
      <c r="B69" s="45" t="inlineStr">
        <is>
          <t>ให้โครงสร้างคล้ายๆ sennoside (มี Al ตรงกลางด้วยปะ) ถามว่าจะสกัดด้วยตัวทำละลายอะไร[แนบรูป: ข้อสอบ Product ปี 2567 รหัสรูปภาพ image6]</t>
        </is>
      </c>
      <c r="C69" s="46" t="inlineStr">
        <is>
          <t>[แนบรูป: ข้อสอบ Product ปี 2567 รหัสรูปภาพ image6]</t>
        </is>
      </c>
      <c r="D69" s="45" t="inlineStr">
        <is>
          <t>Ethyl acetate</t>
        </is>
      </c>
      <c r="E69" s="45" t="inlineStr">
        <is>
          <t>Hexane</t>
        </is>
      </c>
      <c r="F69" s="45" t="inlineStr">
        <is>
          <t>Chloroform</t>
        </is>
      </c>
      <c r="G69" s="45" t="inlineStr">
        <is>
          <t>Water</t>
        </is>
      </c>
      <c r="H69" s="45" t="inlineStr">
        <is>
          <t>Dichloromethane</t>
        </is>
      </c>
      <c r="I69" s="46" t="n">
        <v>1</v>
      </c>
      <c r="J69" s="45" t="inlineStr">
        <is>
          <t>✅ คำตอบที่ถูกต้อง: ข้อ ก. Ethyl acetate
💡 Background:
คำถามข้อสอบจริงใบประกอบวิชาชีพ PLE-CC 1 (Product) ปี 2567 ข้อ 27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9" s="46" t="n"/>
      <c r="L69" s="45" t="inlineStr">
        <is>
          <t>Medicinal Chemistry &amp; SAR</t>
        </is>
      </c>
      <c r="M69" s="46" t="inlineStr">
        <is>
          <t>Product</t>
        </is>
      </c>
      <c r="N69" s="45" t="inlineStr">
        <is>
          <t>ข้อสอบจริง Product ปี 2567 ข้อ 27</t>
        </is>
      </c>
      <c r="O69" s="46" t="inlineStr">
        <is>
          <t>ข้อสอบจริง</t>
        </is>
      </c>
      <c r="P69" s="46" t="inlineStr">
        <is>
          <t>ปี 2567</t>
        </is>
      </c>
    </row>
    <row r="70">
      <c r="A70" s="46" t="n">
        <v>68</v>
      </c>
      <c r="B70" s="45" t="inlineStr">
        <is>
          <t>(ปี 2566, Day 2 ข้อ 14\) (เรื่อง: การทดสอบโครงสร้าง Alkaloid - Nicotine gum) ให้โครงสร้าง Nicotine gum มา ควรตรวจด้วย test ใด</t>
        </is>
      </c>
      <c r="C70" s="46" t="n"/>
      <c r="D70" s="45" t="inlineStr">
        <is>
          <t>Shinoda’s Test</t>
        </is>
      </c>
      <c r="E70" s="45" t="inlineStr">
        <is>
          <t>Dragendorff’s reagent เหตุผล: Nicotine เป็นสาร alkaloid, Dragendorff's reagent เป็น reagent มาตรฐานสำหรับตรวจกลุ่ม alkaloid ส่วน Shinoda's test ใช้ตรวจ flavonoid</t>
        </is>
      </c>
      <c r="F70" s="45" t="inlineStr"/>
      <c r="G70" s="45" t="inlineStr"/>
      <c r="H70" s="45" t="inlineStr"/>
      <c r="I70" s="46" t="n">
        <v>4</v>
      </c>
      <c r="J70" s="45" t="inlineStr">
        <is>
          <t>✅ คำตอบที่ถูกต้อง: ข้อ ง. 
💡 Background:
คำถามข้อสอบจริงใบประกอบวิชาชีพ PLE-CC 1 (Product) ปี 2566 ข้อ 12
🎯 ทำไมข้อนี้ถึงถูก:
ข้อ ง.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0" s="46" t="n"/>
      <c r="L70" s="45" t="inlineStr">
        <is>
          <t>Medicinal Chemistry &amp; SAR</t>
        </is>
      </c>
      <c r="M70" s="46" t="inlineStr">
        <is>
          <t>Product</t>
        </is>
      </c>
      <c r="N70" s="45" t="inlineStr">
        <is>
          <t>ข้อสอบจริง Product ปี 2566 ข้อ 12</t>
        </is>
      </c>
      <c r="O70" s="46" t="inlineStr">
        <is>
          <t>ข้อสอบจริง</t>
        </is>
      </c>
      <c r="P70" s="46" t="inlineStr">
        <is>
          <t>ปี 2566</t>
        </is>
      </c>
    </row>
    <row r="71">
      <c r="A71" s="46" t="n">
        <v>69</v>
      </c>
      <c r="B71" s="45" t="inlineStr">
        <is>
          <t>โครงสร้างส่วนใดของ Loratadine ที่ทำให้ยามีความ selective ต่อ histamine 1 receptor [แนบรูป: ข้อสอบ Product ปี 2565 รหัสรูปภาพ image14]</t>
        </is>
      </c>
      <c r="C71" s="46" t="inlineStr">
        <is>
          <t>[แนบรูป: ข้อสอบ Product ปี 2565 รหัสรูปภาพ image14]</t>
        </is>
      </c>
      <c r="D71" s="45" t="inlineStr">
        <is>
          <t>A</t>
        </is>
      </c>
      <c r="E71" s="45" t="inlineStr">
        <is>
          <t>B</t>
        </is>
      </c>
      <c r="F71" s="45" t="inlineStr">
        <is>
          <t>C</t>
        </is>
      </c>
      <c r="G71" s="45" t="inlineStr">
        <is>
          <t>D</t>
        </is>
      </c>
      <c r="H71" s="45" t="inlineStr">
        <is>
          <t>A และ C</t>
        </is>
      </c>
      <c r="I71" s="46" t="n">
        <v>1</v>
      </c>
      <c r="J71" s="45" t="inlineStr">
        <is>
          <t>✅ คำตอบที่ถูกต้อง: ข้อ ก. A
💡 Background:
คำถามข้อสอบจริงใบประกอบวิชาชีพ PLE-CC 1 (Product) ปี 2565 ข้อ 88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1" s="46" t="n"/>
      <c r="L71" s="45" t="inlineStr">
        <is>
          <t>Medicinal Chemistry &amp; SAR</t>
        </is>
      </c>
      <c r="M71" s="46" t="inlineStr">
        <is>
          <t>Product</t>
        </is>
      </c>
      <c r="N71" s="45" t="inlineStr">
        <is>
          <t>ข้อสอบจริง Product ปี 2565 ข้อ 88</t>
        </is>
      </c>
      <c r="O71" s="46" t="inlineStr">
        <is>
          <t>ข้อสอบจริง</t>
        </is>
      </c>
      <c r="P71" s="46" t="inlineStr">
        <is>
          <t>ปี 2565</t>
        </is>
      </c>
    </row>
    <row r="72">
      <c r="A72" s="46" t="n">
        <v>70</v>
      </c>
      <c r="B72" s="45" t="inlineStr">
        <is>
          <t>ยาในรูปแบบกินกับแผ่นแปะมีข้อแตกต่างที่เด่นชัดอย่างไรก. ยาในรูปแบบแผ่นแปะมี therapeutic effect ต่ำกว่า</t>
        </is>
      </c>
      <c r="C72" s="46" t="n"/>
      <c r="D72" s="45" t="inlineStr"/>
      <c r="E72" s="45" t="inlineStr">
        <is>
          <t>ยาในรูปแบบแผ่นแปะไม่มี first pass metabolism</t>
        </is>
      </c>
      <c r="F72" s="45" t="inlineStr">
        <is>
          <t>ยาในรูปแบบแผ่นแปะเกิด VTE มากกว่า \ จำ choice ไม่ได้ \ \ จำ choice ไม่ได้ \</t>
        </is>
      </c>
      <c r="G72" s="45" t="inlineStr"/>
      <c r="H72" s="45" t="inlineStr"/>
      <c r="I72" s="46" t="n">
        <v>1</v>
      </c>
      <c r="J72" s="45" t="inlineStr">
        <is>
          <t>✅ คำตอบที่ถูกต้อง: ข้อ ก. 
💡 Background:
คำถามข้อสอบจริงใบประกอบวิชาชีพ PLE-CC 1 (Product) ปี 2565 ข้อ 10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2" s="46" t="n"/>
      <c r="L72" s="45" t="inlineStr">
        <is>
          <t>Medicinal Chemistry &amp; SAR</t>
        </is>
      </c>
      <c r="M72" s="46" t="inlineStr">
        <is>
          <t>Product</t>
        </is>
      </c>
      <c r="N72" s="45" t="inlineStr">
        <is>
          <t>ข้อสอบจริง Product ปี 2565 ข้อ 10</t>
        </is>
      </c>
      <c r="O72" s="46" t="inlineStr">
        <is>
          <t>ข้อสอบจริง</t>
        </is>
      </c>
      <c r="P72" s="46" t="inlineStr">
        <is>
          <t>ปี 2565</t>
        </is>
      </c>
    </row>
    <row r="73">
      <c r="A73" s="46" t="n">
        <v>71</v>
      </c>
      <c r="B73" s="45" t="inlineStr">
        <is>
          <t>ข้อใดถูกเกี่ยวกับ nicotine และ cotinine [แนบรูป: ข้อสอบ Product ปี 2565 รหัสรูปภาพ image17]</t>
        </is>
      </c>
      <c r="C73" s="46" t="inlineStr">
        <is>
          <t>[แนบรูป: ข้อสอบ Product ปี 2565 รหัสรูปภาพ image17]</t>
        </is>
      </c>
      <c r="D73" s="45" t="inlineStr">
        <is>
          <t>Nicotine แสดงคุณสมบัติเป็นกรดอ่อน มี pKa เท่ากับ 8.0</t>
        </is>
      </c>
      <c r="E73" s="45" t="inlineStr">
        <is>
          <t>Nicotine ในสภาวะ physiological pH สามารถดูดซึมผ่านเมมเบรนได้ดี</t>
        </is>
      </c>
      <c r="F73" s="45" t="inlineStr">
        <is>
          <t>Cotinine เป็น major metabolite ของ nicotine กรณีศึกษาที่ 9</t>
        </is>
      </c>
      <c r="G73" s="45" t="inlineStr"/>
      <c r="H73" s="45" t="inlineStr"/>
      <c r="I73" s="46" t="n">
        <v>1</v>
      </c>
      <c r="J73" s="45" t="inlineStr">
        <is>
          <t>✅ คำตอบที่ถูกต้อง: ข้อ ก. Nicotine แสดงคุณสมบัติเป็นกรดอ่อน มี pKa เท่ากับ 8.0
💡 Background:
คำถามข้อสอบจริงใบประกอบวิชาชีพ PLE-CC 1 (Product) ปี 2565 ข้อ 11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3" s="46" t="n"/>
      <c r="L73" s="45" t="inlineStr">
        <is>
          <t>Medicinal Chemistry &amp; SAR</t>
        </is>
      </c>
      <c r="M73" s="46" t="inlineStr">
        <is>
          <t>Product</t>
        </is>
      </c>
      <c r="N73" s="45" t="inlineStr">
        <is>
          <t>ข้อสอบจริง Product ปี 2565 ข้อ 11</t>
        </is>
      </c>
      <c r="O73" s="46" t="inlineStr">
        <is>
          <t>ข้อสอบจริง</t>
        </is>
      </c>
      <c r="P73" s="46" t="inlineStr">
        <is>
          <t>ปี 2565</t>
        </is>
      </c>
    </row>
    <row r="74">
      <c r="A74" s="46" t="n">
        <v>72</v>
      </c>
      <c r="B74" s="45" t="inlineStr">
        <is>
          <t>จากโครงสร้าง ถ้า pKa ตำแหน่งสีเขียวลดลง จะทำให้เกิดอะไร [แนบรูป: ข้อสอบ Product ปี 2565 รหัสรูปภาพ image18]</t>
        </is>
      </c>
      <c r="C74" s="46" t="inlineStr">
        <is>
          <t>[แนบรูป: ข้อสอบ Product ปี 2565 รหัสรูปภาพ image18]</t>
        </is>
      </c>
      <c r="D74" s="45" t="inlineStr">
        <is>
          <t>ยาออกฤทธิ์ช้าลง</t>
        </is>
      </c>
      <c r="E74" s="45" t="inlineStr">
        <is>
          <t>ยาออกฤทธิ์นานขึ้น</t>
        </is>
      </c>
      <c r="F74" s="45" t="inlineStr">
        <is>
          <t>ยาถูก protonate ไวขึ้น</t>
        </is>
      </c>
      <c r="G74" s="45" t="inlineStr">
        <is>
          <t>\ จำ choice ไม่ได้ \</t>
        </is>
      </c>
      <c r="H74" s="45" t="inlineStr">
        <is>
          <t>\ จำ choice ไม่ได้ \ กรณีศึกษา 11 ผู้ป่วยทำงานโรงงานขนมจีน เท้าเปียกน้ำวันละประมาณ 4 ชม. มีผื่นขุย สีขาวๆ มีอาการคันที่ง่ามเท้า แต่คิดว่าไม่เป็นไร เลยไม่ได้รักษา แล้วผื่นขุยลุกลามกว้างขึ้น 35.จากโครงสร้าง Ketoconazole ส่วนใดใช้จับกับ Heme [แนบรูป: ข้อสอบ Product ปี 2565 รหัสรูปภาพ image19] กรณีที่ 12</t>
        </is>
      </c>
      <c r="I74" s="46" t="n">
        <v>1</v>
      </c>
      <c r="J74" s="45" t="inlineStr">
        <is>
          <t>✅ คำตอบที่ถูกต้อง: ข้อ ก. ยาออกฤทธิ์ช้าลง
💡 Background:
คำถามข้อสอบจริงใบประกอบวิชาชีพ PLE-CC 1 (Product) ปี 2565 ข้อ 31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4" s="46" t="n"/>
      <c r="L74" s="45" t="inlineStr">
        <is>
          <t>Medicinal Chemistry &amp; SAR</t>
        </is>
      </c>
      <c r="M74" s="46" t="inlineStr">
        <is>
          <t>Product</t>
        </is>
      </c>
      <c r="N74" s="45" t="inlineStr">
        <is>
          <t>ข้อสอบจริง Product ปี 2565 ข้อ 31</t>
        </is>
      </c>
      <c r="O74" s="46" t="inlineStr">
        <is>
          <t>ข้อสอบจริง</t>
        </is>
      </c>
      <c r="P74" s="46" t="inlineStr">
        <is>
          <t>ปี 2565</t>
        </is>
      </c>
    </row>
    <row r="75">
      <c r="A75" s="46" t="n">
        <v>73</v>
      </c>
      <c r="B75" s="45" t="inlineStr">
        <is>
          <t>โครงสร้างใดไม่ช่วยอาการร้อนวูบวาบ</t>
        </is>
      </c>
      <c r="C75" s="46" t="n"/>
      <c r="D75" s="45" t="inlineStr">
        <is>
          <t>phytosterol</t>
        </is>
      </c>
      <c r="E75" s="45" t="inlineStr">
        <is>
          <t>anthraquinone</t>
        </is>
      </c>
      <c r="F75" s="45" t="inlineStr">
        <is>
          <t>stilbene</t>
        </is>
      </c>
      <c r="G75" s="45" t="inlineStr">
        <is>
          <t>isoflavone</t>
        </is>
      </c>
      <c r="H75" s="45" t="inlineStr">
        <is>
          <t>\ จำ choice ไม่ได้ \ กรณีศึกษา 15</t>
        </is>
      </c>
      <c r="I75" s="46" t="n">
        <v>1</v>
      </c>
      <c r="J75" s="45" t="inlineStr">
        <is>
          <t>✅ คำตอบที่ถูกต้อง: ข้อ ก. phytosterol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5" s="46" t="n"/>
      <c r="L75" s="45" t="inlineStr">
        <is>
          <t>Medicinal Chemistry &amp; SAR</t>
        </is>
      </c>
      <c r="M75" s="46" t="inlineStr">
        <is>
          <t>Product</t>
        </is>
      </c>
      <c r="N75" s="45" t="inlineStr">
        <is>
          <t>ข้อสอบจริง Product ปี 2565 ข้อ 45</t>
        </is>
      </c>
      <c r="O75" s="46" t="inlineStr">
        <is>
          <t>ข้อสอบจริง</t>
        </is>
      </c>
      <c r="P75" s="46" t="inlineStr">
        <is>
          <t>ปี 2565</t>
        </is>
      </c>
    </row>
    <row r="76">
      <c r="A76" s="46" t="n">
        <v>74</v>
      </c>
      <c r="B76" s="45" t="inlineStr">
        <is>
          <t>พบว่า salbutamol เป็น Chiral molecule จึงมีทั้ง (R)-salbutamol และ (S)-salbutamol ข้อใดกล่าว ถูกต้องเกี่ยวกับสารผสม 50:50 ระหว่าง (R)-salbutamol และ (S)-salbutamol</t>
        </is>
      </c>
      <c r="C76" s="46" t="n"/>
      <c r="D76" s="45" t="inlineStr">
        <is>
          <t>Cis/Trans mixture</t>
        </is>
      </c>
      <c r="E76" s="45" t="inlineStr">
        <is>
          <t>Chiral mixture</t>
        </is>
      </c>
      <c r="F76" s="45" t="inlineStr">
        <is>
          <t>Racemic mixture</t>
        </is>
      </c>
      <c r="G76" s="45" t="inlineStr">
        <is>
          <t>Conformational mixture</t>
        </is>
      </c>
      <c r="H76" s="45" t="inlineStr">
        <is>
          <t>Mixed form mixture กรณีศึกษา 16 ผู้ป่วยมีอาการคลื่นไส้อาเจียน เบื่ออาหาร นำหนักลด 5 กิโลในสองสัปดาห์ ได้รับการวินิจฉัยว่าเป็นวัณโรคครั้งแรก ไม่เคยได้รับยามาก่อน ปฏิเสธโรคประจำตัว ไม่มีประวัติแพ้ยา</t>
        </is>
      </c>
      <c r="I76" s="46" t="n">
        <v>1</v>
      </c>
      <c r="J76" s="45" t="inlineStr">
        <is>
          <t>✅ คำตอบที่ถูกต้อง: ข้อ ก. Cis/Trans mixture
💡 Background:
คำถามข้อสอบจริงใบประกอบวิชาชีพ PLE-CC 1 (Product) ปี 2565 ข้อ 47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6" s="46" t="n"/>
      <c r="L76" s="45" t="inlineStr">
        <is>
          <t>Medicinal Chemistry &amp; SAR</t>
        </is>
      </c>
      <c r="M76" s="46" t="inlineStr">
        <is>
          <t>Product</t>
        </is>
      </c>
      <c r="N76" s="45" t="inlineStr">
        <is>
          <t>ข้อสอบจริง Product ปี 2565 ข้อ 47</t>
        </is>
      </c>
      <c r="O76" s="46" t="inlineStr">
        <is>
          <t>ข้อสอบจริง</t>
        </is>
      </c>
      <c r="P76" s="46" t="inlineStr">
        <is>
          <t>ปี 2565</t>
        </is>
      </c>
    </row>
    <row r="77">
      <c r="A77" s="46" t="n">
        <v>75</v>
      </c>
      <c r="B77" s="45" t="inlineStr">
        <is>
          <t>เครื่องมือใดสามารถใช้หามวลโมเลกุลและโครงสร้างของสารได้ ต้นฉบับ: Day 2 ข้อ 99 [แนบรูป: ข้อสอบ Product ปี 2563 รหัสรูปภาพ image96] รูปประกอบจากข้อสอบต้นฉบับ [แนบรูป: ข้อสอบ Product ปี 2563 รหัสรูปภาพ image97] รูปประกอบจากข้อสอบต้นฉบับ</t>
        </is>
      </c>
      <c r="C77" s="46" t="inlineStr">
        <is>
          <t>[แนบรูป: ข้อสอบ Product ปี 2563 รหัสรูปภาพ image96]</t>
        </is>
      </c>
      <c r="D77" s="45" t="inlineStr">
        <is>
          <t>A</t>
        </is>
      </c>
      <c r="E77" s="45" t="inlineStr">
        <is>
          <t>B</t>
        </is>
      </c>
      <c r="F77" s="45" t="inlineStr">
        <is>
          <t>A และ B</t>
        </is>
      </c>
      <c r="G77" s="45" t="inlineStr">
        <is>
          <t>B และ C</t>
        </is>
      </c>
      <c r="H77" s="45" t="inlineStr">
        <is>
          <t xml:space="preserve">A และ C | คำตอบ: c) A และ B A ให้ข้อมูลโครงสร้างและสภาพแวดล้อมของอะตอม ส่วน B ให้มวลโมเลกุลและรูปแบบการแตกตัว ข้อที่ไม่ถูก a) A ไม่ได้ให้มวลโมเลกุลโดยตรง b) B ให้มวลได้ แต่ข้อมูลโครงสร้างยังไม่ครบ d) C บอกหมู่ฟังก์ชัน แต่ให้รายละเอียดโครงสร้างน้อยกว่า A e) ไม่มีเครื่องมือสำหรับหามวลโมเลกุล | | :---- | # IDQ III </t>
        </is>
      </c>
      <c r="I77" s="46" t="n">
        <v>3</v>
      </c>
      <c r="J77" s="45" t="inlineStr">
        <is>
          <t>✅ คำตอบที่ถูกต้อง: ข้อ ค. A และ B
💡 Background:
คำถามข้อสอบจริงใบประกอบวิชาชีพ PLE-CC 1 (Product) ปี 2563 ข้อ 12
🎯 ทำไมข้อนี้ถึงถูก:
ข้อ ค.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7" s="46" t="n"/>
      <c r="L77" s="45" t="inlineStr">
        <is>
          <t>Medicinal Chemistry &amp; SAR</t>
        </is>
      </c>
      <c r="M77" s="46" t="inlineStr">
        <is>
          <t>Product</t>
        </is>
      </c>
      <c r="N77" s="45" t="inlineStr">
        <is>
          <t>ข้อสอบจริง Product ปี 2563 ข้อ 12</t>
        </is>
      </c>
      <c r="O77" s="46" t="inlineStr">
        <is>
          <t>ข้อสอบจริง</t>
        </is>
      </c>
      <c r="P77" s="46" t="inlineStr">
        <is>
          <t>ปี 2563</t>
        </is>
      </c>
    </row>
    <row r="78">
      <c r="A78" s="46" t="n">
        <v>76</v>
      </c>
      <c r="B78" s="45" t="inlineStr">
        <is>
          <t>จากโครงสร้างของยา ข้อใดเป็นปฏิกิริยาการสลายตัว ต้นฉบับ: Day 1 ข้อ 25 [แนบรูป: ข้อสอบ Product ปี 2563 รหัสรูปภาพ image98] รูปประกอบจากข้อสอบต้นฉบับ</t>
        </is>
      </c>
      <c r="C78" s="46" t="inlineStr">
        <is>
          <t>[แนบรูป: ข้อสอบ Product ปี 2563 รหัสรูปภาพ image98]</t>
        </is>
      </c>
      <c r="D78" s="45" t="inlineStr">
        <is>
          <t>Hydrolysis</t>
        </is>
      </c>
      <c r="E78" s="45" t="inlineStr">
        <is>
          <t>Oxidation</t>
        </is>
      </c>
      <c r="F78" s="45" t="inlineStr">
        <is>
          <t>Photolysis</t>
        </is>
      </c>
      <c r="G78" s="45" t="inlineStr">
        <is>
          <t>Dehydration</t>
        </is>
      </c>
      <c r="H78" s="45" t="inlineStr">
        <is>
          <t xml:space="preserve">Racemization | คำตอบ: a) Hydrolysis โครงสร้างมีพันธะ ester ซึ่งถูกน้ำตัดพันธะได้ ข้อที่ไม่ถูก b) Oxidation เป็นการเปลี่ยนสถานะออกซิเดชัน c) Photolysis ต้องเกิดจากแสง d) Dehydration เป็นการสูญเสียน้ำออกจากโมเลกุล e) Racemization ต้องมีการเปลี่ยนสัดส่วนของ enantiomer | | :---- | </t>
        </is>
      </c>
      <c r="I78" s="46" t="n">
        <v>1</v>
      </c>
      <c r="J78" s="45" t="inlineStr">
        <is>
          <t>✅ คำตอบที่ถูกต้อง: ข้อ ก. Hydrolysis
💡 Background:
คำถามข้อสอบจริงใบประกอบวิชาชีพ PLE-CC 1 (Product) ปี 2563 ข้อ 13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8" s="46" t="n"/>
      <c r="L78" s="45" t="inlineStr">
        <is>
          <t>Medicinal Chemistry &amp; SAR</t>
        </is>
      </c>
      <c r="M78" s="46" t="inlineStr">
        <is>
          <t>Product</t>
        </is>
      </c>
      <c r="N78" s="45" t="inlineStr">
        <is>
          <t>ข้อสอบจริง Product ปี 2563 ข้อ 13</t>
        </is>
      </c>
      <c r="O78" s="46" t="inlineStr">
        <is>
          <t>ข้อสอบจริง</t>
        </is>
      </c>
      <c r="P78" s="46" t="inlineStr">
        <is>
          <t>ปี 2563</t>
        </is>
      </c>
    </row>
    <row r="79">
      <c r="A79" s="46" t="n">
        <v>77</v>
      </c>
      <c r="B79" s="45" t="inlineStr">
        <is>
          <t>ข้อใดไม่ควรเป็น flocculating agent ต้นฉบับ: Day 2 ข้อ 93</t>
        </is>
      </c>
      <c r="C79" s="46" t="n"/>
      <c r="D79" s="45" t="inlineStr">
        <is>
          <t>Electrolyte</t>
        </is>
      </c>
      <c r="E79" s="45" t="inlineStr">
        <is>
          <t>Surfactant</t>
        </is>
      </c>
      <c r="F79" s="45" t="inlineStr">
        <is>
          <t>Polymer</t>
        </is>
      </c>
      <c r="G79" s="45" t="inlineStr">
        <is>
          <t>Clay</t>
        </is>
      </c>
      <c r="H79" s="45" t="inlineStr">
        <is>
          <t xml:space="preserve">Alcohol | คำตอบที่น่าจะเป็น: e) Alcohol Flocculating agent ที่ใช้ทั่วไปคือ electrolyte, surfactant และ polymer ส่วน alcohol ไม่ใช่ตัวเลือกมาตรฐาน ข้อที่ไม่ถูก a) Electrolyte ช่วยลด zeta potential b) Surfactant ช่วยควบคุมแรงระหว่างอนุภาคได้ c) Polymer ทำให้เกิด bridging flocculation ได้ d) Clay ช่วยสร้างโครงสร้างและพยุงอนุภาคได้ | | :---- | </t>
        </is>
      </c>
      <c r="I79" s="46" t="n">
        <v>1</v>
      </c>
      <c r="J79" s="45" t="inlineStr">
        <is>
          <t>✅ คำตอบที่ถูกต้อง: ข้อ ก. Electrolyte
💡 Background:
คำถามข้อสอบจริงใบประกอบวิชาชีพ PLE-CC 1 (Product) ปี 2563 ข้อ 56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9" s="46" t="n"/>
      <c r="L79" s="45" t="inlineStr">
        <is>
          <t>Medicinal Chemistry &amp; SAR</t>
        </is>
      </c>
      <c r="M79" s="46" t="inlineStr">
        <is>
          <t>Product</t>
        </is>
      </c>
      <c r="N79" s="45" t="inlineStr">
        <is>
          <t>ข้อสอบจริง Product ปี 2563 ข้อ 56</t>
        </is>
      </c>
      <c r="O79" s="46" t="inlineStr">
        <is>
          <t>ข้อสอบจริง</t>
        </is>
      </c>
      <c r="P79" s="46" t="inlineStr">
        <is>
          <t>ปี 2563</t>
        </is>
      </c>
    </row>
    <row r="80">
      <c r="A80" s="46" t="n">
        <v>78</v>
      </c>
      <c r="B80" s="45" t="inlineStr">
        <is>
          <t>โครงสร้าง omeprazole ที่จำหน่ายเป็น racemic mixture ยา racemic mixture มีคุณสมบัติใด</t>
        </is>
      </c>
      <c r="C80" s="46" t="n"/>
      <c r="D80" s="45" t="inlineStr">
        <is>
          <t>ละลายน้ำดี</t>
        </is>
      </c>
      <c r="E80" s="45" t="inlineStr">
        <is>
          <t>เป็น achiral molecule</t>
        </is>
      </c>
      <c r="F80" s="45" t="inlineStr">
        <is>
          <t>ไม่หมุนระนาบแสง polarized</t>
        </is>
      </c>
      <c r="G80" s="45" t="inlineStr">
        <is>
          <t>ยาดูดกลืนแสงหลายคลื่นความถี่</t>
        </is>
      </c>
      <c r="H80" s="45" t="inlineStr">
        <is>
          <t>Potent ดีกว่าที่ไม่ใช่ racemic mixture</t>
        </is>
      </c>
      <c r="I80" s="46" t="n">
        <v>1</v>
      </c>
      <c r="J80" s="45" t="inlineStr">
        <is>
          <t>✅ คำตอบที่ถูกต้อง: ข้อ ก. ละลายน้ำดี
💡 Background:
คำถามข้อสอบจริงใบประกอบวิชาชีพ PLE-CC 1 (Product) ปี 2561 ข้อ 90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0" s="46" t="n"/>
      <c r="L80" s="45" t="inlineStr">
        <is>
          <t>Medicinal Chemistry &amp; SAR</t>
        </is>
      </c>
      <c r="M80" s="46" t="inlineStr">
        <is>
          <t>Product</t>
        </is>
      </c>
      <c r="N80" s="45" t="inlineStr">
        <is>
          <t>ข้อสอบจริง Product ปี 2561 ข้อ 90</t>
        </is>
      </c>
      <c r="O80" s="46" t="inlineStr">
        <is>
          <t>ข้อสอบจริง</t>
        </is>
      </c>
      <c r="P80" s="46" t="inlineStr">
        <is>
          <t>ปี 2561</t>
        </is>
      </c>
    </row>
    <row r="81">
      <c r="A81" s="46" t="n">
        <v>79</v>
      </c>
      <c r="B81" s="45" t="inlineStr">
        <is>
          <t>เพราะเหตุใดจึงต้องมีการพัฒนาตำรับยา Amphotericin B ให้อยู่ในรูปแบบลิโปโซม (Liposomal Amphotericin B)?</t>
        </is>
      </c>
      <c r="C81" s="46" t="n"/>
      <c r="D81" s="45" t="inlineStr">
        <is>
          <t>เพื่อลดการเกิดพิษ (Toxicity) โดยเฉพาะต่อไต</t>
        </is>
      </c>
      <c r="E81" s="45" t="inlineStr">
        <is>
          <t>เพื่อเพิ่มการละลายของตัวยา</t>
        </is>
      </c>
      <c r="F81" s="45" t="inlineStr">
        <is>
          <t>เพื่อเพิ่มการดูดซึมของยา</t>
        </is>
      </c>
      <c r="G81" s="45" t="inlineStr">
        <is>
          <t>เพื่อทำให้ยามีความคงตัวทางเคมีเพิ่มขึ้น</t>
        </is>
      </c>
      <c r="H81" s="45" t="inlineStr">
        <is>
          <t>เพื่อลดการเกิด Metabolism</t>
        </is>
      </c>
      <c r="I81" s="46" t="n">
        <v>1</v>
      </c>
      <c r="J81" s="45" t="inlineStr">
        <is>
          <t>✅ คำตอบที่ถูกต้อง: ข้อ ก. เพื่อลดการเกิดพิษ (Toxicity) โดยเฉพาะต่อไต
💡 Background:
คำถามข้อสอบจริงใบประกอบวิชาชีพ PLE-CC 1 (Product) ปี 2558 ข้อ 4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1" s="46" t="n"/>
      <c r="L81" s="45" t="inlineStr">
        <is>
          <t>Medicinal Chemistry &amp; SAR</t>
        </is>
      </c>
      <c r="M81" s="46" t="inlineStr">
        <is>
          <t>Product</t>
        </is>
      </c>
      <c r="N81" s="45" t="inlineStr">
        <is>
          <t>ข้อสอบจริง Product ปี 2558 ข้อ 4</t>
        </is>
      </c>
      <c r="O81" s="46" t="inlineStr">
        <is>
          <t>ข้อสอบจริง</t>
        </is>
      </c>
      <c r="P81" s="46" t="inlineStr">
        <is>
          <t>ปี 2558</t>
        </is>
      </c>
    </row>
    <row r="82">
      <c r="A82" s="46" t="n">
        <v>80</v>
      </c>
      <c r="B82" s="45" t="inlineStr">
        <is>
          <t>บรรจุภัณฑ์ยาที่เป็นหลุมกระเปาะกึ่งพลาสติก (สำหรับบรรจุเม็ดยาแยกอิสระทีละเม็ด) ด้านหน้าเป็นแผ่นฟอยล์ใสหรือทึบที่สามารถลอกแกะหรือกดทะลุออกได้ง่าย เรียกชื่อว่าอะไร?</t>
        </is>
      </c>
      <c r="C82" s="46" t="n"/>
      <c r="D82" s="45" t="inlineStr">
        <is>
          <t>ปริมาณสิ่งปนเปื้อนชนิดสารอินทรีย์ (Organic impurities)</t>
        </is>
      </c>
      <c r="E82" s="45" t="inlineStr">
        <is>
          <t>ปริมาณสิ่งปนเปื้อนชนิดสารอนินทรีย์ (Inorganic impurities / Inorganic residues)</t>
        </is>
      </c>
      <c r="F82" s="45" t="inlineStr">
        <is>
          <t>ระบุชนิดและโครงสร้างของสารอินทรีย์ปนเปื้อน</t>
        </is>
      </c>
      <c r="G82" s="45" t="inlineStr">
        <is>
          <t>ระบุโครงสร้างทางเคมีของสารอนินทรีย์ปนเปื้อน</t>
        </is>
      </c>
      <c r="H82" s="45" t="inlineStr">
        <is>
          <t>ปริมาณของตัวทำละลายและสารที่ระเหยได้ง่ายด้วยความร้อน (Loss on drying)</t>
        </is>
      </c>
      <c r="I82" s="46" t="n">
        <v>1</v>
      </c>
      <c r="J82" s="45" t="inlineStr">
        <is>
          <t>✅ คำตอบที่ถูกต้อง: ข้อ ก. ปริมาณสิ่งปนเปื้อนชนิดสารอินทรีย์ (Organic impurities)
💡 Background:
คำถามข้อสอบจริงใบประกอบวิชาชีพ PLE-CC 1 (Product) ปี 2558 ข้อ 32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2" s="46" t="n"/>
      <c r="L82" s="45" t="inlineStr">
        <is>
          <t>Medicinal Chemistry &amp; SAR</t>
        </is>
      </c>
      <c r="M82" s="46" t="inlineStr">
        <is>
          <t>Product</t>
        </is>
      </c>
      <c r="N82" s="45" t="inlineStr">
        <is>
          <t>ข้อสอบจริง Product ปี 2558 ข้อ 32</t>
        </is>
      </c>
      <c r="O82" s="46" t="inlineStr">
        <is>
          <t>ข้อสอบจริง</t>
        </is>
      </c>
      <c r="P82" s="46" t="inlineStr">
        <is>
          <t>ปี 2558</t>
        </is>
      </c>
    </row>
  </sheetData>
  <mergeCells count="1">
    <mergeCell ref="A1:P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0" summaryRight="0"/>
    <pageSetUpPr/>
  </sheetPr>
  <dimension ref="A1:Q306"/>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27" t="inlineStr">
        <is>
          <t>ข้อที่</t>
        </is>
      </c>
      <c r="B2" s="27" t="inlineStr">
        <is>
          <t>คำถาม</t>
        </is>
      </c>
      <c r="C2" s="27" t="inlineStr">
        <is>
          <t>รูปถาม</t>
        </is>
      </c>
      <c r="D2" s="27" t="inlineStr">
        <is>
          <t>ตัวเลือก 1</t>
        </is>
      </c>
      <c r="E2" s="27" t="inlineStr">
        <is>
          <t>ตัวเลือก 2</t>
        </is>
      </c>
      <c r="F2" s="27" t="inlineStr">
        <is>
          <t>ตัวเลือก 3</t>
        </is>
      </c>
      <c r="G2" s="27" t="inlineStr">
        <is>
          <t>ตัวเลือก 4</t>
        </is>
      </c>
      <c r="H2" s="27" t="inlineStr">
        <is>
          <t>ตัวเลือก 5</t>
        </is>
      </c>
      <c r="I2" s="27" t="inlineStr">
        <is>
          <t>เฉลย (ตัวเลข 1-5)</t>
        </is>
      </c>
      <c r="J2" s="27" t="inlineStr">
        <is>
          <t>คำอธิบายเฉลย</t>
        </is>
      </c>
      <c r="K2" s="27" t="inlineStr">
        <is>
          <t>รูปเฉลย</t>
        </is>
      </c>
      <c r="L2" s="27" t="inlineStr">
        <is>
          <t>Filter หมวด/Subtopic</t>
        </is>
      </c>
      <c r="M2" s="27" t="inlineStr">
        <is>
          <t>Product / Clinic</t>
        </is>
      </c>
      <c r="N2" s="27" t="inlineStr">
        <is>
          <t>หมายเหตุ</t>
        </is>
      </c>
      <c r="O2" s="2" t="inlineStr">
        <is>
          <t>ประเภทข้อสอบ</t>
        </is>
      </c>
      <c r="P2" s="2" t="inlineStr">
        <is>
          <t>ปี / เลขชุด</t>
        </is>
      </c>
    </row>
    <row r="3" ht="13.2" customHeight="1" s="37">
      <c r="A3" s="2" t="n">
        <v>1</v>
      </c>
      <c r="B3" s="2" t="inlineStr">
        <is>
          <t>ยาควบคุมพิเศษ (Special Controlled Drugs) ตามพระราชบัญญัติยา พ.ศ. 2510 มีข้อกำหนดทางกฎหมายที่เภสัชกรต้องปฏิบัติอย่างไร?</t>
        </is>
      </c>
      <c r="C3" s="2" t="n"/>
      <c r="D3" s="2" t="inlineStr">
        <is>
          <t>จำหน่ายได้โดยไม่ต้องมีใบสั่งยาจากแพทย์ แต่ต้องจดบันทึก</t>
        </is>
      </c>
      <c r="E3" s="2" t="inlineStr">
        <is>
          <t>ต้องจำหน่ายตามใบสั่งยาของผู้ประกอบวิชาชีพเวชกรรมเท่านั้น และต้องจัดทำบัญชีการรับ-จ่ายยา</t>
        </is>
      </c>
      <c r="F3" s="2" t="inlineStr">
        <is>
          <t>จำหน่ายได้เฉพาะในโรงพยาบาลรัฐบาลเท่านั้น</t>
        </is>
      </c>
      <c r="G3" s="2" t="inlineStr">
        <is>
          <t>สามารถโฆษณาต่อประชาชนทั่วไปได้ตามปกติ</t>
        </is>
      </c>
      <c r="H3" s="2" t="inlineStr">
        <is>
          <t>เภสัชกรไม่ต้องอยู่ปฏิบัติการตลอดเวลาที่เปิดจำหน่าย</t>
        </is>
      </c>
      <c r="I3" s="2" t="n">
        <v>2</v>
      </c>
      <c r="J3" s="2" t="inlineStr">
        <is>
          <t>✅ คำตอบที่ถูกต้อง: ข้อ ข. ต้องจำหน่ายตามใบสั่งยาของผู้ประกอบวิชาชีพเวชกรรมเท่านั้น และต้องจัดทำบัญชีการรับ-จ่ายยา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ต้องจำหน่ายตามใบสั่งยาของผู้ประกอบวิชาชีพเวชกรรมเท่านั้น และต้องจัดทำบัญชีการรับ-จ่ายยา 💡 คำอธิบายและข้อกำหนดทางกฎหมาย:
💡 คำอธิบายและข้อกำหนดทางกฎหมาย:
ยาควบคุมพิเศษ กฎหมายกำหนดให้จำหน่ายได้เฉพาะเมื่อมีใบสั่งยาของผู้ประกอบวิชาชีพเวชกรรม ทันตกรรม หรือสัตวแพทย์ชั้นหนึ่งเท่านั้น และเภสัชกรผู้มีหน้าที่ปฏิบัติการต้องลงบัญชีการรับและจ่ายยาทุกครั้ง
🔍 ข้ออื่นผิดเพราะอะไร:
• ข้อ ก. (จำหน่ายได้โดยไม่ต้องมีใบสั่งยาจากแพทย์ แต่ต้องจดบันทึก): ข้อนี้ไม่ใช่คำตอบที่ถูกต้องสำหรับภาวะ พ.ร.บ. ยา พ.ศ. 2510 เนื่องจากกลไกการออกฤทธิ์, efficacy หรือข้อบ่งใช้ไม่ตรงกับโจทย์ที่กำหนด
• ข้อ ค. (จำหน่ายได้เฉพาะในโรงพยาบาลรัฐบาลเท่านั้น):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ง. (สามารถโฆษณาต่อประชาชนทั่วไปได้ตามปกติ): ข้อนี้ไม่ใช่คำตอบที่ถูกต้องสำหรับภาวะ พ.ร.บ. ยา พ.ศ. 2510 เนื่องจากกลไกการออกฤทธิ์, efficacy หรือข้อบ่งใช้ไม่ตรงกับโจทย์ที่กำหนด
• ข้อ จ. (เภสัชกรไม่ต้องอยู่ปฏิบัติการตลอดเวลาที่เปิดจำหน่าย):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พ.ร.บ. ยา พ.ศ. 2510</t>
        </is>
      </c>
      <c r="M3" s="2" t="inlineStr">
        <is>
          <t>SAP</t>
        </is>
      </c>
      <c r="N3" s="2" t="inlineStr">
        <is>
          <t>พ.ร.บ. ยา พ.ศ. 2510</t>
        </is>
      </c>
      <c r="O3" s="2" t="inlineStr">
        <is>
          <t>Mock</t>
        </is>
      </c>
      <c r="P3" s="2" t="n"/>
    </row>
    <row r="4" ht="13.2" customHeight="1" s="37">
      <c r="A4" s="2" t="n">
        <v>6</v>
      </c>
      <c r="B4" s="2" t="inlineStr">
        <is>
          <t>ข้อใดถูกต้องเกี่ยวกับ oral isotretinoin ในร้านยา</t>
        </is>
      </c>
      <c r="C4" s="2" t="n"/>
      <c r="D4" s="2" t="inlineStr">
        <is>
          <t>จ่ายได้ แต่ต้องมีใบสั่งแพทย์</t>
        </is>
      </c>
      <c r="E4" s="2" t="inlineStr">
        <is>
          <t>จ่ายได้ โดยไม่มีใบสั่งแพทย์</t>
        </is>
      </c>
      <c r="F4" s="2" t="inlineStr">
        <is>
          <t>จ่ายได้ เฉพาะสถานพยาบาลที่มีแพทย์เฉพาะทาง</t>
        </is>
      </c>
      <c r="G4" s="2" t="inlineStr">
        <is>
          <t>จ่ายได้ เฉพาะคลินิกและโรงพยาบาล</t>
        </is>
      </c>
      <c r="H4" s="2" t="inlineStr">
        <is>
          <t>จ่ายได้ เฉพาะร้านยาที่ขึ้นทะเบียนเป็นร้านยาคุณภาพ</t>
        </is>
      </c>
      <c r="I4" s="2" t="n">
        <v>4</v>
      </c>
      <c r="J4" s="2" t="inlineStr">
        <is>
          <t>✅ คำตอบที่ถูกต้อง: ข้อ ง. จ่ายได้ เฉพาะคลินิกและโรงพยาบาล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จ่ายได้ เฉพาะคลินิกและโรงพยาบาล 💡 คำอธิบายและข้อกำหนดทางกฎหมาย:
💡 คำอธิบายและข้อกำหนดทางกฎหมาย:
Oral isotretinoin เป็นยาควบคุมพิเศษ เนื่องจากมีความเสี่ยงสูงมากต่อทารกในครรภ์ (teratogenicity) การจ่ายในร้านยาต้องมีใบสั่งแพทย์และอยู่ภายใต้การควบคุมดูแลอย่างเคร่งครัด
🔍 ข้ออื่นผิดเพราะอะไร:
• ข้อ ก. (จ่ายได้ แต่ต้องมีใบสั่งแพทย์):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ข. (จ่ายได้ โดยไม่มีใบสั่งแพทย์):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ค. (จ่ายได้ เฉพาะสถานพยาบาลที่มีแพทย์เฉพาะทาง): ข้อนี้ไม่ใช่คำตอบที่ถูกต้องสำหรับภาวะ พ.ร.บ. ยา พ.ศ. 2510 เนื่องจากกลไกการออกฤทธิ์, efficacy หรือข้อบ่งใช้ไม่ตรงกับโจทย์ที่กำหนด
• ข้อ จ. (จ่ายได้ เฉพาะร้านยาที่ขึ้นทะเบียนเป็นร้านยาคุณภาพ):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พ.ร.บ. ยา พ.ศ. 2510</t>
        </is>
      </c>
      <c r="M4" s="2" t="inlineStr">
        <is>
          <t>SAP</t>
        </is>
      </c>
      <c r="N4" s="2" t="inlineStr">
        <is>
          <t>ข้อ 6 Pharma Plus เล่มม่วง (เฉลยข้อ ง)</t>
        </is>
      </c>
      <c r="O4" s="2" t="inlineStr">
        <is>
          <t>Mock</t>
        </is>
      </c>
      <c r="P4" s="2" t="inlineStr">
        <is>
          <t>Pharma Plus เล่มม่วง</t>
        </is>
      </c>
    </row>
    <row r="5" ht="13.2" customHeight="1" s="37">
      <c r="A5" s="2" t="n">
        <v>7</v>
      </c>
      <c r="B5" s="2" t="inlineStr">
        <is>
          <t>ยา oral isotretinoin มีเลขทะเบียน 1C 2554/55 หมายความว่าอย่างไร</t>
        </is>
      </c>
      <c r="C5" s="2" t="n"/>
      <c r="D5" s="2" t="inlineStr">
        <is>
          <t>ยาเดี่ยวแผนปัจจุบันที่ผลิตในประเทศไทย</t>
        </is>
      </c>
      <c r="E5" s="2" t="inlineStr">
        <is>
          <t>ยาเดี่ยวแผนปัจจุบันที่นำเข้าจากต่างประเทศ</t>
        </is>
      </c>
      <c r="F5" s="2" t="inlineStr">
        <is>
          <t>ยาเดี่ยวแผนปัจจุบันที่แบ่งบรรจุในประเทศไทย</t>
        </is>
      </c>
      <c r="G5" s="2" t="inlineStr">
        <is>
          <t>ยาผสมแผนโบราณ ที่ผลิตในประเทศไทย</t>
        </is>
      </c>
      <c r="H5" s="2" t="inlineStr">
        <is>
          <t>ยาผสมแผนโบราณ ที่นำเข้าจากต่างประเทศ</t>
        </is>
      </c>
      <c r="I5" s="2" t="n">
        <v>2</v>
      </c>
      <c r="J5" s="2" t="inlineStr">
        <is>
          <t>✅ คำตอบที่ถูกต้อง: ข้อ ข. ยาเดี่ยวแผนปัจจุบันที่นำเข้าจากต่างประเทศ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ยาเดี่ยวแผนปัจจุบันที่นำเข้าจากต่างประเทศ 💡 คำอธิบายและข้อกำหนดทางกฎหมาย:
💡 คำอธิบายและข้อกำหนดทางกฎหมาย:
ตัวอักษร C (Conventional/Current) มักใช้แทนยาแผนปัจจุบัน และตัวเลขบ่งบอกถึงปี พ.ศ. ที่ขึ้นทะเบียน รวมถึงประเภทของผลิตภันฑ์ตามประกาศกระทรวงสาธารณสุข
🔍 ข้ออื่นผิดเพราะอะไร:
• ข้อ ก. (ยาเดี่ยวแผนปัจจุบันที่ผลิตในประเทศไทย):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(ยาเดี่ยวแผนปัจจุบันที่แบ่งบรรจุในประเทศไทย):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(ยาผสมแผนโบราณ ที่ผลิตในประเทศไทย):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(ยาผสมแผนโบราณ ที่นำเข้าจากต่างประเทศ):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พ.ร.บ. ยา พ.ศ. 2510</t>
        </is>
      </c>
      <c r="M5" s="2" t="inlineStr">
        <is>
          <t>SAP</t>
        </is>
      </c>
      <c r="N5" s="2" t="inlineStr">
        <is>
          <t>ข้อ 7 Pharma Plus เล่มม่วง (เฉลยข้อ ข)</t>
        </is>
      </c>
      <c r="O5" s="2" t="inlineStr">
        <is>
          <t>Mock</t>
        </is>
      </c>
      <c r="P5" s="2" t="inlineStr">
        <is>
          <t>Pharma Plus เล่มม่วง</t>
        </is>
      </c>
    </row>
    <row r="6" ht="13.2" customHeight="1" s="37">
      <c r="A6" s="2" t="n">
        <v>8</v>
      </c>
      <c r="B6" s="2" t="inlineStr">
        <is>
          <t>ยาพ่น budesonide เป็นยาประเภทใดตามกฎหมาย</t>
        </is>
      </c>
      <c r="C6" s="2" t="n"/>
      <c r="D6" s="2" t="inlineStr">
        <is>
          <t>ยาควบคุมพิเศษ</t>
        </is>
      </c>
      <c r="E6" s="2" t="inlineStr">
        <is>
          <t>ยาอันตราย</t>
        </is>
      </c>
      <c r="F6" s="2" t="inlineStr">
        <is>
          <t>ยาแผนปัจจุบันบรรจุเสร็จ</t>
        </is>
      </c>
      <c r="G6" s="2" t="inlineStr">
        <is>
          <t>ยาสามัญประจำบ้าน</t>
        </is>
      </c>
      <c r="H6" s="2" t="inlineStr">
        <is>
          <t>ยาใช้ภายนอก</t>
        </is>
      </c>
      <c r="I6" s="2" t="n">
        <v>2</v>
      </c>
      <c r="J6"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ยา budesonide ชนิดพ่นสูด (inhaler) จัดเป็นยาอันตรายตามกฎหมายยา ซึ่งสามารถจ่ายในร้านขายยาแผนปัจจุบันโดยเภสัชกรได้
🔍 ข้ออื่นผิดเพราะอะไร:
• ข้อ ก.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(ยาแผนปัจจุบันบรรจุเสร็จ):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(ยาใช้ภายนอก):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พ.ร.บ. ยา พ.ศ. 2510</t>
        </is>
      </c>
      <c r="M6" s="2" t="inlineStr">
        <is>
          <t>SAP</t>
        </is>
      </c>
      <c r="N6" s="2" t="inlineStr">
        <is>
          <t>ข้อ 8 Pharma Plus เล่มม่วง (เฉลยข้อ ข)</t>
        </is>
      </c>
      <c r="O6" s="2" t="inlineStr">
        <is>
          <t>Mock</t>
        </is>
      </c>
      <c r="P6" s="2" t="inlineStr">
        <is>
          <t>Pharma Plus เล่มม่วง</t>
        </is>
      </c>
    </row>
    <row r="7" ht="13.2" customHeight="1" s="37">
      <c r="A7" s="2" t="n">
        <v>10</v>
      </c>
      <c r="B7" s="2" t="inlineStr">
        <is>
          <t>ผู้ป่วยถือแผ่นพับโฆษณาและขวดยาแผนโบราณ ซึ่งแผ่นพับโฆษณาช่วยฆ่าเชื้อราและขวดไม่มีเลขทะเบียน การกระทำของเภสัชในข้อใดถูกต้อง</t>
        </is>
      </c>
      <c r="C7" s="2" t="n"/>
      <c r="D7" s="2" t="inlineStr">
        <is>
          <t>สังเกตแผ่นพับว่ามีเลขทะเบียนโฆษณาตามที่ อย. กำหนดหรือไม่ เช่น ฆยxxxx/xx หรือไม่</t>
        </is>
      </c>
      <c r="E7" s="2" t="inlineStr">
        <is>
          <t>แนะนำเรื่องความปลอดภัยในการใช้ยาแผนโบราณไม่มีเลขทะเบียน และขอให้ผู้ป่วยนำยามาให้เพื่อส่งตรวจ</t>
        </is>
      </c>
      <c r="F7" s="2" t="inlineStr">
        <is>
          <t>ไม่สามารถจ่ายยาลาดังกล่าวได้ เนื่องจากไม่มีใบอนุญาตขายยาแผนโบราณ</t>
        </is>
      </c>
      <c r="G7" s="2" t="inlineStr">
        <is>
          <t>แนะนำว่ายาแผนโบราณที่ใช้ภายนอกไม่มีเลขทะเบียนน่าจะใช้ได้ เพราะมีอันตรายน้อยกว่ายารับประทาน</t>
        </is>
      </c>
      <c r="H7" s="2" t="inlineStr">
        <is>
          <t>ไปหาทยาแผนโบราณดังกล่าวมาขาย เพราะมีลูกค้ามาถามซื้อ</t>
        </is>
      </c>
      <c r="I7" s="2" t="n">
        <v>2</v>
      </c>
      <c r="J7" s="2" t="inlineStr">
        <is>
          <t>✅ คำตอบที่ถูกต้อง: ข้อ ข. แนะนำเรื่องความปลอดภัยในการใช้ยาแผนโบราณไม่มีเลขทะเบียน และขอให้ผู้ป่วยนำยามาให้เพื่อส่งตรวจ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แนะนำเรื่องความปลอดภัยในการใช้ยาแผนโบราณไม่มีเลขทะเบียน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 คำอธิบายและข้อกำหนดทางกฎหมาย:
💡 คำอธิบายและข้อกำหนดทางกฎหมาย:
การโฆษณาผลิตภัณฑ์สุขภาพต้องได้รับอนุญาตจาก อย. และมีเลขที่โฆษณา (ฆย.) เภสัชกรต้องให้คำแนะนำที่ถูกต้องตามหลักวิชาการและกฎหมายเพื่อ safety ของผู้ป่วย
🔍 ข้ออื่นผิดเพราะอะไร:
• ข้อ ก. (สังเกตแผ่นพับว่ามีเลขทะเบียนโฆษณาตามที่ อย. กำหนดหรือไม่ เช่น ฆยxxxx/xx หรือไม่):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(ไม่สามารถจ่ายยาลาดังกล่าวได้ เนื่องจากไม่มีใบอนุญาตขายยาแผนโบราณ): ข้อนี้ไม่ใช่คำตอบที่ถูกต้องสำหรับภาวะ พ.ร.บ. ยา พ.ศ. 2510 เนื่องจากกลไกการออกฤทธิ์, efficacy หรือข้อบ่งใช้ไม่ตรงกับโจทย์ที่กำหนด
• ข้อ ง. (แนะนำว่ายาแผนโบราณที่ใช้ภายนอกไม่มีเลขทะเบียนน่าจะใช้ได้ เพราะมีอันตรายน้อยกว่ายารับประทาน):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(ไปหาทยาแผนโบราณดังกล่าวมาขาย เพราะมีลูกค้ามาถามซื้อ):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พ.ร.บ. ยา พ.ศ. 2510</t>
        </is>
      </c>
      <c r="M7" s="2" t="inlineStr">
        <is>
          <t>SAP</t>
        </is>
      </c>
      <c r="N7" s="2" t="inlineStr">
        <is>
          <t>ข้อ 10 Pharma Plus เล่มม่วง (เฉลยข้อ ข)</t>
        </is>
      </c>
      <c r="O7" s="2" t="inlineStr">
        <is>
          <t>Mock</t>
        </is>
      </c>
      <c r="P7" s="2" t="inlineStr">
        <is>
          <t>Pharma Plus เล่มม่วง</t>
        </is>
      </c>
    </row>
    <row r="8" ht="13.2" customHeight="1" s="37">
      <c r="A8" s="2" t="n">
        <v>11</v>
      </c>
      <c r="B8" s="2" t="inlineStr">
        <is>
          <t>ผู้ป่วยได้รับยา carbamazepine มาก่อนหน้านี้ แต่ยาที่ได้รับหมดอายุก่อนกำหนด 1 เดือน ยาดังกล่าวจัดเป็นยาประเภทใดตามกฎหมาย</t>
        </is>
      </c>
      <c r="C8" s="2" t="n"/>
      <c r="D8" s="2" t="inlineStr">
        <is>
          <t>ยาปลอม</t>
        </is>
      </c>
      <c r="E8" s="2" t="inlineStr">
        <is>
          <t>ยาเสื่อมคุณภาพ</t>
        </is>
      </c>
      <c r="F8" s="2" t="inlineStr">
        <is>
          <t>ยาผิดมาตรฐาน</t>
        </is>
      </c>
      <c r="G8" s="2" t="inlineStr">
        <is>
          <t>ยาสิ้นสภาพ</t>
        </is>
      </c>
      <c r="H8" s="2" t="inlineStr">
        <is>
          <t>ยาไม่ได้ขึ้นทะเบียนตำรับ</t>
        </is>
      </c>
      <c r="I8" s="2" t="n">
        <v>1</v>
      </c>
      <c r="J8"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ยาที่เสื่อมสลายหรือเปลี่ยนแปลงสภาพไปจากเดิม หรือหมดอายุตามที่แสดงไว้บนฉลาก จัดเป็น 'ยาเสื่อมคุณภาพ' ตามพระราชบัญญัติยา ห้ามมิให้ผู้ใดผลิตหรือขาย
🔍 ข้ออื่นผิดเพราะอะไร:
• ข้อ ข.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(ยาสิ้นสภาพ):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(ยาไม่ได้ขึ้นทะเบียนตำรับ):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พ.ร.บ. ยา พ.ศ. 2510</t>
        </is>
      </c>
      <c r="M8" s="2" t="inlineStr">
        <is>
          <t>SAP</t>
        </is>
      </c>
      <c r="N8" s="2" t="inlineStr">
        <is>
          <t>ข้อ 11 Pharma Plus เล่มม่วง (เฉลยข้อ ก)</t>
        </is>
      </c>
      <c r="O8" s="2" t="inlineStr">
        <is>
          <t>Mock</t>
        </is>
      </c>
      <c r="P8" s="2" t="inlineStr">
        <is>
          <t>Pharma Plus เล่มม่วง</t>
        </is>
      </c>
    </row>
    <row r="9" ht="13.2" customHeight="1" s="37">
      <c r="A9" s="2" t="n">
        <v>12</v>
      </c>
      <c r="B9" s="2" t="inlineStr">
        <is>
          <t>เนื่องจากยาที่ได้รับตามใบสั่งยาหมด ผู้ป่วยจึงไปซื้อยาเพิ่มที่ร้านยา หลังจากประทานไปได้ 2-3 วัน พบว่าอาการไม่ดีขึ้นและเกิดผื่นขึ้น จึงสอบถาม อย. พบข้อมูลว่ายาดังกล่าวไม่ใช่ยาที่ผลิตโดยบริษัทตามชื่อและอยู่ที่ระบุข้างกล่อง จากข้อมูลข้างต้น ยาดังกล่าวเข้าข่ายข้อใด
ยาดังกล่าวเข้าข่ายข้อใดตามพระราชบัญญัติยา</t>
        </is>
      </c>
      <c r="C9" s="2" t="n"/>
      <c r="D9" s="2" t="inlineStr">
        <is>
          <t>ยาสิดมาตรฐาน</t>
        </is>
      </c>
      <c r="E9" s="2" t="inlineStr">
        <is>
          <t>ยาเสื่อมคุณภาพ</t>
        </is>
      </c>
      <c r="F9" s="2" t="inlineStr">
        <is>
          <t>ยาปลอม</t>
        </is>
      </c>
      <c r="G9" s="2" t="inlineStr">
        <is>
          <t>ยาที่ไม่ได้ขึ้นทะเบียน</t>
        </is>
      </c>
      <c r="H9" s="2" t="inlineStr">
        <is>
          <t>ยาที่ถูกเพิกถอนทะเบียนตำรับ</t>
        </is>
      </c>
      <c r="I9" s="2" t="n">
        <v>3</v>
      </c>
      <c r="J9" s="2" t="inlineStr">
        <is>
          <t>✅ คำตอบที่ถูกต้อง: ข้อ ค.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ยาปลอมตาม พ.ร.บ. ยา หมายถึง ยาหรือวัตถุที่จัดทำขึ้นเทียมยาแท้ทั้งหมดหรือบางส่วน เพื่อให้หลอกลวงว่าเป็นยาแท้ เช่น แสดงชื่อหรือเครื่องหมายการค้าของบริษัทอื่นที่ไม่ได้เป็นผู้ผลิตจริง
🔍 ข้ออื่นผิดเพราะอะไร:
• ข้อ ก. (ยาสิดมาตรฐาน):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(ยาที่ไม่ได้ขึ้นทะเบียน):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(ยาที่ถูกเพิกถอนทะเบียนตำรับ):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พ.ร.บ. ยา พ.ศ. 2510</t>
        </is>
      </c>
      <c r="M9" s="2" t="inlineStr">
        <is>
          <t>SAP</t>
        </is>
      </c>
      <c r="N9" s="2" t="inlineStr">
        <is>
          <t>ข้อ 12 Pharma Plus เล่มม่วง (เฉลยข้อ ค)</t>
        </is>
      </c>
      <c r="O9" s="2" t="inlineStr">
        <is>
          <t>Mock</t>
        </is>
      </c>
      <c r="P9" s="2" t="inlineStr">
        <is>
          <t>Pharma Plus เล่มม่วง</t>
        </is>
      </c>
    </row>
    <row r="10" ht="13.2" customHeight="1" s="37">
      <c r="A10" s="2" t="n">
        <v>13</v>
      </c>
      <c r="B10" s="2" t="inlineStr">
        <is>
          <t>การเบิกยาในโรงพยาบาลระบบ FIFO เป็นไปตามข้อใด</t>
        </is>
      </c>
      <c r="C10" s="2" t="n"/>
      <c r="D10" s="2" t="inlineStr">
        <is>
          <t>เบิกยาจากคลังยาโดยเบิกยาที่ซื้อมากก่อน</t>
        </is>
      </c>
      <c r="E10" s="2" t="inlineStr">
        <is>
          <t>เบิกยาจากคลังยาโดยเบิกยาที่ใกล้หมดายุก่อน</t>
        </is>
      </c>
      <c r="F10" s="2" t="inlineStr">
        <is>
          <t>เบิกยาจากคลังยา โดยเบิก lot ที่ผลิตก่อน</t>
        </is>
      </c>
      <c r="G10" s="2" t="inlineStr">
        <is>
          <t>เบิกยาจากคลังยา โดยเบิกจาก lot ที่ซื้อมาจากบริษทายาก่อน</t>
        </is>
      </c>
      <c r="H10" s="2" t="inlineStr">
        <is>
          <t>ไม่มีข้อใดถูก</t>
        </is>
      </c>
      <c r="I10" s="2" t="n">
        <v>1</v>
      </c>
      <c r="J10" s="2" t="inlineStr">
        <is>
          <t>✅ คำตอบที่ถูกต้อง: ข้อ ก. เบิกยาจากคลังยาโดยเบิกยาที่ซื้อมากก่อน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เบิกยาจากคลังยาโดยเบิกยาที่ซื้อมากก่อน 💡 คำอธิบายและข้อกำหนดทางกฎหมาย:
💡 คำอธิบายและข้อกำหนดทางกฎหมาย:
ระบบ FIFO (First-In, First-Out) เป็นระบบการบริหารคลังสินค้าโดยนำสินค้าที่รับเข้ามาก่อนออกไปจำหน่ายหรือใช้งานก่อน ซึ่งในทางเภสัชกรรมมักใช้ควบคู่กับ FEFO (First-Expired, First-Out) ตามหลักการบริหารคลังเวชภัณฑ์
🔍 ข้ออื่นผิดเพราะอะไร:
• ข้อ ข. (เบิกยาจากคลังยาโดยเบิกยาที่ใกล้หมดายุก่อน):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ค. (เบิกยาจากคลังยา โดยเบิก lot ที่ผลิตก่อน):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ง. (เบิกยาจากคลังยา โดยเบิกจาก lot ที่ซื้อมาจากบริษทายาก่อน):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พ.ร.บ. ยา พ.ศ. 2510</t>
        </is>
      </c>
      <c r="M10" s="2" t="inlineStr">
        <is>
          <t>SAP</t>
        </is>
      </c>
      <c r="N10" s="2" t="inlineStr">
        <is>
          <t>ข้อ 13 Pharma Plus เล่มม่วง (เฉลยข้อ ก)</t>
        </is>
      </c>
      <c r="O10" s="2" t="inlineStr">
        <is>
          <t>Mock</t>
        </is>
      </c>
      <c r="P10" s="2" t="inlineStr">
        <is>
          <t>Pharma Plus เล่มม่วง</t>
        </is>
      </c>
    </row>
    <row r="11" ht="13.2" customHeight="1" s="37">
      <c r="A11" s="2" t="n">
        <v>14</v>
      </c>
      <c r="B11" s="2" t="inlineStr">
        <is>
          <t>ข้อใดต่อไปนี้ คือ ยาผิดมาตรฐาน</t>
        </is>
      </c>
      <c r="C11" s="2" t="n"/>
      <c r="D11" s="2" t="inlineStr">
        <is>
          <t>ยาที่หมดอายุแล้ว</t>
        </is>
      </c>
      <c r="E11" s="2" t="inlineStr">
        <is>
          <t>ยาที่ตรวจพบปริมาณยาสำคัญ ต่ำกว่าปริมาณต่ำสุด 15%</t>
        </is>
      </c>
      <c r="F11" s="2" t="inlineStr">
        <is>
          <t>ยาที่ตรวจพบปริมาณยาสำคัญ ต่ำกว่าปริมาณต่ำสุด 5%</t>
        </is>
      </c>
      <c r="G11" s="2" t="inlineStr">
        <is>
          <t>ยาที่ตรวจพบปริมาณยาสำคัญ สูงกว่าปริมาณสูงสุด 25%</t>
        </is>
      </c>
      <c r="H11" s="2" t="inlineStr">
        <is>
          <t>ยามีสิ่งเทียมเจือปนอยู่ ไม่เกิน 10%</t>
        </is>
      </c>
      <c r="I11" s="2" t="n">
        <v>2</v>
      </c>
      <c r="J11" s="2" t="inlineStr">
        <is>
          <t>✅ คำตอบที่ถูกต้อง: ข้อ ข. ยาที่ตรวจพบปริมาณยาสำคัญ ต่ำกว่าปริมาณต่ำสุด 15%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ยาที่ตรวจพบปริมาณยาสำคัญ ต่ำกว่าปริมาณต่ำสุด 15% 💡 คำอธิบายและข้อกำหนดทางกฎหมาย:
💡 คำอธิบายและข้อกำหนดทางกฎหมาย:
ยาผิดมาตรฐาน (Substandard drug) คือยาที่มีปริมาณหรือความแรงของสารสำคัญไม่เป็นไปตามเกณฑ์มาตรฐานที่ขึ้นทะเบียนไว้ เช่น ปริมาณตัวยาสำคัญต่ำกว่าหรือสูงกว่าเกณฑ์ที่กฎหมายหรือเภสัชตำรับกำหนดไว้
🔍 ข้ออื่นผิดเพราะอะไร:
• ข้อ ก. (ยาที่หมดอายุแล้ว):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(ยาที่ตรวจพบปริมาณยาสำคัญ ต่ำกว่าปริมาณต่ำสุด 5%):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(ยาที่ตรวจพบปริมาณยาสำคัญ สูงกว่าปริมาณสูงสุด 25%):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(ยามีสิ่งเทียมเจือปนอยู่ ไม่เกิน 10%):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พ.ร.บ. ยา พ.ศ. 2510</t>
        </is>
      </c>
      <c r="M11" s="2" t="inlineStr">
        <is>
          <t>SAP</t>
        </is>
      </c>
      <c r="N11" s="2" t="inlineStr">
        <is>
          <t>ข้อ 14 Pharma Plus เล่มม่วง (เฉลยข้อ ข ค)</t>
        </is>
      </c>
      <c r="O11" s="2" t="inlineStr">
        <is>
          <t>Mock</t>
        </is>
      </c>
      <c r="P11" s="2" t="inlineStr">
        <is>
          <t>Pharma Plus เล่มม่วง</t>
        </is>
      </c>
    </row>
    <row r="12" ht="13.2" customHeight="1" s="37">
      <c r="A12" s="2" t="n">
        <v>15</v>
      </c>
      <c r="B12" s="2" t="inlineStr">
        <is>
          <t>ในฐานะที่ท่านเป็นเภสัชกรโรงพยาบาลแห่งนี้ ท่านต้องการผลิตยาสมุนไพรลดน้ำตาลในเลือดเพื่อจำหน่ายในโรงพยาบาล ในรูปแคปซูลและยาสชง ท่านคิดว่า รูปแบบของสมุนไพรทั้งสองชนิดนี้ เหมือนหรือแตกต่างกัน ตามข้อกฎหมายของไทย
รูปแบบของสมุนไพรทั้งสองชนิดนี้ เหมือนหรือแตกต่างกัน ตามข้อกฎหมายของไทย</t>
        </is>
      </c>
      <c r="C12" s="2" t="n"/>
      <c r="D12" s="2" t="inlineStr">
        <is>
          <t>เหมือนกัน ทั้งสมุนไพรในรูปแคปซูล กับรูปชาชง เป็นยาแผนโบราณ</t>
        </is>
      </c>
      <c r="E12" s="2" t="inlineStr">
        <is>
          <t>เหมือนกัน ทั้งสมุนไพรในรูปแคปซูล กับรูปชาชง เป็นยาสมุนไพร</t>
        </is>
      </c>
      <c r="F12" s="2" t="inlineStr">
        <is>
          <t>เหมือนกัน ทั้งสมุนไพรในรูปแคปซูล กับรูปชาชง เป็นอาหาร</t>
        </is>
      </c>
      <c r="G12" s="2" t="inlineStr">
        <is>
          <t>ไม่เหมือนกัน สมุนไพรในรูปแคปซูล เป็นยาแผนโบราณ ส่วนรูปชาชง เป็นอาหาร</t>
        </is>
      </c>
      <c r="H12" s="2" t="inlineStr">
        <is>
          <t>ไม่เหมือนกัน สมุนไพรในรูปแคปซูล เป็นยาแผนโบราณ ส่วนรูปชาชงเป็นยาสมุนไพร</t>
        </is>
      </c>
      <c r="I12" s="2" t="n">
        <v>5</v>
      </c>
      <c r="J12" s="2" t="inlineStr">
        <is>
          <t>✅ คำตอบที่ถูกต้อง: ข้อ จ. ไม่เหมือนกัน สมุนไพรในรูปแคปซูล เป็นยาแผนโบราณ ส่วนรูปชาชงเป็นยาสมุนไพร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ไม่เหมือนกัน สมุนไพรในรูปแคปซูล เป็นยาแผนโบราณ ส่วนรูปชาชงเป็นยาสมุนไพร 💡 คำอธิบายและข้อกำหนดทางกฎหมาย:
💡 คำอธิบายและข้อกำหนดทางกฎหมาย:
ตามพระราชบัญญัติผลิตภัณฑ์สมุนไพร การแบ่งประเภทยาแผนโบราณและผลิตภัณฑ์สมุนไพรขึ้นอยู่กับกรรมวิธีการเตรียมและรูปแบบผลิตภัณฑ์ โดยรูปแบบแคปซูลมักจัดเป็นยาแผนโบราณ/สมุนไพรเตรียมพิเศษ ขณะที่ชาชงสมุนไพรบางชนิดอาจขึ้นทะเบียนเป็นผลิตภัณฑ์สมุนไพรหรือยาแผนโบราณตามสรรพคุณและการกล่าวอ้าง
🔍 ข้ออื่นผิดเพราะอะไร:
• ข้อ ก. (เหมือนกัน ทั้งสมุนไพรในรูปแคปซูล กับรูปชาชง เป็นยาแผนโบราณ):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ข. (เหมือนกัน ทั้งสมุนไพรในรูปแคปซูล กับรูปชาชง เป็นยาสมุนไพร):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(เหมือนกัน ทั้งสมุนไพรในรูปแคปซูล กับรูปชาชง เป็นอาหาร):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(ไม่เหมือนกัน สมุนไพรในรูปแคปซูล เป็นยาแผนโบราณ ส่วนรูปชาชง เป็นอาหาร):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พ.ร.บ. ผลิตภัณฑ์สมุนไพร &amp; เครื่องสำอาง</t>
        </is>
      </c>
      <c r="M12" s="2" t="inlineStr">
        <is>
          <t>SAP</t>
        </is>
      </c>
      <c r="N12" s="2" t="inlineStr">
        <is>
          <t>ข้อ 15 Pharma Plus เล่มม่วง (เฉลยข้อ จ)</t>
        </is>
      </c>
      <c r="O12" s="2" t="inlineStr">
        <is>
          <t>Mock</t>
        </is>
      </c>
      <c r="P12" s="2" t="inlineStr">
        <is>
          <t>Pharma Plus เล่มม่วง</t>
        </is>
      </c>
    </row>
    <row r="13" ht="13.2" customHeight="1" s="37">
      <c r="A13" s="2" t="n">
        <v>16</v>
      </c>
      <c r="B13" s="2" t="inlineStr">
        <is>
          <t>หากผู้ป่วยมาขอซื้อยา lorazepam tab ในร้านขายยาท่านสามารถจำหน่ายยาได้หรือไม่
ท่านสามารถจำหน่ายยาได้หรือไม่</t>
        </is>
      </c>
      <c r="C13" s="2" t="n"/>
      <c r="D13" s="2" t="inlineStr">
        <is>
          <t>ได้หากมีใบอนุญาตจำหน่ายยาอันตราย</t>
        </is>
      </c>
      <c r="E13" s="2" t="inlineStr">
        <is>
          <t>ได้หากมีใบอนุญาตจำหน่ายวัตถุออกฤทธิ์</t>
        </is>
      </c>
      <c r="F13" s="2" t="inlineStr">
        <is>
          <t>ได้หากมีใบอนุญาตจำหน่ายยาเสพติดประเภท 2</t>
        </is>
      </c>
      <c r="G13" s="2" t="inlineStr">
        <is>
          <t>ไม่ได้เพราะเป็นยาเสพติดประเภท 2</t>
        </is>
      </c>
      <c r="H13" s="2" t="inlineStr">
        <is>
          <t>ไม่ได้เพราะเป็นวัตถุออกฤทธิ์</t>
        </is>
      </c>
      <c r="I13" s="2" t="n">
        <v>2</v>
      </c>
      <c r="J13" s="2" t="inlineStr">
        <is>
          <t>✅ คำตอบที่ถูกต้อง: ข้อ ข. ได้หากมีใบอนุญาตจำหน่ายวัตถุออกฤทธิ์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ได้หากมีใบอนุญาตจำหน่ายวัตถุออกฤทธิ์ 💡 คำอธิบายและข้อกำหนดทางกฎหมาย:
💡 คำอธิบายและข้อกำหนดทางกฎหมาย:
Lorazepam จัดเป็นวัตถุออกฤทธิ์ในประเภท 4 ตามพระราชบัญญัติวัตถุออกฤทธิ์ต่อจิตประสาท ร้านขายยาแผนปัจจุบัน (ข.ย.1) สามารถจำหน่ายได้หากได้รับใบอนุญาตขายวัตถุออกฤทธิ์ประเภทดังกล่าวและปฏิบัติตามระเบียบการจ่ายยาอย่างเคร่งครัด
🔍 ข้ออื่นผิดเพราะอะไร:
• ข้อ ก. (ได้หากมีใบอนุญาตจำหน่ายยาอันตราย):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(ได้หากมีใบอนุญาตจำหน่ายยาเสพติดประเภท 2):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(ไม่ได้เพราะเป็นยาเสพติดประเภท 2):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(ไม่ได้เพราะเป็นวัตถุออกฤทธิ์):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พ.ร.บ. ยาเสพติดให้โทษ &amp; วัตถุออกฤทธิ์</t>
        </is>
      </c>
      <c r="M13" s="2" t="inlineStr">
        <is>
          <t>SAP</t>
        </is>
      </c>
      <c r="N13" s="2" t="inlineStr">
        <is>
          <t>ข้อ 16 Pharma Plus เล่มม่วง (เฉลยข้อ ข)</t>
        </is>
      </c>
      <c r="O13" s="2" t="inlineStr">
        <is>
          <t>Mock</t>
        </is>
      </c>
      <c r="P13" s="2" t="inlineStr">
        <is>
          <t>Pharma Plus เล่มม่วง</t>
        </is>
      </c>
    </row>
    <row r="14" ht="13.2" customHeight="1" s="37">
      <c r="A14" s="2" t="n">
        <v>17</v>
      </c>
      <c r="B14" s="2" t="inlineStr">
        <is>
          <t>จากการศึกษาความคุ้มค่าคุ้มทุน ของยา 2 ตัวได้แก่ captopril และ enalapril พบว่ามีค่า B/C ratioของ captopril = 0.5 และค่า B/C ratio ของยา enalapril = 0.7 ข้อใดถูกต้อง</t>
        </is>
      </c>
      <c r="C14" s="2" t="n"/>
      <c r="D14" s="2" t="inlineStr">
        <is>
          <t>การศึกษานี้เป็นการประเมินทางด้านเศรษฐศาสตร์แบบ partial economic evaluations และเป็นการศึกษาแบบ cost analysis</t>
        </is>
      </c>
      <c r="E14" s="2" t="inlineStr">
        <is>
          <t>การศึกษานี้เป็นการประเมินทางด้านเศรษฐศาสตร์แบบ partial economic evaluations และเป็นการศึกษาแบบ cost-outcome description</t>
        </is>
      </c>
      <c r="F14" s="2" t="inlineStr">
        <is>
          <t>การศึกษานี้เป็นการประเมินทางด้านเศรษฐศาสตร์แบบ full economic evaluations และเป็นการศึกษาแบบ cost-benefit analysis (CBA)</t>
        </is>
      </c>
      <c r="G14" s="2" t="inlineStr">
        <is>
          <t>การศึกษานี้เป็นการประเมินทางด้านเศรษฐศาสตร์แบบ full economic evaluations และเป็นการศึกษาแบบ cost-utility analysis (CUA)</t>
        </is>
      </c>
      <c r="H14" s="2" t="inlineStr">
        <is>
          <t>การศึกษานี้เป็นการประเมินทางด้านเศรษฐศาสตร์แบบ full economic evaluations และเป็นการศึกษาแบบ cost-effectiveness analysis (CEA)</t>
        </is>
      </c>
      <c r="I14" s="2" t="n">
        <v>3</v>
      </c>
      <c r="J14" s="2" t="inlineStr">
        <is>
          <t>✅ คำตอบที่ถูกต้อง: ข้อ ค. การศึกษานี้เป็นการประเมินทางด้านเศรษฐศาสตร์แบบ full economic evaluations และเป็นการศึกษาแบบ cost-benefit analysis (CBA)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การศึกษานี้เป็นการประเมินทางด้านเศรษฐศาสตร์แบบ full economic evaluations และเป็นการศึกษาแบบ cost-benefit analysis (CBA) 💡 คำอธิบายและข้อกำหนดทางกฎหมาย:
💡 คำอธิบายและข้อกำหนดทางกฎหมาย:
Cost-Benefit Analysis (CBA) เป็นการประเมินทางเศรษฐศาสตร์แบบ full economic evaluation ที่วัดผลลัพธ์ทั้งต้นทุนและประโยชน์ในรูปตัวเงินเหมือนกัน โดยใช้อัตราส่วน Benefit/Cost (B/C ratio) ในการตัดสินใจ
🔍 ข้ออื่นผิดเพราะอะไร:
• ข้อ ก. (การศึกษานี้เป็นการประเมินทางด้านเศรษฐศาสตร์แบบ partial economic evaluations และเป็นการศึกษาแบบ cost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ข. (การศึกษานี้เป็นการประเมินทางด้านเศรษฐศาสตร์แบบ partial economic evaluations และเป็นการศึกษาแบบ cost-outcome description): ข้อนี้ไม่ใช่คำตอบที่ถูกต้องสำหรับภาวะ พ.ร.บ. ยา พ.ศ. 2510 เนื่องจากกลไกการออกฤทธิ์, efficacy หรือข้อบ่งใช้ไม่ตรงกับโจทย์ที่กำหนด
• ข้อ ง. (การศึกษานี้เป็นการประเมินทางด้านเศรษฐศาสตร์แบบ full economic evaluations และเป็นการศึกษาแบบ cost-utility analysis (CUA)):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(การศึกษานี้เป็นการประเมินทางด้านเศรษฐศาสตร์แบบ full economic evaluations และเป็นการศึกษาแบบ cost-effectiveness analysis (CEA)):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 s="2" t="n"/>
      <c r="L14" s="2" t="inlineStr">
        <is>
          <t>พ.ร.บ. ยา พ.ศ. 2510</t>
        </is>
      </c>
      <c r="M14" s="2" t="inlineStr">
        <is>
          <t>SAP</t>
        </is>
      </c>
      <c r="N14" s="2" t="inlineStr">
        <is>
          <t>ข้อ 17 Pharma Plus เล่มม่วง (เฉลยข้อ ค)</t>
        </is>
      </c>
      <c r="O14" s="2" t="inlineStr">
        <is>
          <t>Mock</t>
        </is>
      </c>
      <c r="P14" s="2" t="inlineStr">
        <is>
          <t>Pharma Plus เล่มม่วง</t>
        </is>
      </c>
    </row>
    <row r="15" ht="13.2" customHeight="1" s="37">
      <c r="A15" s="2" t="n">
        <v>18</v>
      </c>
      <c r="B15" s="2" t="inlineStr">
        <is>
          <t>จากข้อ 17 ในกรณีที่ รพ. มีงบประมาณที่จำกัด ควรเลือกยาใด เพราะอะไร</t>
        </is>
      </c>
      <c r="C15" s="2" t="n"/>
      <c r="D15" s="2" t="inlineStr">
        <is>
          <t>Enalapril เพราะต้นทุนต่ำกว่า captopril</t>
        </is>
      </c>
      <c r="E15" s="2" t="inlineStr">
        <is>
          <t>Enalapril เพราะ มี B/C ratio ต่ำกว่า มีความคุ้มค่าคุ้มทุนมากกว่า captopril</t>
        </is>
      </c>
      <c r="F15" s="2" t="inlineStr">
        <is>
          <t>Captopril มีประสิทธิภาพสูงกว่า</t>
        </is>
      </c>
      <c r="G15" s="2" t="inlineStr">
        <is>
          <t>Captopril เพราะมี B/C ratio สูงกว่า มีความคุ้มค่าคุ้มทุนมากกว่า enalapril</t>
        </is>
      </c>
      <c r="H15" s="2" t="inlineStr">
        <is>
          <t>ไม่มีข้อใดถูก</t>
        </is>
      </c>
      <c r="I15" s="2" t="n">
        <v>5</v>
      </c>
      <c r="J15" s="2" t="inlineStr">
        <is>
          <t>✅ คำตอบที่ถูกต้อง: ข้อ จ. ไม่มีข้อใดถูก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ไม่มีข้อใดถูก 💡 คำอธิบายและข้อกำหนดทางกฎหมาย:
💡 คำอธิบายและข้อกำหนดทางกฎหมาย:
ในการศึกษาแบบ Cost-Benefit Analysis (CBA) ยาที่มีความคุ้มค่ามากกว่าคือยาที่มีค่า Benefit-Cost Ratio (B/C ratio) สูงกว่า เนื่องจากให้ผลตอบแทนหรือประโยชน์ต่อต้นทุนที่สูงกว่า ในที่นี้ captopril มี B/C ratio = 0.5 และ enalapril มี B/C ratio = 0.7 ดังนั้น enalapril จึงมีความคุ้มค่ามากกว่า (ค่า B/C สูงกว่าแสดงว่าผลประโยชน์คุ้มค่ากว่าต้นทุน)
🔍 ข้ออื่นผิดเพราะอะไร:
• ข้อ ก. (Enalapril เพราะต้นทุนต่ำกว่า captopril): เป็น ACE inhibitor ลด Angiotensin II และ intraglomerular pressure มี renal protective efficacy เด่นชัดใน diabetic kidney disease แต่อาจเกิด dry cough จากการสะสมของ bradykinin
• ข้อ ข. (Enalapril เพราะ มี B/C ratio ต่ำกว่า มีความคุ้มค่าคุ้มทุนมากกว่า captopril): เป็น ACE inhibitor ลด Angiotensin II และ intraglomerular pressure มี renal protective efficacy เด่นชัดใน diabetic kidney disease แต่อาจเกิด dry cough จากการสะสมของ bradykinin
• ข้อ ค. (Captopril มีประสิทธิภาพสูงกว่า): เป็น short-acting ACEI ต้องรับประทานวันละ 2-3 ครั้ง ตอนท้องว่าง มักใช้ในการปรับขนาดยาเฉียบพลันหรือ hypertensive urgency
• ข้อ ง. (Captopril เพราะมี B/C ratio สูงกว่า มีความคุ้มค่าคุ้มทุนมากกว่า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 s="2" t="n"/>
      <c r="L15" s="2" t="inlineStr">
        <is>
          <t>พ.ร.บ. ยา พ.ศ. 2510</t>
        </is>
      </c>
      <c r="M15" s="2" t="inlineStr">
        <is>
          <t>SAP</t>
        </is>
      </c>
      <c r="N15" s="2" t="inlineStr">
        <is>
          <t>ข้อ 18 Pharma Plus เล่มม่วง (เฉลยข้อ จ)</t>
        </is>
      </c>
      <c r="O15" s="2" t="inlineStr">
        <is>
          <t>Mock</t>
        </is>
      </c>
      <c r="P15" s="2" t="inlineStr">
        <is>
          <t>Pharma Plus เล่มม่วง</t>
        </is>
      </c>
    </row>
    <row r="16" ht="13.2" customHeight="1" s="37">
      <c r="A16" s="2" t="n">
        <v>19</v>
      </c>
      <c r="B16" s="2" t="inlineStr">
        <is>
          <t>หากต้องการโฆษณา simvastatin ข้อใดถูกต้อง</t>
        </is>
      </c>
      <c r="C16" s="2" t="n"/>
      <c r="D16" s="2" t="inlineStr">
        <is>
          <t>สามารถโฆษณากับผู้ประกอบโรคศิลป์ โดยไม่ต้องขออนุญาต</t>
        </is>
      </c>
      <c r="E16" s="2" t="inlineStr">
        <is>
          <t>สามารถโฆษณากับผู้ประกอบโรคศิลป์ โดยต้องขออนุญาต</t>
        </is>
      </c>
      <c r="F16" s="2" t="inlineStr">
        <is>
          <t>สามารถโฆษณากับแพทย์เฉพาะทางเท่านั้น โดยไม่ต้องขออนุญาตก่อน</t>
        </is>
      </c>
      <c r="G16" s="2" t="inlineStr">
        <is>
          <t>สามารถโฆษณากับแพทย์เฉพาะทางเท่านั้น โดยต้องขออนุญาตญาติก่อน</t>
        </is>
      </c>
      <c r="H16" s="2" t="inlineStr">
        <is>
          <t>ไม่สามารถโฆษณาได้</t>
        </is>
      </c>
      <c r="I16" s="2" t="n">
        <v>2</v>
      </c>
      <c r="J16" s="2" t="inlineStr">
        <is>
          <t>✅ คำตอบที่ถูกต้อง: ข้อ ข. สามารถโฆษณากับผู้ประกอบโรคศิลป์ โดยต้องขออนุญาต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สามารถโฆษณากับผู้ประกอบโรคศิลป์ โดยต้องขออนุญาต 💡 คำอธิบายและข้อกำหนดทางกฎหมาย:
💡 คำอธิบายและข้อกำหนดทางกฎหมาย:
Simvastatin เป็นยาควบคุมพิเศษ/ยาอันตรายที่มีประกาศห้ามโฆษณาต่อประชาชนทั่วไปตาม พ.ร.บ. ยา และยาที่จัดเป็นอันตรายหรือยาควบคุมพิเศษมักห้ามโฆษณาเรเรดทั่วไป หรือตามกฎหมายไทยการโฆษณาขายยาต้องได้รับอนุญาตก่อนเสมอ แต่ยาบางกลุ่มห้ามโฆษณาต่อผู้ป่วยโดยตรง (ในกรณีนี้ตามกฎหมายยา Simvastatin จัดเป็นยาควบคุมพิเศษ/ยาอันตรายที่ห้ามโฆษณาเรี่ยราด หรือตามตัวเลือกข้อสอบข้อนี้ตอบ ไม่สามารถโฆษณาได้)
🔍 ข้ออื่นผิดเพราะอะไร:
• ข้อ ก. (สามารถโฆษณากับผู้ประกอบโรคศิลป์ โดยไม่ต้องขออนุญาต): ข้อนี้ไม่ใช่คำตอบที่ถูกต้องสำหรับภาวะ พ.ร.บ. ยา พ.ศ. 2510 เนื่องจากกลไกการออกฤทธิ์, efficacy หรือข้อบ่งใช้ไม่ตรงกับโจทย์ที่กำหนด
• ข้อ ค. (สามารถโฆษณากับแพทย์เฉพาะทางเท่านั้น โดยไม่ต้องขออนุญาตก่อน):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ง. (สามารถโฆษณากับแพทย์เฉพาะทางเท่านั้น โดยต้องขออนุญาตญาติก่อน):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(ไม่สามารถโฆษณาได้):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 s="2" t="n"/>
      <c r="L16" s="2" t="inlineStr">
        <is>
          <t>พ.ร.บ. ยา พ.ศ. 2510</t>
        </is>
      </c>
      <c r="M16" s="2" t="inlineStr">
        <is>
          <t>SAP</t>
        </is>
      </c>
      <c r="N16" s="2" t="inlineStr">
        <is>
          <t>ข้อ 19 Pharma Plus เล่มม่วง (เฉลยข้อ ข)</t>
        </is>
      </c>
      <c r="O16" s="2" t="inlineStr">
        <is>
          <t>Mock</t>
        </is>
      </c>
      <c r="P16" s="2" t="inlineStr">
        <is>
          <t>Pharma Plus เล่มม่วง</t>
        </is>
      </c>
    </row>
    <row r="17" ht="13.2" customHeight="1" s="37">
      <c r="A17" s="2" t="n">
        <v>20</v>
      </c>
      <c r="B17" s="2" t="inlineStr">
        <is>
          <t>ในการศึกษาความเหมาะสมในการให้วัคซีนชนิดหนึ่งว่าสมควรทำการศึกษาทั้งในด้านต้นทุน ค่าใช้จ่ายที่จะเกิดขึ้น และผลได้ในรูปอัตราประโยชน์ ในเรื่องการให้และไม่ให้วัคซีน การศึกษาดังกล่าว เรียกว่า</t>
        </is>
      </c>
      <c r="C17" s="2" t="n"/>
      <c r="D17" s="2" t="inlineStr">
        <is>
          <t>Cost minimization analysis</t>
        </is>
      </c>
      <c r="E17" s="2" t="inlineStr">
        <is>
          <t>Cost effectiveness analysis</t>
        </is>
      </c>
      <c r="F17" s="2" t="inlineStr">
        <is>
          <t>Cost benefits analysis</t>
        </is>
      </c>
      <c r="G17" s="2" t="inlineStr">
        <is>
          <t>Cost utility analysis</t>
        </is>
      </c>
      <c r="H17" s="2" t="inlineStr">
        <is>
          <t>Cost outcome description</t>
        </is>
      </c>
      <c r="I17" s="2" t="n">
        <v>4</v>
      </c>
      <c r="J17" s="2" t="inlineStr">
        <is>
          <t>✅ คำตอบที่ถูกต้อง: ข้อ ง. Cost utility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analysis 💡 คำอธิบายและข้อกำหนดทางกฎหมาย:
💡 คำอธิบายและข้อกำหนดทางกฎหมาย:
หากต้นทุนวัดเป็นตัวเงิน และผลลัพธ์หรือประโยชน์ที่ได้วัดออกมาเป็นรูปตัวเงินเช่นเดียวกัน (เช่น การคำนวณมูลค่าของโรคที่ป้องกันได้เทียบกับต้นทุนวัคซีน) จะจัดเป็นการศึกษาแบบ Cost-Benefit Analysis (CBA)
🔍 ข้ออื่นผิดเพราะอะไร:
• ข้อ ก. (Cost minimization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ข. (Cost effectiveness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ค. (Cost benefits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จ. (Cost outcome description):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 s="2" t="n"/>
      <c r="L17" s="2" t="inlineStr">
        <is>
          <t>พ.ร.บ. ยา พ.ศ. 2510</t>
        </is>
      </c>
      <c r="M17" s="2" t="inlineStr">
        <is>
          <t>SAP</t>
        </is>
      </c>
      <c r="N17" s="2" t="inlineStr">
        <is>
          <t>ข้อ 20 Pharma Plus เล่มม่วง (เฉลยข้อ ง)</t>
        </is>
      </c>
      <c r="O17" s="2" t="inlineStr">
        <is>
          <t>Mock</t>
        </is>
      </c>
      <c r="P17" s="2" t="inlineStr">
        <is>
          <t>Pharma Plus เล่มม่วง</t>
        </is>
      </c>
    </row>
    <row r="18" ht="13.2" customHeight="1" s="37">
      <c r="A18" s="2" t="n">
        <v>21</v>
      </c>
      <c r="B18" s="2" t="inlineStr">
        <is>
          <t>แพทย์สั่งจ่ายยาสระผมชนิดหนึ่ง มีลักษณะเป็นขวดพลาสติกสีน้ำตาล ท่านพบว่าที่ฉลากมีข้อความ Reg. no. 2C802/45 ข้อความนี้มีความหมายว่าอย่างไร</t>
        </is>
      </c>
      <c r="C18" s="2" t="n"/>
      <c r="D18" s="2" t="inlineStr">
        <is>
          <t>ยานี้ผลิตในประเทศไทย ได้รับอนุญาตทะเบียนยาในปี พ.ศ.2545</t>
        </is>
      </c>
      <c r="E18" s="2" t="inlineStr">
        <is>
          <t>ยานี้ผลิตในประเทศไทย เมื่อวันที่ 8 ก.พ. 2545</t>
        </is>
      </c>
      <c r="F18" s="2" t="inlineStr">
        <is>
          <t>ยานี้ผลิตในประเทศไทยและจะหมดอายุในวันที่ 8 ก.พ. 2545</t>
        </is>
      </c>
      <c r="G18" s="2" t="inlineStr">
        <is>
          <t>ยานำเข้ามาจากต่างประเทศ ได้รับอนุญาตทะเบียนยาในปี พ.ศ.2545</t>
        </is>
      </c>
      <c r="H18" s="2" t="inlineStr">
        <is>
          <t>ยานำเข้ามาจากต่างประเทศ และผลิตเมื่อวันที่ 8 ก.พ. 2545</t>
        </is>
      </c>
      <c r="I18" s="2" t="n">
        <v>4</v>
      </c>
      <c r="J18" s="2" t="inlineStr">
        <is>
          <t>✅ คำตอบที่ถูกต้อง: ข้อ ง. ยานำเข้ามาจากต่างประเทศ ได้รับอนุญาตทะเบียนยาในปี พ.ศ.2545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ยานำเข้ามาจากต่างประเทศ ได้รับอนุญาตทะเบียนยาในปี พ.ศ.2545 💡 คำอธิบายและข้อกำหนดทางกฎหมาย:
💡 คำอธิบายและข้อกำหนดทางกฎหมาย:
เลขทะเบียนตำรับยา (Reg. no.) ในประเทศไทย เช่น 2C802/45 ตัวเลขหน้าแสดงประเภทของยา (1=ยาแผนปัจจุบันผลิตในประเทศ, 2=ยาแผนปัจจุบันนำเข้า) อักษรตัวกลางบอกหมวดหมู่ยา และเลขท้ายสองตัวหลัง (เช่น /45) หมายถึงปี พ.ศ. ที่ได้รับอนุมัติทะเบียนยา (พ.ศ. 2545)
🔍 ข้ออื่นผิดเพราะอะไร:
• ข้อ ก. (ยานี้ผลิตในประเทศไทย ได้รับอนุญาตทะเบียนยาในปี พ.ศ.2545):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(ยานี้ผลิตในประเทศไทย เมื่อวันที่ 8 ก.พ.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(ยานี้ผลิตในประเทศไทยและจะหมดอายุในวันที่ 8 ก.พ.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(ยานำเข้ามาจากต่างประเทศ และผลิตเมื่อวันที่ 8 ก.พ.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 s="2" t="n"/>
      <c r="L18" s="2" t="inlineStr">
        <is>
          <t>พ.ร.บ. ยา พ.ศ. 2510</t>
        </is>
      </c>
      <c r="M18" s="2" t="inlineStr">
        <is>
          <t>SAP</t>
        </is>
      </c>
      <c r="N18" s="2" t="inlineStr">
        <is>
          <t>ข้อ 21 Pharma Plus เล่มม่วง (เฉลยข้อ ง)</t>
        </is>
      </c>
      <c r="O18" s="2" t="inlineStr">
        <is>
          <t>Mock</t>
        </is>
      </c>
      <c r="P18" s="2" t="inlineStr">
        <is>
          <t>Pharma Plus เล่มม่วง</t>
        </is>
      </c>
    </row>
    <row r="19" ht="13.2" customHeight="1" s="37">
      <c r="A19" s="2" t="n">
        <v>22</v>
      </c>
      <c r="B19" s="2" t="inlineStr">
        <is>
          <t>ยาทาครีม isotretinoin 0.05% จัดเป็นยาประเภทใดตามพ.ร.บ.ยา</t>
        </is>
      </c>
      <c r="C19" s="2" t="n"/>
      <c r="D19" s="2" t="inlineStr">
        <is>
          <t>ยาใช้ภายนอกที่ไม่ใช่ยาอันตราย</t>
        </is>
      </c>
      <c r="E19" s="2" t="inlineStr">
        <is>
          <t>ยาใช้ภายนอกและยาอันตราย</t>
        </is>
      </c>
      <c r="F19" s="2" t="inlineStr">
        <is>
          <t>ยาใช้ภายนอกและยาควบคุมพิเศษ</t>
        </is>
      </c>
      <c r="G19" s="2" t="inlineStr">
        <is>
          <t>ยาใช้เฉพาะที่และยาอันตราย</t>
        </is>
      </c>
      <c r="H19" s="2" t="inlineStr">
        <is>
          <t>ยาใช้เฉพาะที่และยาควบคุมพิเศษ</t>
        </is>
      </c>
      <c r="I19" s="2" t="n">
        <v>2</v>
      </c>
      <c r="J19" s="2" t="inlineStr">
        <is>
          <t>✅ คำตอบที่ถูกต้อง: ข้อ ข. ยาใช้ภายนอกและยาอันตราย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ยาใช้ภายนอกและยาอันตราย 💡 คำอธิบายและข้อกำหนดทางกฎหมาย:
💡 คำอธิบายและข้อกำหนดทางกฎหมาย:
Isotretinoin ชนิดทาภายนอก จัดเป็นยาควบคุมพิเศษ เนื่องจากมีผลข้างเคียงสูงและอาจทำให้เกิดความพิการในทารกในครรภ์ได้ (Teratogenicity) ต้องสั่งจ่ายโดยแพทย์เท่านั้น และจัดเป็นยาใช้ภายนอก (หรือยาใช้เฉพาะที่)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2" t="n"/>
      <c r="L19" s="2" t="inlineStr">
        <is>
          <t>พ.ร.บ. ยา พ.ศ. 2510</t>
        </is>
      </c>
      <c r="M19" s="2" t="inlineStr">
        <is>
          <t>SAP</t>
        </is>
      </c>
      <c r="N19" s="2" t="inlineStr">
        <is>
          <t>ข้อ 22 Pharma Plus เล่มม่วง (เฉลยข้อ ข)</t>
        </is>
      </c>
      <c r="O19" s="2" t="inlineStr">
        <is>
          <t>Mock</t>
        </is>
      </c>
      <c r="P19" s="2" t="inlineStr">
        <is>
          <t>Pharma Plus เล่มม่วง</t>
        </is>
      </c>
    </row>
    <row r="20" ht="13.2" customHeight="1" s="37">
      <c r="A20" s="2" t="n">
        <v>23</v>
      </c>
      <c r="B20" s="2" t="inlineStr">
        <is>
          <t>Baby aspirin จัดเป็นยาประเภทใด</t>
        </is>
      </c>
      <c r="C20" s="2" t="n"/>
      <c r="D20" s="2" t="inlineStr">
        <is>
          <t>ยาสามัญประจำบ้าน</t>
        </is>
      </c>
      <c r="E20" s="2" t="inlineStr">
        <is>
          <t>ยาควบคุมพิเศษ</t>
        </is>
      </c>
      <c r="F20" s="2" t="inlineStr">
        <is>
          <t>ยาอันตราย</t>
        </is>
      </c>
      <c r="G20" s="2" t="inlineStr">
        <is>
          <t>ยาเสพติดให้โทษ</t>
        </is>
      </c>
      <c r="H20" s="2" t="inlineStr">
        <is>
          <t>วัตถุออกฤทธิ์ต่อจิตประสาท</t>
        </is>
      </c>
      <c r="I20" s="2" t="n">
        <v>2</v>
      </c>
      <c r="J20"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Aspirin (รวมถึงขนาดต่ำหรือ Baby aspirin) จัดเป็นยาอันตรายตามพระราชบัญญัติยา ไม่ใช่ยาสามัญประจำบ้าน เนื่องจากมีข้อควรระวังและผลข้างเคียงสูง เช่น เลือดออกในทางเดินอาหาร และความเสี่ยงในการเกิด Reye's syndrome ในเด็ก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(ยาเสพติดให้โทษ): ข้อนี้ไม่ใช่คำตอบที่ถูกต้องสำหรับภาวะ พ.ร.บ. ยา พ.ศ. 2510 เนื่องจากกลไกการออกฤทธิ์, efficacy หรือข้อบ่งใช้ไม่ตรงกับโจทย์ที่กำหนด
• ข้อ จ. (วัตถุออกฤทธิ์ต่อจิตประสาท):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 s="2" t="n"/>
      <c r="L20" s="2" t="inlineStr">
        <is>
          <t>พ.ร.บ. ยา พ.ศ. 2510</t>
        </is>
      </c>
      <c r="M20" s="2" t="inlineStr">
        <is>
          <t>SAP</t>
        </is>
      </c>
      <c r="N20" s="2" t="inlineStr">
        <is>
          <t>ข้อ 23 Pharma Plus เล่มม่วง (เฉลยข้อ ข)</t>
        </is>
      </c>
      <c r="O20" s="2" t="inlineStr">
        <is>
          <t>Mock</t>
        </is>
      </c>
      <c r="P20" s="2" t="inlineStr">
        <is>
          <t>Pharma Plus เล่มม่วง</t>
        </is>
      </c>
    </row>
    <row r="21" ht="13.2" customHeight="1" s="37">
      <c r="A21" s="2" t="n">
        <v>24</v>
      </c>
      <c r="B21" s="2" t="inlineStr">
        <is>
          <t>ผู้ป่วยได้รับยาชนิดหนึ่งจากร้านยา แต่คราวนี้ผู้ป่วยมีอาการรุนแรงจนเสียชีวิต เภสัชกรไม่ได้ถามข้อมูลการแพ้ยาและโรคประจำตัวของผู้ป่วย เภสัชกรมีความผิดอย่างไร
เภสัชกรมีความผิดอย่างไร</t>
        </is>
      </c>
      <c r="C21" s="2" t="n"/>
      <c r="D21" s="2" t="inlineStr">
        <is>
          <t>ผิดจรรยาบรรณแห่งวิชาชีพ</t>
        </is>
      </c>
      <c r="E21" s="2" t="inlineStr">
        <is>
          <t>ผิดกฎหมายยา</t>
        </is>
      </c>
      <c r="F21" s="2" t="inlineStr">
        <is>
          <t>ละเมิดสิทธิ์ของผู้ป่วย</t>
        </is>
      </c>
      <c r="G21" s="2" t="inlineStr">
        <is>
          <t>ผิดข้อบังคับสภาว่าด้วยข้อจำกัดและเงื่อนไขการปฏิบัติหน้าที่</t>
        </is>
      </c>
      <c r="H21" s="2" t="inlineStr">
        <is>
          <t>ไม่ทำตามประกาศเรื่องการเลือกสรร</t>
        </is>
      </c>
      <c r="I21" s="2" t="n">
        <v>1</v>
      </c>
      <c r="J21" s="2" t="inlineStr">
        <is>
          <t>✅ คำตอบที่ถูกต้อง: ข้อ ก. ผิดจรรยาบรรณแห่งวิชาชีพ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ผิดจรรยาบรรณแห่งวิชาชีพ 💡 คำอธิบายและข้อกำหนดทางกฎหมาย:
💡 คำอธิบายและข้อกำหนดทางกฎหมาย:
การไม่ซักประวัติการแพ้ยาและโรคประจำตัวถือเป็นการละเลยมาตรฐานการปฏิบัติงานทางวิชาชีพที่นำไปสู่ความเสี่ยงต่อผู้ป่วย ผิดต่อข้อบังคับสภาเภสัชกรรมว่าด้วยข้อจำกัดและเงื่อนไขการปฏิบัติหน้าที่ของผู้ประกอบวิชาชีพเภสัชกรรม
🔍 ข้ออื่นผิดเพราะอะไร:
• ข้อ ข. (ผิดกฎหมายยา): ข้อนี้ไม่ใช่คำตอบที่ถูกต้องสำหรับภาวะ พ.ร.บ. ยา พ.ศ. 2510 เนื่องจากกลไกการออกฤทธิ์, efficacy หรือข้อบ่งใช้ไม่ตรงกับโจทย์ที่กำหนด
• ข้อ ค. (ละเมิดสิทธิ์ของผู้ป่วย): ข้อนี้ไม่ใช่คำตอบที่ถูกต้องสำหรับภาวะ พ.ร.บ. ยา พ.ศ. 2510 เนื่องจากกลไกการออกฤทธิ์, efficacy หรือข้อบ่งใช้ไม่ตรงกับโจทย์ที่กำหนด
• ข้อ ง. (ผิดข้อบังคับสภาว่าด้วยข้อจำกัดและเงื่อนไขการปฏิบัติหน้าที่):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(ไม่ทำตามประกาศเรื่องการเลือกสรร):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2" t="n"/>
      <c r="L21" s="2" t="inlineStr">
        <is>
          <t>พ.ร.บ. ยา พ.ศ. 2510</t>
        </is>
      </c>
      <c r="M21" s="2" t="inlineStr">
        <is>
          <t>SAP</t>
        </is>
      </c>
      <c r="N21" s="2" t="inlineStr">
        <is>
          <t>ข้อ 24 Pharma Plus เล่มม่วง (เฉลยข้อ ก)</t>
        </is>
      </c>
      <c r="O21" s="2" t="inlineStr">
        <is>
          <t>Mock</t>
        </is>
      </c>
      <c r="P21" s="2" t="inlineStr">
        <is>
          <t>Pharma Plus เล่มม่วง</t>
        </is>
      </c>
    </row>
    <row r="22" ht="13.2" customHeight="1" s="37">
      <c r="A22" s="2" t="n">
        <v>25</v>
      </c>
      <c r="B22" s="2" t="inlineStr">
        <is>
          <t>ข้อใดถูกต้องเกี่ยวกับยา fluoxetine</t>
        </is>
      </c>
      <c r="C22" s="2" t="n"/>
      <c r="D22" s="2" t="inlineStr">
        <is>
          <t>จัดอยู่ในประเภทยาอันตราย เภสัชกรสามารถจ่ายได้ในร้านยา</t>
        </is>
      </c>
      <c r="E22" s="2" t="inlineStr">
        <is>
          <t>จัดอยู่ในประเภทยาควบคุมพิเศษ เภสัชกรไม่สามารถจ่ายได้</t>
        </is>
      </c>
      <c r="F22" s="2" t="inlineStr">
        <is>
          <t>จัดอยู่ในประเภทยาอันตราย จ่ายได้ในเฉพาะโรงพยาบาล</t>
        </is>
      </c>
      <c r="G22" s="2" t="inlineStr">
        <is>
          <t>จัดอยู่ในประเภทยาเสพติดให้โทษประเภท 2 ต้องทำบัญชีรายงาน อย.</t>
        </is>
      </c>
      <c r="H22" s="2" t="inlineStr">
        <is>
          <t>จัดอยู่ในประเภทยาวัตถุออกฤทธิ์ต่อจิตประสาท</t>
        </is>
      </c>
      <c r="I22" s="2" t="n">
        <v>1</v>
      </c>
      <c r="J22" s="2" t="inlineStr">
        <is>
          <t>✅ คำตอบที่ถูกต้อง: ข้อ ก. จัดอยู่ในประเภทยาอันตราย เภสัชกรสามารถจ่ายได้ในร้านยา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จัดเป็นวัตถุออกฤทธิ์ต่อจิตประสาทในประเภท 4 (ตามประกาศปัจจุบัน) หรือยาอันตรายในบริบทข้อสอบเก่าบางข้อ แต่วัตถุประสงค์หลักคือการควบคุมการจ่ายยาตามกฎหมายวัตถุออกฤทธิ์
🔍 ข้ออื่นผิดเพราะอะไร:
• ข้อ ข. (จัดอยู่ในประเภทยาควบคุมพิเศษ เภสัชกรไม่สามารถจ่ายได้):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(จัดอยู่ในประเภทยาอันตราย จ่ายได้ในเฉพาะโรงพยาบาล):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(จัดอยู่ในประเภทยาเสพติดให้โทษประเภท 2 ต้องทำบัญชีรายงาน อย.):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(จัดอยู่ในประเภทยาวัตถุออกฤทธิ์ต่อจิตประสาท):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 s="2" t="n"/>
      <c r="L22" s="2" t="inlineStr">
        <is>
          <t>พ.ร.บ. ยาเสพติดให้โทษ &amp; วัตถุออกฤทธิ์</t>
        </is>
      </c>
      <c r="M22" s="2" t="inlineStr">
        <is>
          <t>SAP</t>
        </is>
      </c>
      <c r="N22" s="2" t="inlineStr">
        <is>
          <t>ข้อ 25 Pharma Plus เล่มม่วง (เฉลยข้อ ก)</t>
        </is>
      </c>
      <c r="O22" s="2" t="inlineStr">
        <is>
          <t>Mock</t>
        </is>
      </c>
      <c r="P22" s="2" t="inlineStr">
        <is>
          <t>Pharma Plus เล่มม่วง</t>
        </is>
      </c>
    </row>
    <row r="23" ht="13.2" customHeight="1" s="37">
      <c r="A23" s="2" t="n">
        <v>26</v>
      </c>
      <c r="B23" s="2" t="inlineStr">
        <is>
          <t>ยาที่ใช้ในการรักษาโรคหืดชนิดใด ซึ่งตามกฎหมายจัดเป็นยาควบคุมพิเศษ</t>
        </is>
      </c>
      <c r="C23" s="2" t="n"/>
      <c r="D23" s="2" t="inlineStr">
        <is>
          <t>Turbutaline (2.5mg/tab)</t>
        </is>
      </c>
      <c r="E23" s="2" t="inlineStr">
        <is>
          <t>Prednisolone (5mg/tab)</t>
        </is>
      </c>
      <c r="F23" s="2" t="inlineStr">
        <is>
          <t>Inhaled fermoterol (4.5 mcg/dose)</t>
        </is>
      </c>
      <c r="G23" s="2" t="inlineStr">
        <is>
          <t>Inhaled beclomethasone</t>
        </is>
      </c>
      <c r="H23" s="2" t="inlineStr">
        <is>
          <t>Theophylline (200 mg sustained-release)</t>
        </is>
      </c>
      <c r="I23" s="2" t="n">
        <v>2</v>
      </c>
      <c r="J23" s="2" t="inlineStr">
        <is>
          <t>✅ คำตอบที่ถูกต้อง: ข้อ ข. Prednisolone (5mg/tab)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(5mg/tab) 💡 คำอธิบายและข้อกำหนดทางกฎหมาย:
💡 คำอธิบายและข้อกำหนดทางกฎหมาย:
ยาคอร์ติโคสเตียรอยด์ชนิดสูดพ่นขนาดสูง เช่น Inhaled beclomethasone (250 mcg/puff) จัดเป็นยาควบคุมพิเศษตามกฎหมายยาเพื่อป้องกันการใช้โดยไม่ได้รับคำแนะนำและการติดตามที่เหมาะสมจากแพทย์
 เป็น intermediate-acting systemic corticosteroid ขนาดยอดนิยมสำหรับ immunosuppressive &amp; anti-inflammatory therapy ต้องระวัง Cushingoid, infection, osteoporosis, peptic ulcer
🔍 ข้ออื่นผิดเพราะอะไร:
• ข้อ ก. (Turbutaline (2.5mg/tab)): ข้อนี้ไม่ใช่คำตอบที่ถูกต้องสำหรับภาวะ พ.ร.บ. ยา พ.ศ. 2510 เนื่องจากกลไกการออกฤทธิ์, efficacy หรือข้อบ่งใช้ไม่ตรงกับโจทย์ที่กำหนด
• ข้อ ค. (Inhaled fermoterol (4.5 mcg/dose)): ข้อนี้ไม่ใช่คำตอบที่ถูกต้องสำหรับภาวะ พ.ร.บ. ยา พ.ศ. 2510 เนื่องจากกลไกการออกฤทธิ์, efficacy หรือข้อบ่งใช้ไม่ตรงกับโจทย์ที่กำหนด
• ข้อ ง. (Inhaled beclomethasone): ข้อนี้ไม่ใช่คำตอบที่ถูกต้องสำหรับภาวะ พ.ร.บ. ยา พ.ศ. 2510 เนื่องจากกลไกการออกฤทธิ์, efficacy หรือข้อบ่งใช้ไม่ตรงกับโจทย์ที่กำหนด
• ข้อ จ. (Theophylline (200 mg sustained-release)): มี narrow therapeutic window (target 5-15 mcg/mL) และ ADR สูง (ใจสั่น คลื่นไส้ ชัก หัวใจเต้นผิดจังหวะ) CPG จึงจัดเป็นเพียงทางเลือกท้ายๆ (alternative)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2" t="n"/>
      <c r="L23" s="2" t="inlineStr">
        <is>
          <t>พ.ร.บ. ยา พ.ศ. 2510</t>
        </is>
      </c>
      <c r="M23" s="2" t="inlineStr">
        <is>
          <t>SAP</t>
        </is>
      </c>
      <c r="N23" s="2" t="inlineStr">
        <is>
          <t>ข้อ 26 Pharma Plus เล่มม่วง (เฉลยข้อ ข)</t>
        </is>
      </c>
      <c r="O23" s="2" t="inlineStr">
        <is>
          <t>Mock</t>
        </is>
      </c>
      <c r="P23" s="2" t="inlineStr">
        <is>
          <t>Pharma Plus เล่มม่วง</t>
        </is>
      </c>
    </row>
    <row r="24" ht="13.2" customHeight="1" s="37">
      <c r="A24" s="2" t="n">
        <v>27</v>
      </c>
      <c r="B24" s="2" t="inlineStr">
        <is>
          <t>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
ทำไมยานี้จึงไม่มีจำหน่ายในร้านยา</t>
        </is>
      </c>
      <c r="C24" s="2" t="n"/>
      <c r="D24" s="2" t="inlineStr">
        <is>
          <t>เนื่องจากจัดเป็นยาควบคุมพิเศษ</t>
        </is>
      </c>
      <c r="E24" s="2" t="inlineStr">
        <is>
          <t>เนื่องจากจัดเป็นยาที่ลงทะเบียนแบบมีเงื่อนไขต้องติดตามการใช้ในโรงพยาบาล</t>
        </is>
      </c>
      <c r="F24" s="2" t="inlineStr">
        <is>
          <t>เนื่องจากจัดเป็นยาเสพติดให้โทษ ประเภทที่ 2</t>
        </is>
      </c>
      <c r="G24" s="2" t="inlineStr">
        <is>
          <t>เนื่องจากจัดเป็นวัตถุออกฤทธิ์ต่อจิตประสาทประเภทที่ 2</t>
        </is>
      </c>
      <c r="H24" s="2" t="inlineStr">
        <is>
          <t>เนื่องจากจัดเป็นยาอันตราย</t>
        </is>
      </c>
      <c r="I24" s="2" t="n">
        <v>4</v>
      </c>
      <c r="J24" s="2" t="inlineStr">
        <is>
          <t>✅ คำตอบที่ถูกต้อง: ข้อ ง. เนื่องจากจัดเป็นวัตถุออกฤทธิ์ต่อจิตประสาทประเภทที่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เนื่องจากจัดเป็นวัตถุออกฤทธิ์ต่อจิตประสาทประเภทที่ 2 💡 คำอธิบายและข้อกำหนดทางกฎหมาย:
💡 คำอธิบายและข้อกำหนดทางกฎหมาย:
Pseudoephedrine ถูกยกระดับเป็นวัตถุออกฤทธิ์ต่อจิตประสาทประเภท 2 และห้ามมิให้ร้านขายยาทั่วไปจำหน่ายเด็ดขาด (จำหน่ายได้เฉพาะสถานพยาบาลของรัฐและโรงพยาบาลตามเงื่อนไขกระทรวงสาธารณสุขเพื่อป้องกันการนำไปสกัดเป็นยาเสพติด)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ข้อนี้ไม่ใช่คำตอบที่ถูกต้องสำหรับภาวะ พ.ร.บ. ยา พ.ศ. 2510 เนื่องจากกลไกการออกฤทธิ์, efficacy หรือข้อบ่งใช้ไม่ตรงกับโจทย์ที่กำหนด
• ข้อ ค. (เนื่องจากจัดเป็นยาเสพติดให้โทษ ประเภทที่ 2): ข้อนี้ไม่ใช่คำตอบที่ถูกต้องสำหรับภาวะ พ.ร.บ. ยา พ.ศ. 2510 เนื่องจากกลไกการออกฤทธิ์, efficacy หรือข้อบ่งใช้ไม่ตรงกับโจทย์ที่กำหนด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2" t="n"/>
      <c r="L24" s="2" t="inlineStr">
        <is>
          <t>พ.ร.บ. ยา พ.ศ. 2510</t>
        </is>
      </c>
      <c r="M24" s="2" t="inlineStr">
        <is>
          <t>SAP</t>
        </is>
      </c>
      <c r="N24" s="2" t="inlineStr">
        <is>
          <t>ข้อ 27 Pharma Plus เล่มม่วง (เฉลยข้อ ง)</t>
        </is>
      </c>
      <c r="O24" s="2" t="inlineStr">
        <is>
          <t>Mock</t>
        </is>
      </c>
      <c r="P24" s="2" t="inlineStr">
        <is>
          <t>Pharma Plus เล่มม่วง</t>
        </is>
      </c>
    </row>
    <row r="25" ht="13.2" customHeight="1" s="37">
      <c r="A25" s="2" t="n">
        <v>28</v>
      </c>
      <c r="B25" s="2" t="inlineStr">
        <is>
          <t>ผู้ป่วยเริ่มมีอาการไอแห้งๆ จึงไปซื้อยาที่ร้านขายยา อยากทราบว่า ยาใดซื้อได้ในร้านยาแผนปัจจุบัน (ขย. 1)
ยาใดซื้อได้ในร้านยาแผนปัจจุบัน (ขย. 1)</t>
        </is>
      </c>
      <c r="C25" s="2" t="n"/>
      <c r="D25" s="2" t="inlineStr">
        <is>
          <t>ยาแก้ไอ้น้ำดำ องค์การเภสัช ขนาด 60 ml</t>
        </is>
      </c>
      <c r="E25" s="2" t="inlineStr">
        <is>
          <t>ยาแก้ไอ้น้ำดำ องค์การเภสัช ขนาด 120 ml</t>
        </is>
      </c>
      <c r="F25" s="2" t="inlineStr">
        <is>
          <t>Cofeed (Diphenhydramine and ammonium chloride)</t>
        </is>
      </c>
      <c r="G25" s="2" t="inlineStr">
        <is>
          <t>Terco-D (Dextromethorphan and terpin hydrate)</t>
        </is>
      </c>
      <c r="H25" s="2" t="inlineStr">
        <is>
          <t>Godipect (Codeine phosphate and glycerylguaicolate)</t>
        </is>
      </c>
      <c r="I25" s="2" t="n">
        <v>1</v>
      </c>
      <c r="J25" s="2" t="inlineStr">
        <is>
          <t>✅ คำตอบที่ถูกต้อง: ข้อ ก. ยาแก้ไอ้น้ำดำ องค์การเภสัช ขนาด 60 ml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ยาแก้ไอ้น้ำดำ องค์การเภสัช ขนาด 60 ml 💡 คำอธิบายและข้อกำหนดทางกฎหมาย:
💡 คำอธิบายและข้อกำหนดทางกฎหมาย:
ยาแก้ไอผสมโคดีอีน (เช่น Godipect) จัดเป็นยาอันตรายหรือยาเสพติดให้โทษประเภทที่ 3 ตามกฎหมาย ซึ่งในร้านขายยาแผนปัจจุบัน (ขย.1) มีข้อจำกัดและเงื่อนไขในการจ่าย สำหรับ Terco-D มีส่วนผสมของ Dextromethorphan (ยาอันตราย) ที่ควบคุมปริมาณการจำหน่าย ส่วนยาแก้ไอผสมแอมโมเนียและไดเฟนไฮดรามีน (Cofeed) หรือน้ำดำขนาดใหญ่/เล็ก มีกฎเกณฑ์การควบคุมปริมาณตามประกาศกระทรวงสาธารณสุข ข้อนี้พิจารณาจากขอบเขตการจ่ายยาต้านการไอในร้านยา
🔍 ข้ออื่นผิดเพราะอะไร:
• ข้อ ข. (ยาแก้ไอ้น้ำดำ องค์การเภสัช ขนาด 120 ml): ข้อนี้ไม่ใช่คำตอบที่ถูกต้องสำหรับภาวะ พ.ร.บ. ยา พ.ศ. 2510 เนื่องจากกลไกการออกฤทธิ์, efficacy หรือข้อบ่งใช้ไม่ตรงกับโจทย์ที่กำหนด
• ข้อ ค. (Cofeed (Diphenhydramine and ammonium chloride)): ข้อนี้ไม่ใช่คำตอบที่ถูกต้องสำหรับภาวะ พ.ร.บ. ยา พ.ศ. 2510 เนื่องจากกลไกการออกฤทธิ์, efficacy หรือข้อบ่งใช้ไม่ตรงกับโจทย์ที่กำหนด
• ข้อ ง. (Terco-D (Dextromethorphan and terpin hydrate)): ข้อนี้ไม่ใช่คำตอบที่ถูกต้องสำหรับภาวะ พ.ร.บ. ยา พ.ศ. 2510 เนื่องจากกลไกการออกฤทธิ์, efficacy หรือข้อบ่งใช้ไม่ตรงกับโจทย์ที่กำหนด
• ข้อ จ. (Godipect (Codeine phosphate and glycerylguaicolate)):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พ.ร.บ. ยา พ.ศ. 2510</t>
        </is>
      </c>
      <c r="M25" s="2" t="inlineStr">
        <is>
          <t>SAP</t>
        </is>
      </c>
      <c r="N25" s="2" t="inlineStr">
        <is>
          <t>ข้อ 28 Pharma Plus เล่มม่วง (เฉลยข้อ ก ค ง)</t>
        </is>
      </c>
      <c r="O25" s="2" t="inlineStr">
        <is>
          <t>Mock</t>
        </is>
      </c>
      <c r="P25" s="2" t="inlineStr">
        <is>
          <t>Pharma Plus เล่มม่วง</t>
        </is>
      </c>
    </row>
    <row r="26" ht="13.2" customHeight="1" s="37">
      <c r="A26" s="2" t="n">
        <v>29</v>
      </c>
      <c r="B26" s="2" t="inlineStr">
        <is>
          <t>ตาม พ.ร.บ.ยา พ.ศ. 2510 ยารับประทานคุมกำเนิดอยู่ในข้อใด
ยารับประทานคุมกำเนิดอยู่ในข้อใด</t>
        </is>
      </c>
      <c r="C26" s="2" t="n"/>
      <c r="D26" s="2" t="inlineStr">
        <is>
          <t>ยาที่จ่ายตามใบสั่งแพทย์เท่านั้น</t>
        </is>
      </c>
      <c r="E26" s="2" t="inlineStr">
        <is>
          <t>ยาที่จ่ายได้โดยเภสัชกร</t>
        </is>
      </c>
      <c r="F26" s="2" t="inlineStr">
        <is>
          <t>ยาที่จ่ายได้ในร้านยาแผนปัจจุบันบรรจุเสร็จ</t>
        </is>
      </c>
      <c r="G26" s="2" t="inlineStr">
        <is>
          <t>ยาประเภท over the counter (OTC)</t>
        </is>
      </c>
      <c r="H26" s="2" t="inlineStr">
        <is>
          <t>ยาควบคุมพิเศษ</t>
        </is>
      </c>
      <c r="I26" s="2" t="n">
        <v>2</v>
      </c>
      <c r="J26" s="2" t="inlineStr">
        <is>
          <t>✅ คำตอบที่ถูกต้อง: ข้อ ข. ยาที่จ่ายได้โดยเภสัชกร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ยาที่จ่ายได้โดยเภสัชกร 💡 คำอธิบายและข้อกำหนดทางกฎหมาย:
💡 คำอธิบายและข้อกำหนดทางกฎหมาย:
ยารับประทานคุมกำเนิดฮอร์โมนรวม (Oral Contraceptive Pills) ตามกฎหมายยาของประเทศไทย จัดเป็น 'ยาอันตราย' ซึ่งสามารถจำหน่ายได้ในร้านยาแผนปัจจุบันบรรจุเสร็จ โดยต้องส่งมอบโดยเภสัชกรชั้น 1 ตามพระราชบัญญัติยา พ.ศ. 2510
🔍 ข้ออื่นผิดเพราะอะไร:
• ข้อ ก. (ยาที่จ่ายตามใบสั่งแพทย์เท่านั้น):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(ยาที่จ่ายได้ในร้านยาแผนปัจจุบันบรรจุเสร็จ):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(ยาประเภท over the counter (OTC)):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พ.ร.บ. ยา พ.ศ. 2510</t>
        </is>
      </c>
      <c r="M26" s="2" t="inlineStr">
        <is>
          <t>SAP</t>
        </is>
      </c>
      <c r="N26" s="2" t="inlineStr">
        <is>
          <t>ข้อ 29 Pharma Plus เล่มม่วง (เฉลยข้อ ข ค)</t>
        </is>
      </c>
      <c r="O26" s="2" t="inlineStr">
        <is>
          <t>Mock</t>
        </is>
      </c>
      <c r="P26" s="2" t="inlineStr">
        <is>
          <t>Pharma Plus เล่มม่วง</t>
        </is>
      </c>
    </row>
    <row r="27" ht="13.2" customHeight="1" s="37">
      <c r="A27" s="2" t="n">
        <v>32</v>
      </c>
      <c r="B27" s="2" t="inlineStr">
        <is>
          <t>ผู้ป่วยสงสัยว่ายา ibuprofen ที่ซื้อจากร้านยาเป็นยาปลอม จึงเอาให้เภสัชดู เมื่อตรวจสอบพบว่ายานี้ไม่ได้เป็นยาปลอม ดังนั้นยาต้องมีข้อมูลที่เป็นความจริงดังต่อไปนี้ ยกเว้นข้อใด
ยาต้องมีข้อมูลที่เป็นความจริงดังต่อไปนี้ ยกเว้นข้อใด</t>
        </is>
      </c>
      <c r="C27" s="2" t="n"/>
      <c r="D27" s="2" t="inlineStr">
        <is>
          <t>ชื่อยา</t>
        </is>
      </c>
      <c r="E27" s="2" t="inlineStr">
        <is>
          <t>สารออกฤทธิ์</t>
        </is>
      </c>
      <c r="F27" s="2" t="inlineStr">
        <is>
          <t>ที่ตั้งสถานที่ผลิตยา</t>
        </is>
      </c>
      <c r="G27" s="2" t="inlineStr">
        <is>
          <t>วันเดือนปีที่ยาสิ้นอายุ</t>
        </is>
      </c>
      <c r="H27" s="2" t="inlineStr">
        <is>
          <t>เลขที่ทะเบียนโฆษณายา</t>
        </is>
      </c>
      <c r="I27" s="2" t="n">
        <v>5</v>
      </c>
      <c r="J27" s="2" t="inlineStr">
        <is>
          <t>✅ คำตอบที่ถูกต้อง: ข้อ จ. เลขที่ทะเบียนโฆษณายา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เลขที่ทะเบียนโฆษณายา 💡 คำอธิบายและข้อกำหนดทางกฎหมาย:
💡 คำอธิบายและข้อกำหนดทางกฎหมาย:
ตาม พ.ร.บ. ยา ฉลากยาที่ถูกต้องจะต้องระบุชื่อยา สารออกฤทธิ์ ที่ตั้งสถานที่ผลิต และวันเดือนปีที่สิ้นอายุ ส่วน 'เลขที่ทะเบียนโฆษณายา' ไม่ใช่รายการบังคับที่ต้องแสดงบนฉลากยา (การโฆษณาต้องขออนุญาตแต่ฉลากยาแสดงเลขทะเบียนตำรับยา ไม่ใช่เลขที่ทะเบียนโฆษณา)
🔍 ข้ออื่นผิดเพราะอะไร:
• ข้อ ก. (ชื่อยา): ข้อนี้ไม่ใช่คำตอบที่ถูกต้องสำหรับภาวะ พ.ร.บ. ยา พ.ศ. 2510 เนื่องจากกลไกการออกฤทธิ์, efficacy หรือข้อบ่งใช้ไม่ตรงกับโจทย์ที่กำหนด
• ข้อ ข. (สารออกฤทธิ์): ข้อนี้ไม่ใช่คำตอบที่ถูกต้องสำหรับภาวะ พ.ร.บ. ยา พ.ศ. 2510 เนื่องจากกลไกการออกฤทธิ์, efficacy หรือข้อบ่งใช้ไม่ตรงกับโจทย์ที่กำหนด
• ข้อ ค. (ที่ตั้งสถานที่ผลิตยา): ข้อนี้ไม่ใช่คำตอบที่ถูกต้องสำหรับภาวะ พ.ร.บ. ยา พ.ศ. 2510 เนื่องจากกลไกการออกฤทธิ์, efficacy หรือข้อบ่งใช้ไม่ตรงกับโจทย์ที่กำหนด
• ข้อ ง. (วันเดือนปีที่ยาสิ้นอายุ):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พ.ร.บ. ยา พ.ศ. 2510</t>
        </is>
      </c>
      <c r="M27" s="2" t="inlineStr">
        <is>
          <t>SAP</t>
        </is>
      </c>
      <c r="N27" s="2" t="inlineStr">
        <is>
          <t>ข้อ 32 Pharma Plus เล่มม่วง (เฉลยข้อ จ)</t>
        </is>
      </c>
      <c r="O27" s="2" t="inlineStr">
        <is>
          <t>Mock</t>
        </is>
      </c>
      <c r="P27" s="2" t="inlineStr">
        <is>
          <t>Pharma Plus เล่มม่วง</t>
        </is>
      </c>
    </row>
    <row r="28" ht="13.2" customHeight="1" s="37">
      <c r="A28" s="2" t="n">
        <v>33</v>
      </c>
      <c r="B28" s="2" t="inlineStr">
        <is>
          <t>ยาหยอดตากบฉลากแจ้งว่ามีปริมาณสารสำคัญ polymycin B sulfate 10,000 units/ml วันหมดอายุคือ 12/4/2548 แต่เมื่อวิเคราะห์พบว่า มีปริมาณเพียง 8,500 units/ml ยาดังกล่าว จัดเป็นยาประเภทใด
ยาดังกล่าว จัดเป็นยาประเภทใด</t>
        </is>
      </c>
      <c r="C28" s="2" t="n"/>
      <c r="D28" s="2" t="inlineStr">
        <is>
          <t>ยาปลอม</t>
        </is>
      </c>
      <c r="E28" s="2" t="inlineStr">
        <is>
          <t>ยาแปรสภาพ</t>
        </is>
      </c>
      <c r="F28" s="2" t="inlineStr">
        <is>
          <t>ยาผิดมาตรฐาน</t>
        </is>
      </c>
      <c r="G28" s="2" t="inlineStr">
        <is>
          <t>ยาเสื่อมคุณภาพ</t>
        </is>
      </c>
      <c r="H28" s="2" t="inlineStr">
        <is>
          <t>ยาเทียม</t>
        </is>
      </c>
      <c r="I28" s="2" t="n">
        <v>3</v>
      </c>
      <c r="J28" s="2" t="inlineStr">
        <is>
          <t>✅ คำตอบที่ถูกต้อง: ข้อ ค.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 พ.ร.บ. ยา พ.ศ. 2510 ยาที่มีปริมาณสารสำคัญน้อยกว่าหรือมากกว่าร้อยละของปริมาณที่กำหนดไว้ในตำรับยาที่ขึ้นทะเบียนไว้ (เช่น มีตัวยาสำคัญต่ำกว่าเกณฑ์มาตรฐานที่ยอมรับได้) จัดเป็น 'ยาผิดมาตรฐาน'
🔍 ข้ออื่นผิดเพราะอะไร:
• ข้อ ก. (ยาปลอม):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(ยาแปรสภาพ):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(ยาเทียม):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พ.ร.บ. ยา พ.ศ. 2510</t>
        </is>
      </c>
      <c r="M28" s="2" t="inlineStr">
        <is>
          <t>SAP</t>
        </is>
      </c>
      <c r="N28" s="2" t="inlineStr">
        <is>
          <t>ข้อ 33 Pharma Plus เล่มม่วง (เฉลยข้อ ค)</t>
        </is>
      </c>
      <c r="O28" s="2" t="inlineStr">
        <is>
          <t>Mock</t>
        </is>
      </c>
      <c r="P28" s="2" t="inlineStr">
        <is>
          <t>Pharma Plus เล่มม่วง</t>
        </is>
      </c>
    </row>
    <row r="29" ht="13.2" customHeight="1" s="37">
      <c r="A29" s="2" t="n">
        <v>34</v>
      </c>
      <c r="B29" s="2" t="inlineStr">
        <is>
          <t>หากเภสัชกรยังไม่ได้เป็นผู้ประกอบวิชาชีพเภสัชกรรม ข้อใดกล่าวถูกต้อง</t>
        </is>
      </c>
      <c r="C29" s="2" t="n"/>
      <c r="D29" s="2" t="inlineStr">
        <is>
          <t>เขาจะไม่สามารถพัฒนาตำรับ triamcinolone lotion นี้ขึ้นมาได้</t>
        </is>
      </c>
      <c r="E29" s="2" t="inlineStr">
        <is>
          <t>เขาจะไม่สามารถเป็นเจ้าของโรงงานผลิต triamcinolone lotion นี้ขึ้นมาได้</t>
        </is>
      </c>
      <c r="F29" s="2" t="inlineStr">
        <is>
          <t>เขาจะไม่สามารถระบุชื่อว่าเป็นผู้พัฒนา triamcinolone lotion ตำรับได้</t>
        </is>
      </c>
      <c r="G29" s="2" t="inlineStr">
        <is>
          <t>เขาจะไม่สามารถทำหน้าที่เป็นเภสัชกรควบคุมการผลิต triamcinolone lotion นี้ขึ้นมาได้</t>
        </is>
      </c>
      <c r="H29" s="2" t="inlineStr">
        <is>
          <t>เขาจะไม่สามารถทำหน้าที่เป็นผู้เดินเรื่องขึ้นทะเบียนตำรับนี้</t>
        </is>
      </c>
      <c r="I29" s="2" t="n">
        <v>4</v>
      </c>
      <c r="J29" s="2" t="inlineStr">
        <is>
          <t>✅ คำตอบที่ถูกต้อง: ข้อ ง. เขาจะไม่สามารถทำหน้าที่เป็นเภสัชกรควบคุมการผลิต triamcinolone lotion นี้ขึ้นมาได้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เขาจะไม่สามารถทำหน้าที่เป็นเภสัชกรควบคุมการผลิต triamcinolone lotion นี้ขึ้นมาได้ 💡 คำอธิบายและข้อกำหนดทางกฎหมาย:
💡 คำอธิบายและข้อกำหนดทางกฎหมาย:
ตาม พ.ร.บ. ยา เภสัชกรควบคุมการผลิต (ผู้มีหน้าที่ปฏิบัติการ) ในโรงงานผลิตยา ต้องเป็นผู้ได้รับใบประกอบวิชาชีพเภสัชกรรม หากยังไม่ได้เป็น จะไม่สามารถทำหน้าที่เป็นเภสัชกรควบคุมการผลิตได้
🔍 ข้ออื่นผิดเพราะอะไร:
• ข้อ ก. (เขาจะไม่สามารถพัฒนาตำรับ triamcinolone lotion นี้ขึ้นมาได้): ข้อนี้ไม่ใช่คำตอบที่ถูกต้องสำหรับภาวะ พ.ร.บ. ยา พ.ศ. 2510 เนื่องจากกลไกการออกฤทธิ์, efficacy หรือข้อบ่งใช้ไม่ตรงกับโจทย์ที่กำหนด
• ข้อ ข. (เขาจะไม่สามารถเป็นเจ้าของโรงงานผลิต triamcinolone lotion นี้ขึ้นมาได้):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(เขาจะไม่สามารถระบุชื่อว่าเป็นผู้พัฒนา triamcinolone lotion ตำรับได้): ข้อนี้ไม่ใช่คำตอบที่ถูกต้องสำหรับภาวะ พ.ร.บ. ยา พ.ศ. 2510 เนื่องจากกลไกการออกฤทธิ์, efficacy หรือข้อบ่งใช้ไม่ตรงกับโจทย์ที่กำหนด
• ข้อ จ. (เขาจะไม่สามารถทำหน้าที่เป็นผู้เดินเรื่องขึ้นทะเบียนตำรับนี้):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พ.ร.บ. ยา พ.ศ. 2510</t>
        </is>
      </c>
      <c r="M29" s="2" t="inlineStr">
        <is>
          <t>SAP</t>
        </is>
      </c>
      <c r="N29" s="2" t="inlineStr">
        <is>
          <t>ข้อ 34 Pharma Plus เล่มม่วง (เฉลยข้อ ง)</t>
        </is>
      </c>
      <c r="O29" s="2" t="inlineStr">
        <is>
          <t>Mock</t>
        </is>
      </c>
      <c r="P29" s="2" t="inlineStr">
        <is>
          <t>Pharma Plus เล่มม่วง</t>
        </is>
      </c>
    </row>
    <row r="30" ht="13.2" customHeight="1" s="37">
      <c r="A30" s="2" t="n">
        <v>35</v>
      </c>
      <c r="B30" s="2" t="inlineStr">
        <is>
          <t>เจ้าของโรงงานผลิต triamcinolone cream 0.1% จำหน่ายในขนาดบรรจุ 15 g จัดเป็นยาพวกใด</t>
        </is>
      </c>
      <c r="C30" s="2" t="n"/>
      <c r="D30" s="2" t="inlineStr">
        <is>
          <t>ยาอันตราย</t>
        </is>
      </c>
      <c r="E30" s="2" t="inlineStr">
        <is>
          <t>ยาควบคุมพิเศษ</t>
        </is>
      </c>
      <c r="F30" s="2" t="inlineStr">
        <is>
          <t>ยาสามัญประจำบ้าน</t>
        </is>
      </c>
      <c r="G30" s="2" t="inlineStr">
        <is>
          <t>ยาแผนปัจจุบันบรรจุเสร็จ</t>
        </is>
      </c>
      <c r="H30" s="2" t="inlineStr">
        <is>
          <t>ยาใช้ภายนอกที่ไม่ใช่ยาอันตราย</t>
        </is>
      </c>
      <c r="I30" s="2" t="n">
        <v>1</v>
      </c>
      <c r="J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Triamcinolone acetonide ชนิดทาภายนอก จัดเป็นยาอันตรายตามประกาศกระทรวงสาธารณสุข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(ยาแผนปัจจุบันบรรจุเสร็จ):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พ.ร.บ. ยา พ.ศ. 2510</t>
        </is>
      </c>
      <c r="M30" s="2" t="inlineStr">
        <is>
          <t>SAP</t>
        </is>
      </c>
      <c r="N30" s="2" t="inlineStr">
        <is>
          <t>ข้อ 35 Pharma Plus เล่มม่วง (เฉลยข้อ ก)</t>
        </is>
      </c>
      <c r="O30" s="2" t="inlineStr">
        <is>
          <t>Mock</t>
        </is>
      </c>
      <c r="P30" s="2" t="inlineStr">
        <is>
          <t>Pharma Plus เล่มม่วง</t>
        </is>
      </c>
    </row>
    <row r="31" ht="13.2" customHeight="1" s="37">
      <c r="A31" s="2" t="n">
        <v>36</v>
      </c>
      <c r="B31" s="2" t="inlineStr">
        <is>
          <t>ยาตาข้อใดต่อไปนี้ เป็นยาสามัญประจำบ้าน</t>
        </is>
      </c>
      <c r="C31" s="2" t="n"/>
      <c r="D31" s="2" t="inlineStr">
        <is>
          <t>Diclofenac ED</t>
        </is>
      </c>
      <c r="E31" s="2" t="inlineStr">
        <is>
          <t>Chloramphenicol eye ointment</t>
        </is>
      </c>
      <c r="F31" s="2" t="inlineStr">
        <is>
          <t>Timolol ED</t>
        </is>
      </c>
      <c r="G31" s="2" t="inlineStr">
        <is>
          <t>Dexamethasone ED</t>
        </is>
      </c>
      <c r="H31" s="2" t="inlineStr">
        <is>
          <t>Tetracycline eye ointment</t>
        </is>
      </c>
      <c r="I31" s="2" t="n">
        <v>1</v>
      </c>
      <c r="J31" s="2" t="inlineStr">
        <is>
          <t>✅ คำตอบที่ถูกต้อง: ข้อ ก. Diclofenac ED
💡 Background:
กฎหมายยาและจรรยาบรรณวิชาชีพมีขึ้นเพื่อคุ้มครองความปลอดภัยของผู้บริโภคตามมาตรฐาน Good Pharmacy Practice (GPP)
🎯 ทำไมข้อนี้ถึงถูก:
Diclofenac ED 💡 คำอธิบายและข้อกำหนดทางกฎหมาย:
💡 คำอธิบายและข้อกำหนดทางกฎหมาย:
ตามประกาศบัญชียาสามัญประจำบ้าน ยาหยอดตาหรือขี้ผึ้งป้ายตาที่เป็นยาสามัญประจำบ้านมักเป็นยาปฏิชีวนะพื้นฐาน เช่น Tetracycline eye ointment หรือ Chloramphenicol eye ointment (ต้องตรวจสอบตามประกาศปัจจุบัน แต่ตามข้อสอบมาตรฐาน Tetracycline/Chloramphenicol มักจัดอยู่ในกลุ่มนี้หรือยาอันตรายตามประกาศ)
🔍 ข้ออื่นผิดเพราะอะไร:
• ข้อ ข. (Chloramphenicol eye ointment): ข้อนี้ไม่ใช่คำตอบที่ถูกต้องสำหรับภาวะ พ.ร.บ. ยา พ.ศ. 2510 เนื่องจากกลไกการออกฤทธิ์, efficacy หรือข้อบ่งใช้ไม่ตรงกับโจทย์ที่กำหนด
• ข้อ ค. (Timolol ED): ข้อนี้ไม่ใช่คำตอบที่ถูกต้องสำหรับภาวะ พ.ร.บ. ยา พ.ศ. 2510 เนื่องจากกลไกการออกฤทธิ์, efficacy หรือข้อบ่งใช้ไม่ตรงกับโจทย์ที่กำหนด
• ข้อ ง. (Dexamethasone ED): เป็น long-acting potent glucocorticoid ไม่มี mineralocorticoid effect จึงไม่ทำให้น้ำคั่ง เหมาะสำหรับ brain edema, antiemetic, และ COVID-19 with hypoxemia
• ข้อ จ. (Tetracycline eye ointment):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พ.ร.บ. ยา พ.ศ. 2510</t>
        </is>
      </c>
      <c r="M31" s="2" t="inlineStr">
        <is>
          <t>SAP</t>
        </is>
      </c>
      <c r="N31" s="2" t="inlineStr">
        <is>
          <t>ข้อ 36 Pharma Plus เล่มม่วง (เฉลยข้อ ไมมีคำตอบ)</t>
        </is>
      </c>
      <c r="O31" s="2" t="inlineStr">
        <is>
          <t>Mock</t>
        </is>
      </c>
      <c r="P31" s="2" t="inlineStr">
        <is>
          <t>Pharma Plus เล่มม่วง</t>
        </is>
      </c>
    </row>
    <row r="32" ht="13.2" customHeight="1" s="37">
      <c r="A32" s="2" t="n">
        <v>37</v>
      </c>
      <c r="B32" s="2" t="inlineStr">
        <is>
          <t>ผู้ป่วยมาพร้อมใบสั่งยาซึ่งเขียนว่า
Rx Diclofenac 25 mg 30
Sig: 2 tab p.o.tid pc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is>
      </c>
      <c r="C32" s="2" t="n"/>
      <c r="D32" s="2" t="inlineStr">
        <is>
          <t>ยาปลอม</t>
        </is>
      </c>
      <c r="E32" s="2" t="inlineStr">
        <is>
          <t>ยาสิ้นอายุ</t>
        </is>
      </c>
      <c r="F32" s="2" t="inlineStr">
        <is>
          <t>ยาเสื่อมคุณภาพ</t>
        </is>
      </c>
      <c r="G32" s="2" t="inlineStr">
        <is>
          <t>ยาผิดมาตรฐาน</t>
        </is>
      </c>
      <c r="H32" s="2" t="inlineStr">
        <is>
          <t>ยาต่ำกว่ามาตรฐาน</t>
        </is>
      </c>
      <c r="I32" s="2" t="n">
        <v>1</v>
      </c>
      <c r="J32"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ยาที่มีปริมาณสารสำคัญน้อยกว่าหรือมากกว่าเกณฑ์ที่กำหนดมาก (เช่น น้อยกว่า 70% หรือตามเกณฑ์เภสัชตำรับ) จะเข้าข่ายเป็นยาผิดมาตรฐานหรือยาปลอมตามมาตราที่กำหนด (มักพิจารณาตามสัดส่วนความคลาดเคลื่อนทางมาตรฐาน)
🔍 ข้ออื่นผิดเพราะอะไร:
• ข้อ ข. (ยาสิ้นอายุ):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(ยาต่ำกว่ามาตรฐาน):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พ.ร.บ. ยา พ.ศ. 2510</t>
        </is>
      </c>
      <c r="M32" s="2" t="inlineStr">
        <is>
          <t>SAP</t>
        </is>
      </c>
      <c r="N32" s="2" t="inlineStr">
        <is>
          <t>ข้อ 37 Pharma Plus เล่มม่วง (เฉลยข้อ ก)</t>
        </is>
      </c>
      <c r="O32" s="2" t="inlineStr">
        <is>
          <t>Mock</t>
        </is>
      </c>
      <c r="P32" s="2" t="inlineStr">
        <is>
          <t>Pharma Plus เล่มม่วง</t>
        </is>
      </c>
    </row>
    <row r="33" ht="13.2" customHeight="1" s="37">
      <c r="A33" s="2" t="n">
        <v>38</v>
      </c>
      <c r="B33" s="2" t="inlineStr">
        <is>
          <t>ยาในข้อใดที่เภสัชกรสามารถจ่ายได้เมื่อได้รับใบสั่งยาจากแพทย์เท่านั้น</t>
        </is>
      </c>
      <c r="C33" s="2" t="n"/>
      <c r="D33" s="2" t="inlineStr">
        <is>
          <t>Celecoxib</t>
        </is>
      </c>
      <c r="E33" s="2" t="inlineStr">
        <is>
          <t>Tramadol</t>
        </is>
      </c>
      <c r="F33" s="2" t="inlineStr">
        <is>
          <t>Meloxicam</t>
        </is>
      </c>
      <c r="G33" s="2" t="inlineStr">
        <is>
          <t>Prednisolone</t>
        </is>
      </c>
      <c r="H33" s="2" t="inlineStr">
        <is>
          <t>Indomethacin</t>
        </is>
      </c>
      <c r="I33" s="2" t="n">
        <v>4</v>
      </c>
      <c r="J33" s="2" t="inlineStr">
        <is>
          <t>✅ คำตอบที่ถูกต้อง: ข้อ ง. Prednisolone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 คำอธิบายและข้อกำหนดทางกฎหมาย:
💡 คำอธิบายและข้อกำหนดทางกฎหมาย:
Tramadol จัดเป็นยาควบคุมพิเศษ (ปัจจุบันยกระดับเป็นยาเสพติดให้โทษในประเภท 3 หรือควบคุมเข้มงวดตามประกาศกระทรวงฯ) ซึ่งต้องจ่ายโดยมีใบสั่งยาจากแพทย์เท่านั้น
 เป็น intermediate-acting systemic corticosteroid ขนาดยอดนิยมสำหรับ immunosuppressive &amp; anti-inflammatory therapy ต้องระวัง Cushingoid, infection, osteoporosis, peptic ulcer
🔍 ข้ออื่นผิดเพราะอะไร:
• ข้อ ก. (Celecoxib): เป็น selective COX-2 inhibitor มี GI safety profile ดีกว่า non-selective NSAIDs แต่มี cardiovascular risk เพิ่มขึ้น และ contraindication ในผู้ป่วย post-CABG หรือ sulfonamide allergy
• ข้อ ข. (Tramadol): เป็น weak mu-opioid agonist และ SNRI เป็นเพียง second-line / add-on สำหรับ pain relief ไม่มีฤทธิ์ลดการอักเสบ (no anti-inflammatory efficacy) และเสี่ยงต่อ serotonin syndrome และชัก
• ข้อ ค. (Meloxicam): เป็น preferential COX-2 inhibitor ขนาดยา 7.5-15 mg OD มี GI safety ดีกว่า non-selective NSAIDs ทั่วไปเล็กน้อย
• ข้อ จ. (Indomethacin): เป็น potent non-selective NSAID มี anti-inflammatory efficacy สูงมากใน acute gout flare แต่มี ADRs เด่นทาง GI toxicity และ CNS (ปวดศีรษะ มึนงง)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พ.ร.บ. ยา พ.ศ. 2510</t>
        </is>
      </c>
      <c r="M33" s="2" t="inlineStr">
        <is>
          <t>SAP</t>
        </is>
      </c>
      <c r="N33" s="2" t="inlineStr">
        <is>
          <t>ข้อ 38 Pharma Plus เล่มม่วง (เฉลยข้อ ง)</t>
        </is>
      </c>
      <c r="O33" s="2" t="inlineStr">
        <is>
          <t>Mock</t>
        </is>
      </c>
      <c r="P33" s="2" t="inlineStr">
        <is>
          <t>Pharma Plus เล่มม่วง</t>
        </is>
      </c>
    </row>
    <row r="34" ht="13.2" customHeight="1" s="37">
      <c r="A34" s="2" t="n">
        <v>39</v>
      </c>
      <c r="B34" s="2" t="inlineStr">
        <is>
          <t>ถ้าเภสัชกรจ่ายยาในข้อ 38 โดยไม่มีใบสั่งแพทย์จะมีความผิดในข้อใด</t>
        </is>
      </c>
      <c r="C34" s="2" t="n"/>
      <c r="D34" s="2" t="inlineStr">
        <is>
          <t>จ่ายยาควบคุมพิเศษโดยไม่มีใบสั่งยา</t>
        </is>
      </c>
      <c r="E34" s="2" t="inlineStr">
        <is>
          <t>จ่ายยาอันตรายโดยไม่มีใบสั่งยา</t>
        </is>
      </c>
      <c r="F34" s="2" t="inlineStr">
        <is>
          <t>จ่ายยาประเภทวัตถุออกฤทธิ์ต่อจิตประสาทโดยไม่มีใบสั่งยา</t>
        </is>
      </c>
      <c r="G34" s="2" t="inlineStr">
        <is>
          <t>จ่ายยาประเภทยาเสพติดให้โทษประเภท 2 โดยไม่มีใบสั่งยา</t>
        </is>
      </c>
      <c r="H34" s="2" t="inlineStr">
        <is>
          <t>จ่ายยาประเภทยาเสพติดให้โทษประเภท 3 โดยไม่มีใบสั่งยา</t>
        </is>
      </c>
      <c r="I34" s="2" t="n">
        <v>1</v>
      </c>
      <c r="J34" s="2" t="inlineStr">
        <is>
          <t>✅ คำตอบที่ถูกต้อง: ข้อ ก. จ่ายยาควบคุมพิเศษโดยไม่มีใบสั่งยา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จ่ายยาควบคุมพิเศษโดยไม่มีใบสั่งยา 💡 คำอธิบายและข้อกำหนดทางกฎหมาย:
💡 คำอธิบายและข้อกำหนดทางกฎหมาย:
เนื่องจาก Tramadol เป็นยาควบคุมพิเศษ การจ่ายโดยไม่มีใบสั่งยาจากแพทย์จึงมีความผิดฐานจ่ายยาควบคุมพิเศษโดยไม่มีใบสั่งยา
🔍 ข้ออื่นผิดเพราะอะไร:
• ข้อ ข. (จ่ายยาอันตรายโดยไม่มีใบสั่งยา):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(จ่ายยาประเภทวัตถุออกฤทธิ์ต่อจิตประสาทโดยไม่มีใบสั่งยา):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(จ่ายยาประเภทยาเสพติดให้โทษประเภท 2 โดยไม่มีใบสั่งยา):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(จ่ายยาประเภทยาเสพติดให้โทษประเภท 3 โดยไม่มีใบสั่งยา):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พ.ร.บ. ยาเสพติดให้โทษ &amp; วัตถุออกฤทธิ์</t>
        </is>
      </c>
      <c r="M34" s="2" t="inlineStr">
        <is>
          <t>SAP</t>
        </is>
      </c>
      <c r="N34" s="2" t="inlineStr">
        <is>
          <t>ข้อ 39 Pharma Plus เล่มม่วง (เฉลยข้อ ก)</t>
        </is>
      </c>
      <c r="O34" s="2" t="inlineStr">
        <is>
          <t>Mock</t>
        </is>
      </c>
      <c r="P34" s="2" t="inlineStr">
        <is>
          <t>Pharma Plus เล่มม่วง</t>
        </is>
      </c>
    </row>
    <row r="35" ht="13.2" customHeight="1" s="37">
      <c r="A35" s="2" t="n">
        <v>46</v>
      </c>
      <c r="B35" s="2" t="inlineStr">
        <is>
          <t>ผงน้ำตาลเกลือแร่จัดเป็นยาประเภทใด</t>
        </is>
      </c>
      <c r="C35" s="2" t="n"/>
      <c r="D35" s="2" t="inlineStr">
        <is>
          <t>ยาบรรจุเสร็จที่ไม่ใช่ยาอันตราย</t>
        </is>
      </c>
      <c r="E35" s="2" t="inlineStr">
        <is>
          <t>ยาสามัญประจำบ้าน</t>
        </is>
      </c>
      <c r="F35" s="2" t="inlineStr">
        <is>
          <t>ยาอันตราย</t>
        </is>
      </c>
      <c r="G35" s="2" t="inlineStr">
        <is>
          <t>ยาควบคุมพิเศษ</t>
        </is>
      </c>
      <c r="H35" s="2" t="inlineStr">
        <is>
          <t>ยาแผนโบราณ</t>
        </is>
      </c>
      <c r="I35" s="2" t="n">
        <v>2</v>
      </c>
      <c r="J35" s="2" t="inlineStr">
        <is>
          <t>✅ คำตอบที่ถูกต้อง: ข้อ ข.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ผงน้ำตาลเกลือแร่ (ORS) จัดเป็นยาสามัญประจำบ้านตามประกาศกระทรวงสาธารณสุข เพื่อให้ประชาชนสามารถหาซื้อได้สะดวกสำหรับบรรเทาอาการท้องเสียและป้องกันภาวะขาดน้ำเบื้องต้น
🔍 ข้ออื่นผิดเพราะอะไร:
• ข้อ ก. (ยาบรรจุเสร็จที่ไม่ใช่ยาอันตราย):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พ.ร.บ. ยา พ.ศ. 2510</t>
        </is>
      </c>
      <c r="M35" s="2" t="inlineStr">
        <is>
          <t>SAP</t>
        </is>
      </c>
      <c r="N35" s="2" t="inlineStr">
        <is>
          <t>ข้อ 46 Pharma Plus เล่มม่วง (เฉลยข้อ ข)</t>
        </is>
      </c>
      <c r="O35" s="2" t="inlineStr">
        <is>
          <t>Mock</t>
        </is>
      </c>
      <c r="P35" s="2" t="inlineStr">
        <is>
          <t>Pharma Plus เล่มม่วง</t>
        </is>
      </c>
    </row>
    <row r="36" ht="13.2" customHeight="1" s="37">
      <c r="A36" s="2" t="n">
        <v>47</v>
      </c>
      <c r="B36" s="2" t="inlineStr">
        <is>
          <t>ตารางแสดงการเกิด MI ในผู้ป่วยที่ใช้ยา atorvastatin และ simvastatin
ข้อใดถูก</t>
        </is>
      </c>
      <c r="C36" s="2" t="n"/>
      <c r="D36" s="2" t="inlineStr">
        <is>
          <t>เป็นประชากรที่เกิด MI ทั้งเก่าและใหม่</t>
        </is>
      </c>
      <c r="E36" s="2" t="inlineStr">
        <is>
          <t>Atorvastatin เกิด MI ต่ำกว่า simvastatin</t>
        </is>
      </c>
      <c r="F36" s="2" t="inlineStr">
        <is>
          <t>Simvastatin ลดการเกิด MI ก่อนถึง 100 ปี</t>
        </is>
      </c>
      <c r="G36" s="2" t="inlineStr">
        <is>
          <t>Simvastatin เกิด MI ต่ำกว่า atorvastatin</t>
        </is>
      </c>
      <c r="H36" s="2" t="inlineStr">
        <is>
          <t>ไม่มีข้อใดถูก</t>
        </is>
      </c>
      <c r="I36" s="2" t="n">
        <v>2</v>
      </c>
      <c r="J36" s="2" t="inlineStr">
        <is>
          <t>✅ คำตอบที่ถูกต้อง: ข้อ ข. Atorvastatin เกิด MI ต่ำกว่า simvastatin
💡 Background:
กฎหมายยาและจรรยาบรรณวิชาชีพมีขึ้นเพื่อคุ้มครองความปลอดภัยของผู้บริโภคตามมาตรฐาน Good Pharmacy Practice (GPP)
🎯 ทำไมข้อนี้ถึงถูก:
Atorvastatin เกิด MI ต่ำกว่า simvastatin 💡 คำอธิบายและข้อกำหนดทางกฎหมาย:
💡 คำอธิบายและข้อกำหนดทางกฎหมาย:
จากตารางแสดงอัตราการเกิดโรคกล้ามเนื้อหัวใจตาย (MI) ต่อ 100 person-year พบว่า Atorvastatin มีอัตราการเกิด MI เท่ากับ 25 ต่อ 100 person-year ส่วน Simvastatin เท่ากับ 40 ต่อ 100 person-year ดังนั้น Atorvastatin จึงเกิด MI ต่ำกว่า simvastatin
🔍 ข้ออื่นผิดเพราะอะไร:
• ข้อ ก. (เป็นประชากรที่เกิด MI ทั้งเก่าและใหม่): ข้อนี้ไม่ใช่คำตอบที่ถูกต้องสำหรับภาวะ พ.ร.บ. ยา พ.ศ. 2510 เนื่องจากกลไกการออกฤทธิ์, efficacy หรือข้อบ่งใช้ไม่ตรงกับโจทย์ที่กำหนด
• ข้อ ค. (Simvastatin ลดการเกิด MI ก่อนถึง 100 ปี): เป็น moderate-intensity statin เมแทบอไลต์ผ่าน CYP3A4 เด่นชัด ห้ามใช้ dose 80 mg และมี drug interactions สูงกับ CYP3A4 inhibitors (clarithromycin, ketoconazole)
• ข้อ ง. (Simvastatin เกิด MI ต่ำกว่า atorvastatin): เป็น High-intensity statin (40-80 mg) ยับยั้ง HMG-CoA reductase มี clinical efficacy สูงสุดในการลด LDL-C ≥ 50% และ plaque stabilization ใน ACS/CAD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พ.ร.บ. ยา พ.ศ. 2510</t>
        </is>
      </c>
      <c r="M36" s="2" t="inlineStr">
        <is>
          <t>SAP</t>
        </is>
      </c>
      <c r="N36" s="2" t="inlineStr">
        <is>
          <t>ข้อ 47 Pharma Plus เล่มม่วง (เฉลยข้อ ข)</t>
        </is>
      </c>
      <c r="O36" s="2" t="inlineStr">
        <is>
          <t>Mock</t>
        </is>
      </c>
      <c r="P36" s="2" t="inlineStr">
        <is>
          <t>Pharma Plus เล่มม่วง</t>
        </is>
      </c>
    </row>
    <row r="37" ht="13.2" customHeight="1" s="37">
      <c r="A37" s="2" t="n">
        <v>48</v>
      </c>
      <c r="B37" s="2" t="inlineStr">
        <is>
          <t>ทรัพย์สินทางปัญญาที่คุ้มครองการผลิต การริเริ่มสร้างสรรค์ ที่สามารถนำมาใช้ทางอุตสาหกรรมและการให้การคุ้มครองในช่วงระยะเวลาหนึ่งก่อนที่จะมีการเผยแพร่แก่สาธารณชน</t>
        </is>
      </c>
      <c r="C37" s="2" t="n"/>
      <c r="D37" s="2" t="inlineStr">
        <is>
          <t>ลิขสิทธิ์</t>
        </is>
      </c>
      <c r="E37" s="2" t="inlineStr">
        <is>
          <t>เครื่องหมายการค้า</t>
        </is>
      </c>
      <c r="F37" s="2" t="inlineStr">
        <is>
          <t>สิทธิบัตร</t>
        </is>
      </c>
      <c r="G37" s="2" t="inlineStr">
        <is>
          <t>ความลับทางการค้า</t>
        </is>
      </c>
      <c r="H37" s="2" t="inlineStr">
        <is>
          <t>สิทธิเหนือสิทธิบัตร</t>
        </is>
      </c>
      <c r="I37" s="2" t="n">
        <v>3</v>
      </c>
      <c r="J37" s="2" t="inlineStr">
        <is>
          <t>✅ คำตอบที่ถูกต้อง: ข้อ ค. สิทธิบัตร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สิทธิบัตร 💡 คำอธิบายและข้อกำหนดทางกฎหมาย:
💡 คำอธิบายและข้อกำหนดทางกฎหมาย:
สิทธิบัตร (Patent) คือหนังสือสำคัญที่รัฐออกให้เพื่อคุ้มครองการประดิษฐ์คิดค้นหรือการออกแบบผลิตภัณฑ์ ซึ่งเกี่ยวข้องกับการผลิตทางอุตสาหกรรม โดยให้สิทธิผูกขาดในช่วงเวลาจำกัดตามกฎหมาย
🔍 ข้ออื่นผิดเพราะอะไร:
• ข้อ ก. (ลิขสิทธิ์): ข้อนี้ไม่ใช่คำตอบที่ถูกต้องสำหรับภาวะ พ.ร.บ. ยา พ.ศ. 2510 เนื่องจากกลไกการออกฤทธิ์, efficacy หรือข้อบ่งใช้ไม่ตรงกับโจทย์ที่กำหนด
• ข้อ ข. (เครื่องหมายการค้า): ข้อนี้ไม่ใช่คำตอบที่ถูกต้องสำหรับภาวะ พ.ร.บ. ยา พ.ศ. 2510 เนื่องจากกลไกการออกฤทธิ์, efficacy หรือข้อบ่งใช้ไม่ตรงกับโจทย์ที่กำหนด
• ข้อ ง. (ความลับทางการค้า): ข้อนี้ไม่ใช่คำตอบที่ถูกต้องสำหรับภาวะ พ.ร.บ. ยา พ.ศ. 2510 เนื่องจากกลไกการออกฤทธิ์, efficacy หรือข้อบ่งใช้ไม่ตรงกับโจทย์ที่กำหนด
• ข้อ จ. (สิทธิเหนือสิทธิบัตร):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พ.ร.บ. ยา พ.ศ. 2510</t>
        </is>
      </c>
      <c r="M37" s="2" t="inlineStr">
        <is>
          <t>SAP</t>
        </is>
      </c>
      <c r="N37" s="2" t="inlineStr">
        <is>
          <t>ข้อ 48 Pharma Plus เล่มม่วง (เฉลยข้อ ค)</t>
        </is>
      </c>
      <c r="O37" s="2" t="inlineStr">
        <is>
          <t>Mock</t>
        </is>
      </c>
      <c r="P37" s="2" t="inlineStr">
        <is>
          <t>Pharma Plus เล่มม่วง</t>
        </is>
      </c>
    </row>
    <row r="38" ht="13.2" customHeight="1" s="37">
      <c r="A38" s="2" t="n">
        <v>49</v>
      </c>
      <c r="B38" s="2" t="inlineStr">
        <is>
          <t>ข้อใดคือยาผิดมาตรฐาน</t>
        </is>
      </c>
      <c r="C38" s="2" t="n"/>
      <c r="D38" s="2" t="inlineStr">
        <is>
          <t>ผสม cotrimazole ร่วมกับ terbinafine เพื่อลดต้นทุน</t>
        </is>
      </c>
      <c r="E38" s="2" t="inlineStr">
        <is>
          <t>ในฉลากระบุวันหมดอายุ คือ มกราคม 2009 แต่ความจริงหมดอายุเมื่อ มกราคม 2019</t>
        </is>
      </c>
      <c r="F38" s="2" t="inlineStr">
        <is>
          <t>ยามี %LA = 87%</t>
        </is>
      </c>
      <c r="G38" s="2" t="inlineStr">
        <is>
          <t>ยาหมดอายุตามที่ระบุไว้ในฉลาก</t>
        </is>
      </c>
      <c r="H38" s="2" t="inlineStr">
        <is>
          <t>แจ้งที่อยู่ในการผลิต ไม่ตรงกับที่ขึ้นทะเบียนยา</t>
        </is>
      </c>
      <c r="I38" s="2" t="n">
        <v>3</v>
      </c>
      <c r="J38"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ยาผิดมาตรฐาน หมายถึง ยาที่มีปริมาณสารสำคัญหรือคุณภาพของยาไม่เป็นไปตามเกณฑ์มาตรฐานที่ขึ้นทะเบียนไว้ (เช่น ปริมาณความแรงหรือ % declared amount แตกต่างจากมาตรฐาน หรือต่ำกว่าเกณฑ์ เช่น %LA หรือ Assay ต่ำกว่ากำหนด)
🔍 ข้ออื่นผิดเพราะอะไร:
• ข้อ ก. (ผสม cotrimazole ร่วมกับ terbinafine เพื่อลดต้นทุน): ข้อนี้ไม่ใช่คำตอบที่ถูกต้องสำหรับภาวะ พ.ร.บ. ยา พ.ศ. 2510 เนื่องจากกลไกการออกฤทธิ์, efficacy หรือข้อบ่งใช้ไม่ตรงกับโจทย์ที่กำหนด
• ข้อ ข. (ในฉลากระบุวันหมดอายุ คือ มกราคม 2009 แต่ความจริงหมดอายุเมื่อ มกราคม 2019):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(ยาหมดอายุตามที่ระบุไว้ในฉลาก): ข้อนี้ไม่ใช่คำตอบที่ถูกต้องสำหรับภาวะ พ.ร.บ. ยา พ.ศ. 2510 เนื่องจากกลไกการออกฤทธิ์, efficacy หรือข้อบ่งใช้ไม่ตรงกับโจทย์ที่กำหนด
• ข้อ จ. (แจ้งที่อยู่ในการผลิต ไม่ตรงกับที่ขึ้นทะเบียนยา):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พ.ร.บ. ยา พ.ศ. 2510</t>
        </is>
      </c>
      <c r="M38" s="2" t="inlineStr">
        <is>
          <t>SAP</t>
        </is>
      </c>
      <c r="N38" s="2" t="inlineStr">
        <is>
          <t>ข้อ 49 Pharma Plus เล่มม่วง (เฉลยข้อ ค)</t>
        </is>
      </c>
      <c r="O38" s="2" t="inlineStr">
        <is>
          <t>Mock</t>
        </is>
      </c>
      <c r="P38" s="2" t="inlineStr">
        <is>
          <t>Pharma Plus เล่มม่วง</t>
        </is>
      </c>
    </row>
    <row r="39" ht="13.2" customHeight="1" s="37">
      <c r="A39" s="2" t="n">
        <v>50</v>
      </c>
      <c r="B39" s="2" t="inlineStr">
        <is>
          <t>Norfloxacin จัดอยู่ในบัญชียาหลักแห่งชาติบัญชีอะไร</t>
        </is>
      </c>
      <c r="C39" s="2" t="n"/>
      <c r="D39" s="2" t="inlineStr">
        <is>
          <t>บัญชี ก</t>
        </is>
      </c>
      <c r="E39" s="2" t="inlineStr">
        <is>
          <t>บัญชี ข</t>
        </is>
      </c>
      <c r="F39" s="2" t="inlineStr">
        <is>
          <t>บัญชี ค</t>
        </is>
      </c>
      <c r="G39" s="2" t="inlineStr">
        <is>
          <t>บัญชี ง</t>
        </is>
      </c>
      <c r="H39" s="2" t="inlineStr">
        <is>
          <t>บัญชี จ</t>
        </is>
      </c>
      <c r="I39" s="2" t="n">
        <v>1</v>
      </c>
      <c r="J39" s="2" t="inlineStr">
        <is>
          <t>✅ คำตอบที่ถูกต้อง: ข้อ ก. บัญชี ก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 ก 💡 คำอธิบายและข้อกำหนดทางกฎหมาย:
💡 คำอธิบายและข้อกำหนดทางกฎหมาย:
Norfloxacin จัดอยู่ในบัญชียาหลักแห่งชาติบัญชี ค (ยาสำหรับโครงการพิเศษของกระทรวง หรือยาที่ต้องควบคุมการใช้โดยแพทย์เฉพาะทางในเงื่อนไขที่กำหนด)
🔍 ข้ออื่นผิดเพราะอะไร:
• ข้อ ข. (บัญชี ข): ข้อนี้ไม่ใช่คำตอบที่ถูกต้องสำหรับภาวะ พ.ร.บ. ยา พ.ศ. 2510 เนื่องจากกลไกการออกฤทธิ์, efficacy หรือข้อบ่งใช้ไม่ตรงกับโจทย์ที่กำหนด
• ข้อ ค. (บัญชี ค): ข้อนี้ไม่ใช่คำตอบที่ถูกต้องสำหรับภาวะ พ.ร.บ. ยา พ.ศ. 2510 เนื่องจากกลไกการออกฤทธิ์, efficacy หรือข้อบ่งใช้ไม่ตรงกับโจทย์ที่กำหนด
• ข้อ ง. (บัญชี ง): ข้อนี้ไม่ใช่คำตอบที่ถูกต้องสำหรับภาวะ พ.ร.บ. ยา พ.ศ. 2510 เนื่องจากกลไกการออกฤทธิ์, efficacy หรือข้อบ่งใช้ไม่ตรงกับโจทย์ที่กำหนด
• ข้อ จ. (บัญชี จ):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พ.ร.บ. ยา พ.ศ. 2510</t>
        </is>
      </c>
      <c r="M39" s="2" t="inlineStr">
        <is>
          <t>SAP</t>
        </is>
      </c>
      <c r="N39" s="2" t="inlineStr">
        <is>
          <t>ข้อ 50 Pharma Plus เล่มม่วง (เฉลยข้อ ก)</t>
        </is>
      </c>
      <c r="O39" s="2" t="inlineStr">
        <is>
          <t>Mock</t>
        </is>
      </c>
      <c r="P39" s="2" t="inlineStr">
        <is>
          <t>Pharma Plus เล่มม่วง</t>
        </is>
      </c>
    </row>
    <row r="40" ht="13.2" customHeight="1" s="37">
      <c r="A40" s="2" t="n">
        <v>51</v>
      </c>
      <c r="B40" s="2" t="inlineStr">
        <is>
          <t>บัญชียา ก หมายถึง</t>
        </is>
      </c>
      <c r="C40" s="2" t="n"/>
      <c r="D40" s="2" t="inlineStr">
        <is>
          <t>รายการยาที่ต้องใช้โดยผู้เชี่ยวชาญ</t>
        </is>
      </c>
      <c r="E40" s="2" t="inlineStr">
        <is>
          <t>รายการยาที่จำเป็นต้องใช้ในสถานพยาบาลบางระดับ</t>
        </is>
      </c>
      <c r="F40" s="2" t="inlineStr">
        <is>
          <t>รายการยาสำหรับใช้เฉพาะโครงการพิเศษของกระทรวง</t>
        </is>
      </c>
      <c r="G40" s="2" t="inlineStr">
        <is>
          <t>รายการยาที่มีความจำเป็นสำหรับสถานพยาบาลทุกระดับ</t>
        </is>
      </c>
      <c r="H40" s="2" t="inlineStr">
        <is>
          <t>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t>
        </is>
      </c>
      <c r="I40" s="2" t="n">
        <v>4</v>
      </c>
      <c r="J40"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 ก (Essential Drugs) หมายถึง รายการยาที่จำเป็นและเหมาะสมสำหรับใช้ในสถานพยาบาลทุกระดับ ตั้งแต่ระดับปฐมภูมิถึงตติยภูมิ เพื่อรักษาโรคที่พบบ่อย
🔍 ข้ออื่นผิดเพราะอะไร:
• ข้อ ก. (รายการยาที่ต้องใช้โดยผู้เชี่ยวชาญ): ข้อนี้ไม่ใช่คำตอบที่ถูกต้องสำหรับภาวะ พ.ร.บ. ยา พ.ศ. 2510 เนื่องจากกลไกการออกฤทธิ์, efficacy หรือข้อบ่งใช้ไม่ตรงกับโจทย์ที่กำหนด
• ข้อ ข. (รายการยาที่จำเป็นต้องใช้ในสถานพยาบาลบางระดับ): ข้อนี้ไม่ใช่คำตอบที่ถูกต้องสำหรับภาวะ พ.ร.บ. ยา พ.ศ. 2510 เนื่องจากกลไกการออกฤทธิ์, efficacy หรือข้อบ่งใช้ไม่ตรงกับโจทย์ที่กำหนด
• ข้อ ค. (รายการยาสำหรับใช้เฉพาะโครงการพิเศษของกระทรวง): ข้อนี้ไม่ใช่คำตอบที่ถูกต้องสำหรับภาวะ พ.ร.บ. ยา พ.ศ. 2510 เนื่องจากกลไกการออกฤทธิ์, efficacy หรือข้อบ่งใช้ไม่ตรงกับโจทย์ที่กำหนด
• ข้อ จ.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พ.ร.บ. ยา พ.ศ. 2510</t>
        </is>
      </c>
      <c r="M40" s="2" t="inlineStr">
        <is>
          <t>SAP</t>
        </is>
      </c>
      <c r="N40" s="2" t="inlineStr">
        <is>
          <t>ข้อ 51 Pharma Plus เล่มม่วง (เฉลยข้อ ง)</t>
        </is>
      </c>
      <c r="O40" s="2" t="inlineStr">
        <is>
          <t>Mock</t>
        </is>
      </c>
      <c r="P40" s="2" t="inlineStr">
        <is>
          <t>Pharma Plus เล่มม่วง</t>
        </is>
      </c>
    </row>
    <row r="41" ht="13.2" customHeight="1" s="37">
      <c r="A41" s="2" t="n">
        <v>53</v>
      </c>
      <c r="B41" s="2" t="inlineStr">
        <is>
          <t>ร้านยาที่มีเภสัชกรอยู่ตลอดเวลา สามารถขายยาคุมกำเนิดชนิด hormone รวมชนิดบรรจุเสร็จที่ไม่ใช่ยาอันตราย หรือยาควบคุมพิเศษผ่านทาง website ได้หรือไม่</t>
        </is>
      </c>
      <c r="C41" s="2" t="n"/>
      <c r="D41" s="2" t="inlineStr">
        <is>
          <t>ได้ เนื่องจากได้รับอนุญาตขายยาแผนปัจจุบัน</t>
        </is>
      </c>
      <c r="E41" s="2" t="inlineStr">
        <is>
          <t>ได้ เนื่องจากเป็นยาบรรจุเสร็จที่ไม่ใช่ยาอันตรายหรือยาควบคุมพิเศษ</t>
        </is>
      </c>
      <c r="F41" s="2" t="inlineStr">
        <is>
          <t>ได้ เนื่องจากมีเภสัชกรประจำอยู่ตลอดเวลา</t>
        </is>
      </c>
      <c r="G41" s="2" t="inlineStr">
        <is>
          <t>ไม่ได้ เนื่องจากขายเฉพาะในสถานที่ที่ได้รับอนุญาตเท่านั้น</t>
        </is>
      </c>
      <c r="H41" s="2" t="inlineStr">
        <is>
          <t>ไม่ได้ เพราะไม่เห็นหน้าผู้ป่วย</t>
        </is>
      </c>
      <c r="I41" s="2" t="n">
        <v>4</v>
      </c>
      <c r="J41" s="2" t="inlineStr">
        <is>
          <t>✅ คำตอบที่ถูกต้อง: ข้อ ง. ไม่ได้ เนื่องจากขายเฉพาะในสถานที่ที่ได้รับอนุญาตเท่านั้น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เนื่องจากขายเฉพาะในสถานที่ที่ได้รับอนุญาตเท่านั้น 💡 คำอธิบายและข้อกำหนดทางกฎหมาย:
💡 คำอธิบายและข้อกำหนดทางกฎหมาย:
ตามกฎหมายยา การขายยาแผนปัจจุบันจะต้องกระทำในสถานที่ที่ได้รับอนุญาต (ร้านยา) เท่านั้น ไม่อนุญาตให้มีการจำหน่ายยาผ่านทางเว็บไซต์หรืออินเทอร์เน็ต
🔍 ข้ออื่นผิดเพราะอะไร:
• ข้อ ก. (ได้ เนื่องจากได้รับอนุญาตขายยาแผนปัจจุบัน): ข้อนี้ไม่ใช่คำตอบที่ถูกต้องสำหรับภาวะ พ.ร.บ. ยา พ.ศ. 2510 เนื่องจากกลไกการออกฤทธิ์, efficacy หรือข้อบ่งใช้ไม่ตรงกับโจทย์ที่กำหนด
• ข้อ ข. (ได้ เนื่องจากเป็นยาบรรจุเสร็จที่ไม่ใช่ยาอันตรายหรือยาควบคุมพิเศษ):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 เนื่องจากมีเภสัชกรประจำอยู่ตลอดเวลา):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(ไม่ได้ เพราะไม่เห็นหน้าผู้ป่วย):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พ.ร.บ. ยา พ.ศ. 2510</t>
        </is>
      </c>
      <c r="M41" s="2" t="inlineStr">
        <is>
          <t>SAP</t>
        </is>
      </c>
      <c r="N41" s="2" t="inlineStr">
        <is>
          <t>ข้อ 53 Pharma Plus เล่มม่วง (เฉลยข้อ ง)</t>
        </is>
      </c>
      <c r="O41" s="2" t="inlineStr">
        <is>
          <t>Mock</t>
        </is>
      </c>
      <c r="P41" s="2" t="inlineStr">
        <is>
          <t>Pharma Plus เล่มม่วง</t>
        </is>
      </c>
    </row>
    <row r="42" ht="13.2" customHeight="1" s="37">
      <c r="A42" s="2" t="n">
        <v>54</v>
      </c>
      <c r="B42" s="2" t="inlineStr">
        <is>
          <t>ถ้าจะทำการทดลองผลของยา isotretinoin ต่อหญิงตั้งครรภ์ ข้อใดไม่ควรใช้</t>
        </is>
      </c>
      <c r="C42" s="2" t="n"/>
      <c r="D42" s="2" t="inlineStr">
        <is>
          <t>Case-control</t>
        </is>
      </c>
      <c r="E42" s="2" t="inlineStr">
        <is>
          <t>Cohort</t>
        </is>
      </c>
      <c r="F42" s="2" t="inlineStr">
        <is>
          <t>RCT</t>
        </is>
      </c>
      <c r="G42" s="2" t="inlineStr">
        <is>
          <t>ข้อ ก และ ข</t>
        </is>
      </c>
      <c r="H42" s="2" t="inlineStr">
        <is>
          <t>ข้อ ข และ ค</t>
        </is>
      </c>
      <c r="I42" s="2" t="n">
        <v>5</v>
      </c>
      <c r="J42" s="2" t="inlineStr">
        <is>
          <t>✅ คำตอบที่ถูกต้อง: ข้อ จ. ข้อ ข และ ค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ข และ ค 💡 คำอธิบายและข้อกำหนดทางกฎหมาย:
💡 คำอธิบายและข้อกำหนดทางกฎหมาย:
การศึกษาผลของยาที่มีความเสี่ยงต่อการเกิดความพิการในหญิงตั้งครรภ์ (Teratogenicity) ไม่สามารถใช้ Randomized Controlled Trial (RCT) ได้ในเชิงจริยธรรม เนื่องจากไม่อาจสุ่มให้หญิงตั้งครรภ์ได้รับยาที่มีพิษต่อทารกได้
🔍 ข้ออื่นผิดเพราะอะไร:
• ข้อ ก. (Case-control): ข้อนี้ไม่ใช่คำตอบที่ถูกต้องสำหรับภาวะ พ.ร.บ. ยา พ.ศ. 2510 เนื่องจากกลไกการออกฤทธิ์, efficacy หรือข้อบ่งใช้ไม่ตรงกับโจทย์ที่กำหนด
• ข้อ ข. (Cohort): ข้อนี้ไม่ใช่คำตอบที่ถูกต้องสำหรับภาวะ พ.ร.บ. ยา พ.ศ. 2510 เนื่องจากกลไกการออกฤทธิ์, efficacy หรือข้อบ่งใช้ไม่ตรงกับโจทย์ที่กำหนด
• ข้อ ค. (RCT): ข้อนี้ไม่ใช่คำตอบที่ถูกต้องสำหรับภาวะ พ.ร.บ. ยา พ.ศ. 2510 เนื่องจากกลไกการออกฤทธิ์, efficacy หรือข้อบ่งใช้ไม่ตรงกับโจทย์ที่กำหนด
• ข้อ ง. (ข้อ ก และ 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พ.ร.บ. ยา พ.ศ. 2510</t>
        </is>
      </c>
      <c r="M42" s="2" t="inlineStr">
        <is>
          <t>SAP</t>
        </is>
      </c>
      <c r="N42" s="2" t="inlineStr">
        <is>
          <t>ข้อ 54 Pharma Plus เล่มม่วง (เฉลยข้อ จ)</t>
        </is>
      </c>
      <c r="O42" s="2" t="inlineStr">
        <is>
          <t>Mock</t>
        </is>
      </c>
      <c r="P42" s="2" t="inlineStr">
        <is>
          <t>Pharma Plus เล่มม่วง</t>
        </is>
      </c>
    </row>
    <row r="43" ht="13.2" customHeight="1" s="37">
      <c r="A43" s="2" t="n">
        <v>57</v>
      </c>
      <c r="B43" s="2" t="inlineStr">
        <is>
          <t>องค์ความรู้ในเรื่องปัจจัยที่มีผลต่อการใช้ยาสม่ำเสมอมีความสำคัญอย่างมากในการที่เภสัชกรจะช่วยให้ผู้ป่วยใช้ยาได้อย่างสม่ำเสมอ ข้อใดเป็นความจริง</t>
        </is>
      </c>
      <c r="C43" s="2" t="n"/>
      <c r="D43" s="2" t="inlineStr">
        <is>
          <t>ผู้หญิงมีพฤติกรรมการให้ความร่วมมือในการใช้ยาดีกว่าผู้ชาย</t>
        </is>
      </c>
      <c r="E43" s="2" t="inlineStr">
        <is>
          <t>การเลือกใช้ยาบำบัดโดยการรับประทานยาเพียงครั้งเดียวต่อวันมีผลทำให้ผู้ป่วยมีพฤติกรรมให้ความร่วมมือต่อการใช้ยา</t>
        </is>
      </c>
      <c r="F43" s="2" t="inlineStr">
        <is>
          <t>ผู้ป่วยสูงอายุมีพฤติกรรมให้ความร่วมมือในการใช้ยาไม่เท่ากับผู้ป่วยวัยกลางคน</t>
        </is>
      </c>
      <c r="G43" s="2" t="inlineStr">
        <is>
          <t>คนมีการศึกษาสูงให้ความร่วมมือในการใช้ยากกว่าคนที่มีการศึกษาต่ำ</t>
        </is>
      </c>
      <c r="H43" s="2" t="inlineStr">
        <is>
          <t>การให้ยาน้ำ (ถ้าทำได้) จะทำให้ผู้ป่วยมีความร่วมมือในการใช้ยากกว่าการใช้ยาเม็ด</t>
        </is>
      </c>
      <c r="I43" s="2" t="n">
        <v>2</v>
      </c>
      <c r="J43" s="2" t="inlineStr">
        <is>
          <t>✅ คำตอบที่ถูกต้อง: ข้อ ข. การเลือกใช้ยาบำบัดโดยการรับประทานยาเพียงครั้งเดียวต่อวันมีผลทำให้ผู้ป่วยมีพฤติกรรมให้ความร่วมมือต่อการใ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เลือกใช้ยาบำบัดโดยการรับประทานยาเพียงครั้งเดียวต่อวันมีผลทำให้ผู้ป่วยมีพฤติกรรมให้ความร่วมมือต่อการใช้ยา 💡 คำอธิบายและข้อกำหนดทางกฎหมาย:
💡 คำอธิบายและข้อกำหนดทางกฎหมาย:
การรับประทานยาเพียงวันละครั้ง (once-daily dosing regimen) ช่วยลดภาระการจำและเพิ่มความสะดวก ทำให้ผู้ป่วยมีความร่วมมือในการใช้ยา (adherence) สูงขึ้นอย่างมีนัยสำคัญเมื่อเทียบกับการบริหารยาหลายครั้งต่อวัน ส่วนปัจจัยด้านเพศ อายุ หรือการศึกษาไม่ได้มีความสัมพันธ์ที่แน่นอนเสมอไป
🔍 ข้ออื่นผิดเพราะอะไร:
• ข้อ ก. (ผู้หญิงมีพฤติกรรมการให้ความร่วมมือในการใช้ยาดีกว่าผู้ชาย): ข้อนี้ไม่ใช่คำตอบที่ถูกต้องสำหรับภาวะ พ.ร.บ. ยา พ.ศ. 2510 เนื่องจากกลไกการออกฤทธิ์, efficacy หรือข้อบ่งใช้ไม่ตรงกับโจทย์ที่กำหนด
• ข้อ ค. (ผู้ป่วยสูงอายุมีพฤติกรรมให้ความร่วมมือในการใช้ยาไม่เท่ากับผู้ป่วยวัยกลางคน): ข้อนี้ไม่ใช่คำตอบที่ถูกต้องสำหรับภาวะ พ.ร.บ. ยา พ.ศ. 2510 เนื่องจากกลไกการออกฤทธิ์, efficacy หรือข้อบ่งใช้ไม่ตรงกับโจทย์ที่กำหนด
• ข้อ ง. (คนมีการศึกษาสูงให้ความร่วมมือในการใช้ยากกว่าคนที่มีการศึกษาต่ำ):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(การให้ยาน้ำ (ถ้าทำได้) จะทำให้ผู้ป่วยมีความร่วมมือในการใช้ยากกว่าการใช้ยาเม็ด):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พ.ร.บ. ยา พ.ศ. 2510</t>
        </is>
      </c>
      <c r="M43" s="2" t="inlineStr">
        <is>
          <t>SAP</t>
        </is>
      </c>
      <c r="N43" s="2" t="inlineStr">
        <is>
          <t>ข้อ 57 Pharma Plus เล่มม่วง (เฉลยข้อ ข)</t>
        </is>
      </c>
      <c r="O43" s="2" t="inlineStr">
        <is>
          <t>Mock</t>
        </is>
      </c>
      <c r="P43" s="2" t="inlineStr">
        <is>
          <t>Pharma Plus เล่มม่วง</t>
        </is>
      </c>
    </row>
    <row r="44" ht="13.2" customHeight="1" s="37">
      <c r="A44" s="2" t="n">
        <v>58</v>
      </c>
      <c r="B44" s="2" t="inlineStr">
        <is>
          <t>กรณีที่โรงพยาบาลสังกัดกระทรวงสาธารณสุขประสงค์จะซื้อยา sodium bicarbonate injection ซึ่งเป็นยาในบัญชีหลักแห่งชาติตองการเภสัชกรรมผลิต ข้อใดถูกต้อง</t>
        </is>
      </c>
      <c r="C44" s="2" t="n"/>
      <c r="D44" s="2" t="inlineStr">
        <is>
          <t>จัดซื้อด้วยเงินงบประมาณเท่านั้น</t>
        </is>
      </c>
      <c r="E44" s="2" t="inlineStr">
        <is>
          <t>จัดซื้อด้วยวิธีกรณีพิเศษจากองค์การเภสัชกรรมถ้าวงเงินเกิน 50,000บาท</t>
        </is>
      </c>
      <c r="F44" s="2" t="inlineStr">
        <is>
          <t>จัดซื้อโดยวิธีตกลงราคาจากองค์การเภสัชกรรมเท่านั้น ไม่จำกัดวงเงิน</t>
        </is>
      </c>
      <c r="G44" s="2" t="inlineStr">
        <is>
          <t>จัดซื้อโดยวิธีตกลงราคาจากบริษัทใดก็ได้ถ้าวงเงินไม่เกิน 50,000 บาท</t>
        </is>
      </c>
      <c r="H44" s="2" t="inlineStr">
        <is>
          <t>จัดซื้อด้วยวิธีกรณีพิเศษจากองค์การเภสัชกรรม ไม่จำกัดวงเงิน</t>
        </is>
      </c>
      <c r="I44" s="2" t="n">
        <v>5</v>
      </c>
      <c r="J44" s="2" t="inlineStr">
        <is>
          <t>✅ คำตอบที่ถูกต้อง: ข้อ จ. จัดซื้อด้วยวิธีกรณีพิเศษจากองค์การเภสัชกรรม 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จัดซื้อด้วยวิธีกรณีพิเศษจากองค์การเภสัชกรรม ไม่จำกัดวงเงิน 💡 คำอธิบายและข้อกำหนดทางกฎหมาย:
💡 คำอธิบายและข้อกำหนดทางกฎหมาย:
ตามระเบียบการจัดซื้อยาจากองค์การเภสัชกรรม (อภ.) ซึ่งเป็นองค์การของรัฐ โรงพยาบาลสังกัดกระทรวงสาธารณสุขสามารถจัดซื้อยาที่ผลิตโดยองค์การเภสัชกรรมได้โดยวิธีพิเศษหรือวิธีตกลงราคาโดยไม่จำกัดวงเงิน เพื่อสนับสนุนอุตสาหกรรมยาภายในประเทศและหลักประกันความมั่นคงด้านยา
🔍 ข้ออื่นผิดเพราะอะไร:
• ข้อ ก. (จัดซื้อด้วยเงินงบประมาณเท่านั้น):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ข. (จัดซื้อด้วยวิธีกรณีพิเศษจากองค์การเภสัชกรรมถ้าวงเงินเกิน 50,000บาท): ข้อนี้ไม่ใช่คำตอบที่ถูกต้องสำหรับภาวะ พ.ร.บ. ยา พ.ศ. 2510 เนื่องจากกลไกการออกฤทธิ์, efficacy หรือข้อบ่งใช้ไม่ตรงกับโจทย์ที่กำหนด
• ข้อ ค. (จัดซื้อโดยวิธีตกลงราคาจากองค์การเภสัชกรรมเท่านั้น ไม่จำกัดวงเงิน): ข้อนี้ไม่ใช่คำตอบที่ถูกต้องสำหรับภาวะ พ.ร.บ. ยา พ.ศ. 2510 เนื่องจากกลไกการออกฤทธิ์, efficacy หรือข้อบ่งใช้ไม่ตรงกับโจทย์ที่กำหนด
• ข้อ ง. (จัดซื้อโดยวิธีตกลงราคาจากบริษัทใดก็ได้ถ้าวงเงินไม่เกิน 50,000 บาท):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พ.ร.บ. ยา พ.ศ. 2510</t>
        </is>
      </c>
      <c r="M44" s="2" t="inlineStr">
        <is>
          <t>SAP</t>
        </is>
      </c>
      <c r="N44" s="2" t="inlineStr">
        <is>
          <t>ข้อ 58 Pharma Plus เล่มม่วง (เฉลยข้อ จ)</t>
        </is>
      </c>
      <c r="O44" s="2" t="inlineStr">
        <is>
          <t>Mock</t>
        </is>
      </c>
      <c r="P44" s="2" t="inlineStr">
        <is>
          <t>Pharma Plus เล่มม่วง</t>
        </is>
      </c>
    </row>
    <row r="45" ht="13.2" customHeight="1" s="37">
      <c r="A45" s="2" t="n">
        <v>60</v>
      </c>
      <c r="B45" s="2" t="inlineStr">
        <is>
          <t>Propylthiouracil จัดอยู่ในบัญชี ก ตามบัญชียาหลักแห่งชาติ 2542 ยาที่อยู่ในบัญชี ก หมายถึงข้อใด</t>
        </is>
      </c>
      <c r="C45" s="2" t="n"/>
      <c r="D45" s="2" t="inlineStr">
        <is>
          <t>รายการยาที่ต้องใช้โดยผู้เชี่ยวชาญ</t>
        </is>
      </c>
      <c r="E45" s="2" t="inlineStr">
        <is>
          <t>รายการยาที่จำเป็นต้องใช้ในสถานพยาบาลบางระดับ</t>
        </is>
      </c>
      <c r="F45" s="2" t="inlineStr">
        <is>
          <t>รายการยาสำหรับใช้เฉพาะโครงการพิเศษของกระทรวง</t>
        </is>
      </c>
      <c r="G45" s="2" t="inlineStr">
        <is>
          <t>รายการยาที่มีความจำเป็นสำหรับสถานพยาบาลทุกระดับ</t>
        </is>
      </c>
      <c r="H45" s="2" t="inlineStr">
        <is>
          <t>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t>
        </is>
      </c>
      <c r="I45" s="2" t="n">
        <v>4</v>
      </c>
      <c r="J45"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บัญชียาหลักแห่งชาติ บัญชี ก หมายถึง รายการยาที่จำเป็นและเหมาะสมสำหรับใช้ในสถานพยาบาลทุกระดับ ตั้งแต่ระดับปฐมภูมิ ทุติยภูมิ จนถึงตติยภูมิ เพื่อให้ประชาชนเข้าถึงยาได้อย่างทั่วถึง
🔍 ข้ออื่นผิดเพราะอะไร:
• ข้อ ก. (รายการยาที่ต้องใช้โดยผู้เชี่ยวชาญ): ข้อนี้ไม่ใช่คำตอบที่ถูกต้องสำหรับภาวะ พ.ร.บ. ยา พ.ศ. 2510 เนื่องจากกลไกการออกฤทธิ์, efficacy หรือข้อบ่งใช้ไม่ตรงกับโจทย์ที่กำหนด
• ข้อ ข. (รายการยาที่จำเป็นต้องใช้ในสถานพยาบาลบางระดับ): ข้อนี้ไม่ใช่คำตอบที่ถูกต้องสำหรับภาวะ พ.ร.บ. ยา พ.ศ. 2510 เนื่องจากกลไกการออกฤทธิ์, efficacy หรือข้อบ่งใช้ไม่ตรงกับโจทย์ที่กำหนด
• ข้อ ค. (รายการยาสำหรับใช้เฉพาะโครงการพิเศษของกระทรวง): ข้อนี้ไม่ใช่คำตอบที่ถูกต้องสำหรับภาวะ พ.ร.บ. ยา พ.ศ. 2510 เนื่องจากกลไกการออกฤทธิ์, efficacy หรือข้อบ่งใช้ไม่ตรงกับโจทย์ที่กำหนด
• ข้อ จ.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พ.ร.บ. ยา พ.ศ. 2510</t>
        </is>
      </c>
      <c r="M45" s="2" t="inlineStr">
        <is>
          <t>SAP</t>
        </is>
      </c>
      <c r="N45" s="2" t="inlineStr">
        <is>
          <t>ข้อ 60 Pharma Plus เล่มม่วง (เฉลยข้อ ง)</t>
        </is>
      </c>
      <c r="O45" s="2" t="inlineStr">
        <is>
          <t>Mock</t>
        </is>
      </c>
      <c r="P45" s="2" t="inlineStr">
        <is>
          <t>Pharma Plus เล่มม่วง</t>
        </is>
      </c>
    </row>
    <row r="46" ht="13.2" customHeight="1" s="37">
      <c r="A46" s="2" t="n">
        <v>61</v>
      </c>
      <c r="B46" s="2" t="inlineStr">
        <is>
          <t>แพทย์สั่งจ่ายยาสระผมชนิดหนึ่ง มีลักษณะเป็นขวดพลาสติกสีน้ำตาล ท่านพบว่าที่ฉลากมีข้อความ Reg. no. 2C802/57 ข้อความนี้มีความหมายว่าอย่างไร
ข้อความนี้มีความหมายว่าอย่างไร</t>
        </is>
      </c>
      <c r="C46" s="2" t="n"/>
      <c r="D46" s="2" t="inlineStr">
        <is>
          <t>ยานี้ผลิตในประเทศไทย ได้รับอนุญาตทะเบียนยาในปี พ.ศ. 2557</t>
        </is>
      </c>
      <c r="E46" s="2" t="inlineStr">
        <is>
          <t>ยานี้ผลิตในประเทศไทย เมื่อวันที่ 8 ก.พ. 2557</t>
        </is>
      </c>
      <c r="F46" s="2" t="inlineStr">
        <is>
          <t>ยานี้ผลิตในประเทศไทยและหมดอายุในวันที่ 8 ก.พ. 2557</t>
        </is>
      </c>
      <c r="G46" s="2" t="inlineStr">
        <is>
          <t>ยานี้นำเข้ามาจากต่างประเทศ ได้รับอนุญาตทะเบียนยาในปี พ.ศ. 2557</t>
        </is>
      </c>
      <c r="H46" s="2" t="inlineStr">
        <is>
          <t>ยานี้นำเข้ามาจากต่างประเทศ และผลิตเมื่อวันที่ 8 ก.พ. 2557</t>
        </is>
      </c>
      <c r="I46" s="2" t="n">
        <v>4</v>
      </c>
      <c r="J46" s="2" t="inlineStr">
        <is>
          <t>✅ คำตอบที่ถูกต้อง: ข้อ ง. ยานี้นำเข้ามาจากต่างประเทศ ได้รับอนุญาตทะเบียนยาในปี พ.ศ. 2557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ยานี้นำเข้ามาจากต่างประเทศ ได้รับอนุญาตทะเบียนยาในปี พ.ศ. 2557 💡 คำอธิบายและข้อกำหนดทางกฎหมาย:
💡 คำอธิบายและข้อกำหนดทางกฎหมาย:
เลขทะเบียนตำรับยา (Registration number) เช่น 2C802/57 อักษรตัวแรกแสดงประเภท (เช่น ยาแผนปัจจุบัน) ตัวอักษรตัวที่สอง C หมายถึง ยาผลิตในประเทศ (ถ้าเป็น D หมายถึง นำเข้า) และเลข 57 ท้ายสุดแสดงปี พ.ศ. ที่ได้รับการอนุมัติทะเบียนตำรับยา (พ.ศ. 2557)
🔍 ข้ออื่นผิดเพราะอะไร:
• ข้อ ก. (ยานี้ผลิตในประเทศไทย ได้รับอนุญาตทะเบียนยาในปี พ.ศ. 2557):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(ยานี้ผลิตในประเทศไทย เมื่อวันที่ 8 ก.พ. 2557):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(ยานี้ผลิตในประเทศไทยและหมดอายุในวันที่ 8 ก.พ. 2557):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(ยานี้นำเข้ามาจากต่างประเทศ และผลิตเมื่อวันที่ 8 ก.พ. 2557):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พ.ร.บ. ยา พ.ศ. 2510</t>
        </is>
      </c>
      <c r="M46" s="2" t="inlineStr">
        <is>
          <t>SAP</t>
        </is>
      </c>
      <c r="N46" s="2" t="inlineStr">
        <is>
          <t>ข้อ 61 Pharma Plus เล่มม่วง (เฉลยข้อ ง)</t>
        </is>
      </c>
      <c r="O46" s="2" t="inlineStr">
        <is>
          <t>Mock</t>
        </is>
      </c>
      <c r="P46" s="2" t="inlineStr">
        <is>
          <t>Pharma Plus เล่มม่วง</t>
        </is>
      </c>
    </row>
    <row r="47" ht="13.2" customHeight="1" s="37">
      <c r="A47" s="2" t="n">
        <v>62</v>
      </c>
      <c r="B47" s="2" t="inlineStr">
        <is>
          <t>ยาที่ฉลากมีข้อความดังข้อข้างต้น (Reg. no. 2C802/57) อาจมี ชนิดตัวยาสำคัญที่ออกฤทธิ์ดังต่อไปนี้ยกเว้นข้อใด
อาจมี ชนิดตัวยาสำคัญที่ออกฤทธิ์ดังต่อไปนี้ยกเว้นข้อใด</t>
        </is>
      </c>
      <c r="C47" s="2" t="n"/>
      <c r="D47" s="2" t="inlineStr">
        <is>
          <t>1 ชนิด</t>
        </is>
      </c>
      <c r="E47" s="2" t="inlineStr">
        <is>
          <t>2 ชนิด</t>
        </is>
      </c>
      <c r="F47" s="2" t="inlineStr">
        <is>
          <t>3 ชนิด</t>
        </is>
      </c>
      <c r="G47" s="2" t="inlineStr">
        <is>
          <t>4 ชนิด</t>
        </is>
      </c>
      <c r="H47" s="2" t="inlineStr">
        <is>
          <t>5 ชนิด</t>
        </is>
      </c>
      <c r="I47" s="2" t="n">
        <v>1</v>
      </c>
      <c r="J47" s="2" t="inlineStr">
        <is>
          <t>✅ คำตอบที่ถูกต้อง: ข้อ ก. 1 ชนิด
💡 Background:
กฎหมายยาและจรรยาบรรณวิชาชีพมีขึ้นเพื่อคุ้มครองความปลอดภัยของผู้บริโภคตามมาตรฐาน Good Pharmacy Practice (GPP)
🎯 ทำไมข้อนี้ถึงถูก:
1 ชนิด 💡 คำอธิบายและข้อกำหนดทางกฎหมาย:
💡 คำอธิบายและข้อกำหนดทางกฎหมาย:
ตามระบบเลขทะเบียนตำรับยาของสำนักงานคณะกรรมการอาหารและยา (อย.) เลขทะเบียน 1 ตำรับยา (1 Reg. no.) สามารถประกอบด้วยตัวยาสำคัญได้หลากหลายจำนวนขึ้นอยู่กับสูตรตำรับของยานั้นๆ ยกเว้นการจำกัดจำนวนตัวยาที่ไม่สอดคล้องกับประกาศกระทรวงสาธารณสุข โดยทั่วไปตำรับยาสามารถมีตัวยาสำคัญผสมได้หลายชนิด แต่คำถามนี้ทดสอบความเข้าใจเรื่องข้อจำกัดของจำนวนตัวยาในทะเบียนตำรับยาผสมตามเกณฑ์มาตรฐาน
🔍 ข้ออื่นผิดเพราะอะไร:
• ข้อ ข. (2 ชนิด): ข้อนี้ไม่ใช่คำตอบที่ถูกต้องสำหรับภาวะ พ.ร.บ. ยา พ.ศ. 2510 เนื่องจากกลไกการออกฤทธิ์, efficacy หรือข้อบ่งใช้ไม่ตรงกับโจทย์ที่กำหนด
• ข้อ ค. (3 ชนิด): ข้อนี้ไม่ใช่คำตอบที่ถูกต้องสำหรับภาวะ พ.ร.บ. ยา พ.ศ. 2510 เนื่องจากกลไกการออกฤทธิ์, efficacy หรือข้อบ่งใช้ไม่ตรงกับโจทย์ที่กำหนด
• ข้อ ง. (4 ชนิด): ข้อนี้ไม่ใช่คำตอบที่ถูกต้องสำหรับภาวะ พ.ร.บ. ยา พ.ศ. 2510 เนื่องจากกลไกการออกฤทธิ์, efficacy หรือข้อบ่งใช้ไม่ตรงกับโจทย์ที่กำหนด
• ข้อ จ. (5 ชนิด):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พ.ร.บ. ยา พ.ศ. 2510</t>
        </is>
      </c>
      <c r="M47" s="2" t="inlineStr">
        <is>
          <t>SAP</t>
        </is>
      </c>
      <c r="N47" s="2" t="inlineStr">
        <is>
          <t>ข้อ 62 Pharma Plus เล่มม่วง (เฉลยข้อ ก)</t>
        </is>
      </c>
      <c r="O47" s="2" t="inlineStr">
        <is>
          <t>Mock</t>
        </is>
      </c>
      <c r="P47" s="2" t="inlineStr">
        <is>
          <t>Pharma Plus เล่มม่วง</t>
        </is>
      </c>
    </row>
    <row r="48" ht="13.2" customHeight="1" s="37">
      <c r="A48" s="2" t="n">
        <v>69</v>
      </c>
      <c r="B48" s="2" t="inlineStr">
        <is>
          <t>ท่านควรอธิบายเกี่ยวกับยา ยารักษาสิว isotretinoin ที่ผู้ป่วยต้องการซื้ออย่างไร</t>
        </is>
      </c>
      <c r="C48" s="2" t="n"/>
      <c r="D48" s="2" t="inlineStr">
        <is>
          <t>ยานี้จัดเป็นยาควบคุมพิเศษตามกฎหมาย ต้องใช้ใบสั่งแพทย์ เภสัชกรไม่สามารถจ่ายเองได้</t>
        </is>
      </c>
      <c r="E48" s="2" t="inlineStr">
        <is>
          <t>ยานี้จัดเป็นยาควบคุมพิเศษตามกฎหมาย เภสัชกรจ่ายได้ ไม่ต้องใช้ใบสั่งแพทย์</t>
        </is>
      </c>
      <c r="F48" s="2" t="inlineStr">
        <is>
          <t>ยานี้จัดเป็นยาอันตราย เภสัชกรจ่ายได้ ไม่ต้องใช้ใบสั่งแพทย์</t>
        </is>
      </c>
      <c r="G48" s="2" t="inlineStr">
        <is>
          <t>ยานี้จัดเป็นยาอันตราย เภสัชกรสามารถจ่ายได้หากมีใบสั่งแพทย์</t>
        </is>
      </c>
      <c r="H48" s="2" t="inlineStr">
        <is>
          <t>ยานี้ไม่สามารถขายได้ในร้านยา ต้องซื้อจากคลินิกแพทย์หรือสถานพยาบาลเท่านั้น</t>
        </is>
      </c>
      <c r="I48" s="2" t="n">
        <v>5</v>
      </c>
      <c r="J48" s="2" t="inlineStr">
        <is>
          <t>✅ คำตอบที่ถูกต้อง: ข้อ จ. ยานี้ไม่สามารถขายได้ในร้านยา ต้องซื้อจากคลินิกแพทย์หรือสถานพยาบาลเท่านั้น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ยานี้ไม่สามารถขายได้ในร้านยา ต้องซื้อจากคลินิกแพทย์หรือสถานพยาบาลเท่านั้น 💡 คำอธิบายและข้อกำหนดทางกฎหมาย:
💡 คำอธิบายและข้อกำหนดทางกฎหมาย:
Isotretinoin จัดเป็นยาควบคุมพิเศษตามกฎหมายยาในประเทศไทย เนื่องจากมีความเสี่ยงสูงต่อการเกิดทารกวิรูป (teratogenicity) จึงต้องสั่งจ่ายโดยแพทย์เท่านั้น และไม่สามารถจ่ายโดยไม่มีใบสั่งแพทย์ได้
🔍 ข้ออื่นผิดเพราะอะไร:
• ข้อ ก. (ยานี้จัดเป็นยาควบคุมพิเศษตามกฎหมาย ต้องใช้ใบสั่งแพทย์ เภสัชกรไม่สามารถจ่ายเองได้):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(ยานี้จัดเป็นยาควบคุมพิเศษตามกฎหมาย เภสัชกรจ่ายได้ ไม่ต้องใช้ใบสั่งแพทย์):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(ยานี้จัดเป็นยาอันตราย เภสัชกรจ่ายได้ ไม่ต้องใช้ใบสั่งแพทย์):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(ยานี้จัดเป็นยาอันตราย เภสัชกรสามารถจ่ายได้หากมีใบสั่งแพทย์):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พ.ร.บ. ยา พ.ศ. 2510</t>
        </is>
      </c>
      <c r="M48" s="2" t="inlineStr">
        <is>
          <t>SAP</t>
        </is>
      </c>
      <c r="N48" s="2" t="inlineStr">
        <is>
          <t>ข้อ 69 Pharma Plus เล่มม่วง (เฉลยข้อ จ)</t>
        </is>
      </c>
      <c r="O48" s="2" t="inlineStr">
        <is>
          <t>Mock</t>
        </is>
      </c>
      <c r="P48" s="2" t="inlineStr">
        <is>
          <t>Pharma Plus เล่มม่วง</t>
        </is>
      </c>
    </row>
    <row r="49" ht="13.2" customHeight="1" s="37">
      <c r="A49" s="2" t="n">
        <v>70</v>
      </c>
      <c r="B49" s="2" t="inlineStr">
        <is>
          <t>Itraconazole เป็นยาประเภทใดตามกฎหมาย</t>
        </is>
      </c>
      <c r="C49" s="2" t="n"/>
      <c r="D49" s="2" t="inlineStr">
        <is>
          <t>ยาแผนปัจจุบันที่ไม่ใช่ยาอันตรายและยาควบคุมพิเศษ</t>
        </is>
      </c>
      <c r="E49" s="2" t="inlineStr">
        <is>
          <t>ยาอันตราย</t>
        </is>
      </c>
      <c r="F49" s="2" t="inlineStr">
        <is>
          <t>ยาสามัญประจำบ้าน</t>
        </is>
      </c>
      <c r="G49" s="2" t="inlineStr">
        <is>
          <t>ยาควบคุมพิเศษ</t>
        </is>
      </c>
      <c r="H49" s="2" t="inlineStr">
        <is>
          <t>ยาเสพติดให้โทษประเภทที่ 3</t>
        </is>
      </c>
      <c r="I49" s="2" t="n">
        <v>2</v>
      </c>
      <c r="J49"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Itraconazole เป็นยาต้านเชื้อรากลุ่ม triazole จัดเป็นยาอันตรายตามกฎหมายยาแผนปัจจุบันของประเทศไทย
🔍 ข้ออื่นผิดเพราะอะไร:
• ข้อ ก. (ยาแผนปัจจุบันที่ไม่ใช่ยาอันตรายและยาควบคุมพิเศษ):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พ.ร.บ. ยา พ.ศ. 2510</t>
        </is>
      </c>
      <c r="M49" s="2" t="inlineStr">
        <is>
          <t>SAP</t>
        </is>
      </c>
      <c r="N49" s="2" t="inlineStr">
        <is>
          <t>ข้อ 70 Pharma Plus เล่มม่วง (เฉลยข้อ ข)</t>
        </is>
      </c>
      <c r="O49" s="2" t="inlineStr">
        <is>
          <t>Mock</t>
        </is>
      </c>
      <c r="P49" s="2" t="inlineStr">
        <is>
          <t>Pharma Plus เล่มม่วง</t>
        </is>
      </c>
    </row>
    <row r="50" ht="13.2" customHeight="1" s="37">
      <c r="A50" s="2" t="n">
        <v>71</v>
      </c>
      <c r="B50" s="2" t="inlineStr">
        <is>
          <t>FBC ชื่อการค้าหนึ่ง มีเลขทะเบียน 2C039/46 ข้อใดผิด</t>
        </is>
      </c>
      <c r="C50" s="2" t="n"/>
      <c r="D50" s="2" t="inlineStr">
        <is>
          <t>ยาสำหรับมนุษย์</t>
        </is>
      </c>
      <c r="E50" s="2" t="inlineStr">
        <is>
          <t>ยาแบ่งบรรจุในประเทศ</t>
        </is>
      </c>
      <c r="F50" s="2" t="inlineStr">
        <is>
          <t>ยาขึ้นทะเบียนปี 2546</t>
        </is>
      </c>
      <c r="G50" s="2" t="inlineStr">
        <is>
          <t>ยานำเข้าจากต่างประเทศ</t>
        </is>
      </c>
      <c r="H50" s="2" t="inlineStr">
        <is>
          <t>ในปีที่ขึ้นทะเบียน ยานี้อยู่ในลำดับที่ 39</t>
        </is>
      </c>
      <c r="I50" s="2" t="n">
        <v>2</v>
      </c>
      <c r="J50" s="2" t="inlineStr">
        <is>
          <t>✅ คำตอบที่ถูกต้อง: ข้อ ข. ยาแบ่งบรรจุในประเทศ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ยาแบ่งบรรจุในประเทศ 💡 คำอธิบายและข้อกำหนดทางกฎหมาย:
💡 คำอธิบายและข้อกำหนดทางกฎหมาย:
เลขทะเบียนตำรับยา 2C039/46 ตัวอักษร C หมายถึง ยาเคมีเคภัณฑ์ควบคุม หรือยาสลบ/ยาแบ่งบรรจุ (ขึ้นอยู่กับประกาศกระทรวง โดยปกติ C มักหมายถึงยาแบ่งบรรจุหรือยาควบคุมพิเศษตามนิยามในอดีต) แต่ในข้อนี้เลขทะเบียน C มักหมายถึงยาแบ่งบรรจุ ส่วนข้อที่ผิดคือเลข 2 หรือตัวอักษรหน้าสุดที่บอกประเภท เช่น 1 คือยาสำหรับมนุษย์ผลิตในประเทศ, 2 คือยาสำหรับมนุษย์นำเข้า, 3 คือยาแผนโบราณผลิตในประเทศ ดังนั้น 2C จึงหมายถึงยานำเข้าจากต่างประเทศ ไม่ใช่ยาสำหรับมนุษย์ผลิตในประเทศ
🔍 ข้ออื่นผิดเพราะอะไร:
• ข้อ ก. (ยาสำหรับมนุษย์):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(ยาขึ้นทะเบียนปี 2546):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(ยานำเข้าจากต่างประเทศ): ข้อนี้ไม่ใช่คำตอบที่ถูกต้องสำหรับภาวะ พ.ร.บ. ยา พ.ศ. 2510 เนื่องจากกลไกการออกฤทธิ์, efficacy หรือข้อบ่งใช้ไม่ตรงกับโจทย์ที่กำหนด
• ข้อ จ. (ในปีที่ขึ้นทะเบียน ยานี้อยู่ในลำดับที่ 39):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พ.ร.บ. ยา พ.ศ. 2510</t>
        </is>
      </c>
      <c r="M50" s="2" t="inlineStr">
        <is>
          <t>SAP</t>
        </is>
      </c>
      <c r="N50" s="2" t="inlineStr">
        <is>
          <t>ข้อ 71 Pharma Plus เล่มม่วง (เฉลยข้อ ข)</t>
        </is>
      </c>
      <c r="O50" s="2" t="inlineStr">
        <is>
          <t>Mock</t>
        </is>
      </c>
      <c r="P50" s="2" t="inlineStr">
        <is>
          <t>Pharma Plus เล่มม่วง</t>
        </is>
      </c>
    </row>
    <row r="51" ht="13.2" customHeight="1" s="37">
      <c r="A51" s="2" t="n">
        <v>72</v>
      </c>
      <c r="B51" s="2" t="inlineStr">
        <is>
          <t>ในการผลิตยา gemfibrozil 600 mg/tab ตามมาตรฐานของ USP กำหนดให้มีปริมาณตัวยาสำคัญ +- 20 % แต่บริษัท X ได้พัฒนาตำรับยาใหม่ระบุคุณภาพว่าต้องมีปริมาณตัวยาสำคัญ +- 10 % จากนั้นนำไปส่งตรวจคุณภาพที่ศูนย์วิทยาศาสตร์ พบว่ามีปริมาณตัวยาสำคัญ gemfibrozil 450 mg/tab บริษัท X มีความผิดตาม พรบ. ยา หรือ ไม่</t>
        </is>
      </c>
      <c r="C51" s="2" t="n"/>
      <c r="D51" s="2" t="inlineStr">
        <is>
          <t>ยาผิดมาตรฐาน</t>
        </is>
      </c>
      <c r="E51" s="2" t="inlineStr">
        <is>
          <t>ยาปลอม</t>
        </is>
      </c>
      <c r="F51" s="2" t="inlineStr">
        <is>
          <t>ยาหมดอายุ</t>
        </is>
      </c>
      <c r="G51" s="2" t="inlineStr">
        <is>
          <t>ยาต้องห้าม</t>
        </is>
      </c>
      <c r="H51" s="2" t="inlineStr">
        <is>
          <t>ยาเสื่อมคุณภาพ</t>
        </is>
      </c>
      <c r="I51" s="2" t="n">
        <v>1</v>
      </c>
      <c r="J51" s="2" t="inlineStr">
        <is>
          <t>✅ คำตอบที่ถูกต้อง: ข้อ ก.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ตามพระราชบัญญัติยา ยาที่มีปริมาณตัวยาสำคัญออกไปจากเกณฑ์มาตรฐานที่ขึ้นทะเบียนไว้ (USP กำหนด +-20% แต่ตรวจได้ 450 mg จาก 600 mg ซึ่งลดลงถึง 25% เกินกว่าเกณฑ์ที่กำหนด) ถือเป็น 'ยาผิดมาตรฐาน'
🔍 ข้ออื่นผิดเพราะอะไร:
• ข้อ ข. (ยาปลอม):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(ยาหมดอายุ):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(ยาต้องห้าม):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พ.ร.บ. ยา พ.ศ. 2510</t>
        </is>
      </c>
      <c r="M51" s="2" t="inlineStr">
        <is>
          <t>SAP</t>
        </is>
      </c>
      <c r="N51" s="2" t="inlineStr">
        <is>
          <t>ข้อ 72 Pharma Plus เล่มม่วง (เฉลยข้อ ก)</t>
        </is>
      </c>
      <c r="O51" s="2" t="inlineStr">
        <is>
          <t>Mock</t>
        </is>
      </c>
      <c r="P51" s="2" t="inlineStr">
        <is>
          <t>Pharma Plus เล่มม่วง</t>
        </is>
      </c>
    </row>
    <row r="52" ht="13.2" customHeight="1" s="37">
      <c r="A52" s="2" t="n">
        <v>73</v>
      </c>
      <c r="B52" s="2" t="inlineStr">
        <is>
          <t>Lomotil® จัดเป็นยาประเภทใดตามกฎหมายและเภสัชกรสามารถจ่ายได้ในร้านยาหรือไม่</t>
        </is>
      </c>
      <c r="C52" s="2" t="n"/>
      <c r="D52" s="2" t="inlineStr">
        <is>
          <t>ยาอันตราย สามารถจ่ายในร้านยา ขย.1 ได้</t>
        </is>
      </c>
      <c r="E52" s="2" t="inlineStr">
        <is>
          <t>ยาแผนปัจจุบันบรรจุเสร็จ สามารถจ่ายในร้านยา ขย.1 และ ขย.2 ได้</t>
        </is>
      </c>
      <c r="F52" s="2" t="inlineStr">
        <is>
          <t>ยาสามัญประจำบ้าน สามารถจ่ายในร้านยา ขย.1 และขย.2 ได้</t>
        </is>
      </c>
      <c r="G52" s="2" t="inlineStr">
        <is>
          <t>ยาเสพติดให้โทษประเภทที่ 3 ห้ามจำหน่ายในร้านยา</t>
        </is>
      </c>
      <c r="H52" s="2" t="inlineStr">
        <is>
          <t>ยาเสพติดให้โทษประเภทที่ 3 สามารถจ่ายในร้านยา ขย.1 ได้ แต่ต้องมีใบอนุญาต</t>
        </is>
      </c>
      <c r="I52" s="2" t="n">
        <v>5</v>
      </c>
      <c r="J52" s="2" t="inlineStr">
        <is>
          <t>✅ คำตอบที่ถูกต้อง: ข้อ จ. ยาเสพติดให้โทษประเภทที่ 3 สามารถจ่ายในร้านยา ขย.1 ได้ แต่ต้องมีใบอนุญาต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ยาเสพติดให้โทษประเภทที่ 3 สามารถจ่ายในร้านยา ขย.1 ได้ แต่ต้องมีใบอนุญาต 💡 คำอธิบายและข้อกำหนดทางกฎหมาย:
💡 คำอธิบายและข้อกำหนดทางกฎหมาย:
Lomotil ประกอบด้วย diphenoxylate และ atropine จัดเป็นยาเสพติดให้โทษประเภทที่ 3 ตามพระราชบัญญัติยาเสพติดให้โทษ สามารถขายได้ในร้านขายยาแผนปัจจุบัน (ขย.1) โดยผู้ได้รับอนุญาตและมีใบอนุญาตจำหน่ายยาเสพติดให้โทษประเภทที่ 3
🔍 ข้ออื่นผิดเพราะอะไร:
• ข้อ ก. (ยาอันตราย สามารถจ่ายในร้านยา ขย.1 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(ยาแผนปัจจุบันบรรจุเสร็จ สามารถจ่ายในร้านยา ขย.1 และ ขย.2 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(ยาสามัญประจำบ้าน สามารถจ่ายในร้านยา ขย.1 และขย.2 ได้):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(ยาเสพติดให้โทษประเภทที่ 3 ห้ามจำหน่ายในร้านยา):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พ.ร.บ. ยา พ.ศ. 2510</t>
        </is>
      </c>
      <c r="M52" s="2" t="inlineStr">
        <is>
          <t>SAP</t>
        </is>
      </c>
      <c r="N52" s="2" t="inlineStr">
        <is>
          <t>ข้อ 73 Pharma Plus เล่มม่วง (เฉลยข้อ จ)</t>
        </is>
      </c>
      <c r="O52" s="2" t="inlineStr">
        <is>
          <t>Mock</t>
        </is>
      </c>
      <c r="P52" s="2" t="inlineStr">
        <is>
          <t>Pharma Plus เล่มม่วง</t>
        </is>
      </c>
    </row>
    <row r="53" ht="13.2" customHeight="1" s="37">
      <c r="A53" s="2" t="n">
        <v>74</v>
      </c>
      <c r="B53" s="2" t="inlineStr">
        <is>
          <t>การโฆษณาว่า indomethacin สามารถลดปวดได้ดีในผู้ป่วยโรคเกาท์ สามารถทำได้หรือไม่</t>
        </is>
      </c>
      <c r="C53" s="2" t="n"/>
      <c r="D53" s="2" t="inlineStr">
        <is>
          <t>ได้ เพราะไม่มีข้อห้ามทางกฎหมาย</t>
        </is>
      </c>
      <c r="E53" s="2" t="inlineStr">
        <is>
          <t>ได้ แต่ต้องขออนุญาตก่อน</t>
        </is>
      </c>
      <c r="F53" s="2" t="inlineStr">
        <is>
          <t>ไม่ได้ เพราะเป็นการอวดอ้างสรรพคุณ</t>
        </is>
      </c>
      <c r="G53" s="2" t="inlineStr">
        <is>
          <t>ไม่ได้ เพราะกฎหมายยาห้ามโฆษณาขายยาอันตราย</t>
        </is>
      </c>
      <c r="H53" s="2" t="inlineStr">
        <is>
          <t>ไม่ได้ เพราะกฎหมายยาห้ามโฆษณาขายยาควบคุมพิเศษ</t>
        </is>
      </c>
      <c r="I53" s="2" t="n">
        <v>4</v>
      </c>
      <c r="J53" s="2" t="inlineStr">
        <is>
          <t>✅ คำตอบที่ถูกต้อง: ข้อ ง. ไม่ได้ เพราะกฎหมายยาห้ามโฆษณาขายยาอันตราย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เพราะกฎหมายยาห้ามโฆษณาขายยาอันตราย 💡 คำอธิบายและข้อกำหนดทางกฎหมาย:
💡 คำอธิบายและข้อกำหนดทางกฎหมาย:
ตามพระราชบัญญัติยา การโฆษณาขายยาอันตรายหรือยาควบคุมพิเศษต่อประชาชนทั่วไปถือเป็นความผิดตามกฎหมาย ห้ามมิให้มีการโฆษณาขายยาอันตราย (Indomethacin เป็นยาอันตราย) โดยตรงแก่ประชาชนทั่วไป
🔍 ข้ออื่นผิดเพราะอะไร:
• ข้อ ก. (ได้ เพราะไม่มีข้อห้ามทางกฎหมาย): ข้อนี้ไม่ใช่คำตอบที่ถูกต้องสำหรับภาวะ พ.ร.บ. ยา พ.ศ. 2510 เนื่องจากกลไกการออกฤทธิ์, efficacy หรือข้อบ่งใช้ไม่ตรงกับโจทย์ที่กำหนด
• ข้อ ข. (ได้ แต่ต้องขออนุญาตก่อน):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(ไม่ได้ เพราะเป็นการอวดอ้างสรรพคุณ):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(ไม่ได้ เพราะกฎหมายยาห้ามโฆษณาขายยาควบคุมพิเศษ):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พ.ร.บ. ยา พ.ศ. 2510</t>
        </is>
      </c>
      <c r="M53" s="2" t="inlineStr">
        <is>
          <t>SAP</t>
        </is>
      </c>
      <c r="N53" s="2" t="inlineStr">
        <is>
          <t>ข้อ 74 Pharma Plus เล่มม่วง (เฉลยข้อ ง)</t>
        </is>
      </c>
      <c r="O53" s="2" t="inlineStr">
        <is>
          <t>Mock</t>
        </is>
      </c>
      <c r="P53" s="2" t="inlineStr">
        <is>
          <t>Pharma Plus เล่มม่วง</t>
        </is>
      </c>
    </row>
    <row r="54" ht="13.2" customHeight="1" s="37">
      <c r="A54" s="2" t="n">
        <v>75</v>
      </c>
      <c r="B54" s="2" t="inlineStr">
        <is>
          <t>ผู้ป่วยต้องการซื้อยา budesonide สามารถซื้อได้ที่ใด</t>
        </is>
      </c>
      <c r="C54" s="2" t="n"/>
      <c r="D54" s="2" t="inlineStr">
        <is>
          <t>ร้านสะดวกซื้อทั่วไป</t>
        </is>
      </c>
      <c r="E54" s="2" t="inlineStr">
        <is>
          <t>ร้านยา ข.ย. 2</t>
        </is>
      </c>
      <c r="F54" s="2" t="inlineStr">
        <is>
          <t>ร้านขายยาแผนปัจจุบัน โดยไม่ต้องมีใบสั่งแพทย์</t>
        </is>
      </c>
      <c r="G54" s="2" t="inlineStr">
        <is>
          <t>ร้านขายยาแผนปัจจุบัน โดยต้องมีใบสั่งแพทย์</t>
        </is>
      </c>
      <c r="H54" s="2" t="inlineStr">
        <is>
          <t>โรงพยาบาลเท่านั้น</t>
        </is>
      </c>
      <c r="I54" s="2" t="n">
        <v>3</v>
      </c>
      <c r="J54" s="2" t="inlineStr">
        <is>
          <t>✅ คำตอบที่ถูกต้อง: ข้อ ค. ร้านขายยาแผนปัจจุบัน โดยไม่ต้องมีใบสั่งแพทย์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ร้านขายยาแผนปัจจุบัน โดยไม่ต้องมีใบสั่งแพทย์ 💡 คำอธิบายและข้อกำหนดทางกฎหมาย:
💡 คำอธิบายและข้อกำหนดทางกฎหมาย:
Budesonide (เช่น ยาสูดพ่นรักษาหอบหืด/ริดสีดวงจมูก) จัดเป็นยาอันตราย ซึ่งสามารถจำหน่ายได้ในร้านขายยาแผนปัจจุบัน (ข.ย.1) โดยเภสัชกร โดยไม่ต้องมีใบสั่งแพทย์ (เว้นแต่เป็นสูตรความแรงสูงหรือข้อบ่งใช้บางอย่างที่ต้องระวัง แต่อยู่ในกลุ่มยาอันตราย)
🔍 ข้ออื่นผิดเพราะอะไร:
• ข้อ ก. (ร้านสะดวกซื้อทั่วไป): ข้อนี้ไม่ใช่คำตอบที่ถูกต้องสำหรับภาวะ พ.ร.บ. ยา พ.ศ. 2510 เนื่องจากกลไกการออกฤทธิ์, efficacy หรือข้อบ่งใช้ไม่ตรงกับโจทย์ที่กำหนด
• ข้อ ข. (ร้านยา ข.ย. 2): ข้อนี้ไม่ใช่คำตอบที่ถูกต้องสำหรับภาวะ พ.ร.บ. ยา พ.ศ. 2510 เนื่องจากกลไกการออกฤทธิ์, efficacy หรือข้อบ่งใช้ไม่ตรงกับโจทย์ที่กำหนด
• ข้อ ง. (ร้านขายยาแผนปัจจุบัน โดยต้องมีใบสั่งแพทย์):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จ. (โรงพยาบาลเท่านั้น):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พ.ร.บ. ยา พ.ศ. 2510</t>
        </is>
      </c>
      <c r="M54" s="2" t="inlineStr">
        <is>
          <t>SAP</t>
        </is>
      </c>
      <c r="N54" s="2" t="inlineStr">
        <is>
          <t>ข้อ 75 Pharma Plus เล่มม่วง (เฉลยข้อ ค)</t>
        </is>
      </c>
      <c r="O54" s="2" t="inlineStr">
        <is>
          <t>Mock</t>
        </is>
      </c>
      <c r="P54" s="2" t="inlineStr">
        <is>
          <t>Pharma Plus เล่มม่วง</t>
        </is>
      </c>
    </row>
    <row r="55" ht="13.2" customHeight="1" s="37">
      <c r="A55" s="2" t="n">
        <v>76</v>
      </c>
      <c r="B55" s="2" t="inlineStr">
        <is>
          <t>ข้อใดถูกต้องเกี่ยวกับการจัดซื้อ prednisolone ชนิดรับประทาน</t>
        </is>
      </c>
      <c r="C55" s="2" t="n"/>
      <c r="D55" s="2" t="inlineStr">
        <is>
          <t>เป็นยาควบคุมพิเศษ ต้องซื้อโดยวิธีตกลงราคาในกรณีที่ซื้อน้อยกว่า 100,000 บาท</t>
        </is>
      </c>
      <c r="E55" s="2" t="inlineStr">
        <is>
          <t>เป็นยาควบคุมพิเศษ ต้องซื้อโดยวิธีสอบราคาในกรณีที่ซื้อน้อยกว่า 100,000 บาท</t>
        </is>
      </c>
      <c r="F55" s="2" t="inlineStr">
        <is>
          <t>เป็นยาควบคุมพิเศษ ต้องซื้อโดยวิธีประกวดราคาในกรณีที่ซื้อน้อยกว่า 100,000 บาท</t>
        </is>
      </c>
      <c r="G55" s="2" t="inlineStr">
        <is>
          <t>เป็นยาอันตราย ต้องซื้อโดยวิธีตกลงราคาในกรณีที่ซื้อน้อยกว่า 100,000 บาท</t>
        </is>
      </c>
      <c r="H55" s="2" t="inlineStr">
        <is>
          <t>เป็นยาอันตราย ต้องซื้อโดยวิธีสอบราคาในกรณีที่ซื้อน้อยกว่า 100,000 บาท</t>
        </is>
      </c>
      <c r="I55" s="2" t="n">
        <v>1</v>
      </c>
      <c r="J55" s="2" t="inlineStr">
        <is>
          <t>✅ คำตอบที่ถูกต้อง: ข้อ ก. เป็นยาควบคุมพิเศษ ต้องซื้อโดยวิธีตกลงราคาในกรณีที่ซื้อน้อยกว่า 100,000 บาท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ต้องซื้อโดยวิธีตกลงราคาในกรณีที่ซื้อน้อยกว่า 100,000 บาท 💡 คำอธิบายและข้อกำหนดทางกฎหมาย:
💡 คำอธิบายและข้อกำหนดทางกฎหมาย:
Prednisolone ชนิดรับประทานจัดเป็น 'ยาอันตราย' ตามกฎหมายยา (ไม่ใช่ยาควบคุมพิเศษ) และตามระเบียบการจัดซื้อจัดจ้างภาครัฐ การจัดซื้อวงเงินน้อยกว่า 100,000 บาท สามารถใช้วิธีตกลงราคาได้
🔍 ข้ออื่นผิดเพราะอะไร:
• ข้อ ข. (เป็นยาควบคุมพิเศษ ต้องซื้อโดยวิธีสอบราคาในกรณีที่ซื้อน้อยกว่า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(เป็นยาควบคุมพิเศษ ต้องซื้อโดยวิธีประกวดราคาในกรณีที่ซื้อน้อยกว่า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(เป็นยาอันตราย ต้องซื้อโดยวิธีตกลงราคาในกรณีที่ซื้อน้อยกว่า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(เป็นยาอันตราย ต้องซื้อโดยวิธีสอบราคาในกรณีที่ซื้อน้อยกว่า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พ.ร.บ. ยา พ.ศ. 2510</t>
        </is>
      </c>
      <c r="M55" s="2" t="inlineStr">
        <is>
          <t>SAP</t>
        </is>
      </c>
      <c r="N55" s="2" t="inlineStr">
        <is>
          <t>ข้อ 76 Pharma Plus เล่มม่วง (เฉลยข้อ ก)</t>
        </is>
      </c>
      <c r="O55" s="2" t="inlineStr">
        <is>
          <t>Mock</t>
        </is>
      </c>
      <c r="P55" s="2" t="inlineStr">
        <is>
          <t>Pharma Plus เล่มม่วง</t>
        </is>
      </c>
    </row>
    <row r="56" ht="13.2" customHeight="1" s="37">
      <c r="A56" s="2" t="n">
        <v>77</v>
      </c>
      <c r="B56" s="2" t="inlineStr">
        <is>
          <t>Insulin จัดเป็นยาประเภทใด</t>
        </is>
      </c>
      <c r="C56" s="2" t="n"/>
      <c r="D56" s="2" t="inlineStr">
        <is>
          <t>ยาสำคัญประจำบ้าน</t>
        </is>
      </c>
      <c r="E56" s="2" t="inlineStr">
        <is>
          <t>ยาควบคุมพิเศษ</t>
        </is>
      </c>
      <c r="F56" s="2" t="inlineStr">
        <is>
          <t>ยาอันตราย</t>
        </is>
      </c>
      <c r="G56" s="2" t="inlineStr">
        <is>
          <t>ยาบรรจุเสร็จที่ไม่ใช่ยาอันตรายและยาควบคุมพิเศษ</t>
        </is>
      </c>
      <c r="H56" s="2" t="inlineStr">
        <is>
          <t>ไม่มีข้อถูก</t>
        </is>
      </c>
      <c r="I56" s="2" t="n">
        <v>3</v>
      </c>
      <c r="J56" s="2" t="inlineStr">
        <is>
          <t>✅ คำตอบที่ถูกต้อง: ข้อ ค.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Insulin (อินซูลิน) จัดเป็น 'ยาควบคุมพิเศษ' เนื่องจากเป็นยาฉีดที่มีความเสี่ยงสูง ต้องใช้ภายใต้การดูแลและสั่งจ่ายโดยแพทย์เท่านั้น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(ยาสำคัญประจำบ้าน):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(ไม่มีข้อถูก):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พ.ร.บ. ยา พ.ศ. 2510</t>
        </is>
      </c>
      <c r="M56" s="2" t="inlineStr">
        <is>
          <t>SAP</t>
        </is>
      </c>
      <c r="N56" s="2" t="inlineStr">
        <is>
          <t>ข้อ 77 Pharma Plus เล่มม่วง (เฉลยข้อ ค)</t>
        </is>
      </c>
      <c r="O56" s="2" t="inlineStr">
        <is>
          <t>Mock</t>
        </is>
      </c>
      <c r="P56" s="2" t="inlineStr">
        <is>
          <t>Pharma Plus เล่มม่วง</t>
        </is>
      </c>
    </row>
    <row r="57" ht="13.2" customHeight="1" s="37">
      <c r="A57" s="2" t="n">
        <v>78</v>
      </c>
      <c r="B57" s="2" t="inlineStr">
        <is>
          <t>การโฆษณาคุมกำเนิดเป็นยาสำหรับคุมกำเนิด กระทำได้หรือไม่ เพราะเหตุใด</t>
        </is>
      </c>
      <c r="C57" s="2" t="n"/>
      <c r="D57" s="2" t="inlineStr">
        <is>
          <t>กระทำได้ เพราะไม่มีข้อห้ามใดในกฎหมายยา</t>
        </is>
      </c>
      <c r="E57" s="2" t="inlineStr">
        <is>
          <t>กระทำได้แต่ต้องให้รัฐมนตรีอนุญาตก่อน</t>
        </is>
      </c>
      <c r="F57" s="2" t="inlineStr">
        <is>
          <t>กระทำไม่ได้ เพราะกฎหมายห้ามโฆษณาสรรพคุณยาอันตรายและยาควบคุมพิเศษ</t>
        </is>
      </c>
      <c r="G57" s="2" t="inlineStr">
        <is>
          <t>กระทำไม่ได้ เพราะกฎหมายห้ามมิให้แสดงสรรพคุณว่าเป็นยาคุมกำเนิดหรือยาบำรุงกาม</t>
        </is>
      </c>
      <c r="H57" s="2" t="inlineStr">
        <is>
          <t>ข้อ ค และ ง ถูกต้อง</t>
        </is>
      </c>
      <c r="I57" s="2" t="n">
        <v>5</v>
      </c>
      <c r="J57" s="2" t="inlineStr">
        <is>
          <t>✅ คำตอบที่ถูกต้อง: ข้อ จ. ข้อ ค และ ง ถูกต้อง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ค และ ง ถูกต้อง 💡 คำอธิบายและข้อกำหนดทางกฎหมาย:
💡 คำอธิบายและข้อกำหนดทางกฎหมาย:
ตามพระราชบัญญัติยา ห้ามมิให้โฆษณาคุณประโยชน์ 1) ยาอันตรายหรือยาควบคุมพิเศษ 2) ยาบำรุงกามหรือยาคุมกำเนิด ดังนั้นข้อ ค และ ง จึงเป็นเหตุผลที่ถูกต้องตามกฎหมาย
🔍 ข้ออื่นผิดเพราะอะไร:
• ข้อ ก. (กระทำได้ เพราะไม่มีข้อห้ามใดในกฎหมายยา): ข้อนี้ไม่ใช่คำตอบที่ถูกต้องสำหรับภาวะ พ.ร.บ. ยา พ.ศ. 2510 เนื่องจากกลไกการออกฤทธิ์, efficacy หรือข้อบ่งใช้ไม่ตรงกับโจทย์ที่กำหนด
• ข้อ ข. (กระทำได้แต่ต้องให้รัฐมนตรีอนุญาตก่อน): ข้อนี้ไม่ใช่คำตอบที่ถูกต้องสำหรับภาวะ พ.ร.บ. ยา พ.ศ. 2510 เนื่องจากกลไกการออกฤทธิ์, efficacy หรือข้อบ่งใช้ไม่ตรงกับโจทย์ที่กำหนด
• ข้อ ค. (กระทำไม่ได้ เพราะกฎหมายห้ามโฆษณาสรรพคุณยาอันตรายและยาควบคุมพิเศษ):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(กระทำไม่ได้ เพราะกฎหมายห้ามมิให้แสดงสรรพคุณว่าเป็นยาคุมกำเนิดหรือยาบำรุงกาม):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พ.ร.บ. ยา พ.ศ. 2510</t>
        </is>
      </c>
      <c r="M57" s="2" t="inlineStr">
        <is>
          <t>SAP</t>
        </is>
      </c>
      <c r="N57" s="2" t="inlineStr">
        <is>
          <t>ข้อ 78 Pharma Plus เล่มม่วง (เฉลยข้อ จ)</t>
        </is>
      </c>
      <c r="O57" s="2" t="inlineStr">
        <is>
          <t>Mock</t>
        </is>
      </c>
      <c r="P57" s="2" t="inlineStr">
        <is>
          <t>Pharma Plus เล่มม่วง</t>
        </is>
      </c>
    </row>
    <row r="58" ht="13.2" customHeight="1" s="37">
      <c r="A58" s="2" t="n">
        <v>79</v>
      </c>
      <c r="B58" s="2" t="inlineStr">
        <is>
          <t>ยาในข้อใดมีประเภทตามกฎหมายเช่นเดียวกับ cotrimoxazole</t>
        </is>
      </c>
      <c r="C58" s="2" t="n"/>
      <c r="D58" s="2" t="inlineStr">
        <is>
          <t>Amitriptyline, brown mixture ขนาด 120 ml</t>
        </is>
      </c>
      <c r="E58" s="2" t="inlineStr">
        <is>
          <t>Tramadol, alprazolam</t>
        </is>
      </c>
      <c r="F58" s="2" t="inlineStr">
        <is>
          <t>Fluoxetine, topical steroid</t>
        </is>
      </c>
      <c r="G58" s="2" t="inlineStr">
        <is>
          <t>Methotrexate, Benadryl</t>
        </is>
      </c>
      <c r="H58" s="2" t="inlineStr">
        <is>
          <t>Isotretinoin, Imodium</t>
        </is>
      </c>
      <c r="I58" s="2" t="n">
        <v>1</v>
      </c>
      <c r="J58" s="2" t="inlineStr">
        <is>
          <t>✅ คำตอบที่ถูกต้อง: ข้อ ก. Amitriptyline, brown mixture ขนาด 120 ml
💡 Background:
กฎหมายยาและจรรยาบรรณวิชาชีพมีขึ้นเพื่อคุ้มครองความปลอดภัยของผู้บริโภคตามมาตรฐาน Good Pharmacy Practice (GPP)
🎯 ทำไมข้อนี้ถึงถูก:
Amitriptyline, brown mixture ขนาด 120 ml 💡 คำอธิบายและข้อกำหนดทางกฎหมาย:
💡 คำอธิบายและข้อกำหนดทางกฎหมาย:
Cotrimoxazole เป็นยาปฏิชีวนะจัดเป็น 'ยาอันตราย' เมื่อพิจารณาตัวเลือกอื่น ๆ เช่น Fluoxetine เป็นยาอันตราย และ Topical steroid (ยาทาสเตียรอยด์) ก็จัดเป็นยาอันตรายเช่นกัน
 เป็น Tricyclic antidepressant (TCA) มี anticholinergic ADRs สูง, antihistaminic (ง่วงซึม น้ำหนักขึ้น), alpha-1 blockade (orthostatic hypotension) และเสี่ยงต่อ fatal cardiotoxicity เมื่อ overdose
🔍 ข้ออื่นผิดเพราะอะไร:
• ข้อ ข. (Tramadol, alprazolam): เป็น weak mu-opioid agonist และ SNRI เป็นเพียง second-line / add-on สำหรับ pain relief ไม่มีฤทธิ์ลดการอักเสบ (no anti-inflammatory efficacy) และเสี่ยงต่อ serotonin syndrome และชัก
• ข้อ ค. (Fluoxetine, topical steroid): เป็น SSRI มี half-life ยาวที่สุดในกลุ่ม (ร่วมกับ active metabolite norfluoxetine) จึงมี discontinuation syndrome ต่ำ แต่ยับยั้ง CYP2D6 สูง
• ข้อ ง. (Methotrexate, Benadryl): เป็น anchor csDMARD สำหรับ Rheumatoid arthritis ยับยั้ง dihydrofolate reductase ต้องให้ Folic acid เสริม และห้ามใช้ในหญิงตั้งครรภ์ (contraindication / teratogenic)
• ข้อ จ. (Isotretinoin, Imodium):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พ.ร.บ. ยา พ.ศ. 2510</t>
        </is>
      </c>
      <c r="M58" s="2" t="inlineStr">
        <is>
          <t>SAP</t>
        </is>
      </c>
      <c r="N58" s="2" t="inlineStr">
        <is>
          <t>ข้อ 79 Pharma Plus เล่มม่วง (เฉลยข้อ ไมมีคำตอบ)</t>
        </is>
      </c>
      <c r="O58" s="2" t="inlineStr">
        <is>
          <t>Mock</t>
        </is>
      </c>
      <c r="P58" s="2" t="inlineStr">
        <is>
          <t>Pharma Plus เล่มม่วง</t>
        </is>
      </c>
    </row>
    <row r="59" ht="13.2" customHeight="1" s="37">
      <c r="A59" s="2" t="n">
        <v>80</v>
      </c>
      <c r="B59" s="2" t="inlineStr">
        <is>
          <t>ข้อใดถูกต้องสำหรับยา haloperidol</t>
        </is>
      </c>
      <c r="C59" s="2" t="n"/>
      <c r="D59" s="2" t="inlineStr">
        <is>
          <t>จัดอยู่ในประเภทอันตราย เภสัชกรสามารถจ่ายได้ในร้านยา</t>
        </is>
      </c>
      <c r="E59" s="2" t="inlineStr">
        <is>
          <t>จัดอยู่ในประเภทยาควบคุมพิเศษ เภสัชกรสามารถจ่ายได้หากมีใบสั่งแพทย์</t>
        </is>
      </c>
      <c r="F59" s="2" t="inlineStr">
        <is>
          <t>จัดอยู่ในประเภทอันตราย จ่ายได้เฉพาะในโรงพยาบาล</t>
        </is>
      </c>
      <c r="G59" s="2" t="inlineStr">
        <is>
          <t>จัดอยู่ในประเภทยาเสพติดให้โทษประเภทที่ 3 ต้องทำบัญชีรายงานคณะกรรมการอาหารและยา</t>
        </is>
      </c>
      <c r="H59" s="2" t="inlineStr">
        <is>
          <t>จัดอยู่ในประเภทวัตถุออกฤทธิ์ต่อจิตประสาท</t>
        </is>
      </c>
      <c r="I59" s="2" t="n">
        <v>2</v>
      </c>
      <c r="J59" s="2" t="inlineStr">
        <is>
          <t>✅ คำตอบที่ถูกต้อง: ข้อ ข. จัดอยู่ในประเภทยาควบคุมพิเศษ เภสัชกรสามารถจ่ายได้หากมีใบสั่งแพทย์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จัดอยู่ในประเภทยาควบคุมพิเศษ เภสัชกรสามารถจ่ายได้หากมีใบสั่งแพทย์ 💡 คำอธิบายและข้อกำหนดทางกฎหมาย:
💡 คำอธิบายและข้อกำหนดทางกฎหมาย:
Haloperidol จัดเป็น 'วัตถุออกฤทธิ์ต่อจิตประสาทและร่างกาย' (ประเภทที่ 2 ตามกฎหมายวัตถุออกฤทธิ์ฯ เดิม หรือปัจจุบันตาม พ.ร.บ. วัตถุออกฤทธิ์ฯ) ต้องควบคุมการจ่ายและมีใบสั่งแพทย์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(จัดอยู่ในประเภทอันตราย เภสัชกรสามารถจ่ายได้ในร้านยา):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ค. (จัดอยู่ในประเภทอันตราย จ่ายได้เฉพาะในโรงพยาบาล):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(จัดอยู่ในประเภทยาเสพติดให้โทษประเภทที่ 3 ต้องทำบัญชีรายงานคณะกรรมการอาหารและยา):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(จัดอยู่ในประเภทวัตถุออกฤทธิ์ต่อจิตประสาท):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2" t="n"/>
      <c r="L59" s="2" t="inlineStr">
        <is>
          <t>พ.ร.บ. ยาเสพติดให้โทษ &amp; วัตถุออกฤทธิ์</t>
        </is>
      </c>
      <c r="M59" s="2" t="inlineStr">
        <is>
          <t>SAP</t>
        </is>
      </c>
      <c r="N59" s="2" t="inlineStr">
        <is>
          <t>ข้อ 80 Pharma Plus เล่มม่วง (เฉลยข้อ ข)</t>
        </is>
      </c>
      <c r="O59" s="2" t="inlineStr">
        <is>
          <t>Mock</t>
        </is>
      </c>
      <c r="P59" s="2" t="inlineStr">
        <is>
          <t>Pharma Plus เล่มม่วง</t>
        </is>
      </c>
    </row>
    <row r="60" ht="13.2" customHeight="1" s="37">
      <c r="A60" s="2" t="n">
        <v>81</v>
      </c>
      <c r="B60" s="2" t="inlineStr">
        <is>
          <t>ยา risperidone มีเลขทะเบียนดังนี้: 1A253/49 จากเลขทะเบียนดังกล่าว ข้อใดมีความหมายถูกต้อง</t>
        </is>
      </c>
      <c r="C60" s="2" t="n"/>
      <c r="D60" s="2" t="inlineStr">
        <is>
          <t>เป็นยาเดี่ยวสำหรับมนุษย์ ผลิตในประเทศ</t>
        </is>
      </c>
      <c r="E60" s="2" t="inlineStr">
        <is>
          <t>เป็นยาแผนปัจจุบัน นำเข้าจากต่างประเทศ</t>
        </is>
      </c>
      <c r="F60" s="2" t="inlineStr">
        <is>
          <t>เป็นยาแผนปัจจุบัน แบ่งบรรจุ</t>
        </is>
      </c>
      <c r="G60" s="2" t="inlineStr">
        <is>
          <t>เป็นยาผสม ขึ้นทะเบียนในปี พ.ศ.2549</t>
        </is>
      </c>
      <c r="H60" s="2" t="inlineStr">
        <is>
          <t>เป็นยาเดี่ยว ขึ้นทะเบียนแบบมีเงื่อนไข</t>
        </is>
      </c>
      <c r="I60" s="2" t="n">
        <v>1</v>
      </c>
      <c r="J60" s="2" t="inlineStr">
        <is>
          <t>✅ คำตอบที่ถูกต้อง: ข้อ ก. เป็นยาเดี่ยวสำหรับมนุษย์ ผลิตในประเทศ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เป็นยาเดี่ยวสำหรับมนุษย์ ผลิตในประเทศ 💡 คำอธิบายและข้อกำหนดทางกฎหมาย:
💡 คำอธิบายและข้อกำหนดทางกฎหมาย:
ความหมายของเลขทะเบียนยา (เช่น 1A 253/49): ตัวเลขแรก (1) หมายถึง ยาแผนปัจจุบัน, ตัวอักษร (A) หมายถึง ยาผลิตในประเทศ (ถ้าเป็น B คือนำเข้า), 253 คือลำดับที่ของตำรับยา, และ 49 คือปี พ.ศ. ที่อนุมัติทะเบียน (2549)
🔍 ข้ออื่นผิดเพราะอะไร:
• ข้อ ข. (เป็นยาแผนปัจจุบัน นำเข้าจากต่างประเทศ): ข้อนี้ไม่ใช่คำตอบที่ถูกต้องสำหรับภาวะ พ.ร.บ. ยา พ.ศ. 2510 เนื่องจากกลไกการออกฤทธิ์, efficacy หรือข้อบ่งใช้ไม่ตรงกับโจทย์ที่กำหนด
• ข้อ ค. (เป็นยาแผนปัจจุบัน แบ่งบรรจุ): ข้อนี้ไม่ใช่คำตอบที่ถูกต้องสำหรับภาวะ พ.ร.บ. ยา พ.ศ. 2510 เนื่องจากกลไกการออกฤทธิ์, efficacy หรือข้อบ่งใช้ไม่ตรงกับโจทย์ที่กำหนด
• ข้อ ง. (เป็นยาผสม ขึ้นทะเบียนในปี พ.ศ.2549): ข้อนี้ไม่ใช่คำตอบที่ถูกต้องสำหรับภาวะ พ.ร.บ. ยา พ.ศ. 2510 เนื่องจากกลไกการออกฤทธิ์, efficacy หรือข้อบ่งใช้ไม่ตรงกับโจทย์ที่กำหนด
• ข้อ จ. (เป็นยาเดี่ยว ขึ้นทะเบียนแบบมีเงื่อนไข):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พ.ร.บ. ยา พ.ศ. 2510</t>
        </is>
      </c>
      <c r="M60" s="2" t="inlineStr">
        <is>
          <t>SAP</t>
        </is>
      </c>
      <c r="N60" s="2" t="inlineStr">
        <is>
          <t>ข้อ 81 Pharma Plus เล่มม่วง (เฉลยข้อ ก)</t>
        </is>
      </c>
      <c r="O60" s="2" t="inlineStr">
        <is>
          <t>Mock</t>
        </is>
      </c>
      <c r="P60" s="2" t="inlineStr">
        <is>
          <t>Pharma Plus เล่มม่วง</t>
        </is>
      </c>
    </row>
    <row r="61" ht="13.2" customHeight="1" s="37">
      <c r="A61" s="2" t="n">
        <v>82</v>
      </c>
      <c r="B61" s="2" t="inlineStr">
        <is>
          <t>ผู้ป่วยต้องการซื้อยา misoprostol เนื่องจากเพื่อนแนะนำว่าสามารถรักษาโรคกระเพาะได้ดี หากท่านเป็นเภสัชกรประจำร้านยานี้จะสามารถจ่ายได้หรือไม่ เพราะเหตุใด
หากท่านเป็นเภสัชกรประจำร้านยานี้จะสามารถจ่ายได้หรือไม่ เพราะเหตุใด</t>
        </is>
      </c>
      <c r="C61" s="2" t="n"/>
      <c r="D61" s="2" t="inlineStr">
        <is>
          <t>จ่ายได้ เพราะเป็นยาอันตราย</t>
        </is>
      </c>
      <c r="E61" s="2" t="inlineStr">
        <is>
          <t>จ่ายได้ เพราะเป็นยาบรรจุเสร็จที่ไม่ใช่ยาอันตรายหรือยาควบคุมพิเศษ</t>
        </is>
      </c>
      <c r="F61" s="2" t="inlineStr">
        <is>
          <t>จ่ายไม่ได้ เพราะเป็นวัตถุออกฤทธิ์ต่อจิตประสาทประเภทที่ 4</t>
        </is>
      </c>
      <c r="G61" s="2" t="inlineStr">
        <is>
          <t>จ่ายไม่ได้ เพราะเป็นยาเสพติดให้โทษประเภทที่ 3</t>
        </is>
      </c>
      <c r="H61" s="2" t="inlineStr">
        <is>
          <t>จ่ายไม่ได้ เพราะเป็นยาควบคุมพิเศษ</t>
        </is>
      </c>
      <c r="I61" s="2" t="n">
        <v>5</v>
      </c>
      <c r="J61" s="2" t="inlineStr">
        <is>
          <t>✅ คำตอบที่ถูกต้อง: ข้อ จ. จ่ายไม่ได้ เพราะเป็นยาควบคุมพิเศษ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จ่ายไม่ได้ เพราะเป็นยาควบคุมพิเศษ 💡 คำอธิบายและข้อกำหนดทางกฎหมาย:
💡 คำอธิบายและข้อกำหนดทางกฎหมาย:
Misoprostol จัดเป็นยาควบคุมพิเศษตามกฎหมายยาของประเทศไทย เนื่องจากมีข้อบ่งใช้และผลข้างเคียงที่ต้องอยู่ในความดูแลอย่างใกล้ชิดของแพทย์ (เช่น การกระตุ้นการบีบตัวของมดลูกและเสี่ยงต่อการแท้งบุตร) เภสัชกรในร้านขายยาจึงไม่สามารถจ่ายยาควบคุมพิเศษได้ด้วยตนเองโดยไม่มีใบสั่งยาจากแพทย์
🔍 ข้ออื่นผิดเพราะอะไร:
• ข้อ ก. (จ่ายได้ เพราะเป็นยาอันตราย):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(จ่ายได้ เพราะเป็นยาบรรจุเสร็จที่ไม่ใช่ยาอันตรายหรือยาควบคุมพิเศษ):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(จ่ายไม่ได้ เพราะเป็นวัตถุออกฤทธิ์ต่อจิตประสาทประเภทที่ 4): ข้อนี้ไม่ใช่คำตอบที่ถูกต้องสำหรับภาวะ พ.ร.บ. ยา พ.ศ. 2510 เนื่องจากกลไกการออกฤทธิ์, efficacy หรือข้อบ่งใช้ไม่ตรงกับโจทย์ที่กำหนด
• ข้อ ง. (จ่ายไม่ได้ เพราะเป็นยาเสพติดให้โทษประเภทที่ 3):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พ.ร.บ. ยา พ.ศ. 2510</t>
        </is>
      </c>
      <c r="M61" s="2" t="inlineStr">
        <is>
          <t>SAP</t>
        </is>
      </c>
      <c r="N61" s="2" t="inlineStr">
        <is>
          <t>ข้อ 82 Pharma Plus เล่มม่วง (เฉลยข้อ จ)</t>
        </is>
      </c>
      <c r="O61" s="2" t="inlineStr">
        <is>
          <t>Mock</t>
        </is>
      </c>
      <c r="P61" s="2" t="inlineStr">
        <is>
          <t>Pharma Plus เล่มม่วง</t>
        </is>
      </c>
    </row>
    <row r="62" ht="13.2" customHeight="1" s="37">
      <c r="A62" s="2" t="n">
        <v>83</v>
      </c>
      <c r="B62" s="2" t="inlineStr">
        <is>
          <t>ยาลดกรดในข้อใดที่เป็นยาสามัญประจำบ้าน</t>
        </is>
      </c>
      <c r="C62" s="2" t="n"/>
      <c r="D62" s="2" t="inlineStr">
        <is>
          <t>Sucralfate</t>
        </is>
      </c>
      <c r="E62" s="2" t="inlineStr">
        <is>
          <t>Aluminium hydroxide gel</t>
        </is>
      </c>
      <c r="F62" s="2" t="inlineStr">
        <is>
          <t>Cimetidine</t>
        </is>
      </c>
      <c r="G62" s="2" t="inlineStr">
        <is>
          <t>ยาธาตุน้ำแดง</t>
        </is>
      </c>
      <c r="H62" s="2" t="inlineStr">
        <is>
          <t>Bismuth compound</t>
        </is>
      </c>
      <c r="I62" s="2" t="n">
        <v>2</v>
      </c>
      <c r="J62" s="2" t="inlineStr">
        <is>
          <t>✅ คำตอบที่ถูกต้อง: ข้อ ข. Aluminium hydroxide gel
💡 Background:
กฎหมายยาและจรรยาบรรณวิชาชีพมีขึ้นเพื่อคุ้มครองความปลอดภัยของผู้บริโภคตามมาตรฐาน Good Pharmacy Practice (GPP)
🎯 ทำไมข้อนี้ถึงถูก:
Aluminium hydroxide gel 💡 คำอธิบายและข้อกำหนดทางกฎหมาย:
💡 คำอธิบายและข้อกำหนดทางกฎหมาย:
ยาธาตุน้ำแดงจัดอยู่ในบัญชียาสามัญประจำบ้านแผนปัจจุบัน (หมวดยาแก้ท้องอืด ท้องเฟ้อ และขับลม รวมถึงบรรเทาอาการปวดท้องจากกรดเกิน) ในขณะที่ยาลดกรดอื่นๆ เช่น aluminium hydroxide gel, cimetidine, sucralfate จัดเป็นยาอันตรายหรือยาควบคุมพิเศษ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(Cimetidine):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(ยาธาตุน้ำแดง): ข้อนี้ไม่ใช่คำตอบที่ถูกต้องสำหรับภาวะ พ.ร.บ. ยา พ.ศ. 2510 เนื่องจากกลไกการออกฤทธิ์, efficacy หรือข้อบ่งใช้ไม่ตรงกับโจทย์ที่กำหนด
• ข้อ จ. (Bismuth compound):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พ.ร.บ. ยา พ.ศ. 2510</t>
        </is>
      </c>
      <c r="M62" s="2" t="inlineStr">
        <is>
          <t>SAP</t>
        </is>
      </c>
      <c r="N62" s="2" t="inlineStr">
        <is>
          <t>ข้อ 83 Pharma Plus เล่มม่วง (เฉลยข้อ ข ง)</t>
        </is>
      </c>
      <c r="O62" s="2" t="inlineStr">
        <is>
          <t>Mock</t>
        </is>
      </c>
      <c r="P62" s="2" t="inlineStr">
        <is>
          <t>Pharma Plus เล่มม่วง</t>
        </is>
      </c>
    </row>
    <row r="63" ht="13.2" customHeight="1" s="37">
      <c r="A63" s="2" t="n">
        <v>84</v>
      </c>
      <c r="B63" s="2" t="inlineStr">
        <is>
          <t>Bromhexine จัดอยู่ในยาประเภทใดตาม พรบ. ยา 2510</t>
        </is>
      </c>
      <c r="C63" s="2" t="n"/>
      <c r="D63" s="2" t="inlineStr">
        <is>
          <t>ยาสามัญประจำบ้าน</t>
        </is>
      </c>
      <c r="E63" s="2" t="inlineStr">
        <is>
          <t>ยาบรรจุเสร็จที่ไม่ใช่ยาอันตรายและยาควบคุมพิเศษ</t>
        </is>
      </c>
      <c r="F63" s="2" t="inlineStr">
        <is>
          <t>ยาอันตราย</t>
        </is>
      </c>
      <c r="G63" s="2" t="inlineStr">
        <is>
          <t>ยาควบคุมพิเศษ</t>
        </is>
      </c>
      <c r="H63" s="2" t="inlineStr">
        <is>
          <t>ไม่มีข้อถูก</t>
        </is>
      </c>
      <c r="I63" s="2" t="n">
        <v>2</v>
      </c>
      <c r="J63" s="2" t="inlineStr">
        <is>
          <t>✅ คำตอบที่ถูกต้อง: ข้อ ข. ยาบรรจุเสร็จที่ไม่ใช่ยาอันตรายและยาควบคุมพิเศษ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ยาบรรจุเสร็จที่ไม่ใช่ยาอันตรายและยาควบคุมพิเศษ 💡 คำอธิบายและข้อกำหนดทางกฎหมาย:
💡 คำอธิบายและข้อกำหนดทางกฎหมาย:
Bromhexine (ยาลดเสมหะ) จัดเป็นยาอันตรายตามพระราชบัญญัติยา พ.ศ. 2510
🔍 ข้ออื่นผิดเพราะอะไร:
• ข้อ ก.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(ไม่มีข้อถูก):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พ.ร.บ. ยา พ.ศ. 2510</t>
        </is>
      </c>
      <c r="M63" s="2" t="inlineStr">
        <is>
          <t>SAP</t>
        </is>
      </c>
      <c r="N63" s="2" t="inlineStr">
        <is>
          <t>ข้อ 84 Pharma Plus เล่มม่วง (เฉลยข้อ ข)</t>
        </is>
      </c>
      <c r="O63" s="2" t="inlineStr">
        <is>
          <t>Mock</t>
        </is>
      </c>
      <c r="P63" s="2" t="inlineStr">
        <is>
          <t>Pharma Plus เล่มม่วง</t>
        </is>
      </c>
    </row>
    <row r="64" ht="13.2" customHeight="1" s="37">
      <c r="A64" s="2" t="n">
        <v>85</v>
      </c>
      <c r="B64" s="2" t="inlineStr">
        <is>
          <t>ข้างขวดยา GPO vir S 40 เขียนว่า 2A 2/46 (NC)
ข้อใดกล่าวไม่ถูกต้อง</t>
        </is>
      </c>
      <c r="C64" s="2" t="n"/>
      <c r="D64" s="2" t="inlineStr">
        <is>
          <t>ยานี้จดทะเบียนยาแบบมีเงื่อนไข</t>
        </is>
      </c>
      <c r="E64" s="2" t="inlineStr">
        <is>
          <t>เป็นยาแผนปัจจุบันสำหรับมนุษย์</t>
        </is>
      </c>
      <c r="F64" s="2" t="inlineStr">
        <is>
          <t>เป็นยาผสม</t>
        </is>
      </c>
      <c r="G64" s="2" t="inlineStr">
        <is>
          <t>เป็นยาแบ่งบรรจุ</t>
        </is>
      </c>
      <c r="H64" s="2" t="inlineStr">
        <is>
          <t>เป็นยาใหม่</t>
        </is>
      </c>
      <c r="I64" s="2" t="n">
        <v>4</v>
      </c>
      <c r="J64" s="2" t="inlineStr">
        <is>
          <t>✅ คำตอบที่ถูกต้อง: ข้อ ง. เป็นยาแบ่งบรรจุ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เป็นยาแบ่งบรรจุ 💡 คำอธิบายและข้อกำหนดทางกฎหมาย:
💡 คำอธิบายและข้อกำหนดทางกฎหมาย:
อักษรย่อและตัวเลขบนทะเบียนตำรับยา GPO vir S 40 แสดงถึงหมวดหมู่ยา ตามระบบทะเบียนตำรับยาของไทย (เช่น 2A หมายถึงยาแผนปัจจุบันสำหรับมนุษย์ผลิตในประเทศ โดยตัวเลขและอักษรเสริมบ่งบอกรายละเอียดการขึ้นทะเบียน เช่น ยาใหม่หรือเงื่อนไขพิเศษ)
🔍 ข้ออื่นผิดเพราะอะไร:
• ข้อ ก. (ยานี้จดทะเบียนยาแบบมีเงื่อนไข): ข้อนี้ไม่ใช่คำตอบที่ถูกต้องสำหรับภาวะ พ.ร.บ. ยา พ.ศ. 2510 เนื่องจากกลไกการออกฤทธิ์, efficacy หรือข้อบ่งใช้ไม่ตรงกับโจทย์ที่กำหนด
• ข้อ ข. (เป็นยาแผนปัจจุบันสำหรับมนุษย์): ข้อนี้ไม่ใช่คำตอบที่ถูกต้องสำหรับภาวะ พ.ร.บ. ยา พ.ศ. 2510 เนื่องจากกลไกการออกฤทธิ์, efficacy หรือข้อบ่งใช้ไม่ตรงกับโจทย์ที่กำหนด
• ข้อ ค. (เป็นยาผสม): ข้อนี้ไม่ใช่คำตอบที่ถูกต้องสำหรับภาวะ พ.ร.บ. ยา พ.ศ. 2510 เนื่องจากกลไกการออกฤทธิ์, efficacy หรือข้อบ่งใช้ไม่ตรงกับโจทย์ที่กำหนด
• ข้อ จ. (เป็นยาใหม่):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พ.ร.บ. ยา พ.ศ. 2510</t>
        </is>
      </c>
      <c r="M64" s="2" t="inlineStr">
        <is>
          <t>SAP</t>
        </is>
      </c>
      <c r="N64" s="2" t="inlineStr">
        <is>
          <t>ข้อ 85 Pharma Plus เล่มม่วง (เฉลยข้อ ง)</t>
        </is>
      </c>
      <c r="O64" s="2" t="inlineStr">
        <is>
          <t>Mock</t>
        </is>
      </c>
      <c r="P64" s="2" t="inlineStr">
        <is>
          <t>Pharma Plus เล่มม่วง</t>
        </is>
      </c>
    </row>
    <row r="65" ht="13.2" customHeight="1" s="37">
      <c r="A65" s="2" t="n">
        <v>86</v>
      </c>
      <c r="B65" s="2" t="inlineStr">
        <is>
          <t>ยาต้านไวรัสเอชไอวีเป็นยาประเภทใดตามกฎหมายไทย</t>
        </is>
      </c>
      <c r="C65" s="2" t="n"/>
      <c r="D65" s="2" t="inlineStr">
        <is>
          <t>ยากำพร้า</t>
        </is>
      </c>
      <c r="E65" s="2" t="inlineStr">
        <is>
          <t>ยาควบคุมพิเศษ</t>
        </is>
      </c>
      <c r="F65" s="2" t="inlineStr">
        <is>
          <t>ยาสามัญประจำบ้าน</t>
        </is>
      </c>
      <c r="G65" s="2" t="inlineStr">
        <is>
          <t>ยาอันตราย</t>
        </is>
      </c>
      <c r="H65" s="2" t="inlineStr">
        <is>
          <t>ถูกทั้งข้อ ก. และ ข.</t>
        </is>
      </c>
      <c r="I65" s="2" t="n">
        <v>2</v>
      </c>
      <c r="J65"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ยาต้านไวรัสเอชไอวีส่วนใหญ่จัดอยู่ในกลุ่มยาควบคุมพิเศษและบางรายการอาจจัดเป็นยากำพร้า (Orphan drug) ขึ้นอยู่กับนโยบายและการประกาศกระทรวงสาธารณสุข
🔍 ข้ออื่นผิดเพราะอะไร:
• ข้อ ก. (ยากำพร้า):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(ถูกทั้งข้อ ก. และ 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พ.ร.บ. ยา พ.ศ. 2510</t>
        </is>
      </c>
      <c r="M65" s="2" t="inlineStr">
        <is>
          <t>SAP</t>
        </is>
      </c>
      <c r="N65" s="2" t="inlineStr">
        <is>
          <t>ข้อ 86 Pharma Plus เล่มม่วง (เฉลยข้อ ข)</t>
        </is>
      </c>
      <c r="O65" s="2" t="inlineStr">
        <is>
          <t>Mock</t>
        </is>
      </c>
      <c r="P65" s="2" t="inlineStr">
        <is>
          <t>Pharma Plus เล่มม่วง</t>
        </is>
      </c>
    </row>
    <row r="66" ht="13.2" customHeight="1" s="37">
      <c r="A66" s="2" t="n">
        <v>87</v>
      </c>
      <c r="B66" s="2" t="inlineStr">
        <is>
          <t>ยาในข้อใดไม่จัดอยู่ในประเภททายาตามกฎหมายประเภทเดียวกับ ciprofloxacin</t>
        </is>
      </c>
      <c r="C66" s="2" t="n"/>
      <c r="D66" s="2" t="inlineStr">
        <is>
          <t>Oristat tablets</t>
        </is>
      </c>
      <c r="E66" s="2" t="inlineStr">
        <is>
          <t>Topical 0.05% isotretinoin</t>
        </is>
      </c>
      <c r="F66" s="2" t="inlineStr">
        <is>
          <t>0.1% TA cream</t>
        </is>
      </c>
      <c r="G66" s="2" t="inlineStr">
        <is>
          <t>Carbocystein tablets</t>
        </is>
      </c>
      <c r="H66" s="2" t="inlineStr">
        <is>
          <t>Fluoxitine tablets</t>
        </is>
      </c>
      <c r="I66" s="2" t="n">
        <v>4</v>
      </c>
      <c r="J66" s="2" t="inlineStr">
        <is>
          <t>✅ คำตอบที่ถูกต้อง: ข้อ ง. Carbocystein tablets
💡 Background:
กฎหมายยาและจรรยาบรรณวิชาชีพมีขึ้นเพื่อคุ้มครองความปลอดภัยของผู้บริโภคตามมาตรฐาน Good Pharmacy Practice (GPP)
🎯 ทำไมข้อนี้ถึงถูก:
Carbocystein tablets 💡 คำอธิบายและข้อกำหนดทางกฎหมาย:
💡 คำอธิบายและข้อกำหนดทางกฎหมาย:
Ciprofloxacin จัดเป็นยาอันตราย ต้องพิจารณาประเภทตามกฎหมายของตัวเลือกอื่นๆ เพื่อหาตัวที่ต่างกัน โดยทั่วไปยาทาภายนอกหรือยารับประทานบางตัวอาจมีสถานะทางกฎหมายที่ต่างกัน (เช่น ยาอันตราย vs ยาควบคุมพิเศษ)
🔍 ข้ออื่นผิดเพราะอะไร:
• ข้อ ก. (Oristat tablets): ข้อนี้ไม่ใช่คำตอบที่ถูกต้องสำหรับภาวะ พ.ร.บ. ยา พ.ศ. 2510 เนื่องจากกลไกการออกฤทธิ์, efficacy หรือข้อบ่งใช้ไม่ตรงกับโจทย์ที่กำหนด
• ข้อ ข. (Topical 0.05% isotretinoin): ข้อนี้ไม่ใช่คำตอบที่ถูกต้องสำหรับภาวะ พ.ร.บ. ยา พ.ศ. 2510 เนื่องจากกลไกการออกฤทธิ์, efficacy หรือข้อบ่งใช้ไม่ตรงกับโจทย์ที่กำหนด
• ข้อ ค. (0.1% TA cream): ข้อนี้ไม่ใช่คำตอบที่ถูกต้องสำหรับภาวะ พ.ร.บ. ยา พ.ศ. 2510 เนื่องจากกลไกการออกฤทธิ์, efficacy หรือข้อบ่งใช้ไม่ตรงกับโจทย์ที่กำหนด
• ข้อ จ. (Fluoxitine tablets):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พ.ร.บ. ยา พ.ศ. 2510</t>
        </is>
      </c>
      <c r="M66" s="2" t="inlineStr">
        <is>
          <t>SAP</t>
        </is>
      </c>
      <c r="N66" s="2" t="inlineStr">
        <is>
          <t>ข้อ 87 Pharma Plus เล่มม่วง (เฉลยข้อ ง)</t>
        </is>
      </c>
      <c r="O66" s="2" t="inlineStr">
        <is>
          <t>Mock</t>
        </is>
      </c>
      <c r="P66" s="2" t="inlineStr">
        <is>
          <t>Pharma Plus เล่มม่วง</t>
        </is>
      </c>
    </row>
    <row r="67" ht="13.2" customHeight="1" s="37">
      <c r="A67" s="2" t="n">
        <v>88</v>
      </c>
      <c r="B67" s="2" t="inlineStr">
        <is>
          <t>เภสัชกรไม่ควรหยิบ ciprofloxacin จากขวดใดให้ คนไข้</t>
        </is>
      </c>
      <c r="C67" s="2" t="n"/>
      <c r="D67" s="2" t="inlineStr">
        <is>
          <t>ขวดที่มียาเม็ดเปลี่ยนสี</t>
        </is>
      </c>
      <c r="E67" s="2" t="inlineStr">
        <is>
          <t>ขวดที่มียาเม็ดบิ่น</t>
        </is>
      </c>
      <c r="F67" s="2" t="inlineStr">
        <is>
          <t>ที่ขวดเขียนว่า Mfd. 02/2010</t>
        </is>
      </c>
      <c r="G67" s="2" t="inlineStr">
        <is>
          <t>ที่ขวดเขียนว่า Exp. 02/2015</t>
        </is>
      </c>
      <c r="H67" s="2" t="inlineStr">
        <is>
          <t>ขวดที่ฉลากมีรอยเปื้อน</t>
        </is>
      </c>
      <c r="I67" s="2" t="n">
        <v>1</v>
      </c>
      <c r="J67" s="2" t="inlineStr">
        <is>
          <t>✅ คำตอบที่ถูกต้อง: ข้อ ก. ขวดที่มียาเม็ดเปลี่ยนสี
💡 Background:
กฎหมายยาและจรรยาบรรณวิชาชีพมีขึ้นเพื่อคุ้มครองความปลอดภัยของผู้บริโภคตามมาตรฐาน Good Pharmacy Practice (GPP)
🎯 ทำไมข้อนี้ถึงถูก:
ขวดที่มียาเม็ดเปลี่ยนสี 💡 คำอธิบายและข้อกำหนดทางกฎหมาย:
💡 คำอธิบายและข้อกำหนดทางกฎหมาย:
ยาเม็ดที่เปลี่ยนสีหรือผิดปกติไปจากเดิมแสดงถึงความไม่คงสภาพ (Stability) และอาจเกิดการสลายตัวหรือปนเปื้อน ทำให้ไม่ปลอดภัยและไม่มี efficacy ในการรักษา จึงไม่ควรจ่ายให้ผู้ป่วย
🔍 ข้ออื่นผิดเพราะอะไร:
• ข้อ ข. (ขวดที่มียาเม็ดบิ่น): ข้อนี้ไม่ใช่คำตอบที่ถูกต้องสำหรับภาวะ พ.ร.บ. ยา พ.ศ. 2510 เนื่องจากกลไกการออกฤทธิ์, efficacy หรือข้อบ่งใช้ไม่ตรงกับโจทย์ที่กำหนด
• ข้อ ค. (ที่ขวดเขียนว่า Mfd. 02/2010): ข้อนี้ไม่ใช่คำตอบที่ถูกต้องสำหรับภาวะ พ.ร.บ. ยา พ.ศ. 2510 เนื่องจากกลไกการออกฤทธิ์, efficacy หรือข้อบ่งใช้ไม่ตรงกับโจทย์ที่กำหนด
• ข้อ ง. (ที่ขวดเขียนว่า Exp. 02/2015): ข้อนี้ไม่ใช่คำตอบที่ถูกต้องสำหรับภาวะ พ.ร.บ. ยา พ.ศ. 2510 เนื่องจากกลไกการออกฤทธิ์, efficacy หรือข้อบ่งใช้ไม่ตรงกับโจทย์ที่กำหนด
• ข้อ จ. (ขวดที่ฉลากมีรอยเปื้อน):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พ.ร.บ. ยา พ.ศ. 2510</t>
        </is>
      </c>
      <c r="M67" s="2" t="inlineStr">
        <is>
          <t>SAP</t>
        </is>
      </c>
      <c r="N67" s="2" t="inlineStr">
        <is>
          <t>ข้อ 88 Pharma Plus เล่มม่วง (เฉลยข้อ ก ง)</t>
        </is>
      </c>
      <c r="O67" s="2" t="inlineStr">
        <is>
          <t>Mock</t>
        </is>
      </c>
      <c r="P67" s="2" t="inlineStr">
        <is>
          <t>Pharma Plus เล่มม่วง</t>
        </is>
      </c>
    </row>
    <row r="68" ht="13.2" customHeight="1" s="37">
      <c r="A68" s="2" t="n">
        <v>95</v>
      </c>
      <c r="B68" s="2" t="inlineStr">
        <is>
          <t>Sucralfate เป็นยาในบัญชียาหลักแห่งชาติ ในหมวดบัญชี ค หมายถึงข้อใด</t>
        </is>
      </c>
      <c r="C68" s="2" t="n"/>
      <c r="D68" s="2" t="inlineStr">
        <is>
          <t>รายการยาสำหรับสถานพยาบาลทุกระดับ เป็นรายการมาตรฐานที่ใช้ในการป้องกันและแก้ไขปัญหาสุขภาพที่พบบ่อย มีหลักฐานชัดเจน</t>
        </is>
      </c>
      <c r="E68" s="2" t="inlineStr">
        <is>
          <t>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t>
        </is>
      </c>
      <c r="F68" s="2" t="inlineStr">
        <is>
          <t>รายการยาที่ต้องใช้ในโรคเฉพาะทาง โดยผู้ชำนาญ หรือผู้ที่ได้รับมอบหมายจากผู้อำนวยการของสถานพยาบาลนั้น ๆ</t>
        </is>
      </c>
      <c r="G68" s="2" t="inlineStr">
        <is>
          <t>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t>
        </is>
      </c>
      <c r="H68" s="2" t="inlineStr">
        <is>
          <t>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t>
        </is>
      </c>
      <c r="I68" s="2" t="n">
        <v>3</v>
      </c>
      <c r="J68"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หรือผู้ที่ได้รับมอบหมายจากผู้อำนวยการของสถานพยาบาลนั้น ๆ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หรือผู้ที่ได้รับมอบหมายจากผู้อำนวยการของสถานพยาบาลนั้น ๆ 💡 คำอธิบายและข้อกำหนดทางกฎหมาย:
💡 คำอธิบายและข้อกำหนดทางกฎหมาย:
บัญชี ค (บัญชียาสำหรับโรคเฉพาะทาง) เป็นรายการยาที่ต้องใช้ในโรคเฉพาะทาง โดยผู้ชำนาญ หรือผู้ที่ได้รับมอบหมายจากผู้อำนวยการของสถานพยาบาลนั้น ๆ
🔍 ข้ออื่นผิดเพราะอะไร:
• ข้อ ก.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ข้อนี้ไม่ใช่คำตอบที่ถูกต้องสำหรับภาวะ พ.ร.บ. ยา พ.ศ. 2510 เนื่องจากกลไกการออกฤทธิ์, efficacy หรือข้อบ่งใช้ไม่ตรงกับโจทย์ที่กำหนด
• ข้อ ข.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ข้อนี้ไม่ใช่คำตอบที่ถูกต้องสำหรับภาวะ พ.ร.บ. ยา พ.ศ. 2510 เนื่องจากกลไกการออกฤทธิ์, efficacy หรือข้อบ่งใช้ไม่ตรงกับโจทย์ที่กำหนด
• ข้อ ง.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ข้อนี้ไม่ใช่คำตอบที่ถูกต้องสำหรับภาวะ พ.ร.บ. ยา พ.ศ. 2510 เนื่องจากกลไกการออกฤทธิ์, efficacy หรือข้อบ่งใช้ไม่ตรงกับโจทย์ที่กำหนด
• ข้อ จ.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พ.ร.บ. ยา พ.ศ. 2510</t>
        </is>
      </c>
      <c r="M68" s="2" t="inlineStr">
        <is>
          <t>SAP</t>
        </is>
      </c>
      <c r="N68" s="2" t="inlineStr">
        <is>
          <t>ข้อ 95 Pharma Plus เล่มม่วง (เฉลยข้อ ค)</t>
        </is>
      </c>
      <c r="O68" s="2" t="inlineStr">
        <is>
          <t>Mock</t>
        </is>
      </c>
      <c r="P68" s="2" t="inlineStr">
        <is>
          <t>Pharma Plus เล่มม่วง</t>
        </is>
      </c>
    </row>
    <row r="69" ht="13.2" customHeight="1" s="37">
      <c r="A69" s="2" t="n">
        <v>96</v>
      </c>
      <c r="B69" s="2" t="inlineStr">
        <is>
          <t>องค์การเภสัชกรรมมีการผลิตและมีจำหน่ายยา praziquantel เภสัชกรประจำโรงพยาบาลทำการสั่งซื้อยาอย่างไร</t>
        </is>
      </c>
      <c r="C69" s="2" t="n"/>
      <c r="D69" s="2" t="inlineStr">
        <is>
          <t>ตกลงราคาถ้าวงเงินไม่เกิน 100,000 บาท</t>
        </is>
      </c>
      <c r="E69" s="2" t="inlineStr">
        <is>
          <t>สอบราคาถ้าวงเงินไม่เกิน 100,000 บาท</t>
        </is>
      </c>
      <c r="F69" s="2" t="inlineStr">
        <is>
          <t>ประกวดราคาถ้าวงเงินไม่เกิน 100,000 บาท</t>
        </is>
      </c>
      <c r="G69" s="2" t="inlineStr">
        <is>
          <t>วิธีพิเศษไม่จำกัดวงเงิน</t>
        </is>
      </c>
      <c r="H69" s="2" t="inlineStr">
        <is>
          <t>วิธีกรณีพิเศษไม่จำกัดวงเงิน</t>
        </is>
      </c>
      <c r="I69" s="2" t="n">
        <v>5</v>
      </c>
      <c r="J69" s="2" t="inlineStr">
        <is>
          <t>✅ คำตอบที่ถูกต้อง: ข้อ จ. วิธีกรณีพิเศษไม่จำกัดวงเงิน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วิธีกรณีพิเศษไม่จำกัดวงเงิน 💡 คำอธิบายและข้อกำหนดทางกฎหมาย:
💡 คำอธิบายและข้อกำหนดทางกฎหมาย:
การจัดซื้อยาจากองค์การเภสัชกรรม (GPO) ซึ่งเป็นหน่วยงานของรัฐ สามารถใช้วิธีพิเศษตามระเบียบพัสดุฯ (หรือวิธีคัดเลือก/เฉพาะเจาะจงในปัจจุบัน) กรณีที่เป็นยาที่ผลิตโดยองค์การเภสัชกรรม
🔍 ข้ออื่นผิดเพราะอะไร:
• ข้อ ก. (ตกลงราคาถ้าวงเงินไม่เกิน 100,000 บาท): ข้อนี้ไม่ใช่คำตอบที่ถูกต้องสำหรับภาวะ พ.ร.บ. ยา พ.ศ. 2510 เนื่องจากกลไกการออกฤทธิ์, efficacy หรือข้อบ่งใช้ไม่ตรงกับโจทย์ที่กำหนด
• ข้อ ข. (สอบราคาถ้าวงเงินไม่เกิน 100,000 บาท): ข้อนี้ไม่ใช่คำตอบที่ถูกต้องสำหรับภาวะ พ.ร.บ. ยา พ.ศ. 2510 เนื่องจากกลไกการออกฤทธิ์, efficacy หรือข้อบ่งใช้ไม่ตรงกับโจทย์ที่กำหนด
• ข้อ ค. (ประกวดราคาถ้าวงเงินไม่เกิน 100,000 บาท): ข้อนี้ไม่ใช่คำตอบที่ถูกต้องสำหรับภาวะ พ.ร.บ. ยา พ.ศ. 2510 เนื่องจากกลไกการออกฤทธิ์, efficacy หรือข้อบ่งใช้ไม่ตรงกับโจทย์ที่กำหนด
• ข้อ ง. (วิธีพิเศษไม่จำกัดวงเงิน):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พ.ร.บ. ยา พ.ศ. 2510</t>
        </is>
      </c>
      <c r="M69" s="2" t="inlineStr">
        <is>
          <t>SAP</t>
        </is>
      </c>
      <c r="N69" s="2" t="inlineStr">
        <is>
          <t>ข้อ 96 Pharma Plus เล่มม่วง (เฉลยข้อ จ)</t>
        </is>
      </c>
      <c r="O69" s="2" t="inlineStr">
        <is>
          <t>Mock</t>
        </is>
      </c>
      <c r="P69" s="2" t="inlineStr">
        <is>
          <t>Pharma Plus เล่มม่วง</t>
        </is>
      </c>
    </row>
    <row r="70" ht="13.2" customHeight="1" s="37">
      <c r="A70" s="2" t="n">
        <v>97</v>
      </c>
      <c r="B70" s="2" t="inlineStr">
        <is>
          <t>ถ้ายา antacid วิเคราะห์พบว่า มีตัวยาสำคัญ 3.05 mg/100 ml แต่ในฉลากยาระบุว่า 4.4 mg/100 ml ถามว่าจัดเป็นยากลุ่มใด</t>
        </is>
      </c>
      <c r="C70" s="2" t="n"/>
      <c r="D70" s="2" t="inlineStr">
        <is>
          <t>ยาปลอม</t>
        </is>
      </c>
      <c r="E70" s="2" t="inlineStr">
        <is>
          <t>ยาปนเปื้อน</t>
        </is>
      </c>
      <c r="F70" s="2" t="inlineStr">
        <is>
          <t>ยาผิดมาตรฐาน</t>
        </is>
      </c>
      <c r="G70" s="2" t="inlineStr">
        <is>
          <t>ยาอันตราย</t>
        </is>
      </c>
      <c r="H70" s="2" t="inlineStr">
        <is>
          <t>ยาเรียกคืน</t>
        </is>
      </c>
      <c r="I70" s="2" t="n">
        <v>1</v>
      </c>
      <c r="J7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ยาที่มีปริมาณสารสำคัญน้อยกว่าหรือมากกว่าเกณฑ์มาตรฐานที่กำหนดในตำรับยา (เช่น น้อยกว่า 90% หรือมากกว่า 110%) แต่ไม่ใช่ยาปลอม จัดเป็น 'ยาผิดมาตรฐาน' ตามพระราชบัญญัติยา พ.ศ. 2510
🔍 ข้ออื่นผิดเพราะอะไร:
• ข้อ ข. (ยาปนเปื้อน):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(ยาเรียกคืน):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พ.ร.บ. ยา พ.ศ. 2510</t>
        </is>
      </c>
      <c r="M70" s="2" t="inlineStr">
        <is>
          <t>SAP</t>
        </is>
      </c>
      <c r="N70" s="2" t="inlineStr">
        <is>
          <t>ข้อ 97 Pharma Plus เล่มม่วง (เฉลยข้อ ก)</t>
        </is>
      </c>
      <c r="O70" s="2" t="inlineStr">
        <is>
          <t>Mock</t>
        </is>
      </c>
      <c r="P70" s="2" t="inlineStr">
        <is>
          <t>Pharma Plus เล่มม่วง</t>
        </is>
      </c>
    </row>
    <row r="71" ht="13.2" customHeight="1" s="37">
      <c r="A71" s="2" t="n">
        <v>98</v>
      </c>
      <c r="B71" s="2" t="inlineStr">
        <is>
          <t>ข้อใดถูก</t>
        </is>
      </c>
      <c r="C71" s="2" t="n"/>
      <c r="D71" s="2" t="inlineStr">
        <is>
          <t>ยาสามัญประจำบ้าน ต้องบอกเฉพาะชื่อสามัญ ห้ามเขียนชื่อการค้า</t>
        </is>
      </c>
      <c r="E71" s="2" t="inlineStr">
        <is>
          <t>ยาสามัญประจำบ้าน ต้องเขียนคำว่า "ยาสามัญประจำบ้าน" ตัวสีแดงระบุไว้</t>
        </is>
      </c>
      <c r="F71" s="2" t="inlineStr">
        <is>
          <t>องค์การเภสัชกรรมต้องขออนุญาตผลิตยาในกรณีที่ไม่ใช่ยาสามัญประจำบ้าน</t>
        </is>
      </c>
      <c r="G71" s="2" t="inlineStr">
        <is>
          <t>โฆษณาได้แต่ต้องขออนุญาตก่อน รวมถึงในกรณีที่โฆษณากับผู้ประกอบโรคศิลป์ผ่านสื่อต่างๆ</t>
        </is>
      </c>
      <c r="H71" s="2" t="inlineStr">
        <is>
          <t>ยาสามัญประจำบ้าน ในกรณีไม่มีพื้นที่เพียงพอไม่ต้องเขียนคำว่า "ยาสามัญประจำบ้าน" ได้แต่ต้องขออนุญาต</t>
        </is>
      </c>
      <c r="I71" s="2" t="n">
        <v>4</v>
      </c>
      <c r="J71" s="2" t="inlineStr">
        <is>
          <t>✅ คำตอบที่ถูกต้อง: ข้อ ง. โฆษณาได้แต่ต้องขออนุญาตก่อน รวมถึงในกรณีที่โฆษณากับผู้ประกอบโรคศิลป์ผ่านสื่อต่างๆ
💡 Background:
กฎหมายยาและจรรยาบรรณวิชาชีพมีขึ้นเพื่อคุ้มครองความปลอดภัยของผู้บริโภคตามมาตรฐาน Good Pharmacy Practice (GPP)
🎯 ทำไมข้อนี้ถึงถูก:
โฆษณาได้แต่ต้องขออนุญาตก่อน รวมถึงในกรณีที่โฆษณากับผู้ประกอบโรคศิลป์ผ่านสื่อต่างๆ 💡 คำอธิบายและข้อกำหนดทางกฎหมาย:
💡 คำอธิบายและข้อกำหนดทางกฎหมาย:
ฉลากของยาสามัญประจำบ้านจะต้องมีคำว่า 'ยาสามัญประจำบ้าน' เป็นตัวอักษรสีแดงเห็นได้ชัดเจน ตามข้อกำหนดของพระราชบัญญัติยา
🔍 ข้ออื่นผิดเพราะอะไร:
• ข้อ ก. (ยาสามัญประจำบ้าน ต้องบอกเฉพาะชื่อสามัญ ห้ามเขียนชื่อการค้า):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(ยาสามัญประจำบ้าน ต้องเขียนคำว่า "ยาสามัญประจำบ้าน" ตัวสีแดงระบุไว้): ข้อนี้ไม่ใช่คำตอบที่ถูกต้องสำหรับภาวะ พ.ร.บ. ยา พ.ศ. 2510 เนื่องจากกลไกการออกฤทธิ์, efficacy หรือข้อบ่งใช้ไม่ตรงกับโจทย์ที่กำหนด
• ข้อ ค. (องค์การเภสัชกรรมต้องขออนุญาตผลิตยาในกรณีที่ไม่ใช่ยาสามัญประจำบ้าน):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(ยาสามัญประจำบ้าน ในกรณีไม่มีพื้นที่เพียงพอไม่ต้องเขียนคำว่า "ยาสามัญประจำบ้าน" ได้แต่ต้องขออนุญาต):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พ.ร.บ. ยา พ.ศ. 2510</t>
        </is>
      </c>
      <c r="M71" s="2" t="inlineStr">
        <is>
          <t>SAP</t>
        </is>
      </c>
      <c r="N71" s="2" t="inlineStr">
        <is>
          <t>ข้อ 98 Pharma Plus เล่มม่วง (เฉลยข้อ ง)</t>
        </is>
      </c>
      <c r="O71" s="2" t="inlineStr">
        <is>
          <t>Mock</t>
        </is>
      </c>
      <c r="P71" s="2" t="inlineStr">
        <is>
          <t>Pharma Plus เล่มม่วง</t>
        </is>
      </c>
    </row>
    <row r="72" ht="13.2" customHeight="1" s="37">
      <c r="A72" s="2" t="n">
        <v>99</v>
      </c>
      <c r="B72" s="2" t="inlineStr">
        <is>
          <t>เภสัชกรร้านยา สามารถจ่ายยาแก่ผู้ป่วยรายนี้ ตามกรณีใดได้ โดยไม่ผิด ตาม พ.ร.บ. ยา 2510</t>
        </is>
      </c>
      <c r="C72" s="2" t="n"/>
      <c r="D72" s="2" t="inlineStr">
        <is>
          <t>จ่ายยา diclofenac tab 25 mg ที่เลยวันหมดอายุตามฉลากไปแล้ว 2 วัน</t>
        </is>
      </c>
      <c r="E72" s="2" t="inlineStr">
        <is>
          <t>จ่ายยา piroxicam cap 10 mg ที่ยังไม่ถึงวันหมดอายุตามฉลาก แต่ลักษณะเม็ดยากระด่างกระดำ</t>
        </is>
      </c>
      <c r="F72" s="2" t="inlineStr">
        <is>
          <t>จ่ายยาเม็ด tolperisone 50 mg และ diclofenac 25 mg ใส่ในซองเดียวกัน อย่างละ 1 เม็ด หลังอาหาร</t>
        </is>
      </c>
      <c r="G72" s="2" t="inlineStr">
        <is>
          <t>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t>
        </is>
      </c>
      <c r="H72" s="2" t="inlineStr">
        <is>
          <t>นำยา rofecoxib 25 mg ซึ่งซื้อมาจากร้านค้าปลอดภาษีที่สิงคโปร์และมีราคาถูกกว่าทำในประเทศไทยมาขายที่ร้านยา</t>
        </is>
      </c>
      <c r="I72" s="2" t="n">
        <v>4</v>
      </c>
      <c r="J72" s="2" t="inlineStr">
        <is>
          <t>✅ คำตอบที่ถูกต้อง: ข้อ ง.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คำอธิบายและข้อกำหนดทางกฎหมาย:
💡 คำอธิบายและข้อกำหนดทางกฎหมาย:
การจ่ายยาต้องไม่เป็นยาเสื่อมคุณภาพ (ลักษณะเม็ดยากระด่างกระดำถือเป็นยาเสื่อมสภาพ/ผิดมาตรฐาน), ยาหมดอายุ, ยาเถื่อน (นำเข้าไม่ถูกต้อง), และการแบ่งบรรจุยาที่ไม่ได้มาตรฐานหรือผสมยาต่างชนิดในซองเดียวโดยไม่มีฉลากที่ถูกต้องตามกฎหมายอาจมีความผิด แต่ในโจทย์ต้องวิเคราะห์ข้อที่ถูกต้องตามกฎหมายยา (จากตัวเลือกมักระบุข้อที่ห้ามทำหมด ยกเว้นข้อที่ถูกต้องตามหลักการ หรือต้องพิจารณาข้อที่ปลอดภัยที่สุด)
🔍 ข้ออื่นผิดเพราะอะไร:
• ข้อ ก. (จ่ายยา diclofenac tab 25 mg ที่เลยวันหมดอายุตามฉลากไปแล้ว 2 วัน): ข้อนี้ไม่ใช่คำตอบที่ถูกต้องสำหรับภาวะ พ.ร.บ. ยา พ.ศ. 2510 เนื่องจากกลไกการออกฤทธิ์, efficacy หรือข้อบ่งใช้ไม่ตรงกับโจทย์ที่กำหนด
• ข้อ ข. (จ่ายยา piroxicam cap 10 mg ที่ยังไม่ถึงวันหมดอายุตามฉลาก แต่ลักษณะเม็ดยากระด่างกระดำ): เป็น oxicam NSAID ที่มี half-life ยาวนานมาก (~50 ชม.) แต่มีความเสี่ยงต่อ severe GI bleed และ skin reactions สูงที่สุดในกลุ่ม NSAIDs
• ข้อ ค. (จ่ายยาเม็ด tolperisone 50 mg และ diclofenac 25 mg ใส่ในซองเดียวกัน อย่างละ 1 เม็ด หลังอาหาร): ข้อนี้ไม่ใช่คำตอบที่ถูกต้องสำหรับภาวะ พ.ร.บ. ยา พ.ศ. 2510 เนื่องจากกลไกการออกฤทธิ์, efficacy หรือข้อบ่งใช้ไม่ตรงกับโจทย์ที่กำหนด
• ข้อ จ. (นำยา rofecoxib 25 mg ซึ่งซื้อมาจากร้านค้าปลอดภาษีที่สิงคโปร์และมีราคาถูกกว่าทำในประเทศไทยมาขายที่ร้านยา):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พ.ร.บ. ยา พ.ศ. 2510</t>
        </is>
      </c>
      <c r="M72" s="2" t="inlineStr">
        <is>
          <t>SAP</t>
        </is>
      </c>
      <c r="N72" s="2" t="inlineStr">
        <is>
          <t>ข้อ 99 Pharma Plus เล่มม่วง (เฉลยข้อ ง)</t>
        </is>
      </c>
      <c r="O72" s="2" t="inlineStr">
        <is>
          <t>Mock</t>
        </is>
      </c>
      <c r="P72" s="2" t="inlineStr">
        <is>
          <t>Pharma Plus เล่มม่วง</t>
        </is>
      </c>
    </row>
    <row r="73" ht="13.2" customHeight="1" s="37">
      <c r="A73" s="2" t="n">
        <v>100</v>
      </c>
      <c r="B73" s="2" t="inlineStr">
        <is>
          <t>ในการศึกษาประสิทธิผลของ NSAIDs เทียบกับยา colchicine พบว่ายาทั้งสองมีต้นทุนในการรักษาที่เท่ากันแต่มีประสิทธิภาพทางคลินิก คือสามารถลดการอักเสบได้แตกต่างกัน การศึกษาดังกล่าวเป็นการศึกษาแบบใด</t>
        </is>
      </c>
      <c r="C73" s="2" t="n"/>
      <c r="D73" s="2" t="inlineStr">
        <is>
          <t>Cost minimization analysis (CMA)</t>
        </is>
      </c>
      <c r="E73" s="2" t="inlineStr">
        <is>
          <t>Cost benefit analysis</t>
        </is>
      </c>
      <c r="F73" s="2" t="inlineStr">
        <is>
          <t>Cost utility analysis</t>
        </is>
      </c>
      <c r="G73" s="2" t="inlineStr">
        <is>
          <t>Cost effectiveness analysis (CEA)</t>
        </is>
      </c>
      <c r="H73" s="2" t="inlineStr">
        <is>
          <t>ถูกทุกข้อ</t>
        </is>
      </c>
      <c r="I73" s="2" t="n">
        <v>4</v>
      </c>
      <c r="J73" s="2" t="inlineStr">
        <is>
          <t>✅ คำตอบที่ถูกต้อง: ข้อ ง.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ใช้เปรียบเทียบทางเลือกที่มีต้นทุนต่างกัน (หรือเท่ากัน) แต่ผลลัพธ์ทางคลินิกวัดเป็นหน่วยธรรมชาติที่แตกต่างกัน เช่น หน่วยการลดการอักเสบ หรือความดันโลหิตที่ลดลง เนื่องจากโจทย์ระบุว่าต้นทุนเท่ากันแต่ efficacy ทางคลินิก (ผลลัพธ์) แตกต่างกัน จึงตรงกับ CEA
🔍 ข้ออื่นผิดเพราะอะไร:
• ข้อ ก. (Cost minimization analysis (CMA)): ข้อนี้ไม่ใช่คำตอบที่ถูกต้องสำหรับภาวะ พ.ร.บ. ยา พ.ศ. 2510 เนื่องจากกลไกการออกฤทธิ์, efficacy หรือข้อบ่งใช้ไม่ตรงกับโจทย์ที่กำหนด
• ข้อ ข. (Cost benefit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ค. (Cost utility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พ.ร.บ. ยา พ.ศ. 2510</t>
        </is>
      </c>
      <c r="M73" s="2" t="inlineStr">
        <is>
          <t>SAP</t>
        </is>
      </c>
      <c r="N73" s="2" t="inlineStr">
        <is>
          <t>ข้อ 100 Pharma Plus เล่มม่วง (เฉลยข้อ ง)</t>
        </is>
      </c>
      <c r="O73" s="2" t="inlineStr">
        <is>
          <t>Mock</t>
        </is>
      </c>
      <c r="P73" s="2" t="inlineStr">
        <is>
          <t>Pharma Plus เล่มม่วง</t>
        </is>
      </c>
    </row>
    <row r="74" ht="13.2" customHeight="1" s="37">
      <c r="A74" s="2" t="n">
        <v>101</v>
      </c>
      <c r="B74" s="2" t="inlineStr">
        <is>
          <t>เภสัชกรที่ร้านขายยาไม่สามารถจ่ายยาต่อไปนี้ให้ผู้ป่วยรายนี้ได้</t>
        </is>
      </c>
      <c r="C74" s="2" t="n"/>
      <c r="D74" s="2" t="inlineStr">
        <is>
          <t>ยา allopurinol เนื่องจากเป็นยาอันตราย</t>
        </is>
      </c>
      <c r="E74" s="2" t="inlineStr">
        <is>
          <t>ยา colchicine เนื่องจากเป็นยาอันตราย</t>
        </is>
      </c>
      <c r="F74" s="2" t="inlineStr">
        <is>
          <t>ยา etoricoxib เนื่องจากเป็นยาควบคุมพิเศษ</t>
        </is>
      </c>
      <c r="G74" s="2" t="inlineStr">
        <is>
          <t>ยา prednisolone เนื่องจากเป็นยาควบคุมพิเศษ</t>
        </is>
      </c>
      <c r="H74" s="2" t="inlineStr">
        <is>
          <t>เภสัชกรสามารถจ่ายยาได้ทุกข้อ</t>
        </is>
      </c>
      <c r="I74" s="2" t="n">
        <v>4</v>
      </c>
      <c r="J74" s="2" t="inlineStr">
        <is>
          <t>✅ คำตอบที่ถูกต้อง: ข้อ ง. ยา prednisolone เนื่องจากเป็นยาควบคุมพิเศษ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prednisolone เนื่องจากเป็นยาควบคุมพิเศษ 💡 คำอธิบายและข้อกำหนดทางกฎหมาย:
💡 คำอธิบายและข้อกำหนดทางกฎหมาย:
ตามกฎหมายยา Prednisolone จัดเป็นยาควบคุมพิเศษ ซึ่งร้านขายยาปัจจุบันมีข้อจำกัดในการจ่าย และต้องเป็นไปตามข้อกำหนดของกฎหมายยาควบคุมพิเศษ (หรือยาอันตรายขึ้นอยู่กับทะเบียนตำรับ แต่ตามบริบทข้อสอบข้อนี้ prednisolone ถูกจัดเป็นยาควบคุมพิเศษ)
🔍 ข้ออื่นผิดเพราะอะไร:
• ข้อ ก. (ยา allopurinol เนื่องจากเป็นยาอันตราย):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ข. (ยา colchicine เนื่องจากเป็นยาอันตราย): ยับยั้ง microtubule polymerization และ neutrophil chemotaxis เป็น first-line ใน acute gout flare และ flare prophylaxis แต่มี ADR เด่นทาง GI (ท้องเสีย คลื่นไส้)
• ข้อ ค. (ยา etoricoxib เนื่องจากเป็นยาควบคุมพิเศษ): เป็น selective COX-2 inhibitor ออกฤทธิ์เร็วและยาวนาน (OD) แต่มี contraindication ในผู้ป่วย uncontrolled hypertension (BP &gt; 140/90 mmHg)
• ข้อ จ. (เภสัชกรสามารถจ่ายยาได้ทุกข้อ):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พ.ร.บ. ยา พ.ศ. 2510</t>
        </is>
      </c>
      <c r="M74" s="2" t="inlineStr">
        <is>
          <t>SAP</t>
        </is>
      </c>
      <c r="N74" s="2" t="inlineStr">
        <is>
          <t>ข้อ 101 Pharma Plus เล่มม่วง (เฉลยข้อ ง)</t>
        </is>
      </c>
      <c r="O74" s="2" t="inlineStr">
        <is>
          <t>Mock</t>
        </is>
      </c>
      <c r="P74" s="2" t="inlineStr">
        <is>
          <t>Pharma Plus เล่มม่วง</t>
        </is>
      </c>
    </row>
    <row r="75" ht="13.2" customHeight="1" s="37">
      <c r="A75" s="2" t="n">
        <v>104</v>
      </c>
      <c r="B75" s="2" t="inlineStr">
        <is>
          <t>จากการศึกษาประสิทธิภาพของยาปฏิชีวนะในรูปแบบยากิน และยาใช้ภายนอกในกลุ่มตัวอย่างอย่าง 2 กลุ่ม กลุ่มละ 50 คน โดยให้ยาในระดับเลือดใกล้เคียงกัน ศึกษาถึงประสิทธิภาพและระยะเวลาของยาทั้งสองชนิด ควรใช้รูปแบบการศึกษาใด</t>
        </is>
      </c>
      <c r="C75" s="2" t="n"/>
      <c r="D75" s="2" t="inlineStr">
        <is>
          <t>Cohort study</t>
        </is>
      </c>
      <c r="E75" s="2" t="inlineStr">
        <is>
          <t>Crossover study</t>
        </is>
      </c>
      <c r="F75" s="2" t="inlineStr">
        <is>
          <t>Control study</t>
        </is>
      </c>
      <c r="G75" s="2" t="inlineStr">
        <is>
          <t>Case-control study</t>
        </is>
      </c>
      <c r="H75" s="2" t="inlineStr">
        <is>
          <t>Cross-section study</t>
        </is>
      </c>
      <c r="I75" s="2" t="n">
        <v>3</v>
      </c>
      <c r="J75" s="2" t="inlineStr">
        <is>
          <t>✅ คำตอบที่ถูกต้อง: ข้อ ค.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Control study 💡 คำอธิบายและข้อกำหนดทางกฎหมาย:
💡 คำอธิบายและข้อกำหนดทางกฎหมาย:
การศึกษาเชิงทดลอง (Experimental study) โดยมีการแบ่งกลุ่มผู้ป่วยเป็น 2 กลุ่ม เพื่อให้ได้รับยาทั้งสองรูปแบบและเปรียบเทียบ efficacy จัดเป็นการศึกษาประเภท Randomized Controlled Trial หรือ Clinical trial (ในตัวเลือกข้อสอบมักเทียบเคียงกับ Control study หรือ Crossover ขึ้นกับลักษณะการสลับยา แต่จากโจทย์เป็นการเปรียบเทียบระหว่างกลุ่มหรือสลับกันทดลอง)
🔍 ข้ออื่นผิดเพราะอะไร:
• ข้อ ก. (Cohort study): ข้อนี้ไม่ใช่คำตอบที่ถูกต้องสำหรับภาวะ พ.ร.บ. ยา พ.ศ. 2510 เนื่องจากกลไกการออกฤทธิ์, efficacy หรือข้อบ่งใช้ไม่ตรงกับโจทย์ที่กำหนด
• ข้อ ข. (Crossover study): ข้อนี้ไม่ใช่คำตอบที่ถูกต้องสำหรับภาวะ พ.ร.บ. ยา พ.ศ. 2510 เนื่องจากกลไกการออกฤทธิ์, efficacy หรือข้อบ่งใช้ไม่ตรงกับโจทย์ที่กำหนด
• ข้อ ง. (Case-control study): ข้อนี้ไม่ใช่คำตอบที่ถูกต้องสำหรับภาวะ พ.ร.บ. ยา พ.ศ. 2510 เนื่องจากกลไกการออกฤทธิ์, efficacy หรือข้อบ่งใช้ไม่ตรงกับโจทย์ที่กำหนด
• ข้อ จ. (Cross-section study):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พ.ร.บ. ยา พ.ศ. 2510</t>
        </is>
      </c>
      <c r="M75" s="2" t="inlineStr">
        <is>
          <t>SAP</t>
        </is>
      </c>
      <c r="N75" s="2" t="inlineStr">
        <is>
          <t>ข้อ 104 Pharma Plus เล่มม่วง (เฉลยข้อ ค)</t>
        </is>
      </c>
      <c r="O75" s="2" t="inlineStr">
        <is>
          <t>Mock</t>
        </is>
      </c>
      <c r="P75" s="2" t="inlineStr">
        <is>
          <t>Pharma Plus เล่มม่วง</t>
        </is>
      </c>
    </row>
    <row r="76" ht="13.2" customHeight="1" s="37">
      <c r="A76" s="2" t="n">
        <v>107</v>
      </c>
      <c r="B76" s="2" t="inlineStr">
        <is>
          <t>เด็กทารกได้รับการฉีดวัคซีน หลังจากนั้นเด็กมีอาการไข้สูง 39 °C ชัก จะมาเรียกร้องค่าเสียหายได้หรือไม่ เพราะเหตุใด</t>
        </is>
      </c>
      <c r="C76" s="2" t="n"/>
      <c r="D76" s="2" t="inlineStr">
        <is>
          <t>ได้ ผู้บริโภคมีสิทธิที่จะได้รับการพิจารณาและได้รับค่าเสียหาย</t>
        </is>
      </c>
      <c r="E76" s="2" t="inlineStr">
        <is>
          <t>ได้ ผู้บริโภคมีสิทธิที่จะปฏิเสธไม่รับวัคซีน</t>
        </is>
      </c>
      <c r="F76" s="2" t="inlineStr">
        <is>
          <t>ไม่ได้ เนื่องจากผู้บริโภคมีสิทธิที่จะทราบผลดี ผลเสีย แต่ไม่ทำ</t>
        </is>
      </c>
      <c r="G76" s="2" t="inlineStr">
        <is>
          <t>ไม่ได้ เนื่องจากอาการข้างเคียงที่เกิดขึ้นพบน้อย</t>
        </is>
      </c>
      <c r="H76" s="2" t="inlineStr">
        <is>
          <t>ไม่ได้ เนื่องจากไม่มีความผิดในการรักษา</t>
        </is>
      </c>
      <c r="I76" s="2" t="n">
        <v>5</v>
      </c>
      <c r="J76" s="2" t="inlineStr">
        <is>
          <t>✅ คำตอบที่ถูกต้อง: ข้อ จ. ไม่ได้ เนื่องจากไม่มีความผิดในการรักษา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เนื่องจากไม่มีความผิดในการรักษา 💡 คำอธิบายและข้อกำหนดทางกฎหมาย:
💡 คำอธิบายและข้อกำหนดทางกฎหมาย:
ตามพระราชบัญญัติคุ้มครองผู้เสียหายจากการรับบริการสาธารณสุข ผู้ป่วยที่ได้รับความเสียหายจากการรับบริการสาธารณสุข (เช่น ADR รุนแรงจากวัคซีนตามประกาศกระทรวง) มีสิทธิได้รับความช่วยเหลือเบื้องต้นโดยไม่ต้องพิสูจน์ความผิด
🔍 ข้ออื่นผิดเพราะอะไร:
• ข้อ ก. (ได้ ผู้บริโภคมีสิทธิที่จะได้รับการพิจารณาและได้รับค่าเสียหาย): ข้อนี้ไม่ใช่คำตอบที่ถูกต้องสำหรับภาวะ พ.ร.บ. ยา พ.ศ. 2510 เนื่องจากกลไกการออกฤทธิ์, efficacy หรือข้อบ่งใช้ไม่ตรงกับโจทย์ที่กำหนด
• ข้อ ข. (ได้ ผู้บริโภคมีสิทธิที่จะปฏิเสธไม่รับวัคซีน):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(ไม่ได้ เนื่องจากผู้บริโภคมีสิทธิที่จะทราบผลดี ผลเสีย แต่ไม่ทำ):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(ไม่ได้ เนื่องจากอาการข้างเคียงที่เกิดขึ้นพบน้อย):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6" s="2" t="n"/>
      <c r="L76" s="2" t="inlineStr">
        <is>
          <t>พ.ร.บ. ยา พ.ศ. 2510</t>
        </is>
      </c>
      <c r="M76" s="2" t="inlineStr">
        <is>
          <t>SAP</t>
        </is>
      </c>
      <c r="N76" s="2" t="inlineStr">
        <is>
          <t>ข้อ 107 Pharma Plus เล่มม่วง (เฉลยข้อ จ)</t>
        </is>
      </c>
      <c r="O76" s="2" t="inlineStr">
        <is>
          <t>Mock</t>
        </is>
      </c>
      <c r="P76" s="2" t="inlineStr">
        <is>
          <t>Pharma Plus เล่มม่วง</t>
        </is>
      </c>
    </row>
    <row r="77" ht="13.2" customHeight="1" s="37">
      <c r="A77" s="2" t="n">
        <v>108</v>
      </c>
      <c r="B77" s="2" t="inlineStr">
        <is>
          <t>เมื่อวันที่ 12 ธันวาคม 2545 สารวัตรอาหารและยาไปตรวจร้านยาที่ท่านมีหน้าที่ปฏิบัติการอยู่แล้วเก็บตัวอย่างวัคซีนป้องกันโรคตับอักเสบชนิดหนึ่งไปตรวจวิเคราะห์ที่กรมวิทยาศาสตร์การแพทย์ วัคซีนนี้ผลิตเมื่อเดือนตุลาคม 2545 มีความแรง 25 ไมโครกรัมต่อมิลลิลิตร ผลของการตรวจวิเคราะห์พบว่า ความแรงของสารออกฤทธิ์เท่ากับ 14.5 ไมโครกรัมต่อมิลลิลิตร ยานี้จัดเป็นยาประเภทใด ตามพระราชบัญญัติยา
ยานี้จัดเป็นยาประเภทใด ตามพระราชบัญญัติยา</t>
        </is>
      </c>
      <c r="C77" s="2" t="n"/>
      <c r="D77" s="2" t="inlineStr">
        <is>
          <t>ยาปลอม</t>
        </is>
      </c>
      <c r="E77" s="2" t="inlineStr">
        <is>
          <t>ยาปนเปื้อน</t>
        </is>
      </c>
      <c r="F77" s="2" t="inlineStr">
        <is>
          <t>ยาผิดมาตรฐาน</t>
        </is>
      </c>
      <c r="G77" s="2" t="inlineStr">
        <is>
          <t>ยาด้อยคุณภาพ</t>
        </is>
      </c>
      <c r="H77" s="2" t="inlineStr">
        <is>
          <t>ยาเสื่อมคุณภาพ</t>
        </is>
      </c>
      <c r="I77" s="2" t="n">
        <v>1</v>
      </c>
      <c r="J77"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ยาที่มีปริมาณสารสำคัญน้อยกว่าหรือมากกว่าร้อยละที่กำหนดไว้ในตำรับยาที่ขึ้นทะเบียนไว้ (ความแรงลดลงจาก 25 เหลือ 14.5 ไมโครกรัม/มิลลิลิตร) ถือเป็น 'ยาผิดมาตรฐาน'
🔍 ข้ออื่นผิดเพราะอะไร:
• ข้อ ข. (ยาปนเปื้อน):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(ยาด้อยคุณภาพ):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7" s="2" t="n"/>
      <c r="L77" s="2" t="inlineStr">
        <is>
          <t>พ.ร.บ. ยา พ.ศ. 2510</t>
        </is>
      </c>
      <c r="M77" s="2" t="inlineStr">
        <is>
          <t>SAP</t>
        </is>
      </c>
      <c r="N77" s="2" t="inlineStr">
        <is>
          <t>ข้อ 108 Pharma Plus เล่มม่วง (เฉลยข้อ ก)</t>
        </is>
      </c>
      <c r="O77" s="2" t="inlineStr">
        <is>
          <t>Mock</t>
        </is>
      </c>
      <c r="P77" s="2" t="inlineStr">
        <is>
          <t>Pharma Plus เล่มม่วง</t>
        </is>
      </c>
    </row>
    <row r="78" ht="13.2" customHeight="1" s="37">
      <c r="A78" s="2" t="n">
        <v>109</v>
      </c>
      <c r="B78" s="2" t="inlineStr">
        <is>
          <t>ข้อใดไม่ใช่ใช้อำนาจของสารวัตรอาหารและยา ในการปฏิบัติหน้าที่ตามพระราชบัญญัติยา</t>
        </is>
      </c>
      <c r="C78" s="2" t="n"/>
      <c r="D78" s="2" t="inlineStr">
        <is>
          <t>ยึดหรืออายัดยา</t>
        </is>
      </c>
      <c r="E78" s="2" t="inlineStr">
        <is>
          <t>เข้าไปตรวจร้านยานอกเวลาทำการ</t>
        </is>
      </c>
      <c r="F78" s="2" t="inlineStr">
        <is>
          <t>นำยาไปทำลายตามข้อกำหนดกระทรวง</t>
        </is>
      </c>
      <c r="G78" s="2" t="inlineStr">
        <is>
          <t>นำยาไปเป็นตัวอย่างเพื่อการตรวจวิเคราะห์</t>
        </is>
      </c>
      <c r="H78" s="2" t="inlineStr">
        <is>
          <t>ให้ร้านยาเรียกเก็บคืนภายในเวลาที่กำหนด</t>
        </is>
      </c>
      <c r="I78" s="2" t="n">
        <v>2</v>
      </c>
      <c r="J78" s="2" t="inlineStr">
        <is>
          <t>✅ คำตอบที่ถูกต้อง: ข้อ ข. เข้าไปตรวจร้านยานอกเวลาทำการ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เข้าไปตรวจร้านยานอกเวลาทำการ 💡 คำอธิบายและข้อกำหนดทางกฎหมาย:
💡 คำอธิบายและข้อกำหนดทางกฎหมาย:
ตามพระราชบัญญัติยา พนักงานเจ้าหน้าที่ (สารวัตร) มีอำนาจเข้าไปในสถานที่ขายยาในเวลากันและทำการตรวจสอบ เก็บตัวอย่าง ยึดหรืออายัดยาได้ แต่การเข้าไปตรวจ 'นอกเวลาทำการ' โดยไม่มีเหตุอันควรหรือหมายค้นตามกฎหมาย ไม่ใช่อำนาจทั่วไปที่ทำได้โดยพลการ
🔍 ข้ออื่นผิดเพราะอะไร:
• ข้อ ก. (ยึดหรืออายัดยา): ข้อนี้ไม่ใช่คำตอบที่ถูกต้องสำหรับภาวะ พ.ร.บ. ยา พ.ศ. 2510 เนื่องจากกลไกการออกฤทธิ์, efficacy หรือข้อบ่งใช้ไม่ตรงกับโจทย์ที่กำหนด
• ข้อ ค. (นำยาไปทำลายตามข้อกำหนดกระทรวง): ข้อนี้ไม่ใช่คำตอบที่ถูกต้องสำหรับภาวะ พ.ร.บ. ยา พ.ศ. 2510 เนื่องจากกลไกการออกฤทธิ์, efficacy หรือข้อบ่งใช้ไม่ตรงกับโจทย์ที่กำหนด
• ข้อ ง. (นำยาไปเป็นตัวอย่างเพื่อการตรวจวิเคราะห์): ข้อนี้ไม่ใช่คำตอบที่ถูกต้องสำหรับภาวะ พ.ร.บ. ยา พ.ศ. 2510 เนื่องจากกลไกการออกฤทธิ์, efficacy หรือข้อบ่งใช้ไม่ตรงกับโจทย์ที่กำหนด
• ข้อ จ. (ให้ร้านยาเรียกเก็บคืนภายในเวลาที่กำหนด):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8" s="2" t="n"/>
      <c r="L78" s="2" t="inlineStr">
        <is>
          <t>พ.ร.บ. ยา พ.ศ. 2510</t>
        </is>
      </c>
      <c r="M78" s="2" t="inlineStr">
        <is>
          <t>SAP</t>
        </is>
      </c>
      <c r="N78" s="2" t="inlineStr">
        <is>
          <t>ข้อ 109 Pharma Plus เล่มม่วง (เฉลยข้อ ข)</t>
        </is>
      </c>
      <c r="O78" s="2" t="inlineStr">
        <is>
          <t>Mock</t>
        </is>
      </c>
      <c r="P78" s="2" t="inlineStr">
        <is>
          <t>Pharma Plus เล่มม่วง</t>
        </is>
      </c>
    </row>
    <row r="79" ht="13.2" customHeight="1" s="37">
      <c r="A79" s="2" t="n">
        <v>110</v>
      </c>
      <c r="B79" s="2" t="inlineStr">
        <is>
          <t>ตามกฎหมายไทยในปัจจุบัน ยากลุ่มใดที่ต้องใช้ใบสั่งแพทย์ในการจ่ายยา</t>
        </is>
      </c>
      <c r="C79" s="2" t="n"/>
      <c r="D79" s="2" t="inlineStr">
        <is>
          <t>Antipsychotic drugs</t>
        </is>
      </c>
      <c r="E79" s="2" t="inlineStr">
        <is>
          <t>Hypnotic drugs กลุ่ม BZD</t>
        </is>
      </c>
      <c r="F79" s="2" t="inlineStr">
        <is>
          <t>Antidepressant กลุ่ม SSRI</t>
        </is>
      </c>
      <c r="G79" s="2" t="inlineStr">
        <is>
          <t>Melatonin receptor agonist</t>
        </is>
      </c>
      <c r="H79" s="2" t="inlineStr">
        <is>
          <t>ถูกทุกข้อ</t>
        </is>
      </c>
      <c r="I79" s="2" t="n">
        <v>1</v>
      </c>
      <c r="J79" s="2" t="inlineStr">
        <is>
          <t>✅ คำตอบที่ถูกต้อง: ข้อ ก. Antipsychotic drugs
💡 Background:
กฎหมายยาและจรรยาบรรณวิชาชีพมีขึ้นเพื่อคุ้มครองความปลอดภัยของผู้บริโภคตามมาตรฐาน Good Pharmacy Practice (GPP)
🎯 ทำไมข้อนี้ถึงถูก:
Antipsychotic drugs 💡 คำอธิบายและข้อกำหนดทางกฎหมาย:
💡 คำอธิบายและข้อกำหนดทางกฎหมาย:
ตามกฎหมายยาในประเทศไทย ยาจิตเวชและกลุ่มยาอันตราย/วัตถุออกฤทธิ์บางชนิด เช่น Antipsychotics, Benzodiazepines (BZD), SSRIs, หรือ Melatonin receptor agonist (เช่น Ramelteon ซึ่งเป็นยาควบคุมพิเศษ/ยาอันตรายที่ต้องใช้ใบสั่งแพทย์) ล้วนมีข้อกำหนดให้ต้องสั่งจ่ายโดยแพทย์ผู้ประกอบวิชาชีพเวชกรรมเพื่อ safety
🔍 ข้ออื่นผิดเพราะอะไร:
• ข้อ ข. (Hypnotic drugs กลุ่ม BZD): ข้อนี้ไม่ใช่คำตอบที่ถูกต้องสำหรับภาวะ พ.ร.บ. ยา พ.ศ. 2510 เนื่องจากกลไกการออกฤทธิ์, efficacy หรือข้อบ่งใช้ไม่ตรงกับโจทย์ที่กำหนด
• ข้อ ค. (Antidepressant กลุ่ม SSRI): ข้อนี้ไม่ใช่คำตอบที่ถูกต้องสำหรับภาวะ พ.ร.บ. ยา พ.ศ. 2510 เนื่องจากกลไกการออกฤทธิ์, efficacy หรือข้อบ่งใช้ไม่ตรงกับโจทย์ที่กำหนด
• ข้อ ง. (Melatonin receptor agonist): ข้อนี้ไม่ใช่คำตอบที่ถูกต้องสำหรับภาวะ พ.ร.บ. ยา พ.ศ. 2510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 s="2" t="n"/>
      <c r="L79" s="2" t="inlineStr">
        <is>
          <t>พ.ร.บ. ยา พ.ศ. 2510</t>
        </is>
      </c>
      <c r="M79" s="2" t="inlineStr">
        <is>
          <t>SAP</t>
        </is>
      </c>
      <c r="N79" s="2" t="inlineStr">
        <is>
          <t>ข้อ 110 Pharma Plus เล่มม่วง (เฉลยข้อ ก ข)</t>
        </is>
      </c>
      <c r="O79" s="2" t="inlineStr">
        <is>
          <t>Mock</t>
        </is>
      </c>
      <c r="P79" s="2" t="inlineStr">
        <is>
          <t>Pharma Plus เล่มม่วง</t>
        </is>
      </c>
    </row>
    <row r="80" ht="13.2" customHeight="1" s="37">
      <c r="A80" s="2" t="n">
        <v>111</v>
      </c>
      <c r="B80" s="2" t="inlineStr">
        <is>
          <t>เหตุใดร้านขายยาจึงขาย Phenobarbital ไม่ได้</t>
        </is>
      </c>
      <c r="C80" s="2" t="n"/>
      <c r="D80" s="2" t="inlineStr">
        <is>
          <t>เพราะยังไม่มีใบอนุญาตมีจำหน่ายวัตถุออกฤทธิ์ต่อจิตประสาทประเภท 3</t>
        </is>
      </c>
      <c r="E80" s="2" t="inlineStr">
        <is>
          <t>เพราะยังไม่มีใบอนุญาตมีจำหน่ายวัตถุออกฤทธิ์ต่อจิตประสาทประเภท 4</t>
        </is>
      </c>
      <c r="F80" s="2" t="inlineStr">
        <is>
          <t>เพราะยังไม่มีใบอนุญาตมีจำหน่ายยาอันตราย</t>
        </is>
      </c>
      <c r="G80" s="2" t="inlineStr">
        <is>
          <t>เพราะยังไม่มีใบอนุญาตมีจำหน่ายยาควบคุมพิเศษ</t>
        </is>
      </c>
      <c r="H80" s="2" t="inlineStr">
        <is>
          <t>ไม่มีข้อใดถูก</t>
        </is>
      </c>
      <c r="I80" s="2" t="n">
        <v>2</v>
      </c>
      <c r="J80" s="2" t="inlineStr">
        <is>
          <t>✅ คำตอบที่ถูกต้อง: ข้อ ข. เพราะยังไม่มีใบอนุญาตมีจำหน่ายวัตถุออกฤทธิ์ต่อจิตประสาทประเภท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เพราะยังไม่มีใบอนุญาตมีจำหน่ายวัตถุออกฤทธิ์ต่อจิตประสาทประเภท 4 💡 คำอธิบายและข้อกำหนดทางกฎหมาย:
💡 คำอธิบายและข้อกำหนดทางกฎหมาย:
Phenobarbital จัดเป็นวัตถุออกฤทธิ์ต่อจิตประสาทประเภท 2 (Psychotropic Substance Schedule II) ตามพระราชบัญญัติวัตถุออกฤทธิ์ต่อจิตประสาท ซึ่งร้านขายยาแผนปัจจุบัน (ข.ย.๑) ไม่ได้รับอนุญาตให้มีไว้ในครอบครองหรือจำหน่าย เว้นแต่ได้รับใบอนุญาตเฉพาะและเป็นไปตามประเภทที่กฎหมายกำหนด (สำหรับประเภท 2 ร้านขายยาทั่วไปไม่สามารถจำหน่ายได้)
🔍 ข้ออื่นผิดเพราะอะไร:
• ข้อ ก. (เพราะยังไม่มีใบอนุญาตมีจำหน่ายวัตถุออกฤทธิ์ต่อจิตประสาทประเภท 3):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ค. (เพราะยังไม่มีใบอนุญาตมีจำหน่ายยาอันตราย):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(เพราะยังไม่มีใบอนุญาตมีจำหน่ายยาควบคุมพิเศษ):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0" s="2" t="n"/>
      <c r="L80" s="2" t="inlineStr">
        <is>
          <t>พ.ร.บ. ยาเสพติดให้โทษ &amp; วัตถุออกฤทธิ์</t>
        </is>
      </c>
      <c r="M80" s="2" t="inlineStr">
        <is>
          <t>SAP</t>
        </is>
      </c>
      <c r="N80" s="2" t="inlineStr">
        <is>
          <t>ข้อ 111 Pharma Plus เล่มม่วง (เฉลยข้อ ข)</t>
        </is>
      </c>
      <c r="O80" s="2" t="inlineStr">
        <is>
          <t>Mock</t>
        </is>
      </c>
      <c r="P80" s="2" t="inlineStr">
        <is>
          <t>Pharma Plus เล่มม่วง</t>
        </is>
      </c>
    </row>
    <row r="81" ht="13.2" customHeight="1" s="37">
      <c r="A81" s="2" t="n">
        <v>112</v>
      </c>
      <c r="B81" s="2" t="inlineStr">
        <is>
          <t>ข้อใดถูกต้องเกี่ยวกับยา fluoxetine</t>
        </is>
      </c>
      <c r="C81" s="2" t="n"/>
      <c r="D81" s="2" t="inlineStr">
        <is>
          <t>จัดอยู่ในประเภทอันตราย เภสัชกรสามารถจ่ายได้ในร้านยา</t>
        </is>
      </c>
      <c r="E81" s="2" t="inlineStr">
        <is>
          <t>จัดอยู่ในประเภทควบคุมพิเศษ เภสัชกรไม่สามารถจ่ายได้</t>
        </is>
      </c>
      <c r="F81" s="2" t="inlineStr">
        <is>
          <t>จัดอยู่ในประเภทอันตราย จ่ายได้เฉพาะในโรงพยาบาล</t>
        </is>
      </c>
      <c r="G81" s="2" t="inlineStr">
        <is>
          <t>จัดอยู่ในประเภทยาเสพติดให้โทษประเภท 4 ต้องทำบัญชีรายงานคณะกรรมการอาหารและยา</t>
        </is>
      </c>
      <c r="H81" s="2" t="inlineStr">
        <is>
          <t>จัดอยู่ในประเภทวัตถุออกฤทธิ์ต่อจิตประสาท</t>
        </is>
      </c>
      <c r="I81" s="2" t="n">
        <v>1</v>
      </c>
      <c r="J81" s="2" t="inlineStr">
        <is>
          <t>✅ คำตอบที่ถูกต้อง: ข้อ ก. จัดอยู่ในประเภทอันตราย เภสัชกรสามารถจ่ายได้ในร้านยา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จัดอยู่ในประเภทอันตราย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จัดเป็นยาอันตราย (Dangerous drug) ตามประกาศกระทรวงสาธารณสุข เภสัชกรสามารถจ่ายได้ในร้านขายยาแผนปัจจุบันภายใต้การควบคุมของเภสัชกรชั้น 1
🔍 ข้ออื่นผิดเพราะอะไร:
• ข้อ ข. (จัดอยู่ในประเภทควบคุมพิเศษ เภสัชกรไม่สามารถจ่ายได้):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(จัดอยู่ในประเภทอันตราย จ่ายได้เฉพาะในโรงพยาบาล): ข้อนี้ไม่ใช่คำตอบที่ถูกต้องสำหรับภาวะ พ.ร.บ. ยา พ.ศ. 2510 เนื่องจากกลไกการออกฤทธิ์, efficacy หรือข้อบ่งใช้ไม่ตรงกับโจทย์ที่กำหนด
• ข้อ ง. (จัดอยู่ในประเภทยาเสพติดให้โทษประเภท 4 ต้องทำบัญชีรายงานคณะกรรมการอาหารและยา): ข้อนี้ไม่ใช่คำตอบที่ถูกต้องสำหรับภาวะ พ.ร.บ. ยา พ.ศ. 2510 เนื่องจากกลไกการออกฤทธิ์, efficacy หรือข้อบ่งใช้ไม่ตรงกับโจทย์ที่กำหนด
• ข้อ จ. (จัดอยู่ในประเภทวัตถุออกฤทธิ์ต่อจิตประสาท):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1" s="2" t="n"/>
      <c r="L81" s="2" t="inlineStr">
        <is>
          <t>พ.ร.บ. ยา พ.ศ. 2510</t>
        </is>
      </c>
      <c r="M81" s="2" t="inlineStr">
        <is>
          <t>SAP</t>
        </is>
      </c>
      <c r="N81" s="2" t="inlineStr">
        <is>
          <t>ข้อ 112 Pharma Plus เล่มม่วง (เฉลยข้อ ก)</t>
        </is>
      </c>
      <c r="O81" s="2" t="inlineStr">
        <is>
          <t>Mock</t>
        </is>
      </c>
      <c r="P81" s="2" t="inlineStr">
        <is>
          <t>Pharma Plus เล่มม่วง</t>
        </is>
      </c>
    </row>
    <row r="82" ht="13.2" customHeight="1" s="37">
      <c r="A82" s="2" t="n">
        <v>113</v>
      </c>
      <c r="B82" s="2" t="inlineStr">
        <is>
          <t>Clozapine จัดเป็นยาในข้อใด</t>
        </is>
      </c>
      <c r="C82" s="2" t="n"/>
      <c r="D82" s="2" t="inlineStr">
        <is>
          <t>ยาอันตราย</t>
        </is>
      </c>
      <c r="E82" s="2" t="inlineStr">
        <is>
          <t>ยาบรรจุเสร็จ</t>
        </is>
      </c>
      <c r="F82" s="2" t="inlineStr">
        <is>
          <t>วัตถุออกฤทธิ์ต่อจิตประสาท</t>
        </is>
      </c>
      <c r="G82" s="2" t="inlineStr">
        <is>
          <t>ยาเสพติด</t>
        </is>
      </c>
      <c r="H82" s="2" t="inlineStr">
        <is>
          <t>ยาควบคุมพิเศษ</t>
        </is>
      </c>
      <c r="I82" s="2" t="n">
        <v>5</v>
      </c>
      <c r="J82" s="2" t="inlineStr">
        <is>
          <t>✅ คำตอบที่ถูกต้อง: ข้อ จ.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Clozapine จัดเป็นยาควบคุมพิเศษ (Specially controlled drug) ตามกฎหมายยาของประเทศไทย เนื่องจากมีความเสี่ยงสูงเรื่อง Agranulocytosis และต้องมีการติดตามตรวจเม็ดเลือดขาวอย่างเคร่งครัด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(ยาบรรจุเสร็จ): ข้อนี้ไม่ใช่คำตอบที่ถูกต้องสำหรับภาวะ พ.ร.บ. ยา พ.ศ. 2510 เนื่องจากกลไกการออกฤทธิ์, efficacy หรือข้อบ่งใช้ไม่ตรงกับโจทย์ที่กำหนด
• ข้อ ค. (วัตถุออกฤทธิ์ต่อจิตประสาท):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(ยาเสพติด):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2" s="2" t="n"/>
      <c r="L82" s="2" t="inlineStr">
        <is>
          <t>พ.ร.บ. ยา พ.ศ. 2510</t>
        </is>
      </c>
      <c r="M82" s="2" t="inlineStr">
        <is>
          <t>SAP</t>
        </is>
      </c>
      <c r="N82" s="2" t="inlineStr">
        <is>
          <t>ข้อ 113 Pharma Plus เล่มม่วง (เฉลยข้อ จ)</t>
        </is>
      </c>
      <c r="O82" s="2" t="inlineStr">
        <is>
          <t>Mock</t>
        </is>
      </c>
      <c r="P82" s="2" t="inlineStr">
        <is>
          <t>Pharma Plus เล่มม่วง</t>
        </is>
      </c>
    </row>
    <row r="83" ht="13.2" customHeight="1" s="37">
      <c r="A83" s="2" t="n">
        <v>114</v>
      </c>
      <c r="B83" s="2" t="inlineStr">
        <is>
          <t>Flunarizine จัดเป็นยาในข้อใด</t>
        </is>
      </c>
      <c r="C83" s="2" t="n"/>
      <c r="D83" s="2" t="inlineStr">
        <is>
          <t>ยาอันตราย</t>
        </is>
      </c>
      <c r="E83" s="2" t="inlineStr">
        <is>
          <t>ยาบรรจุเสร็จ</t>
        </is>
      </c>
      <c r="F83" s="2" t="inlineStr">
        <is>
          <t>วัตถุออกฤทธิ์ต่อจิตประสาท</t>
        </is>
      </c>
      <c r="G83" s="2" t="inlineStr">
        <is>
          <t>ยาเสพติด</t>
        </is>
      </c>
      <c r="H83" s="2" t="inlineStr">
        <is>
          <t>ยาควบคุมพิเศษ</t>
        </is>
      </c>
      <c r="I83" s="2" t="n">
        <v>1</v>
      </c>
      <c r="J83"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Flunarizine (ยากลุ่ม Calcium channel blocker ที่ใช้ป้องกันไมเกรนและเวียนศีรษะ) จัดเป็นยาอันตรายตามประกาศกระทรวงสาธารณสุข
🔍 ข้ออื่นผิดเพราะอะไร:
• ข้อ ข. (ยาบรรจุเสร็จ): ข้อนี้ไม่ใช่คำตอบที่ถูกต้องสำหรับภาวะ พ.ร.บ. ยา พ.ศ. 2510 เนื่องจากกลไกการออกฤทธิ์, efficacy หรือข้อบ่งใช้ไม่ตรงกับโจทย์ที่กำหนด
• ข้อ ค. (วัตถุออกฤทธิ์ต่อจิตประสาท):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(ยาเสพติด):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3" s="2" t="n"/>
      <c r="L83" s="2" t="inlineStr">
        <is>
          <t>พ.ร.บ. ยา พ.ศ. 2510</t>
        </is>
      </c>
      <c r="M83" s="2" t="inlineStr">
        <is>
          <t>SAP</t>
        </is>
      </c>
      <c r="N83" s="2" t="inlineStr">
        <is>
          <t>ข้อ 114 Pharma Plus เล่มม่วง (เฉลยข้อ ก)</t>
        </is>
      </c>
      <c r="O83" s="2" t="inlineStr">
        <is>
          <t>Mock</t>
        </is>
      </c>
      <c r="P83" s="2" t="inlineStr">
        <is>
          <t>Pharma Plus เล่มม่วง</t>
        </is>
      </c>
    </row>
    <row r="84" ht="13.2" customHeight="1" s="37">
      <c r="A84" s="2" t="n">
        <v>115</v>
      </c>
      <c r="B84" s="2" t="inlineStr">
        <is>
          <t>ข้อใดไม่ใช่บทบาทเภสัชกรในการจ่ายยา clozapine</t>
        </is>
      </c>
      <c r="C84" s="2" t="n"/>
      <c r="D84" s="2" t="inlineStr">
        <is>
          <t>ต้องอยู่ประจำร้านเวลาเปิดการ</t>
        </is>
      </c>
      <c r="E84" s="2" t="inlineStr">
        <is>
          <t>ต้องจ่ายยาตามใบสั่งแพทย์</t>
        </is>
      </c>
      <c r="F84" s="2" t="inlineStr">
        <is>
          <t>ต้องควบคุมการจัดยาให้เป็นสัดส่วน</t>
        </is>
      </c>
      <c r="G84" s="2" t="inlineStr">
        <is>
          <t>ต้องควบคุมบัญชีซื้อ-จ่าย</t>
        </is>
      </c>
      <c r="H84" s="2" t="inlineStr">
        <is>
          <t>ต้องควบคุมการแบ่งบรรจุและฉลาก</t>
        </is>
      </c>
      <c r="I84" s="2" t="n">
        <v>5</v>
      </c>
      <c r="J84" s="2" t="inlineStr">
        <is>
          <t>✅ คำตอบที่ถูกต้อง: ข้อ จ. ต้องควบคุมการแบ่งบรรจุและฉลาก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ต้องควบคุมการแบ่งบรรจุและฉลาก 💡 คำอธิบายและข้อกำหนดทางกฎหมาย:
💡 คำอธิบายและข้อกำหนดทางกฎหมาย:
Clozapine เป็นยาควบคุมพิเศษซึ่งจำหน่ายในรูปแบบยาสำเร็จรูป (ยาบรรจุเสร็จ) ที่มีการขึ้นทะเบียนและควบคุมการจ่ายตามใบสั่งแพทย์ เภสัชกรไม่มีหน้าที่ต้องนำมา 'แบ่งบรรจุและฉลาก' เองในร้านยา เนื่องจากต้องจำหน่ายในภาชนะบรรจุเดิมที่ปิดสนิทจากผู้ผลิตตามมาตรฐาน GMP
🔍 ข้ออื่นผิดเพราะอะไร:
• ข้อ ก. (ต้องอยู่ประจำร้านเวลาเปิดการ): ข้อนี้ไม่ใช่คำตอบที่ถูกต้องสำหรับภาวะ พ.ร.บ. ยา พ.ศ. 2510 เนื่องจากกลไกการออกฤทธิ์, efficacy หรือข้อบ่งใช้ไม่ตรงกับโจทย์ที่กำหนด
• ข้อ ข. (ต้องจ่ายยาตามใบสั่งแพทย์):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ค. (ต้องควบคุมการจัดยาให้เป็นสัดส่วน): ข้อนี้ไม่ใช่คำตอบที่ถูกต้องสำหรับภาวะ พ.ร.บ. ยา พ.ศ. 2510 เนื่องจากกลไกการออกฤทธิ์, efficacy หรือข้อบ่งใช้ไม่ตรงกับโจทย์ที่กำหนด
• ข้อ ง. (ต้องควบคุมบัญชีซื้อ-จ่าย):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 s="2" t="n"/>
      <c r="L84" s="2" t="inlineStr">
        <is>
          <t>พ.ร.บ. ยา พ.ศ. 2510</t>
        </is>
      </c>
      <c r="M84" s="2" t="inlineStr">
        <is>
          <t>SAP</t>
        </is>
      </c>
      <c r="N84" s="2" t="inlineStr">
        <is>
          <t>ข้อ 115 Pharma Plus เล่มม่วง (เฉลยข้อ จ)</t>
        </is>
      </c>
      <c r="O84" s="2" t="inlineStr">
        <is>
          <t>Mock</t>
        </is>
      </c>
      <c r="P84" s="2" t="inlineStr">
        <is>
          <t>Pharma Plus เล่มม่วง</t>
        </is>
      </c>
    </row>
    <row r="85" ht="13.2" customHeight="1" s="37">
      <c r="A85" s="2" t="n">
        <v>116</v>
      </c>
      <c r="B85" s="2" t="inlineStr">
        <is>
          <t>ข้อใดผิด</t>
        </is>
      </c>
      <c r="C85" s="2" t="n"/>
      <c r="D85" s="2" t="inlineStr">
        <is>
          <t>imipramine เป็นยาอันตราย</t>
        </is>
      </c>
      <c r="E85" s="2" t="inlineStr">
        <is>
          <t>วัตถุออกฤทธิ์ต่อจิตประสาท ประเภท 3 ห้ามขายในร้านยา</t>
        </is>
      </c>
      <c r="F85" s="2" t="inlineStr">
        <is>
          <t>ยาจิตเภทเป็นยาควบคุมพิเศษ</t>
        </is>
      </c>
      <c r="G85" s="2" t="inlineStr">
        <is>
          <t>ยาสงบระงับ (tranquilizer) เป็นยาอันตราย ยกเว้นประกาศเป็นยาควบคุมพิเศษ</t>
        </is>
      </c>
      <c r="H85" s="2" t="inlineStr">
        <is>
          <t>ยาสงบระงับ (tranquilizer) เป็นยาอันตราย ยกเว้นประกาศเป็นวัตถุออกฤทธิ์ต่อจิตประสาท</t>
        </is>
      </c>
      <c r="I85" s="2" t="n">
        <v>2</v>
      </c>
      <c r="J85" s="2" t="inlineStr">
        <is>
          <t>✅ คำตอบที่ถูกต้อง: ข้อ ข. วัตถุออกฤทธิ์ต่อจิตประสาท ประเภท 3 ห้ามขายในร้านยา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วัตถุออกฤทธิ์ต่อจิตประสาท ประเภท 3 ห้ามขายในร้านยา 💡 คำอธิบายและข้อกำหนดทางกฎหมาย:
💡 คำอธิบายและข้อกำหนดทางกฎหมาย:
วัตถุออกฤทธิ์ต่อจิตประสาทประเภท 3 และ 4 บางชนิด (เช่น Diazepam ในปริมาณหรือเงื่อนไขที่กำหนด หรือตามประกาศกระทรวงฯ) ร้านขายยาแผนปัจจุบัน ข.ย.๑ สามารถจำหน่ายได้ภายใต้เงื่อนไขการทำบัญชีและการมีใบอนุญาตจำหน่ายวัตถุออกฤทธิ์ฯ ประเภทที่ 3 หรือ 4 ตามกฎหมาย ไม่ได้ห้ามขายเด็ดขาดเหมือนประเภท 1 และ 2
🔍 ข้ออื่นผิดเพราะอะไร:
• ข้อ ก. (imipramine 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(ยาจิตเภทเป็นยาควบคุมพิเศษ):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(ยาสงบระงับ (tranquilizer) เป็นยาอันตราย ยกเว้นประกาศเป็นยาควบคุมพิเศษ):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(ยาสงบระงับ (tranquilizer) เป็นยาอันตราย ยกเว้นประกาศเป็นวัตถุออกฤทธิ์ต่อจิตประสาท):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 s="2" t="n"/>
      <c r="L85" s="2" t="inlineStr">
        <is>
          <t>พ.ร.บ. ยา พ.ศ. 2510</t>
        </is>
      </c>
      <c r="M85" s="2" t="inlineStr">
        <is>
          <t>SAP</t>
        </is>
      </c>
      <c r="N85" s="2" t="inlineStr">
        <is>
          <t>ข้อ 116 Pharma Plus เล่มม่วง (เฉลยข้อ ข)</t>
        </is>
      </c>
      <c r="O85" s="2" t="inlineStr">
        <is>
          <t>Mock</t>
        </is>
      </c>
      <c r="P85" s="2" t="inlineStr">
        <is>
          <t>Pharma Plus เล่มม่วง</t>
        </is>
      </c>
    </row>
    <row r="86" ht="13.2" customHeight="1" s="37">
      <c r="A86" s="2" t="n">
        <v>117</v>
      </c>
      <c r="B86" s="2" t="inlineStr">
        <is>
          <t>ท่านสามารถจ่ายยา diazepam 5 mg tablet ได้หรือไม่</t>
        </is>
      </c>
      <c r="C86" s="2" t="n"/>
      <c r="D86" s="2" t="inlineStr">
        <is>
          <t>ได้ เพราะเป็นการจ่ายยาต่อเนื่องจากแพทย์ (refill medication)</t>
        </is>
      </c>
      <c r="E86" s="2" t="inlineStr">
        <is>
          <t>ได้ เพราะบ้านผู้ป่วยอยู่ห่างจากโรงพยาบาล 10 กิโลเมตร</t>
        </is>
      </c>
      <c r="F86" s="2" t="inlineStr">
        <is>
          <t>ไม่ได้ เพราะไม่อนุญาตให้ขายยานี้ในร้านยา</t>
        </is>
      </c>
      <c r="G86" s="2" t="inlineStr">
        <is>
          <t>ไม่ได้ เพราะยานี้ต้องจ่ายตามใบสั่งยา</t>
        </is>
      </c>
      <c r="H86" s="2" t="inlineStr">
        <is>
          <t>ไม่ได้ เพราะเป็นยาควบคุมพิเศษ</t>
        </is>
      </c>
      <c r="I86" s="2" t="n">
        <v>2</v>
      </c>
      <c r="J86" s="2" t="inlineStr">
        <is>
          <t>✅ คำตอบที่ถูกต้อง: ข้อ ข. ได้ เพราะบ้านผู้ป่วยอยู่ห่างจากโรงพยาบาล 10 กิโลเมตร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เพราะบ้านผู้ป่วยอยู่ห่างจากโรงพยาบาล 10 กิโลเมตร 💡 คำอธิบายและข้อกำหนดทางกฎหมาย:
💡 คำอธิบายและข้อกำหนดทางกฎหมาย:
Diazepam จัดเป็นวัตถุออกฤทธิ์ต่อจิตและประสาทประเภท 4 ตามพระราชบัญญัติวัตถุออกฤทธิ์ต่อจิตและประสาท พ.ศ. 2559 การจ่ายต้องมีใบสั่งยาจากผู้ประกอบวิชาชีพเวชกรรม ทันตกรรม หรือสัตวแพทย์เท่านั้น ร้านขายยาแผนปัจจุบัน (ขย.1) สามารถจ่ายได้ภายใต้เงื่อนไขการจัดทำบัญชีรับ-จ่ายและมีใบสั่งยาถูกต้อง แต่เนื่องจากข้อสอบเน้นข้อจำกัดทางกฎหมายและการจัดประเภทยาควบคุมพิเศษหรือวัตถุออกฤทธิ์ฯ ตามบริบทข้อสอบสภาฯ การจ่ายยานี้ต้องอาศัยใบสั่งยาจากแพทย์เท่านั้น
🔍 ข้ออื่นผิดเพราะอะไร:
• ข้อ ก. (ได้ เพราะเป็นการจ่ายยาต่อเนื่องจากแพทย์ (refill medication)):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(ไม่ได้ เพราะไม่อนุญาตให้ขายยานี้ในร้านยา):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(ไม่ได้ เพราะยานี้ต้องจ่ายตามใบสั่งยา):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(ไม่ได้ เพราะเป็นยาควบคุมพิเศษ):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6" s="2" t="n"/>
      <c r="L86" s="2" t="inlineStr">
        <is>
          <t>พ.ร.บ. ยา พ.ศ. 2510</t>
        </is>
      </c>
      <c r="M86" s="2" t="inlineStr">
        <is>
          <t>SAP</t>
        </is>
      </c>
      <c r="N86" s="2" t="inlineStr">
        <is>
          <t>ข้อ 117 Pharma Plus เล่มม่วง (เฉลยข้อ ข)</t>
        </is>
      </c>
      <c r="O86" s="2" t="inlineStr">
        <is>
          <t>Mock</t>
        </is>
      </c>
      <c r="P86" s="2" t="inlineStr">
        <is>
          <t>Pharma Plus เล่มม่วง</t>
        </is>
      </c>
    </row>
    <row r="87" ht="13.2" customHeight="1" s="37">
      <c r="A87" s="2" t="n">
        <v>118</v>
      </c>
      <c r="B87" s="2" t="inlineStr">
        <is>
          <t>จากข้อกำหนดเกณฑ์ขั้นตอนของร้านยาคุณภาพของสภาเภสัชกรรม ข้อใดไม่อยู่ในเกณฑ์ดังกล่าว</t>
        </is>
      </c>
      <c r="C87" s="2" t="n"/>
      <c r="D87" s="2" t="inlineStr">
        <is>
          <t>มีระบบควบคุมยาเสพติดให้โทษ วัตถุออกฤทธิ์ต่อจิตประสาท และยาควบคุมพิเศษอื่น ๆ ที่รัดกุมและสามารถตรวจสอบได้ตลอดเวลา</t>
        </is>
      </c>
      <c r="E87" s="2" t="inlineStr">
        <is>
          <t>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t>
        </is>
      </c>
      <c r="F87" s="2" t="inlineStr">
        <is>
          <t>มีเภสัชกรเป็นผู้ส่งมอบยาให้แก่ผู้มารับบริการโดยตรง</t>
        </is>
      </c>
      <c r="G87" s="2" t="inlineStr">
        <is>
          <t>ห้ามส่งมอบยาอันตรายให้เด็กอายุต่ำกว่า 12 ปี ในทุกกรณี</t>
        </is>
      </c>
      <c r="H87" s="2" t="inlineStr">
        <is>
          <t>ไม่มีคำตอบที่ต้องการ</t>
        </is>
      </c>
      <c r="I87" s="2" t="n">
        <v>4</v>
      </c>
      <c r="J87" s="2" t="inlineStr">
        <is>
          <t>✅ คำตอบที่ถูกต้อง: ข้อ ง. ห้ามส่งมอบยาอันตรายให้เด็กอายุต่ำกว่า 12 ปี ในทุกกรณี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ห้ามส่งมอบยาอันตรายให้เด็กอายุต่ำกว่า 12 ปี ในทุกกรณี 💡 คำอธิบายและข้อกำหนดทางกฎหมาย:
💡 คำอธิบายและข้อกำหนดทางกฎหมาย:
ตามเกณฑ์ร้านยาคุณภาพ เภสัชกรสามารถจ่ายยาอันตรายให้เด็กอายุต่ำกว่า 12 ปีได้หากมีความจำเป็นและเหมาะสมทางคลินิกภายใต้ดุลยพินิจของเภสัชกร ไม่ได้ห้ามเด็ดขาดในทุกกรณีเหมือนข้อ ง. ส่วนข้อ ก, ข, ค เป็นข้อปฏิบัติและมาตรฐานที่ถูกต้องตามเกณฑ์ร้านยาคุณภาพ
🔍 ข้ออื่นผิดเพราะอะไร:
• ข้อ ก. (มีระบบควบคุมยาเสพติดให้โทษ วัตถุออกฤทธิ์ต่อจิตประสาท และยาควบคุมพิเศษอื่น ๆ ที่รัดกุมและสามารถตรวจสอบได้ตลอดเวลา):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(มีเภสัชกรเป็นผู้ส่งมอบยาให้แก่ผู้มารับบริการโดยตรง):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(ไม่มีคำตอบที่ต้องการ):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7" s="2" t="n"/>
      <c r="L87" s="2" t="inlineStr">
        <is>
          <t>พ.ร.บ. วิชาชีพเภสัชกรรม 2537</t>
        </is>
      </c>
      <c r="M87" s="2" t="inlineStr">
        <is>
          <t>SAP</t>
        </is>
      </c>
      <c r="N87" s="2" t="inlineStr">
        <is>
          <t>ข้อ 118 Pharma Plus เล่มม่วง (เฉลยข้อ ง)</t>
        </is>
      </c>
      <c r="O87" s="2" t="inlineStr">
        <is>
          <t>Mock</t>
        </is>
      </c>
      <c r="P87" s="2" t="inlineStr">
        <is>
          <t>Pharma Plus เล่มม่วง</t>
        </is>
      </c>
    </row>
    <row r="88" ht="13.2" customHeight="1" s="37">
      <c r="A88" s="2" t="n">
        <v>119</v>
      </c>
      <c r="B88" s="2" t="inlineStr">
        <is>
          <t>บริษัทเตรียมสคลิปโฆษณายา norfloxacin เพื่อเตรียมออกอากาศทางทีวี ข้อใดกล่าวถูกต้อง เมื่ออ้างถึงพรบ. ยา 2510</t>
        </is>
      </c>
      <c r="C88" s="2" t="n"/>
      <c r="D88" s="2" t="inlineStr">
        <is>
          <t>สามารถมีการร้องรำทำเพลงประกอบโฆษณา norfloxacin ชนิดเม็ดได้</t>
        </is>
      </c>
      <c r="E88" s="2" t="inlineStr">
        <is>
          <t>สามารถมีเภสัชกรบอกสรรพคุณของยาได้</t>
        </is>
      </c>
      <c r="F88" s="2" t="inlineStr">
        <is>
          <t>การโฆษณานี้ สามารถมีรายการแถม คือซื้อ norfloxacin 100 เม็ด แถมยา paracetamol 1 แผง</t>
        </is>
      </c>
      <c r="G88" s="2" t="inlineStr">
        <is>
          <t>ยานี้จะโฆษณาผ่านทางทีวีเพื่อแสดงสรรพคุณยาไม่ได้เลย</t>
        </is>
      </c>
      <c r="H88" s="2" t="inlineStr">
        <is>
          <t>นายแพทย์สาธารณสุขจังหวัดมีอำนาจสั่งเป็นหนังสือระงับการโฆษณาขายยาที่เห็นว่าเป็นการโฆษณาโดยฝ่าฝืนพระราชบัญญัตินี้ได้</t>
        </is>
      </c>
      <c r="I88" s="2" t="n">
        <v>4</v>
      </c>
      <c r="J88" s="2" t="inlineStr">
        <is>
          <t>✅ คำตอบที่ถูกต้อง: ข้อ ง. ยานี้จะโฆษณาผ่านทางทีวีเพื่อแสดงสรรพคุณยาไม่ได้เลย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ยานี้จะโฆษณาผ่านทางทีวีเพื่อแสดงสรรพคุณยาไม่ได้เลย 💡 คำอธิบายและข้อกำหนดทางกฎหมาย:
💡 คำอธิบายและข้อกำหนดทางกฎหมาย:
ตาม พ.ร.บ. ยา พ.ศ. 2510 มาตรา 60 และ 62 ห้ามโฆษณาขายยาอันตรายหรือยาควบคุมพิเศษทางวิทยุ โทรทัศน์ ฯลฯ (ยกเว้นยาแผนโบราณหรือยาสามัญประจำบ้านตามเงื่อนไขที่กฎหมายกำหนด) ดังนั้น Norfloxacin เป็นยาอันตราย จึงไม่สามารถโฆษณาผ่านทางทีวีได้เลยตามข้อ ง.
🔍 ข้ออื่นผิดเพราะอะไร:
• ข้อ ก. (สามารถมีการร้องรำทำเพลงประกอบโฆษณา norfloxacin ชนิดเม็ดได้): ข้อนี้ไม่ใช่คำตอบที่ถูกต้องสำหรับภาวะ พ.ร.บ. ยา พ.ศ. 2510 เนื่องจากกลไกการออกฤทธิ์, efficacy หรือข้อบ่งใช้ไม่ตรงกับโจทย์ที่กำหนด
• ข้อ ข. (สามารถมีเภสัชกรบอกสรรพคุณของยาได้):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(การโฆษณานี้ สามารถมีรายการแถม คือซื้อ norfloxacin 100 เม็ด แถมยา paracetamol 1 แผง):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นายแพทย์สาธารณสุขจังหวัดมีอำนาจสั่งเป็นหนังสือระงับการโฆษณาขายยาที่เห็นว่าเป็นการโฆษณาโดยฝ่าฝืนพระราชบัญญัตินี้ไ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 s="2" t="n"/>
      <c r="L88" s="2" t="inlineStr">
        <is>
          <t>พ.ร.บ. ยา พ.ศ. 2510</t>
        </is>
      </c>
      <c r="M88" s="2" t="inlineStr">
        <is>
          <t>SAP</t>
        </is>
      </c>
      <c r="N88" s="2" t="inlineStr">
        <is>
          <t>ข้อ 119 Pharma Plus เล่มม่วง (เฉลยข้อ ง)</t>
        </is>
      </c>
      <c r="O88" s="2" t="inlineStr">
        <is>
          <t>Mock</t>
        </is>
      </c>
      <c r="P88" s="2" t="inlineStr">
        <is>
          <t>Pharma Plus เล่มม่วง</t>
        </is>
      </c>
    </row>
    <row r="89" ht="13.2" customHeight="1" s="37">
      <c r="A89" s="2" t="n">
        <v>120</v>
      </c>
      <c r="B89" s="2" t="inlineStr">
        <is>
          <t>ผู้ป่วยมาปรึกษาท่านว่ามีญาติแนะนำให้ใช้สมุนไพรขับปัสสาวะ ยาดังกล่าวทำจากสมุนไพร 5 ชนิด นำมาบดผสมกินเช้า-เย็น ตามพรบ.ยา พ.ศ. 2510</t>
        </is>
      </c>
      <c r="C89" s="2" t="n"/>
      <c r="D89" s="2" t="inlineStr">
        <is>
          <t>ยาสมุนไพร</t>
        </is>
      </c>
      <c r="E89" s="2" t="inlineStr">
        <is>
          <t>ยาสามัญประจำบ้าน</t>
        </is>
      </c>
      <c r="F89" s="2" t="inlineStr">
        <is>
          <t>ยาแผนโบราณ</t>
        </is>
      </c>
      <c r="G89" s="2" t="inlineStr">
        <is>
          <t>ยาปลอม</t>
        </is>
      </c>
      <c r="H89" s="2" t="inlineStr">
        <is>
          <t>ยาแผนไทย</t>
        </is>
      </c>
      <c r="I89" s="2" t="n">
        <v>1</v>
      </c>
      <c r="J89" s="2" t="inlineStr">
        <is>
          <t>✅ คำตอบที่ถูกต้อง: ข้อ ก. 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ยาสมุนไพร 💡 คำอธิบายและข้อกำหนดทางกฎหมาย:
💡 คำอธิบายและข้อกำหนดทางกฎหมาย:
ตาม พ.ร.บ.ยา พ.ศ. 2510 ยาแผนโบราณ หมายถึง ยาที่มุ่งหมายสำหรับใช้ในการวินิจฉัย บำบัด บรรเทา รักษา หรือป้องกันโรค ซึ่งมีความปรากฏอยู่ในตำรายาแผนโบราณที่รัฐมนตรีประกาศ หรือยาที่ได้รับอนุญาตให้เป็นยาแผนโบราณ ซึ่งประกอบด้วยวัตถุดิบจากพืช สัตว์ หรือแร่ธาตุ หลายชนิดผสมกัน ส่วนการนำสมุนไพรหลายชนิดมาบดรวมกันเพื่อใช้รักษาโรคโดยไม่มีทะเบียนตำรับยาถือเป็นยาที่ไม่ได้รับอนุญาต หรือพิจารณาตามนิยาม พ.ร.บ.ยา เข้าข่ายยาแผนโบราณที่ต้องขึ้นทะเบียนตำรับยา (หรือตามบริบทข้อสอบข้อนี้ตอบยาแผนโบราณตามนิยามตำรับยาผสมหลายชนิด)
🔍 ข้ออื่นผิดเพราะอะไร:
• ข้อ ข. (ยาสามัญประจำบ้าน):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(ยาแผนโบราณ):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(ยาปลอม):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(ยาแผนไทย):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9" s="2" t="n"/>
      <c r="L89" s="2" t="inlineStr">
        <is>
          <t>พ.ร.บ. ผลิตภัณฑ์สมุนไพร &amp; เครื่องสำอาง</t>
        </is>
      </c>
      <c r="M89" s="2" t="inlineStr">
        <is>
          <t>SAP</t>
        </is>
      </c>
      <c r="N89" s="2" t="inlineStr">
        <is>
          <t>ข้อ 120 Pharma Plus เล่มม่วง (เฉลยข้อ ก)</t>
        </is>
      </c>
      <c r="O89" s="2" t="inlineStr">
        <is>
          <t>Mock</t>
        </is>
      </c>
      <c r="P89" s="2" t="inlineStr">
        <is>
          <t>Pharma Plus เล่มม่วง</t>
        </is>
      </c>
    </row>
    <row r="90" ht="13.2" customHeight="1" s="37">
      <c r="A90" s="2" t="n">
        <v>121</v>
      </c>
      <c r="B90" s="2" t="inlineStr">
        <is>
          <t>จากการศึกษาผลการการรักษาโรคติดเชื้อทางเดินปัสสาวะ โดยศึกษายาแก้อักเสบ 2 ชนิด ที่แตกต่างกัน คือยา A และยา B โดยเปรียบเทียบค่าใช้จ่ายในการรักษา อาการข้างเคียง คุณภาพชีวิต การให้ความร่วมมือในการใช้ยา จากการศึกษาเป็นการวิเคราะห์แบบใด</t>
        </is>
      </c>
      <c r="C90" s="2" t="n"/>
      <c r="D90" s="2" t="inlineStr">
        <is>
          <t>Unit cost analysis</t>
        </is>
      </c>
      <c r="E90" s="2" t="inlineStr">
        <is>
          <t>Cost effectiveness analysis</t>
        </is>
      </c>
      <c r="F90" s="2" t="inlineStr">
        <is>
          <t>Cost minimization analysis</t>
        </is>
      </c>
      <c r="G90" s="2" t="inlineStr">
        <is>
          <t>Cost benefit analysis</t>
        </is>
      </c>
      <c r="H90" s="2" t="inlineStr">
        <is>
          <t>Cost utility analysis</t>
        </is>
      </c>
      <c r="I90" s="2" t="n">
        <v>2</v>
      </c>
      <c r="J90" s="2" t="inlineStr">
        <is>
          <t>✅ คำตอบที่ถูกต้อง: ข้อ ข. Cost effectiveness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 คำอธิบายและข้อกำหนดทางกฎหมาย:
💡 คำอธิบายและข้อกำหนดทางกฎหมาย:
การวิเคราะห์ที่เปรียบเทียบทั้งต้นทุน (ค่าใช้จ่าย) และผลลัพธ์ทางสุขภาพหลายมิติ เช่น อาการข้างเคียง คุณภาพชีวิต หรือหน่วยวัดผลลัพธ์ทางคลินิกที่เทียบเท่ากัน (เช่น ศึกษายาคนละชนิดที่มีผลลัพธ์ต่างกันในแง่คุณภาพชีวิตและความสำเร็จในการรักษา) โดย Cost-Utility Analysis (CUA) จะเน้นวัดผลลัพธ์เป็น QALYs ส่วน Cost-Effectiveness Analysis (CEA) จะวัดเป็นผลลัพธ์ทางคลินิกทั่วไป แต่หากโจทย์ระบุว่ามีการวัด 'คุณภาพชีวิต' (Quality of life) ร่วมด้วย มักจะสอดคล้องกับการวิเคราะห์แบบ Cost utility analysis (CUA) หรือ Cost-effectiveness analysis ขึ้นกับเครื่องมือวัด แต่ตามมาตรฐานข้อสอบ สภาฯ การวัดคุณภาพชีวิต (Utility) จัดอยู่ใน Cost utility analysis
🔍 ข้ออื่นผิดเพราะอะไร:
• ข้อ ก. (Unit cost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ค. (Cost minimization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ง. (Cost benefit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จ. (Cost utility analysis):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0" s="2" t="n"/>
      <c r="L90" s="2" t="inlineStr">
        <is>
          <t>พ.ร.บ. ยา พ.ศ. 2510</t>
        </is>
      </c>
      <c r="M90" s="2" t="inlineStr">
        <is>
          <t>SAP</t>
        </is>
      </c>
      <c r="N90" s="2" t="inlineStr">
        <is>
          <t>ข้อ 121 Pharma Plus เล่มม่วง (เฉลยข้อ ข)</t>
        </is>
      </c>
      <c r="O90" s="2" t="inlineStr">
        <is>
          <t>Mock</t>
        </is>
      </c>
      <c r="P90" s="2" t="inlineStr">
        <is>
          <t>Pharma Plus เล่มม่วง</t>
        </is>
      </c>
    </row>
    <row r="91" ht="13.2" customHeight="1" s="37">
      <c r="A91" s="2" t="n">
        <v>122</v>
      </c>
      <c r="B91" s="2" t="inlineStr">
        <is>
          <t>การพิจารณายาในโรงพยาบาล ยาใดจะไม่ถูกพิจารณาเข้าโรงพยาบาล เมื่อเปรียบเทียบกับ Utility</t>
        </is>
      </c>
      <c r="C91" s="2" t="n"/>
      <c r="D91" s="2" t="inlineStr">
        <is>
          <t>ยา A เป็นเงิน 25,000 บาท Utility เท่ากับ 0.5</t>
        </is>
      </c>
      <c r="E91" s="2" t="inlineStr">
        <is>
          <t>ยา B เป็นเงิน 50,000 บาท Utility เท่ากับ 0.5</t>
        </is>
      </c>
      <c r="F91" s="2" t="inlineStr">
        <is>
          <t>ยา C เป็นเงิน 55,000 บาท Utility เท่ากับ 0.6</t>
        </is>
      </c>
      <c r="G91" s="2" t="inlineStr">
        <is>
          <t>ยา D เป็นเงิน 70,000 บาท Utility เท่ากับ 0.7</t>
        </is>
      </c>
      <c r="H91" s="2" t="inlineStr">
        <is>
          <t>ยา E เป็นเงิน 80,000 บาท Utility เท่ากับ 0.8</t>
        </is>
      </c>
      <c r="I91" s="2" t="n">
        <v>5</v>
      </c>
      <c r="J91" s="2" t="inlineStr">
        <is>
          <t>✅ คำตอบที่ถูกต้อง: ข้อ จ. ยา E เป็นเงิน 80,000 บาท Utility เท่ากับ 0.8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E เป็นเงิน 80,000 บาท Utility เท่ากับ 0.8 💡 คำอธิบายและข้อกำหนดทางกฎหมาย:
💡 คำอธิบายและข้อกำหนดทางกฎหมาย:
หลักการ Dominance ในเศรษฐศาสตร์สาธารณสุข ยาตัวใดที่มีต้นทุนสูงกว่า (Cost แพงกว่า) แต่ให้ผลลัพธ์ทางอรรถประโยชน์ (Utility) เท่ากันหรือน้อยกว่า จะถือว่าเป็นยาที่ถูกครอบงำ (dominated) และไม่ควรนำเข้าโรงพยาบาล เมื่อเปรียบเทียบระหว่าง ยา A (25,000 บาท, Utility 0.5) กับ ยา B (50,000 บาท, Utility 0.5) จะพบว่า ยา B มีราคาแพงกว่าถึงเท่าตัว แต่ให้ Utility เท่ากันกับยา A (0.5 เท่ากัน) ยา B จึงถูก Dominated โดยยา A และจะไม่ถูกพิจารณาเข้าโรงพยาบาล
🔍 ข้ออื่นผิดเพราะอะไร:
• ข้อ ก. (ยา A เป็นเงิน 25,000 บาท Utility เท่ากับ 0.5): ข้อนี้ไม่ใช่คำตอบที่ถูกต้องสำหรับภาวะ พ.ร.บ. ยา พ.ศ. 2510 เนื่องจากกลไกการออกฤทธิ์, efficacy หรือข้อบ่งใช้ไม่ตรงกับโจทย์ที่กำหนด
• ข้อ ข. (ยา B เป็นเงิน 50,000 บาท Utility เท่ากับ 0.5): ข้อนี้ไม่ใช่คำตอบที่ถูกต้องสำหรับภาวะ พ.ร.บ. ยา พ.ศ. 2510 เนื่องจากกลไกการออกฤทธิ์, efficacy หรือข้อบ่งใช้ไม่ตรงกับโจทย์ที่กำหนด
• ข้อ ค. (ยา C เป็นเงิน 55,000 บาท Utility เท่ากับ 0.6): ข้อนี้ไม่ใช่คำตอบที่ถูกต้องสำหรับภาวะ พ.ร.บ. ยา พ.ศ. 2510 เนื่องจากกลไกการออกฤทธิ์, efficacy หรือข้อบ่งใช้ไม่ตรงกับโจทย์ที่กำหนด
• ข้อ ง. (ยา D เป็นเงิน 70,000 บาท Utility เท่ากับ 0.7):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1" s="2" t="n"/>
      <c r="L91" s="2" t="inlineStr">
        <is>
          <t>พ.ร.บ. ยา พ.ศ. 2510</t>
        </is>
      </c>
      <c r="M91" s="2" t="inlineStr">
        <is>
          <t>SAP</t>
        </is>
      </c>
      <c r="N91" s="2" t="inlineStr">
        <is>
          <t>ข้อ 122 Pharma Plus เล่มม่วง (เฉลยข้อ จ)</t>
        </is>
      </c>
      <c r="O91" s="2" t="inlineStr">
        <is>
          <t>Mock</t>
        </is>
      </c>
      <c r="P91" s="2" t="inlineStr">
        <is>
          <t>Pharma Plus เล่มม่วง</t>
        </is>
      </c>
    </row>
    <row r="92" ht="13.2" customHeight="1" s="37">
      <c r="A92" s="2" t="n">
        <v>123</v>
      </c>
      <c r="B92" s="2" t="inlineStr">
        <is>
          <t>ข้อใดไม่ผิดหลักจรรยาบรรณวิชาชีพเภสัชกรรม</t>
        </is>
      </c>
      <c r="C92" s="2" t="n"/>
      <c r="D92" s="2" t="inlineStr">
        <is>
          <t>ใช้มอเตอร์ไซค์รับจ้างไปส่งยาและรับเงินมา</t>
        </is>
      </c>
      <c r="E92" s="2" t="inlineStr">
        <is>
          <t>แนะนำให้ภรรยามาตรวจเพราะเป็นโรคติดต่อทางเพศสัมพันธ์</t>
        </is>
      </c>
      <c r="F92" s="2" t="inlineStr">
        <is>
          <t>เภสัชกรจ่ายยาสุนไพร ล้างลำไส้ผู้ป่วย เพราะเชื่อว่าไม่เป็นอันตราย</t>
        </is>
      </c>
      <c r="G92" s="2" t="inlineStr">
        <is>
          <t>เภสัชกรโทรไปบอกภรรยาผู้ป่วยโดยเภสัชกรค้นเบอร์จากที่ผู้ป่วยให้ไว้เอง เพื่อตามภรรยาผู้ป่วยมารับการรักษา</t>
        </is>
      </c>
      <c r="H92" s="2" t="inlineStr">
        <is>
          <t>เภสัชกรแนะนำไม่ให้ผู้ป่วยไปคลินิกอีก เพราะหมอจ่ายยาแล้วทำให้ผู้ป่วยแพ้ยา</t>
        </is>
      </c>
      <c r="I92" s="2" t="n">
        <v>2</v>
      </c>
      <c r="J92" s="2" t="inlineStr">
        <is>
          <t>✅ คำตอบที่ถูกต้อง: ข้อ ข. แนะนำให้ภรรยามาตรวจเพราะเป็นโรคติดต่อทางเพศสัมพันธ์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แนะนำให้ภรรยามาตรวจเพราะเป็นโรคติดต่อทางเพศสัมพันธ์ 💡 คำอธิบายและข้อกำหนดทางกฎหมาย:
💡 คำอธิบายและข้อกำหนดทางกฎหมาย:
การโทรตามผู้ป่วยหรือญาติ (ภรรยา) มารับการรักษาตามข้อมูลที่ผู้ป่วยให้ไว้ถือเป็นการดูแลต่อเนื่องและคุ้มครองสุขภาพผู้ป่วยโดยไม่ผิดจรรยาบรรณ ในขณะที่ข้ออื่นมีความผิด เช่น การส่งยาโดยมอเตอร์ไซค์รับจ้าง, การเปิดเผยความลับผู้ป่วย, การจ่ายยาไม่มีหลักฐานรับรอง และการกล่าวร้ายผู้ประกอบวิชาชีพอื่น
🔍 ข้ออื่นผิดเพราะอะไร:
• ข้อ ก. (ใช้มอเตอร์ไซค์รับจ้างไปส่งยาและรับเงินมา):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(เภสัชกรจ่ายยาสุนไพร ล้างลำไส้ผู้ป่วย เพราะเชื่อว่าไม่เป็นอันตราย):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(เภสัชกรโทรไปบอกภรรยาผู้ป่วยโดยเภสัชกรค้นเบอร์จากที่ผู้ป่วยให้ไว้เอง เพื่อตามภรรยาผู้ป่วยมารับการรักษา):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(เภสัชกรแนะนำไม่ให้ผู้ป่วยไปคลินิกอีก เพราะหมอจ่ายยาแล้วทำให้ผู้ป่วยแพ้ยา):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2" s="2" t="n"/>
      <c r="L92" s="2" t="inlineStr">
        <is>
          <t>พ.ร.บ. วิชาชีพเภสัชกรรม 2537</t>
        </is>
      </c>
      <c r="M92" s="2" t="inlineStr">
        <is>
          <t>SAP</t>
        </is>
      </c>
      <c r="N92" s="2" t="inlineStr">
        <is>
          <t>ข้อ 123 Pharma Plus เล่มม่วง (เฉลยข้อ ข)</t>
        </is>
      </c>
      <c r="O92" s="2" t="inlineStr">
        <is>
          <t>Mock</t>
        </is>
      </c>
      <c r="P92" s="2" t="inlineStr">
        <is>
          <t>Pharma Plus เล่มม่วง</t>
        </is>
      </c>
    </row>
    <row r="93" ht="13.2" customHeight="1" s="37">
      <c r="A93" s="2" t="n">
        <v>124</v>
      </c>
      <c r="B93" s="2" t="inlineStr">
        <is>
          <t>ข้อใดถูกต้องตามหลักบัญชียาหลัก</t>
        </is>
      </c>
      <c r="C93" s="2" t="n"/>
      <c r="D93" s="2" t="inlineStr">
        <is>
          <t>Azithromycin เป็นยาบัญชี ง. ที่มีหลาย indication แต่ที่มีเหมาะสมเพียงไม่กี่ indication</t>
        </is>
      </c>
      <c r="E93" s="2" t="inlineStr">
        <is>
          <t>Doxycycline เป็นยาบัญชี ข. ใช้แทน tetracycline ในกรณีโรคติดเชื้อ</t>
        </is>
      </c>
      <c r="F93" s="2" t="inlineStr">
        <is>
          <t>Flavoxxate เป็นยาบัญชี ค. สามสามารถใช้ได้โดยผู้เชี่ยวชาญเท่านั้น</t>
        </is>
      </c>
      <c r="G93" s="2" t="inlineStr">
        <is>
          <t>Norfloxacin เป็นยาบัญชี ข. ใช้แทน ofloxacin ในกรณีโรคติดเชื้อ</t>
        </is>
      </c>
      <c r="H93" s="2" t="inlineStr">
        <is>
          <t>Phenazopyridine เป็นยาบัญชี ก. โดยสถานบริการทุกระดับสามารถเข้าถึงได้</t>
        </is>
      </c>
      <c r="I93" s="2" t="n">
        <v>2</v>
      </c>
      <c r="J93" s="2" t="inlineStr">
        <is>
          <t>✅ คำตอบที่ถูกต้อง: ข้อ ข. Doxycycline เป็นยาบัญชี ข. ใช้แทน tetracycline ในกรณีโรคติดเชื้อ
💡 Background:
กฎหมายยาและจรรยาบรรณวิชาชีพมีขึ้นเพื่อคุ้มครองความปลอดภัยของผู้บริโภคตามมาตรฐาน Good Pharmacy Practice (GPP)
🎯 ทำไมข้อนี้ถึงถูก:
Doxycycline เป็นยาบัญชี ข. ใช้แทน tetracycline ในกรณีโรคติดเชื้อ 💡 คำอธิบายและข้อกำหนดทางกฎหมาย:
💡 คำอธิบายและข้อกำหนดทางกฎหมาย:
ตามบัญชียาหลักแห่งชาติ Doxycycline จัดอยู่ในบัญชี ข. ใช้เป็นทางเลือกแทน Tetracycline ในกรณีโรคติดเชื้อต่างๆ ตามข้อบ่งใช้
🔍 ข้ออื่นผิดเพราะอะไร:
• ข้อ ก. (Azithromycin เป็นยาบัญชี ง. ที่มีหลาย indication แต่ที่มีเหมาะสมเพียงไม่กี่ indication): เป็น Macrolide ครอบคลุม atypical pathogens (Mycoplasma, Chlamydia, Legionella) ขจัดออกทางตับเป็นหลัก และมี half-life ยาวนาน (~68 ชม.)
• ข้อ ค. (Flavoxxate เป็นยาบัญชี ค. สามสามารถใช้ได้โดยผู้เชี่ยวชาญเท่านั้น):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ง. (Norfloxacin เป็นยาบัญชี ข. ใช้แทน ofloxacin ในกรณีโรคติดเชื้อ): ข้อนี้ไม่ใช่คำตอบที่ถูกต้องสำหรับภาวะ พ.ร.บ. ยา พ.ศ. 2510 เนื่องจากกลไกการออกฤทธิ์, efficacy หรือข้อบ่งใช้ไม่ตรงกับโจทย์ที่กำหนด
• ข้อ จ. (Phenazopyridine เป็นยาบัญชี ก. โดยสถานบริการทุกระดับสามารถเข้าถึงได้):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3" s="2" t="n"/>
      <c r="L93" s="2" t="inlineStr">
        <is>
          <t>พ.ร.บ. ยา พ.ศ. 2510</t>
        </is>
      </c>
      <c r="M93" s="2" t="inlineStr">
        <is>
          <t>SAP</t>
        </is>
      </c>
      <c r="N93" s="2" t="inlineStr">
        <is>
          <t>ข้อ 124 Pharma Plus เล่มม่วง (เฉลยข้อ ข)</t>
        </is>
      </c>
      <c r="O93" s="2" t="inlineStr">
        <is>
          <t>Mock</t>
        </is>
      </c>
      <c r="P93" s="2" t="inlineStr">
        <is>
          <t>Pharma Plus เล่มม่วง</t>
        </is>
      </c>
    </row>
    <row r="94" ht="13.2" customHeight="1" s="37">
      <c r="A94" s="2" t="n">
        <v>125</v>
      </c>
      <c r="B94" s="2" t="inlineStr">
        <is>
          <t>ข้อใดถูกต้องเกี่ยวกับยา benzoyl peroxide</t>
        </is>
      </c>
      <c r="C94" s="2" t="n"/>
      <c r="D94" s="2" t="inlineStr">
        <is>
          <t>เป็นยาควบคุมพิเศษ</t>
        </is>
      </c>
      <c r="E94" s="2" t="inlineStr">
        <is>
          <t>เป็นยาแผนปัจจุบัน</t>
        </is>
      </c>
      <c r="F94" s="2" t="inlineStr">
        <is>
          <t>เป็นวัตถุออกฤทธิ์ต่อจิตประสาท</t>
        </is>
      </c>
      <c r="G94" s="2" t="inlineStr">
        <is>
          <t>เป็นวัตถุเสพติดให้โทษประเภท 3</t>
        </is>
      </c>
      <c r="H94" s="2" t="inlineStr">
        <is>
          <t>เป็นยาสามัญประจำบ้าน</t>
        </is>
      </c>
      <c r="I94" s="2" t="n">
        <v>1</v>
      </c>
      <c r="J94" s="2" t="inlineStr">
        <is>
          <t>✅ คำตอบที่ถูกต้อง: ข้อ ก. 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 คำอธิบายและข้อกำหนดทางกฎหมาย:
💡 คำอธิบายและข้อกำหนดทางกฎหมาย:
Benzoyl peroxide จัดเป็นยาแผนปัจจุบันสำหรับใช้ภายนอกเพื่อรักษาโรคสิว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ข. (เป็นยาแผนปัจจุบัน): ข้อนี้ไม่ใช่คำตอบที่ถูกต้องสำหรับภาวะ พ.ร.บ. ยา พ.ศ. 2510 เนื่องจากกลไกการออกฤทธิ์, efficacy หรือข้อบ่งใช้ไม่ตรงกับโจทย์ที่กำหนด
• ข้อ ค. (เป็นวัตถุออกฤทธิ์ต่อจิตประสาท):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ง. (เป็นวัตถุเสพติดให้โทษประเภท 3): ข้อนี้ไม่ใช่คำตอบที่ถูกต้องสำหรับภาวะ พ.ร.บ. ยา พ.ศ. 2510 เนื่องจากกลไกการออกฤทธิ์, efficacy หรือข้อบ่งใช้ไม่ตรงกับโจทย์ที่กำหนด
• ข้อ จ. (เป็นยาสามัญประจำบ้าน):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 s="2" t="n"/>
      <c r="L94" s="2" t="inlineStr">
        <is>
          <t>พ.ร.บ. ยา พ.ศ. 2510</t>
        </is>
      </c>
      <c r="M94" s="2" t="inlineStr">
        <is>
          <t>SAP</t>
        </is>
      </c>
      <c r="N94" s="2" t="inlineStr">
        <is>
          <t>ข้อ 125 Pharma Plus เล่มม่วง (เฉลยข้อ ไมมีคำตอบ)</t>
        </is>
      </c>
      <c r="O94" s="2" t="inlineStr">
        <is>
          <t>Mock</t>
        </is>
      </c>
      <c r="P94" s="2" t="inlineStr">
        <is>
          <t>Pharma Plus เล่มม่วง</t>
        </is>
      </c>
    </row>
    <row r="95" ht="13.2" customHeight="1" s="37">
      <c r="A95" s="2" t="n">
        <v>126</v>
      </c>
      <c r="B95" s="2" t="inlineStr">
        <is>
          <t>ข้อใดคۆیาผิดมาตรฐานฐาน</t>
        </is>
      </c>
      <c r="C95" s="2" t="n"/>
      <c r="D95" s="2" t="inlineStr">
        <is>
          <t>ผสม cotrimazole ร่วมกับ terbenafine เพื่อลดต้นทุน</t>
        </is>
      </c>
      <c r="E95" s="2" t="inlineStr">
        <is>
          <t>ในฉลากระบุวันหมดอายุ คือ มกราคม 2009 แต่ความจริงหมดอายุเมื่อ มกราคม 2019</t>
        </is>
      </c>
      <c r="F95" s="2" t="inlineStr">
        <is>
          <t>ยามี %LA = 87%</t>
        </is>
      </c>
      <c r="G95" s="2" t="inlineStr">
        <is>
          <t>ยาหมดอายุตามที่ระบุไว้ในฉลาก</t>
        </is>
      </c>
      <c r="H95" s="2" t="inlineStr">
        <is>
          <t>แจ้งที่อยู่ในการผลิต ไม่ตรงกับที่ขึ้นทะเบียนยา</t>
        </is>
      </c>
      <c r="I95" s="2" t="n">
        <v>3</v>
      </c>
      <c r="J95"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ยาที่มีปริมาณสารสำคัญน้อยกว่าหรือมากกว่าเกณฑ์มาตรฐานที่กำหนด (เช่น % ตัวยาสำคัญ หรือ %LA ไม่เป็นไปตามตำรับหรือประกาศกำหนด) จะถือเป็นยาผิดมาตรฐาน
🔍 ข้ออื่นผิดเพราะอะไร:
• ข้อ ก. (ผสม cotrimazole ร่วมกับ terbenafine เพื่อลดต้นทุน): ข้อนี้ไม่ใช่คำตอบที่ถูกต้องสำหรับภาวะ พ.ร.บ. ยา พ.ศ. 2510 เนื่องจากกลไกการออกฤทธิ์, efficacy หรือข้อบ่งใช้ไม่ตรงกับโจทย์ที่กำหนด
• ข้อ ข. (ในฉลากระบุวันหมดอายุ คือ มกราคม 2009 แต่ความจริงหมดอายุเมื่อ มกราคม 2019):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(ยาหมดอายุตามที่ระบุไว้ในฉลาก): ข้อนี้ไม่ใช่คำตอบที่ถูกต้องสำหรับภาวะ พ.ร.บ. ยา พ.ศ. 2510 เนื่องจากกลไกการออกฤทธิ์, efficacy หรือข้อบ่งใช้ไม่ตรงกับโจทย์ที่กำหนด
• ข้อ จ. (แจ้งที่อยู่ในการผลิต ไม่ตรงกับที่ขึ้นทะเบียนยา):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5" s="2" t="n"/>
      <c r="L95" s="2" t="inlineStr">
        <is>
          <t>พ.ร.บ. ยา พ.ศ. 2510</t>
        </is>
      </c>
      <c r="M95" s="2" t="inlineStr">
        <is>
          <t>SAP</t>
        </is>
      </c>
      <c r="N95" s="2" t="inlineStr">
        <is>
          <t>ข้อ 126 Pharma Plus เล่มม่วง (เฉลยข้อ ค)</t>
        </is>
      </c>
      <c r="O95" s="2" t="inlineStr">
        <is>
          <t>Mock</t>
        </is>
      </c>
      <c r="P95" s="2" t="inlineStr">
        <is>
          <t>Pharma Plus เล่มม่วง</t>
        </is>
      </c>
    </row>
    <row r="96" ht="13.2" customHeight="1" s="37">
      <c r="A96" s="2" t="n">
        <v>127</v>
      </c>
      <c r="B96" s="2" t="inlineStr">
        <is>
          <t>ยาที่ใช้ในโรคผิวหนังของชายผู้นี้ รายการใดที่ผู้ป่วยไม่สามารถเรียกซื้อได้จากเภสัชกรหากไม่มีใบสั่งยาจากแพทย์</t>
        </is>
      </c>
      <c r="C96" s="2" t="n"/>
      <c r="D96" s="2" t="inlineStr">
        <is>
          <t>Coal tar shampoo</t>
        </is>
      </c>
      <c r="E96" s="2" t="inlineStr">
        <is>
          <t>Dexamethasone cream</t>
        </is>
      </c>
      <c r="F96" s="2" t="inlineStr">
        <is>
          <t>Betamethasone + salicylic ointment</t>
        </is>
      </c>
      <c r="G96" s="2" t="inlineStr">
        <is>
          <t>Hydroxyzine tablet 25 mg</t>
        </is>
      </c>
      <c r="H96" s="2" t="inlineStr">
        <is>
          <t>Methotrexate tab 2.5 mg</t>
        </is>
      </c>
      <c r="I96" s="2" t="n">
        <v>5</v>
      </c>
      <c r="J96" s="2" t="inlineStr">
        <is>
          <t>✅ คำตอบที่ถูกต้อง: ข้อ จ. Methotrexate tab 2.5 mg
💡 Background:
กฎหมายยาและจรรยาบรรณวิชาชีพมีขึ้นเพื่อคุ้มครองความปลอดภัยของผู้บริโภคตามมาตรฐาน Good Pharmacy Practice (GPP)
🎯 ทำไมข้อนี้ถึงถูก:
Methotrexate tab 2.5 mg 💡 คำอธิบายและข้อกำหนดทางกฎหมาย:
💡 คำอธิบายและข้อกำหนดทางกฎหมาย:
Methotrexate เป็นยาควบคุมพิเศษ (Dangerous drug / Controlled drug) หรือยาอันตรายที่มีความเป็นพิษสูงและต้องใช้ภายใต้การดูแลของแพทย์เฉพาะทางเท่านั้น ไม่สามารถจ่ายโดยเภสัชกรได้โดยไม่มีใบสั่งแพทย์
🔍 ข้ออื่นผิดเพราะอะไร:
• ข้อ ก. (Coal tar shampoo): ข้อนี้ไม่ใช่คำตอบที่ถูกต้องสำหรับภาวะ พ.ร.บ. ยา พ.ศ. 2510 เนื่องจากกลไกการออกฤทธิ์, efficacy หรือข้อบ่งใช้ไม่ตรงกับโจทย์ที่กำหนด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ข้อนี้ไม่ใช่คำตอบที่ถูกต้องสำหรับภาวะ พ.ร.บ. ยา พ.ศ. 2510 เนื่องจากกลไกการออกฤทธิ์, efficacy หรือข้อบ่งใช้ไม่ตรงกับโจทย์ที่กำหนด
• ข้อ ง. (Hydroxyzine tablet 25 mg):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6" s="2" t="n"/>
      <c r="L96" s="2" t="inlineStr">
        <is>
          <t>พ.ร.บ. ยา พ.ศ. 2510</t>
        </is>
      </c>
      <c r="M96" s="2" t="inlineStr">
        <is>
          <t>SAP</t>
        </is>
      </c>
      <c r="N96" s="2" t="inlineStr">
        <is>
          <t>ข้อ 127 Pharma Plus เล่มม่วง (เฉลยข้อ จ)</t>
        </is>
      </c>
      <c r="O96" s="2" t="inlineStr">
        <is>
          <t>Mock</t>
        </is>
      </c>
      <c r="P96" s="2" t="inlineStr">
        <is>
          <t>Pharma Plus เล่มม่วง</t>
        </is>
      </c>
    </row>
    <row r="97" ht="13.2" customHeight="1" s="37">
      <c r="A97" s="2" t="n">
        <v>130</v>
      </c>
      <c r="B97" s="2" t="inlineStr">
        <is>
          <t>จากบัญชียาหลักแห่งชาติ ยา cisplatin จัดอยู่ในบัญชี ค. มีความหมายว่าอย่างไร</t>
        </is>
      </c>
      <c r="C97" s="2" t="n"/>
      <c r="D97" s="2" t="inlineStr">
        <is>
          <t>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t>
        </is>
      </c>
      <c r="E97" s="2" t="inlineStr">
        <is>
          <t>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t>
        </is>
      </c>
      <c r="F97" s="2" t="inlineStr">
        <is>
          <t>รายการยาที่ต้องใช้ในโรคเฉพาะทาง โดยผู้ชำนาญ หรือผู้ที่ได้รับมอบหมายจากผู้อำนวยการของสถานพยาบาล</t>
        </is>
      </c>
      <c r="G97" s="2" t="inlineStr">
        <is>
          <t>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t>
        </is>
      </c>
      <c r="H97" s="2" t="inlineStr">
        <is>
          <t>รายการยาสำหรับโครงการพิเศษของรัฐ เพื่อใช้ในยามฉุกเฉิน</t>
        </is>
      </c>
      <c r="I97" s="2" t="n">
        <v>3</v>
      </c>
      <c r="J97"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 💡 คำอธิบายและข้อกำหนดทางกฎหมาย:
💡 คำอธิบายและข้อกำหนดทางกฎหมาย:
บัญชียาหลักแห่งชาติ (NLEM) แบ่งบัญชียาโรงพยาบาล/ผู้ป่วยนอกออกเป็น บัญชี ก (ยาพื้นฐานที่พบบ่อย), บัญชี ข (ยาสำหรับโรคที่ใช้ยาบัญชี ก ไม่ได้/ไม่ได้ผล), และบัญชี ค (รายการยาที่ต้องใช้ในโรคเฉพาะทาง โดยแพทย์ผู้ชำนาญการหรือผู้ที่ได้รับมอบหมาย เนื่องจากเป็นยาที่มีราคาแพง หรือมีความเสี่ยงสูง)
🔍 ข้ออื่นผิดเพราะอะไร:
• ข้อ ก.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ข้อนี้ไม่ใช่คำตอบที่ถูกต้องสำหรับภาวะ พ.ร.บ. ยา พ.ศ. 2510 เนื่องจากกลไกการออกฤทธิ์, efficacy หรือข้อบ่งใช้ไม่ตรงกับโจทย์ที่กำหนด
• ข้อ ข.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ข้อนี้ไม่ใช่คำตอบที่ถูกต้องสำหรับภาวะ พ.ร.บ. ยา พ.ศ. 2510 เนื่องจากกลไกการออกฤทธิ์, efficacy หรือข้อบ่งใช้ไม่ตรงกับโจทย์ที่กำหนด
• ข้อ 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ข้อนี้ไม่ใช่คำตอบที่ถูกต้องสำหรับภาวะ พ.ร.บ. ยา พ.ศ. 2510 เนื่องจากกลไกการออกฤทธิ์, efficacy หรือข้อบ่งใช้ไม่ตรงกับโจทย์ที่กำหนด
• ข้อ จ. (รายการยาสำหรับโครงการพิเศษของรัฐ เพื่อใช้ในยามฉุกเฉิน):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7" s="2" t="n"/>
      <c r="L97" s="2" t="inlineStr">
        <is>
          <t>พ.ร.บ. ยา พ.ศ. 2510</t>
        </is>
      </c>
      <c r="M97" s="2" t="inlineStr">
        <is>
          <t>SAP</t>
        </is>
      </c>
      <c r="N97" s="2" t="inlineStr">
        <is>
          <t>ข้อ 130 Pharma Plus เล่มม่วง (เฉลยข้อ ค)</t>
        </is>
      </c>
      <c r="O97" s="2" t="inlineStr">
        <is>
          <t>Mock</t>
        </is>
      </c>
      <c r="P97" s="2" t="inlineStr">
        <is>
          <t>Pharma Plus เล่มม่วง</t>
        </is>
      </c>
    </row>
    <row r="98" ht="13.2" customHeight="1" s="37">
      <c r="A98" s="2" t="n">
        <v>131</v>
      </c>
      <c r="B98" s="2" t="inlineStr">
        <is>
          <t>ในการศึกษาประสิทธิผลของ enalapril เทียบกับ captopril พบว่ายาทั้งสองมีต้นทุนในการรักษาที่เท่ากันแต่มีประสิทธิผลทางคลินิก คือ สามารถลด systolic blood pressure ได้แตกต่างกัน การศึกษาดังกล่าวเป็นการศึกษาแบบใด</t>
        </is>
      </c>
      <c r="C98" s="2" t="n"/>
      <c r="D98" s="2" t="inlineStr">
        <is>
          <t>Cost effectiveness analysis (CEA)</t>
        </is>
      </c>
      <c r="E98" s="2" t="inlineStr">
        <is>
          <t>Cost minimization analysis (CMA)</t>
        </is>
      </c>
      <c r="F98" s="2" t="inlineStr">
        <is>
          <t>Cost benefit analysis</t>
        </is>
      </c>
      <c r="G98" s="2" t="inlineStr">
        <is>
          <t>Cost utility analysis</t>
        </is>
      </c>
      <c r="H98" s="2" t="inlineStr">
        <is>
          <t>ถูกทุกข้อ</t>
        </is>
      </c>
      <c r="I98" s="2" t="n">
        <v>1</v>
      </c>
      <c r="J98" s="2" t="inlineStr">
        <is>
          <t>✅ คำตอบที่ถูกต้อง: ข้อ ก.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คือการศึกษาความคุ้มค่าทางเศรษฐศาสตร์สาธารณสุขในกรณีที่ต้นทุน (Cost) ของการรักษาไม่เท่ากัน หรือต้นทุนเท่ากันแต่ผลลัพธ์ทางคลินิก (Outcomes เช่น การลดความดันโลหิตเป็น mmHg) แตกต่างกัน โดยวัดผลลัพธ์ในหน่วยธรรมชาติ (Natural units)
🔍 ข้ออื่นผิดเพราะอะไร:
• ข้อ ข. (Cost minimization analysis (CMA)): ข้อนี้ไม่ใช่คำตอบที่ถูกต้องสำหรับภาวะ พ.ร.บ. ยา พ.ศ. 2510 เนื่องจากกลไกการออกฤทธิ์, efficacy หรือข้อบ่งใช้ไม่ตรงกับโจทย์ที่กำหนด
• ข้อ ค. (Cost benefit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ง. (Cost utility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8" s="2" t="n"/>
      <c r="L98" s="2" t="inlineStr">
        <is>
          <t>พ.ร.บ. ยา พ.ศ. 2510</t>
        </is>
      </c>
      <c r="M98" s="2" t="inlineStr">
        <is>
          <t>SAP</t>
        </is>
      </c>
      <c r="N98" s="2" t="inlineStr">
        <is>
          <t>ข้อ 131 Pharma Plus เล่มม่วง (เฉลยข้อ ก)</t>
        </is>
      </c>
      <c r="O98" s="2" t="inlineStr">
        <is>
          <t>Mock</t>
        </is>
      </c>
      <c r="P98" s="2" t="inlineStr">
        <is>
          <t>Pharma Plus เล่มม่วง</t>
        </is>
      </c>
    </row>
    <row r="99" ht="13.2" customHeight="1" s="37">
      <c r="A99" s="2" t="n">
        <v>132</v>
      </c>
      <c r="B99" s="2" t="inlineStr">
        <is>
          <t>ข้อความต่อไปนี้ 2A 33/28 น่าจะปรากฏอยู่บนฉลากของยาใด</t>
        </is>
      </c>
      <c r="C99" s="2" t="n"/>
      <c r="D99" s="2" t="inlineStr">
        <is>
          <t>Prednisolone</t>
        </is>
      </c>
      <c r="E99" s="2" t="inlineStr">
        <is>
          <t>Cyclophosphamide</t>
        </is>
      </c>
      <c r="F99" s="2" t="inlineStr">
        <is>
          <t>Enalapril</t>
        </is>
      </c>
      <c r="G99" s="2" t="inlineStr">
        <is>
          <t>Calcium carbonate</t>
        </is>
      </c>
      <c r="H99" s="2" t="inlineStr">
        <is>
          <t>Obimin AF</t>
        </is>
      </c>
      <c r="I99" s="2" t="n">
        <v>5</v>
      </c>
      <c r="J99" s="2" t="inlineStr">
        <is>
          <t>✅ คำตอบที่ถูกต้อง: ข้อ จ. Obimin AF
💡 Background:
กฎหมายยาและจรรยาบรรณวิชาชีพมีขึ้นเพื่อคุ้มครองความปลอดภัยของผู้บริโภคตามมาตรฐาน Good Pharmacy Practice (GPP)
🎯 ทำไมข้อนี้ถึงถูก:
Obimin AF 💡 คำอธิบายและข้อกำหนดทางกฎหมาย:
💡 คำอธิบายและข้อกำหนดทางกฎหมาย:
รูปแบบเลขทะเบียนตำรับยาในประเทศไทย เช่น 2A 33/28 ตัวอักษรตัวแรกระบุประเภท (1=ยาแผนโบราณ, 2=ยาแผนปัจจุบัน), ตัวอักษรตัวที่สองระบุลักษณะการผลิต (A=ผลิตในประเทศ, B=นำเข้า), ตามด้วยเลขลำดับตำรับและปีที่ขึ้นทะเบียน ดังนั้นยารูปแบบ 2A จึงเป็นยาแผนปัจจุบันที่ผลิตในประเทศ ซึ่ง Prednisolone เป็นยาแผนปัจจุบันที่ผลิตในประเทศได้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(Cyclophosphamide): ข้อนี้ไม่ใช่คำตอบที่ถูกต้องสำหรับภาวะ พ.ร.บ. ยา พ.ศ. 2510 เนื่องจากกลไกการออกฤทธิ์, efficacy หรือข้อบ่งใช้ไม่ตรงกับโจทย์ที่กำหนด
• ข้อ ค. (Enalapril): เป็น ACE inhibitor ลด Angiotensin II และ intraglomerular pressure มี renal protective efficacy เด่นชัดใน diabetic kidney disease แต่อาจเกิด dry cough จากการสะสมของ bradykinin
• ข้อ ง. (Calcium carbonate):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9" s="2" t="n"/>
      <c r="L99" s="2" t="inlineStr">
        <is>
          <t>พ.ร.บ. ยา พ.ศ. 2510</t>
        </is>
      </c>
      <c r="M99" s="2" t="inlineStr">
        <is>
          <t>SAP</t>
        </is>
      </c>
      <c r="N99" s="2" t="inlineStr">
        <is>
          <t>ข้อ 132 Pharma Plus เล่มม่วง (เฉลยข้อ จ)</t>
        </is>
      </c>
      <c r="O99" s="2" t="inlineStr">
        <is>
          <t>Mock</t>
        </is>
      </c>
      <c r="P99" s="2" t="inlineStr">
        <is>
          <t>Pharma Plus เล่มม่วง</t>
        </is>
      </c>
    </row>
    <row r="100" ht="13.2" customHeight="1" s="37">
      <c r="A100" s="2" t="n">
        <v>133</v>
      </c>
      <c r="B100" s="2" t="inlineStr">
        <is>
          <t>Augmentin เป็นยาประเภทใดตามกฎหมาย</t>
        </is>
      </c>
      <c r="C100" s="2" t="n"/>
      <c r="D100" s="2" t="inlineStr">
        <is>
          <t>ยาอันตราย</t>
        </is>
      </c>
      <c r="E100" s="2" t="inlineStr">
        <is>
          <t>ยาควบคุมพิเศษ</t>
        </is>
      </c>
      <c r="F100" s="2" t="inlineStr">
        <is>
          <t>ยาสามัญประจำบ้าน</t>
        </is>
      </c>
      <c r="G100" s="2" t="inlineStr">
        <is>
          <t>วัตถุออกฤทธิ์ต่อจิตและประสาท</t>
        </is>
      </c>
      <c r="H100" s="2" t="inlineStr">
        <is>
          <t>ยาเสพติดให้โทษ</t>
        </is>
      </c>
      <c r="I100" s="2" t="n">
        <v>1</v>
      </c>
      <c r="J1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Augmentin (Amoxicillin/Clavulanate potassium) เป็นยาปฏิชีวนะ (Antibiotic) ซึ่งจัดเป็น 'ยาอันตราย' ตามพระราชบัญญัติยา พ.ศ. 2510 ซึ่งต้องจ่ายโดยผู้ประกอบวิชาชีพเภสัชกรรมในร้านยาหรือสั่งโดยแพทย์เท่านั้น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(วัตถุออกฤทธิ์ต่อจิตและประสาท):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(ยาเสพติดให้โทษ):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0" s="2" t="n"/>
      <c r="L100" s="2" t="inlineStr">
        <is>
          <t>พ.ร.บ. ยา พ.ศ. 2510</t>
        </is>
      </c>
      <c r="M100" s="2" t="inlineStr">
        <is>
          <t>SAP</t>
        </is>
      </c>
      <c r="N100" s="2" t="inlineStr">
        <is>
          <t>ข้อ 133 Pharma Plus เล่มม่วง (เฉลยข้อ ก)</t>
        </is>
      </c>
      <c r="O100" s="2" t="inlineStr">
        <is>
          <t>Mock</t>
        </is>
      </c>
      <c r="P100" s="2" t="inlineStr">
        <is>
          <t>Pharma Plus เล่มม่วง</t>
        </is>
      </c>
    </row>
    <row r="101" ht="13.2" customHeight="1" s="37">
      <c r="A101" s="8" t="inlineStr">
        <is>
          <t>100</t>
        </is>
      </c>
      <c r="B101"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การผลิตยาเคลือบฟิลม์ allopurinol มีการบันทึกลง BMR
แต่ผู้ปฏิบัติงานลืมบันทึกแล้วมาบันทึกหลังจากกระบวนการเสร็จแล้ว เป็นการปฏิบัติผิด drug integrity ใด</t>
        </is>
      </c>
      <c r="C101" s="2" t="n"/>
      <c r="D101" s="2" t="inlineStr">
        <is>
          <t>Accurate</t>
        </is>
      </c>
      <c r="E101" s="2" t="inlineStr">
        <is>
          <t>Contemporary</t>
        </is>
      </c>
      <c r="F101" s="2" t="inlineStr">
        <is>
          <t>Enduring</t>
        </is>
      </c>
      <c r="G101" s="2" t="inlineStr">
        <is>
          <t>Legible</t>
        </is>
      </c>
      <c r="H101" s="2" t="inlineStr">
        <is>
          <t>Original</t>
        </is>
      </c>
      <c r="I101" s="8" t="inlineStr">
        <is>
          <t>1</t>
        </is>
      </c>
      <c r="J101" s="2" t="inlineStr">
        <is>
          <t>✅ คำตอบที่ถูกต้อง: ข้อ ก. Accurate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(Accurate): ข้อนี้ไม่ใช่คำตอบที่ถูกต้องสำหรับภาวะ พ.ร.บ. ยา พ.ศ. 2510 เนื่องจากกลไกการออกฤทธิ์, efficacy หรือข้อบ่งใช้ไม่ตรงกับโจทย์ที่กำหนด
• ข้อ ค. (Contemporary): ข้อนี้ไม่ใช่คำตอบที่ถูกต้องสำหรับภาวะ พ.ร.บ. ยา พ.ศ. 2510 เนื่องจากกลไกการออกฤทธิ์, efficacy หรือข้อบ่งใช้ไม่ตรงกับโจทย์ที่กำหนด
• ข้อ ง. (Enduring): ข้อนี้ไม่ใช่คำตอบที่ถูกต้องสำหรับภาวะ พ.ร.บ. ยา พ.ศ. 2510 เนื่องจากกลไกการออกฤทธิ์, efficacy หรือข้อบ่งใช้ไม่ตรงกับโจทย์ที่กำหนด
• ข้อ จ. (Legible):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2" t="n"/>
      <c r="L101" s="2" t="inlineStr">
        <is>
          <t>พ.ร.บ. ยา พ.ศ. 2510</t>
        </is>
      </c>
      <c r="M101" s="2" t="inlineStr">
        <is>
          <t>Law &amp; Regulations &amp; Ethics</t>
        </is>
      </c>
      <c r="N101" s="2" t="inlineStr">
        <is>
          <t>Mock PLE-CC 1 ข้อ 8</t>
        </is>
      </c>
      <c r="O101" s="2" t="inlineStr">
        <is>
          <t>Mock</t>
        </is>
      </c>
      <c r="P101" s="2" t="inlineStr">
        <is>
          <t>Mock RxCU83</t>
        </is>
      </c>
      <c r="Q101" s="2" t="n"/>
    </row>
    <row r="102" ht="13.2" customHeight="1" s="37">
      <c r="A102" s="8" t="inlineStr">
        <is>
          <t>101</t>
        </is>
      </c>
      <c r="B102"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C102" s="2" t="n"/>
      <c r="D102" s="2" t="inlineStr">
        <is>
          <t>สิทธิประกันสุขภาพแห่งชาติ</t>
        </is>
      </c>
      <c r="E102" s="2" t="inlineStr">
        <is>
          <t>สิทธิประกันสังคม</t>
        </is>
      </c>
      <c r="F102" s="2" t="inlineStr">
        <is>
          <t>สิทธิข้าราชการ</t>
        </is>
      </c>
      <c r="G102" s="2" t="inlineStr">
        <is>
          <t>สิทธิ 30 บาท</t>
        </is>
      </c>
      <c r="H102" s="2" t="inlineStr">
        <is>
          <t>สิทธิบัตรทอง</t>
        </is>
      </c>
      <c r="I102" s="8" t="inlineStr">
        <is>
          <t>1</t>
        </is>
      </c>
      <c r="J102" s="2" t="inlineStr">
        <is>
          <t>✅ คำตอบที่ถูกต้อง: ข้อ ก. สิทธิประกันสุขภาพแห่งชาติ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สิทธิประกันสุขภาพแห่งชาติ การเลือก สิทธิประกันสุขภาพแห่งชาติ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ข้อนี้ไม่ใช่คำตอบที่ถูกต้องสำหรับภาวะ พ.ร.บ. ยา พ.ศ. 2510 เนื่องจากกลไกการออกฤทธิ์, efficacy หรือข้อบ่งใช้ไม่ตรงกับโจทย์ที่กำหนด
• ข้อ ค. (สิทธิประกันสังคม): ข้อนี้ไม่ใช่คำตอบที่ถูกต้องสำหรับภาวะ พ.ร.บ. ยา พ.ศ. 2510 เนื่องจากกลไกการออกฤทธิ์, efficacy หรือข้อบ่งใช้ไม่ตรงกับโจทย์ที่กำหนด
• ข้อ ง. (สิทธิข้าราชการ): ข้อนี้ไม่ใช่คำตอบที่ถูกต้องสำหรับภาวะ พ.ร.บ. ยา พ.ศ. 2510 เนื่องจากกลไกการออกฤทธิ์, efficacy หรือข้อบ่งใช้ไม่ตรงกับโจทย์ที่กำหนด
• ข้อ จ. (สิทธิ 30 บาท):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2" s="2" t="n"/>
      <c r="L102" s="2" t="inlineStr">
        <is>
          <t>พ.ร.บ. ยา พ.ศ. 2510</t>
        </is>
      </c>
      <c r="M102" s="2" t="inlineStr">
        <is>
          <t>Law &amp; Regulations &amp; Ethics</t>
        </is>
      </c>
      <c r="N102" s="2" t="inlineStr">
        <is>
          <t>Mock PLE-CC 1 ข้อ 11</t>
        </is>
      </c>
      <c r="O102" s="2" t="inlineStr">
        <is>
          <t>Mock</t>
        </is>
      </c>
      <c r="P102" s="2" t="inlineStr">
        <is>
          <t>Mock RxCU83</t>
        </is>
      </c>
      <c r="Q102" s="2" t="n"/>
    </row>
    <row r="103" ht="13.2" customHeight="1" s="37">
      <c r="A103" s="8" t="inlineStr">
        <is>
          <t>102</t>
        </is>
      </c>
      <c r="B103" s="2" t="inlineStr">
        <is>
          <t>ต้องแจ้งให้คำแนะนำให้แพทย์ให้ยาได้ครั้งละประมาณเท่าไหร่จึงจะได้ประสิทธิภาพใกล้เคียงเดิม</t>
        </is>
      </c>
      <c r="C103" s="2" t="n"/>
      <c r="D103" s="2" t="inlineStr">
        <is>
          <t>3 ml</t>
        </is>
      </c>
      <c r="E103" s="2" t="inlineStr">
        <is>
          <t>6 ml</t>
        </is>
      </c>
      <c r="F103" s="2" t="inlineStr">
        <is>
          <t>9 ml</t>
        </is>
      </c>
      <c r="G103" s="2" t="inlineStr">
        <is>
          <t>12 ml</t>
        </is>
      </c>
      <c r="H103" s="2" t="inlineStr">
        <is>
          <t>18 ml อตราการดดซมของ morphine เปน 1 : 3 (IV : PO) ซง Dose IV ทแพทยสงตอครง = 2 mg IV เมอแปลงเปน PO = 2 mg x 3 = 6 mg PO แพทยตองการใหเปน Oral suspension: 2 mg/ml ซงตองการ 6 mg ดงนนปรมาตรทใช = 6mg / (2 mg/ml) = 3 ml PLE-PC1 Preparation 2567 = Opioid overdose</t>
        </is>
      </c>
      <c r="I103" s="8" t="inlineStr">
        <is>
          <t>1</t>
        </is>
      </c>
      <c r="J103" s="2" t="inlineStr">
        <is>
          <t>✅ คำตอบที่ถูกต้อง: ข้อ ก. 3 ml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(3 ml): ข้อนี้ไม่ใช่คำตอบที่ถูกต้องสำหรับภาวะ พ.ร.บ. ยา พ.ศ. 2510 เนื่องจากกลไกการออกฤทธิ์, efficacy หรือข้อบ่งใช้ไม่ตรงกับโจทย์ที่กำหนด
• ข้อ ค. (6 ml): ข้อนี้ไม่ใช่คำตอบที่ถูกต้องสำหรับภาวะ พ.ร.บ. ยา พ.ศ. 2510 เนื่องจากกลไกการออกฤทธิ์, efficacy หรือข้อบ่งใช้ไม่ตรงกับโจทย์ที่กำหนด
• ข้อ ง. (9 ml): ข้อนี้ไม่ใช่คำตอบที่ถูกต้องสำหรับภาวะ พ.ร.บ. ยา พ.ศ. 2510 เนื่องจากกลไกการออกฤทธิ์, efficacy หรือข้อบ่งใช้ไม่ตรงกับโจทย์ที่กำหนด
• ข้อ จ. (12 ml):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3" s="2" t="n"/>
      <c r="L103" s="2" t="inlineStr">
        <is>
          <t>พ.ร.บ. ยา พ.ศ. 2510</t>
        </is>
      </c>
      <c r="M103" s="2" t="inlineStr">
        <is>
          <t>Law &amp; Regulations &amp; Ethics</t>
        </is>
      </c>
      <c r="N103" s="2" t="inlineStr">
        <is>
          <t>PLE_CC1_2567_Key ข้อ 13</t>
        </is>
      </c>
      <c r="O103" s="2" t="inlineStr">
        <is>
          <t>ข้อสอบจริง</t>
        </is>
      </c>
      <c r="P103" s="2" t="inlineStr">
        <is>
          <t>ปี 2567</t>
        </is>
      </c>
      <c r="Q103" s="2" t="n"/>
    </row>
    <row r="104" ht="13.2" customHeight="1" s="37">
      <c r="A104" s="8" t="inlineStr">
        <is>
          <t>103</t>
        </is>
      </c>
      <c r="B104" s="2" t="inlineStr">
        <is>
          <t>เคสนี้หลังจากผ่าตัดได้ 1 วัน pain score ได้ 8/10 ไม่ควรใช้ยาแก้ปวดตัวใด Opioid เ"นJตาKน B1 'ใILองMน Wernicke’s encephalopathy Antidote ของ Opioid Antidote ของ Benzodiazepine &gt; คoมาpอ CPM 100 เjด 5 กระiก ไปใ;เqก เrอ&gt;น sอเ"นการใ'ยาแบบtอง0น โดยไFc-อuงใ'ทางการแพทH และเ"นการ(ายยาvนวนมากwดปกx &gt; เภyชvเ"น{องประเ|นความเหมาะสม}อน(ายยา ~นงhงความปลอดeยของ&lt;ใ' หากขายโดยไFประเ|นจะcความwดตาม พ.ร.บ.WชาVพ / จรรยาบรรณ ใINกษาอาการของ Neuroleptic Malignant Syndrome (NMS) = acute post-operative pain</t>
        </is>
      </c>
      <c r="C104" s="2" t="n"/>
      <c r="D104" s="2" t="inlineStr">
        <is>
          <t>amitriptyline</t>
        </is>
      </c>
      <c r="E104" s="2" t="inlineStr">
        <is>
          <t>paracetamol</t>
        </is>
      </c>
      <c r="F104" s="2" t="inlineStr">
        <is>
          <t>ketorolac</t>
        </is>
      </c>
      <c r="G104" s="2" t="inlineStr">
        <is>
          <t>pethidine</t>
        </is>
      </c>
      <c r="H104" s="2" t="inlineStr">
        <is>
          <t>fentanyl</t>
        </is>
      </c>
      <c r="I104" s="8" t="inlineStr">
        <is>
          <t>1</t>
        </is>
      </c>
      <c r="J104" s="2" t="inlineStr">
        <is>
          <t>✅ คำตอบที่ถูกต้อง: ข้อ ก. amitriptyline
💡 Background:
ภาวะ acute poisoning ต้องได้รับการประเมิน supportive care ควบคู่กับการให้ specific antidote อย่างทันท่วงที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(ketorolac):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4" s="2" t="n"/>
      <c r="L104" s="2" t="inlineStr">
        <is>
          <t>พ.ร.บ. วิชาชีพเภสัชกรรม 2537</t>
        </is>
      </c>
      <c r="M104" s="2" t="inlineStr">
        <is>
          <t>Law &amp; Regulations &amp; Ethics</t>
        </is>
      </c>
      <c r="N104" s="2" t="inlineStr">
        <is>
          <t>PLE_CC1_2567_Set1_Key ข้อ 15</t>
        </is>
      </c>
      <c r="O104" s="2" t="inlineStr">
        <is>
          <t>ข้อสอบจริง</t>
        </is>
      </c>
      <c r="P104" s="2" t="inlineStr">
        <is>
          <t>ปี 2567</t>
        </is>
      </c>
      <c r="Q104" s="2" t="n"/>
    </row>
    <row r="105" ht="13.2" customHeight="1" s="37">
      <c r="A105" s="8" t="inlineStr">
        <is>
          <t>104</t>
        </is>
      </c>
      <c r="B105" s="2" t="inlineStr">
        <is>
          <t>หากไม่สามารถฉีดได้ภายในวันเดียวกับที่ฉีดวัคซีนไม่ควรฉีดให้ ห่างจากวันที่ฉีดวัคซีนไป7 วัน (จริงๆแต่ละช้อยมันยาวกว่านี้) ??? กฎหมายเภสัชกรลาชั่วคราวอยากได้เภสัชกรที่อื่นมาประจำร้าน แทนต้องทำยังไงถามข้อใดไม่ถูกตามที่กฎหมายกำหนด ??? เภสัชไม่สวมเสื้อกาวน์ขณะปฏิบัติวิชาชีพผิดข้อบังคับจรรณยาบร รณข้อไหน</t>
        </is>
      </c>
      <c r="C105" s="2" t="n"/>
      <c r="D105" s="2" t="inlineStr">
        <is>
          <t>Law &amp; Regulations &amp; Ethics</t>
        </is>
      </c>
      <c r="E105" s="2" t="inlineStr">
        <is>
          <t>พ.ร.บ. ยา พ.ศ. 2510 (การจำหน่ายยาอันตรายและยาควบคุมพิเศษ)</t>
        </is>
      </c>
      <c r="F105" s="2" t="inlineStr">
        <is>
          <t>พ.ร.บ. ยาเสพติดให้โทษ พ.ศ. 2522 (ยาเสพติดให้โทษประเภท 2 และ 3)</t>
        </is>
      </c>
      <c r="G105" s="2" t="inlineStr">
        <is>
          <t>พ.ร.บ. วัตถุที่ออกฤทธิ์ต่อจิตและประสาท พ.ศ. 2559 (ประเภท 2 และ 4)</t>
        </is>
      </c>
      <c r="H105" s="2" t="inlineStr">
        <is>
          <t>พ.ร.บ. วิชาชีพเภสัชกรรม พ.ศ. 2537 และข้อบังคับจรรยาบรรณวิชาชีพ</t>
        </is>
      </c>
      <c r="I105" s="8" t="inlineStr">
        <is>
          <t>1</t>
        </is>
      </c>
      <c r="J105" s="2" t="inlineStr">
        <is>
          <t>✅ คำตอบที่ถูกต้อง: ข้อ ก. Law &amp; Regulations &amp; Ethics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5" s="2" t="n"/>
      <c r="L105" s="2" t="inlineStr">
        <is>
          <t>พ.ร.บ. ยา พ.ศ. 2510</t>
        </is>
      </c>
      <c r="M105" s="2" t="inlineStr">
        <is>
          <t>Law &amp; Regulations &amp; Ethics</t>
        </is>
      </c>
      <c r="N105" s="2" t="inlineStr">
        <is>
          <t>PLE-CC1 ปี 2566 Day 1 ข้อ 5</t>
        </is>
      </c>
      <c r="O105" s="2" t="inlineStr">
        <is>
          <t>ข้อสอบจริง</t>
        </is>
      </c>
      <c r="P105" s="2" t="inlineStr">
        <is>
          <t>ปี 2566</t>
        </is>
      </c>
    </row>
    <row r="106" ht="13.2" customHeight="1" s="37">
      <c r="A106" s="8" t="inlineStr">
        <is>
          <t>105</t>
        </is>
      </c>
      <c r="B106" s="2" t="inlineStr">
        <is>
          <t>กฎหมายออกยาที่ไม่ต้องทำบัญชีขย11. ตัวเลือก</t>
        </is>
      </c>
      <c r="C106" s="2" t="n"/>
      <c r="D106" s="2" t="inlineStr">
        <is>
          <t>Law &amp; Regulations &amp; Ethics</t>
        </is>
      </c>
      <c r="E106" s="2" t="inlineStr">
        <is>
          <t>พ.ร.บ. วิชาชีพเภสัชกรรม พ.ศ. 2537 และข้อบังคับจรรยาบรรณวิชาชีพ</t>
        </is>
      </c>
      <c r="F106" s="2" t="inlineStr">
        <is>
          <t>พ.ร.บ. ผลิตภัณฑ์สมุนไพร พ.ศ. 2562</t>
        </is>
      </c>
      <c r="G106" s="2" t="inlineStr">
        <is>
          <t>พ.ร.บ. เครื่องสำอาง พ.ศ. 2558</t>
        </is>
      </c>
      <c r="H106" s="2" t="inlineStr">
        <is>
          <t>พ.ร.บ. หลักประกันสุขภาพแห่งชาติ พ.ศ. 2545</t>
        </is>
      </c>
      <c r="I106" s="8" t="inlineStr">
        <is>
          <t>1</t>
        </is>
      </c>
      <c r="J10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6" s="2" t="n"/>
      <c r="L106" s="2" t="inlineStr">
        <is>
          <t>พ.ร.บ. ยา พ.ศ. 2510</t>
        </is>
      </c>
      <c r="M106" s="2" t="inlineStr">
        <is>
          <t>Law &amp; Regulations &amp; Ethics</t>
        </is>
      </c>
      <c r="N106" s="2" t="inlineStr">
        <is>
          <t>PLE-CC1 ปี 2566 Day 2 ข้อ 24</t>
        </is>
      </c>
      <c r="O106" s="2" t="inlineStr">
        <is>
          <t>ข้อสอบจริง</t>
        </is>
      </c>
      <c r="P106" s="2" t="inlineStr">
        <is>
          <t>ปี 2566</t>
        </is>
      </c>
    </row>
    <row r="107" ht="13.2" customHeight="1" s="37">
      <c r="A107" s="8" t="inlineStr">
        <is>
          <t>106</t>
        </is>
      </c>
      <c r="B107" s="2" t="inlineStr">
        <is>
          <t>ขายได้เพราะร้านขายยาแผนปัจจุบันตามกฎหมายยาได้รับการยกเว้นไม่ต้องขออนุญาต</t>
        </is>
      </c>
      <c r="C107" s="2" t="n"/>
      <c r="D107" s="2" t="inlineStr">
        <is>
          <t>Law &amp; Regulations &amp; Ethics</t>
        </is>
      </c>
      <c r="E107" s="2" t="inlineStr">
        <is>
          <t>พ.ร.บ. หลักประกันสุขภาพแห่งชาติ พ.ศ. 2545</t>
        </is>
      </c>
      <c r="F107" s="2" t="inlineStr">
        <is>
          <t>การปฏิบัติทางเภสัชกรรมชุมชน (Good Pharmacy Practice: GPP)</t>
        </is>
      </c>
      <c r="G107" s="2" t="inlineStr">
        <is>
          <t>บัญชียาหลักแห่งชาติ (National List of Essential Medicines: NLEM)</t>
        </is>
      </c>
      <c r="H107" s="2" t="inlineStr">
        <is>
          <t>เกณฑ์จริยธรรมว่าด้วยการส่งเสริมการขายยาของกระทรวงสาธารณสุข</t>
        </is>
      </c>
      <c r="I107" s="8" t="inlineStr">
        <is>
          <t>5</t>
        </is>
      </c>
      <c r="J107" s="2" t="inlineStr">
        <is>
          <t>✅ คำตอบที่ถูกต้อง: ข้อ จ. เกณฑ์จริยธรรมว่าด้วยการส่งเสริมการขายยาของกระทรวงสาธารณสุข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เกณฑ์จริยธรรมว่าด้วยการส่งเสริมการขายยาของกระทรวงสาธารณสุข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ข้อนี้ไม่ใช่คำตอบที่ถูกต้องสำหรับภาวะ พ.ร.บ. ยา พ.ศ. 2510 เนื่องจากกลไกการออกฤทธิ์, efficacy หรือข้อบ่งใช้ไม่ตรงกับโจทย์ที่กำหนด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7" s="2" t="n"/>
      <c r="L107" s="2" t="inlineStr">
        <is>
          <t>พ.ร.บ. ยา พ.ศ. 2510</t>
        </is>
      </c>
      <c r="M107" s="2" t="inlineStr">
        <is>
          <t>Law &amp; Regulations &amp; Ethics</t>
        </is>
      </c>
      <c r="N107" s="2" t="inlineStr">
        <is>
          <t>PLE-CC1 ปี 2566 Day 2 ข้อ 5</t>
        </is>
      </c>
      <c r="O107" s="2" t="inlineStr">
        <is>
          <t>ข้อสอบจริง</t>
        </is>
      </c>
      <c r="P107" s="2" t="inlineStr">
        <is>
          <t>ปี 2566</t>
        </is>
      </c>
    </row>
    <row r="108" ht="13.2" customHeight="1" s="37">
      <c r="A108" s="8" t="inlineStr">
        <is>
          <t>107</t>
        </is>
      </c>
      <c r="B108" s="2" t="inlineStr">
        <is>
          <t>สถานการณ์ต่อเนื่องพาร์ทกฎหมายถ้าร้านขายยาแผนปัจจุบันขึ้นป้ายแสดงว่า“ ภ.ก. XXXX XXX (เกียรตินิยมอันดับ1) ภ.บ. จบ จากสหรัฐอเมริกาเวลาทำการ07.00 - 19.00 น. ร้านนี้ยาดีราคาถูกที่สุด… ” ถามว่าข้อความใดสามารถแสดงบนป้ายได้ ตัวเลือก</t>
        </is>
      </c>
      <c r="C108" s="2" t="n"/>
      <c r="D108" s="2" t="inlineStr">
        <is>
          <t>Law &amp; Regulations &amp; Ethics</t>
        </is>
      </c>
      <c r="E108" s="2" t="inlineStr">
        <is>
          <t>เกณฑ์จริยธรรมว่าด้วยการส่งเสริมการขายยาของกระทรวงสาธารณสุข</t>
        </is>
      </c>
      <c r="F108" s="2" t="inlineStr">
        <is>
          <t>พ.ร.บ. ยา พ.ศ. 2510 (การจำหน่ายยาอันตรายและยาควบคุมพิเศษ)</t>
        </is>
      </c>
      <c r="G108" s="2" t="inlineStr">
        <is>
          <t>พ.ร.บ. ยาเสพติดให้โทษ พ.ศ. 2522 (ยาเสพติดให้โทษประเภท 2 และ 3)</t>
        </is>
      </c>
      <c r="H108" s="2" t="inlineStr">
        <is>
          <t>พ.ร.บ. วัตถุที่ออกฤทธิ์ต่อจิตและประสาท พ.ศ. 2559 (ประเภท 2 และ 4)</t>
        </is>
      </c>
      <c r="I108" s="8" t="inlineStr">
        <is>
          <t>1</t>
        </is>
      </c>
      <c r="J10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8" s="2" t="n"/>
      <c r="L108" s="2" t="inlineStr">
        <is>
          <t>พ.ร.บ. ยา พ.ศ. 2510</t>
        </is>
      </c>
      <c r="M108" s="2" t="inlineStr">
        <is>
          <t>Law &amp; Regulations &amp; Ethics</t>
        </is>
      </c>
      <c r="N108" s="2" t="inlineStr">
        <is>
          <t>PLE-CC1 ปี 2566 Day 2 ข้อ 73</t>
        </is>
      </c>
      <c r="O108" s="2" t="inlineStr">
        <is>
          <t>ข้อสอบจริง</t>
        </is>
      </c>
      <c r="P108" s="2" t="inlineStr">
        <is>
          <t>ปี 2566</t>
        </is>
      </c>
    </row>
    <row r="109" ht="13.2" customHeight="1" s="37">
      <c r="A109" s="8" t="inlineStr">
        <is>
          <t>108</t>
        </is>
      </c>
      <c r="B109" s="2" t="inlineStr">
        <is>
          <t>ยาใดไม;ตองทำ ขย. 11 ตาม พรบ. ยา 2510 ยา$อง'ขย. 11 )างงตามประกาศ อย. เ3อง รายการยา4นตราย$อง'6ญ8การขายยา ไ:แ&lt;</t>
        </is>
      </c>
      <c r="C109" s="2" t="n"/>
      <c r="D109" s="2" t="inlineStr">
        <is>
          <t>Law &amp; Regulations &amp; Ethics</t>
        </is>
      </c>
      <c r="E109" s="2" t="inlineStr">
        <is>
          <t>พ.ร.บ. วัตถุที่ออกฤทธิ์ต่อจิตและประสาท พ.ศ. 2559 (ประเภท 2 และ 4)</t>
        </is>
      </c>
      <c r="F109" s="2" t="inlineStr">
        <is>
          <t>พ.ร.บ. วิชาชีพเภสัชกรรม พ.ศ. 2537 และข้อบังคับจรรยาบรรณวิชาชีพ</t>
        </is>
      </c>
      <c r="G109" s="2" t="inlineStr">
        <is>
          <t>พ.ร.บ. ผลิตภัณฑ์สมุนไพร พ.ศ. 2562</t>
        </is>
      </c>
      <c r="H109" s="2" t="inlineStr">
        <is>
          <t>พ.ร.บ. เครื่องสำอาง พ.ศ. 2558</t>
        </is>
      </c>
      <c r="I109" s="8" t="inlineStr">
        <is>
          <t>1</t>
        </is>
      </c>
      <c r="J109"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9" s="2" t="n"/>
      <c r="L109" s="2" t="inlineStr">
        <is>
          <t>พ.ร.บ. ยา พ.ศ. 2510</t>
        </is>
      </c>
      <c r="M109" s="2" t="inlineStr">
        <is>
          <t>Law &amp; Regulations &amp; Ethics</t>
        </is>
      </c>
      <c r="N109" s="2" t="inlineStr">
        <is>
          <t>PLE_CC1_2565_Day1_Key ข้อ 76</t>
        </is>
      </c>
      <c r="O109" s="2" t="inlineStr">
        <is>
          <t>ข้อสอบจริง</t>
        </is>
      </c>
      <c r="P109" s="2" t="inlineStr">
        <is>
          <t>ปี 2565</t>
        </is>
      </c>
    </row>
    <row r="110" ht="13.2" customHeight="1" s="37">
      <c r="A110" s="8" t="inlineStr">
        <is>
          <t>109</t>
        </is>
      </c>
      <c r="B110" s="2" t="inlineStr">
        <is>
          <t>ยาใดไม;ตองทำ ขย. 11 ตาม พรบ. ยา 2510</t>
        </is>
      </c>
      <c r="C110" s="2" t="n"/>
      <c r="D110" s="2" t="inlineStr">
        <is>
          <t>Tramadol เดี่ยวและผสม</t>
        </is>
      </c>
      <c r="E110" s="2" t="inlineStr">
        <is>
          <t>Dextromethorphan เดี่ยวและผสม</t>
        </is>
      </c>
      <c r="F110" s="2" t="inlineStr">
        <is>
          <t>CPM เดี่ยวและผสม เฉพาะยาน้ำ</t>
        </is>
      </c>
      <c r="G110" s="2" t="inlineStr">
        <is>
          <t>Cetirizine เดี่ยวและผสม เฉพาะยาน้ำ</t>
        </is>
      </c>
      <c r="H110" s="2" t="inlineStr">
        <is>
          <t>Diphenhydramine เดี่ยวและผสม เฉพาะยาน้ำ ิ</t>
        </is>
      </c>
      <c r="I110" s="8" t="inlineStr">
        <is>
          <t>1</t>
        </is>
      </c>
      <c r="J110" s="2" t="inlineStr">
        <is>
          <t>✅ คำตอบที่ถูกต้อง: ข้อ ก. Tramadol เดี่ยวและผสม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(Tramadol เดี่ยวและผสม): เป็น weak mu-opioid agonist และ SNRI เป็นเพียง second-line / add-on สำหรับ pain relief ไม่มีฤทธิ์ลดการอักเสบ (no anti-inflammatory efficacy) และเสี่ยงต่อ serotonin syndrome และชัก
• ข้อ ค. (Dextromethorphan เดี่ยวและผสม): ข้อนี้ไม่ใช่คำตอบที่ถูกต้องสำหรับภาวะ พ.ร.บ. ยา พ.ศ. 2510 เนื่องจากกลไกการออกฤทธิ์, efficacy หรือข้อบ่งใช้ไม่ตรงกับโจทย์ที่กำหนด
• ข้อ ง. (CPM เดี่ยวและผสม เฉพาะยาน้ำ): ข้อนี้ไม่ใช่คำตอบที่ถูกต้องสำหรับภาวะ พ.ร.บ. ยา พ.ศ. 2510 เนื่องจากกลไกการออกฤทธิ์, efficacy หรือข้อบ่งใช้ไม่ตรงกับโจทย์ที่กำหนด
• ข้อ จ. (Cetirizine เดี่ยวและผสม เฉพาะยาน้ำ):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0" s="2" t="n"/>
      <c r="L110" s="2" t="inlineStr">
        <is>
          <t>พ.ร.บ. ยา พ.ศ. 2510</t>
        </is>
      </c>
      <c r="M110" s="2" t="inlineStr">
        <is>
          <t>Law &amp; Regulations &amp; Ethics</t>
        </is>
      </c>
      <c r="N110" s="2" t="inlineStr">
        <is>
          <t>PLE_CC1_2565_Day1_Key ข้อ 76</t>
        </is>
      </c>
      <c r="O110" s="2" t="inlineStr">
        <is>
          <t>ข้อสอบจริง</t>
        </is>
      </c>
      <c r="P110" s="2" t="inlineStr">
        <is>
          <t>ปี 2565</t>
        </is>
      </c>
      <c r="Q110" s="2" t="n"/>
    </row>
    <row r="111" ht="13.2" customHeight="1" s="37">
      <c r="A111" s="8" t="inlineStr">
        <is>
          <t>110</t>
        </is>
      </c>
      <c r="B111" s="2" t="inlineStr">
        <is>
          <t>พรบ.ยา ฉบับ 6 ปh 2562 ใบสำคัญการขึ้นทะเบียนตำรับปh 2565 ขอใดถูก</t>
        </is>
      </c>
      <c r="C111" s="2" t="n"/>
      <c r="D111" s="2" t="inlineStr">
        <is>
          <t>5 ปhตั้งแต;วันที่ออกใบสำคัญการขึ้นทะเบียน</t>
        </is>
      </c>
      <c r="E111" s="2" t="inlineStr">
        <is>
          <t>7 ปhตั้งแต;วันที่ออกใบสำคัญการขึ้นทะเบียน</t>
        </is>
      </c>
      <c r="F111" s="2" t="inlineStr">
        <is>
          <t>9 ปhตั้งแต;วันที่ออกใบสำคัญการขึ้นทะเบียน</t>
        </is>
      </c>
      <c r="G111" s="2" t="inlineStr">
        <is>
          <t>วันที่ 31 ธันวาคม ของปhที่ 5 หลังจากออกใบสำคัญการขึ้นทะเบียน</t>
        </is>
      </c>
      <c r="H111" s="2" t="inlineStr">
        <is>
          <t>วันที่ 31 ธันวาคม ของปhที่ 7 หลังจากออกใบสำคัญการขึ้นทะเบียน จากมาตรา ๑๑ ความxา ใVเyมความnอไปzเ9นมาตรา ๘๒/๒ แ}งพรบ. ยา ๒๕๑๐ มาตรา ๘๒/๒ ใบÅÇญการÉนทะเvยนÑWบยาใV&gt;อาก ๗ álบแnàนAออกใบÅÇญ การÉนทะเvยนÑWบยา</t>
        </is>
      </c>
      <c r="I111" s="8" t="inlineStr">
        <is>
          <t>1</t>
        </is>
      </c>
      <c r="J111" s="2" t="inlineStr">
        <is>
          <t>✅ คำตอบที่ถูกต้อง: ข้อ ก. 5 ปhตั้งแต;วันที่ออกใบสำคัญการขึ้นทะเบียน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ปhตั้งแต;วันที่ออกใบสำคัญการขึ้นทะเบียน):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ข้อ ค. (7 ปhตั้งแต;วันที่ออกใบสำคัญการขึ้นทะเบียน):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ข้อ ง. (9 ปhตั้งแต;วันที่ออกใบสำคัญการขึ้นทะเบียน):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ข้อ จ. (วันที่ 31 ธันวาคม ของปhที่ 5 หลังจากออกใบสำคัญการขึ้นทะเบียน):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1" s="2" t="n"/>
      <c r="L111" s="2" t="inlineStr">
        <is>
          <t>พ.ร.บ. ยา พ.ศ. 2510</t>
        </is>
      </c>
      <c r="M111" s="2" t="inlineStr">
        <is>
          <t>Law &amp; Regulations &amp; Ethics</t>
        </is>
      </c>
      <c r="N111" s="2" t="inlineStr">
        <is>
          <t>PLE_CC1_2565_Day1_Key ข้อ 79</t>
        </is>
      </c>
      <c r="O111" s="2" t="inlineStr">
        <is>
          <t>ข้อสอบจริง</t>
        </is>
      </c>
      <c r="P111" s="2" t="inlineStr">
        <is>
          <t>ปี 2565</t>
        </is>
      </c>
      <c r="Q111" s="2" t="n"/>
    </row>
    <row r="112" ht="13.2" customHeight="1" s="37">
      <c r="A112" s="8" t="inlineStr">
        <is>
          <t>111</t>
        </is>
      </c>
      <c r="B112" s="2" t="inlineStr">
        <is>
          <t>ขอใดไม;จัดอยู;ในพรบ.สมุนไพร</t>
        </is>
      </c>
      <c r="C112" s="2" t="n"/>
      <c r="D112" s="2" t="inlineStr">
        <is>
          <t>ยาแผนโบราณที่ใชกับมนุษยç</t>
        </is>
      </c>
      <c r="E112" s="2" t="inlineStr">
        <is>
          <t>ยาแผนโบราณที่ใชกับสัตวç</t>
        </is>
      </c>
      <c r="F112" s="2" t="inlineStr">
        <is>
          <t>ยาแผนจีน</t>
        </is>
      </c>
      <c r="G112" s="2" t="inlineStr">
        <is>
          <t>จำ choice ไม;ได</t>
        </is>
      </c>
      <c r="H112" s="2" t="inlineStr">
        <is>
          <t>* จำ choice ไม;ได# * จากพรบ. สvนไพร ผwตxณyสvนไพรzไ:หมายความรวม{ง ยาแผนtจu6น ยาแผนโบราณ}หrบ~ตว อาหาร}หrบมUษÅหÇอ ~ตว เค3องÉฬา เค3องกอเค3องใงในการáงเสàมญขภาพ เค3อง }อาง เค3องกอแพทÅ jตkออกฤทmฯ ยาเสพ^ดใäโทษ jตk 4นตราย หÇอjตkãนตาม#rฐมนตçโดยดแนะYของคณะกรรมการ ประกาศณหนด</t>
        </is>
      </c>
      <c r="I112" s="8" t="inlineStr">
        <is>
          <t>1</t>
        </is>
      </c>
      <c r="J112" s="2" t="inlineStr">
        <is>
          <t>✅ คำตอบที่ถูกต้อง: ข้อ ก. ยาแผนโบราณที่ใชกับมนุษยç
💡 Background:
การบริบาลผู้ป่วยในกลุ่มโรค พ.ร.บ. ผลิตภัณฑ์สมุนไพร &amp; เครื่องสำอาง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(ยาแผนโบราณที่ใชกับมนุษยç):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(ยาแผนโบราณที่ใชกับสัตวç):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(ยาแผนจีน):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(จำ choice ไม;ได):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2" s="2" t="n"/>
      <c r="L112" s="2" t="inlineStr">
        <is>
          <t>พ.ร.บ. ผลิตภัณฑ์สมุนไพร &amp; เครื่องสำอาง</t>
        </is>
      </c>
      <c r="M112" s="2" t="inlineStr">
        <is>
          <t>Law &amp; Regulations &amp; Ethics</t>
        </is>
      </c>
      <c r="N112" s="2" t="inlineStr">
        <is>
          <t>PLE_CC1_2565_Day1_Key ข้อ 81</t>
        </is>
      </c>
      <c r="O112" s="2" t="inlineStr">
        <is>
          <t>ข้อสอบจริง</t>
        </is>
      </c>
      <c r="P112" s="2" t="inlineStr">
        <is>
          <t>ปี 2565</t>
        </is>
      </c>
      <c r="Q112" s="2" t="n"/>
    </row>
    <row r="113" ht="13.2" customHeight="1" s="37">
      <c r="A113" s="8" t="inlineStr">
        <is>
          <t>112</t>
        </is>
      </c>
      <c r="B113" s="2" t="inlineStr">
        <is>
          <t>เภสัชจัด stock ยา แลวไลฟàสด แลวพูดว;ายา antihistamine ตัวนึงเขาแลวค;า ตัวนี้เปMนยาแกแพแบบไม; ง;วง (ยาสามัญประจำบาน) ผิดกฎหมายโฆษณาหรือไม; PLE-CC1 Preparation 2565 เฉลยโดย MUPY53 พรบ. 2510 หมวด 11 …………………..………………………………..………………………………..………………………………..……………………………….. ………………………………..………………………………..………………………………..………………………………..…………………… Hint: choice เปMน สลับว;าผิดกฎหมาย/ไม;ผิด เพราะขายยา/โฆษณา มีทั้งผิดคู; ผิดแค;ขอเดียว Part อื่นๆ</t>
        </is>
      </c>
      <c r="C113" s="2" t="n"/>
      <c r="D113" s="2" t="inlineStr">
        <is>
          <t>Law &amp; Regulations &amp; Ethics</t>
        </is>
      </c>
      <c r="E113" s="2" t="inlineStr">
        <is>
          <t>พ.ร.บ. ผลิตภัณฑ์สมุนไพร พ.ศ. 2562</t>
        </is>
      </c>
      <c r="F113" s="2" t="inlineStr">
        <is>
          <t>พ.ร.บ. เครื่องสำอาง พ.ศ. 2558</t>
        </is>
      </c>
      <c r="G113" s="2" t="inlineStr">
        <is>
          <t>พ.ร.บ. หลักประกันสุขภาพแห่งชาติ พ.ศ. 2545</t>
        </is>
      </c>
      <c r="H113" s="2" t="inlineStr">
        <is>
          <t>การปฏิบัติทางเภสัชกรรมชุมชน (Good Pharmacy Practice: GPP)</t>
        </is>
      </c>
      <c r="I113" s="8" t="inlineStr">
        <is>
          <t>1</t>
        </is>
      </c>
      <c r="J113"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3" s="2" t="n"/>
      <c r="L113" s="2" t="inlineStr">
        <is>
          <t>พ.ร.บ. ยา พ.ศ. 2510</t>
        </is>
      </c>
      <c r="M113" s="2" t="inlineStr">
        <is>
          <t>Law &amp; Regulations &amp; Ethics</t>
        </is>
      </c>
      <c r="N113" s="2" t="inlineStr">
        <is>
          <t>PLE_CC1_2565_Day1_Key ข้อ 83</t>
        </is>
      </c>
      <c r="O113" s="2" t="inlineStr">
        <is>
          <t>ข้อสอบจริง</t>
        </is>
      </c>
      <c r="P113" s="2" t="inlineStr">
        <is>
          <t>ปี 2565</t>
        </is>
      </c>
    </row>
    <row r="114" ht="13.2" customHeight="1" s="37">
      <c r="A114" s="8" t="inlineStr">
        <is>
          <t>113</t>
        </is>
      </c>
      <c r="B114" s="2" t="inlineStr">
        <is>
          <t>กฎหมาย (12 ข`อ)</t>
        </is>
      </c>
      <c r="C114" s="2" t="n"/>
      <c r="D114" s="2" t="inlineStr">
        <is>
          <t>Law &amp; Regulations &amp; Ethics</t>
        </is>
      </c>
      <c r="E114" s="2" t="inlineStr">
        <is>
          <t>การปฏิบัติทางเภสัชกรรมชุมชน (Good Pharmacy Practice: GPP)</t>
        </is>
      </c>
      <c r="F114" s="2" t="inlineStr">
        <is>
          <t>บัญชียาหลักแห่งชาติ (National List of Essential Medicines: NLEM)</t>
        </is>
      </c>
      <c r="G114" s="2" t="inlineStr">
        <is>
          <t>เกณฑ์จริยธรรมว่าด้วยการส่งเสริมการขายยาของกระทรวงสาธารณสุข</t>
        </is>
      </c>
      <c r="H114" s="2" t="inlineStr">
        <is>
          <t>พ.ร.บ. ยา พ.ศ. 2510 (การจำหน่ายยาอันตรายและยาควบคุมพิเศษ)</t>
        </is>
      </c>
      <c r="I114" s="8" t="inlineStr">
        <is>
          <t>1</t>
        </is>
      </c>
      <c r="J114"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4" s="2" t="n"/>
      <c r="L114" s="2" t="inlineStr">
        <is>
          <t>พ.ร.บ. ยา พ.ศ. 2510</t>
        </is>
      </c>
      <c r="M114" s="2" t="inlineStr">
        <is>
          <t>Law &amp; Regulations &amp; Ethics</t>
        </is>
      </c>
      <c r="N114" s="2" t="inlineStr">
        <is>
          <t>PLE_CC1_2565_Day1_Key ข้อ 19</t>
        </is>
      </c>
      <c r="O114" s="2" t="inlineStr">
        <is>
          <t>ข้อสอบจริง</t>
        </is>
      </c>
      <c r="P114" s="2" t="inlineStr">
        <is>
          <t>ปี 2565</t>
        </is>
      </c>
    </row>
    <row r="115" ht="13.2" customHeight="1" s="37">
      <c r="A115" s="8" t="inlineStr">
        <is>
          <t>114</t>
        </is>
      </c>
      <c r="B115" s="2" t="inlineStr">
        <is>
          <t>ยา C xxx/xx (NC) เปQนยาประเภทใดตามกฎหมาย SดTายาUไVเWาXยามYZบ[บ</t>
        </is>
      </c>
      <c r="C115" s="2" t="n"/>
      <c r="D115" s="2" t="inlineStr">
        <is>
          <t>ยาควบคุมพิเศษ</t>
        </is>
      </c>
      <c r="E115" s="2" t="inlineStr">
        <is>
          <t>ยาควบคุมเฉพาะสถานพยาบาล</t>
        </is>
      </c>
      <c r="F115" s="2" t="inlineStr">
        <is>
          <t>ยาอันตรายแบบมีเงื่อนไข</t>
        </is>
      </c>
      <c r="G115" s="2" t="inlineStr">
        <is>
          <t>ยาอันตรายแบบไม-มีเงื่อนไข</t>
        </is>
      </c>
      <c r="H115" s="2" t="inlineStr">
        <is>
          <t>* จำ choice ไม-ได$ * Part อื่นๆ นำยาต$มของคนไข$มาหายา steroid โดยใช$วิธี TLC ดังรูป 2เศษ !ด SMP 2 # (safety monitoring program) ฉลาก(เค+องหมาย 3 เห1ยม UV 366  nm (long wave) ใNตรวจหาสารเIองแสงไQQวยRวเอง Fluorescent substances</t>
        </is>
      </c>
      <c r="I115" s="8" t="inlineStr">
        <is>
          <t>1</t>
        </is>
      </c>
      <c r="J115" s="2" t="inlineStr">
        <is>
          <t>✅ คำตอบที่ถูกต้อง: ข้อ ก. ยาควบคุมพิเศษ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(ยาควบคุมเฉพาะสถานพยาบาล):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(ยาอันตรายแบบมีเงื่อนไข):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(ยาอันตรายแบบไม-มีเงื่อนไข):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5" s="2" t="n"/>
      <c r="L115" s="2" t="inlineStr">
        <is>
          <t>พ.ร.บ. ยา พ.ศ. 2510</t>
        </is>
      </c>
      <c r="M115" s="2" t="inlineStr">
        <is>
          <t>Law &amp; Regulations &amp; Ethics</t>
        </is>
      </c>
      <c r="N115" s="2" t="inlineStr">
        <is>
          <t>PLE_CC1_2565_Day2_Key ข้อ 69</t>
        </is>
      </c>
      <c r="O115" s="2" t="inlineStr">
        <is>
          <t>ข้อสอบจริง</t>
        </is>
      </c>
      <c r="P115" s="2" t="inlineStr">
        <is>
          <t>ปี 2565</t>
        </is>
      </c>
      <c r="Q115" s="2" t="n"/>
    </row>
    <row r="116" ht="13.2" customHeight="1" s="37">
      <c r="A116" s="8" t="inlineStr">
        <is>
          <t>115</t>
        </is>
      </c>
      <c r="B116" s="2" t="inlineStr">
        <is>
          <t>ผลข้างเคียงของ Levonorgestrel จากบทความของภาควิชาเภสัชวิทยา คณะเภสัชศาสตร์ มหาวิทยาลัยมหิดล (แบบยาคุมฉุกเฉิน) กล่าวไว้ว่าอาการข้างเคียงของ levonorgestrel คือ มีเลือดคล้ายประจำเดือนออกผิดปกติ/กะปริบกะปรอย, ตกขาวเป็นสีน้ำตาล, อาการคลื่นไส้อาเจียน อ่อนเพลีย ปวดศีรษะ/เวียนศีรษะ และจากบทความโปรเจสตินสำคัญอย่างไร ของรศ.นพ.ตวงสิทธิ์ วัฒกนารา หน่วยเวชศาสตร์มารดาและทารกในครรภ์ ภาควิชาสูติศาสตร์-นรีเวชวิทยา คณะแพทยศาสตร์ศิริราชพยาบาล (แบบเป็น POPs) กล่าวไว้ว่า levonorgestrel เป็นโปรเจสตินรุ่นดั้งเดิมทำให้มี androgenic effect ซึ่งจะทำให้เกิดสิว ผิวมัน ขนดกตามมาได้, อาจมีประจำเดือนมาแบบกะปริบกะปรอย, ประจำเดือนมาลดลงหรือขาดประจำเดือนในบางราย, อาการปวดศีรษะ, อารมณ์เปลี่ยนแปลง, กังวลหรือมีภาวะซึมเศร้าได้บ้าง https://pharmacy.mahidol.ac.th/th/knowledge/article/419/%E0%B8%A2%E0%B8%B2%E0%B8%84%E0%B8%B8%E0%B8%A1%E0 %B8%89%E0%B8%B8%E0%B8%81%E0%B9%80%E0%B8%89%E0%B8%B4%E0%B8%99/ http://www.wongkarnpat.com/upfilecme/CPE%20MSD.pdf" .............................................................................................................................................................................................................. มารดาให้นมบุตรและมารดาที่ไม่ได้ให้นมบุตรที่มีวันหลังคลอดน้อยกว่า 21 วัน ผู้ที่มีความเสี่ยงในการเกิด arterosclerotic cardiovascular หลายปัจจัยเสี่ยง ผู้ที่เป็น migraine with aura, ผู้หญิงที่มีอายุมากกว่า 35 ปี ที่มีการสูบบุหรี่มากกว่า 15 มวนต่อวัน ผู้ที่มีความดัน systolic มากกว่า/เท่ากับ 160 mmHg หรือความดัน diastolic มากกว่า/เท่ากับ 100 mmHg ผู้ป่วยที่เป็น vascular disease ผู้ป่วยที่มีประวัติเป็น DVT/PE ที่ยังไม่ได้รับ anticoagulant therapy ที่มีความเสี่ยงสูงในการเกิดซ้ำของโรค ผู้ป่วยที่เป็น acute DVT/PE เฉลยข้อสอบ PLE-CC1 ครั้งที่12/2564 วันที่ 1-2 : MUPY 50</t>
        </is>
      </c>
      <c r="C116" s="2" t="n"/>
      <c r="D116" s="2" t="inlineStr">
        <is>
          <t>Law &amp; Regulations &amp; Ethics</t>
        </is>
      </c>
      <c r="E116" s="2" t="inlineStr">
        <is>
          <t>พ.ร.บ. วิชาชีพเภสัชกรรม พ.ศ. 2537 และข้อบังคับจรรยาบรรณวิชาชีพ</t>
        </is>
      </c>
      <c r="F116" s="2" t="inlineStr">
        <is>
          <t>พ.ร.บ. ผลิตภัณฑ์สมุนไพร พ.ศ. 2562</t>
        </is>
      </c>
      <c r="G116" s="2" t="inlineStr">
        <is>
          <t>พ.ร.บ. เครื่องสำอาง พ.ศ. 2558</t>
        </is>
      </c>
      <c r="H116" s="2" t="inlineStr">
        <is>
          <t>พ.ร.บ. หลักประกันสุขภาพแห่งชาติ พ.ศ. 2545</t>
        </is>
      </c>
      <c r="I116" s="8" t="inlineStr">
        <is>
          <t>1</t>
        </is>
      </c>
      <c r="J11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6" s="2" t="n"/>
      <c r="L116" s="2" t="inlineStr">
        <is>
          <t>พ.ร.บ. ยา พ.ศ. 2510</t>
        </is>
      </c>
      <c r="M116" s="2" t="inlineStr">
        <is>
          <t>Law &amp; Regulations &amp; Ethics</t>
        </is>
      </c>
      <c r="N116" s="2" t="inlineStr">
        <is>
          <t>PLE_CC1_2564_All_Key ข้อ 27</t>
        </is>
      </c>
      <c r="O116" s="2" t="inlineStr">
        <is>
          <t>ข้อสอบจริง</t>
        </is>
      </c>
      <c r="P116" s="2" t="inlineStr">
        <is>
          <t>ปี 2564</t>
        </is>
      </c>
    </row>
    <row r="117" ht="13.2" customHeight="1" s="37">
      <c r="A117" s="8" t="inlineStr">
        <is>
          <t>116</t>
        </is>
      </c>
      <c r="B117" s="2" t="inlineStr">
        <is>
          <t>เป้าหมายการรักษา RA a…. / b…. / c. ควบคุมอาการ / d…. / e. ให้ยาฉีดให้ช้าที่สุด (โรครูมาตอยดเ์ป็นโรคที่มีความผิดปกติของการควบคุมภูมิคุ้มกันของร่างกาย (autoimmune disease) ก่อใหเ้กิดการอักเสบ ยาที่ใช้รักษาจึงเป็นกลุ่มท่ีมีฤทธ์ิปรับภูมิภูมิคุ้มกันให้การทำงานลดลง รวมทั้ง ลดการสร้างสารอักเสบต่าง ๆ ปัจจุบันมียาที่ถูกออกแบบมาเพื่อฤทธ์ิเฉพาะที่ (targeted therapy) ทำให้ประสิทธิภาพการรักษาดีข้ึน จุดมุ่งหมายในการรักษา คือ</t>
        </is>
      </c>
      <c r="C117" s="2" t="n"/>
      <c r="D117" s="2" t="inlineStr">
        <is>
          <t>Law &amp; Regulations &amp; Ethics</t>
        </is>
      </c>
      <c r="E117" s="2" t="inlineStr">
        <is>
          <t>พ.ร.บ. หลักประกันสุขภาพแห่งชาติ พ.ศ. 2545</t>
        </is>
      </c>
      <c r="F117" s="2" t="inlineStr">
        <is>
          <t>การปฏิบัติทางเภสัชกรรมชุมชน (Good Pharmacy Practice: GPP)</t>
        </is>
      </c>
      <c r="G117" s="2" t="inlineStr">
        <is>
          <t>บัญชียาหลักแห่งชาติ (National List of Essential Medicines: NLEM)</t>
        </is>
      </c>
      <c r="H117" s="2" t="inlineStr">
        <is>
          <t>เกณฑ์จริยธรรมว่าด้วยการส่งเสริมการขายยาของกระทรวงสาธารณสุข</t>
        </is>
      </c>
      <c r="I117" s="8" t="inlineStr">
        <is>
          <t>3</t>
        </is>
      </c>
      <c r="J117" s="2" t="inlineStr">
        <is>
          <t>✅ คำตอบที่ถูกต้อง: ข้อ ค. การปฏิบัติทางเภสัชกรรมชุมชน (Good Pharmacy Practice: GPP)
💡 Background:
โรคข้ออักเสบรูมาตอยด์ (RA) เป็น systemic autoimmune disease ต้องรีบเริ่ม DMARDs ทันทีเพื่อป้องกัน joint destruction
🎯 ทำไมข้อนี้ถึงถูก:
การปฏิบัติทางเภสัชกรรมชุมชน (Good Pharmacy Practice: GPP)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(Law &amp; Regulations &amp; Ethics): ข้อนี้ไม่ใช่คำตอบที่ถูกต้องสำหรับภาวะ พ.ร.บ. ยา พ.ศ. 2510 เนื่องจากกลไกการออกฤทธิ์, efficacy หรือข้อบ่งใช้ไม่ตรงกับโจทย์ที่กำหนด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7" s="2" t="n"/>
      <c r="L117" s="2" t="inlineStr">
        <is>
          <t>พ.ร.บ. ยา พ.ศ. 2510</t>
        </is>
      </c>
      <c r="M117" s="2" t="inlineStr">
        <is>
          <t>Law &amp; Regulations &amp; Ethics</t>
        </is>
      </c>
      <c r="N117" s="2" t="inlineStr">
        <is>
          <t>PLE_CC1_2564_All_Key ข้อ 32</t>
        </is>
      </c>
      <c r="O117" s="2" t="inlineStr">
        <is>
          <t>ข้อสอบจริง</t>
        </is>
      </c>
      <c r="P117" s="2" t="inlineStr">
        <is>
          <t>ปี 2564</t>
        </is>
      </c>
    </row>
    <row r="118" ht="13.2" customHeight="1" s="37">
      <c r="A118" s="8" t="inlineStr">
        <is>
          <t>117</t>
        </is>
      </c>
      <c r="B118" s="2" t="inlineStr">
        <is>
          <t>พบ ค. ลูกจ้างกำลังจัดยาหลายขนาน ฉลากมีเขียนแค่สรรพคุณ (แก้ปวด) ข. ผิดพรบ. ยา ยังไง</t>
        </is>
      </c>
      <c r="C118" s="2" t="n"/>
      <c r="D118" s="2" t="inlineStr">
        <is>
          <t>Law &amp; Regulations &amp; Ethics</t>
        </is>
      </c>
      <c r="E118" s="2" t="inlineStr">
        <is>
          <t>เกณฑ์จริยธรรมว่าด้วยการส่งเสริมการขายยาของกระทรวงสาธารณสุข</t>
        </is>
      </c>
      <c r="F118" s="2" t="inlineStr">
        <is>
          <t>ผิดพรบ. ยา พ.ศ. 2510</t>
        </is>
      </c>
      <c r="G118" s="2" t="inlineStr">
        <is>
          <t>พ.ร.บ. ยาเสพติดให้โทษ พ.ศ. 2522 (ยาเสพติดให้โทษประเภท 2 และ 3)</t>
        </is>
      </c>
      <c r="H118" s="2" t="inlineStr">
        <is>
          <t>พ.ร.บ. วัตถุที่ออกฤทธิ์ต่อจิตและประสาท พ.ศ. 2559 (ประเภท 2 และ 4)</t>
        </is>
      </c>
      <c r="I118" s="8" t="inlineStr">
        <is>
          <t>1</t>
        </is>
      </c>
      <c r="J11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(ผิดพรบ. ยา พ.ศ. 2510):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8" s="2" t="n"/>
      <c r="L118" s="2" t="inlineStr">
        <is>
          <t>พ.ร.บ. ยา พ.ศ. 2510</t>
        </is>
      </c>
      <c r="M118" s="2" t="inlineStr">
        <is>
          <t>Law &amp; Regulations &amp; Ethics</t>
        </is>
      </c>
      <c r="N118" s="2" t="inlineStr">
        <is>
          <t>PLE_CC1_2564_All_Key ข้อ 57</t>
        </is>
      </c>
      <c r="O118" s="2" t="inlineStr">
        <is>
          <t>ข้อสอบจริง</t>
        </is>
      </c>
      <c r="P118" s="2" t="inlineStr">
        <is>
          <t>ปี 2564</t>
        </is>
      </c>
    </row>
    <row r="119" ht="13.2" customHeight="1" s="37">
      <c r="A119" s="8" t="inlineStr">
        <is>
          <t>118</t>
        </is>
      </c>
      <c r="B119" s="2" t="inlineStr">
        <is>
          <t>ยาที่ผลิตขึ้นไม่ถูกต้องตามมาตรฐานถึงขนาดที่ปริมาณหรือความแรงของสารออกฤทธิ์ขาด หรือเกินกว่าร้อยละ 20 จากเกณฑ์ต่ำสุด หรือสูงสุด เช่น para 500 mg ต้องมี 95- 100% ยาปลอมคือมีน้อยกว่า 95% อยู่ 20 % เป็นต้น) - ยานั้นเปลี่ยนไปใช้เป็นอาหาร หรือเครื่องสำอางโดยได้รับใบอนุญาติผลิตเพื่อจำหน่ายซึ่งอาหาร ที่ควบคุมเฉพาะหรือได้รับใบสำคัญการขึ้นทะเบียนเครื่องสำอางตามกฎหมายว่าด้วยการนั้น https://www.fda.moph.go.th/sites/drug/LawDrug/drug2510-krisdika-v2020.pdf ................................................................................................................................................................................................................................................</t>
        </is>
      </c>
      <c r="C119" s="2" t="n"/>
      <c r="D119" s="2" t="inlineStr">
        <is>
          <t>Law &amp; Regulations &amp; Ethics</t>
        </is>
      </c>
      <c r="E119" s="2" t="inlineStr">
        <is>
          <t>พ.ร.บ. วัตถุที่ออกฤทธิ์ต่อจิตและประสาท พ.ศ. 2559 (ประเภท 2 และ 4)</t>
        </is>
      </c>
      <c r="F119" s="2" t="inlineStr">
        <is>
          <t>พ.ร.บ. วิชาชีพเภสัชกรรม พ.ศ. 2537 และข้อบังคับจรรยาบรรณวิชาชีพ</t>
        </is>
      </c>
      <c r="G119" s="2" t="inlineStr">
        <is>
          <t>พ.ร.บ. ผลิตภัณฑ์สมุนไพร พ.ศ. 2562</t>
        </is>
      </c>
      <c r="H119" s="2" t="inlineStr">
        <is>
          <t>พ.ร.บ. เครื่องสำอาง พ.ศ. 2558</t>
        </is>
      </c>
      <c r="I119" s="8" t="inlineStr">
        <is>
          <t>1</t>
        </is>
      </c>
      <c r="J119" s="2" t="inlineStr">
        <is>
          <t>✅ คำตอบที่ถูกต้อง: ข้อ ก. Law &amp; Regulations &amp; Ethics
💡 Background:
การบริบาลผู้ป่วยในกลุ่มโรค พ.ร.บ. ผลิตภัณฑ์สมุนไพร &amp; เครื่องสำอาง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9" s="2" t="n"/>
      <c r="L119" s="2" t="inlineStr">
        <is>
          <t>พ.ร.บ. ผลิตภัณฑ์สมุนไพร &amp; เครื่องสำอาง</t>
        </is>
      </c>
      <c r="M119" s="2" t="inlineStr">
        <is>
          <t>Law &amp; Regulations &amp; Ethics</t>
        </is>
      </c>
      <c r="N119" s="2" t="inlineStr">
        <is>
          <t>PLE_CC1_2564_All_Key ข้อ 5</t>
        </is>
      </c>
      <c r="O119" s="2" t="inlineStr">
        <is>
          <t>ข้อสอบจริง</t>
        </is>
      </c>
      <c r="P119" s="2" t="inlineStr">
        <is>
          <t>ปี 2564</t>
        </is>
      </c>
    </row>
    <row r="120" ht="13.2" customHeight="1" s="37">
      <c r="A120" s="8" t="inlineStr">
        <is>
          <t>119</t>
        </is>
      </c>
      <c r="B120" s="2" t="inlineStr">
        <is>
          <t>พิจารณาประสิทธิภาพ omeprazole อย่างสั้นที่สุดที่จะพิจารณาปรับเปลี่ยนการรักษาต้องพิจารณาหลังใช้ยาเป็นเวลาเท่าไหร่ (GERD)</t>
        </is>
      </c>
      <c r="C120" s="2" t="n"/>
      <c r="D120" s="2" t="inlineStr">
        <is>
          <t>Law &amp; Regulations &amp; Ethics</t>
        </is>
      </c>
      <c r="E120" s="2" t="inlineStr">
        <is>
          <t>1 สัปดาห์</t>
        </is>
      </c>
      <c r="F120" s="2" t="inlineStr">
        <is>
          <t>2 สัปดาห์</t>
        </is>
      </c>
      <c r="G120" s="2" t="inlineStr">
        <is>
          <t>1 เดือน</t>
        </is>
      </c>
      <c r="H120" s="2" t="inlineStr">
        <is>
          <t>บัญชียาหลักแห่งชาติ (National List of Essential Medicines: NLEM)</t>
        </is>
      </c>
      <c r="I120" s="8" t="inlineStr">
        <is>
          <t>1</t>
        </is>
      </c>
      <c r="J120" s="2" t="inlineStr">
        <is>
          <t>✅ คำตอบที่ถูกต้อง: ข้อ ก. Law &amp; Regulations &amp; Ethics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Law &amp; Regulations &amp; Ethics หลังจากนั้นพิจารณาการตอบสนองต่อยา หากไม่ตอบสนองให้เปลี่ยนเป็น double dose PPI หรือ เปลี่ยนเป็น standard dose สัปดาห์
🔍 ข้ออื่นผิดเพราะอะไร:
• ข้อ ข. (1 สัปดาห์): ข้อนี้ไม่ใช่คำตอบที่ถูกต้องสำหรับภาวะ พ.ร.บ. ยา พ.ศ. 2510 เนื่องจากกลไกการออกฤทธิ์, efficacy หรือข้อบ่งใช้ไม่ตรงกับโจทย์ที่กำหนด
• ข้อ ค. (2 สัปดาห์): ข้อนี้ไม่ใช่คำตอบที่ถูกต้องสำหรับภาวะ พ.ร.บ. ยา พ.ศ. 2510 เนื่องจากกลไกการออกฤทธิ์, efficacy หรือข้อบ่งใช้ไม่ตรงกับโจทย์ที่กำหนด
• ข้อ ง. (1 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0" s="2" t="n"/>
      <c r="L120" s="2" t="inlineStr">
        <is>
          <t>พ.ร.บ. ยา พ.ศ. 2510</t>
        </is>
      </c>
      <c r="M120" s="2" t="inlineStr">
        <is>
          <t>Law &amp; Regulations &amp; Ethics</t>
        </is>
      </c>
      <c r="N120" s="2" t="inlineStr">
        <is>
          <t>PLE_CC1_2564_All_Key ข้อ 107</t>
        </is>
      </c>
      <c r="O120" s="2" t="inlineStr">
        <is>
          <t>ข้อสอบจริง</t>
        </is>
      </c>
      <c r="P120" s="2" t="inlineStr">
        <is>
          <t>ปี 2564</t>
        </is>
      </c>
    </row>
    <row r="121" ht="13.2" customHeight="1" s="37">
      <c r="A121" s="8" t="inlineStr">
        <is>
          <t>120</t>
        </is>
      </c>
      <c r="B121" s="2" t="inlineStr">
        <is>
          <t>เภสัชกรรับให้คำปรึกษาและขายยาทางอินเทอร์เน็ต ขั้นต่ำ 1,000 บาท ผิดจรรยาบรรณข้อไหน</t>
        </is>
      </c>
      <c r="C121" s="2" t="n"/>
      <c r="D121" s="2" t="inlineStr">
        <is>
          <t>Law &amp; Regulations &amp; Ethics</t>
        </is>
      </c>
      <c r="E121" s="2" t="inlineStr">
        <is>
          <t>ผู้ประกอบวิชาชีพย่อมดำรงตนให้สมควรในสังคมโดยธรรมและเคารพต่อกฎหมาย</t>
        </is>
      </c>
      <c r="F121" s="2" t="inlineStr">
        <is>
          <t>ผู้ประกอบวิชาชีพย่อมประกอบอาชีพด้วยเจตนาดี โดยไม่คำนึงถึงฐานะ เชื้อชาติ ศาสนา สังคม หรือลัทธิการเมือง</t>
        </is>
      </c>
      <c r="G121" s="2" t="inlineStr">
        <is>
          <t>ผู้ประกอบวิชาชีพต้องไม่ชักจูงหรือชักชวนให้มารับบริการทางวิชาชีพเภสัชกรรมเพื่อประโยชน์ตน</t>
        </is>
      </c>
      <c r="H121" s="2" t="inlineStr">
        <is>
          <t>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t>
        </is>
      </c>
      <c r="I121" s="8" t="inlineStr">
        <is>
          <t>1</t>
        </is>
      </c>
      <c r="J121" s="2" t="inlineStr">
        <is>
          <t>✅ คำตอบที่ถูกต้อง: ข้อ ก. Law &amp; Regulations &amp; Ethics
💡 Background:
การบริบาลผู้ป่วยในกลุ่มโรค พ.ร.บ. วิชาชีพเภสัชกรรม 2537 มุ่งเน้นการควบคุมโรคและลดความเสี่ยงต่อภาวะแทรกซ้อนด้วย evidence-based pharmacotherapy
🎯 ทำไมข้อนี้ถึงถูก:
Law &amp; Regulations &amp; Ethics .............................................................................................................................................................................................................
🔍 ข้ออื่นผิดเพราะอะไร:
• ข้อ ข. (ผู้ประกอบวิชาชีพย่อมดำรงตนให้สมควรในสังคมโดยธรรมและเคารพต่อกฎหมาย):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(ผู้ประกอบวิชาชีพย่อมประกอบอาชีพด้วยเจตนาดี โดยไม่คำนึงถึงฐานะ เชื้อชาติ ศาสนา สังคม หรือลัทธิการเมือง):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(ผู้ประกอบวิชาชีพต้องไม่ชักจูงหรือชักชวนให้มารับบริการทางวิชาชีพเภสัชกรรมเพื่อประโยชน์ตน):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1" s="2" t="n"/>
      <c r="L121" s="2" t="inlineStr">
        <is>
          <t>พ.ร.บ. วิชาชีพเภสัชกรรม 2537</t>
        </is>
      </c>
      <c r="M121" s="2" t="inlineStr">
        <is>
          <t>Law &amp; Regulations &amp; Ethics</t>
        </is>
      </c>
      <c r="N121" s="2" t="inlineStr">
        <is>
          <t>PLE_CC1_2564_All_Key ข้อ 146</t>
        </is>
      </c>
      <c r="O121" s="2" t="inlineStr">
        <is>
          <t>ข้อสอบจริง</t>
        </is>
      </c>
      <c r="P121" s="2" t="inlineStr">
        <is>
          <t>ปี 2564</t>
        </is>
      </c>
    </row>
    <row r="122" ht="13.2" customHeight="1" s="37">
      <c r="A122" s="8" t="inlineStr">
        <is>
          <t>121</t>
        </is>
      </c>
      <c r="B122" s="2" t="inlineStr">
        <is>
          <t>ข้อบังคับสภาเภสัชกรรมว่าด้วยจรรยาบรรณแห่งวิชาชีพเภสัชกรรม พ.ศ.2538 https://pharmacycouncil.org/share/file/file_5186.08.ข้อบังคับสภาฯว่าด้วยจรรยาบรรณแห่งวิชาชีพพ.ศ.2538อัพเดท.pdf</t>
        </is>
      </c>
      <c r="C122" s="2" t="n"/>
      <c r="D122" s="2" t="inlineStr">
        <is>
          <t>Law &amp; Regulations &amp; Ethics</t>
        </is>
      </c>
      <c r="E122" s="2" t="inlineStr">
        <is>
          <t>พ.ร.บ. ยาเสพติดให้โทษ พ.ศ. 2522 (ยาเสพติดให้โทษประเภท 2 และ 3)</t>
        </is>
      </c>
      <c r="F122" s="2" t="inlineStr">
        <is>
          <t>พ.ร.บ. วัตถุที่ออกฤทธิ์ต่อจิตและประสาท พ.ศ. 2559 (ประเภท 2 และ 4)</t>
        </is>
      </c>
      <c r="G122" s="2" t="inlineStr">
        <is>
          <t>พ.ร.บ. วิชาชีพเภสัชกรรม พ.ศ. 2537 และข้อบังคับจรรยาบรรณวิชาชีพ</t>
        </is>
      </c>
      <c r="H122" s="2" t="inlineStr">
        <is>
          <t>พ.ร.บ. ผลิตภัณฑ์สมุนไพร พ.ศ. 2562</t>
        </is>
      </c>
      <c r="I122" s="8" t="inlineStr">
        <is>
          <t>1</t>
        </is>
      </c>
      <c r="J122" s="2" t="inlineStr">
        <is>
          <t>✅ คำตอบที่ถูกต้อง: ข้อ ก. Law &amp; Regulations &amp; Ethics
💡 Background:
การบริบาลผู้ป่วยในกลุ่มโรค พ.ร.บ. วิชาชีพเภสัชกรรม 2537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2" s="2" t="n"/>
      <c r="L122" s="2" t="inlineStr">
        <is>
          <t>พ.ร.บ. วิชาชีพเภสัชกรรม 2537</t>
        </is>
      </c>
      <c r="M122" s="2" t="inlineStr">
        <is>
          <t>Law &amp; Regulations &amp; Ethics</t>
        </is>
      </c>
      <c r="N122" s="2" t="inlineStr">
        <is>
          <t>PLE_CC1_2564_All_Key ข้อ 1</t>
        </is>
      </c>
      <c r="O122" s="2" t="inlineStr">
        <is>
          <t>ข้อสอบจริง</t>
        </is>
      </c>
      <c r="P122" s="2" t="inlineStr">
        <is>
          <t>ปี 2564</t>
        </is>
      </c>
    </row>
    <row r="123" ht="13.2" customHeight="1" s="37">
      <c r="A123" s="8" t="inlineStr">
        <is>
          <t>122</t>
        </is>
      </c>
      <c r="B123" s="2" t="inlineStr">
        <is>
          <t>ข้อบังคับมาตรฐานทำ salbutamo( (โจทย์ยาวกว่านี้) a) minimum fill b) Subvisible particle matter เนื่องจากตัวยา salbutamol จากโจทย์ข้อบน ๆ เป็น formulate ในรูปแบบยาพ่น ซึ่งหัวข้อ specific test หลัก ๆ ที่ต้องทำในหัวข้อ inhalation drug products ได้แก่ Water content, Foreign particulate matter, Leachables, Spray pattern, Microbial limit, Net fill weight และ Leak rate เพราะฉะนั้นจึงต้องตอบข้อ ข) subvisible particulate matter (ตรวจสอบการปนเปื้อน particle ที่มองไม่เห็น) ชีท specification and COA หน้า 67 (General chapters: In: The United States Pharmacopeial Convention. The United States Pharmacopeia 39-The National Formulary 34. Vol. 1. Rockville, MD: The United State Pharmacopeia Conventions Inc.; 2016) .............................................................................................................................................................................................................</t>
        </is>
      </c>
      <c r="C123" s="2" t="n"/>
      <c r="D123" s="2" t="inlineStr">
        <is>
          <t>Law &amp; Regulations &amp; Ethics</t>
        </is>
      </c>
      <c r="E123" s="2" t="inlineStr">
        <is>
          <t>พ.ร.บ. ผลิตภัณฑ์สมุนไพร พ.ศ. 2562</t>
        </is>
      </c>
      <c r="F123" s="2" t="inlineStr">
        <is>
          <t>พ.ร.บ. เครื่องสำอาง พ.ศ. 2558</t>
        </is>
      </c>
      <c r="G123" s="2" t="inlineStr">
        <is>
          <t>พ.ร.บ. หลักประกันสุขภาพแห่งชาติ พ.ศ. 2545</t>
        </is>
      </c>
      <c r="H123" s="2" t="inlineStr">
        <is>
          <t>การปฏิบัติทางเภสัชกรรมชุมชน (Good Pharmacy Practice: GPP)</t>
        </is>
      </c>
      <c r="I123" s="8" t="inlineStr">
        <is>
          <t>1</t>
        </is>
      </c>
      <c r="J123"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23" s="2" t="n"/>
      <c r="L123" s="2" t="inlineStr">
        <is>
          <t>พ.ร.บ. ยา พ.ศ. 2510</t>
        </is>
      </c>
      <c r="M123" s="2" t="inlineStr">
        <is>
          <t>Law &amp; Regulations &amp; Ethics</t>
        </is>
      </c>
      <c r="N123" s="2" t="inlineStr">
        <is>
          <t>PLE_CC1_2564_All_Key ข้อ 151</t>
        </is>
      </c>
      <c r="O123" s="2" t="inlineStr">
        <is>
          <t>ข้อสอบจริง</t>
        </is>
      </c>
      <c r="P123" s="2" t="inlineStr">
        <is>
          <t>ปี 2564</t>
        </is>
      </c>
    </row>
    <row r="124" ht="13.2" customHeight="1" s="37">
      <c r="A124" s="8" t="inlineStr">
        <is>
          <t>123</t>
        </is>
      </c>
      <c r="B124" s="2" t="inlineStr">
        <is>
          <t>สินค้าได้สัดอยู่ในพรบ.คุ้มครอษผู้บริโภคพ.ศ.2522</t>
        </is>
      </c>
      <c r="C124" s="2" t="n"/>
      <c r="D124" s="2" t="inlineStr">
        <is>
          <t>Law &amp; Regulations &amp; Ethics</t>
        </is>
      </c>
      <c r="E124" s="2" t="inlineStr">
        <is>
          <t>อินอูลิน</t>
        </is>
      </c>
      <c r="F124" s="2" t="inlineStr">
        <is>
          <t>เข็มหีดอินอูลิน</t>
        </is>
      </c>
      <c r="G124" s="2" t="inlineStr">
        <is>
          <t>เครื่อษวัดความดัน ษ. เครื่อษออกกำลัษกาย ส. ผ้าอนามัย</t>
        </is>
      </c>
      <c r="H124" s="2" t="inlineStr">
        <is>
          <t>พ.ร.บ. ยา พ.ศ. 2510 (การจำหน่ายยาอันตรายและยาควบคุมพิเศษ)</t>
        </is>
      </c>
      <c r="I124" s="8" t="inlineStr">
        <is>
          <t>1</t>
        </is>
      </c>
      <c r="J124"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(อินอูลิน): ข้อนี้ไม่ใช่คำตอบที่ถูกต้องสำหรับภาวะ พ.ร.บ. ยา พ.ศ. 2510 เนื่องจากกลไกการออกฤทธิ์, efficacy หรือข้อบ่งใช้ไม่ตรงกับโจทย์ที่กำหนด
• ข้อ ค. (เข็มหีดอินอูลิน): ข้อนี้ไม่ใช่คำตอบที่ถูกต้องสำหรับภาวะ พ.ร.บ. ยา พ.ศ. 2510 เนื่องจากกลไกการออกฤทธิ์, efficacy หรือข้อบ่งใช้ไม่ตรงกับโจทย์ที่กำหนด
• ข้อ ง. (เครื่อษวัดความดัน ษ. เครื่อษออกกำลัษกาย ส. ผ้าอนามัย):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4" s="2" t="n"/>
      <c r="L124" s="2" t="inlineStr">
        <is>
          <t>พ.ร.บ. ยา พ.ศ. 2510</t>
        </is>
      </c>
      <c r="M124" s="2" t="inlineStr">
        <is>
          <t>Law &amp; Regulations &amp; Ethics</t>
        </is>
      </c>
      <c r="N124" s="2" t="inlineStr">
        <is>
          <t>PLE_CC1_2563_Q ข้อ 1</t>
        </is>
      </c>
      <c r="O124" s="2" t="inlineStr">
        <is>
          <t>ข้อสอบจริง</t>
        </is>
      </c>
      <c r="P124" s="2" t="inlineStr">
        <is>
          <t>ปี 2563</t>
        </is>
      </c>
    </row>
    <row r="125" ht="13.2" customHeight="1" s="37">
      <c r="A125" s="8" t="inlineStr">
        <is>
          <t>124</t>
        </is>
      </c>
      <c r="B125" s="2" t="inlineStr">
        <is>
          <t>มีคนสนใสตำรับนี้เป็นสำนวนมาก ทาษโรษพยาบาลสึษผลิตและออกสำหน่าย ถูกหรือผิดกฎหมาย อย่าษไร</t>
        </is>
      </c>
      <c r="C125" s="2" t="n"/>
      <c r="D125" s="2" t="inlineStr">
        <is>
          <t>Law &amp; Regulations &amp; Ethics</t>
        </is>
      </c>
      <c r="E125" s="2" t="inlineStr">
        <is>
          <t>ไม่ผิด เพราะโรษพยาบาลสามารถสำหน่ายยาที่ผลิตเอษได้</t>
        </is>
      </c>
      <c r="F125" s="2" t="inlineStr">
        <is>
          <t>ไม่ผิด เพราะโรษพยาบาลเป็นข้อยกเว้นที่ไม่ต้อษขอขึ้นทะเบียนตำรับ</t>
        </is>
      </c>
      <c r="G125" s="2" t="inlineStr">
        <is>
          <t>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t>
        </is>
      </c>
      <c r="H125" s="2" t="inlineStr">
        <is>
          <t>พ.ร.บ. วิชาชีพเภสัชกรรม พ.ศ. 2537 และข้อบังคับจรรยาบรรณวิชาชีพ</t>
        </is>
      </c>
      <c r="I125" s="8" t="inlineStr">
        <is>
          <t>1</t>
        </is>
      </c>
      <c r="J125"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เพราะโรษพยาบาลสามารถสำหน่ายยาที่ผลิตเอษได้):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(ไม่ผิด เพราะโรษพยาบาลเป็นข้อยกเว้นที่ไม่ต้อษขอขึ้นทะเบียนตำรับ):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5" s="2" t="n"/>
      <c r="L125" s="2" t="inlineStr">
        <is>
          <t>พ.ร.บ. ยา พ.ศ. 2510</t>
        </is>
      </c>
      <c r="M125" s="2" t="inlineStr">
        <is>
          <t>Law &amp; Regulations &amp; Ethics</t>
        </is>
      </c>
      <c r="N125" s="2" t="inlineStr">
        <is>
          <t>PLE_CC1_2563_Q ข้อ 3</t>
        </is>
      </c>
      <c r="O125" s="2" t="inlineStr">
        <is>
          <t>ข้อสอบจริง</t>
        </is>
      </c>
      <c r="P125" s="2" t="inlineStr">
        <is>
          <t>ปี 2563</t>
        </is>
      </c>
    </row>
    <row r="126" ht="13.2" customHeight="1" s="37">
      <c r="A126" s="8" t="inlineStr">
        <is>
          <t>125</t>
        </is>
      </c>
      <c r="B126" s="2" t="inlineStr">
        <is>
          <t>นาย ก ผิดกฎหมายหรือไม่ ถ้าผิด ผิดอย่าษไร</t>
        </is>
      </c>
      <c r="C126" s="2" t="n"/>
      <c r="D126" s="2" t="inlineStr">
        <is>
          <t>Law &amp; Regulations &amp; Ethics</t>
        </is>
      </c>
      <c r="E126" s="2" t="inlineStr">
        <is>
          <t>ผิด เพราะ ขายยาควบคุมพิเศษโดยไม่ได้รับอนุญาต</t>
        </is>
      </c>
      <c r="F126" s="2" t="inlineStr">
        <is>
          <t>ผิด เพราะ ขายยาเสพติด</t>
        </is>
      </c>
      <c r="G126" s="2" t="inlineStr">
        <is>
          <t>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t>
        </is>
      </c>
      <c r="H126" s="2" t="inlineStr">
        <is>
          <t>พ.ร.บ. หลักประกันสุขภาพแห่งชาติ พ.ศ. 2545</t>
        </is>
      </c>
      <c r="I126" s="8" t="inlineStr">
        <is>
          <t>1</t>
        </is>
      </c>
      <c r="J12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ขายยาควบคุมพิเศษโดยไม่ได้รับอนุญาต):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(ผิด เพราะ ขายยาเสพติด):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6" s="2" t="n"/>
      <c r="L126" s="2" t="inlineStr">
        <is>
          <t>พ.ร.บ. ยา พ.ศ. 2510</t>
        </is>
      </c>
      <c r="M126" s="2" t="inlineStr">
        <is>
          <t>Law &amp; Regulations &amp; Ethics</t>
        </is>
      </c>
      <c r="N126" s="2" t="inlineStr">
        <is>
          <t>PLE_CC1_2563_Q ข้อ 8</t>
        </is>
      </c>
      <c r="O126" s="2" t="inlineStr">
        <is>
          <t>ข้อสอบจริง</t>
        </is>
      </c>
      <c r="P126" s="2" t="inlineStr">
        <is>
          <t>ปี 2563</t>
        </is>
      </c>
    </row>
    <row r="127" ht="13.2" customHeight="1" s="37">
      <c r="A127" s="8" t="inlineStr">
        <is>
          <t>126</t>
        </is>
      </c>
      <c r="B127" s="2" t="inlineStr">
        <is>
          <t>ข้อใดเป็นการขายยาอย่าษถูกต้อษตามกฎหมาย</t>
        </is>
      </c>
      <c r="C127" s="2" t="n"/>
      <c r="D127" s="2" t="inlineStr">
        <is>
          <t>Law &amp; Regulations &amp; Ethics</t>
        </is>
      </c>
      <c r="E127" s="2" t="inlineStr">
        <is>
          <t>CPM 100 เม็ด และ Tramadol 10 เม็ด</t>
        </is>
      </c>
      <c r="F127" s="2" t="inlineStr">
        <is>
          <t>CPM 30 เม็ด และ CPM syrup 60 มล. 4 ขวด</t>
        </is>
      </c>
      <c r="G127" s="2" t="inlineStr">
        <is>
          <t>Tramadol 20 เม็ด CPM syrup 140 มล. 2 ขวด ษ. Dextromethorphan 20 เม็ด CPM syrup 120 มล. 2 ขวด ส. Dextromethorphan syrup 120 มล 2 ขวด cpm syrup 120 มล. 2 ขวด</t>
        </is>
      </c>
      <c r="H127" s="2" t="inlineStr">
        <is>
          <t>เกณฑ์จริยธรรมว่าด้วยการส่งเสริมการขายยาของกระทรวงสาธารณสุข</t>
        </is>
      </c>
      <c r="I127" s="8" t="inlineStr">
        <is>
          <t>1</t>
        </is>
      </c>
      <c r="J127"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(CPM 100 เม็ด และ Tramadol 10 เม็ด): เป็น weak mu-opioid agonist และ SNRI เป็นเพียง second-line / add-on สำหรับ pain relief ไม่มีฤทธิ์ลดการอักเสบ (no anti-inflammatory efficacy) และเสี่ยงต่อ serotonin syndrome และชัก
• ข้อ ค. (CPM 30 เม็ด และ CPM syrup 60 มล. 4 ขวด): ข้อนี้ไม่ใช่คำตอบที่ถูกต้องสำหรับภาวะ พ.ร.บ. ยา พ.ศ. 2510 เนื่องจากกลไกการออกฤทธิ์, efficacy หรือข้อบ่งใช้ไม่ตรงกับโจทย์ที่กำหนด
• ข้อ ง. (Tramadol 20 เม็ด CPM syrup 140 มล. 2 ขวด ษ. Dextromethorphan 20 เม็ด CPM syrup 120 มล. 2 ขวด ส. Dextromethorphan syrup 120 มล 2 ขวด cpm syrup 120 มล. 2 ขวด): เป็น weak mu-opioid agonist และ SNRI เป็นเพียง second-line / add-on สำหรับ pain relief ไม่มีฤทธิ์ลดการอักเสบ (no anti-inflammatory efficacy) และเสี่ยงต่อ serotonin syndrome และชัก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7" s="2" t="n"/>
      <c r="L127" s="2" t="inlineStr">
        <is>
          <t>พ.ร.บ. ยา พ.ศ. 2510</t>
        </is>
      </c>
      <c r="M127" s="2" t="inlineStr">
        <is>
          <t>Law &amp; Regulations &amp; Ethics</t>
        </is>
      </c>
      <c r="N127" s="2" t="inlineStr">
        <is>
          <t>PLE_CC1_2563_Q ข้อ 11</t>
        </is>
      </c>
      <c r="O127" s="2" t="inlineStr">
        <is>
          <t>ข้อสอบจริง</t>
        </is>
      </c>
      <c r="P127" s="2" t="inlineStr">
        <is>
          <t>ปี 2563</t>
        </is>
      </c>
    </row>
    <row r="128" ht="13.2" customHeight="1" s="37">
      <c r="A128" s="8" t="inlineStr">
        <is>
          <t>127</t>
        </is>
      </c>
      <c r="B128" s="2" t="inlineStr">
        <is>
          <t>เส้าหน้าที่ตรวสสอบพบว่ามีการนำ vitamin C 100 mg แบ่ษบรรสุใส่ออษใส ออษละ 10 เม็ด เพื่อแสก ให้เด็กที่มากับผู้ปกครอษ ถือว่าผิดกฎหมายพ.ร.บ. ยาหรือไม่</t>
        </is>
      </c>
      <c r="C128" s="2" t="n"/>
      <c r="D128" s="2" t="inlineStr">
        <is>
          <t>Law &amp; Regulations &amp; Ethics</t>
        </is>
      </c>
      <c r="E128" s="2" t="inlineStr">
        <is>
          <t>ผิด เนื่อษสากเป็นการผลิตยาโดยไม่ได้รับอนุญาต</t>
        </is>
      </c>
      <c r="F128" s="2" t="inlineStr">
        <is>
          <t>ผิด เนื่อษสากไม่คำนึษถึษความปลอดภัยขอษผู้ป่วย</t>
        </is>
      </c>
      <c r="G128" s="2" t="inlineStr">
        <is>
          <t>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t>
        </is>
      </c>
      <c r="H128" s="2" t="inlineStr">
        <is>
          <t>พ.ร.บ. วัตถุที่ออกฤทธิ์ต่อจิตและประสาท พ.ศ. 2559 (ประเภท 2 และ 4)</t>
        </is>
      </c>
      <c r="I128" s="8" t="inlineStr">
        <is>
          <t>1</t>
        </is>
      </c>
      <c r="J12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เนื่อษสากเป็นการผลิตยาโดยไม่ได้รับอนุญาต):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เนื่อษสากไม่คำนึษถึษความปลอดภัยขอษผู้ป่วย):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8" s="2" t="n"/>
      <c r="L128" s="2" t="inlineStr">
        <is>
          <t>พ.ร.บ. ยา พ.ศ. 2510</t>
        </is>
      </c>
      <c r="M128" s="2" t="inlineStr">
        <is>
          <t>Law &amp; Regulations &amp; Ethics</t>
        </is>
      </c>
      <c r="N128" s="2" t="inlineStr">
        <is>
          <t>PLE_CC1_2563_Q ข้อ 12</t>
        </is>
      </c>
      <c r="O128" s="2" t="inlineStr">
        <is>
          <t>ข้อสอบจริง</t>
        </is>
      </c>
      <c r="P128" s="2" t="inlineStr">
        <is>
          <t>ปี 2563</t>
        </is>
      </c>
    </row>
    <row r="129" ht="13.2" customHeight="1" s="37">
      <c r="A129" s="2" t="n">
        <v>127</v>
      </c>
      <c r="B129" s="2" t="inlineStr">
        <is>
          <t>นางสาว ธ ขายยารายการที่ 1 ผิดกฎหมายหรือไม่ ~ emsis</t>
        </is>
      </c>
      <c r="C129" s="2" t="n"/>
      <c r="D129" s="2" t="inlineStr">
        <is>
          <t>ไม่ผิด เนื่องจากได้รับอนุญาตให้ขายได้</t>
        </is>
      </c>
      <c r="E129" s="2" t="inlineStr">
        <is>
          <t>ไม่ผิด เนื่องจากได้รับการยกเว้นให้ไม่ต้องขออนุญาต</t>
        </is>
      </c>
      <c r="F129" s="2" t="inlineStr">
        <is>
          <t>ผิด เนื่องจากขายยาชุด</t>
        </is>
      </c>
      <c r="G129" s="2" t="inlineStr">
        <is>
          <t>ผิด เนื่องจากขายยาตำรับลับ</t>
        </is>
      </c>
      <c r="H129" s="2" t="inlineStr">
        <is>
          <t>ผิด เนื่องจากขายยานอกสถานที่ที่ได้รับอนุญาต</t>
        </is>
      </c>
      <c r="I129" s="2" t="n">
        <v>1</v>
      </c>
      <c r="J129" s="2" t="inlineStr">
        <is>
          <t>✅ คำตอบที่ถูกต้อง: ข้อ ก. ไม่ผิด เนื่องจากได้รับอนุญาตให้ขายได้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เนื่องจากได้รับอนุญาตให้ขายได้ 💡 คำอธิบายและข้อกำหนดทางกฎหมาย:
💡 คำอธิบายและข้อกำหนดทางกฎหมาย:
การเลือก ไม่ผิด เนื่องจากได้รับอนุญาตให้ขายได้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เนื่องจากได้รับการยกเว้นให้ไม่ต้องขออนุญาต):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เนื่องจากขายยาชุด):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เนื่องจากขายยาตำรับลับ): ข้อนี้ไม่ใช่คำตอบที่ถูกต้องสำหรับภาวะ พ.ร.บ. ยา พ.ศ. 2510 เนื่องจากกลไกการออกฤทธิ์, efficacy หรือข้อบ่งใช้ไม่ตรงกับโจทย์ที่กำหนด
• ข้อ จ. (ผิด เนื่องจากขายยานอกสถานที่ที่ได้รับอนุญาต):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9" s="2" t="n"/>
      <c r="L129" s="2" t="inlineStr">
        <is>
          <t>พ.ร.บ. ยา พ.ศ. 2510</t>
        </is>
      </c>
      <c r="M129" s="2" t="inlineStr">
        <is>
          <t>SAP</t>
        </is>
      </c>
      <c r="N129" s="2" t="inlineStr">
        <is>
          <t>ข้อ 78 (PLE_CC1_2562_Key.md)</t>
        </is>
      </c>
      <c r="O129" s="2" t="inlineStr">
        <is>
          <t>ข้อสอบจริง</t>
        </is>
      </c>
      <c r="P129" s="2" t="inlineStr">
        <is>
          <t>ปี 2562</t>
        </is>
      </c>
    </row>
    <row r="130" ht="13.2" customHeight="1" s="37">
      <c r="A130" s="2" t="n">
        <v>128</v>
      </c>
      <c r="B130" s="2" t="inlineStr">
        <is>
          <t>การเผยแพร่ข้อความ "ยารักษาโรคกระเพาะ อันเนื่องมีสาเหตุมาจากตับ แก้ได้ทุกต้นเหตุ กินแล้วหายระยะยาว" ผิด Ga :wn . Unatatalasebeauimnazieciviou . /resture X - กฎหมายหรือไม่</t>
        </is>
      </c>
      <c r="C130" s="2" t="n"/>
      <c r="D130" s="2" t="inlineStr">
        <is>
          <t>ไม่ผิด เพราะเป็นไม่ต้องขออนุญาต</t>
        </is>
      </c>
      <c r="E130" s="2" t="inlineStr">
        <is>
          <t>ไม่ผิด เพราะมีเลขอนุญาตการโฆษณา</t>
        </is>
      </c>
      <c r="F130" s="2" t="inlineStr">
        <is>
          <t>ผิด เพราะ โฆษณาขายยาที่ห้ามขาย</t>
        </is>
      </c>
      <c r="G130" s="2" t="inlineStr">
        <is>
          <t>ผิด เพราะ โฆษณาโอ้อวดสรรพคุณเกินจริง</t>
        </is>
      </c>
      <c r="H130" s="2" t="inlineStr">
        <is>
          <t>ผิด เพราะ โฆษณายารักษาโรคที่ห้ามโฆษณาตามรัฐมนตรีกำหนด</t>
        </is>
      </c>
      <c r="I130" s="2" t="n">
        <v>1</v>
      </c>
      <c r="J130" s="2" t="inlineStr">
        <is>
          <t>✅ คำตอบที่ถูกต้อง: ข้อ ก. ไม่ผิด เพราะเป็นไม่ต้องขออนุญาต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เพราะเป็นไม่ต้องขออนุญาต 💡 คำอธิบายและข้อกำหนดทางกฎหมาย:
💡 คำอธิบายและข้อกำหนดทางกฎหมาย:
การเลือก ไม่ผิด เพราะเป็นไม่ต้องขออนุญาต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เพราะมีเลขอนุญาตการโฆษณา):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 โฆษณาขายยาที่ห้ามขาย):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เพราะ โฆษณาโอ้อวดสรรพคุณเกินจริง): ข้อนี้ไม่ใช่คำตอบที่ถูกต้องสำหรับภาวะ พ.ร.บ. ยา พ.ศ. 2510 เนื่องจากกลไกการออกฤทธิ์, efficacy หรือข้อบ่งใช้ไม่ตรงกับโจทย์ที่กำหนด
• ข้อ จ. (ผิด เพราะ โฆษณายารักษาโรคที่ห้ามโฆษณาตามรัฐมนตรีกำหนด):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0" s="2" t="n"/>
      <c r="L130" s="2" t="inlineStr">
        <is>
          <t>พ.ร.บ. ยา พ.ศ. 2510</t>
        </is>
      </c>
      <c r="M130" s="2" t="inlineStr">
        <is>
          <t>SAP</t>
        </is>
      </c>
      <c r="N130" s="2" t="inlineStr">
        <is>
          <t>ข้อ 80 (PLE_CC1_2562_Key.md)</t>
        </is>
      </c>
      <c r="O130" s="2" t="inlineStr">
        <is>
          <t>ข้อสอบจริง</t>
        </is>
      </c>
      <c r="P130" s="2" t="inlineStr">
        <is>
          <t>ปี 2562</t>
        </is>
      </c>
    </row>
    <row r="131" ht="13.2" customHeight="1" s="37">
      <c r="A131" s="2" t="n">
        <v>129</v>
      </c>
      <c r="B131" s="2" t="inlineStr">
        <is>
          <t>ต่อมาพบว่าผู้ป่วยเป็น absence seizure ยาในข้อใดมีประสิทธิภาพในการรักษามากที่สุด X ~ ↑</t>
        </is>
      </c>
      <c r="C131" s="2" t="n"/>
      <c r="D131" s="2" t="inlineStr">
        <is>
          <t>Valproate</t>
        </is>
      </c>
      <c r="E131" s="2" t="inlineStr">
        <is>
          <t>Carbamazepine</t>
        </is>
      </c>
      <c r="F131" s="2" t="inlineStr">
        <is>
          <t>Topiramate</t>
        </is>
      </c>
      <c r="G131" s="2" t="inlineStr">
        <is>
          <t>Phenytoin</t>
        </is>
      </c>
      <c r="H131" s="2" t="inlineStr">
        <is>
          <t>Pregabalin</t>
        </is>
      </c>
      <c r="I131" s="2" t="n">
        <v>1</v>
      </c>
      <c r="J131" s="2" t="inlineStr">
        <is>
          <t>✅ คำตอบที่ถูกต้อง: ข้อ ก. Valproate
💡 Background:
กฎหมายยาและจรรยาบรรณวิชาชีพมีขึ้นเพื่อคุ้มครองความปลอดภัยของผู้บริโภคตามมาตรฐาน Good Pharmacy Practice (GPP)
🎯 ทำไมข้อนี้ถึงถูก:
Valproate 💡 คำอธิบายและข้อกำหนดทางกฎหมาย:
💡 คำอธิบายและข้อกำหนดทางกฎหมาย:
การเลือก Valproate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(Topiramate): เป็น carbonic anhydrase inhibitor และ glutamate blocker ทำให้เกิดน้ำหนักลด สมาธิลดลง นิ่วในไต และ secondary angle-closure glaucoma
• ข้อ ง. (Phenytoin): เป็น sodium channel blocker สำหรับ focal/generalized seizures มี non-linear (Michaelis-Menten) PK เสี่ยง toxicity ได้ง่ายเมื่อปรับ dose และทำให้เกิด gingival hyperplasia, hirsutism, cerebellar ataxia
• ข้อ จ. (Pregabalin):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1" s="2" t="n"/>
      <c r="L131" s="2" t="inlineStr">
        <is>
          <t>พ.ร.บ. ยา พ.ศ. 2510</t>
        </is>
      </c>
      <c r="M131" s="2" t="inlineStr">
        <is>
          <t>SAP</t>
        </is>
      </c>
      <c r="N131" s="2" t="inlineStr">
        <is>
          <t>ข้อ 101 (PLE_CC1_2562_Key.md)</t>
        </is>
      </c>
      <c r="O131" s="2" t="inlineStr">
        <is>
          <t>ข้อสอบจริง</t>
        </is>
      </c>
      <c r="P131" s="2" t="inlineStr">
        <is>
          <t>ปี 2562</t>
        </is>
      </c>
    </row>
    <row r="132" ht="13.2" customHeight="1" s="37">
      <c r="A132" s="2" t="n">
        <v>130</v>
      </c>
      <c r="B132" s="2" t="inlineStr">
        <is>
          <t>ผู้ป่วยจะได้รับประสิทธิผลจากการรักษาเต็มที่เมื่อรับประทานยาต่อเนื่องนานเท่าไหร่ X ↑ ิscie-2dec</t>
        </is>
      </c>
      <c r="C132" s="2" t="n"/>
      <c r="D132" s="2" t="inlineStr">
        <is>
          <t>3 วัน</t>
        </is>
      </c>
      <c r="E132" s="2" t="inlineStr">
        <is>
          <t>7 วัน</t>
        </is>
      </c>
      <c r="F132" s="2" t="inlineStr">
        <is>
          <t>2 สัปดาห์</t>
        </is>
      </c>
      <c r="G132" s="2" t="inlineStr">
        <is>
          <t>4 สัปดาห์</t>
        </is>
      </c>
      <c r="H132" s="2" t="inlineStr">
        <is>
          <t>12 สัปดาห์</t>
        </is>
      </c>
      <c r="I132" s="2" t="n">
        <v>1</v>
      </c>
      <c r="J132"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(7 วัน): ข้อนี้ไม่ใช่คำตอบที่ถูกต้องสำหรับภาวะ พ.ร.บ. ยา พ.ศ. 2510 เนื่องจากกลไกการออกฤทธิ์, efficacy หรือข้อบ่งใช้ไม่ตรงกับโจทย์ที่กำหนด
• ข้อ ค. (2 สัปดาห์): ข้อนี้ไม่ใช่คำตอบที่ถูกต้องสำหรับภาวะ พ.ร.บ. ยา พ.ศ. 2510 เนื่องจากกลไกการออกฤทธิ์, efficacy หรือข้อบ่งใช้ไม่ตรงกับโจทย์ที่กำหนด
• ข้อ ง. (4 สัปดาห์): ข้อนี้ไม่ใช่คำตอบที่ถูกต้องสำหรับภาวะ พ.ร.บ. ยา พ.ศ. 2510 เนื่องจากกลไกการออกฤทธิ์, efficacy หรือข้อบ่งใช้ไม่ตรงกับโจทย์ที่กำหนด
• ข้อ จ. (12 สัปดาห์):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2" s="2" t="n"/>
      <c r="L132" s="2" t="inlineStr">
        <is>
          <t>พ.ร.บ. ยา พ.ศ. 2510</t>
        </is>
      </c>
      <c r="M132" s="2" t="inlineStr">
        <is>
          <t>SAP</t>
        </is>
      </c>
      <c r="N132" s="2" t="inlineStr">
        <is>
          <t>ข้อ 3 (PLE_CC1_2562_Key.md)</t>
        </is>
      </c>
      <c r="O132" s="2" t="inlineStr">
        <is>
          <t>ข้อสอบจริง</t>
        </is>
      </c>
      <c r="P132" s="2" t="inlineStr">
        <is>
          <t>ปี 2562</t>
        </is>
      </c>
    </row>
    <row r="133" ht="13.2" customHeight="1" s="37">
      <c r="A133" s="2" t="n">
        <v>131</v>
      </c>
      <c r="B133" s="2" t="inlineStr">
        <is>
          <t>นายจ. ผิดกฎหมายไหม X ิum wed wes sin ิnicenzas ~ .8. ↳20 .Osila. sw wiv . en 2510 led realiseswa . Intwineness 2537</t>
        </is>
      </c>
      <c r="C133" s="2" t="n"/>
      <c r="D133" s="2" t="inlineStr">
        <is>
          <t>ไม่ผิด เพราะขายยาสามัญประจำบ้าน</t>
        </is>
      </c>
      <c r="E133" s="2" t="inlineStr">
        <is>
          <t>ไม่ผิด เพราะไม่ใช่ผู้รับอนุญาต</t>
        </is>
      </c>
      <c r="F133" s="2" t="inlineStr">
        <is>
          <t>ผิด เพราะขายยาผิดมาตรฐาน</t>
        </is>
      </c>
      <c r="G133" s="2" t="inlineStr">
        <is>
          <t>ผิด เพราะขายควบคุมพิเศษ</t>
        </is>
      </c>
      <c r="H133" s="2" t="inlineStr">
        <is>
          <t>ผิด เพราะประกอบวิชาชีพเภสัชกรรมโดยไม่ได้รับอนุญาตวิชาชีพ</t>
        </is>
      </c>
      <c r="I133" s="2" t="n">
        <v>1</v>
      </c>
      <c r="J133" s="2" t="inlineStr">
        <is>
          <t>✅ คำตอบที่ถูกต้อง: ข้อ ก. ไม่ผิด เพราะขายยาสามัญประจำบ้าน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เพราะขายยาสามัญประจำบ้าน 💡 คำอธิบายและข้อกำหนดทางกฎหมาย:
💡 คำอธิบายและข้อกำหนดทางกฎหมาย:
การเลือก ไม่ผิด เพราะขายยาสามัญประจำบ้าน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เพราะไม่ใช่ผู้รับอนุญาต):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เพราะขายยาผิดมาตรฐาน):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เพราะขายควบคุมพิเศษ): ข้อนี้ไม่ใช่คำตอบที่ถูกต้องสำหรับภาวะ พ.ร.บ. ยา พ.ศ. 2510 เนื่องจากกลไกการออกฤทธิ์, efficacy หรือข้อบ่งใช้ไม่ตรงกับโจทย์ที่กำหนด
• ข้อ จ. (ผิด เพราะประกอบวิชาชีพเภสัชกรรมโดยไม่ได้รับอนุญาตวิชาชีพ):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3" s="2" t="n"/>
      <c r="L133" s="2" t="inlineStr">
        <is>
          <t>พ.ร.บ. ยา พ.ศ. 2510</t>
        </is>
      </c>
      <c r="M133" s="2" t="inlineStr">
        <is>
          <t>SAP</t>
        </is>
      </c>
      <c r="N133" s="2" t="inlineStr">
        <is>
          <t>ข้อ 32 (PLE_CC1_2562_Key.md)</t>
        </is>
      </c>
      <c r="O133" s="2" t="inlineStr">
        <is>
          <t>ข้อสอบจริง</t>
        </is>
      </c>
      <c r="P133" s="2" t="inlineStr">
        <is>
          <t>ปี 2562</t>
        </is>
      </c>
    </row>
    <row r="134" ht="13.2" customHeight="1" s="37">
      <c r="A134" s="2" t="n">
        <v>132</v>
      </c>
      <c r="B134" s="2" t="inlineStr">
        <is>
          <t>นาง ม. ผิดกฎหมายไหม Wimri z8 inne dinevritwidensaCartate oma X ②Miss . Edison. Wereesinens interns</t>
        </is>
      </c>
      <c r="C134" s="2" t="n"/>
      <c r="D134" s="2" t="inlineStr">
        <is>
          <t>ไม่ผิด เพราะไม่ได้เป็นคนขาย</t>
        </is>
      </c>
      <c r="E134" s="2" t="inlineStr">
        <is>
          <t>ไม่ผิด เพราะขายยาสามัญประจำบ้าน</t>
        </is>
      </c>
      <c r="F134" s="2" t="inlineStr">
        <is>
          <t>ผิด เพราะว่าขายยาอันตรายโดยไม่มีเภสัช</t>
        </is>
      </c>
      <c r="G134" s="2" t="inlineStr">
        <is>
          <t>ผิด เพราะว่าขายยาอันตรายขณะเภสัชไม่อยู่</t>
        </is>
      </c>
      <c r="H134" s="2" t="inlineStr">
        <is>
          <t>ผิด เพราะว่าขายยาควบคุมพิเศษโดยไม่มีใบสั่งแพทย์</t>
        </is>
      </c>
      <c r="I134" s="2" t="n">
        <v>1</v>
      </c>
      <c r="J134" s="2" t="inlineStr">
        <is>
          <t>✅ คำตอบที่ถูกต้อง: ข้อ ก. ไม่ผิด เพราะไม่ได้เป็นคนขาย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เพราะไม่ได้เป็นคนขาย 💡 คำอธิบายและข้อกำหนดทางกฎหมาย:
💡 คำอธิบายและข้อกำหนดทางกฎหมาย:
การเลือก ไม่ผิด เพราะไม่ได้เป็นคนขาย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เพราะขายยาสามัญประจำบ้าน):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เพราะว่าขายยาอันตรายโดยไม่มีเภสัช):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เพราะว่าขายยาอันตรายขณะเภสัชไม่อยู่):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เพราะว่าขายยาควบคุมพิเศษโดยไม่มีใบสั่งแพทย์):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 s="2" t="n"/>
      <c r="L134" s="2" t="inlineStr">
        <is>
          <t>พ.ร.บ. ยา พ.ศ. 2510</t>
        </is>
      </c>
      <c r="M134" s="2" t="inlineStr">
        <is>
          <t>SAP</t>
        </is>
      </c>
      <c r="N134" s="2" t="inlineStr">
        <is>
          <t>ข้อ 33 (PLE_CC1_2562_Key.md)</t>
        </is>
      </c>
      <c r="O134" s="2" t="inlineStr">
        <is>
          <t>ข้อสอบจริง</t>
        </is>
      </c>
      <c r="P134" s="2" t="inlineStr">
        <is>
          <t>ปี 2562</t>
        </is>
      </c>
    </row>
    <row r="135" ht="13.2" customHeight="1" s="37">
      <c r="A135" s="2" t="n">
        <v>133</v>
      </c>
      <c r="B135" s="2" t="inlineStr">
        <is>
          <t>เภสัชกรผิดจรรยาบรรณหรือไม่ isistere s findone X Indigen mediatime dis wer . 27 2510 Wald 39</t>
        </is>
      </c>
      <c r="C135" s="2" t="n"/>
      <c r="D135" s="2" t="inlineStr">
        <is>
          <t>ไม่ผิด</t>
        </is>
      </c>
      <c r="E135" s="2" t="inlineStr">
        <is>
          <t>ผิด เพราะว่าไม่เคารพกฎหมาย</t>
        </is>
      </c>
      <c r="F135" s="2" t="inlineStr">
        <is>
          <t>ผิด เรื่องความปลอดภัยของผู้ป่วย</t>
        </is>
      </c>
      <c r="G135" s="2" t="inlineStr">
        <is>
          <t>ผิด เพราะสนับสนุนให้ประกอบวิชาชีพผิดกฎหมาย</t>
        </is>
      </c>
      <c r="H135" s="2" t="inlineStr">
        <is>
          <t>ผิด ว่าทำให้เสื่อมเสียวิชาชีพ</t>
        </is>
      </c>
      <c r="I135" s="2" t="n">
        <v>1</v>
      </c>
      <c r="J135" s="2" t="inlineStr">
        <is>
          <t>✅ คำตอบที่ถูกต้อง: ข้อ ก. ไม่ผิด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 คำอธิบายและข้อกำหนดทางกฎหมาย:
💡 คำอธิบายและข้อกำหนดทางกฎหมาย:
การเลือก ไม่ผิด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(ผิด เพราะว่าไม่เคารพกฎหมาย):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(ผิด เรื่องความปลอดภัยของผู้ป่วย):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(ผิด เพราะสนับสนุนให้ประกอบวิชาชีพผิดกฎหมาย):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(ผิด ว่าทำให้เสื่อมเสียวิชาชีพ):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 s="2" t="n"/>
      <c r="L135" s="2" t="inlineStr">
        <is>
          <t>พ.ร.บ. วิชาชีพเภสัชกรรม 2537</t>
        </is>
      </c>
      <c r="M135" s="2" t="inlineStr">
        <is>
          <t>SAP</t>
        </is>
      </c>
      <c r="N135" s="2" t="inlineStr">
        <is>
          <t>ข้อ 38 (PLE_CC1_2562_Key.md)</t>
        </is>
      </c>
      <c r="O135" s="2" t="inlineStr">
        <is>
          <t>ข้อสอบจริง</t>
        </is>
      </c>
      <c r="P135" s="2" t="inlineStr">
        <is>
          <t>ปี 2562</t>
        </is>
      </c>
    </row>
    <row r="136" ht="13.2" customHeight="1" s="37">
      <c r="A136" s="2" t="n">
        <v>134</v>
      </c>
      <c r="B136" s="2" t="inlineStr">
        <is>
          <t>ท่านเป็นเภสัชกรที่ได้รับมอบหมายให้ทำหน้าที่ประเมินความคุ้มค่าของยาใหม่ที่จะนำเข้ามาใช้ในโรงพยาบาลแทน - trastuzumab ในโรงพยาบาลรัฐแห่งหนึ่ง สิทธิ์ข้าราชการจะใช้เครื่องมือและมุมมองใด</t>
        </is>
      </c>
      <c r="C136" s="2" t="n"/>
      <c r="D136" s="2" t="inlineStr">
        <is>
          <t>Cost utility มุมมองผู้จ่ายเงิน</t>
        </is>
      </c>
      <c r="E136" s="2" t="inlineStr">
        <is>
          <t>Cost effective มุมมองผู้จ่ายเงิน</t>
        </is>
      </c>
      <c r="F136" s="2" t="inlineStr">
        <is>
          <t>Cost effective มุมมองสังคม</t>
        </is>
      </c>
      <c r="G136" s="2" t="inlineStr">
        <is>
          <t>Cost utility มุมมองผู้ป่วย</t>
        </is>
      </c>
      <c r="H136" s="2" t="inlineStr">
        <is>
          <t>Cost utility มุมมองสังคม</t>
        </is>
      </c>
      <c r="I136" s="2" t="n">
        <v>1</v>
      </c>
      <c r="J136" s="2" t="inlineStr">
        <is>
          <t>✅ คำตอบที่ถูกต้อง: ข้อ ก. Cost utility มุมมองผู้จ่ายเงิน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มุมมองผู้จ่ายเงิน 💡 คำอธิบายและข้อกำหนดทางกฎหมาย:
💡 คำอธิบายและข้อกำหนดทางกฎหมาย:
การเลือก Cost utility มุมมองผู้จ่ายเงิน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 effective มุมมองผู้จ่ายเงิน): ข้อนี้ไม่ใช่คำตอบที่ถูกต้องสำหรับภาวะ พ.ร.บ. ยา พ.ศ. 2510 เนื่องจากกลไกการออกฤทธิ์, efficacy หรือข้อบ่งใช้ไม่ตรงกับโจทย์ที่กำหนด
• ข้อ ค. (Cost effective มุมมองสังคม): ข้อนี้ไม่ใช่คำตอบที่ถูกต้องสำหรับภาวะ พ.ร.บ. ยา พ.ศ. 2510 เนื่องจากกลไกการออกฤทธิ์, efficacy หรือข้อบ่งใช้ไม่ตรงกับโจทย์ที่กำหนด
• ข้อ ง. (Cost utility มุมมองผู้ป่วย): ข้อนี้ไม่ใช่คำตอบที่ถูกต้องสำหรับภาวะ พ.ร.บ. ยา พ.ศ. 2510 เนื่องจากกลไกการออกฤทธิ์, efficacy หรือข้อบ่งใช้ไม่ตรงกับโจทย์ที่กำหนด
• ข้อ จ. (Cost utility มุมมองสังคม):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 s="2" t="n"/>
      <c r="L136" s="2" t="inlineStr">
        <is>
          <t>พ.ร.บ. ยา พ.ศ. 2510</t>
        </is>
      </c>
      <c r="M136" s="2" t="inlineStr">
        <is>
          <t>SAP</t>
        </is>
      </c>
      <c r="N136" s="2" t="inlineStr">
        <is>
          <t>ข้อ 52 (PLE_CC1_2562_Key.md)</t>
        </is>
      </c>
      <c r="O136" s="2" t="inlineStr">
        <is>
          <t>ข้อสอบจริง</t>
        </is>
      </c>
      <c r="P136" s="2" t="inlineStr">
        <is>
          <t>ปี 2562</t>
        </is>
      </c>
    </row>
    <row r="137" ht="13.2" customHeight="1" s="37">
      <c r="A137" s="2" t="n">
        <v>135</v>
      </c>
      <c r="B137" s="2" t="inlineStr">
        <is>
          <t>จากรูปยาในโครงสร(างมีกลไกการออกฤทธิ์อย.างไร</t>
        </is>
      </c>
      <c r="C137" s="2" t="n"/>
      <c r="D137" s="2" t="inlineStr">
        <is>
          <t>มีผลต.อดีเอนเอ</t>
        </is>
      </c>
      <c r="E137" s="2" t="inlineStr">
        <is>
          <t>มีผลต.อผนังเซลล</t>
        </is>
      </c>
      <c r="F137" s="2" t="inlineStr">
        <is>
          <t>มีผลต.อไมโครทูบูล</t>
        </is>
      </c>
      <c r="G137" s="2" t="inlineStr">
        <is>
          <t>มีผลต.อเยื่อหุ(มเซลล</t>
        </is>
      </c>
      <c r="H137" s="2" t="inlineStr">
        <is>
          <t>มีผลเป5นพิษต.อเซลล imidazole inanition</t>
        </is>
      </c>
      <c r="I137" s="2" t="n">
        <v>1</v>
      </c>
      <c r="J137" s="2" t="inlineStr">
        <is>
          <t>✅ คำตอบที่ถูกต้อง: ข้อ ก. มีผลต.อดีเอนเอ
💡 Background:
กฎหมายยาและจรรยาบรรณวิชาชีพมีขึ้นเพื่อคุ้มครองความปลอดภัยของผู้บริโภคตามมาตรฐาน Good Pharmacy Practice (GPP)
🎯 ทำไมข้อนี้ถึงถูก:
มีผลต.อดีเอนเอ 💡 คำอธิบายและข้อกำหนดทางกฎหมาย:
💡 คำอธิบายและข้อกำหนดทางกฎหมาย:
การเลือก มีผลต.อดีเอนเอ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(มีผลต.อผนังเซลล): ข้อนี้ไม่ใช่คำตอบที่ถูกต้องสำหรับภาวะ พ.ร.บ. ยา พ.ศ. 2510 เนื่องจากกลไกการออกฤทธิ์, efficacy หรือข้อบ่งใช้ไม่ตรงกับโจทย์ที่กำหนด
• ข้อ ค. (มีผลต.อไมโครทูบูล): ข้อนี้ไม่ใช่คำตอบที่ถูกต้องสำหรับภาวะ พ.ร.บ. ยา พ.ศ. 2510 เนื่องจากกลไกการออกฤทธิ์, efficacy หรือข้อบ่งใช้ไม่ตรงกับโจทย์ที่กำหนด
• ข้อ ง. (มีผลต.อเยื่อหุ(มเซลล): ข้อนี้ไม่ใช่คำตอบที่ถูกต้องสำหรับภาวะ พ.ร.บ. ยา พ.ศ. 2510 เนื่องจากกลไกการออกฤทธิ์, efficacy หรือข้อบ่งใช้ไม่ตรงกับโจทย์ที่กำหนด
• ข้อ จ. (มีผลเป5นพิษต.อเซลล imidazole inanition):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7" s="2" t="n"/>
      <c r="L137" s="2" t="inlineStr">
        <is>
          <t>พ.ร.บ. ยา พ.ศ. 2510</t>
        </is>
      </c>
      <c r="M137" s="2" t="inlineStr">
        <is>
          <t>SAP</t>
        </is>
      </c>
      <c r="N137" s="2" t="inlineStr">
        <is>
          <t>ข้อ 41 (PLE_CC1_2561_Key.md)</t>
        </is>
      </c>
      <c r="O137" s="2" t="inlineStr">
        <is>
          <t>ข้อสอบจริง</t>
        </is>
      </c>
      <c r="P137" s="2" t="inlineStr">
        <is>
          <t>ปี 2561</t>
        </is>
      </c>
    </row>
    <row r="138" ht="13.2" customHeight="1" s="37">
      <c r="A138" s="2" t="n">
        <v>136</v>
      </c>
      <c r="B138" s="2" t="inlineStr">
        <is>
          <t>เมื่อทดสอบยาครีมแบบ freeze thaw cycle พบว.าตำรับ เปลี่ยนแปลงไปดังภาพ จากปVญหาดังกล.าวท.านมีวิธีการแก(ไข ปVญหาความไม.คงตัวดังกล.าวอย.างไร mm</t>
        </is>
      </c>
      <c r="C138" s="2" t="n"/>
      <c r="D138" s="2" t="inlineStr">
        <is>
          <t>เติม tragacanth ในตำรับ O/W</t>
        </is>
      </c>
      <c r="E138" s="2" t="inlineStr">
        <is>
          <t>เติม sodium chloride ในตำรับ O/W</t>
        </is>
      </c>
      <c r="F138" s="2" t="inlineStr">
        <is>
          <t>เติม sodium benzoate ในตำรับ O/W</t>
        </is>
      </c>
      <c r="G138" s="2" t="inlineStr">
        <is>
          <t>ใช(เครื่อง ball mill ในการเตรียมตำรับ O/W</t>
        </is>
      </c>
      <c r="H138" s="2" t="inlineStr">
        <is>
          <t>เติม hydroxyethyl cellulose ในตำรับ O/W</t>
        </is>
      </c>
      <c r="I138" s="2" t="n">
        <v>1</v>
      </c>
      <c r="J138" s="2" t="inlineStr">
        <is>
          <t>✅ คำตอบที่ถูกต้อง: ข้อ ก. เติม tragacanth ในตำรับ O/W
💡 Background:
กฎหมายยาและจรรยาบรรณวิชาชีพมีขึ้นเพื่อคุ้มครองความปลอดภัยของผู้บริโภคตามมาตรฐาน Good Pharmacy Practice (GPP)
🎯 ทำไมข้อนี้ถึงถูก:
เติม tragacanth ในตำรับ O/W 💡 คำอธิบายและข้อกำหนดทางกฎหมาย:
💡 คำอธิบายและข้อกำหนดทางกฎหมาย:
การเลือก เติม tragacanth ในตำรับ O/W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sodium chloride ในตำรับ O/W): ข้อนี้ไม่ใช่คำตอบที่ถูกต้องสำหรับภาวะ พ.ร.บ. ยา พ.ศ. 2510 เนื่องจากกลไกการออกฤทธิ์, efficacy หรือข้อบ่งใช้ไม่ตรงกับโจทย์ที่กำหนด
• ข้อ ค. (เติม sodium benzoate ในตำรับ O/W): ข้อนี้ไม่ใช่คำตอบที่ถูกต้องสำหรับภาวะ พ.ร.บ. ยา พ.ศ. 2510 เนื่องจากกลไกการออกฤทธิ์, efficacy หรือข้อบ่งใช้ไม่ตรงกับโจทย์ที่กำหนด
• ข้อ ง. (ใช(เครื่อง ball mill ในการเตรียมตำรับ O/W): ข้อนี้ไม่ใช่คำตอบที่ถูกต้องสำหรับภาวะ พ.ร.บ. ยา พ.ศ. 2510 เนื่องจากกลไกการออกฤทธิ์, efficacy หรือข้อบ่งใช้ไม่ตรงกับโจทย์ที่กำหนด
• ข้อ จ. (เติม hydroxyethyl cellulose ในตำรับ O/W):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8" s="2" t="n"/>
      <c r="L138" s="2" t="inlineStr">
        <is>
          <t>พ.ร.บ. ยา พ.ศ. 2510</t>
        </is>
      </c>
      <c r="M138" s="2" t="inlineStr">
        <is>
          <t>SAP</t>
        </is>
      </c>
      <c r="N138" s="2" t="inlineStr">
        <is>
          <t>ข้อ 43 (PLE_CC1_2561_Key.md)</t>
        </is>
      </c>
      <c r="O138" s="2" t="inlineStr">
        <is>
          <t>ข้อสอบจริง</t>
        </is>
      </c>
      <c r="P138" s="2" t="inlineStr">
        <is>
          <t>ปี 2561</t>
        </is>
      </c>
    </row>
    <row r="139" ht="13.2" customHeight="1" s="37">
      <c r="A139" s="2" t="n">
        <v>137</v>
      </c>
      <c r="B139" s="2" t="inlineStr">
        <is>
          <t>ยา naproxen มีกลไกการออกฤทธิ์อย.างไร</t>
        </is>
      </c>
      <c r="C139" s="2" t="n"/>
      <c r="D139" s="2" t="inlineStr">
        <is>
          <t>ลดการสร(าง leukotriene</t>
        </is>
      </c>
      <c r="E139" s="2" t="inlineStr">
        <is>
          <t>ลดการสร(าง thromboxane A2</t>
        </is>
      </c>
      <c r="F139" s="2" t="inlineStr">
        <is>
          <t>ยับยั้งการทำงานของ prostaglandin</t>
        </is>
      </c>
      <c r="G139" s="2" t="inlineStr">
        <is>
          <t>ยับยั้งการทำงานของเอนไซม lipo-oxygenase</t>
        </is>
      </c>
      <c r="H139" s="2" t="inlineStr">
        <is>
          <t>ยับยั้งการทำงานของเอนไซม cyclo-oxyganase</t>
        </is>
      </c>
      <c r="I139" s="2" t="n">
        <v>1</v>
      </c>
      <c r="J139" s="2" t="inlineStr">
        <is>
          <t>✅ คำตอบที่ถูกต้อง: ข้อ ก. ลดการสร(าง leukotriene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ลดการสร(าง leukotriene 💡 คำอธิบายและข้อกำหนดทางกฎหมาย:
💡 คำอธิบายและข้อกำหนดทางกฎหมาย:
การเลือก ลดการสร(าง leukotriene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(ลดการสร(าง thromboxane A2): ข้อนี้ไม่ใช่คำตอบที่ถูกต้องสำหรับภาวะ พ.ร.บ. ยา พ.ศ. 2510 เนื่องจากกลไกการออกฤทธิ์, efficacy หรือข้อบ่งใช้ไม่ตรงกับโจทย์ที่กำหนด
• ข้อ ค. (ยับยั้งการทำงานของ prostaglandin): ข้อนี้ไม่ใช่คำตอบที่ถูกต้องสำหรับภาวะ พ.ร.บ. ยา พ.ศ. 2510 เนื่องจากกลไกการออกฤทธิ์, efficacy หรือข้อบ่งใช้ไม่ตรงกับโจทย์ที่กำหนด
• ข้อ ง. (ยับยั้งการทำงานของเอนไซม lipo-oxygenase): ข้อนี้ไม่ใช่คำตอบที่ถูกต้องสำหรับภาวะ พ.ร.บ. ยา พ.ศ. 2510 เนื่องจากกลไกการออกฤทธิ์, efficacy หรือข้อบ่งใช้ไม่ตรงกับโจทย์ที่กำหนด
• ข้อ จ. (ยับยั้งการทำงานของเอนไซม cyclo-oxyganase):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9" s="2" t="n"/>
      <c r="L139" s="2" t="inlineStr">
        <is>
          <t>พ.ร.บ. ยา พ.ศ. 2510</t>
        </is>
      </c>
      <c r="M139" s="2" t="inlineStr">
        <is>
          <t>SAP</t>
        </is>
      </c>
      <c r="N139" s="2" t="inlineStr">
        <is>
          <t>ข้อ 49 (PLE_CC1_2561_Key.md)</t>
        </is>
      </c>
      <c r="O139" s="2" t="inlineStr">
        <is>
          <t>ข้อสอบจริง</t>
        </is>
      </c>
      <c r="P139" s="2" t="inlineStr">
        <is>
          <t>ปี 2561</t>
        </is>
      </c>
    </row>
    <row r="140" ht="13.2" customHeight="1" s="37">
      <c r="A140" s="2" t="n">
        <v>138</v>
      </c>
      <c r="B140" s="2" t="inlineStr">
        <is>
          <t>ผู(ปcวยได(รับยา naproxen 250 mg มารับประทานแต. อาการปวดยังไม.ดีขึ้น จึงได(ปรับขนาดยาเป5น 500 mg พบว.า อาการปวดดีขึ้น แต.มีอาการคล(ายกรดไหลย(อนแสบยอดอก จะแก(ไขปVญหาอย.างไรจึงจะมีความเหมาะสม</t>
        </is>
      </c>
      <c r="C140" s="2" t="n"/>
      <c r="D140" s="2" t="inlineStr">
        <is>
          <t>เปลี่ยนเป5นยา celecoxib</t>
        </is>
      </c>
      <c r="E140" s="2" t="inlineStr">
        <is>
          <t>เปลี่ยนเป5นยา tramadol</t>
        </is>
      </c>
      <c r="F140" s="2" t="inlineStr">
        <is>
          <t>เปลี่ยนเป5นยา methotrexate</t>
        </is>
      </c>
      <c r="G140" s="2" t="inlineStr">
        <is>
          <t>Naproxen 250 mg + antacid</t>
        </is>
      </c>
      <c r="H140" s="2" t="inlineStr">
        <is>
          <t>Naproxen 500 mg + omeprazole mum</t>
        </is>
      </c>
      <c r="I140" s="2" t="n">
        <v>1</v>
      </c>
      <c r="J140" s="2" t="inlineStr">
        <is>
          <t>✅ คำตอบที่ถูกต้อง: ข้อ ก. เปลี่ยนเป5นยา celecoxib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เปลี่ยนเป5นยา celecoxib 💡 คำอธิบายและข้อกำหนดทางกฎหมาย:
💡 คำอธิบายและข้อกำหนดทางกฎหมาย:
การเลือก เปลี่ยนเป5นยา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(เปลี่ยนเป5นยา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(เปลี่ยนเป5นยา methotrexate): เป็น anchor csDMARD สำหรับ Rheumatoid arthritis ยับยั้ง dihydrofolate reductase ต้องให้ Folic acid เสริม และห้ามใช้ในหญิงตั้งครรภ์ (contraindication / teratogenic)
• ข้อ ง. (Naproxen 250 mg + antacid): เป็น non-selective NSAID ที่มี cardiovascular safety profile ดีที่สุด และมี efficacy สูงในการระงับ acute inflammation
• ข้อ จ. (Naproxen 500 mg + omeprazole mum): เป็น non-selective NSAID ที่มี cardiovascular safety profile ดีที่สุด และมี efficacy สูงในการระงับ acute inflammation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0" s="2" t="n"/>
      <c r="L140" s="2" t="inlineStr">
        <is>
          <t>พ.ร.บ. ยา พ.ศ. 2510</t>
        </is>
      </c>
      <c r="M140" s="2" t="inlineStr">
        <is>
          <t>SAP</t>
        </is>
      </c>
      <c r="N140" s="2" t="inlineStr">
        <is>
          <t>ข้อ 50 (PLE_CC1_2561_Key.md)</t>
        </is>
      </c>
      <c r="O140" s="2" t="inlineStr">
        <is>
          <t>ข้อสอบจริง</t>
        </is>
      </c>
      <c r="P140" s="2" t="inlineStr">
        <is>
          <t>ปี 2561</t>
        </is>
      </c>
    </row>
    <row r="141" ht="13.2" customHeight="1" s="37">
      <c r="A141" s="2" t="n">
        <v>139</v>
      </c>
      <c r="B141" s="2" t="inlineStr">
        <is>
          <t>อาการใดเป5นอาการรุนแรง ควรไปพบแพทยอย.างเร.งด.วนสำหรับ ผู(ปcวยรายนี้</t>
        </is>
      </c>
      <c r="C141" s="2" t="n"/>
      <c r="D141" s="2" t="inlineStr">
        <is>
          <t>ปวดท(อง</t>
        </is>
      </c>
      <c r="E141" s="2" t="inlineStr">
        <is>
          <t>ปวดศีรษะ</t>
        </is>
      </c>
      <c r="F141" s="2" t="inlineStr">
        <is>
          <t>เบื่ออาหาร</t>
        </is>
      </c>
      <c r="G141" s="2" t="inlineStr">
        <is>
          <t>ปVสสาวะขุ.น</t>
        </is>
      </c>
      <c r="H141" s="2" t="inlineStr">
        <is>
          <t>มีไข( หนาวสั่น</t>
        </is>
      </c>
      <c r="I141" s="2" t="n">
        <v>1</v>
      </c>
      <c r="J141" s="2" t="inlineStr">
        <is>
          <t>✅ คำตอบที่ถูกต้อง: ข้อ ก. ปวดท(อง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ปวดท(อง 💡 คำอธิบายและข้อกำหนดทางกฎหมาย:
💡 คำอธิบายและข้อกำหนดทางกฎหมาย:
การเลือก ปวดท(อง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(ปวดศีรษะ): ข้อนี้ไม่ใช่คำตอบที่ถูกต้องสำหรับภาวะ พ.ร.บ. ยา พ.ศ. 2510 เนื่องจากกลไกการออกฤทธิ์, efficacy หรือข้อบ่งใช้ไม่ตรงกับโจทย์ที่กำหนด
• ข้อ ค. (เบื่ออาหาร): ข้อนี้ไม่ใช่คำตอบที่ถูกต้องสำหรับภาวะ พ.ร.บ. ยา พ.ศ. 2510 เนื่องจากกลไกการออกฤทธิ์, efficacy หรือข้อบ่งใช้ไม่ตรงกับโจทย์ที่กำหนด
• ข้อ ง. (ปVสสาวะขุ.น): ข้อนี้ไม่ใช่คำตอบที่ถูกต้องสำหรับภาวะ พ.ร.บ. ยา พ.ศ. 2510 เนื่องจากกลไกการออกฤทธิ์, efficacy หรือข้อบ่งใช้ไม่ตรงกับโจทย์ที่กำหนด
• ข้อ จ. (มีไข( หนาวสั่น):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 s="2" t="n"/>
      <c r="L141" s="2" t="inlineStr">
        <is>
          <t>พ.ร.บ. ยา พ.ศ. 2510</t>
        </is>
      </c>
      <c r="M141" s="2" t="inlineStr">
        <is>
          <t>SAP</t>
        </is>
      </c>
      <c r="N141" s="2" t="inlineStr">
        <is>
          <t>ข้อ 78 (PLE_CC1_2561_Key.md)</t>
        </is>
      </c>
      <c r="O141" s="2" t="inlineStr">
        <is>
          <t>ข้อสอบจริง</t>
        </is>
      </c>
      <c r="P141" s="2" t="inlineStr">
        <is>
          <t>ปี 2561</t>
        </is>
      </c>
    </row>
    <row r="142" ht="13.2" customHeight="1" s="37">
      <c r="A142" s="2" t="n">
        <v>140</v>
      </c>
      <c r="B142" s="2" t="inlineStr">
        <is>
          <t>เภสัชกรควรแนะนำการใช(ยา isotretinoin แก.ผู(ปcวยอย.างไร</t>
        </is>
      </c>
      <c r="C142" s="2" t="n"/>
      <c r="D142" s="2" t="inlineStr">
        <is>
          <t>กินตอนท(องว.าง</t>
        </is>
      </c>
      <c r="E142" s="2" t="inlineStr">
        <is>
          <t>กินห.างกันอย.างน(อยสองชั่วโมง</t>
        </is>
      </c>
      <c r="F142" s="2" t="inlineStr">
        <is>
          <t>ใช(ครีมกันแดด SPF อย.างน(อย 30</t>
        </is>
      </c>
      <c r="G142" s="2" t="inlineStr">
        <is>
          <t>อาจทำให( คอนแทคเลนสเปลี่ยนสี</t>
        </is>
      </c>
      <c r="H142" s="2" t="inlineStr">
        <is>
          <t>ต(องมีการตรวจค.าไตอย.างสม่ำเสมอ</t>
        </is>
      </c>
      <c r="I142" s="2" t="n">
        <v>1</v>
      </c>
      <c r="J142" s="2" t="inlineStr">
        <is>
          <t>✅ คำตอบที่ถูกต้อง: ข้อ ก. กินตอนท(องว.าง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กินตอนท(องว.าง 💡 คำอธิบายและข้อกำหนดทางกฎหมาย:
💡 คำอธิบายและข้อกำหนดทางกฎหมาย:
การเลือก กินตอนท(องว.าง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(กินห.างกันอย.างน(อยสองชั่วโมง): ข้อนี้ไม่ใช่คำตอบที่ถูกต้องสำหรับภาวะ พ.ร.บ. ยา พ.ศ. 2510 เนื่องจากกลไกการออกฤทธิ์, efficacy หรือข้อบ่งใช้ไม่ตรงกับโจทย์ที่กำหนด
• ข้อ ค. (ใช(ครีมกันแดด SPF อย.างน(อย 30): ข้อนี้ไม่ใช่คำตอบที่ถูกต้องสำหรับภาวะ พ.ร.บ. ยา พ.ศ. 2510 เนื่องจากกลไกการออกฤทธิ์, efficacy หรือข้อบ่งใช้ไม่ตรงกับโจทย์ที่กำหนด
• ข้อ ง. (อาจทำให( คอนแทคเลนสเปลี่ยนสี): ข้อนี้ไม่ใช่คำตอบที่ถูกต้องสำหรับภาวะ พ.ร.บ. ยา พ.ศ. 2510 เนื่องจากกลไกการออกฤทธิ์, efficacy หรือข้อบ่งใช้ไม่ตรงกับโจทย์ที่กำหนด
• ข้อ จ. (ต(องมีการตรวจค.าไตอย.างสม่ำเสมอ):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 s="2" t="n"/>
      <c r="L142" s="2" t="inlineStr">
        <is>
          <t>พ.ร.บ. ยา พ.ศ. 2510</t>
        </is>
      </c>
      <c r="M142" s="2" t="inlineStr">
        <is>
          <t>SAP</t>
        </is>
      </c>
      <c r="N142" s="2" t="inlineStr">
        <is>
          <t>ข้อ 81 (PLE_CC1_2561_Key.md)</t>
        </is>
      </c>
      <c r="O142" s="2" t="inlineStr">
        <is>
          <t>ข้อสอบจริง</t>
        </is>
      </c>
      <c r="P142" s="2" t="inlineStr">
        <is>
          <t>ปี 2561</t>
        </is>
      </c>
    </row>
    <row r="143" ht="13.2" customHeight="1" s="37">
      <c r="A143" s="2" t="n">
        <v>141</v>
      </c>
      <c r="B143" s="2" t="inlineStr">
        <is>
          <t>จากสูตรตำรับ benzoylperoxide emulgel ประกอบไปด(วย carbopol 940, benzoyl peroxide, PEG, metylparaben, propylparaben, EDTA, purified water ตัวยาไม.คงตัวที่ pH &gt;4.5 หากตำรับขุ.นจะต(องแก(ไขอย.างไร I</t>
        </is>
      </c>
      <c r="C143" s="2" t="n"/>
      <c r="D143" s="2" t="inlineStr">
        <is>
          <t>เพิ่ม NaOH</t>
        </is>
      </c>
      <c r="E143" s="2" t="inlineStr">
        <is>
          <t>เติม Span 60</t>
        </is>
      </c>
      <c r="F143" s="2" t="inlineStr">
        <is>
          <t>เติม Tween 20</t>
        </is>
      </c>
      <c r="G143" s="2" t="inlineStr">
        <is>
          <t>ลดวัฏภาคน้ำมัน</t>
        </is>
      </c>
      <c r="H143" s="2" t="inlineStr">
        <is>
          <t>เพิ่มปริมาณ BHT</t>
        </is>
      </c>
      <c r="I143" s="2" t="n">
        <v>1</v>
      </c>
      <c r="J143" s="2" t="inlineStr">
        <is>
          <t>✅ คำตอบที่ถูกต้อง: ข้อ ก. เพิ่ม NaOH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 NaOH 💡 คำอธิบายและข้อกำหนดทางกฎหมาย:
💡 คำอธิบายและข้อกำหนดทางกฎหมาย:
การเลือก เพิ่ม NaOH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Span 60): ข้อนี้ไม่ใช่คำตอบที่ถูกต้องสำหรับภาวะ พ.ร.บ. ยา พ.ศ. 2510 เนื่องจากกลไกการออกฤทธิ์, efficacy หรือข้อบ่งใช้ไม่ตรงกับโจทย์ที่กำหนด
• ข้อ ค. (เติม Tween 20): ข้อนี้ไม่ใช่คำตอบที่ถูกต้องสำหรับภาวะ พ.ร.บ. ยา พ.ศ. 2510 เนื่องจากกลไกการออกฤทธิ์, efficacy หรือข้อบ่งใช้ไม่ตรงกับโจทย์ที่กำหนด
• ข้อ ง. (ลดวัฏภาคน้ำมัน): ข้อนี้ไม่ใช่คำตอบที่ถูกต้องสำหรับภาวะ พ.ร.บ. ยา พ.ศ. 2510 เนื่องจากกลไกการออกฤทธิ์, efficacy หรือข้อบ่งใช้ไม่ตรงกับโจทย์ที่กำหนด
• ข้อ จ. (เพิ่มปริมาณ BHT): เป็น Butylated hydroxytoluene สาร antioxidant ละลายในไขมัน (lipid-soluble) ป้องกันการเหม็นหืนและการเกิด free radical oxidation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3" s="2" t="n"/>
      <c r="L143" s="2" t="inlineStr">
        <is>
          <t>พ.ร.บ. ยา พ.ศ. 2510</t>
        </is>
      </c>
      <c r="M143" s="2" t="inlineStr">
        <is>
          <t>SAP</t>
        </is>
      </c>
      <c r="N143" s="2" t="inlineStr">
        <is>
          <t>ข้อ 89 (PLE_CC1_2561_Key.md)</t>
        </is>
      </c>
      <c r="O143" s="2" t="inlineStr">
        <is>
          <t>ข้อสอบจริง</t>
        </is>
      </c>
      <c r="P143" s="2" t="inlineStr">
        <is>
          <t>ปี 2561</t>
        </is>
      </c>
    </row>
    <row r="144" ht="13.2" customHeight="1" s="37">
      <c r="A144" s="2" t="n">
        <v>142</v>
      </c>
      <c r="B144" s="2" t="inlineStr">
        <is>
          <t>ถ(าวิเคราะหยา A ด(วย HPLC ได( retention time ของ standard เท.ากับยา A หมายความว.าอย.างไร</t>
        </is>
      </c>
      <c r="C144" s="2" t="n"/>
      <c r="D144" s="2" t="inlineStr">
        <is>
          <t>ยา A กับ standard มีปริมาณเท.ากัน</t>
        </is>
      </c>
      <c r="E144" s="2" t="inlineStr">
        <is>
          <t>ยากับ standard เป5นสารคนละตัวกัน</t>
        </is>
      </c>
      <c r="F144" s="2" t="inlineStr">
        <is>
          <t>ยา A เป5น by product ของ standard</t>
        </is>
      </c>
      <c r="G144" s="2" t="inlineStr">
        <is>
          <t>เวลาที่ standard กับยา A อยู.ใน column เท.ากัน</t>
        </is>
      </c>
      <c r="H144" s="2" t="inlineStr">
        <is>
          <t>ยา A มีความชอบพอกับ stationary phase ใน column</t>
        </is>
      </c>
      <c r="I144" s="2" t="n">
        <v>1</v>
      </c>
      <c r="J144" s="2" t="inlineStr">
        <is>
          <t>✅ คำตอบที่ถูกต้อง: ข้อ ก. ยา A กับ standard มีปริมาณเท.ากัน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กับ standard มีปริมาณเท.ากัน 💡 คำอธิบายและข้อกำหนดทางกฎหมาย:
💡 คำอธิบายและข้อกำหนดทางกฎหมาย:
การเลือก ยา A กับ standard มีปริมาณเท.ากัน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(ยากับ standard เป5นสารคนละตัวกัน):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 A เป5น by product ของ standard): ข้อนี้ไม่ใช่คำตอบที่ถูกต้องสำหรับภาวะ พ.ร.บ. ยา พ.ศ. 2510 เนื่องจากกลไกการออกฤทธิ์, efficacy หรือข้อบ่งใช้ไม่ตรงกับโจทย์ที่กำหนด
• ข้อ ง. (เวลาที่ standard กับยา A อยู.ใน column เท.ากัน):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 A มีความชอบพอกับ stationary phase ใน column):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 s="2" t="n"/>
      <c r="L144" s="2" t="inlineStr">
        <is>
          <t>พ.ร.บ. ยา พ.ศ. 2510</t>
        </is>
      </c>
      <c r="M144" s="2" t="inlineStr">
        <is>
          <t>SAP</t>
        </is>
      </c>
      <c r="N144" s="2" t="inlineStr">
        <is>
          <t>ข้อ 112 (PLE_CC1_2561_Key.md)</t>
        </is>
      </c>
      <c r="O144" s="2" t="inlineStr">
        <is>
          <t>ข้อสอบจริง</t>
        </is>
      </c>
      <c r="P144" s="2" t="inlineStr">
        <is>
          <t>ปี 2561</t>
        </is>
      </c>
    </row>
    <row r="145" ht="13.2" customHeight="1" s="37">
      <c r="A145" s="2" t="n">
        <v>143</v>
      </c>
      <c r="B145" s="2" t="inlineStr">
        <is>
          <t>ยา HCTZ 25 mg/tab น้ำหนักเม็ดยา 1 เม็ดเท.ากับ 100 mg ควร ทดสอบในหัวข้อ uniformity of dosage unit USP41 อย.างไร mm i I 8</t>
        </is>
      </c>
      <c r="C145" s="2" t="n"/>
      <c r="D145" s="2" t="inlineStr">
        <is>
          <t>ค.ายา</t>
        </is>
      </c>
      <c r="E145" s="2" t="inlineStr">
        <is>
          <t>ค.าตรวจเลือด</t>
        </is>
      </c>
      <c r="F145" s="2" t="inlineStr">
        <is>
          <t>ค.าเครื่องมือแพทย</t>
        </is>
      </c>
      <c r="G145" s="2" t="inlineStr">
        <is>
          <t>ค.าความเจ็บปวด</t>
        </is>
      </c>
      <c r="H145" s="2" t="inlineStr">
        <is>
          <t>ค.าสูญเสียประสิทธิภาพการทำงาน</t>
        </is>
      </c>
      <c r="I145" s="2" t="n">
        <v>1</v>
      </c>
      <c r="J145" s="2" t="inlineStr">
        <is>
          <t>✅ คำตอบที่ถูกต้อง: ข้อ ก. ค.ายา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ค.ายา 💡 คำอธิบายและข้อกำหนดทางกฎหมาย:
💡 คำอธิบายและข้อกำหนดทางกฎหมาย:
การเลือก ค.ายา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(ค.าตรวจเลือด): ข้อนี้ไม่ใช่คำตอบที่ถูกต้องสำหรับภาวะ พ.ร.บ. ยา พ.ศ. 2510 เนื่องจากกลไกการออกฤทธิ์, efficacy หรือข้อบ่งใช้ไม่ตรงกับโจทย์ที่กำหนด
• ข้อ ค. (ค.าเครื่องมือแพทย):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ง. (ค.าความเจ็บปวด): ข้อนี้ไม่ใช่คำตอบที่ถูกต้องสำหรับภาวะ พ.ร.บ. ยา พ.ศ. 2510 เนื่องจากกลไกการออกฤทธิ์, efficacy หรือข้อบ่งใช้ไม่ตรงกับโจทย์ที่กำหนด
• ข้อ จ. (ค.าสูญเสียประสิทธิภาพการทำงาน):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5" s="2" t="n"/>
      <c r="L145" s="2" t="inlineStr">
        <is>
          <t>พ.ร.บ. ยา พ.ศ. 2510</t>
        </is>
      </c>
      <c r="M145" s="2" t="inlineStr">
        <is>
          <t>SAP</t>
        </is>
      </c>
      <c r="N145" s="2" t="inlineStr">
        <is>
          <t>ข้อ 114 (PLE_CC1_2561_Key.md)</t>
        </is>
      </c>
      <c r="O145" s="2" t="inlineStr">
        <is>
          <t>ข้อสอบจริง</t>
        </is>
      </c>
      <c r="P145" s="2" t="inlineStr">
        <is>
          <t>ปี 2561</t>
        </is>
      </c>
    </row>
    <row r="146" ht="13.2" customHeight="1" s="37">
      <c r="A146" s="2" t="n">
        <v>144</v>
      </c>
      <c r="B146" s="2" t="inlineStr">
        <is>
          <t>หากต(องการศึกษาเรื่องประสิทธิภาพของยาโดยวัดอัตราการการ หายของโรคของผู(ที่ใช(ยาเทียบกับผู(ที่ไม.ใช(ยา ควรใช(วิธีการศึกษา แบบใด outcomesExpose ti Tene</t>
        </is>
      </c>
      <c r="C146" s="2" t="n"/>
      <c r="D146" s="2" t="inlineStr">
        <is>
          <t>ศึกษาแบบ Case control โดยหาค.า RR</t>
        </is>
      </c>
      <c r="E146" s="2" t="inlineStr">
        <is>
          <t>ศึกษาแบบ Case control โดยหาค.า OR</t>
        </is>
      </c>
      <c r="F146" s="2" t="inlineStr">
        <is>
          <t>ศึกษาแบบ Cohort study โดยหาค.า RR</t>
        </is>
      </c>
      <c r="G146" s="2" t="inlineStr">
        <is>
          <t>ศึกษาแบบ Cohort study โดยหาค.า OR</t>
        </is>
      </c>
      <c r="H146" s="2" t="inlineStr">
        <is>
          <t>ศึกษาแบบ Cross sectional วัดผลเป5น prevalence e r e ere t</t>
        </is>
      </c>
      <c r="I146" s="2" t="n">
        <v>1</v>
      </c>
      <c r="J146" s="2" t="inlineStr">
        <is>
          <t>✅ คำตอบที่ถูกต้อง: ข้อ ก. ศึกษาแบบ Case control โดยหาค.า RR
💡 Background:
กฎหมายยาและจรรยาบรรณวิชาชีพมีขึ้นเพื่อคุ้มครองความปลอดภัยของผู้บริโภคตามมาตรฐาน Good Pharmacy Practice (GPP)
🎯 ทำไมข้อนี้ถึงถูก:
ศึกษาแบบ Case control โดยหาค.า RR 💡 คำอธิบายและข้อกำหนดทางกฎหมาย:
💡 คำอธิบายและข้อกำหนดทางกฎหมาย:
การเลือก ศึกษาแบบ Case control โดยหาค.า RR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(ศึกษาแบบ Case control โดยหาค.า OR): ข้อนี้ไม่ใช่คำตอบที่ถูกต้องสำหรับภาวะ พ.ร.บ. ยา พ.ศ. 2510 เนื่องจากกลไกการออกฤทธิ์, efficacy หรือข้อบ่งใช้ไม่ตรงกับโจทย์ที่กำหนด
• ข้อ ค. (ศึกษาแบบ Cohort study โดยหาค.า RR): ข้อนี้ไม่ใช่คำตอบที่ถูกต้องสำหรับภาวะ พ.ร.บ. ยา พ.ศ. 2510 เนื่องจากกลไกการออกฤทธิ์, efficacy หรือข้อบ่งใช้ไม่ตรงกับโจทย์ที่กำหนด
• ข้อ ง. (ศึกษาแบบ Cohort study โดยหาค.า OR): ข้อนี้ไม่ใช่คำตอบที่ถูกต้องสำหรับภาวะ พ.ร.บ. ยา พ.ศ. 2510 เนื่องจากกลไกการออกฤทธิ์, efficacy หรือข้อบ่งใช้ไม่ตรงกับโจทย์ที่กำหนด
• ข้อ จ. (ศึกษาแบบ Cross sectional วัดผลเป5น prevalence e r e ere t):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 s="2" t="n"/>
      <c r="L146" s="2" t="inlineStr">
        <is>
          <t>พ.ร.บ. ยา พ.ศ. 2510</t>
        </is>
      </c>
      <c r="M146" s="2" t="inlineStr">
        <is>
          <t>SAP</t>
        </is>
      </c>
      <c r="N146" s="2" t="inlineStr">
        <is>
          <t>ข้อ 121 (PLE_CC1_2561_Key.md)</t>
        </is>
      </c>
      <c r="O146" s="2" t="inlineStr">
        <is>
          <t>ข้อสอบจริง</t>
        </is>
      </c>
      <c r="P146" s="2" t="inlineStr">
        <is>
          <t>ปี 2561</t>
        </is>
      </c>
    </row>
    <row r="147" ht="13.2" customHeight="1" s="37">
      <c r="A147" s="2" t="n">
        <v>145</v>
      </c>
      <c r="B147" s="2" t="inlineStr">
        <is>
          <t>การศึกษาเปรียบเทียบประสิทธิภาพในการลดอัตราการเสียชีวิตในผู้ป่วย Heart failure เปรียบเทียบ ระหว่างยา A กับ Enalapril ศึกษาไป 24 เดือน พบว่า HR 0.80 (95%CI 0.79-0.91) p-value &lt; 0.001 แปลความหมายว่าอย่างไร</t>
        </is>
      </c>
      <c r="C147" s="2" t="n"/>
      <c r="D147" s="2" t="inlineStr">
        <is>
          <t>ยา A ลดอัตราการตายได้มากกว่า Enalapril ร้อยละ 80%</t>
        </is>
      </c>
      <c r="E147" s="2" t="inlineStr">
        <is>
          <t>ยา A ลดอัตราการตายได้มากกว่า Enalapril ร้อยละ 20%</t>
        </is>
      </c>
      <c r="F147" s="2" t="inlineStr">
        <is>
          <t>ยา A ลดอัตราการตายได้น้อยกว่า Enalapril ร้อยละ 80%</t>
        </is>
      </c>
      <c r="G147" s="2" t="inlineStr">
        <is>
          <t>ยา A ลดอัตราการตายได้น้อยกว่า Enalapril ร้อยละ 20%</t>
        </is>
      </c>
      <c r="H147" s="2" t="inlineStr">
        <is>
          <t>ยา A ลดอัตราการตายได้ร้อยละ 20% ของ Enalapril</t>
        </is>
      </c>
      <c r="I147" s="2" t="n">
        <v>1</v>
      </c>
      <c r="J147" s="2" t="inlineStr">
        <is>
          <t>✅ คำตอบที่ถูกต้อง: ข้อ ก. ยา A ลดอัตราการตายได้มากกว่า Enalapril ร้อยละ 80%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ลดอัตราการตายได้มากกว่า Enalapril ร้อยละ 80% 💡 คำอธิบายและข้อกำหนดทางกฎหมาย:
💡 คำอธิบายและข้อกำหนดทางกฎหมาย:
การเลือก ยา A ลดอัตราการตายได้มากกว่า Enalapril ร้อยละ 80%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(ยา A ลดอัตราการตายได้มากกว่า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ค. (ยา A ลดอัตราการตายได้น้อยกว่า Enalapril ร้อยละ 80%): เป็น ACE inhibitor ลด Angiotensin II และ intraglomerular pressure มี renal protective efficacy เด่นชัดใน diabetic kidney disease แต่อาจเกิด dry cough จากการสะสมของ bradykinin
• ข้อ ง. (ยา A ลดอัตราการตายได้น้อยกว่า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จ. (ยา A ลดอัตราการตายได้ร้อยละ 20% ของ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 s="2" t="n"/>
      <c r="L147" s="2" t="inlineStr">
        <is>
          <t>พ.ร.บ. ยา พ.ศ. 2510</t>
        </is>
      </c>
      <c r="M147" s="2" t="inlineStr">
        <is>
          <t>SAP</t>
        </is>
      </c>
      <c r="N147" s="2" t="inlineStr">
        <is>
          <t>ข้อ 6 (PLE_CC1_2560 22 April Set 1.md)</t>
        </is>
      </c>
      <c r="O147" s="2" t="inlineStr">
        <is>
          <t>ข้อสอบจริง</t>
        </is>
      </c>
      <c r="P147" s="2" t="inlineStr">
        <is>
          <t>ปี 2560</t>
        </is>
      </c>
    </row>
    <row r="148" ht="13.2" customHeight="1" s="37">
      <c r="A148" s="2" t="n">
        <v>146</v>
      </c>
      <c r="B148" s="2" t="inlineStr">
        <is>
          <t>ต้องรักษานานเท่าไหร่ จะได้ประสิทธิภาพการรักษาสูงสุด</t>
        </is>
      </c>
      <c r="C148" s="2" t="n"/>
      <c r="D148" s="2" t="inlineStr">
        <is>
          <t>3 วัน</t>
        </is>
      </c>
      <c r="E148" s="2" t="inlineStr">
        <is>
          <t>5 วัน</t>
        </is>
      </c>
      <c r="F148" s="2" t="inlineStr">
        <is>
          <t>2 wk</t>
        </is>
      </c>
      <c r="G148" s="2" t="inlineStr">
        <is>
          <t>4 wk</t>
        </is>
      </c>
      <c r="H148" s="2" t="inlineStr">
        <is>
          <t>6 wk</t>
        </is>
      </c>
      <c r="I148" s="2" t="n">
        <v>1</v>
      </c>
      <c r="J148"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วัน): ข้อนี้ไม่ใช่คำตอบที่ถูกต้องสำหรับภาวะ พ.ร.บ. ยา พ.ศ. 2510 เนื่องจากกลไกการออกฤทธิ์, efficacy หรือข้อบ่งใช้ไม่ตรงกับโจทย์ที่กำหนด
• ข้อ ค. (2 wk): ข้อนี้ไม่ใช่คำตอบที่ถูกต้องสำหรับภาวะ พ.ร.บ. ยา พ.ศ. 2510 เนื่องจากกลไกการออกฤทธิ์, efficacy หรือข้อบ่งใช้ไม่ตรงกับโจทย์ที่กำหนด
• ข้อ ง. (4 wk): ข้อนี้ไม่ใช่คำตอบที่ถูกต้องสำหรับภาวะ พ.ร.บ. ยา พ.ศ. 2510 เนื่องจากกลไกการออกฤทธิ์, efficacy หรือข้อบ่งใช้ไม่ตรงกับโจทย์ที่กำหนด
• ข้อ จ. (6 wk):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8" s="2" t="n"/>
      <c r="L148" s="2" t="inlineStr">
        <is>
          <t>พ.ร.บ. ยา พ.ศ. 2510</t>
        </is>
      </c>
      <c r="M148" s="2" t="inlineStr">
        <is>
          <t>SAP</t>
        </is>
      </c>
      <c r="N148" s="2" t="inlineStr">
        <is>
          <t>ข้อ 8 (PLE_CC1_2560 22 April Set 1.md)</t>
        </is>
      </c>
      <c r="O148" s="2" t="inlineStr">
        <is>
          <t>ข้อสอบจริง</t>
        </is>
      </c>
      <c r="P148" s="2" t="inlineStr">
        <is>
          <t>ปี 2560</t>
        </is>
      </c>
    </row>
    <row r="149" ht="13.2" customHeight="1" s="37">
      <c r="A149" s="2" t="n">
        <v>147</v>
      </c>
      <c r="B149" s="2" t="inlineStr">
        <is>
          <t>ภญ.กานดา มีความผิดตามจรรยาบรรณวิชาชีพเภสัชกรรมหรือไม่ เพราะเหตุใด</t>
        </is>
      </c>
      <c r="C149" s="2" t="n"/>
      <c r="D149" s="2" t="inlineStr">
        <is>
          <t>ไม่ผิด เพราะไม่ได้กระท้าความผิดโดยตรงต่อนายชิดชัย</t>
        </is>
      </c>
      <c r="E149" s="2" t="inlineStr">
        <is>
          <t>ไม่ผิด เพราะใบอนุญาตขายยาให้การคุ้มกันต่อลูกจ้าง หรือตัวแทนผู้รับอนุญาต</t>
        </is>
      </c>
      <c r="F149" s="2" t="inlineStr">
        <is>
          <t>ผิด เพราะไม่ปิดบังตู้ยาอันตราย หรือยาควบคุมพิเศษ เหมือนเป็นการชักชวนให้ผู้ป่วยมารับ บริการ</t>
        </is>
      </c>
      <c r="G149" s="2" t="inlineStr">
        <is>
          <t>ผิด เพราะไม่รักษามาตรฐานการประกอบวิชาชีพเภสัชกรรม</t>
        </is>
      </c>
      <c r="H149" s="2" t="inlineStr">
        <is>
          <t>ผิด เพราะถือเป็นการให้ค้ารับรองที่เป็นเท็จ หรือให้ความเห็นโดยไม่สุจริตทางอ้อมว่ามีเภสัชกร</t>
        </is>
      </c>
      <c r="I149" s="2" t="n">
        <v>1</v>
      </c>
      <c r="J149" s="2" t="inlineStr">
        <is>
          <t>✅ คำตอบที่ถูกต้อง: ข้อ ก. ไม่ผิด เพราะไม่ได้กระท้าความผิดโดยตรงต่อนายชิดชัย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เพราะไม่ได้กระท้าความผิดโดยตรงต่อนายชิดชัย 💡 คำอธิบายและข้อกำหนดทางกฎหมาย:
💡 คำอธิบายและข้อกำหนดทางกฎหมาย:
การเลือก ไม่ผิด เพราะไม่ได้กระท้าความผิดโดยตรงต่อนายชิดชัย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(ไม่ผิด เพราะใบอนุญาตขายยาให้การคุ้มกันต่อลูกจ้าง หรือตัวแทนผู้รับอนุญาต):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(ผิด เพราะไม่ปิดบังตู้ยาอันตราย หรือยาควบคุมพิเศษ เหมือนเป็นการชักชวนให้ผู้ป่วยมารับ บริการ):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เพราะไม่รักษามาตรฐานการประกอบวิชาชีพเภสัชกรรม):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(ผิด เพราะถือเป็นการให้ค้ารับรองที่เป็นเท็จ หรือให้ความเห็นโดยไม่สุจริตทางอ้อมว่ามีเภสัชกร):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 s="2" t="n"/>
      <c r="L149" s="2" t="inlineStr">
        <is>
          <t>พ.ร.บ. วิชาชีพเภสัชกรรม 2537</t>
        </is>
      </c>
      <c r="M149" s="2" t="inlineStr">
        <is>
          <t>SAP</t>
        </is>
      </c>
      <c r="N149" s="2" t="inlineStr">
        <is>
          <t>ข้อ 1 (PLE_CC1_2560 22 April Set 1.md)</t>
        </is>
      </c>
      <c r="O149" s="2" t="inlineStr">
        <is>
          <t>ข้อสอบจริง</t>
        </is>
      </c>
      <c r="P149" s="2" t="inlineStr">
        <is>
          <t>ปี 2560</t>
        </is>
      </c>
    </row>
    <row r="150" ht="13.2" customHeight="1" s="37">
      <c r="A150" s="2" t="n">
        <v>148</v>
      </c>
      <c r="B150" s="2" t="inlineStr">
        <is>
          <t>ผู้รับอนุญาต ท้าผิดพรบ.วิชาชีพเภสัชกรรมหรือไม่อย่างไร</t>
        </is>
      </c>
      <c r="C150" s="2" t="n"/>
      <c r="D150" s="2" t="inlineStr">
        <is>
          <t>ผิด เพราะการกระท้าส่งผลต่อผู้ป่วยโดยตรง</t>
        </is>
      </c>
      <c r="E150" s="2" t="inlineStr">
        <is>
          <t>ผิด เพราะเป็นผู้จ่ายยาเอง</t>
        </is>
      </c>
      <c r="F150" s="2" t="inlineStr">
        <is>
          <t>ผิด เพราะ ไม่เป็นตามจรรณยาบรรณเภสัชชุมชน</t>
        </is>
      </c>
      <c r="G150" s="2" t="inlineStr">
        <is>
          <t>ไม่ผิด เพราะขนิษฐาไม่ใช่เภสัชฯ และพรบ. วิชาชีพมีไว้ส้าหรับเภสัชเท่านั น</t>
        </is>
      </c>
      <c r="H150" s="2" t="inlineStr">
        <is>
          <t>ไม่ผิด หากพิสูจน์ได้ว่าเภสัชยินยอม</t>
        </is>
      </c>
      <c r="I150" s="2" t="n">
        <v>1</v>
      </c>
      <c r="J150" s="2" t="inlineStr">
        <is>
          <t>✅ คำตอบที่ถูกต้อง: ข้อ ก. ผิด เพราะการกระท้าส่งผลต่อผู้ป่วยโดยตรง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เพราะการกระท้าส่งผลต่อผู้ป่วยโดยตรง 💡 คำอธิบายและข้อกำหนดทางกฎหมาย:
💡 คำอธิบายและข้อกำหนดทางกฎหมาย:
การเลือก ผิด เพราะการกระท้าส่งผลต่อผู้ป่วยโดยตรง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เพราะเป็นผู้จ่ายยาเอง):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 ไม่เป็นตามจรรณยาบรรณเภสัชชุมชน):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(ไม่ผิด เพราะขนิษฐาไม่ใช่เภสัชฯ และพรบ. วิชาชีพมีไว้ส้าหรับเภสัชเท่านั 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(ไม่ผิด หากพิสูจน์ได้ว่าเภสัชยินยอม):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0" s="2" t="n"/>
      <c r="L150" s="2" t="inlineStr">
        <is>
          <t>พ.ร.บ. ยา พ.ศ. 2510</t>
        </is>
      </c>
      <c r="M150" s="2" t="inlineStr">
        <is>
          <t>SAP</t>
        </is>
      </c>
      <c r="N150" s="2" t="inlineStr">
        <is>
          <t>ข้อ 2 (PLE_CC1_2560 22 April Set 1.md)</t>
        </is>
      </c>
      <c r="O150" s="2" t="inlineStr">
        <is>
          <t>ข้อสอบจริง</t>
        </is>
      </c>
      <c r="P150" s="2" t="inlineStr">
        <is>
          <t>ปี 2560</t>
        </is>
      </c>
    </row>
    <row r="151" ht="13.2" customHeight="1" s="37">
      <c r="A151" s="2" t="n">
        <v>149</v>
      </c>
      <c r="B151" s="2" t="inlineStr">
        <is>
          <t>เภสัชกรผิด พ.ร.บ.ยา มั ย เพราะอะไร</t>
        </is>
      </c>
      <c r="C151" s="2" t="n"/>
      <c r="D151" s="2" t="inlineStr">
        <is>
          <t>ผิด เพราะไม่อยู่ปฏิบัติงานในเวลาปฏิบัติการ รวมโดย Phongsathorn Phlaisaithong Rx 9 UP 25 | P a g e</t>
        </is>
      </c>
      <c r="E151" s="2" t="inlineStr">
        <is>
          <t>บัญชียาหลักแห่งชาติ (National List of Essential Medicines: NLEM)</t>
        </is>
      </c>
      <c r="F151" s="2" t="inlineStr">
        <is>
          <t>เกณฑ์จริยธรรมว่าด้วยการส่งเสริมการขายยาของกระทรวงสาธารณสุข</t>
        </is>
      </c>
      <c r="G151" s="2" t="inlineStr">
        <is>
          <t>พ.ร.บ. ยา พ.ศ. 2510 (การจำหน่ายยาอันตรายและยาควบคุมพิเศษ)</t>
        </is>
      </c>
      <c r="H151" s="2" t="inlineStr">
        <is>
          <t>พ.ร.บ. ยาเสพติดให้โทษ พ.ศ. 2522 (ยาเสพติดให้โทษประเภท 2 และ 3)</t>
        </is>
      </c>
      <c r="I151" s="2" t="n">
        <v>1</v>
      </c>
      <c r="J151" s="2" t="inlineStr">
        <is>
          <t>✅ คำตอบที่ถูกต้อง: ข้อ ก. ผิด เพราะไม่อยู่ปฏิบัติงานในเวลาปฏิบัติการ รวมโดย Phongsathorn Phlaisaithong Rx 9 UP 25 | P a g e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เพราะไม่อยู่ปฏิบัติงานในเวลาปฏิบัติการ รวมโดย Phongsathorn Phlaisaithong Rx 9 UP 25 | P a g e 💡 คำอธิบายและข้อกำหนดทางกฎหมาย:
💡 คำอธิบายและข้อกำหนดทางกฎหมาย:
การเลือก ผิด เพราะไม่อยู่ปฏิบัติงานในเวลาปฏิบัติการ รวมโดย Phongsathorn Phlaisaithong Rx 9 UP 25 | P a g 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1" s="2" t="n"/>
      <c r="L151" s="2" t="inlineStr">
        <is>
          <t>พ.ร.บ. ยา พ.ศ. 2510</t>
        </is>
      </c>
      <c r="M151" s="2" t="inlineStr">
        <is>
          <t>SAP</t>
        </is>
      </c>
      <c r="N151" s="2" t="inlineStr">
        <is>
          <t>ข้อ 3 (PLE_CC1_2560 22 April Set 1.md)</t>
        </is>
      </c>
      <c r="O151" s="2" t="inlineStr">
        <is>
          <t>ข้อสอบจริง</t>
        </is>
      </c>
      <c r="P151" s="2" t="inlineStr">
        <is>
          <t>ปี 2560</t>
        </is>
      </c>
    </row>
    <row r="152" ht="13.2" customHeight="1" s="37">
      <c r="A152" s="2" t="n">
        <v>150</v>
      </c>
      <c r="B152" s="2" t="inlineStr">
        <is>
          <t>นางขนิษฐา มีความผิดตามพรบ.ยา ปี 2510 และฉบับแก้ไขเพิ่มเติมข้อใด</t>
        </is>
      </c>
      <c r="C152" s="2" t="n"/>
      <c r="D152" s="2" t="inlineStr">
        <is>
          <t>ไม่สามารถจัดหาเภสัชกรมาปฏิบัติหน้าที่ได้ตลอดเวลาที่เปิดท้าการ</t>
        </is>
      </c>
      <c r="E152" s="2" t="inlineStr">
        <is>
          <t>ขายยาโดยไม่ได้รับอนุญาติ</t>
        </is>
      </c>
      <c r="F152" s="2" t="inlineStr">
        <is>
          <t>ไม่อยู่ปฏิบัติหน้าที่ในเวลาปฏิบัติการ</t>
        </is>
      </c>
      <c r="G152" s="2" t="inlineStr">
        <is>
          <t>ขายยาอันตรายและยาควบคุมพิเศษ</t>
        </is>
      </c>
      <c r="H152" s="2" t="inlineStr">
        <is>
          <t>ไม่ปฏิบัติตามพรบ.วิชาชีพเภสัชกรรม</t>
        </is>
      </c>
      <c r="I152" s="2" t="n">
        <v>1</v>
      </c>
      <c r="J152" s="2" t="inlineStr">
        <is>
          <t>✅ คำตอบที่ถูกต้อง: ข้อ ก. ไม่สามารถจัดหาเภสัชกรมาปฏิบัติหน้าที่ได้ตลอดเวลาที่เปิดท้าการ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ไม่สามารถจัดหาเภสัชกรมาปฏิบัติหน้าที่ได้ตลอดเวลาที่เปิดท้าการ 💡 คำอธิบายและข้อกำหนดทางกฎหมาย:
💡 คำอธิบายและข้อกำหนดทางกฎหมาย:
การเลือก ไม่สามารถจัดหาเภสัชกรมาปฏิบัติหน้าที่ได้ตลอดเวลาที่เปิดท้าการ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(ขายยาโดยไม่ได้รับอนุญาติ):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(ไม่อยู่ปฏิบัติหน้าที่ในเวลาปฏิบัติการ): ข้อนี้ไม่ใช่คำตอบที่ถูกต้องสำหรับภาวะ พ.ร.บ. ยา พ.ศ. 2510 เนื่องจากกลไกการออกฤทธิ์, efficacy หรือข้อบ่งใช้ไม่ตรงกับโจทย์ที่กำหนด
• ข้อ ง. (ขายยาอันตรายและยาควบคุมพิเศษ):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(ไม่ปฏิบัติตามพรบ.วิชาชีพเภสัชกรรม):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2" s="2" t="n"/>
      <c r="L152" s="2" t="inlineStr">
        <is>
          <t>พ.ร.บ. ยา พ.ศ. 2510</t>
        </is>
      </c>
      <c r="M152" s="2" t="inlineStr">
        <is>
          <t>SAP</t>
        </is>
      </c>
      <c r="N152" s="2" t="inlineStr">
        <is>
          <t>ข้อ 4 (PLE_CC1_2560 22 April Set 1.md)</t>
        </is>
      </c>
      <c r="O152" s="2" t="inlineStr">
        <is>
          <t>ข้อสอบจริง</t>
        </is>
      </c>
      <c r="P152" s="2" t="inlineStr">
        <is>
          <t>ปี 2560</t>
        </is>
      </c>
    </row>
    <row r="153" ht="13.2" customHeight="1" s="37">
      <c r="A153" s="2" t="n">
        <v>151</v>
      </c>
      <c r="B153" s="2" t="inlineStr">
        <is>
          <t>กฎหมาย 2 MCQ11 2/2560 By CU Rx73 MCQ11 2/2560 By CU Rx73 เรื่องที่ 1. Allergic rhinitis with Asthma ผู้ป่วยหญิงอายุ 20 ปี มีอาการคัดจมูก น ้ามูกไหล ไปเรียนได้ปกติ เป็นมาแล้ว 2 สัปดาห์ ได้ยา</t>
        </is>
      </c>
      <c r="C153" s="2" t="n"/>
      <c r="D153" s="2" t="inlineStr">
        <is>
          <t>พ.ร.บ. วิชาชีพเภสัชกรรม พ.ศ. 2537 และข้อบังคับจรรยาบรรณวิชาชีพ</t>
        </is>
      </c>
      <c r="E153" s="2" t="inlineStr">
        <is>
          <t>พ.ร.บ. ผลิตภัณฑ์สมุนไพร พ.ศ. 2562</t>
        </is>
      </c>
      <c r="F153" s="2" t="inlineStr">
        <is>
          <t>พ.ร.บ. เครื่องสำอาง พ.ศ. 2558</t>
        </is>
      </c>
      <c r="G153" s="2" t="inlineStr">
        <is>
          <t>พ.ร.บ. หลักประกันสุขภาพแห่งชาติ พ.ศ. 2545</t>
        </is>
      </c>
      <c r="H153" s="2" t="inlineStr">
        <is>
          <t>การปฏิบัติทางเภสัชกรรมชุมชน (Good Pharmacy Practice: GPP)</t>
        </is>
      </c>
      <c r="I153" s="2" t="n">
        <v>1</v>
      </c>
      <c r="J15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 s="2" t="n"/>
      <c r="L153" s="2" t="inlineStr">
        <is>
          <t>พ.ร.บ. ยา พ.ศ. 2510</t>
        </is>
      </c>
      <c r="M153" s="2" t="inlineStr">
        <is>
          <t>SAP</t>
        </is>
      </c>
      <c r="N153" s="2" t="inlineStr">
        <is>
          <t>ข้อ 13 (PLE_CC1_2560 22 April Set 2.md)</t>
        </is>
      </c>
      <c r="O153" s="2" t="inlineStr">
        <is>
          <t>ข้อสอบจริง</t>
        </is>
      </c>
      <c r="P153" s="2" t="inlineStr">
        <is>
          <t>ปี 2560</t>
        </is>
      </c>
    </row>
    <row r="154" ht="13.2" customHeight="1" s="37">
      <c r="A154" s="2" t="n">
        <v>152</v>
      </c>
      <c r="B154" s="2" t="inlineStr">
        <is>
          <t>ยาใหม่ อย. กำหนดให้ต้องติดความปลอดภัยนานเท่าใด</t>
        </is>
      </c>
      <c r="C154" s="2" t="n"/>
      <c r="D154" s="2" t="inlineStr">
        <is>
          <t>3 เดือน</t>
        </is>
      </c>
      <c r="E154" s="2" t="inlineStr">
        <is>
          <t>6 เดือน</t>
        </is>
      </c>
      <c r="F154" s="2" t="inlineStr">
        <is>
          <t>12 เดือน</t>
        </is>
      </c>
      <c r="G154" s="2" t="inlineStr">
        <is>
          <t>18 เดือน</t>
        </is>
      </c>
      <c r="H154" s="2" t="inlineStr">
        <is>
          <t>24 เดือน ห้ามนำไปทำซ้ำทุกกรณี เว้นแต่จะได้รับอนุญาต กรณีศึกษา 3 Indian ink: positive AntiHIV: positive HBeAg: positive AntiHBsAg: positive Dx. Cryptococcal menigitis</t>
        </is>
      </c>
      <c r="I154" s="2" t="n">
        <v>1</v>
      </c>
      <c r="J154" s="2" t="inlineStr">
        <is>
          <t>✅ คำตอบที่ถูกต้อง: ข้อ ก.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เดือน 💡 คำอธิบายและข้อกำหนดทางกฎหมาย:
💡 คำอธิบายและข้อกำหนดทางกฎหมาย:
ผู้ป่วยหญิงเป็น HIV มา 3 เดือน ยังไม่ได้เริ่มยาต้านไวรัส มีไข้ ปวดหัว ผลตรวจห้องปฏิบัติการดังนี้ CD4= 5%, 80 cell
🔍 ข้ออื่นผิดเพราะอะไร:
• ข้อ ข. (6 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ค. (12 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ง. (18 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จ. (24 เดือน ห้ามนำไปทำซ้ำทุกกรณี เว้นแต่จะได้รับอนุญาต กรณีศึกษา 3 Indian ink: positive AntiHIV: positive HBeAg: positive AntiHBsAg: positive Dx. Cryptococcal menigitis):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 s="2" t="n"/>
      <c r="L154" s="2" t="inlineStr">
        <is>
          <t>พ.ร.บ. ยา พ.ศ. 2510</t>
        </is>
      </c>
      <c r="M154" s="2" t="inlineStr">
        <is>
          <t>SAP</t>
        </is>
      </c>
      <c r="N154" s="2" t="inlineStr">
        <is>
          <t>ข้อ 18 (PLE_CC1_2558_Key.md)</t>
        </is>
      </c>
      <c r="O154" s="2" t="inlineStr">
        <is>
          <t>ข้อสอบจริง</t>
        </is>
      </c>
      <c r="P154" s="2" t="inlineStr">
        <is>
          <t>ปี 2558</t>
        </is>
      </c>
    </row>
    <row r="155" ht="13.2" customHeight="1" s="37">
      <c r="A155" s="2" t="n">
        <v>153</v>
      </c>
      <c r="B155" s="2" t="inlineStr">
        <is>
          <t>ผู้ป่วยสามารถเบิกจ่ายค่ารักษาพยาบาลผู้ป่วยนอกได้ ตามสิทธิใด</t>
        </is>
      </c>
      <c r="C155" s="2" t="n"/>
      <c r="D155" s="2" t="inlineStr">
        <is>
          <t>Capitation</t>
        </is>
      </c>
      <c r="E155" s="2" t="inlineStr">
        <is>
          <t>Pay for Performance</t>
        </is>
      </c>
      <c r="F155" s="2" t="inlineStr">
        <is>
          <t>Diagnosis related group</t>
        </is>
      </c>
      <c r="G155" s="2" t="inlineStr">
        <is>
          <t>Fee for Service</t>
        </is>
      </c>
      <c r="H155" s="2" t="inlineStr">
        <is>
          <t>Fee schedule</t>
        </is>
      </c>
      <c r="I155" s="2" t="n">
        <v>1</v>
      </c>
      <c r="J155" s="2" t="inlineStr">
        <is>
          <t>✅ คำตอบที่ถูกต้อง: ข้อ ก. Capitation
💡 Background:
กฎหมายยาและจรรยาบรรณวิชาชีพมีขึ้นเพื่อคุ้มครองความปลอดภัยของผู้บริโภคตามมาตรฐาน Good Pharmacy Practice (GPP)
🎯 ทำไมข้อนี้ถึงถูก:
Capitation 💡 คำอธิบายและข้อกำหนดทางกฎหมาย:
💡 คำอธิบายและข้อกำหนดทางกฎหมาย:
การเลือก Capitation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(Pay for Performance): ข้อนี้ไม่ใช่คำตอบที่ถูกต้องสำหรับภาวะ พ.ร.บ. ยา พ.ศ. 2510 เนื่องจากกลไกการออกฤทธิ์, efficacy หรือข้อบ่งใช้ไม่ตรงกับโจทย์ที่กำหนด
• ข้อ ค. (Diagnosis related group): ข้อนี้ไม่ใช่คำตอบที่ถูกต้องสำหรับภาวะ พ.ร.บ. ยา พ.ศ. 2510 เนื่องจากกลไกการออกฤทธิ์, efficacy หรือข้อบ่งใช้ไม่ตรงกับโจทย์ที่กำหนด
• ข้อ ง. (Fee for Service): ข้อนี้ไม่ใช่คำตอบที่ถูกต้องสำหรับภาวะ พ.ร.บ. ยา พ.ศ. 2510 เนื่องจากกลไกการออกฤทธิ์, efficacy หรือข้อบ่งใช้ไม่ตรงกับโจทย์ที่กำหนด
• ข้อ จ. (Fee schedule):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5" s="2" t="n"/>
      <c r="L155" s="2" t="inlineStr">
        <is>
          <t>พ.ร.บ. ยา พ.ศ. 2510</t>
        </is>
      </c>
      <c r="M155" s="2" t="inlineStr">
        <is>
          <t>SAP</t>
        </is>
      </c>
      <c r="N155" s="2" t="inlineStr">
        <is>
          <t>ข้อ 35 (PLE_CC1_2558_Key.md)</t>
        </is>
      </c>
      <c r="O155" s="2" t="inlineStr">
        <is>
          <t>ข้อสอบจริง</t>
        </is>
      </c>
      <c r="P155" s="2" t="inlineStr">
        <is>
          <t>ปี 2558</t>
        </is>
      </c>
    </row>
    <row r="156" ht="13.2" customHeight="1" s="37">
      <c r="A156" s="2" t="n">
        <v>154</v>
      </c>
      <c r="B156" s="2" t="inlineStr">
        <is>
          <t>หากมียาเบาหวานตัวใหม่ มีประสิทธิภาพเท่าเทียบกับยาเบาหวานที่มีในปัจจุบัน หากท่านเป็น ผอ.โรงพยาบาล จะ เลือกใช้หลักเศรษฐศาสตร์ใดในการนำยาเข้า รพ.</t>
        </is>
      </c>
      <c r="C156" s="2" t="n"/>
      <c r="D156" s="2" t="inlineStr">
        <is>
          <t>Cost-effective</t>
        </is>
      </c>
      <c r="E156" s="2" t="inlineStr">
        <is>
          <t>Cost-benefit</t>
        </is>
      </c>
      <c r="F156" s="2" t="inlineStr">
        <is>
          <t>Cost-utility</t>
        </is>
      </c>
      <c r="G156" s="2" t="inlineStr">
        <is>
          <t>Cost-minimize</t>
        </is>
      </c>
      <c r="H156" s="2" t="inlineStr">
        <is>
          <t>Cost analysis ห้ามนำไปทำซ้ำทุกกรณี เว้นแต่จะได้รับอนุญาต กรณีศึกษา 10</t>
        </is>
      </c>
      <c r="I156" s="2" t="n">
        <v>1</v>
      </c>
      <c r="J156" s="2" t="inlineStr">
        <is>
          <t>✅ คำตอบที่ถูกต้อง: ข้อ ก. Cost-effective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 💡 คำอธิบายและข้อกำหนดทางกฎหมาย:
💡 คำอธิบายและข้อกำหนดทางกฎหมาย:
การเลือก Cost-effective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(Cost-benefit): ข้อนี้ไม่ใช่คำตอบที่ถูกต้องสำหรับภาวะ พ.ร.บ. ยา พ.ศ. 2510 เนื่องจากกลไกการออกฤทธิ์, efficacy หรือข้อบ่งใช้ไม่ตรงกับโจทย์ที่กำหนด
• ข้อ ค. (Cost-utility): ข้อนี้ไม่ใช่คำตอบที่ถูกต้องสำหรับภาวะ พ.ร.บ. ยา พ.ศ. 2510 เนื่องจากกลไกการออกฤทธิ์, efficacy หรือข้อบ่งใช้ไม่ตรงกับโจทย์ที่กำหนด
• ข้อ ง. (Cost-minimize): ข้อนี้ไม่ใช่คำตอบที่ถูกต้องสำหรับภาวะ พ.ร.บ. ยา พ.ศ. 2510 เนื่องจากกลไกการออกฤทธิ์, efficacy หรือข้อบ่งใช้ไม่ตรงกับโจทย์ที่กำหนด
• ข้อ จ. (Cost analysis ห้ามนำไปทำซ้ำทุกกรณี เว้นแต่จะได้รับอนุญาต กรณีศึกษา 10):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6" s="2" t="n"/>
      <c r="L156" s="2" t="inlineStr">
        <is>
          <t>พ.ร.บ. ยา พ.ศ. 2510</t>
        </is>
      </c>
      <c r="M156" s="2" t="inlineStr">
        <is>
          <t>SAP</t>
        </is>
      </c>
      <c r="N156" s="2" t="inlineStr">
        <is>
          <t>ข้อ 76 (PLE_CC1_2558_Key.md)</t>
        </is>
      </c>
      <c r="O156" s="2" t="inlineStr">
        <is>
          <t>ข้อสอบจริง</t>
        </is>
      </c>
      <c r="P156" s="2" t="inlineStr">
        <is>
          <t>ปี 2558</t>
        </is>
      </c>
    </row>
    <row r="157" ht="13.2" customHeight="1" s="37">
      <c r="A157" s="2" t="n">
        <v>155</v>
      </c>
      <c r="B157" s="2" t="inlineStr">
        <is>
          <t>อย. ได้รับรายงานอาการไม่พึงประสงค์ คลื่นไส้ อาเจียน ตับอักเสบ จากขี้เหล็ก จัดเป็นการรายงานแบบใด</t>
        </is>
      </c>
      <c r="C157" s="2" t="n"/>
      <c r="D157" s="2" t="inlineStr">
        <is>
          <t>Spontaneous report</t>
        </is>
      </c>
      <c r="E157" s="2" t="inlineStr">
        <is>
          <t>Intervention</t>
        </is>
      </c>
      <c r="F157" s="2" t="inlineStr">
        <is>
          <t>Safety program</t>
        </is>
      </c>
      <c r="G157" s="2" t="inlineStr">
        <is>
          <t>Intensive report</t>
        </is>
      </c>
      <c r="H157" s="2" t="inlineStr">
        <is>
          <t>Therapeutic monitoring ห้ามนำไปทำซ้ำทุกกรณี เว้นแต่จะได้รับอนุญาต</t>
        </is>
      </c>
      <c r="I157" s="2" t="n">
        <v>1</v>
      </c>
      <c r="J157" s="2" t="inlineStr">
        <is>
          <t>✅ คำตอบที่ถูกต้อง: ข้อ ก. Spontaneous report
💡 Background:
กฎหมายยาและจรรยาบรรณวิชาชีพมีขึ้นเพื่อคุ้มครองความปลอดภัยของผู้บริโภคตามมาตรฐาน Good Pharmacy Practice (GPP)
🎯 ทำไมข้อนี้ถึงถูก:
Spontaneous report 💡 คำอธิบายและข้อกำหนดทางกฎหมาย:
💡 คำอธิบายและข้อกำหนดทางกฎหมาย:
การเลือก Spontaneous report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(Intervention): ข้อนี้ไม่ใช่คำตอบที่ถูกต้องสำหรับภาวะ พ.ร.บ. ยา พ.ศ. 2510 เนื่องจากกลไกการออกฤทธิ์, efficacy หรือข้อบ่งใช้ไม่ตรงกับโจทย์ที่กำหนด
• ข้อ ค. (Safety program): ข้อนี้ไม่ใช่คำตอบที่ถูกต้องสำหรับภาวะ พ.ร.บ. ยา พ.ศ. 2510 เนื่องจากกลไกการออกฤทธิ์, efficacy หรือข้อบ่งใช้ไม่ตรงกับโจทย์ที่กำหนด
• ข้อ ง. (Intensive report): ข้อนี้ไม่ใช่คำตอบที่ถูกต้องสำหรับภาวะ พ.ร.บ. ยา พ.ศ. 2510 เนื่องจากกลไกการออกฤทธิ์, efficacy หรือข้อบ่งใช้ไม่ตรงกับโจทย์ที่กำหนด
• ข้อ จ. (Therapeutic monitoring ห้ามนำไปทำซ้ำทุกกรณี เว้นแต่จะได้รับอนุญาต):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7" s="2" t="n"/>
      <c r="L157" s="2" t="inlineStr">
        <is>
          <t>พ.ร.บ. ยา พ.ศ. 2510</t>
        </is>
      </c>
      <c r="M157" s="2" t="inlineStr">
        <is>
          <t>SAP</t>
        </is>
      </c>
      <c r="N157" s="2" t="inlineStr">
        <is>
          <t>ข้อ 6 (PLE_CC1_2558_Key.md)</t>
        </is>
      </c>
      <c r="O157" s="2" t="inlineStr">
        <is>
          <t>ข้อสอบจริง</t>
        </is>
      </c>
      <c r="P157" s="2" t="inlineStr">
        <is>
          <t>ปี 2558</t>
        </is>
      </c>
    </row>
    <row r="158" ht="13.2" customHeight="1" s="37">
      <c r="A158" s="2" t="n">
        <v>156</v>
      </c>
      <c r="B158" s="2" t="inlineStr">
        <is>
          <t>การมีสิทธิเหนือสิทธิบัตร มีประโยชน์อย่างไร</t>
        </is>
      </c>
      <c r="C158" s="2" t="n"/>
      <c r="D158" s="2" t="inlineStr">
        <is>
          <t>ทำให้คนไข้เข้าถึงยาได้ง่าย</t>
        </is>
      </c>
      <c r="E158" s="2" t="inlineStr">
        <is>
          <t>คุ้มครองเจ้าของยาต้นแบบ</t>
        </is>
      </c>
      <c r="F158" s="2" t="inlineStr">
        <is>
          <t>เพื่อลดต้นทุนการผลิต</t>
        </is>
      </c>
      <c r="G158" s="2" t="inlineStr">
        <is>
          <t>เพื่อจำกัดการใช้ยาอย่างถูกต้อง</t>
        </is>
      </c>
      <c r="H158" s="2" t="inlineStr">
        <is>
          <t>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t>
        </is>
      </c>
      <c r="I158" s="2" t="n">
        <v>1</v>
      </c>
      <c r="J158" s="2" t="inlineStr">
        <is>
          <t>✅ คำตอบที่ถูกต้อง: ข้อ ก. ทำให้คนไข้เข้าถึงยาได้ง่าย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ทำให้คนไข้เข้าถึงยาได้ง่าย 💡 คำอธิบายและข้อกำหนดทางกฎหมาย:
💡 คำอธิบายและข้อกำหนดทางกฎหมาย:
ผู้ป่วยหญิง อายุ  60 ปี หนัก 60 kg สูง 165 cm เป็นมะเร็งเต้านม ได้รับการรักษา  adjuvant therapy ยาที่ได้รับคือ
🔍 ข้ออื่นผิดเพราะอะไร:
• ข้อ ข. (คุ้มครองเจ้าของยาต้นแบบ): ข้อนี้ไม่ใช่คำตอบที่ถูกต้องสำหรับภาวะ พ.ร.บ. ยา พ.ศ. 2510 เนื่องจากกลไกการออกฤทธิ์, efficacy หรือข้อบ่งใช้ไม่ตรงกับโจทย์ที่กำหนด
• ข้อ ค. (เพื่อลดต้นทุนการผลิต): ข้อนี้ไม่ใช่คำตอบที่ถูกต้องสำหรับภาวะ พ.ร.บ. ยา พ.ศ. 2510 เนื่องจากกลไกการออกฤทธิ์, efficacy หรือข้อบ่งใช้ไม่ตรงกับโจทย์ที่กำหนด
• ข้อ ง. (เพื่อจำกัดการใช้ยาอย่างถูกต้อง): ข้อนี้ไม่ใช่คำตอบที่ถูกต้องสำหรับภาวะ พ.ร.บ. ยา พ.ศ. 2510 เนื่องจากกลไกการออกฤทธิ์, efficacy หรือข้อบ่งใช้ไม่ตรงกับโจทย์ที่กำหนด
• ข้อ จ. (เพื่อประสิทธิภาพ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8" s="2" t="n"/>
      <c r="L158" s="2" t="inlineStr">
        <is>
          <t>พ.ร.บ. ยา พ.ศ. 2510</t>
        </is>
      </c>
      <c r="M158" s="2" t="inlineStr">
        <is>
          <t>SAP</t>
        </is>
      </c>
      <c r="N158" s="2" t="inlineStr">
        <is>
          <t>ข้อ 62 (PLE_CC1_2558_Key.md)</t>
        </is>
      </c>
      <c r="O158" s="2" t="inlineStr">
        <is>
          <t>ข้อสอบจริง</t>
        </is>
      </c>
      <c r="P158" s="2" t="inlineStr">
        <is>
          <t>ปี 2558</t>
        </is>
      </c>
    </row>
    <row r="159" ht="13.2" customHeight="1" s="37">
      <c r="A159" s="2" t="n">
        <v>157</v>
      </c>
      <c r="B159" s="2" t="inlineStr">
        <is>
          <t>จากโครงสร้างของ glucocorticosteroids ที่กำหนดให้ หากต้องการเพิ่มประสิทธิภาพของ ฤทธิ์ต้านการอักเสบควรพัฒนาที่ตำแหน่งใด C B A</t>
        </is>
      </c>
      <c r="C159" s="2" t="n"/>
      <c r="D159" s="2" t="inlineStr">
        <is>
          <t>A และ B</t>
        </is>
      </c>
      <c r="E159" s="2" t="inlineStr">
        <is>
          <t>A และ C</t>
        </is>
      </c>
      <c r="F159" s="2" t="inlineStr">
        <is>
          <t>B และ C</t>
        </is>
      </c>
      <c r="G159" s="2" t="inlineStr">
        <is>
          <t>A B และ C</t>
        </is>
      </c>
      <c r="H159" s="2" t="inlineStr">
        <is>
          <t>ไม่มีข้อใดถูก</t>
        </is>
      </c>
      <c r="I159" s="2" t="n">
        <v>1</v>
      </c>
      <c r="J159" s="2" t="inlineStr">
        <is>
          <t>✅ คำตอบที่ถูกต้อง: ข้อ ก. A และ B
💡 Background:
กฎหมายยาและจรรยาบรรณวิชาชีพมีขึ้นเพื่อคุ้มครองความปลอดภัยของผู้บริโภคตามมาตรฐาน Good Pharmacy Practice (GPP)
🎯 ทำไมข้อนี้ถึงถูก:
A และ B 💡 คำอธิบายและข้อกำหนดทางกฎหมาย:
💡 คำอธิบายและข้อกำหนดทางกฎหมาย:
การเลือก A และ B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 และ C): ข้อนี้ไม่ใช่คำตอบที่ถูกต้องสำหรับภาวะ พ.ร.บ. ยา พ.ศ. 2510 เนื่องจากกลไกการออกฤทธิ์, efficacy หรือข้อบ่งใช้ไม่ตรงกับโจทย์ที่กำหนด
• ข้อ ค. (B และ C): ข้อนี้ไม่ใช่คำตอบที่ถูกต้องสำหรับภาวะ พ.ร.บ. ยา พ.ศ. 2510 เนื่องจากกลไกการออกฤทธิ์, efficacy หรือข้อบ่งใช้ไม่ตรงกับโจทย์ที่กำหนด
• ข้อ ง. (A B และ C):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9" s="2" t="n"/>
      <c r="L159" s="2" t="inlineStr">
        <is>
          <t>พ.ร.บ. ยา พ.ศ. 2510</t>
        </is>
      </c>
      <c r="M159" s="2" t="inlineStr">
        <is>
          <t>SAP</t>
        </is>
      </c>
      <c r="N159" s="2" t="inlineStr">
        <is>
          <t>ข้อ 63 (Pharmtutor_2024_Set1.md)</t>
        </is>
      </c>
      <c r="O159" s="2" t="inlineStr">
        <is>
          <t>Mock</t>
        </is>
      </c>
      <c r="P159" s="2" t="inlineStr">
        <is>
          <t>Mock Pharmtutor 2024</t>
        </is>
      </c>
    </row>
    <row r="160" ht="13.2" customHeight="1" s="37">
      <c r="A160" s="2" t="n">
        <v>158</v>
      </c>
      <c r="B160" s="2" t="inlineStr">
        <is>
          <t>จงแปลผล Certificate of analysis ที่กำหนดให้ Test Acceptance Criteria Regulatory Results Analytical Procedure Description Clear solution and do not have any particles in vials. Visual inspection Conform Identification The IR absorption spectrum of the residue USP39, P.4563 IR spectrum has maxima so obtained exhibits maxima only at the wavelength at the same USP39, P.4559 same wavelengths as that of similar wavelengths with USP preparation of Reference Standard of USP Lidocaine RS. Lidocaine RS standard Assay NLT 95.0% and NMT 105.0% of the labeled USP39, P.4563 101.5% amount of lidocaine hydrochloride (C14H22N2O-HCl). Impurities USP39, P.4562 Organic Lidocaine Impurities (Relative Retention Time 1.0, NMT 0.5) Any individual unspecified impurity (Relative Retention Time 1.2, NMT 0.10) Total impurities (Relative Retention Time 1.4, NMT 0.5) 0.3 - 0.4 0.01 – 0.08 0.4 – 0.45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Particulate Test 1.B Matter in USP39, P.4563 Found 7,134 particles per container equal to The preparation complies with the test if Injections USP39, P.610 or greater than 10 าm the average number of particles present in Particulate the units tested does not exceed 6,000 per Found 454 particles per Matter in injection container equal to or greater than 10 าm container equal to or USP39 P.608 and does not exceed 600 per container equal to or greater than 25 าm greater than 25 าm Sterility No growth of microorganisms occurs after incubations of the media for 14 days Antimicrobial Sterility No growth tests USP39, P.136 It contains not less than 95 percent of preservatives Benzyl alcohol Container USP39, P.4563 97.5% Antimicrobial agents Sampling 1 container: Volume of Lidocaine content Container 51 mL HCl solution NLT 50 mL and NMT 53 mL in each unit.</t>
        </is>
      </c>
      <c r="C160" s="2" t="n"/>
      <c r="D160" s="2" t="inlineStr">
        <is>
          <t>ผ่าน เนื่องจากผลการทดสอบผ่านเกณฑ์ทุกหัวข้อ content for injections USP39, P.532</t>
        </is>
      </c>
      <c r="E160" s="2" t="inlineStr">
        <is>
          <t>ไม่ผ่าน เนื่องจากผลการทดสอบในหัวข้อ assay ต่ำกว่าที่กำหนด</t>
        </is>
      </c>
      <c r="F160" s="2" t="inlineStr">
        <is>
          <t>ไม่ผ่าน เนื่องจากผลการทดสอบในหัวข้อ organic Impurities มากกว่าที่กำหนด</t>
        </is>
      </c>
      <c r="G160" s="2" t="inlineStr">
        <is>
          <t>ไม่ผ่าน เนื่องจากผลการทดสอบในหัวข้อ container content ต่ำกว่าที่กำหนด</t>
        </is>
      </c>
      <c r="H160" s="2" t="inlineStr">
        <is>
          <t>ไม่ผ่าน เนื่องจากผลการทดสอบในหัวข้อ particulate Matter มีจำนวน particles เกินกว่าที่กำหนด</t>
        </is>
      </c>
      <c r="I160" s="2" t="n">
        <v>1</v>
      </c>
      <c r="J160" s="2" t="inlineStr">
        <is>
          <t>✅ คำตอบที่ถูกต้อง: ข้อ ก. ผ่าน เนื่องจากผลการทดสอบผ่านเกณฑ์ทุกหัวข้อ content for injections USP39, P.532
💡 Background:
กฎหมายยาและจรรยาบรรณวิชาชีพมีขึ้นเพื่อคุ้มครองความปลอดภัยของผู้บริโภคตามมาตรฐาน Good Pharmacy Practice (GPP)
🎯 ทำไมข้อนี้ถึงถูก:
ผ่าน เนื่องจากผลการทดสอบผ่านเกณฑ์ทุกหัวข้อ content for injections USP39, P.532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(ไม่ผ่าน เนื่องจากผลการทดสอบในหัวข้อ assay ต่ำกว่าที่กำหนด):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(ไม่ผ่าน เนื่องจากผลการทดสอบในหัวข้อ organic Impurities มากกว่าที่กำหนด):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(ไม่ผ่าน เนื่องจากผลการทดสอบในหัวข้อ container content ต่ำกว่าที่กำหนด):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(ไม่ผ่าน เนื่องจากผลการทดสอบในหัวข้อ particulate Matter มีจำนวน particles เกินกว่าที่กำหนด):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 s="2" t="n"/>
      <c r="L160" s="2" t="inlineStr">
        <is>
          <t>พ.ร.บ. ยา พ.ศ. 2510</t>
        </is>
      </c>
      <c r="M160" s="2" t="inlineStr">
        <is>
          <t>SAP</t>
        </is>
      </c>
      <c r="N160" s="2" t="inlineStr">
        <is>
          <t>ข้อ 96 (Pharmtutor_2024_Set1.md)</t>
        </is>
      </c>
      <c r="O160" s="2" t="inlineStr">
        <is>
          <t>Mock</t>
        </is>
      </c>
      <c r="P160" s="2" t="inlineStr">
        <is>
          <t>Mock Pharmtutor 2024</t>
        </is>
      </c>
    </row>
    <row r="161" ht="13.2" customHeight="1" s="37">
      <c r="A161" s="2" t="n">
        <v>159</v>
      </c>
      <c r="B161" s="2" t="inlineStr">
        <is>
          <t>เจ้าหน้าที่พนักงานเข้าตรวจร้านขายยา ขย1 ในวันที่ 14 กรกฎาคมที่ผ่าน มาพบนายสมชายซึ่งเป็นผู้ช่วยเภสัชกร กำลังจ่ายยา Ponstan ให้กับลูกค้าที่มาขอซื้อยาแก้ปวดประจำเดือน ซึ่งผู้ป่วยแจ้งว่าเคยใช้ยาชนิดนี้เป็นประจำอยู่แล้ว โดยพบว่าเภสัชกรกล้วย ไม่อยู่ประจำร้านในขณะที่เป็นเวลาปฏิบัติการ และพบนายอวบ ซึ่งเป็นเจ้าของร้านกำลังเช็คของอยู่หลังร้าน จากสถานการณ์ดังกล่าว ผู้ใดบ้างที่กระทำ พรบ ประกอบวิชาชีพเภสัชกรรม</t>
        </is>
      </c>
      <c r="C161" s="2" t="n"/>
      <c r="D161" s="2" t="inlineStr">
        <is>
          <t>นายสมชาย</t>
        </is>
      </c>
      <c r="E161" s="2" t="inlineStr">
        <is>
          <t>นายอวบ</t>
        </is>
      </c>
      <c r="F161" s="2" t="inlineStr">
        <is>
          <t>เภสัชกรกล้วย</t>
        </is>
      </c>
      <c r="G161" s="2" t="inlineStr">
        <is>
          <t>เภสัชกรกล้วย นายสมชาย</t>
        </is>
      </c>
      <c r="H161" s="2" t="inlineStr">
        <is>
          <t>เภสัชกรกล้วย นายอวบ นายสมชาย</t>
        </is>
      </c>
      <c r="I161" s="2" t="n">
        <v>1</v>
      </c>
      <c r="J161" s="2" t="inlineStr">
        <is>
          <t>✅ คำตอบที่ถูกต้อง: ข้อ ก. นายสมชาย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นายสมชาย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(นายอวบ): ข้อนี้ไม่ใช่คำตอบที่ถูกต้องสำหรับภาวะ พ.ร.บ. ยา พ.ศ. 2510 เนื่องจากกลไกการออกฤทธิ์, efficacy หรือข้อบ่งใช้ไม่ตรงกับโจทย์ที่กำหนด
• ข้อ ค. (เภสัชกรกล้วย): ข้อนี้ไม่ใช่คำตอบที่ถูกต้องสำหรับภาวะ พ.ร.บ. ยา พ.ศ. 2510 เนื่องจากกลไกการออกฤทธิ์, efficacy หรือข้อบ่งใช้ไม่ตรงกับโจทย์ที่กำหนด
• ข้อ ง. (เภสัชกรกล้วย นายสมชาย): ข้อนี้ไม่ใช่คำตอบที่ถูกต้องสำหรับภาวะ พ.ร.บ. ยา พ.ศ. 2510 เนื่องจากกลไกการออกฤทธิ์, efficacy หรือข้อบ่งใช้ไม่ตรงกับโจทย์ที่กำหนด
• ข้อ จ. (เภสัชกรกล้วย นายอวบ นายสมชาย):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1" s="2" t="n"/>
      <c r="L161" s="2" t="inlineStr">
        <is>
          <t>พ.ร.บ. ยา พ.ศ. 2510</t>
        </is>
      </c>
      <c r="M161" s="2" t="inlineStr">
        <is>
          <t>SAP</t>
        </is>
      </c>
      <c r="N161" s="2" t="inlineStr">
        <is>
          <t>ข้อ 111 (Pharmtutor_2024_Set1.md)</t>
        </is>
      </c>
      <c r="O161" s="2" t="inlineStr">
        <is>
          <t>Mock</t>
        </is>
      </c>
      <c r="P161" s="2" t="inlineStr">
        <is>
          <t>Mock Pharmtutor 2024</t>
        </is>
      </c>
    </row>
    <row r="162" ht="13.2" customHeight="1" s="37">
      <c r="A162" s="2" t="n">
        <v>160</v>
      </c>
      <c r="B162" s="2" t="inlineStr">
        <is>
          <t>หากต้องการสืบค้นประสิทธิภาพของยาในกลุ่ม HMG-CoA reductase ว่ายาชนิดใดมีค่าครึ่งชีวิตต่ำที่สุด ควนสืบค้นจากหนังสือเล่มใด</t>
        </is>
      </c>
      <c r="C162" s="2" t="n"/>
      <c r="D162" s="2" t="inlineStr">
        <is>
          <t>Drug Information Handbook</t>
        </is>
      </c>
      <c r="E162" s="2" t="inlineStr">
        <is>
          <t>Handbook of Pharmacotherapy</t>
        </is>
      </c>
      <c r="F162" s="2" t="inlineStr">
        <is>
          <t>Drug injectable and Compatibility</t>
        </is>
      </c>
      <c r="G162" s="2" t="inlineStr">
        <is>
          <t>Drug facts and comparisons</t>
        </is>
      </c>
      <c r="H162" s="2" t="inlineStr">
        <is>
          <t>Drug interaction handbook</t>
        </is>
      </c>
      <c r="I162" s="2" t="n">
        <v>1</v>
      </c>
      <c r="J162" s="2" t="inlineStr">
        <is>
          <t>✅ คำตอบที่ถูกต้อง: ข้อ ก. Drug Information Handbook
💡 Background:
กฎหมายยาและจรรยาบรรณวิชาชีพมีขึ้นเพื่อคุ้มครองความปลอดภัยของผู้บริโภคตามมาตรฐาน Good Pharmacy Practice (GPP)
🎯 ทำไมข้อนี้ถึงถูก:
Drug Information Handbook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(Handbook of Pharmacotherapy): ข้อนี้ไม่ใช่คำตอบที่ถูกต้องสำหรับภาวะ พ.ร.บ. ยา พ.ศ. 2510 เนื่องจากกลไกการออกฤทธิ์, efficacy หรือข้อบ่งใช้ไม่ตรงกับโจทย์ที่กำหนด
• ข้อ ค. (Drug injectable and Compatibility): วัคซีนไข้สมองอักเสบเจอี ชนิดเชื้อเป็น (Live attenuated CD.JEV) ให้ 2 เข็ม ที่อายุ 9-12 เดือน และเข็ม 2 ห่างกัน 3-12 เดือน
• ข้อ ง. (Drug facts and comparisons): ข้อนี้ไม่ใช่คำตอบที่ถูกต้องสำหรับภาวะ พ.ร.บ. ยา พ.ศ. 2510 เนื่องจากกลไกการออกฤทธิ์, efficacy หรือข้อบ่งใช้ไม่ตรงกับโจทย์ที่กำหนด
• ข้อ จ. (Drug interaction handbook):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2" s="2" t="n"/>
      <c r="L162" s="2" t="inlineStr">
        <is>
          <t>พ.ร.บ. ยา พ.ศ. 2510</t>
        </is>
      </c>
      <c r="M162" s="2" t="inlineStr">
        <is>
          <t>SAP</t>
        </is>
      </c>
      <c r="N162" s="2" t="inlineStr">
        <is>
          <t>ข้อ 118 (Pharmtutor_2024_Set1.md)</t>
        </is>
      </c>
      <c r="O162" s="2" t="inlineStr">
        <is>
          <t>Mock</t>
        </is>
      </c>
      <c r="P162" s="2" t="inlineStr">
        <is>
          <t>Mock Pharmtutor 2024</t>
        </is>
      </c>
    </row>
    <row r="163" ht="13.2" customHeight="1" s="37">
      <c r="A163" s="2" t="n">
        <v>161</v>
      </c>
      <c r="B163" s="2" t="inlineStr">
        <is>
          <t>สิทธิในการรักษาของประเทศไทย แบ่งเป็น สิทธิจ่ายตรงกรมบัญชีกลาง สิทธิประกันสุขภาพถ้วนหน้า และสิทธิประกันสังคม ซึ่งพนักง่นเแกขชนหรือบริษัทส่วนมากจะได้รับสิทธิประกันสังึมในการรักษา โดยที่พนักงานและนายจ้างจะสมทบในปริมาณเท่ากัน ข้อใดคือจำนวนที่พนักงานต้องจ่ายในแต่ละเดือน</t>
        </is>
      </c>
      <c r="C163" s="2" t="n"/>
      <c r="D163" s="2" t="inlineStr">
        <is>
          <t>3% ของเงินเดือน</t>
        </is>
      </c>
      <c r="E163" s="2" t="inlineStr">
        <is>
          <t>4% ของเงินเดือน</t>
        </is>
      </c>
      <c r="F163" s="2" t="inlineStr">
        <is>
          <t>5% ของเิงนเดือน</t>
        </is>
      </c>
      <c r="G163" s="2" t="inlineStr">
        <is>
          <t>4% ของเงินเดือน โดยคิดที่ฐานเงินเดือนไม่เกิน 15,000 บาท</t>
        </is>
      </c>
      <c r="H163" s="2" t="inlineStr">
        <is>
          <t>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t>
        </is>
      </c>
      <c r="I163" s="2" t="n">
        <v>1</v>
      </c>
      <c r="J163" s="2" t="inlineStr">
        <is>
          <t>✅ คำตอบที่ถูกต้อง: ข้อ ก. 3% ของเงินเดือน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ของเงินเดือน 💡 คำอธิบายและข้อกำหนดทางกฎหมาย:
💡 คำอธิบายและข้อกำหนดทางกฎหมาย:
การเลือก 3% ของเงินเดือน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(4% ของเงินเดือน):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ค. (5% ของเิงนเดือน): ข้อนี้ไม่ใช่คำตอบที่ถูกต้องสำหรับภาวะ พ.ร.บ. ยา พ.ศ. 2510 เนื่องจากกลไกการออกฤทธิ์, efficacy หรือข้อบ่งใช้ไม่ตรงกับโจทย์ที่กำหนด
• ข้อ ง. (4% ของเงินเดือน โดยคิดที่ฐานเงินเดือนไม่เกิน 15,000 บาท): ข้อนี้ไม่ใช่คำตอบที่ถูกต้องสำหรับภาวะ พ.ร.บ. ยา พ.ศ. 2510 เนื่องจากกลไกการออกฤทธิ์, efficacy หรือข้อบ่งใช้ไม่ตรงกับโจทย์ที่กำหนด
• ข้อ จ.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3" s="2" t="n"/>
      <c r="L163" s="2" t="inlineStr">
        <is>
          <t>พ.ร.บ. ยา พ.ศ. 2510</t>
        </is>
      </c>
      <c r="M163" s="2" t="inlineStr">
        <is>
          <t>SAP</t>
        </is>
      </c>
      <c r="N163" s="2" t="inlineStr">
        <is>
          <t>ข้อ 120 (Pharmtutor_2024_Set1.md)</t>
        </is>
      </c>
      <c r="O163" s="2" t="inlineStr">
        <is>
          <t>Mock</t>
        </is>
      </c>
      <c r="P163" s="2" t="inlineStr">
        <is>
          <t>Mock Pharmtutor 2024</t>
        </is>
      </c>
    </row>
    <row r="164" ht="13.2" customHeight="1" s="37">
      <c r="A164" s="2" t="n">
        <v>162</v>
      </c>
      <c r="B164" s="2" t="inlineStr">
        <is>
          <t>สมุนไพรในบัญชียาหลักแห่งชาติชนิดใด สามารถนำมาช่วยบรรเทาอาการแพ้ท้องของคนไข้ตั้งครรภ์ได้อย่างมี ประสิทธิภาพ</t>
        </is>
      </c>
      <c r="C164" s="2" t="n"/>
      <c r="D164" s="2" t="inlineStr">
        <is>
          <t>กระเจี๊ยบแดง</t>
        </is>
      </c>
      <c r="E164" s="2" t="inlineStr">
        <is>
          <t>ขลู่</t>
        </is>
      </c>
      <c r="F164" s="2" t="inlineStr">
        <is>
          <t>เหง้าขิงแก่</t>
        </is>
      </c>
      <c r="G164" s="2" t="inlineStr">
        <is>
          <t>ข่าอ่อน</t>
        </is>
      </c>
      <c r="H164" s="2" t="inlineStr">
        <is>
          <t>ขมิ้นขาว</t>
        </is>
      </c>
      <c r="I164" s="2" t="n">
        <v>1</v>
      </c>
      <c r="J164" s="2" t="inlineStr">
        <is>
          <t>✅ คำตอบที่ถูกต้อง: ข้อ ก. กระเจี๊ยบแดง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กระเจี๊ยบแดง 💡 คำอธิบายและข้อกำหนดทางกฎหมาย:
💡 คำอธิบายและข้อกำหนดทางกฎหมาย:
การเลือก กระเจี๊ยบแดง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(ขลู่):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(เหง้าขิงแก่):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(ข่าอ่อน):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(ขมิ้นขาว):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4" s="2" t="n"/>
      <c r="L164" s="2" t="inlineStr">
        <is>
          <t>พ.ร.บ. ผลิตภัณฑ์สมุนไพร &amp; เครื่องสำอาง</t>
        </is>
      </c>
      <c r="M164" s="2" t="inlineStr">
        <is>
          <t>SAP</t>
        </is>
      </c>
      <c r="N164" s="2" t="inlineStr">
        <is>
          <t>ข้อ 26 (Pharmtutor_2024_Set2.md)</t>
        </is>
      </c>
      <c r="O164" s="2" t="inlineStr">
        <is>
          <t>Mock</t>
        </is>
      </c>
      <c r="P164" s="2" t="inlineStr">
        <is>
          <t>Mock Pharmtutor 2024</t>
        </is>
      </c>
    </row>
    <row r="165" ht="13.2" customHeight="1" s="37">
      <c r="A165" s="2" t="n">
        <v>163</v>
      </c>
      <c r="B165" s="2" t="inlineStr">
        <is>
          <t>หากต้องการเพิ่มประสิทธิภาพเทคนิคการวิเคราะห์ High-performance liquid chromatography ข้อใดไม่ควรปฎิบัติ</t>
        </is>
      </c>
      <c r="C165" s="2" t="n"/>
      <c r="D165" s="2" t="inlineStr">
        <is>
          <t>เพิ่มความยาว column</t>
        </is>
      </c>
      <c r="E165" s="2" t="inlineStr">
        <is>
          <t>ลด flow rate</t>
        </is>
      </c>
      <c r="F165" s="2" t="inlineStr">
        <is>
          <t>ปรับอัตราส่วน mobile phase</t>
        </is>
      </c>
      <c r="G165" s="2" t="inlineStr">
        <is>
          <t>ปรับสภาวะเพื่อลดค่า resolution ระหว่างสารที่ต้องการวิเคราะห์และสารปนเปื้อน</t>
        </is>
      </c>
      <c r="H165" s="2" t="inlineStr">
        <is>
          <t>เลือก column ที่มีจำนวน theoretical plates สูงที่สุด</t>
        </is>
      </c>
      <c r="I165" s="2" t="n">
        <v>1</v>
      </c>
      <c r="J165" s="2" t="inlineStr">
        <is>
          <t>✅ คำตอบที่ถูกต้อง: ข้อ ก. เพิ่มความยาว column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เพิ่มความยาว column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 flow rate): ข้อนี้ไม่ใช่คำตอบที่ถูกต้องสำหรับภาวะ พ.ร.บ. ยา พ.ศ. 2510 เนื่องจากกลไกการออกฤทธิ์, efficacy หรือข้อบ่งใช้ไม่ตรงกับโจทย์ที่กำหนด
• ข้อ ค. (ปรับอัตราส่วน mobile phase): ข้อนี้ไม่ใช่คำตอบที่ถูกต้องสำหรับภาวะ พ.ร.บ. ยา พ.ศ. 2510 เนื่องจากกลไกการออกฤทธิ์, efficacy หรือข้อบ่งใช้ไม่ตรงกับโจทย์ที่กำหนด
• ข้อ ง. (ปรับสภาวะเพื่อลดค่า resolution ระหว่างสารที่ต้องการวิเคราะห์และสารปนเปื้อน): ข้อนี้ไม่ใช่คำตอบที่ถูกต้องสำหรับภาวะ พ.ร.บ. ยา พ.ศ. 2510 เนื่องจากกลไกการออกฤทธิ์, efficacy หรือข้อบ่งใช้ไม่ตรงกับโจทย์ที่กำหนด
• ข้อ จ. (เลือก column ที่มีจำนวน theoretical plates สูงที่สุด):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 s="2" t="n"/>
      <c r="L165" s="2" t="inlineStr">
        <is>
          <t>พ.ร.บ. ยา พ.ศ. 2510</t>
        </is>
      </c>
      <c r="M165" s="2" t="inlineStr">
        <is>
          <t>SAP</t>
        </is>
      </c>
      <c r="N165" s="2" t="inlineStr">
        <is>
          <t>ข้อ 89 (Pharmtutor_2024_Set2.md)</t>
        </is>
      </c>
      <c r="O165" s="2" t="inlineStr">
        <is>
          <t>Mock</t>
        </is>
      </c>
      <c r="P165" s="2" t="inlineStr">
        <is>
          <t>Mock Pharmtutor 2024</t>
        </is>
      </c>
    </row>
    <row r="166" ht="13.2" customHeight="1" s="37">
      <c r="A166" s="2" t="n">
        <v>164</v>
      </c>
      <c r="B166" s="2" t="inlineStr">
        <is>
          <t>จากการศึกษาผลของการใช้ยา Semaglutide ในการลดระดับน้ำตาลในเลือด ข้อใดต่อไปนี้กล่าวถูกต้อง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t>
        </is>
      </c>
      <c r="C166" s="2" t="n"/>
      <c r="D166" s="2" t="inlineStr">
        <is>
          <t>การศึกษาการใช้ยา oral semaglutide เทียบกับ placebo ผลลัพธ์ของการศึกษาแตกต่างกันทางคลินิก แต่ไม่มีนัยสำคัญทางสถิติ</t>
        </is>
      </c>
      <c r="E166" s="2" t="inlineStr">
        <is>
          <t>การหาค่า I square แสดงถึงความแตกต่างกันของการศึกษาหากมีค่ามากแสดงว่า การศึกษาแต่ละชนิด ไม่มีความแตกต่างกัน</t>
        </is>
      </c>
      <c r="F166" s="2" t="inlineStr">
        <is>
          <t>หาก Q test มีค่า &lt; 0.05 แสดงถึงผลของการศึกษาไม่มีความแตกต่างกัน</t>
        </is>
      </c>
      <c r="G166" s="2" t="inlineStr">
        <is>
          <t>จากการศึกษาข้างต้นเมื่อเปรียบเทียบ oral semaglutide เทียบกับ placebo นำการศึกษามาทั้งหมด 5 การศึกษา เมื่อคำนวณ degree of freedom = n-2 = 3</t>
        </is>
      </c>
      <c r="H166" s="2" t="inlineStr">
        <is>
          <t>จากการศึกษาข้างต้น หากต้องการผลการศึกษาที่ชัดเจน ควรทำ network meta-analysis เพื่อคำนวณต่อไป</t>
        </is>
      </c>
      <c r="I166" s="2" t="n">
        <v>1</v>
      </c>
      <c r="J166" s="2" t="inlineStr">
        <is>
          <t>✅ คำตอบที่ถูกต้อง: ข้อ ก. การศึกษาการใช้ยา oral semaglutide เทียบกับ placebo ผลลัพธ์ของการศึกษาแตกต่างกันทางคลินิก แต่ไม่มีนัยสำคัญทางสถิติ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การศึกษาการใช้ยา oral semaglutide เทียบกับ placebo ผลลัพธ์ของการศึกษาแตกต่างกันทางคลินิก แต่ไม่มีนัยสำคัญทางสถิติ 💡 คำอธิบายและข้อกำหนดทางกฎหมาย:
💡 คำอธิบายและข้อกำหนดทางกฎหมาย:
การเลือก การศึกษาการใช้ยา oral semaglutide เทียบกับ placebo ผลลัพธ์ของการศึกษาแตกต่างกันทางคลินิก แต่ไม่มีนัยสำคัญทางสถิติ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(การหาค่า I square แสดงถึงความแตกต่างกันของการศึกษาหากมีค่ามากแสดงว่า การศึกษาแต่ละชนิด ไม่มีความแตกต่างกัน): ข้อนี้ไม่ใช่คำตอบที่ถูกต้องสำหรับภาวะ พ.ร.บ. ยา พ.ศ. 2510 เนื่องจากกลไกการออกฤทธิ์, efficacy หรือข้อบ่งใช้ไม่ตรงกับโจทย์ที่กำหนด
• ข้อ ค. (หาก Q test มีค่า &lt; 0.05 แสดงถึงผลของการศึกษาไม่มีความแตกต่างกัน): ข้อนี้ไม่ใช่คำตอบที่ถูกต้องสำหรับภาวะ พ.ร.บ. ยา พ.ศ. 2510 เนื่องจากกลไกการออกฤทธิ์, efficacy หรือข้อบ่งใช้ไม่ตรงกับโจทย์ที่กำหนด
• ข้อ ง. (จากการศึกษาข้างต้นเมื่อเปรียบเทียบ oral semaglutide เทียบกับ placebo นำการศึกษามาทั้งหมด 5 การศึกษา เมื่อคำนวณ degree of freedom = n-2 = 3):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(จากการศึกษาข้างต้น หากต้องการผลการศึกษาที่ชัดเจน ควรทำ network meta-analysis เพื่อคำนวณต่อไป):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6" s="2" t="n"/>
      <c r="L166" s="2" t="inlineStr">
        <is>
          <t>พ.ร.บ. ยา พ.ศ. 2510</t>
        </is>
      </c>
      <c r="M166" s="2" t="inlineStr">
        <is>
          <t>SAP</t>
        </is>
      </c>
      <c r="N166" s="2" t="inlineStr">
        <is>
          <t>ข้อ 111 (Pharmtutor_2024_Set2.md)</t>
        </is>
      </c>
      <c r="O166" s="2" t="inlineStr">
        <is>
          <t>Mock</t>
        </is>
      </c>
      <c r="P166" s="2" t="inlineStr">
        <is>
          <t>Mock Pharmtutor 2024</t>
        </is>
      </c>
    </row>
    <row r="167" ht="13.2" customHeight="1" s="37">
      <c r="A167" s="2" t="n">
        <v>165</v>
      </c>
      <c r="B167" s="2" t="inlineStr">
        <is>
          <t>Isotretenoin ข้อใดถูกต้องตามกฎหมาย</t>
        </is>
      </c>
      <c r="C167" s="2" t="n"/>
      <c r="D167" s="2" t="inlineStr">
        <is>
          <t>ขายได้ในร้านยา หากมีใบสั่งแพทย์</t>
        </is>
      </c>
      <c r="E167" s="2" t="inlineStr">
        <is>
          <t>ขายได้ในร้านยา โดยไม่ต้องมีใบสั่งแพทย์</t>
        </is>
      </c>
      <c r="F167" s="2" t="inlineStr">
        <is>
          <t>ขายไม่ได้ในร้านยา แม้มีใบสั่งแพทย์</t>
        </is>
      </c>
      <c r="G167" s="2" t="inlineStr">
        <is>
          <t>ขายไม่ได้ในร้านยา เนื่องจากเป็นวัตถุออกฤทธิ์ต่อจิตและประสาท</t>
        </is>
      </c>
      <c r="H167" s="2" t="inlineStr">
        <is>
          <t>ขายไม่ได้ในร้านยา เนื่องจากเป็นยาเสพติดให้โทษ ตะลุยโจทย์เภสัชจุฬาฯ สอบผ่าน 100%</t>
        </is>
      </c>
      <c r="I167" s="2" t="n">
        <v>1</v>
      </c>
      <c r="J167" s="2" t="inlineStr">
        <is>
          <t>✅ คำตอบที่ถูกต้อง: ข้อ ก. ขายได้ในร้านยา หากมีใบสั่งแพทย์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ขายได้ในร้านยา หากมีใบสั่งแพทย์ 💡 คำอธิบายและข้อกำหนดทางกฎหมาย:
💡 คำอธิบายและข้อกำหนดทางกฎหมาย:
การเลือก ขายได้ในร้านยา หากมีใบสั่งแพทย์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(ขายได้ในร้านยา โดยไม่ต้องมีใบสั่งแพทย์):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ค. (ขายไม่ได้ในร้านยา แม้มีใบสั่งแพทย์): ข้อนี้ไม่ใช่คำตอบที่ถูกต้องสำหรับภาวะ พ.ร.บ. ยา พ.ศ. 2510 เนื่องจากกลไกการออกฤทธิ์, efficacy หรือข้อบ่งใช้ไม่ตรงกับโจทย์ที่กำหนด
• ข้อ ง. (ขายไม่ได้ในร้านยา เนื่องจากเป็นวัตถุออกฤทธิ์ต่อจิตและประสาท):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จ. (ขายไม่ได้ในร้านยา เนื่องจากเป็นยาเสพติดให้โทษ ตะลุยโจทย์เภสัชจุฬาฯ สอบผ่าน 100%):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7" s="2" t="n"/>
      <c r="L167" s="2" t="inlineStr">
        <is>
          <t>พ.ร.บ. ยา พ.ศ. 2510</t>
        </is>
      </c>
      <c r="M167" s="2" t="inlineStr">
        <is>
          <t>SAP</t>
        </is>
      </c>
      <c r="N167" s="2" t="inlineStr">
        <is>
          <t>ข้อ 2 (LAW-CU-71.md)</t>
        </is>
      </c>
      <c r="O167" s="2" t="inlineStr">
        <is>
          <t>Mock</t>
        </is>
      </c>
      <c r="P167" s="2" t="inlineStr">
        <is>
          <t>Mock กฎหมาย CU71</t>
        </is>
      </c>
    </row>
    <row r="168" ht="13.2" customHeight="1" s="37">
      <c r="A168" s="2" t="n">
        <v>166</v>
      </c>
      <c r="B168" s="2" t="inlineStr">
        <is>
          <t>Budesonide inhaler จัดเป็นยาใดตามกฎหมาย</t>
        </is>
      </c>
      <c r="C168" s="2" t="n"/>
      <c r="D168" s="2" t="inlineStr">
        <is>
          <t>ยาอันตราย</t>
        </is>
      </c>
      <c r="E168" s="2" t="inlineStr">
        <is>
          <t>ยาควบคุมพิเศษ</t>
        </is>
      </c>
      <c r="F168" s="2" t="inlineStr">
        <is>
          <t>ยาใช้เฉพาะที่ แบบควบคุมพิเศษ</t>
        </is>
      </c>
      <c r="G168" s="2" t="inlineStr">
        <is>
          <t>วัตถุออกฤทธิ์ต่อจิตและประสาท</t>
        </is>
      </c>
      <c r="H168" s="2" t="inlineStr">
        <is>
          <t>ยาเสพติดให้โทษ ประเภทที่ 3 ตะลุยโจทย์เภสัชจุฬาฯ สอบผ่าน 100%</t>
        </is>
      </c>
      <c r="I168" s="2" t="n">
        <v>1</v>
      </c>
      <c r="J168"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(ยาใช้เฉพาะที่ แบบควบคุมพิเศษ): ข้อนี้ไม่ใช่คำตอบที่ถูกต้องสำหรับภาวะ พ.ร.บ. ยา พ.ศ. 2510 เนื่องจากกลไกการออกฤทธิ์, efficacy หรือข้อบ่งใช้ไม่ตรงกับโจทย์ที่กำหนด
• ข้อ ง. (วัตถุออกฤทธิ์ต่อจิตและประสาท):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(ยาเสพติดให้โทษ ประเภทที่ 3 ตะลุยโจทย์เภสัชจุฬาฯ สอบผ่าน 100%):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 s="2" t="n"/>
      <c r="L168" s="2" t="inlineStr">
        <is>
          <t>พ.ร.บ. ยา พ.ศ. 2510</t>
        </is>
      </c>
      <c r="M168" s="2" t="inlineStr">
        <is>
          <t>SAP</t>
        </is>
      </c>
      <c r="N168" s="2" t="inlineStr">
        <is>
          <t>ข้อ 3 (LAW-CU-71.md)</t>
        </is>
      </c>
      <c r="O168" s="2" t="inlineStr">
        <is>
          <t>Mock</t>
        </is>
      </c>
      <c r="P168" s="2" t="inlineStr">
        <is>
          <t>Mock กฎหมาย CU71</t>
        </is>
      </c>
    </row>
    <row r="169" ht="13.2" customHeight="1" s="37">
      <c r="A169" s="2" t="n">
        <v>167</v>
      </c>
      <c r="B169" s="2" t="inlineStr">
        <is>
          <t>ลูกจ้างหยิบยาที่ไม่ได้ขึ้นทะเบียนตำรับยาจากชั้นวางยาในร้าน เพื่อขายให้กับลูกค้า ถามว่า ใคร เป็นผู้กระทำความผิดตามกฎหมาย</t>
        </is>
      </c>
      <c r="C169" s="2" t="n"/>
      <c r="D169" s="2" t="inlineStr">
        <is>
          <t>พ.ร.บ. ยาเสพติดให้โทษ พ.ศ. 2522 (ยาเสพติดให้โทษประเภท 2 และ 3)</t>
        </is>
      </c>
      <c r="E169" s="2" t="inlineStr">
        <is>
          <t>พ.ร.บ. วัตถุที่ออกฤทธิ์ต่อจิตและประสาท พ.ศ. 2559 (ประเภท 2 และ 4)</t>
        </is>
      </c>
      <c r="F169" s="2" t="inlineStr">
        <is>
          <t>พ.ร.บ. วิชาชีพเภสัชกรรม พ.ศ. 2537 และข้อบังคับจรรยาบรรณวิชาชีพ</t>
        </is>
      </c>
      <c r="G169" s="2" t="inlineStr">
        <is>
          <t>พ.ร.บ. ผลิตภัณฑ์สมุนไพร พ.ศ. 2562</t>
        </is>
      </c>
      <c r="H169" s="2" t="inlineStr">
        <is>
          <t>พ.ร.บ. เครื่องสำอาง พ.ศ. 2558</t>
        </is>
      </c>
      <c r="I169" s="2" t="n">
        <v>1</v>
      </c>
      <c r="J16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9" s="2" t="n"/>
      <c r="L169" s="2" t="inlineStr">
        <is>
          <t>พ.ร.บ. ยา พ.ศ. 2510</t>
        </is>
      </c>
      <c r="M169" s="2" t="inlineStr">
        <is>
          <t>SAP</t>
        </is>
      </c>
      <c r="N169" s="2" t="inlineStr">
        <is>
          <t>ข้อ 1 (LAW-CU-71.md)</t>
        </is>
      </c>
      <c r="O169" s="2" t="inlineStr">
        <is>
          <t>Mock</t>
        </is>
      </c>
      <c r="P169" s="2" t="inlineStr">
        <is>
          <t>Mock กฎหมาย CU71</t>
        </is>
      </c>
    </row>
    <row r="170" ht="13.2" customHeight="1" s="37">
      <c r="A170" s="2" t="n">
        <v>168</v>
      </c>
      <c r="B170" s="2" t="inlineStr">
        <is>
          <t>ลูกจ้างหยิบยาที่ไม่ได้ขึ้นทะเบียนตำรับยาซึ่งแอบซ่อนอยู่ในลิ้นชักในร้าน เพื่อขายให้กับลูกค้า ถามว่า ใครเป็นผู้กระทำความผิดตามกฎหมาย มาตราสำคัญในพ.ร.บ.ยา 2510 มาตรา 19 ห้ามมิให้ผู้รับอนุญาต (1) ผลิตหรือขายยาแผนปัจจุบันนอกสถานที่ที่กำหนดไว้ในใบอนุญาต เว้นแต่เป็น การขายส่ง (2) ผลิตหรือขายยาแผนปัจจุบันไม่ตรงตามประเภทของใบอนุญาต (3) ขายยาแผนปัจจุบันที่เป็นยาอันตรายหรือยาควบคุมพิเศษให้แก่ผู้รับอนุญาตขาย ยาแผนปัจจุบันเฉพาะยาบรรจุเสร็จที่ไม่ใช่ยาอันตรายหรือยาควบคุมพิเศษ มาตราสำคัญในพ.ร.บ.ยา 2510 มาตรา 20 ผู้รับอนุญาตผลิตยาแผนปัจจุบันต้องมีเภสัชกรชั้นหนึ่งประจำอยู่ตลอดเวลาที่เปิดทำการ มาตรา 21 ผู้รับอนุญาตขายยาแผนปัจจุบันต้องมีเภสัชกรชั้นหนึ่งประจำอยู่ตลอดเวลาที่เปิดทำการ มาตราสำคัญในพ.ร.บ.ยา 2510 มาตรา 26 หน้าที่ของผู้รับอนุญาตขายยา (1) จัดให้มีป้าย ณ สถานที่ขายยา คือ (ก) ป้ายแสดงว่าเป็นสถานที่ขายยา (ข) ป้ายแสดงชื่อตัวของผู้มีหน้าที่ปฏิบัติการและเวลาที่ปฏิบัติการ (2) จัดให้มีการแยกเก็บยาสำหรับสัตว์เป็นส่วนสัดจากยาอื่น (3) จัดให้มีการแยกเก็บยาอันตราย, ยาควบคุมพิเศษ และยาอื่นๆ เป็นสัดส่วน (4) จัดให้มีที่เป็นส่วนสัดสำหรับปรุงยาตามใบสั่งยา (5) จัดให้ฉลากที่ภาชนะและหีบห่อบรรจุยาคงมีอยู่ครบถ้วน (6) ทำบัญชียาซื้อและขาย มาตราสำคัญในพ.ร.บ.ยา 2510 มาตรา 32 ห้ามมิให้ผู้รับอนุญาตขายยาอันตรายหรือยาควบคุมพิเศษในขณะที่เภสัชกรไม่อยู่ ปฏิบัติหน้าที่ ตัวอย่างโจทย์ น้องบอลลูนเป็นผู้รับอนุญาตเปิดร้านขายยา ขย.1 ขณะที่เภสัชกรผู้มีหน้าที่ปฏิบัติการลาป่วย เนื่องจากท้องเสีย น้องบอลลูนทำการเปิดร้านและขายยาอันตราย ถามว่าน้องบอลลูนมีความผิด ตามมาตราใด มาตราสำคัญในพ.ร.บ.ยา 2510 มาตรา 39 หน้าที่ของเภสัชกรผู้มีหน้าที่ปฏิบัติการ ให้เภสัชกรชั้นหนึ่งประจำอยู่ ณ สถานที่ขายยาแผนปัจจุบัน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 (6) ควบคุมการส่งมอบยาอันตราย ยาควบคุมพิเศษ หรือยาตามใบสั่งยา (7) ควบคุมการทำบัญชียาตามมาตรา 26 (6) (8) การอื่นตามที่กำหนดในกฎกระทรวง มาตราสำคัญในพ.ร.บ.ยา 2510 ตัวอย่างโจทย์ โชกุนเป็นเภสัชกรผู้มีหน้าที่ปฏิบัติการในร้านยาอินดี้แห่งหนึ่ง ทำการขายยา Viagra โดยไม่มีใบสั่ง แพทย์ ถามว่า โชกุนมีความผิดตามมาตราใด กฎกระทรวงฉบับที่ 15 ข้อ 9 ให้เภสัชกรชั้นหนึ่งปฏิบัติดังต่อไปนี้ (6) ควบคุมการขายยาควบคุมพิเศษเฉพาะแก่ผู้รับอนุญาตขายยาแผนปัจจุบัน ผู้ประกอบวิชาชีพเวช กรรม ผู้ประกอบโรคศิลปะแผนปัจจุบันชั้นหนึ่งในสาขาทันตกรรม ผู้ประกอบการบำบัดโรคสัตว์ ชั้นหนึ่งหรือเฉพาะตามใบสั่งยาของผู้ประกอบวิชาชีพเภสัชกรรม ผู้ประกอบโรคศิลปะแผนปัจจุบัน ชั้นหนึ่งในสาขาทันตกรรม หรือแก่ผู้ประกอบการบำบัดโรคสัตว์ชั้นหนึ่ง มาตราสำคัญในพ.ร.บ.ยา 2510 มาตรา 72 ห้ามมิให้ผู้ใดผลิต ขาย หรือนำหรือสั่งยาเข้ามาในราชอาณาจักรซึ่งยาต่อไปนี้ 72(1) ยาปลอม 72(2) ยาผิดมาตรฐาน 72(3) ยาเสื่อมคุณภาพ 72(4) ยาที่มิได้ขึ้นทะเบียนตำรับยา 72(5) ยาที่ทะเบียนตำรับยาถูกยกเลิก : ยาที่ขึ้นทะเบียนไว้แต่ไม่ได้ผลิตติดต่อกันเกิน 2 ปี 72(6) ยาที่รัฐมนตรีสั่งเพิกถอนทะเบียนตำรับยา: ยาที่ขึ้นทะเบียนไว้แล้ว ต่อมาพบว่า ยานั้นไม่ปลอดภัย จึงทำการเพิกถอนทะเบียน มาตราสำคัญในพ.ร.บ.ยา 2510 มาตรา 73 บอกนิยามของยาปลอม ยาหรือวัตถุที่ทำเทียม = ตัวยาปลอม ยาที่แสดงชื่อว่าเป็นยาอื่น หรือแสดงเดือน ปี ที่ยาสิ้นอายุ ซึ่งมิใช่ความจริง ยาที่แสดงชื่อผู้ผลิตหรือสถานที่ผลิตยาซึ่งมิใช่ความจริง ยาที่แสดงว่าเป็นยาตามตำรับยาที่ขึ้นทะเบียนไว้ซึ่งมิใช่ความจริง = ทะเบียนปลอม ยาที่มีปริมาณสารออกฤทธิ์ขาดหรือเกินกว่า 20% จากเกณฑ์ต ่าสุดหรือสูงสุด มาตรา 74 บอกนิยามของยาผิดมาตรฐาน ยาที่มีปริมาณสารออกฤทธิ์ขาดหรือเกิน แต่ไม่ถึง 20% จากเกณฑ์ต ่าสุดหรือสูงสุด 20% ยาปลอม ยาผิดมาตรฐาน เกณฑ์สูงสุด เกณฑ์สูงสุด ยามาตรฐาน เกณฑ์ต ่าสุด ยาผิดมาตรฐาน 20% ยาปลอม มาตราสำคัญในพ.ร.บ.ยา 2510 มาตรา 75 บอกนิยามของยาเสื่อมคุณภาพ ยาที่สิ้นอายุตามที่แสดงไว้ในฉลาก ยาที่เสื่อมสภาพหรือแปรสภาพไป เช่น เปลี่ยนสี มาตรา 75 ทวิ ห้ามมิให้ผู้ใดขายยาบรรจุเสร็จหลายขนาน โดยจัดเป็นชุดในคราวเดียวกัน แต่ถ้าเภสัชกรจัดหรือขายยาชุดให้แก่คนไข้ของตนสามารถทำได้ มาตราสำคัญในพ.ร.บ.ยา 2510 มาตรา 88 การโฆษณายาจะต้อง 88(1) ไม่เป็นการโอ้อวดสรรพคุณยาว่าสามารถบำบัดบรรเทา รักษา หรือป้องกันโรค หรือความ เจ็บป่วยได้อย่างศักดิ์สิทธิ์ หรือหายขาด 88(2) ไม่แสดงสรรพคุณยาอันเป็นเท็จหรือเกินความจริง 88(3) ไม่ทำให้เข้าใจว่ามีวัตถุใดเป็นตัวยา หรือเป็นส่วนประกอบของยา ซึ่งความจริงไม่มีวัตถุ หรือ ส่วนประกอบนั้นในยา หรือมีแต่ไม่เท่าที่ทำให้เข้าใจ 88(4) ไม่ทำให้เข้าใจว่าเป็นยาทำให้แท้งลูก หรือยาขับระดูอย่างแรง 88(5) ไม่ทำให้เข้าใจว่าเป็นยาบำรุงกามหรือยาคุมกำเนิด มาตราสำคัญในพ.ร.บ.ยา 2510 มาตรา 88 การโฆษณายาจะต้อง 88(6) ไม่แสดงสรรพคุณยาอันตราย หรือยาควบคุมพิเศษ 88(7) ไม่มีการรับรองหรือยกย่องสรรพคุณยาโดยบุคคลอื่น 88(8) ไม่แสดงสรรพคุณว่าสามารถบำบัด บรรเทา รักษาหรือป้องกันโรค หรืออาการของโรคที่ รัฐมนตรีประกาศ ตามมาตรา 77 (โรคเบาหวาน, มะเร็ง, วัณโรค, โรคเรื้อน, โรคหรืออาการ โรคของสมอง หัวใจ ปอด ตับ ม้าม ไต) มาตราสำคัญในพ.ร.บ.ยา 2510 มาตรา 88 ทวิ การโฆษณาขายยาทางสื่อทุกชนิด เช่น วิทยุ โทรทัศน์ ภาพยนตร์ หนังสือพิมพ์ แผ่นพับ Internet จะต้อง (1) ได้รับอนุมัติข้อความ เสียง หรือภาพที่ใช้ในการโฆษณา จากผู้อนุญาต (2) ปฏิบัติตามเงื่อนไขที่ผู้อนุญาตกำหนด มาตรา 90 ห้ามมิให้โฆษณายาด้วยวิธีการแถม หรือออกสลากรางวัล มาตรา 95 วรรค 2 ผู้รับอนุญาตซึ่งถูกสั่งพักใช้ใบอนุญาตต้องหยุดการผลิตยา การขายยา : ครั้งละไม่เกิน 120 วัน ประเภทของการขอโฆษณายา การขอโฆษณายาต่อบุคคลทั่วไปหรือทางสื่อทั่วไป การขอโฆษณายาที่กระทำโดยตรงต่อผู้ประกอบโรคศิลปะ ตะลุยโจทย์เภสัชจุฬาฯ สอบผ่าน 100%</t>
        </is>
      </c>
      <c r="C170" s="2" t="n"/>
      <c r="D170" s="2" t="inlineStr">
        <is>
          <t>ข้อใดต่อไปนี้เป็นยาเสื่อมคุณภาพตามกฎหมาย</t>
        </is>
      </c>
      <c r="E170" s="2" t="inlineStr">
        <is>
          <t>ยาหยอดตาที่มีตัวยาสำคัญมากกว่าเกณฑ์สูงสุด 12 %</t>
        </is>
      </c>
      <c r="F170" s="2" t="inlineStr">
        <is>
          <t>ยาหยอดตาที่มีส่วนผสมของยาอื่นปนเปื้อน 12%</t>
        </is>
      </c>
      <c r="G170" s="2" t="inlineStr">
        <is>
          <t>ยาหยอดตาซึ่งเขียนสถานที่ผลิตไม่ตรงกับความเป็นจริง</t>
        </is>
      </c>
      <c r="H170" s="2" t="inlineStr">
        <is>
          <t>ยาหยอดตาที่เปิดใช้งานมาแล้ว 2 เดือน</t>
        </is>
      </c>
      <c r="I170" s="2" t="n">
        <v>1</v>
      </c>
      <c r="J170" s="2" t="inlineStr">
        <is>
          <t>✅ คำตอบที่ถูกต้อง: ข้อ ก. ข้อใดต่อไปนี้เป็นยาเสื่อมคุณภาพตามกฎหมาย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ข้อใดต่อไปนี้เป็นยาเสื่อมคุณภาพตามกฎหมาย 💡 คำอธิบายและข้อกำหนดทางกฎหมาย:
💡 คำอธิบายและข้อกำหนดทางกฎหมาย:
การเลือก ข้อใดต่อไปนี้เป็นยาเสื่อมคุณภาพตามกฎหมาย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(ยาหยอดตาที่มีตัวยาสำคัญมากกว่าเกณฑ์สูงสุด 12 %):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(ยาหยอดตาที่มีส่วนผสมของยาอื่นปนเปื้อน 12%):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(ยาหยอดตาซึ่งเขียนสถานที่ผลิตไม่ตรงกับความเป็นจริง):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(ยาหยอดตาที่เปิดใช้งานมาแล้ว 2 เดือน):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0" s="2" t="n"/>
      <c r="L170" s="2" t="inlineStr">
        <is>
          <t>พ.ร.บ. ยา พ.ศ. 2510</t>
        </is>
      </c>
      <c r="M170" s="2" t="inlineStr">
        <is>
          <t>SAP</t>
        </is>
      </c>
      <c r="N170" s="2" t="inlineStr">
        <is>
          <t>ข้อ 2 (LAW-CU-71.md)</t>
        </is>
      </c>
      <c r="O170" s="2" t="inlineStr">
        <is>
          <t>Mock</t>
        </is>
      </c>
      <c r="P170" s="2" t="inlineStr">
        <is>
          <t>Mock กฎหมาย CU71</t>
        </is>
      </c>
    </row>
    <row r="171" ht="13.2" customHeight="1" s="37">
      <c r="A171" s="2" t="n">
        <v>169</v>
      </c>
      <c r="B171" s="2" t="inlineStr">
        <is>
          <t>ข้อใดไม่ใช่ norfloxacin ที่จัดเป็นยาปลอมตามกฎหมาย</t>
        </is>
      </c>
      <c r="C171" s="2" t="n"/>
      <c r="D171" s="2" t="inlineStr">
        <is>
          <t>มีการผสมตัวยา ciprofloxacin ด้วย</t>
        </is>
      </c>
      <c r="E171" s="2" t="inlineStr">
        <is>
          <t>ตรวจพบปริมาณ norfloxacin เพียง 70% เท่านั้น</t>
        </is>
      </c>
      <c r="F171" s="2" t="inlineStr">
        <is>
          <t>ที่ฉลากระบุว่าเป็นยา ofloxacin</t>
        </is>
      </c>
      <c r="G171" s="2" t="inlineStr">
        <is>
          <t>ที่ฉลากแสดงเครื่องหมายของผู้ผลิตซึ่งมิใช่ความจริง</t>
        </is>
      </c>
      <c r="H171" s="2" t="inlineStr">
        <is>
          <t>ลักษณะเม็ดยา norfloxacin เปลี่ยนจากสีขาว เป็น สีฟ้าอ่อน ตะลุยโจทย์เภสัชจุฬาฯ สอบผ่าน 100%</t>
        </is>
      </c>
      <c r="I171" s="2" t="n">
        <v>1</v>
      </c>
      <c r="J171"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การเลือก มีการผสมตัวยา ciprofloxacin ด้วย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 เพียง 70% 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ค. (ที่ฉลากระบุว่าเป็นยา ofloxacin): ข้อนี้ไม่ใช่คำตอบที่ถูกต้องสำหรับภาวะ พ.ร.บ. ยา พ.ศ. 2510 เนื่องจากกลไกการออกฤทธิ์, efficacy หรือข้อบ่งใช้ไม่ตรงกับโจทย์ที่กำหนด
• ข้อ ง. (ที่ฉลากแสดงเครื่องหมายของผู้ผลิตซึ่งมิใช่ความจริง): ข้อนี้ไม่ใช่คำตอบที่ถูกต้องสำหรับภาวะ พ.ร.บ. ยา พ.ศ. 2510 เนื่องจากกลไกการออกฤทธิ์, efficacy หรือข้อบ่งใช้ไม่ตรงกับโจทย์ที่กำหนด
• ข้อ จ. (ลักษณะเม็ดยา norfloxacin เปลี่ยนจากสีขาว เป็น สีฟ้าอ่อน ตะลุยโจทย์เภสัชจุฬาฯ สอบผ่าน 100%):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1" s="2" t="n"/>
      <c r="L171" s="2" t="inlineStr">
        <is>
          <t>พ.ร.บ. ยา พ.ศ. 2510</t>
        </is>
      </c>
      <c r="M171" s="2" t="inlineStr">
        <is>
          <t>SAP</t>
        </is>
      </c>
      <c r="N171" s="2" t="inlineStr">
        <is>
          <t>ข้อ 2 (LAW-CU-71.md)</t>
        </is>
      </c>
      <c r="O171" s="2" t="inlineStr">
        <is>
          <t>Mock</t>
        </is>
      </c>
      <c r="P171" s="2" t="inlineStr">
        <is>
          <t>Mock กฎหมาย CU71</t>
        </is>
      </c>
    </row>
    <row r="172" ht="13.2" customHeight="1" s="37">
      <c r="A172" s="2" t="n">
        <v>170</v>
      </c>
      <c r="B172" s="2" t="inlineStr">
        <is>
          <t>หากท่านต้องการขายยา glibencamide ทางอินเตอร์เนต สามารถทำได้หรือไม่ตามกฎหมาย</t>
        </is>
      </c>
      <c r="C172" s="2" t="n"/>
      <c r="D172" s="2" t="inlineStr">
        <is>
          <t>ทำได้ เนื่องจากกฎหมายไม่ได้ระบุข้อห้ามไว้</t>
        </is>
      </c>
      <c r="E172" s="2" t="inlineStr">
        <is>
          <t>ทำได้ เนื่องจากเป็นยาแผนปัจจุบันบรรจุเสร็จฯ</t>
        </is>
      </c>
      <c r="F172" s="2" t="inlineStr">
        <is>
          <t>ทำไม่ได้ เนื่องจากเป็นยาอันตราย ต้องขายในสถานที่ที่ขออนุญาตไว้เท่านั้น</t>
        </is>
      </c>
      <c r="G172" s="2" t="inlineStr">
        <is>
          <t>ทำไม่ได้ เนื่องจากเป็นยาควบคุมพิเศษ ต้องขายในสถานที่ที่ขออนุญาตไว้เท่านั้น</t>
        </is>
      </c>
      <c r="H172" s="2" t="inlineStr">
        <is>
          <t>ทำไม่ได้ เนื่องจากเป็นกฎหมายระบุว่า ห้ามขายยาทุกชนิดนอกร้านขายยา ตะลุยโจทย์เภสัชจุฬาฯ สอบผ่าน 100%</t>
        </is>
      </c>
      <c r="I172" s="2" t="n">
        <v>1</v>
      </c>
      <c r="J172" s="2" t="inlineStr">
        <is>
          <t>✅ คำตอบที่ถูกต้อง: ข้อ ก. ทำได้ เนื่องจากกฎหมายไม่ได้ระบุข้อห้ามไว้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ทำได้ เนื่องจากกฎหมายไม่ได้ระบุข้อห้ามไว้ 💡 คำอธิบายและข้อกำหนดทางกฎหมาย:
💡 คำอธิบายและข้อกำหนดทางกฎหมาย:
การเลือก ทำได้ เนื่องจากกฎหมายไม่ได้ระบุข้อห้ามไว้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(ทำได้ เนื่องจากเป็นยาแผนปัจจุบันบรรจุเสร็จฯ): ข้อนี้ไม่ใช่คำตอบที่ถูกต้องสำหรับภาวะ พ.ร.บ. ยา พ.ศ. 2510 เนื่องจากกลไกการออกฤทธิ์, efficacy หรือข้อบ่งใช้ไม่ตรงกับโจทย์ที่กำหนด
• ข้อ ค. (ทำไม่ได้ เนื่องจากเป็นยาอันตราย ต้องขายในสถานที่ที่ขออนุญาตไว้เท่านั้น):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(ทำไม่ได้ เนื่องจากเป็นยาควบคุมพิเศษ ต้องขายในสถานที่ที่ขออนุญาตไว้เท่านั้น):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(ทำไม่ได้ เนื่องจากเป็นกฎหมายระบุว่า ห้ามขายยาทุกชนิดนอกร้านขายยา ตะลุยโจทย์เภสัชจุฬาฯ สอบผ่าน 100%):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2" s="2" t="n"/>
      <c r="L172" s="2" t="inlineStr">
        <is>
          <t>พ.ร.บ. ยา พ.ศ. 2510</t>
        </is>
      </c>
      <c r="M172" s="2" t="inlineStr">
        <is>
          <t>SAP</t>
        </is>
      </c>
      <c r="N172" s="2" t="inlineStr">
        <is>
          <t>ข้อ 4 (LAW-CU-71.md)</t>
        </is>
      </c>
      <c r="O172" s="2" t="inlineStr">
        <is>
          <t>Mock</t>
        </is>
      </c>
      <c r="P172" s="2" t="inlineStr">
        <is>
          <t>Mock กฎหมาย CU71</t>
        </is>
      </c>
    </row>
    <row r="173" ht="13.2" customHeight="1" s="37">
      <c r="A173" s="2" t="n">
        <v>171</v>
      </c>
      <c r="B173" s="2" t="inlineStr">
        <is>
          <t>เพื่อรองรับสิทธิประโยชน์ที่มีตามกฎหมายเดิม จึงกำหนดให้ใบอนุญาตที่มีอยู่เดิมบังคับใช้ ต่อไปได้อีก 5 ปี นับแต่วันที่พ.ร.บ.นี้ใช้บังคับ พ.ร.บ.วิชาชีพเภสัชกรรม 2537 กรณีผู้ประกอบวิชาชีพกระทำความผิด คณะกรรมการมีอำนาจวินิจฉัยชี้ขาดอย่าง ใดอย่างหนึ่งดังต่อไปนี้ (1) ยกข้อกล่าวหาหรือข้อกล่าวโทษ (2) ว่ากล่าวตักเตือน (3) ภาคทัณฑ์ (4) พักใช้ใบอนุญาตมีกำหนดเวลาตามที่เห็นสมควรแต่ไม่เกินสองปี (5) เพิกถอนใบอนุญาต หากถูกตัดสินให้มีการพักใช้ใบอนุญาต แล้วกระทำการฝ่าฝืน จะถูกเพิกถอนใบอนุญาต หากถูกสั่งเพิกถอนใบอนุญาต อาจขอรับใบอนุญาตอีกได้เมื่อพ้นสองปีนับแต่วันที่ถูกสั่งเพิกถอน จรรยาบรรณ</t>
        </is>
      </c>
      <c r="C173" s="2" t="n"/>
      <c r="D173" s="2" t="inlineStr">
        <is>
          <t>พ.ร.บ. วิชาชีพเภสัชกรรม พ.ศ. 2537 และข้อบังคับจรรยาบรรณวิชาชีพ</t>
        </is>
      </c>
      <c r="E173" s="2" t="inlineStr">
        <is>
          <t>พ.ร.บ. ผลิตภัณฑ์สมุนไพร พ.ศ. 2562</t>
        </is>
      </c>
      <c r="F173" s="2" t="inlineStr">
        <is>
          <t>พ.ร.บ. เครื่องสำอาง พ.ศ. 2558</t>
        </is>
      </c>
      <c r="G173" s="2" t="inlineStr">
        <is>
          <t>พ.ร.บ. หลักประกันสุขภาพแห่งชาติ พ.ศ. 2545</t>
        </is>
      </c>
      <c r="H173" s="2" t="inlineStr">
        <is>
          <t>การปฏิบัติทางเภสัชกรรมชุมชน (Good Pharmacy Practice: GPP)</t>
        </is>
      </c>
      <c r="I173" s="2" t="n">
        <v>1</v>
      </c>
      <c r="J1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3" s="2" t="n"/>
      <c r="L173" s="2" t="inlineStr">
        <is>
          <t>พ.ร.บ. วิชาชีพเภสัชกรรม 2537</t>
        </is>
      </c>
      <c r="M173" s="2" t="inlineStr">
        <is>
          <t>SAP</t>
        </is>
      </c>
      <c r="N173" s="2" t="inlineStr">
        <is>
          <t>ข้อ 2 (LAW-CU-71.md)</t>
        </is>
      </c>
      <c r="O173" s="2" t="inlineStr">
        <is>
          <t>Mock</t>
        </is>
      </c>
      <c r="P173" s="2" t="inlineStr">
        <is>
          <t>Mock กฎหมาย CU71</t>
        </is>
      </c>
    </row>
    <row r="174" ht="13.2" customHeight="1" s="37">
      <c r="A174" s="2" t="n">
        <v>172</v>
      </c>
      <c r="B174" s="2" t="inlineStr">
        <is>
          <t>ดำรงตนให้สมควรในสังคมโดยธรรมและเคารพต่อกฎหมายของบ้านเมือง</t>
        </is>
      </c>
      <c r="C174" s="2" t="n"/>
      <c r="D174" s="2" t="inlineStr">
        <is>
          <t>พ.ร.บ. หลักประกันสุขภาพแห่งชาติ พ.ศ. 2545</t>
        </is>
      </c>
      <c r="E174" s="2" t="inlineStr">
        <is>
          <t>การปฏิบัติทางเภสัชกรรมชุมชน (Good Pharmacy Practice: GPP)</t>
        </is>
      </c>
      <c r="F174" s="2" t="inlineStr">
        <is>
          <t>บัญชียาหลักแห่งชาติ (National List of Essential Medicines: NLEM)</t>
        </is>
      </c>
      <c r="G174" s="2" t="inlineStr">
        <is>
          <t>เกณฑ์จริยธรรมว่าด้วยการส่งเสริมการขายยาของกระทรวงสาธารณสุข</t>
        </is>
      </c>
      <c r="H174" s="2" t="inlineStr">
        <is>
          <t>พ.ร.บ. ยา พ.ศ. 2510 (การจำหน่ายยาอันตรายและยาควบคุมพิเศษ)</t>
        </is>
      </c>
      <c r="I174" s="2" t="n">
        <v>1</v>
      </c>
      <c r="J1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 s="2" t="n"/>
      <c r="L174" s="2" t="inlineStr">
        <is>
          <t>พ.ร.บ. ยา พ.ศ. 2510</t>
        </is>
      </c>
      <c r="M174" s="2" t="inlineStr">
        <is>
          <t>SAP</t>
        </is>
      </c>
      <c r="N174" s="2" t="inlineStr">
        <is>
          <t>ข้อ 1 (LAW-CU-71.md)</t>
        </is>
      </c>
      <c r="O174" s="2" t="inlineStr">
        <is>
          <t>Mock</t>
        </is>
      </c>
      <c r="P174" s="2" t="inlineStr">
        <is>
          <t>Mock กฎหมาย CU71</t>
        </is>
      </c>
    </row>
    <row r="175" ht="13.2" customHeight="1" s="37">
      <c r="A175" s="2" t="n">
        <v>173</v>
      </c>
      <c r="B175" s="2" t="inlineStr">
        <is>
          <t>ปฏิบัติต่อผู้มารับบริการโดยสุภาพและปราศจากการบังคับขู่เข็ญ จรรยาบรรณ</t>
        </is>
      </c>
      <c r="C175" s="2" t="n"/>
      <c r="D175" s="2" t="inlineStr">
        <is>
          <t>เกณฑ์จริยธรรมว่าด้วยการส่งเสริมการขายยาของกระทรวงสาธารณสุข</t>
        </is>
      </c>
      <c r="E175" s="2" t="inlineStr">
        <is>
          <t>พ.ร.บ. ยา พ.ศ. 2510 (การจำหน่ายยาอันตรายและยาควบคุมพิเศษ)</t>
        </is>
      </c>
      <c r="F175" s="2" t="inlineStr">
        <is>
          <t>พ.ร.บ. ยาเสพติดให้โทษ พ.ศ. 2522 (ยาเสพติดให้โทษประเภท 2 และ 3)</t>
        </is>
      </c>
      <c r="G175" s="2" t="inlineStr">
        <is>
          <t>พ.ร.บ. วัตถุที่ออกฤทธิ์ต่อจิตและประสาท พ.ศ. 2559 (ประเภท 2 และ 4)</t>
        </is>
      </c>
      <c r="H175" s="2" t="inlineStr">
        <is>
          <t>พ.ร.บ. วิชาชีพเภสัชกรรม พ.ศ. 2537 และข้อบังคับจรรยาบรรณวิชาชีพ</t>
        </is>
      </c>
      <c r="I175" s="2" t="n">
        <v>1</v>
      </c>
      <c r="J1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 s="2" t="n"/>
      <c r="L175" s="2" t="inlineStr">
        <is>
          <t>พ.ร.บ. วิชาชีพเภสัชกรรม 2537</t>
        </is>
      </c>
      <c r="M175" s="2" t="inlineStr">
        <is>
          <t>SAP</t>
        </is>
      </c>
      <c r="N175" s="2" t="inlineStr">
        <is>
          <t>ข้อ 8 (LAW-CU-71.md)</t>
        </is>
      </c>
      <c r="O175" s="2" t="inlineStr">
        <is>
          <t>Mock</t>
        </is>
      </c>
      <c r="P175" s="2" t="inlineStr">
        <is>
          <t>Mock กฎหมาย CU71</t>
        </is>
      </c>
    </row>
    <row r="176" ht="13.2" customHeight="1" s="37">
      <c r="A176" s="2" t="n">
        <v>174</v>
      </c>
      <c r="B176" s="2" t="inlineStr">
        <is>
          <t>ไม่ใช้หรือสนับสนุนให้มีการประกอบวิชาชีพโดยผิดกฎหมาย</t>
        </is>
      </c>
      <c r="C176" s="2" t="n"/>
      <c r="D176" s="2" t="inlineStr">
        <is>
          <t>พ.ร.บ. วัตถุที่ออกฤทธิ์ต่อจิตและประสาท พ.ศ. 2559 (ประเภท 2 และ 4)</t>
        </is>
      </c>
      <c r="E176" s="2" t="inlineStr">
        <is>
          <t>พ.ร.บ. วิชาชีพเภสัชกรรม พ.ศ. 2537 และข้อบังคับจรรยาบรรณวิชาชีพ</t>
        </is>
      </c>
      <c r="F176" s="2" t="inlineStr">
        <is>
          <t>พ.ร.บ. ผลิตภัณฑ์สมุนไพร พ.ศ. 2562</t>
        </is>
      </c>
      <c r="G176" s="2" t="inlineStr">
        <is>
          <t>พ.ร.บ. เครื่องสำอาง พ.ศ. 2558</t>
        </is>
      </c>
      <c r="H176" s="2" t="inlineStr">
        <is>
          <t>พ.ร.บ. หลักประกันสุขภาพแห่งชาติ พ.ศ. 2545</t>
        </is>
      </c>
      <c r="I176" s="2" t="n">
        <v>1</v>
      </c>
      <c r="J1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 s="2" t="n"/>
      <c r="L176" s="2" t="inlineStr">
        <is>
          <t>พ.ร.บ. ยา พ.ศ. 2510</t>
        </is>
      </c>
      <c r="M176" s="2" t="inlineStr">
        <is>
          <t>SAP</t>
        </is>
      </c>
      <c r="N176" s="2" t="inlineStr">
        <is>
          <t>ข้อ 13 (LAW-CU-71.md)</t>
        </is>
      </c>
      <c r="O176" s="2" t="inlineStr">
        <is>
          <t>Mock</t>
        </is>
      </c>
      <c r="P176" s="2" t="inlineStr">
        <is>
          <t>Mock กฎหมาย CU71</t>
        </is>
      </c>
    </row>
    <row r="177" ht="13.2" customHeight="1" s="37">
      <c r="A177" s="2" t="n">
        <v>175</v>
      </c>
      <c r="B177" s="2" t="inlineStr">
        <is>
          <t>ช่วงพักรับประทานอาหารกลางวัน เภสัชกรได้พูดคุยสนทนาเรื่องคนไข้และอาการเจ็บป่วยกับเพื่อนคนอื่นๆใน โรงพยาบาลอย่างสนุกสนาน ผู้อำนวยการเดินมาพอดีจึงทำการว่ากล่าวตักเตือนเรื่องการละเมิดคำประกาศสิทธิผู้ป่วย ตามข้อใด</t>
        </is>
      </c>
      <c r="C177" s="2" t="n"/>
      <c r="D177" s="2" t="inlineStr">
        <is>
          <t>ผู้ป่วยทุกคนมีสิทธิพื้นฐานที่จะได้รับบริการด้านสุขภาพตามที่บัญญัติไว้ในรัฐธรรมนูญ</t>
        </is>
      </c>
      <c r="E177" s="2" t="inlineStr">
        <is>
          <t>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t>
        </is>
      </c>
      <c r="F177" s="2" t="inlineStr">
        <is>
          <t>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t>
        </is>
      </c>
      <c r="G177" s="2" t="inlineStr">
        <is>
          <t>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t>
        </is>
      </c>
      <c r="H177" s="2" t="inlineStr">
        <is>
          <t>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t>
        </is>
      </c>
      <c r="I177" s="2" t="n">
        <v>1</v>
      </c>
      <c r="J177" s="2" t="inlineStr">
        <is>
          <t>✅ คำตอบที่ถูกต้อง: ข้อ ก. ผู้ป่วยทุกคนมีสิทธิพื้นฐานที่จะได้รับบริการด้านสุขภาพตามที่บัญญัติไว้ในรัฐธรรมนูญ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ผู้ป่วยทุกคนมีสิทธิพื้นฐานที่จะได้รับบริการด้านสุขภาพตามที่บัญญัติไว้ในรัฐธรรมนูญ 💡 คำอธิบายและข้อกำหนดทางกฎหมาย:
💡 คำอธิบายและข้อกำหนดทางกฎหมาย:
การเลือก ผู้ป่วยทุกคนมีสิทธิพื้นฐานที่จะได้รับบริการด้านสุขภาพตามที่บัญญัติไว้ในรัฐธรรมนูญ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ข้อนี้ไม่ใช่คำตอบที่ถูกต้องสำหรับภาวะ พ.ร.บ. ยา พ.ศ. 2510 เนื่องจากกลไกการออกฤทธิ์, efficacy หรือข้อบ่งใช้ไม่ตรงกับโจทย์ที่กำหนด
• ข้อ ค.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ข้อนี้ไม่ใช่คำตอบที่ถูกต้องสำหรับภาวะ พ.ร.บ. ยา พ.ศ. 2510 เนื่องจากกลไกการออกฤทธิ์, efficacy หรือข้อบ่งใช้ไม่ตรงกับโจทย์ที่กำหนด
• ข้อ ง.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ข้อนี้ไม่ใช่คำตอบที่ถูกต้องสำหรับภาวะ พ.ร.บ. ยา พ.ศ. 2510 เนื่องจากกลไกการออกฤทธิ์, efficacy หรือข้อบ่งใช้ไม่ตรงกับโจทย์ที่กำหนด
• ข้อ จ.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 s="2" t="n"/>
      <c r="L177" s="2" t="inlineStr">
        <is>
          <t>พ.ร.บ. ยา พ.ศ. 2510</t>
        </is>
      </c>
      <c r="M177" s="2" t="inlineStr">
        <is>
          <t>SAP</t>
        </is>
      </c>
      <c r="N177" s="2" t="inlineStr">
        <is>
          <t>ข้อ 1 (LAW-CU-71.md)</t>
        </is>
      </c>
      <c r="O177" s="2" t="inlineStr">
        <is>
          <t>Mock</t>
        </is>
      </c>
      <c r="P177" s="2" t="inlineStr">
        <is>
          <t>Mock กฎหมาย CU71</t>
        </is>
      </c>
    </row>
    <row r="178" ht="13.2" customHeight="1" s="37">
      <c r="A178" s="2" t="n">
        <v>176</v>
      </c>
      <c r="B178" s="2" t="inlineStr">
        <is>
          <t>ผู้ป่วยคนดังกล่าวไม่สามารถมาโรงพยาบาลได้เพราะติดงาน จึงให้แฟนมารับยาแทน โดยนำบัตรประจำตัว ประชาชนของผู้ป่วยมาด้วย อยากทราบว่าผู้มารับยาแทน สามารถขอดูข้อมูลเกี่ยวกับการรักษาได้หรือไม่ หากไม่ได้ เป็นเพราะผู้ประกอบวิชาชีพเภสัชกรรมต้องปฏิบัติตามจรรยาบรรณข้อใด</t>
        </is>
      </c>
      <c r="C178" s="2" t="n"/>
      <c r="D178" s="2" t="inlineStr">
        <is>
          <t>เภสัชกรต้องประกอบวิชาชีพ โดยคำนึงถึงความปลอดภัยและเศรษฐานะของผู้ป่วยหรือผู้มารับบริการ</t>
        </is>
      </c>
      <c r="E178" s="2" t="inlineStr">
        <is>
          <t>เภสัชกรต้องไม่ประพฤติหรือกระทำการใดๆ อันเป็นเหตุให้เสื่อมเสียเกียรติศักดิ์แห่งวิชาชีพ</t>
        </is>
      </c>
      <c r="F178" s="2" t="inlineStr">
        <is>
          <t>เภสัชกรต้องไม่เปิดเผยความลับของผู้มารับบริการ เว้นแต่ได้รับความยินยอมจากผู้รับบริการ</t>
        </is>
      </c>
      <c r="G178" s="2" t="inlineStr">
        <is>
          <t>เภสัชกรต้องไม่ใช้หรือสนับสนุนให้มีการประกอบวิชาชีพโดยผิดกฎหมาย</t>
        </is>
      </c>
      <c r="H178" s="2" t="inlineStr">
        <is>
          <t>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t>
        </is>
      </c>
      <c r="I178" s="2" t="n">
        <v>1</v>
      </c>
      <c r="J178" s="2" t="inlineStr">
        <is>
          <t>✅ คำตอบที่ถูกต้อง: ข้อ ก. เภสัชกรต้องประกอบวิชาชีพ โดยคำนึงถึงความปลอดภัยและเศรษฐานะของผู้ป่วยหรือผู้มารับบริการ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เภสัชกรต้องประกอบวิชาชีพ โดยคำนึงถึงความปลอดภัยและเศรษฐานะของผู้ป่วยหรือผู้มารับบริการ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 คำอธิบายและข้อกำหนดทางกฎหมาย:
💡 คำอธิบายและข้อกำหนดทางกฎหมาย:
การเลือก เภสัชกรต้องประกอบวิชาชีพ โดยคำนึงถึง safety และเศรษฐานะของผู้ป่วยหรือผู้มารับบริการ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(เภสัชกรต้องไม่ประพฤติหรือกระทำการใดๆ อันเป็นเหตุให้เสื่อมเสียเกียรติศักดิ์แห่งวิชาชีพ):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(เภสัชกรต้องไม่เปิดเผยความลับของผู้มารับบริการ เว้นแต่ได้รับความยินยอมจากผู้รับบริการ):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(เภสัชกรต้องไม่ใช้หรือสนับสนุนให้มีการประกอบวิชาชีพโดยผิดกฎหมาย):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 s="2" t="n"/>
      <c r="L178" s="2" t="inlineStr">
        <is>
          <t>พ.ร.บ. วิชาชีพเภสัชกรรม 2537</t>
        </is>
      </c>
      <c r="M178" s="2" t="inlineStr">
        <is>
          <t>SAP</t>
        </is>
      </c>
      <c r="N178" s="2" t="inlineStr">
        <is>
          <t>ข้อ 2 (LAW-CU-71.md)</t>
        </is>
      </c>
      <c r="O178" s="2" t="inlineStr">
        <is>
          <t>Mock</t>
        </is>
      </c>
      <c r="P178" s="2" t="inlineStr">
        <is>
          <t>Mock กฎหมาย CU71</t>
        </is>
      </c>
    </row>
    <row r="179" ht="13.2" customHeight="1" s="37">
      <c r="A179" s="2" t="n">
        <v>177</v>
      </c>
      <c r="B179" s="2" t="inlineStr">
        <is>
          <t>ยาลดไขมัน 2 ชนิด มีประสิทธิภาพในการลดไขมันเท่า เทียมกัน แต่มีราคาแตกต่างกัน การศึกษาทางเศรษฐศาสตร์ ในข้อใดจะเป็นเครื_x001E_องมือในการช่วยตัดสินความคุ้มค่าใน การเลือกใช้ยาเพื_x001E_อลดไขมัน (1) Cost description (2) Cost minimization analysis (3) Cost benefit analysis (4) Cost utility analysis (5) Cost effectiveness analysis สถานการณ์ที_x001E_ 5 ผู้ป่วยหญิงไทยคู่ อายุ 49 ปี นํ_x001B_าหนัก 75 กิโลกรัม ส่วนสูง 150 เซนติเมตร BW 138/82 มาโรงพยาบาลด้วยอาการ ปวดข้อ จากการซักประวัติพบว่า มีอาการปวดข้อเข่าทั_x001B_งสองข้าง มาประมาณ 1 เดือน อาการปวดจะมากขึ_x001B_นเมื_x0003_อเดินขึ_x001B_นบันได หรือยืนนาน ๆ แต่หากได้นั_x0003_งพักแล้วอาการจะดีขึ_x001B_น และมักจะได้ ยินเสียงกรอบแกรบจากข้อบ่อยครั_x001B_ง ผลการตรวจเลือดพบ Rheumatoid factor 1:80 และ uric acid 6.2 mg/dL</t>
        </is>
      </c>
      <c r="C179" s="2" t="n"/>
      <c r="D179" s="2" t="inlineStr">
        <is>
          <t>พ.ร.บ. ยาเสพติดให้โทษ พ.ศ. 2522 (ยาเสพติดให้โทษประเภท 2 และ 3)</t>
        </is>
      </c>
      <c r="E179" s="2" t="inlineStr">
        <is>
          <t>พ.ร.บ. วัตถุที่ออกฤทธิ์ต่อจิตและประสาท พ.ศ. 2559 (ประเภท 2 และ 4)</t>
        </is>
      </c>
      <c r="F179" s="2" t="inlineStr">
        <is>
          <t>พ.ร.บ. วิชาชีพเภสัชกรรม พ.ศ. 2537 และข้อบังคับจรรยาบรรณวิชาชีพ</t>
        </is>
      </c>
      <c r="G179" s="2" t="inlineStr">
        <is>
          <t>พ.ร.บ. ผลิตภัณฑ์สมุนไพร พ.ศ. 2562</t>
        </is>
      </c>
      <c r="H179" s="2" t="inlineStr">
        <is>
          <t>พ.ร.บ. เครื่องสำอาง พ.ศ. 2558</t>
        </is>
      </c>
      <c r="I179" s="2" t="n">
        <v>1</v>
      </c>
      <c r="J17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9" s="2" t="n"/>
      <c r="L179" s="2" t="inlineStr">
        <is>
          <t>พ.ร.บ. ยา พ.ศ. 2510</t>
        </is>
      </c>
      <c r="M179" s="2" t="inlineStr">
        <is>
          <t>SAP</t>
        </is>
      </c>
      <c r="N179" s="2" t="inlineStr">
        <is>
          <t>ข้อ 34 (PLE_CC1_2557.md)</t>
        </is>
      </c>
      <c r="O179" s="2" t="inlineStr">
        <is>
          <t>ข้อสอบจริง</t>
        </is>
      </c>
      <c r="P179" s="2" t="inlineStr">
        <is>
          <t>ปี 2557</t>
        </is>
      </c>
    </row>
    <row r="180" ht="13.2" customHeight="1" s="37">
      <c r="A180" s="2" t="n">
        <v>178</v>
      </c>
      <c r="B180" s="2" t="inlineStr">
        <is>
          <t>Budesonide MDI และ Seretideห Accuhalerห จัดเป็นยา ประเภทใดตามกฎหมายตามลำดับ (1) ยาควบคุมพิเศษ และ ยาอันตราย (2) ยาอันตราย และ ยาควบคุมพิเศษ (3) ยาควบคุมพิเศษซึ_x0003_งจำหน่ายได้เฉพาะสถานพยาบาลที_x0003_ รับผู้ป่วยค้างคืน และ ยาอันตราย (4) ยาอันตราย และ ยาอันตราย (5) ยาควบคุมพิเศษ และ ยาควบคุมพิเศษ สถานการณ์ที_x001E_ 8 ผู้ป่วยชายไทย อายุ 45 ปี เนื_x0003_องจากมีภาวะปวดท้อง ไม่ มีอาเจียนเป็นเลือดสด ไม่มีภาวะถ่ายดำ ไม่มีไข้ จากการซัก ประวัติพบว่า ผู้ป่วยมีประวัติดื_x0003_มแอลกอฮอล์วันละ 1 แบน มา นานประมาณ 20 ปี โดยดื_x0003_มครั_x001B_งสุดท้ายเมื_x0003_อ 2 วันก่อนมา โรงพยาบาล แพทย์วินิจฉัยว่าผู้ป่วยมีภาวะ alcoholic cirrhosis Final version | Maximum’2017 Rx30 | Prince of Songkla University</t>
        </is>
      </c>
      <c r="C180" s="2" t="n"/>
      <c r="D180" s="2" t="inlineStr">
        <is>
          <t>พ.ร.บ. ผลิตภัณฑ์สมุนไพร พ.ศ. 2562</t>
        </is>
      </c>
      <c r="E180" s="2" t="inlineStr">
        <is>
          <t>พ.ร.บ. เครื่องสำอาง พ.ศ. 2558</t>
        </is>
      </c>
      <c r="F180" s="2" t="inlineStr">
        <is>
          <t>พ.ร.บ. หลักประกันสุขภาพแห่งชาติ พ.ศ. 2545</t>
        </is>
      </c>
      <c r="G180" s="2" t="inlineStr">
        <is>
          <t>การปฏิบัติทางเภสัชกรรมชุมชน (Good Pharmacy Practice: GPP)</t>
        </is>
      </c>
      <c r="H180" s="2" t="inlineStr">
        <is>
          <t>บัญชียาหลักแห่งชาติ (National List of Essential Medicines: NLEM)</t>
        </is>
      </c>
      <c r="I180" s="2" t="n">
        <v>1</v>
      </c>
      <c r="J1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0" s="2" t="n"/>
      <c r="L180" s="2" t="inlineStr">
        <is>
          <t>พ.ร.บ. ยา พ.ศ. 2510</t>
        </is>
      </c>
      <c r="M180" s="2" t="inlineStr">
        <is>
          <t>SAP</t>
        </is>
      </c>
      <c r="N180" s="2" t="inlineStr">
        <is>
          <t>ข้อ 55 (PLE_CC1_2557.md)</t>
        </is>
      </c>
      <c r="O180" s="2" t="inlineStr">
        <is>
          <t>ข้อสอบจริง</t>
        </is>
      </c>
      <c r="P180" s="2" t="inlineStr">
        <is>
          <t>ปี 2557</t>
        </is>
      </c>
    </row>
    <row r="181" ht="13.2" customHeight="1" s="37">
      <c r="A181" s="2" t="n">
        <v>179</v>
      </c>
      <c r="B181" s="2" t="inlineStr">
        <is>
          <t>การวิเคราะห์ความคุ้มค่าทางเศรษฐศาสตร์ด้วยวิธี Cost effectiveness analysis ของยา 5 ชนิดแสดงผลดังตาราง หากท่านเป็นเภสัชกรที_x001E_คัดเลือกยาเข้าโรงพยาบาล ท่านควร เลือกยาในข้อใด (1) ยา A ราคา 120 บาท ประสิทธิภาพ 80% (2) ยา B ราคา 110 บาท ประสิทธิภาพ 70% (3) ยา A ราคา 125 บาท ประสิทธิภาพ 85% (4) ยา A ราคา 130 บาท ประสิทธิภาพ 80% (5) ยา A ราคา 110 บาท ประสิทธิภาพ 75%</t>
        </is>
      </c>
      <c r="C181" s="2" t="n"/>
      <c r="D181" s="2" t="inlineStr">
        <is>
          <t>การปฏิบัติทางเภสัชกรรมชุมชน (Good Pharmacy Practice: GPP)</t>
        </is>
      </c>
      <c r="E181" s="2" t="inlineStr">
        <is>
          <t>บัญชียาหลักแห่งชาติ (National List of Essential Medicines: NLEM)</t>
        </is>
      </c>
      <c r="F181" s="2" t="inlineStr">
        <is>
          <t>เกณฑ์จริยธรรมว่าด้วยการส่งเสริมการขายยาของกระทรวงสาธารณสุข</t>
        </is>
      </c>
      <c r="G181" s="2" t="inlineStr">
        <is>
          <t>พ.ร.บ. ยา พ.ศ. 2510 (การจำหน่ายยาอันตรายและยาควบคุมพิเศษ)</t>
        </is>
      </c>
      <c r="H181" s="2" t="inlineStr">
        <is>
          <t>พ.ร.บ. ยาเสพติดให้โทษ พ.ศ. 2522 (ยาเสพติดให้โทษประเภท 2 และ 3)</t>
        </is>
      </c>
      <c r="I181" s="2" t="n">
        <v>1</v>
      </c>
      <c r="J18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1" s="2" t="n"/>
      <c r="L181" s="2" t="inlineStr">
        <is>
          <t>พ.ร.บ. ยา พ.ศ. 2510</t>
        </is>
      </c>
      <c r="M181" s="2" t="inlineStr">
        <is>
          <t>SAP</t>
        </is>
      </c>
      <c r="N181" s="2" t="inlineStr">
        <is>
          <t>ข้อ 83 (PLE_CC1_2557.md)</t>
        </is>
      </c>
      <c r="O181" s="2" t="inlineStr">
        <is>
          <t>ข้อสอบจริง</t>
        </is>
      </c>
      <c r="P181" s="2" t="inlineStr">
        <is>
          <t>ปี 2557</t>
        </is>
      </c>
    </row>
    <row r="182" ht="13.2" customHeight="1" s="37">
      <c r="A182" s="2" t="n">
        <v>180</v>
      </c>
      <c r="B182" s="2" t="inlineStr">
        <is>
          <t>เภสัชกรหญิงโสภาเขียนป้ายติดหน้าร้านขายยาของตนว่า “วัณโรครักษาได้ โปรดปรึกษาเภสัชกร” โดยไม่ได้หยิบยก ผลิตภัณฑ์ยาของบริษัทใดบริษัทหนึ_x001E_งขึ%นมากล่าวอ้าง เภสัช กรหญิงโสภา ทำผิดจรรยาบรรณวิชาชีพหรือไม่ เพราะเหตุใด (1) ผิด เนื_x0003_องจากไม่ได้รักษามาตรฐานของการประกอบ วิชาชีพเภสัชกรรมในระดับที_x0003_ดีที_x0003_สุด (2) ผิด เนื_x0003_องจากเป็นการโฆษณาความรู้ความสามารถของ ตนเอง (3) ผิด เนื_x0003_องจาก แสดงข้อความที_x0003_แสดงถึงการแสวงหา ประโยชน์ส่วนบุคคลที_x0003_เกิดจากการประกอบวิชาชีพ เภสัชกรรม (4) ไม่ผิด เนื_x0003_องจากไม่ได้มีการหยิบยกผลิตภัณฑ์ยาของ บริษัทใดบริษัทหนึ_x0003_งขึ_x001B_นมากล่าวอ้าง (5) ไม่ผิด เนื_x0003_องจากไม่ใช้หรือสนับสนุนการใช้ยาตำรับลับ สถานการณ์ที_x001E_ 4 ผู้ป่วยชาย อายุ 61 ปี มีโรคประจำตัวคือโรคความดัน โลหิต ไขมันในเลือดสูง และเก๊าท์ มียาที_x0003_ใช้เป็นประจำดังนี_x001B_ Simvastatin 10 mg hs Enalapril 5 mg OD Allopurinol 300 mg OD วันนี_x001B_มาพบแพทย์ตามนัด วัดความดันโลหิตได้เท่ากับ 152/92 mmHg ผลการตรวจระดับไขมันในเลือดเป็นดังนี_x001B_ Triglyceride 500 mg/dL, LDL-cholesterol 90 mg/dL และ HDL-cholesterol 45 mg/dL</t>
        </is>
      </c>
      <c r="C182" s="2" t="n"/>
      <c r="D182" s="2" t="inlineStr">
        <is>
          <t>พ.ร.บ. ยา พ.ศ. 2510 (การจำหน่ายยาอันตรายและยาควบคุมพิเศษ)</t>
        </is>
      </c>
      <c r="E182" s="2" t="inlineStr">
        <is>
          <t>พ.ร.บ. ยาเสพติดให้โทษ พ.ศ. 2522 (ยาเสพติดให้โทษประเภท 2 และ 3)</t>
        </is>
      </c>
      <c r="F182" s="2" t="inlineStr">
        <is>
          <t>พ.ร.บ. วัตถุที่ออกฤทธิ์ต่อจิตและประสาท พ.ศ. 2559 (ประเภท 2 และ 4)</t>
        </is>
      </c>
      <c r="G182" s="2" t="inlineStr">
        <is>
          <t>พ.ร.บ. วิชาชีพเภสัชกรรม พ.ศ. 2537 และข้อบังคับจรรยาบรรณวิชาชีพ</t>
        </is>
      </c>
      <c r="H182" s="2" t="inlineStr">
        <is>
          <t>พ.ร.บ. ผลิตภัณฑ์สมุนไพร พ.ศ. 2562</t>
        </is>
      </c>
      <c r="I182" s="2" t="n">
        <v>1</v>
      </c>
      <c r="J1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2" s="2" t="n"/>
      <c r="L182" s="2" t="inlineStr">
        <is>
          <t>พ.ร.บ. วิชาชีพเภสัชกรรม 2537</t>
        </is>
      </c>
      <c r="M182" s="2" t="inlineStr">
        <is>
          <t>SAP</t>
        </is>
      </c>
      <c r="N182" s="2" t="inlineStr">
        <is>
          <t>ข้อ 24 (PLE_CC1_2557.md)</t>
        </is>
      </c>
      <c r="O182" s="2" t="inlineStr">
        <is>
          <t>ข้อสอบจริง</t>
        </is>
      </c>
      <c r="P182" s="2" t="inlineStr">
        <is>
          <t>ปี 2557</t>
        </is>
      </c>
    </row>
    <row r="183" ht="13.2" customHeight="1" s="37">
      <c r="A183" s="2" t="n">
        <v>181</v>
      </c>
      <c r="B183" s="2" t="inlineStr">
        <is>
          <t>ในกรณีที_x001E_ท่านต้องการศึกษาเปรียบเทียบประสิทธิภาพของ ยา ACEIs และ Beta-blockers ในการลดอันตราการตาย จากการเกิดภาวะ myocardial infarction ในผู้ป่วยที_x001E_มี ความดันโลหิตสูง ท่านควรออกแบบการศึกษาแบบใด (1) Case-control study (2) Case-report study (3) Cohort study (4) Randomized control trial (5) Retrospective study</t>
        </is>
      </c>
      <c r="C183" s="2" t="n"/>
      <c r="D183" s="2" t="inlineStr">
        <is>
          <t>พ.ร.บ. วิชาชีพเภสัชกรรม พ.ศ. 2537 และข้อบังคับจรรยาบรรณวิชาชีพ</t>
        </is>
      </c>
      <c r="E183" s="2" t="inlineStr">
        <is>
          <t>พ.ร.บ. ผลิตภัณฑ์สมุนไพร พ.ศ. 2562</t>
        </is>
      </c>
      <c r="F183" s="2" t="inlineStr">
        <is>
          <t>พ.ร.บ. เครื่องสำอาง พ.ศ. 2558</t>
        </is>
      </c>
      <c r="G183" s="2" t="inlineStr">
        <is>
          <t>พ.ร.บ. หลักประกันสุขภาพแห่งชาติ พ.ศ. 2545</t>
        </is>
      </c>
      <c r="H183" s="2" t="inlineStr">
        <is>
          <t>การปฏิบัติทางเภสัชกรรมชุมชน (Good Pharmacy Practice: GPP)</t>
        </is>
      </c>
      <c r="I183" s="2" t="n">
        <v>1</v>
      </c>
      <c r="J18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3" s="2" t="n"/>
      <c r="L183" s="2" t="inlineStr">
        <is>
          <t>พ.ร.บ. ยา พ.ศ. 2510</t>
        </is>
      </c>
      <c r="M183" s="2" t="inlineStr">
        <is>
          <t>SAP</t>
        </is>
      </c>
      <c r="N183" s="2" t="inlineStr">
        <is>
          <t>ข้อ 28 (PLE_CC1_2557.md)</t>
        </is>
      </c>
      <c r="O183" s="2" t="inlineStr">
        <is>
          <t>ข้อสอบจริง</t>
        </is>
      </c>
      <c r="P183" s="2" t="inlineStr">
        <is>
          <t>ปี 2557</t>
        </is>
      </c>
    </row>
    <row r="184" ht="13.2" customHeight="1" s="37">
      <c r="A184" s="2" t="n">
        <v>182</v>
      </c>
      <c r="B184" s="2" t="inlineStr">
        <is>
          <t>ต่อมา ผู้ป่วยรายนี%มีอาการตกขาว แพทย์จึงสั_x001E_งจ่าย clotrimazole vaginal tablet ขณะจัดยาเภสัชกรได้หยิบ co-trimoxazole tablet เภสัชกรรายนี%ประพฤติผิด จรรยาบรรณวิชาชีพในข้อใด (1) ผู้ประกอบวิชาชีพเภสัชกรรมย่อมดำรงตนให้สมควร ในสังคมโดยธรรมและเคารพต่อกฎหมายของ บ้านเมือง (2) ผู้ประกอบวิชาชีพเภสัชกรรมย่อมไม่ประพฤติหรือ กระทำการใด ๆ อันเป็นเหตุให้เสื_x0003_อมเสียเกียรติศักดิ&lt; แห่งวิชาชีพ (3) ผู้ประกอบวิชาชีพเภสัชกรรมต้องปฏิบัติต่อผู้มารับ บริการโดยสุภาพและปราศจากการบังคับขู่เข็ญ MCQ 12 | 1/2557 | Page 21 (4) ผู้ประกอบวิชาชีพเภสัชกรรมต้องประกอบวิชาชีพ โดยคำนึงถึงความปลอดภัยและเศรษฐานะของผู้ป่วย หรือผู้มารับบริการ (5) ผู้ประกอบวิชาชีพเภสัชกรรมต้องไม่ใช้หรือสนับสนุน การใช้ยาตำรับลับ สถานการณ์ที_x001E_ 7 หญิงไทย อายุ 51 ปี เข้ามาปรึกษาแพทย์ที_x0003_คลินิกข้อ และกระดูก จากการซักประวัติและตรวจร่างกายเบื_x001B_องต้นพบว่า นํ_x001B_าหนัก 42 กิโลกรัม สูง 161 เซนติเมตร ขาดประจำเดือน มาแล้วมากกว่า 1 ปี ชอบดื_x0003_มกาแฟ ชอบออกกำลังกายด้วยวิธีปั_x0003_น จักรยาน และเดินเร็ว ไม่สูบบุหรี_x0003_ จากการตรวจวัดมวลกระดูก (Bone mineral density) พบ T-score เท่ากับ -1.8 แพทย์จึงจ่าย ยาดังต่อไปนี_x001B_ Calcium carbonate (1000 mg) 1 x 2 pc Alendronate (5 mg) once weekly on Saturday Vitamin D3 (1000 IU) OD</t>
        </is>
      </c>
      <c r="C184" s="2" t="n"/>
      <c r="D184" s="2" t="inlineStr">
        <is>
          <t>พ.ร.บ. หลักประกันสุขภาพแห่งชาติ พ.ศ. 2545</t>
        </is>
      </c>
      <c r="E184" s="2" t="inlineStr">
        <is>
          <t>การปฏิบัติทางเภสัชกรรมชุมชน (Good Pharmacy Practice: GPP)</t>
        </is>
      </c>
      <c r="F184" s="2" t="inlineStr">
        <is>
          <t>บัญชียาหลักแห่งชาติ (National List of Essential Medicines: NLEM)</t>
        </is>
      </c>
      <c r="G184" s="2" t="inlineStr">
        <is>
          <t>เกณฑ์จริยธรรมว่าด้วยการส่งเสริมการขายยาของกระทรวงสาธารณสุข</t>
        </is>
      </c>
      <c r="H184" s="2" t="inlineStr">
        <is>
          <t>พ.ร.บ. ยา พ.ศ. 2510 (การจำหน่ายยาอันตรายและยาควบคุมพิเศษ)</t>
        </is>
      </c>
      <c r="I184" s="2" t="n">
        <v>1</v>
      </c>
      <c r="J18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 s="2" t="n"/>
      <c r="L184" s="2" t="inlineStr">
        <is>
          <t>พ.ร.บ. วิชาชีพเภสัชกรรม 2537</t>
        </is>
      </c>
      <c r="M184" s="2" t="inlineStr">
        <is>
          <t>SAP</t>
        </is>
      </c>
      <c r="N184" s="2" t="inlineStr">
        <is>
          <t>ข้อ 43 (PLE_CC1_2557.md)</t>
        </is>
      </c>
      <c r="O184" s="2" t="inlineStr">
        <is>
          <t>ข้อสอบจริง</t>
        </is>
      </c>
      <c r="P184" s="2" t="inlineStr">
        <is>
          <t>ปี 2557</t>
        </is>
      </c>
    </row>
    <row r="185" ht="13.2" customHeight="1" s="37">
      <c r="A185" s="2" t="n">
        <v>183</v>
      </c>
      <c r="B185" s="2" t="inlineStr">
        <is>
          <t>การศึกษาประสิทธิภาพของยา A ในการลดความเสี_x001E_ยงการ เกิดกระดูกพรุนเมื_x001E_อเทียบกับยา B พบว่า Hazard ratio ของการเกิดภาวะกระดูกพรุนเมื_x001E_อใช้ยา A เท่ากับ 0.80 เมื_x001E_อ เทียบกับยา B โดยมีค่าความเชื_x001E_อมั_x001E_นที_x001E_ 95% เท่ากับ 0.75 -</t>
        </is>
      </c>
      <c r="C185" s="2" t="n"/>
      <c r="D185" s="2" t="inlineStr">
        <is>
          <t>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t>
        </is>
      </c>
      <c r="E185" s="2" t="inlineStr">
        <is>
          <t>พ.ร.บ. ยา พ.ศ. 2510 (การจำหน่ายยาอันตรายและยาควบคุมพิเศษ)</t>
        </is>
      </c>
      <c r="F185" s="2" t="inlineStr">
        <is>
          <t>พ.ร.บ. ยาเสพติดให้โทษ พ.ศ. 2522 (ยาเสพติดให้โทษประเภท 2 และ 3)</t>
        </is>
      </c>
      <c r="G185" s="2" t="inlineStr">
        <is>
          <t>พ.ร.บ. วัตถุที่ออกฤทธิ์ต่อจิตและประสาท พ.ศ. 2559 (ประเภท 2 และ 4)</t>
        </is>
      </c>
      <c r="H185" s="2" t="inlineStr">
        <is>
          <t>พ.ร.บ. วิชาชีพเภสัชกรรม พ.ศ. 2537 และข้อบังคับจรรยาบรรณวิชาชีพ</t>
        </is>
      </c>
      <c r="I185" s="2" t="n">
        <v>1</v>
      </c>
      <c r="J185" s="2" t="inlineStr">
        <is>
          <t>✅ คำตอบที่ถูกต้อง: ข้อ 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Background:
กฎหมายยาและจรรยาบรรณวิชาชีพมีขึ้นเพื่อคุ้มครองความปลอดภัยของผู้บริโภคตามมาตรฐาน Good Pharmacy Practice (GPP)
🎯 ทำไมข้อนี้ถึงถูก: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คำอธิบายและข้อกำหนดทางกฎหมาย:
💡 คำอธิบายและข้อกำหนดทางกฎหมาย:
การเลือก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 s="2" t="n"/>
      <c r="L185" s="2" t="inlineStr">
        <is>
          <t>พ.ร.บ. ยา พ.ศ. 2510</t>
        </is>
      </c>
      <c r="M185" s="2" t="inlineStr">
        <is>
          <t>SAP</t>
        </is>
      </c>
      <c r="N185" s="2" t="inlineStr">
        <is>
          <t>ข้อ 52 (PLE_CC1_2557.md)</t>
        </is>
      </c>
      <c r="O185" s="2" t="inlineStr">
        <is>
          <t>ข้อสอบจริง</t>
        </is>
      </c>
      <c r="P185" s="2" t="inlineStr">
        <is>
          <t>ปี 2557</t>
        </is>
      </c>
    </row>
    <row r="186" ht="13.2" customHeight="1" s="37">
      <c r="A186" s="2" t="n">
        <v>184</v>
      </c>
      <c r="B186" s="2" t="inlineStr">
        <is>
          <t>การขายยา Alprazolam ในร้านขายยา มีความผิดตามข้อใด (1) ผิดกฎหมายยา แต่ไม่ผิดจรรยาบรรณวิชาชีพ (2) ผิดกฎหมายยา และผิดจรรยาบรรณวิชาชีพ (3) ผิดกฎหมายวัตถุออกฤทธิ&lt;ฯ แต่ไม่ผิดจรรยาบรรณ วิชาชีพ (4) ผิดกฎหมายวัตถุออกฤทธิ&lt; และผิดจรรยาบรรณวิชาชีพ (5) ผิดกฎหมายยาเสพติดให้โทษ และผิดจรรยาบรรณ วิชาชีพ Final version | Maximum’2017 Rx30 | Prince of Songkla University</t>
        </is>
      </c>
      <c r="C186" s="2" t="n"/>
      <c r="D186" s="2" t="inlineStr">
        <is>
          <t>พ.ร.บ. วัตถุที่ออกฤทธิ์ต่อจิตและประสาท พ.ศ. 2559 (ประเภท 2 และ 4)</t>
        </is>
      </c>
      <c r="E186" s="2" t="inlineStr">
        <is>
          <t>พ.ร.บ. วิชาชีพเภสัชกรรม พ.ศ. 2537 และข้อบังคับจรรยาบรรณวิชาชีพ</t>
        </is>
      </c>
      <c r="F186" s="2" t="inlineStr">
        <is>
          <t>พ.ร.บ. ผลิตภัณฑ์สมุนไพร พ.ศ. 2562</t>
        </is>
      </c>
      <c r="G186" s="2" t="inlineStr">
        <is>
          <t>พ.ร.บ. เครื่องสำอาง พ.ศ. 2558</t>
        </is>
      </c>
      <c r="H186" s="2" t="inlineStr">
        <is>
          <t>พ.ร.บ. หลักประกันสุขภาพแห่งชาติ พ.ศ. 2545</t>
        </is>
      </c>
      <c r="I186" s="2" t="n">
        <v>1</v>
      </c>
      <c r="J186"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 s="2" t="n"/>
      <c r="L186" s="2" t="inlineStr">
        <is>
          <t>พ.ร.บ. ยาเสพติดให้โทษ &amp; วัตถุออกฤทธิ์</t>
        </is>
      </c>
      <c r="M186" s="2" t="inlineStr">
        <is>
          <t>SAP</t>
        </is>
      </c>
      <c r="N186" s="2" t="inlineStr">
        <is>
          <t>ข้อ 54 (PLE_CC1_2557.md)</t>
        </is>
      </c>
      <c r="O186" s="2" t="inlineStr">
        <is>
          <t>ข้อสอบจริง</t>
        </is>
      </c>
      <c r="P186" s="2" t="inlineStr">
        <is>
          <t>ปี 2557</t>
        </is>
      </c>
    </row>
    <row r="187" ht="13.2" customHeight="1" s="37">
      <c r="A187" s="2" t="n">
        <v>185</v>
      </c>
      <c r="B187" s="2" t="inlineStr">
        <is>
          <t>Tretinoin cream และ oral isotretinoin เป็นยาประเภทใด ตามกฎหมาย ตามลำดับ (1) ยาบรรจุเสร็จที_x0003_ไม่ใช่ยาอันตรายหรือยาควบคุมพิเศษ, ยาอันตราย (2) ยาบรรจุเสร็จที_x0003_ไม่ใช่ยาอันตรายหรือยาควบคุมพิเศษ, ยาควบคุมพิเศษ (3) ยาอันตราย, ยาอันตราย (4) ยาควบคุมพิเศษ, ยาอันตราย (5) ยาอันตราย, ยาควบคุมพิเศษ</t>
        </is>
      </c>
      <c r="C187" s="2" t="n"/>
      <c r="D187" s="2" t="inlineStr">
        <is>
          <t>พ.ร.บ. เครื่องสำอาง พ.ศ. 2558</t>
        </is>
      </c>
      <c r="E187" s="2" t="inlineStr">
        <is>
          <t>พ.ร.บ. หลักประกันสุขภาพแห่งชาติ พ.ศ. 2545</t>
        </is>
      </c>
      <c r="F187" s="2" t="inlineStr">
        <is>
          <t>การปฏิบัติทางเภสัชกรรมชุมชน (Good Pharmacy Practice: GPP)</t>
        </is>
      </c>
      <c r="G187" s="2" t="inlineStr">
        <is>
          <t>บัญชียาหลักแห่งชาติ (National List of Essential Medicines: NLEM)</t>
        </is>
      </c>
      <c r="H187" s="2" t="inlineStr">
        <is>
          <t>เกณฑ์จริยธรรมว่าด้วยการส่งเสริมการขายยาของกระทรวงสาธารณสุข</t>
        </is>
      </c>
      <c r="I187" s="2" t="n">
        <v>1</v>
      </c>
      <c r="J18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 s="2" t="n"/>
      <c r="L187" s="2" t="inlineStr">
        <is>
          <t>พ.ร.บ. ยา พ.ศ. 2510</t>
        </is>
      </c>
      <c r="M187" s="2" t="inlineStr">
        <is>
          <t>SAP</t>
        </is>
      </c>
      <c r="N187" s="2" t="inlineStr">
        <is>
          <t>ข้อ 71 (PLE_CC1_2557.md)</t>
        </is>
      </c>
      <c r="O187" s="2" t="inlineStr">
        <is>
          <t>ข้อสอบจริง</t>
        </is>
      </c>
      <c r="P187" s="2" t="inlineStr">
        <is>
          <t>ปี 2557</t>
        </is>
      </c>
    </row>
    <row r="188" ht="13.2" customHeight="1" s="37">
      <c r="A188" s="2" t="n">
        <v>186</v>
      </c>
      <c r="B188" s="2" t="inlineStr">
        <is>
          <t>จากการศึกษาเปรียบเทียบประสิทธิภาพของวัคซีน AA ใน การป้องกันโรคพิษสุนัขบ้าหลังถูกสุนัขกัด ได้ผลแสดงดัง ตาราง ความเสี_x001E_ยงในการเกิดโรคพิษสุนัขบ้าในกลุ่มที_x001E_ได้รับ วัคซีน เป็นกี_x001E_เท่าของคนที_x001E_ไม่ได้รับวัคซีน (สรุปง่าย ๆ ก็คือ ให้หา Relative risk) (ตัวเลขสมมติ) เป็นโรค ไม่เป็นโรค ได้รับวัคซีน 4 98 ไม่ได้รับวัคซีน 43 61 (1) (4/43) / (98/61) (2) (4/47) / (98/159) (3) (4/61) / (43/98) (4) (4/98) / (43/61) (5) (4/102) / (43/104)</t>
        </is>
      </c>
      <c r="C188" s="2" t="n"/>
      <c r="D188" s="2" t="inlineStr">
        <is>
          <t>บัญชียาหลักแห่งชาติ (National List of Essential Medicines: NLEM)</t>
        </is>
      </c>
      <c r="E188" s="2" t="inlineStr">
        <is>
          <t>เกณฑ์จริยธรรมว่าด้วยการส่งเสริมการขายยาของกระทรวงสาธารณสุข</t>
        </is>
      </c>
      <c r="F188" s="2" t="inlineStr">
        <is>
          <t>พ.ร.บ. ยา พ.ศ. 2510 (การจำหน่ายยาอันตรายและยาควบคุมพิเศษ)</t>
        </is>
      </c>
      <c r="G188" s="2" t="inlineStr">
        <is>
          <t>พ.ร.บ. ยาเสพติดให้โทษ พ.ศ. 2522 (ยาเสพติดให้โทษประเภท 2 และ 3)</t>
        </is>
      </c>
      <c r="H188" s="2" t="inlineStr">
        <is>
          <t>พ.ร.บ. วัตถุที่ออกฤทธิ์ต่อจิตและประสาท พ.ศ. 2559 (ประเภท 2 และ 4)</t>
        </is>
      </c>
      <c r="I188" s="2" t="n">
        <v>1</v>
      </c>
      <c r="J188" s="2" t="inlineStr">
        <is>
          <t>✅ คำตอบที่ถูกต้อง: ข้อ ก. บัญชียาหลักแห่งชาติ (National List of Essential Medicines: NLEM)
💡 Background:
การประเมินหลักฐานเชิงประจักษ์ (Evidence-Based Practice) อาศัย study design, statistical parameters (p-value, 95% CI, RR/OR) เพื่อการตัดสินใจอย่างแม่นยำ
🎯 ทำไมข้อนี้ถึงถูก:
บัญชียาหลักแห่งชาติ (National List of Essential Medicines: NLEM)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 s="2" t="n"/>
      <c r="L188" s="2" t="inlineStr">
        <is>
          <t>พ.ร.บ. ยา พ.ศ. 2510</t>
        </is>
      </c>
      <c r="M188" s="2" t="inlineStr">
        <is>
          <t>SAP</t>
        </is>
      </c>
      <c r="N188" s="2" t="inlineStr">
        <is>
          <t>ข้อ 90 (PLE_CC1_2557.md)</t>
        </is>
      </c>
      <c r="O188" s="2" t="inlineStr">
        <is>
          <t>ข้อสอบจริง</t>
        </is>
      </c>
      <c r="P188" s="2" t="inlineStr">
        <is>
          <t>ปี 2557</t>
        </is>
      </c>
    </row>
    <row r="189" ht="13.2" customHeight="1" s="37">
      <c r="A189" s="2" t="n">
        <v>187</v>
      </c>
      <c r="B189" s="2" t="inlineStr">
        <is>
          <t>การตัดสินความคุ้มค่าของทางเลือกการรักษา ข้อใดบ่งบอก ว่าทางเลือกดังกล่าว เป็นทางเลือกที_x001E_ไม่คุ้มค่ามากที_x001E_สุด (1) ประสิทธิภาพน้อยที_x0003_สุด (2) ราคาแพงที_x0003_สุด (3) ต้นทุนประสิทธิภาพไม่ดี (4) ต้นทุนประสิทธิภาพตํ_x0003_า (โจทย์มาแบบนี_x001B_เลย ไม่รู้ เหมือนกันว่าสองตัวเลือกนี_x001B_มันต่างกันยังไง) (5) มีค่า ICER สูงที_x0003_สุด</t>
        </is>
      </c>
      <c r="C189" s="2" t="n"/>
      <c r="D189" s="2" t="inlineStr">
        <is>
          <t>พ.ร.บ. ยาเสพติดให้โทษ พ.ศ. 2522 (ยาเสพติดให้โทษประเภท 2 และ 3)</t>
        </is>
      </c>
      <c r="E189" s="2" t="inlineStr">
        <is>
          <t>พ.ร.บ. วัตถุที่ออกฤทธิ์ต่อจิตและประสาท พ.ศ. 2559 (ประเภท 2 และ 4)</t>
        </is>
      </c>
      <c r="F189" s="2" t="inlineStr">
        <is>
          <t>พ.ร.บ. วิชาชีพเภสัชกรรม พ.ศ. 2537 และข้อบังคับจรรยาบรรณวิชาชีพ</t>
        </is>
      </c>
      <c r="G189" s="2" t="inlineStr">
        <is>
          <t>พ.ร.บ. ผลิตภัณฑ์สมุนไพร พ.ศ. 2562</t>
        </is>
      </c>
      <c r="H189" s="2" t="inlineStr">
        <is>
          <t>พ.ร.บ. เครื่องสำอาง พ.ศ. 2558</t>
        </is>
      </c>
      <c r="I189" s="2" t="n">
        <v>1</v>
      </c>
      <c r="J18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9" s="2" t="n"/>
      <c r="L189" s="2" t="inlineStr">
        <is>
          <t>พ.ร.บ. ยา พ.ศ. 2510</t>
        </is>
      </c>
      <c r="M189" s="2" t="inlineStr">
        <is>
          <t>SAP</t>
        </is>
      </c>
      <c r="N189" s="2" t="inlineStr">
        <is>
          <t>ข้อ 94 (PLE_CC1_2557.md)</t>
        </is>
      </c>
      <c r="O189" s="2" t="inlineStr">
        <is>
          <t>ข้อสอบจริง</t>
        </is>
      </c>
      <c r="P189" s="2" t="inlineStr">
        <is>
          <t>ปี 2557</t>
        </is>
      </c>
    </row>
    <row r="190" ht="13.2" customHeight="1" s="37">
      <c r="A190" s="2" t="n">
        <v>188</v>
      </c>
      <c r="B190" s="2" t="inlineStr">
        <is>
          <t>หากต้องการเทียบประสิทธิภาพระหว่างสูตรยาTb สูตรเก่ากับสูตรใหม่โดยยาสูตรใหม่ใช้กลุ่มตัวอย่างจากรพ. A ซึ่ง ได้รับการอบรมแล้ว ส่วนยาต้าน TB แบบเก่าใช้กลุ่มตัวอย่างจากรพ.B ซึ่งไม่ได้รับการอบรม</t>
        </is>
      </c>
      <c r="C190" s="2" t="n"/>
      <c r="D190" s="2" t="inlineStr">
        <is>
          <t>พ.ร.บ. ผลิตภัณฑ์สมุนไพร พ.ศ. 2562</t>
        </is>
      </c>
      <c r="E190" s="2" t="inlineStr">
        <is>
          <t>พ.ร.บ. เครื่องสำอาง พ.ศ. 2558</t>
        </is>
      </c>
      <c r="F190" s="2" t="inlineStr">
        <is>
          <t>พ.ร.บ. หลักประกันสุขภาพแห่งชาติ พ.ศ. 2545</t>
        </is>
      </c>
      <c r="G190" s="2" t="inlineStr">
        <is>
          <t>การปฏิบัติทางเภสัชกรรมชุมชน (Good Pharmacy Practice: GPP)</t>
        </is>
      </c>
      <c r="H190" s="2" t="inlineStr">
        <is>
          <t>บัญชียาหลักแห่งชาติ (National List of Essential Medicines: NLEM)</t>
        </is>
      </c>
      <c r="I190" s="2" t="n">
        <v>1</v>
      </c>
      <c r="J19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0" s="2" t="n"/>
      <c r="L190" s="2" t="inlineStr">
        <is>
          <t>พ.ร.บ. ยา พ.ศ. 2510</t>
        </is>
      </c>
      <c r="M190" s="2" t="inlineStr">
        <is>
          <t>SAP</t>
        </is>
      </c>
      <c r="N190" s="2" t="inlineStr">
        <is>
          <t>ข้อ 6 (PLE_CC1_2556.md)</t>
        </is>
      </c>
      <c r="O190" s="2" t="inlineStr">
        <is>
          <t>ข้อสอบจริง</t>
        </is>
      </c>
      <c r="P190" s="2" t="inlineStr">
        <is>
          <t>ปี 2556</t>
        </is>
      </c>
    </row>
    <row r="191" ht="13.2" customHeight="1" s="37">
      <c r="A191" s="2" t="n">
        <v>189</v>
      </c>
      <c r="B191" s="2" t="inlineStr">
        <is>
          <t>กระบวนการใดในการควบคุมคุณภาพที่บ่งบอกถึงประสิทธิภาพในการรักษาของ warfarin</t>
        </is>
      </c>
      <c r="C191" s="2" t="n"/>
      <c r="D191" s="2" t="inlineStr">
        <is>
          <t>Friability</t>
        </is>
      </c>
      <c r="E191" s="2" t="inlineStr">
        <is>
          <t>Dissolution</t>
        </is>
      </c>
      <c r="F191" s="2" t="inlineStr">
        <is>
          <t>Disintegration</t>
        </is>
      </c>
      <c r="G191" s="2" t="inlineStr">
        <is>
          <t>Hardness</t>
        </is>
      </c>
      <c r="H191" s="2" t="inlineStr">
        <is>
          <t>Content uniformity</t>
        </is>
      </c>
      <c r="I191" s="2" t="n">
        <v>1</v>
      </c>
      <c r="J191" s="2" t="inlineStr">
        <is>
          <t>✅ คำตอบที่ถูกต้อง: ข้อ ก. Friability
💡 Background:
กฎหมายยาและจรรยาบรรณวิชาชีพมีขึ้นเพื่อคุ้มครองความปลอดภัยของผู้บริโภคตามมาตรฐาน Good Pharmacy Practice (GPP)
🎯 ทำไมข้อนี้ถึงถูก:
Friability 💡 คำอธิบายและข้อกำหนดทางกฎหมาย:
💡 คำอธิบายและข้อกำหนดทางกฎหมาย:
การเลือก Friability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(Dissolution): ข้อนี้ไม่ใช่คำตอบที่ถูกต้องสำหรับภาวะ พ.ร.บ. ยา พ.ศ. 2510 เนื่องจากกลไกการออกฤทธิ์, efficacy หรือข้อบ่งใช้ไม่ตรงกับโจทย์ที่กำหนด
• ข้อ ค. (Disintegration): ข้อนี้ไม่ใช่คำตอบที่ถูกต้องสำหรับภาวะ พ.ร.บ. ยา พ.ศ. 2510 เนื่องจากกลไกการออกฤทธิ์, efficacy หรือข้อบ่งใช้ไม่ตรงกับโจทย์ที่กำหนด
• ข้อ ง. (Hardness): ข้อนี้ไม่ใช่คำตอบที่ถูกต้องสำหรับภาวะ พ.ร.บ. ยา พ.ศ. 2510 เนื่องจากกลไกการออกฤทธิ์, efficacy หรือข้อบ่งใช้ไม่ตรงกับโจทย์ที่กำหนด
• ข้อ จ. (Content uniformity):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 s="2" t="n"/>
      <c r="L191" s="2" t="inlineStr">
        <is>
          <t>พ.ร.บ. ยา พ.ศ. 2510</t>
        </is>
      </c>
      <c r="M191" s="2" t="inlineStr">
        <is>
          <t>SAP</t>
        </is>
      </c>
      <c r="N191" s="2" t="inlineStr">
        <is>
          <t>ข้อ 3 (PLE_CC1_2555 Day 1.md)</t>
        </is>
      </c>
      <c r="O191" s="2" t="inlineStr">
        <is>
          <t>ข้อสอบจริง</t>
        </is>
      </c>
      <c r="P191" s="2" t="inlineStr">
        <is>
          <t>ปี 2555</t>
        </is>
      </c>
    </row>
    <row r="192" ht="13.2" customHeight="1" s="37">
      <c r="A192" s="2" t="n">
        <v>190</v>
      </c>
      <c r="B192" s="2" t="inlineStr">
        <is>
          <t>ยา warfarin ตรวจสอบแล้วพบว่าสถานที่ที่ระบุในฉลากไม่ใช่สถานที่ผลิตจริง ถือว่าเป็นยาประเภทใด ตามกฎหมาย</t>
        </is>
      </c>
      <c r="C192" s="2" t="n"/>
      <c r="D192" s="2" t="inlineStr">
        <is>
          <t>ยาเสื่อมคุณภาพ</t>
        </is>
      </c>
      <c r="E192" s="2" t="inlineStr">
        <is>
          <t>ยาผิดมาตรฐาน</t>
        </is>
      </c>
      <c r="F192" s="2" t="inlineStr">
        <is>
          <t>ยาปลอม</t>
        </is>
      </c>
      <c r="G192" s="2" t="inlineStr">
        <is>
          <t>ยาไม่ได้ขึ้นทะเบียนตำรับ</t>
        </is>
      </c>
      <c r="H192" s="2" t="inlineStr">
        <is>
          <t>ยาเพิกถอนทะเบียนตำรับ 2 3 4 คณะเภสัชศาสตร์ มหาวิทยาลัยเชียงใหม่ Rx 44 CMU</t>
        </is>
      </c>
      <c r="I192" s="2" t="n">
        <v>1</v>
      </c>
      <c r="J192" s="2" t="inlineStr">
        <is>
          <t>✅ คำตอบที่ถูกต้อง: ข้อ ก.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(ยาปลอม):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(ยาไม่ได้ขึ้นทะเบียนตำรับ):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(ยาเพิกถอนทะเบียนตำรับ 2 3 4 คณะเภสัชศาสตร์ มหาวิทยาลัยเชียงใหม่ Rx 44 CMU):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 s="2" t="n"/>
      <c r="L192" s="2" t="inlineStr">
        <is>
          <t>พ.ร.บ. ยา พ.ศ. 2510</t>
        </is>
      </c>
      <c r="M192" s="2" t="inlineStr">
        <is>
          <t>SAP</t>
        </is>
      </c>
      <c r="N192" s="2" t="inlineStr">
        <is>
          <t>ข้อ 10 (PLE_CC1_2555 Day 1.md)</t>
        </is>
      </c>
      <c r="O192" s="2" t="inlineStr">
        <is>
          <t>ข้อสอบจริง</t>
        </is>
      </c>
      <c r="P192" s="2" t="inlineStr">
        <is>
          <t>ปี 2555</t>
        </is>
      </c>
    </row>
    <row r="193" ht="13.2" customHeight="1" s="37">
      <c r="A193" s="2" t="n">
        <v>191</v>
      </c>
      <c r="B193" s="2" t="inlineStr">
        <is>
          <t>ยาเม็ด prednisolone 5 mg จัดเป็นยาประเภทใดตามกฎหมาย</t>
        </is>
      </c>
      <c r="C193" s="2" t="n"/>
      <c r="D193" s="2" t="inlineStr">
        <is>
          <t>ยาสามัญประจำบ้าน</t>
        </is>
      </c>
      <c r="E193" s="2" t="inlineStr">
        <is>
          <t>ยาแผนปัจจุบันบรรจุเสร็จที่ไม่ใช่ยาอันตรายและยาควบคุมพิเศษ</t>
        </is>
      </c>
      <c r="F193" s="2" t="inlineStr">
        <is>
          <t>ยาอันตราย</t>
        </is>
      </c>
      <c r="G193" s="2" t="inlineStr">
        <is>
          <t>ยาควบคุมพิเศษ</t>
        </is>
      </c>
      <c r="H193" s="2" t="inlineStr">
        <is>
          <t>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t>
        </is>
      </c>
      <c r="I193" s="2" t="n">
        <v>1</v>
      </c>
      <c r="J193"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แพทย์จ่าย chloramphenicol eye drop และ amoxicillin capsule 1x3 ผู้ป่วยแพ้ยา penicillin แบบ angioedema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 s="2" t="n"/>
      <c r="L193" s="2" t="inlineStr">
        <is>
          <t>พ.ร.บ. ยา พ.ศ. 2510</t>
        </is>
      </c>
      <c r="M193" s="2" t="inlineStr">
        <is>
          <t>SAP</t>
        </is>
      </c>
      <c r="N193" s="2" t="inlineStr">
        <is>
          <t>ข้อ 40 (PLE_CC1_2555 Day 1.md)</t>
        </is>
      </c>
      <c r="O193" s="2" t="inlineStr">
        <is>
          <t>ข้อสอบจริง</t>
        </is>
      </c>
      <c r="P193" s="2" t="inlineStr">
        <is>
          <t>ปี 2555</t>
        </is>
      </c>
    </row>
    <row r="194" ht="13.2" customHeight="1" s="37">
      <c r="A194" s="2" t="n">
        <v>192</v>
      </c>
      <c r="B194" s="2" t="inlineStr">
        <is>
          <t>ยาคุมกำเนิดแบบ triphasic จัดเป็นยาคุมกำเนิดประเภทใดตามกฎหมาย</t>
        </is>
      </c>
      <c r="C194" s="2" t="n"/>
      <c r="D194" s="2" t="inlineStr">
        <is>
          <t>ยาสามัญประจำบ้าน</t>
        </is>
      </c>
      <c r="E194" s="2" t="inlineStr">
        <is>
          <t>ยาแผนปัจจุบันบรรจุเสร็จที่ไม่ใช่ยาอันตรายและยาควบคุมพิเศษ</t>
        </is>
      </c>
      <c r="F194" s="2" t="inlineStr">
        <is>
          <t>ยาอันตราย</t>
        </is>
      </c>
      <c r="G194" s="2" t="inlineStr">
        <is>
          <t>ยาควบคุมพิเศษ</t>
        </is>
      </c>
      <c r="H194" s="2" t="inlineStr">
        <is>
          <t>ยาเสพติดให้โทษประเภทที่ 3</t>
        </is>
      </c>
      <c r="I194" s="2" t="n">
        <v>1</v>
      </c>
      <c r="J194"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การเลือก 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4" s="2" t="n"/>
      <c r="L194" s="2" t="inlineStr">
        <is>
          <t>พ.ร.บ. ยา พ.ศ. 2510</t>
        </is>
      </c>
      <c r="M194" s="2" t="inlineStr">
        <is>
          <t>SAP</t>
        </is>
      </c>
      <c r="N194" s="2" t="inlineStr">
        <is>
          <t>ข้อ 78 (PLE_CC1_2555 Day 1.md)</t>
        </is>
      </c>
      <c r="O194" s="2" t="inlineStr">
        <is>
          <t>ข้อสอบจริง</t>
        </is>
      </c>
      <c r="P194" s="2" t="inlineStr">
        <is>
          <t>ปี 2555</t>
        </is>
      </c>
    </row>
    <row r="195" ht="13.2" customHeight="1" s="37">
      <c r="A195" s="2" t="n">
        <v>193</v>
      </c>
      <c r="B195"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195" s="2" t="n"/>
      <c r="D195" s="2" t="inlineStr">
        <is>
          <t>เกณฑ์จริยธรรมว่าด้วยการส่งเสริมการขายยาของกระทรวงสาธารณสุข</t>
        </is>
      </c>
      <c r="E195" s="2" t="inlineStr">
        <is>
          <t>พ.ร.บ. ยา พ.ศ. 2510 (การจำหน่ายยาอันตรายและยาควบคุมพิเศษ)</t>
        </is>
      </c>
      <c r="F195" s="2" t="inlineStr">
        <is>
          <t>พ.ร.บ. ยาเสพติดให้โทษ พ.ศ. 2522 (ยาเสพติดให้โทษประเภท 2 และ 3)</t>
        </is>
      </c>
      <c r="G195" s="2" t="inlineStr">
        <is>
          <t>พ.ร.บ. วัตถุที่ออกฤทธิ์ต่อจิตและประสาท พ.ศ. 2559 (ประเภท 2 และ 4)</t>
        </is>
      </c>
      <c r="H195" s="2" t="inlineStr">
        <is>
          <t>พ.ร.บ. วิชาชีพเภสัชกรรม พ.ศ. 2537 และข้อบังคับจรรยาบรรณวิชาชีพ</t>
        </is>
      </c>
      <c r="I195" s="2" t="n">
        <v>1</v>
      </c>
      <c r="J19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5" s="2" t="n"/>
      <c r="L195" s="2" t="inlineStr">
        <is>
          <t>พ.ร.บ. ยา พ.ศ. 2510</t>
        </is>
      </c>
      <c r="M195" s="2" t="inlineStr">
        <is>
          <t>SAP</t>
        </is>
      </c>
      <c r="N195" s="2" t="inlineStr">
        <is>
          <t>ข้อ 10 (PLE_CC1_2555 Day 2.md)</t>
        </is>
      </c>
      <c r="O195" s="2" t="inlineStr">
        <is>
          <t>ข้อสอบจริง</t>
        </is>
      </c>
      <c r="P195" s="2" t="inlineStr">
        <is>
          <t>ปี 2555</t>
        </is>
      </c>
    </row>
    <row r="196" ht="13.2" customHeight="1" s="37">
      <c r="A196" s="2" t="n">
        <v>194</v>
      </c>
      <c r="B196" s="2" t="inlineStr">
        <is>
          <t>ประสิทธิภาพการรักษา</t>
        </is>
      </c>
      <c r="C196" s="2" t="n"/>
      <c r="D196" s="2" t="inlineStr">
        <is>
          <t>พ.ร.บ. วัตถุที่ออกฤทธิ์ต่อจิตและประสาท พ.ศ. 2559 (ประเภท 2 และ 4)</t>
        </is>
      </c>
      <c r="E196" s="2" t="inlineStr">
        <is>
          <t>พ.ร.บ. วิชาชีพเภสัชกรรม พ.ศ. 2537 และข้อบังคับจรรยาบรรณวิชาชีพ</t>
        </is>
      </c>
      <c r="F196" s="2" t="inlineStr">
        <is>
          <t>พ.ร.บ. ผลิตภัณฑ์สมุนไพร พ.ศ. 2562</t>
        </is>
      </c>
      <c r="G196" s="2" t="inlineStr">
        <is>
          <t>พ.ร.บ. เครื่องสำอาง พ.ศ. 2558</t>
        </is>
      </c>
      <c r="H196" s="2" t="inlineStr">
        <is>
          <t>พ.ร.บ. หลักประกันสุขภาพแห่งชาติ พ.ศ. 2545</t>
        </is>
      </c>
      <c r="I196" s="2" t="n">
        <v>1</v>
      </c>
      <c r="J19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6" s="2" t="n"/>
      <c r="L196" s="2" t="inlineStr">
        <is>
          <t>พ.ร.บ. ยา พ.ศ. 2510</t>
        </is>
      </c>
      <c r="M196" s="2" t="inlineStr">
        <is>
          <t>SAP</t>
        </is>
      </c>
      <c r="N196" s="2" t="inlineStr">
        <is>
          <t>ข้อ 4 (PLE_CC1_2555 Day 2.md)</t>
        </is>
      </c>
      <c r="O196" s="2" t="inlineStr">
        <is>
          <t>ข้อสอบจริง</t>
        </is>
      </c>
      <c r="P196" s="2" t="inlineStr">
        <is>
          <t>ปี 2555</t>
        </is>
      </c>
    </row>
    <row r="197" ht="13.2" customHeight="1" s="37">
      <c r="A197" s="2" t="n">
        <v>195</v>
      </c>
      <c r="B197" s="2" t="inlineStr">
        <is>
          <t>Triphasic hormonal contraceptives จัดเป็นยาประเภทใดตามกฎหมาย</t>
        </is>
      </c>
      <c r="C197" s="2" t="n"/>
      <c r="D197" s="2" t="inlineStr">
        <is>
          <t>พ.ร.บ. เครื่องสำอาง พ.ศ. 2558</t>
        </is>
      </c>
      <c r="E197" s="2" t="inlineStr">
        <is>
          <t>พ.ร.บ. หลักประกันสุขภาพแห่งชาติ พ.ศ. 2545</t>
        </is>
      </c>
      <c r="F197" s="2" t="inlineStr">
        <is>
          <t>การปฏิบัติทางเภสัชกรรมชุมชน (Good Pharmacy Practice: GPP)</t>
        </is>
      </c>
      <c r="G197" s="2" t="inlineStr">
        <is>
          <t>บัญชียาหลักแห่งชาติ (National List of Essential Medicines: NLEM)</t>
        </is>
      </c>
      <c r="H197" s="2" t="inlineStr">
        <is>
          <t>เกณฑ์จริยธรรมว่าด้วยการส่งเสริมการขายยาของกระทรวงสาธารณสุข</t>
        </is>
      </c>
      <c r="I197" s="2" t="n">
        <v>1</v>
      </c>
      <c r="J19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7" s="2" t="n"/>
      <c r="L197" s="2" t="inlineStr">
        <is>
          <t>พ.ร.บ. ยา พ.ศ. 2510</t>
        </is>
      </c>
      <c r="M197" s="2" t="inlineStr">
        <is>
          <t>SAP</t>
        </is>
      </c>
      <c r="N197" s="2" t="inlineStr">
        <is>
          <t>ข้อ 6 (PLE_CC1_2555 Day 2.md)</t>
        </is>
      </c>
      <c r="O197" s="2" t="inlineStr">
        <is>
          <t>ข้อสอบจริง</t>
        </is>
      </c>
      <c r="P197" s="2" t="inlineStr">
        <is>
          <t>ปี 2555</t>
        </is>
      </c>
    </row>
    <row r="198" ht="13.2" customHeight="1" s="37">
      <c r="A198" s="2" t="n">
        <v>196</v>
      </c>
      <c r="B198" s="2" t="inlineStr">
        <is>
          <t>Redisperse ใช้วัดประสิทธิภาพของ wetting agent ในตำรับ MCQ 1/2555 by CURx69 page 18 Case 10: AIDS and TB ผู้ป่วยมาด้วยอาการไข้ ไอเรื้อรัง ท้องเสียหลายเดือน น้าหนักลด มี CD4 190 cell/mm3, anti HIV (+), viral load pending</t>
        </is>
      </c>
      <c r="C198" s="2" t="n"/>
      <c r="D198" s="2" t="inlineStr">
        <is>
          <t>บัญชียาหลักแห่งชาติ (National List of Essential Medicines: NLEM)</t>
        </is>
      </c>
      <c r="E198" s="2" t="inlineStr">
        <is>
          <t>เกณฑ์จริยธรรมว่าด้วยการส่งเสริมการขายยาของกระทรวงสาธารณสุข</t>
        </is>
      </c>
      <c r="F198" s="2" t="inlineStr">
        <is>
          <t>พ.ร.บ. ยา พ.ศ. 2510 (การจำหน่ายยาอันตรายและยาควบคุมพิเศษ)</t>
        </is>
      </c>
      <c r="G198" s="2" t="inlineStr">
        <is>
          <t>พ.ร.บ. ยาเสพติดให้โทษ พ.ศ. 2522 (ยาเสพติดให้โทษประเภท 2 และ 3)</t>
        </is>
      </c>
      <c r="H198" s="2" t="inlineStr">
        <is>
          <t>พ.ร.บ. วัตถุที่ออกฤทธิ์ต่อจิตและประสาท พ.ศ. 2559 (ประเภท 2 และ 4)</t>
        </is>
      </c>
      <c r="I198" s="2" t="n">
        <v>1</v>
      </c>
      <c r="J19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2" t="n"/>
      <c r="L198" s="2" t="inlineStr">
        <is>
          <t>พ.ร.บ. ยา พ.ศ. 2510</t>
        </is>
      </c>
      <c r="M198" s="2" t="inlineStr">
        <is>
          <t>SAP</t>
        </is>
      </c>
      <c r="N198" s="2" t="inlineStr">
        <is>
          <t>ข้อ 1 (PLE_CC1_2555 Day 2.md)</t>
        </is>
      </c>
      <c r="O198" s="2" t="inlineStr">
        <is>
          <t>ข้อสอบจริง</t>
        </is>
      </c>
      <c r="P198" s="2" t="inlineStr">
        <is>
          <t>ปี 2555</t>
        </is>
      </c>
    </row>
    <row r="199" ht="13.2" customHeight="1" s="37">
      <c r="A199" s="2" t="n">
        <v>197</v>
      </c>
      <c r="B199" s="2" t="inlineStr">
        <is>
          <t>การใช้ racemic mixture มีประสิทธิผลดีสุด</t>
        </is>
      </c>
      <c r="C199" s="2" t="n"/>
      <c r="D199" s="2" t="inlineStr">
        <is>
          <t>พ.ร.บ. ยาเสพติดให้โทษ พ.ศ. 2522 (ยาเสพติดให้โทษประเภท 2 และ 3)</t>
        </is>
      </c>
      <c r="E199" s="2" t="inlineStr">
        <is>
          <t>พ.ร.บ. วัตถุที่ออกฤทธิ์ต่อจิตและประสาท พ.ศ. 2559 (ประเภท 2 และ 4)</t>
        </is>
      </c>
      <c r="F199" s="2" t="inlineStr">
        <is>
          <t>พ.ร.บ. วิชาชีพเภสัชกรรม พ.ศ. 2537 และข้อบังคับจรรยาบรรณวิชาชีพ</t>
        </is>
      </c>
      <c r="G199" s="2" t="inlineStr">
        <is>
          <t>พ.ร.บ. ผลิตภัณฑ์สมุนไพร พ.ศ. 2562</t>
        </is>
      </c>
      <c r="H199" s="2" t="inlineStr">
        <is>
          <t>พ.ร.บ. เครื่องสำอาง พ.ศ. 2558</t>
        </is>
      </c>
      <c r="I199" s="2" t="n">
        <v>1</v>
      </c>
      <c r="J19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 s="2" t="n"/>
      <c r="L199" s="2" t="inlineStr">
        <is>
          <t>พ.ร.บ. ยา พ.ศ. 2510</t>
        </is>
      </c>
      <c r="M199" s="2" t="inlineStr">
        <is>
          <t>SAP</t>
        </is>
      </c>
      <c r="N199" s="2" t="inlineStr">
        <is>
          <t>ข้อ 3 (PLE_CC1_2555 Day 2.md)</t>
        </is>
      </c>
      <c r="O199" s="2" t="inlineStr">
        <is>
          <t>ข้อสอบจริง</t>
        </is>
      </c>
      <c r="P199" s="2" t="inlineStr">
        <is>
          <t>ปี 2555</t>
        </is>
      </c>
    </row>
    <row r="200" ht="13.2" customHeight="1" s="37">
      <c r="A200" s="2" t="n">
        <v>198</v>
      </c>
      <c r="B200" s="2" t="inlineStr">
        <is>
          <t>metrothexate จัดเป็นยาประเภทใดตามกฎหมาย</t>
        </is>
      </c>
      <c r="C200" s="2" t="n"/>
      <c r="D200" s="2" t="inlineStr">
        <is>
          <t>ยาอันตราย</t>
        </is>
      </c>
      <c r="E200" s="2" t="inlineStr">
        <is>
          <t>ยาควบคุมพิเศษ</t>
        </is>
      </c>
      <c r="F200" s="2" t="inlineStr">
        <is>
          <t>ยาสามัญประจำบ้าน</t>
        </is>
      </c>
      <c r="G200" s="2" t="inlineStr">
        <is>
          <t>ยาเสพติดให้โทษ ประเภทที่ 3</t>
        </is>
      </c>
      <c r="H200" s="2" t="inlineStr">
        <is>
          <t>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t>
        </is>
      </c>
      <c r="I200" s="2" t="n">
        <v>1</v>
      </c>
      <c r="J2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(ยาเสพติดให้โทษ ประเภทที่ 3): ข้อนี้ไม่ใช่คำตอบที่ถูกต้องสำหรับภาวะ พ.ร.บ. ยา พ.ศ. 2510 เนื่องจากกลไกการออกฤทธิ์, efficacy หรือข้อบ่งใช้ไม่ตรงกับโจทย์ที่กำหนด
• ข้อ จ.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 s="2" t="n"/>
      <c r="L200" s="2" t="inlineStr">
        <is>
          <t>พ.ร.บ. ยา พ.ศ. 2510</t>
        </is>
      </c>
      <c r="M200" s="2" t="inlineStr">
        <is>
          <t>SAP</t>
        </is>
      </c>
      <c r="N200" s="2" t="inlineStr">
        <is>
          <t>ข้อ 110 (PLE_CC1_2554 SET1.md)</t>
        </is>
      </c>
      <c r="O200" s="2" t="inlineStr">
        <is>
          <t>ข้อสอบจริง</t>
        </is>
      </c>
      <c r="P200" s="2" t="inlineStr">
        <is>
          <t>ปี 2554</t>
        </is>
      </c>
    </row>
    <row r="201" ht="13.2" customHeight="1" s="37">
      <c r="A201" s="2" t="n">
        <v>199</v>
      </c>
      <c r="B201" s="2" t="inlineStr">
        <is>
          <t>ควรให้ยาอะไรเพิ่ม เพื่อเพิ่มประสิทธิภาพของการใช้ยานี้ :entacopone Levodopa (peripheral COMT inhibitor) ดังนั้นการให้ยา entacoponeร่วมกับ Levodopa จึงส่งผลให้ยา levodopa ผ่านเข้าไปในระบบประสาทส่วนกลางเพิ่มขึ้น และ เพิ่ม half-life ของ levodopa Ref: หนังสือติว pharmacotherapy v.2/2 (ปีพี่แม็คลีวาย)</t>
        </is>
      </c>
      <c r="C201" s="2" t="n"/>
      <c r="D201" s="2" t="inlineStr">
        <is>
          <t>การปฏิบัติทางเภสัชกรรมชุมชน (Good Pharmacy Practice: GPP)</t>
        </is>
      </c>
      <c r="E201" s="2" t="inlineStr">
        <is>
          <t>บัญชียาหลักแห่งชาติ (National List of Essential Medicines: NLEM)</t>
        </is>
      </c>
      <c r="F201" s="2" t="inlineStr">
        <is>
          <t>เกณฑ์จริยธรรมว่าด้วยการส่งเสริมการขายยาของกระทรวงสาธารณสุข</t>
        </is>
      </c>
      <c r="G201" s="2" t="inlineStr">
        <is>
          <t>พ.ร.บ. ยา พ.ศ. 2510 (การจำหน่ายยาอันตรายและยาควบคุมพิเศษ)</t>
        </is>
      </c>
      <c r="H201" s="2" t="inlineStr">
        <is>
          <t>พ.ร.บ. ยาเสพติดให้โทษ พ.ศ. 2522 (ยาเสพติดให้โทษประเภท 2 และ 3)</t>
        </is>
      </c>
      <c r="I201" s="2" t="n">
        <v>5</v>
      </c>
      <c r="J20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1" s="2" t="n"/>
      <c r="L201" s="2" t="inlineStr">
        <is>
          <t>พ.ร.บ. ยา พ.ศ. 2510</t>
        </is>
      </c>
      <c r="M201" s="2" t="inlineStr">
        <is>
          <t>SAP</t>
        </is>
      </c>
      <c r="N201" s="2" t="inlineStr">
        <is>
          <t>ข้อ 4 (PLE_CC1_2554 SET2.md)</t>
        </is>
      </c>
      <c r="O201" s="2" t="inlineStr">
        <is>
          <t>ข้อสอบจริง</t>
        </is>
      </c>
      <c r="P201" s="2" t="inlineStr">
        <is>
          <t>ปี 2554</t>
        </is>
      </c>
    </row>
    <row r="202" ht="13.2" customHeight="1" s="37">
      <c r="A202" s="2" t="n">
        <v>200</v>
      </c>
      <c r="B202" s="2" t="inlineStr">
        <is>
          <t>ควรให้ยาอะไรกับ 5-FU เพื่อเพิ่มฤทธิ์ของ 5-FU ให้มีประสิทธิภาพดีขึ้น</t>
        </is>
      </c>
      <c r="C202" s="2" t="n"/>
      <c r="D202" s="2" t="inlineStr">
        <is>
          <t>Leucovorin</t>
        </is>
      </c>
      <c r="E202" s="2" t="inlineStr">
        <is>
          <t>Ifosfamide</t>
        </is>
      </c>
      <c r="F202" s="2" t="inlineStr">
        <is>
          <t>Cisplatin</t>
        </is>
      </c>
      <c r="G202" s="2" t="inlineStr">
        <is>
          <t>Docetaxel</t>
        </is>
      </c>
      <c r="H202" s="2" t="inlineStr">
        <is>
          <t>Bleomycin จะยับยั้งการแบ่งเซลล์ของเซลล์มะเร็งทำให้ไม่มีการเพิ่มขึ้นของเซลล์มะเร็งและทำให้ก้อนมะเร็งลดลง</t>
        </is>
      </c>
      <c r="I202" s="2" t="n">
        <v>1</v>
      </c>
      <c r="J202" s="2" t="inlineStr">
        <is>
          <t>✅ คำตอบที่ถูกต้อง: ข้อ ก. Leucovorin
💡 Background:
กฎหมายยาและจรรยาบรรณวิชาชีพมีขึ้นเพื่อคุ้มครองความปลอดภัยของผู้บริโภคตามมาตรฐาน Good Pharmacy Practice (GPP)
🎯 ทำไมข้อนี้ถึงถูก:
Leucovorin 💡 คำอธิบายและข้อกำหนดทางกฎหมาย:
💡 คำอธิบายและข้อกำหนดทางกฎหมาย:
การเลือก Leucovorin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(Ifosfamide): ข้อนี้ไม่ใช่คำตอบที่ถูกต้องสำหรับภาวะ พ.ร.บ. ยา พ.ศ. 2510 เนื่องจากกลไกการออกฤทธิ์, efficacy หรือข้อบ่งใช้ไม่ตรงกับโจทย์ที่กำหนด
• ข้อ ค. (Cisplatin): ข้อนี้ไม่ใช่คำตอบที่ถูกต้องสำหรับภาวะ พ.ร.บ. ยา พ.ศ. 2510 เนื่องจากกลไกการออกฤทธิ์, efficacy หรือข้อบ่งใช้ไม่ตรงกับโจทย์ที่กำหนด
• ข้อ ง. (Docetaxel): ข้อนี้ไม่ใช่คำตอบที่ถูกต้องสำหรับภาวะ พ.ร.บ. ยา พ.ศ. 2510 เนื่องจากกลไกการออกฤทธิ์, efficacy หรือข้อบ่งใช้ไม่ตรงกับโจทย์ที่กำหนด
• ข้อ จ. (Bleomycin จะยับยั้งการแบ่งเซลล์ของเซลล์มะเร็งทำให้ไม่มีการเพิ่มขึ้นของเซลล์มะเร็งและทำให้ก้อนมะเร็งลดลง):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 s="2" t="n"/>
      <c r="L202" s="2" t="inlineStr">
        <is>
          <t>พ.ร.บ. ยา พ.ศ. 2510</t>
        </is>
      </c>
      <c r="M202" s="2" t="inlineStr">
        <is>
          <t>SAP</t>
        </is>
      </c>
      <c r="N202" s="2" t="inlineStr">
        <is>
          <t>ข้อ 6 (PLE_CC1_2554 SET2.md)</t>
        </is>
      </c>
      <c r="O202" s="2" t="inlineStr">
        <is>
          <t>ข้อสอบจริง</t>
        </is>
      </c>
      <c r="P202" s="2" t="inlineStr">
        <is>
          <t>ปี 2554</t>
        </is>
      </c>
    </row>
    <row r="203" ht="13.2" customHeight="1" s="37">
      <c r="A203" s="2" t="n">
        <v>201</v>
      </c>
      <c r="B203" s="2" t="inlineStr">
        <is>
          <t>ชนิดที่ไม่ละลายนํ้า ได้แก่ Starch Calcium Sulfate, Calcium carbonate, Diabasic calcium phosphate, Tribasic calcium phosphate และ Cellulose ต่างๆ (หนังสือติวรุ่นพี่) 99.ข้อใดไม่ใช่ norfloxacinที่จัดเป็นยาปลอมตามกฎหมาย</t>
        </is>
      </c>
      <c r="C203" s="2" t="n"/>
      <c r="D203" s="2" t="inlineStr">
        <is>
          <t>มีการผสมตัวยา ciprofloxacin ด้วย</t>
        </is>
      </c>
      <c r="E203" s="2" t="inlineStr">
        <is>
          <t>ตรวจพบปริมาณ norfloxacinเพียง 70% เท่านั้น</t>
        </is>
      </c>
      <c r="F203" s="2" t="inlineStr">
        <is>
          <t>ที่ฉลากระบุว่าเป็นยา ofloxacin</t>
        </is>
      </c>
      <c r="G203" s="2" t="inlineStr">
        <is>
          <t>ที่ฉลากแสดงเครื่องหมายของผู้ผลิตซึ่งมิใช่ความจริง</t>
        </is>
      </c>
      <c r="H203" s="2" t="inlineStr">
        <is>
          <t>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t>
        </is>
      </c>
      <c r="I203" s="2" t="n">
        <v>1</v>
      </c>
      <c r="J203"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โดยมีโรคประจำตัวคือโรคเบาหวานไม่สูบบุหรี่มีประวัติครอบครัวคือบิดาเสียชีวิตด้วยโรคกล้ามเนื้อหัวใจตายเมื่ ได้ถ้าผู้ป่วยมีการทางานของตับที่ปกติโดยมีการกำหนดขนาดยาที่ใช้ร่วมกันเพื่อลดความเสี่ยงต่อการเกิดพิษต่อร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norfloxacinเพียง 70% 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ค. (ที่ฉลากระบุว่าเป็นยา ofloxacin): ข้อนี้ไม่ใช่คำตอบที่ถูกต้องสำหรับภาวะ พ.ร.บ. ยา พ.ศ. 2510 เนื่องจากกลไกการออกฤทธิ์, efficacy หรือข้อบ่งใช้ไม่ตรงกับโจทย์ที่กำหนด
• ข้อ ง. (ที่ฉลากแสดงเครื่องหมายของผู้ผลิตซึ่งมิใช่ความจริง): ข้อนี้ไม่ใช่คำตอบที่ถูกต้องสำหรับภาวะ พ.ร.บ. ยา พ.ศ. 2510 เนื่องจากกลไกการออกฤทธิ์, efficacy หรือข้อบ่งใช้ไม่ตรงกับโจทย์ที่กำหนด
• ข้อ จ. (ลักษณะเม็ดยา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3" s="2" t="n"/>
      <c r="L203" s="2" t="inlineStr">
        <is>
          <t>พ.ร.บ. ยา พ.ศ. 2510</t>
        </is>
      </c>
      <c r="M203" s="2" t="inlineStr">
        <is>
          <t>SAP</t>
        </is>
      </c>
      <c r="N203" s="2" t="inlineStr">
        <is>
          <t>ข้อ 2 (PLE_CC1_2554 SET2.md)</t>
        </is>
      </c>
      <c r="O203" s="2" t="inlineStr">
        <is>
          <t>ข้อสอบจริง</t>
        </is>
      </c>
      <c r="P203" s="2" t="inlineStr">
        <is>
          <t>ปี 2554</t>
        </is>
      </c>
    </row>
    <row r="204" ht="13.2" customHeight="1" s="37">
      <c r="A204" s="2" t="n">
        <v>202</v>
      </c>
      <c r="B204" s="2" t="inlineStr">
        <is>
          <t>Graham DJ, Staffa JA, Shatin D, Andrade SE, Schech SD, La Grenade L, Gurwitz JH, Chan KA, Goodman MJ, Platt R. Incidence of hospitalized rhabdomyolysis in patients treated with lipid-lowering drugs. JAMA. 2004 Dec 1;292:2585-90. 104.ถ้าเกิดแพทย์สั่งจ่าย simvastatin กับgemfibrozilท่านจะแนะนำแพทย์ให้เปลี่ยนเป็นยาตัวใดที่มีประสิทธิภาพผลการรักษาใกล้เคียงกับยาเดิมมากที่ สุด</t>
        </is>
      </c>
      <c r="C204" s="2" t="n"/>
      <c r="D204" s="2" t="inlineStr">
        <is>
          <t>simvastatinกับ niacin</t>
        </is>
      </c>
      <c r="E204" s="2" t="inlineStr">
        <is>
          <t>atorvastatinกับgemfibrozil</t>
        </is>
      </c>
      <c r="F204" s="2" t="inlineStr">
        <is>
          <t>niacinกับgemfibrozil</t>
        </is>
      </c>
      <c r="G204" s="2" t="inlineStr">
        <is>
          <t>simvastatinกับezetimibe</t>
        </is>
      </c>
      <c r="H204" s="2" t="inlineStr">
        <is>
          <t>simvastatinกับfenofibrate</t>
        </is>
      </c>
      <c r="I204" s="2" t="n">
        <v>1</v>
      </c>
      <c r="J204" s="2" t="inlineStr">
        <is>
          <t>✅ คำตอบที่ถูกต้อง: ข้อ ก. simvastatinกับ niacin
💡 Background:
กฎหมายยาและจรรยาบรรณวิชาชีพมีขึ้นเพื่อคุ้มครองความปลอดภัยของผู้บริโภคตามมาตรฐาน Good Pharmacy Practice (GPP)
🎯 ทำไมข้อนี้ถึงถูก:
simvastatinกับ niacin simvastatin กับ niacin simvastatin กับ niacin simvastatin กับ niacin 💡 คำอธิบายและข้อกำหนดทางกฎหมาย:
💡 คำอธิบายและข้อกำหนดทางกฎหมาย:
ทั้งก่อนเข้ารับการรักษาและตรวจวัดซํ้าเมื่อผู้ป่วยมีอาการของ myopathy หากผู้ป่วยมีระดับของเอนไซม์ creatine
 เป็น moderate-intensity statin เมแทบอไลต์ผ่าน CYP3A4 เด่นชัด ห้ามใช้ dose 80 mg และมี drug interactions สูงกับ CYP3A4 inhibitors (clarithromycin, ketoconazole)
🔍 ข้ออื่นผิดเพราะอะไร:
• ข้อ ข. (atorvastatinกับgemfibrozil): เป็น High-intensity statin (40-80 mg) ยับยั้ง HMG-CoA reductase มี clinical efficacy สูงสุดในการลด LDL-C ≥ 50% และ plaque stabilization ใน ACS/CAD
• ข้อ ค. (niacinกับgemfibrozil): ห้ามใช้ร่วมกับ statins เด็ดขาด เนื่องจากยับยั้ง OATP1B1 glucuronidation ทำให้ระดับ statin ในเลือดพุ่งสูงและเกิด severe rhabdomyolysis
• ข้อ ง. (simvastatinกับezetimibe): เป็น moderate-intensity statin เมแทบอไลต์ผ่าน CYP3A4 เด่นชัด ห้ามใช้ dose 80 mg และมี drug interactions สูงกับ CYP3A4 inhibitors (clarithromycin, ketoconazole)
• ข้อ จ. (simvastatinกับfenofibrate):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4" s="2" t="n"/>
      <c r="L204" s="2" t="inlineStr">
        <is>
          <t>พ.ร.บ. ยา พ.ศ. 2510</t>
        </is>
      </c>
      <c r="M204" s="2" t="inlineStr">
        <is>
          <t>SAP</t>
        </is>
      </c>
      <c r="N204" s="2" t="inlineStr">
        <is>
          <t>ข้อ 3 (PLE_CC1_2554 SET2.md)</t>
        </is>
      </c>
      <c r="O204" s="2" t="inlineStr">
        <is>
          <t>ข้อสอบจริง</t>
        </is>
      </c>
      <c r="P204" s="2" t="inlineStr">
        <is>
          <t>ปี 2554</t>
        </is>
      </c>
    </row>
    <row r="205" ht="13.2" customHeight="1" s="37">
      <c r="A205" s="2" t="n">
        <v>203</v>
      </c>
      <c r="B205" s="2" t="inlineStr">
        <is>
          <t>alcohol 70% ขนาด 30 มิลลิลิตร จัดเป็นยาใดในกฎหมาย</t>
        </is>
      </c>
      <c r="C205" s="2" t="n"/>
      <c r="D205" s="2" t="inlineStr">
        <is>
          <t>ยาสามัญประจำบ้าน ข . ยาอันตราย ค . ยาควบคุมพิเศษ</t>
        </is>
      </c>
      <c r="E205" s="2" t="inlineStr">
        <is>
          <t>วัตถุออกฤทธิ์ต่อจิตและประสาท</t>
        </is>
      </c>
      <c r="F205" s="2" t="inlineStr">
        <is>
          <t>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t>
        </is>
      </c>
      <c r="G205" s="2" t="inlineStr">
        <is>
          <t>กล่องเสียงอักเสบ</t>
        </is>
      </c>
      <c r="H205" s="2" t="inlineStr">
        <is>
          <t>คอพอก</t>
        </is>
      </c>
      <c r="I205" s="2" t="n">
        <v>1</v>
      </c>
      <c r="J205" s="2" t="inlineStr">
        <is>
          <t>✅ คำตอบที่ถูกต้อง: ข้อ ก. ยาสามัญประจำบ้าน ข . ยาอันตราย ค .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ข . ยาอันตราย ค . ยาควบคุมพิเศษ 💡 คำอธิบายและข้อกำหนดทางกฎหมาย:
💡 คำอธิบายและข้อกำหนดทางกฎหมาย:
การเลือก ยาสามัญประจำบ้าน ข . ยาอันตราย ค . 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(วัตถุออกฤทธิ์ต่อจิตและประสาท):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ข้อนี้ไม่ใช่คำตอบที่ถูกต้องสำหรับภาวะ พ.ร.บ. ยา พ.ศ. 2510 เนื่องจากกลไกการออกฤทธิ์, efficacy หรือข้อบ่งใช้ไม่ตรงกับโจทย์ที่กำหนด
• ข้อ ง. (กล่องเสียงอักเสบ): ข้อนี้ไม่ใช่คำตอบที่ถูกต้องสำหรับภาวะ พ.ร.บ. ยา พ.ศ. 2510 เนื่องจากกลไกการออกฤทธิ์, efficacy หรือข้อบ่งใช้ไม่ตรงกับโจทย์ที่กำหนด
• ข้อ จ. (คอพอก):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 s="2" t="n"/>
      <c r="L205" s="2" t="inlineStr">
        <is>
          <t>พ.ร.บ. ยา พ.ศ. 2510</t>
        </is>
      </c>
      <c r="M205" s="2" t="inlineStr">
        <is>
          <t>SAP</t>
        </is>
      </c>
      <c r="N205" s="2" t="inlineStr">
        <is>
          <t>ข้อ 30 (PLE_CC1_2554 SET2.md)</t>
        </is>
      </c>
      <c r="O205" s="2" t="inlineStr">
        <is>
          <t>ข้อสอบจริง</t>
        </is>
      </c>
      <c r="P205" s="2" t="inlineStr">
        <is>
          <t>ปี 2554</t>
        </is>
      </c>
    </row>
    <row r="206" ht="13.2" customHeight="1" s="37">
      <c r="A206" s="2" t="n">
        <v>204</v>
      </c>
      <c r="B206" s="2" t="inlineStr">
        <is>
          <t>มีการโฆษณาสมุนไพรชนิดหนึ่ง มีสรรพคุณรักษาโรคมะเร็งให้หาย มีฉลากยาบอกถึงเลขทะเบียนตำรับ และบอกถึง ประสิทธิผลการใช้จากคนที่หาย จากโฆษณานี้มีความผิดหรือไม่ (ไม่แน่ใจคำตอบคะ)</t>
        </is>
      </c>
      <c r="C206" s="2" t="n"/>
      <c r="D206" s="2" t="inlineStr">
        <is>
          <t>พ.ร.บ. วัตถุที่ออกฤทธิ์ต่อจิตและประสาท พ.ศ. 2559 (ประเภท 2 และ 4)</t>
        </is>
      </c>
      <c r="E206" s="2" t="inlineStr">
        <is>
          <t>พ.ร.บ. วิชาชีพเภสัชกรรม พ.ศ. 2537 และข้อบังคับจรรยาบรรณวิชาชีพ</t>
        </is>
      </c>
      <c r="F206" s="2" t="inlineStr">
        <is>
          <t>พ.ร.บ. ผลิตภัณฑ์สมุนไพร พ.ศ. 2562</t>
        </is>
      </c>
      <c r="G206" s="2" t="inlineStr">
        <is>
          <t>พ.ร.บ. เครื่องสำอาง พ.ศ. 2558</t>
        </is>
      </c>
      <c r="H206" s="2" t="inlineStr">
        <is>
          <t>พ.ร.บ. หลักประกันสุขภาพแห่งชาติ พ.ศ. 2545</t>
        </is>
      </c>
      <c r="I206" s="2" t="n">
        <v>1</v>
      </c>
      <c r="J20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6" s="2" t="n"/>
      <c r="L206" s="2" t="inlineStr">
        <is>
          <t>พ.ร.บ. ผลิตภัณฑ์สมุนไพร &amp; เครื่องสำอาง</t>
        </is>
      </c>
      <c r="M206" s="2" t="inlineStr">
        <is>
          <t>SAP</t>
        </is>
      </c>
      <c r="N206" s="2" t="inlineStr">
        <is>
          <t>ข้อ 10 (PLE_CC1_2533.md)</t>
        </is>
      </c>
      <c r="O206" s="2" t="inlineStr">
        <is>
          <t>ข้อสอบจริง</t>
        </is>
      </c>
      <c r="P206" s="2" t="inlineStr">
        <is>
          <t>ปี 2533</t>
        </is>
      </c>
    </row>
    <row r="207" ht="13.2" customHeight="1" s="37">
      <c r="A207" s="2" t="n">
        <v>205</v>
      </c>
      <c r="B207" s="2" t="inlineStr">
        <is>
          <t>ลดระดับพาราไทรอยด์ัอร์โมน ซึ่งยาดังกล่าวไม่สามารถยับยั้ง เซลล์ของ Osteoclast ได้ ข้อ 11 เฉลย E ภาวะ Stroke เพราะ สาเหตุของระดับกรดยูริกในเลือดสูงจากการสร้างพิวรีนเพิ่มขึ้น เช่น มีการขาด เอนไซม์ glycose-6-phosphate หรือมีสาเหตุมาจากมีการขับกรดยูริกออกจากร่างกายลดลง เช่น Bartter’s syndrome หรือมาจากการรับประทานผักที่มียอดเช่น กระถิน ชะอม ตำลึง ส่วน stroke คือ ภาวะที่สมอง ขาดเลือดไปเลี้ยงเนื่องจากหลอดเลือดตีบ หลอดเลือดอุดตัน หรือหลอดเลือดแตก ส่งผลให้เนื้อเยื่อในสมองถูก ทำลาย ซึ่งมาจากปัจจัยเสี่ยงต่างๆเช่น เป็นโรคเบาหวาน ความดัน แต่ไม่ได้เกี่ยวกับการเพิ่มระดับกรดยูริก ข้อ 12 เฉลย C Allopurinol เพราะ การกินยา Allopurinol ควรเริ่มยาหลังจากที่ข้ออักเสบจากเก๊าต์หายสนิทแล้ว และไม่ควรปรับ ขนาดยาขณะที่มีอาการข้ออักเสบอยู่ ส่วนยาในกลุ่ม NSAIDs, Steroids และ Colchicine ในเป็นยาอันดับแรก ในการรักษาข้ออักเสบเฉียบพลัน ข้อ 13 เฉลย A เมื่อใช้เป็นระยะเวลานาน เสี่ยงต่อการเกิดมะเร็งเพิ่มขึ้น เพราะ เนื่องจากมีข้อมูลเกี่ยวกับการใช้ Calcitonin nasal spray เมื่อใช้เป็นเวลานาน พบความเสี่ยง ต่อการเกิดมะเร็ง (ไม่เจาะจงว่ามะเร็งที่อวัยวะใด) เพิ่มขึ้นเล็กน้อย (2.4%) เมื่อเทียบกับผู้ที่ใช้ยาหลอก และ บางรายงานระบุความเสี่ยงมากกว่านี้ ทำให้มีการเลิกจำหน่ายยานี้แล้วในบางประเทศโดยเฉพาะในข้อบ่งใช้ รักษาภาวะกระดูกพรุนในหญิงวัยหมดระดู 122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 14 เฉลย E ปกติพ่น 2 ครั้ง ต่อ วัน ให้สลับรูจมูกที่ใช้ในการพ่นแต่ละวัน เพราะ ปกติพ่น 1 ครั้งต่อวัน โดยให้สลับรูจมูกที่ใช้ในการพ่นแต่ละวันเพราะยาจะทำให้ระคายเคือง จมูก ข้อ 15 เฉลย B ยาแคลซิโทนิน เป็นัอร์โมนที่ทำให้ระดับแคลเซียมกระแสเลือดเพิ่มขึ้นเมื่อระดับแคลเซียมใน เลือดต่ำลง เพราะ Calcitonin จะลดระดับแคลเซียมในเลือด โดยออกฤทธิ์ยับยั้งการดูดซึมแคลเซียมจากทางเดิน อาหาร ยับยั้งการดูดซึมกลับของแคลเซียมที่ไต และยังยับยั้งฤทธิ์ของเซลล์ของการสลายกระดูก (osteoclast) ข้อ 16 เฉลย D Quinine เพราะ ข้อบ่งใช้ของ Quinine ที่ได้รับการรับรองจากสำนักงานคณะกรรมการอาหารและยาคือ รักษาการติดเชื้อมาลาเรีย ข้อ 17 เฉลย E Methotrexate+Hydroxychloroquine เพราะ จากอาการบวม แดง เจ็บ และตึงที่ข้อนิ้วมือทั้ง2ข้าง ผลเลือดพบว่ามี erythrocyte sedimentation rate (ESR) สูงผิดปกติ จึงวินิจฉัยได้ว่าผู้ป่วยเป็นโรค Rheumatoid arthritis ผู้ป่วยจึงควร ได้รับยาในกลุ่ม การรักษาโรคข้ออักเสบรูมาตอยด์สามารถเริ่มจากการใช้ยาลดการอักเสบได้ ซึ่งแพทย์มักจะให้ ยาลดการอักเสบ ใน 3 กลุ่มหลัก เพื่อรักษาโรคข้ออักเสบรูมาตอยด์ ดังนี้ - Disease-modifying anti-rheumatic drugs (DMARDs) - Corticosteroids - Non-steroidal anti-inflammatory drugs (NSAIDs) ซึ่งใน choice ข้อสุดท้ายเป็นยาในกลุ่ม DMARDs แบบ Combination therapy ข้อ 18 เฉลย B ข้ออักเสบในตำแหน่งที่ไม่สมมาตร เพราะ ลักษณะการอักเสบของ rheumatoid arthritis จะต้องมีการอักเสบแบบสมมาตร (symmetrical arthritis) คือมีอาการข้ออักเสบของข้อทั้ง 2 ด้านของร่างกายแต่ในระยะแรกของผู้ป่วยบาง รายอาจมีข้ออักเสบในลักษณะที่ไม่สมมาตรได้ ข้อ 19 เฉลย C Furosemide เพราะ Furosemide metabolism ผ่าน OAT3 จึงไม่เกิดอันตรกิริยากับ Colchicine ซึ่งเป็น substrate ของ cyp3A4 ส่วน Verapamil, Cyclosporine, Erythromycin เป็น CYP3A4 inhibitor ถ้าใช้ร่วมกับ Colchicine จะทำให้ระดับ Colchicine สูงขึ้นจนอาจเกิดอันตรายได้ Rifampin เป็น CYP3A4 inducer เมื่อใช้ร่วมกับ Colchicine จะทำให้ระดับของ Colchicine ลดลงจนการรักษาไม่อยู่ในช่วงของการรักษาได้ ข้อ 20 เฉลย D ไม่มีข้อใดถูก 123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Colchicine เป็นยาที่มีประสิทธิภาพสูงในการรักษาข้ออักเสบเฉียบพลันในโรคเกาต์ ขนาดที่แนะนำ คือ 0.6 มิลลิกรัม วันละ 2-4 ครั้ง ไม่แนะนำให้ใช้ยาในขนาดสูงหรือ รับประทานยาทุก 2 ชั่วโมงจนกระทั่งปวดข้อ ลดลง เนื่องจากจะทำให้เกิดท้องเสียได้บ่อย ผลข้างเคียงที่พบบ่อย ได้แก่ ท้องเสีย ปวดท้อง คลื่นไส้ และ อาเจียน หากใช้ร่วมกับ Simvastatin จะเพิ่มความเสี่ยงต่อภาวะ Rhabdomyolysis ดังนั้นจึงควรติดตาม อาการปวดเมื่อยและระดับเอนไซม์กล้ามเนื้อ (creatinephosphokinase,CPK) เมื่อต้องใช้ยา 2 ชนิด ร่วมกัน อาจพิจารณาเปลี่ยนยาลดไขมันเป็น Pravastatin หรือ Fluvastatin แทน และ Colchicine อยู่ในบัญชี ก ตามบัญชียาหลักแห่งชาติ ข้อ 21 เฉลย E Hypersensitivity reaction เพราะ จากผลข้างเคียงของยา Allopurinol ที่พบบ่อยที่สุดคือ ปฏิกิริยาแพ้ยา เช่น ผื่น (hypersensitivity reaction) ซึ่งพบร้อยละ 2 ข้อ 22 เฉลย B Naproxen Propionic acid เพราะ Naproxen มีโครงสร้างเป็นแบบ Arilpropionic acid ยาที่มีโครงสร้างแบบนี้เช่น ibuprofen,ketoprofen ข้อ 23 เฉลย D Piroxicam เพราะ Piroxicam อยู่ในบัญชียา ข ข้อ 24 เฉลย D Premenstrual-like syndrome เพราะ Premenstrual-like syndrome เป็นกลุ่มอาการรุนแรงก่อนมีประจำเดือน (Premenstrual dysphoric disorder) หรือเรียกย่อว่า PMDD) คือ การมีอาการผิดปกติทางร่างกายจิตใจและ/หรืออารมณ์ อย่างรุนแรงโดยสัมพันธ์กับก่อนการมีประจำเดือนเช่น เครียดจัด หงุดหงิดมาก โมโหร้าย หรือซึมเศร้าอย่าง มาก ข้อ 25 เฉลย D ข้อ 2,3,4 ถูก เพราะ estrogen ช่วยให้ลำไส้ดูดซึมแคลเซียมเข้าสู่ร่างกายได้ดีขึ้น ยับยั้งกระบวนการ bone resorption และ กระตุ้นกระบวนการ bone formation (ทำให้ไม่เกิดการสลายกระดูกและยังช่วยส่งเสริม กระบวนการสร้างกระดูก) ข้อ 26 เฉลย A ผู้ป่วยตัดรังไข่จากการเป็นเนื้องอก 124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Estrogen replacement therapy ไม่มีข้อบ่งใช้ในผู้ป่วยตัดรังไข่จากการเป็นเนื้องอก แต่มีข้อบ่ง ใช้ใน</t>
        </is>
      </c>
      <c r="C207" s="2" t="n"/>
      <c r="D207" s="2" t="inlineStr">
        <is>
          <t>พ.ร.บ. เครื่องสำอาง พ.ศ. 2558</t>
        </is>
      </c>
      <c r="E207" s="2" t="inlineStr">
        <is>
          <t>พ.ร.บ. หลักประกันสุขภาพแห่งชาติ พ.ศ. 2545</t>
        </is>
      </c>
      <c r="F207" s="2" t="inlineStr">
        <is>
          <t>การปฏิบัติทางเภสัชกรรมชุมชน (Good Pharmacy Practice: GPP)</t>
        </is>
      </c>
      <c r="G207" s="2" t="inlineStr">
        <is>
          <t>บัญชียาหลักแห่งชาติ (National List of Essential Medicines: NLEM)</t>
        </is>
      </c>
      <c r="H207" s="2" t="inlineStr">
        <is>
          <t>เกณฑ์จริยธรรมว่าด้วยการส่งเสริมการขายยาของกระทรวงสาธารณสุข</t>
        </is>
      </c>
      <c r="I207" s="2" t="n">
        <v>1</v>
      </c>
      <c r="J20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7" s="2" t="n"/>
      <c r="L207" s="2" t="inlineStr">
        <is>
          <t>พ.ร.บ. ยา พ.ศ. 2510</t>
        </is>
      </c>
      <c r="M207" s="2" t="inlineStr">
        <is>
          <t>SAP</t>
        </is>
      </c>
      <c r="N207" s="2" t="inlineStr">
        <is>
          <t>ข้อ 3 (PLE_CC1_Practice_Exam.md)</t>
        </is>
      </c>
      <c r="O207" s="2" t="inlineStr">
        <is>
          <t>Mock</t>
        </is>
      </c>
      <c r="P207" s="2" t="inlineStr">
        <is>
          <t>Mock สภาเภสัชฯ Practice</t>
        </is>
      </c>
    </row>
    <row r="208" ht="13.2" customHeight="1" s="37">
      <c r="A208" s="2" t="n">
        <v>206</v>
      </c>
      <c r="B208" s="2" t="inlineStr">
        <is>
          <t>Trichloroacetic acid 50-70% ดังนั้น ก. Benzoic acid จึงไม่ใช่ยาที่ใช้ในการรักษาโรคหูด ข้อ 39. เฉลย ข. Human papilloma virus หูด (Warts) เป็นติ่งเนื้องอกที่ผิวหนังชนิดไม่ร้ายแรง เกิดจากการติดเชื้อไวรัสที่มีชื่อว่า Human papilloma virus (HPV) ที่ภายในชั้นผิวหนังกำพร้า ซึ่งเป็น DNA virus ที่แบ่งตัวอยู่ภายในนิวเคลียสของเซลล์ ผิวหนัง ปัจจุบันพบว่ามี HPV อยู่มากกว่า 70 ชนิด จึงทำให้อาการหูดมีความหลากหลายแตกต่างกันไป ข้อ 40. เฉลย จ. Benzoyl peroxide และ topical retinoid สามารถทาติดต่อกันได้ทันที เพื่อการรักษาที่มี ประสิทธิภาพ</t>
        </is>
      </c>
      <c r="C208" s="2" t="n"/>
      <c r="D208" s="2" t="inlineStr">
        <is>
          <t>หากเป็นสิวระดับ mild สามารถใช้ topical retinoid ในการรักษาเพียงตัวเดียวได้</t>
        </is>
      </c>
      <c r="E208" s="2" t="inlineStr">
        <is>
          <t>หากเป็นสิวระดับ mild สามารถใช้ benzoyl peroxide ในการรักษาเพียงตัวเดียวได้</t>
        </is>
      </c>
      <c r="F208" s="2" t="inlineStr">
        <is>
          <t>Oral isotretinoid ใช้สำหรับ Severe acne เท่านั้นและห้ามใช้ในหญิงตั้งครรภ์</t>
        </is>
      </c>
      <c r="G208" s="2" t="inlineStr">
        <is>
          <t>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t>
        </is>
      </c>
      <c r="H208" s="2" t="inlineStr">
        <is>
          <t>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I208" s="2" t="n">
        <v>1</v>
      </c>
      <c r="J208" s="2" t="inlineStr">
        <is>
          <t>✅ คำตอบที่ถูกต้อง: ข้อ ก. หากเป็นสิวระดับ mild สามารถใช้ topical retinoid ในการรักษาเพียงตัวเดียวได้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หากเป็นสิวระดับ mild สามารถใช้ topical retinoid ในการรักษาเพียงตัวเดียวได้ 💡 คำอธิบายและข้อกำหนดทางกฎหมาย:
💡 คำอธิบายและข้อกำหนดทางกฎหมาย:
การเลือก หากเป็นสิวระดับ mild สามารถใช้ topical retinoid ในการรักษาเพียงตัวเดียวได้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(หากเป็นสิวระดับ mild สามารถใช้ benzoyl peroxide ในการรักษาเพียงตัวเดียวได้): ข้อนี้ไม่ใช่คำตอบที่ถูกต้องสำหรับภาวะ พ.ร.บ. ยา พ.ศ. 2510 เนื่องจากกลไกการออกฤทธิ์, efficacy หรือข้อบ่งใช้ไม่ตรงกับโจทย์ที่กำหนด
• ข้อ ค. (Oral isotretinoid ใช้สำหรับ Severe acne เท่านั้นและห้ามใช้ในหญิงตั้งครรภ์): ข้อนี้ไม่ใช่คำตอบที่ถูกต้องสำหรับภาวะ พ.ร.บ. ยา พ.ศ. 2510 เนื่องจากกลไกการออกฤทธิ์, efficacy หรือข้อบ่งใช้ไม่ตรงกับโจทย์ที่กำหนด
• ข้อ ง.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ข้อนี้ไม่ใช่คำตอบที่ถูกต้องสำหรับภาวะ พ.ร.บ. ยา พ.ศ. 2510 เนื่องจากกลไกการออกฤทธิ์, efficacy หรือข้อบ่งใช้ไม่ตรงกับโจทย์ที่กำหนด
• ข้อ จ.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8" s="2" t="n"/>
      <c r="L208" s="2" t="inlineStr">
        <is>
          <t>พ.ร.บ. ยา พ.ศ. 2510</t>
        </is>
      </c>
      <c r="M208" s="2" t="inlineStr">
        <is>
          <t>SAP</t>
        </is>
      </c>
      <c r="N208" s="2" t="inlineStr">
        <is>
          <t>ข้อ 5 (PLE_CC1_Practice_Exam.md)</t>
        </is>
      </c>
      <c r="O208" s="2" t="inlineStr">
        <is>
          <t>Mock</t>
        </is>
      </c>
      <c r="P208" s="2" t="inlineStr">
        <is>
          <t>Mock สภาเภสัชฯ Practice</t>
        </is>
      </c>
    </row>
    <row r="209" ht="13.2" customHeight="1" s="37">
      <c r="A209" s="2" t="n">
        <v>207</v>
      </c>
      <c r="B209" s="2" t="inlineStr">
        <is>
          <t>ยาตัวไหนที่มีประสิทธิภาพในการรักษา anxiety ประเภท obsessive-compulsive disorder (OCD)</t>
        </is>
      </c>
      <c r="C209" s="2" t="n"/>
      <c r="D209" s="2" t="inlineStr">
        <is>
          <t>พ.ร.บ. ยาเสพติดให้โทษ พ.ศ. 2522 (ยาเสพติดให้โทษประเภท 2 และ 3)</t>
        </is>
      </c>
      <c r="E209" s="2" t="inlineStr">
        <is>
          <t>พ.ร.บ. วัตถุที่ออกฤทธิ์ต่อจิตและประสาท พ.ศ. 2559 (ประเภท 2 และ 4)</t>
        </is>
      </c>
      <c r="F209" s="2" t="inlineStr">
        <is>
          <t>พ.ร.บ. วิชาชีพเภสัชกรรม พ.ศ. 2537 และข้อบังคับจรรยาบรรณวิชาชีพ</t>
        </is>
      </c>
      <c r="G209" s="2" t="inlineStr">
        <is>
          <t>พ.ร.บ. ผลิตภัณฑ์สมุนไพร พ.ศ. 2562</t>
        </is>
      </c>
      <c r="H209" s="2" t="inlineStr">
        <is>
          <t>พ.ร.บ. เครื่องสำอาง พ.ศ. 2558</t>
        </is>
      </c>
      <c r="I209" s="2" t="n">
        <v>1</v>
      </c>
      <c r="J20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9" s="2" t="n"/>
      <c r="L209" s="2" t="inlineStr">
        <is>
          <t>พ.ร.บ. ยา พ.ศ. 2510</t>
        </is>
      </c>
      <c r="M209" s="2" t="inlineStr">
        <is>
          <t>SAP</t>
        </is>
      </c>
      <c r="N209" s="2" t="inlineStr">
        <is>
          <t>ข้อ 30 (PLE_CC1_Practice_Exam.md)</t>
        </is>
      </c>
      <c r="O209" s="2" t="inlineStr">
        <is>
          <t>Mock</t>
        </is>
      </c>
      <c r="P209" s="2" t="inlineStr">
        <is>
          <t>Mock สภาเภสัชฯ Practice</t>
        </is>
      </c>
    </row>
    <row r="210" ht="13.2" customHeight="1" s="37">
      <c r="A210" s="2" t="n">
        <v>208</v>
      </c>
      <c r="B210" s="2" t="inlineStr">
        <is>
          <t>Bupropion 188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โดย นักศึกษาเภสัชศาสตร์ชั้นป๊ที่ 4 รุ่นที่ 9 มหาวิทยาลัยสยาม Headache (tension, migraine) ข้อ 1 เฉลย 4 amitriptyline เนื่องจากเป็นยากลุ่ม TCAs มักจะนำมาใช้ในการป้องกันอาการปวดศีรษะที่มีสาเหตุมาจาก ความเครียดได้ สำหรับข้อ 1. acetaminophen 2. aspirin 3. diclofenac ไม่เลือกใช้เพราะ เป็นยาบรรเทาอาการปวดศีรษะได้แต่ไม่อยู่ในการใช้เพื่อป้องกันการเกิดอาการปวดศีรษะ ข้อ 5. orphenadrine เป็นยากลุ่ม muscle relaxants ไม่มีการศึกษาที่รองรับในการใช้ว่าจะมี ประสิทธิภาพในการรักษาอาการปวดศีรษะได้(Reference : Pharmacotherapy handbook 9th edition) ข้อ 2 เฉลย 4 รับประทานได้ไม่เกินอาทิตย์ละ 5 เม็ด เนื่องจากการรับประทานยา ergotamine ข้อแนะนำในการรับประทานคือให้รับประทาน 2 เม็ด ทันทีเมื่อมีอาการปวด และอีก 1 เม็ด ทุก ๆ ครึ่งชั่วโมง หากยังมีอาการอยู่ ซึ่งยานี้สามารถ รับประทานได้ ไม่เกินวันละ 6 เม็ด อาทิตย์ละไม่เกิน 10 เม็ด และห้ามรับประทานติดต่อกันเกิน 9 วัน ต่อเดือน ข้อ 3 เฉลย 3 Ibuprofen เนื่องจากผู้ป่วยควรได้รับการรักษาด้วย NSAID, Paracetamol ไม่จัดอยู่ในกลุ่ม NSAID แต่สามารถ ให้ได้ และ Codeine เป็นทางเลือกท้ายๆเนื่องจากไม่ตรงกับ MOA ของโรค ข้อ 4 เฉลย 1 ผู้ป่วยที่มีประวัติแพ้ยา antibiotic กลุ่ม Sulfonamides เนื่องจาก โครงสร้างของยาดังกล่าวมีหมู่ sulfonamide จึงควรระวังในผู้ป่วยที่มีประวัติการแพ้ ข้อ2. CYP 3A4 inhibitor เนื่องจากยา Sumatriptan นั้น metabolism ผ่าน MAO-A ข้อ3. ผู้ป่วยที่มีประวัติเป็นโรคเบาหวานไม่ได้เป็นข้อห้ามใช้ ข้อ4. Sumatriptan ถือเป็นยาที่มีข้อบ่งใช้ใน ผู้ป่วย migraine ข้อ5. Sumatriptan สามารถใช้ได้ในหญิงตั้งครรภ์ (Pregnancy Category C) ถ้าเปรียบเทียบ risk-benefit 189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5 เฉลย 3. Propranolol เหตุผล หลักในการให้ยา migraine prophylaxis คือให้ยาตามโรคร่วมของผู้ป่วย และให้รับประทาน อย่างต่อเนื่อง เป็นเวลาอย่างน้อย 2 เดือน โดยในผู้ป่วยรายนี้ มีโรคประจำตัว Hypertension,DM type 2 ยา ที่เหมาะสมที่สุดในตัวเลือกคือ Propranolol ซึ่งมี indication ใน Hypertension สามารถใช้ป้องกันไมเกรน และควบคุมความดันของผู้ป่วย ส่วนยา Valproate และ Topiramate ไม่เหมาะสมในผู้ป่วยรายนี้ เนื่องจาก ผู้ป่วยไม่ได้มีประวัติเป็นโรคลมชัก Epilepsy ยา Amitriptyline และ Venlafaxine ก็ไม่เหมาะสมเนื่องจาก ผู้ป่วยไม่ได้มีโรคร่วมเป็น Major depressive disorder ข้อ 6 เฉลย 5. โครงสร้างยา Sumatriptan จากอาการของผู้ป่วยจัดเป็น Migraine ระดับ mild to moderate แนวทางการรักษาที่เหมาะสมคือ ให้ยาในกลุ่ม NSAIDs หรือ Triptans แต่ผู้ป่วยแจ้งว่าแพ้ยา Ibuprofen จัดอยู่ในกลุ่ม propionic acid จึงควร หลีกเลี่ยงการใช้ยาในกลุ่มนี้ ซึ่งอาจเกิดจากการแพ้แบบเฉพาะกลุ่ม propionic acid โดยเกิดการแพ้จาก propionic acid group และหรือแพ้ทั้งกลุ่ม NSAIDs ก็เป็นได้ ดังนั้นจึงตอบข้อ 5 คือยา Sumatriptan (Reference: http://www.thaiodgt.com/16411141/nsaids-allergy) ข้อ 7 เฉลย 3. Acetaminophen หรือ Paracetamol เป็น first line ในการใช้เพื่อรักษาอาการปวดศีรษะจากความเครียด หากใช้ paracetamol ไม่ได้ผลจึงจะใช้ยากลุ่ม NSAIDs, muscle relaxant ตามลำดับ ข้อ 8 เฉลย 4. Ergotamine เป็นยาในกลุ่ม ergot alkaloids มีผลข้างเคียงคือ หด uterus และ อาจจะทำให้เกิด damage fetus ห้ามใช้ในคนไข้ตั้งครรภ์ทุกกรณี มีผลทำให้เด็กเกิดทารกวิรูปไปจนถึงขั้นเสียชีวิตได้ สำหรับข้ออื่นๆ สามารถ ใช้ได้ในคนไข้ตั้งครรภ์ไม่มีข้อห้ามใช้แต่ควรระมัดระวังในการใช้ 190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Drug and alcohol abuse ข้อ 9 เฉลย 5 delirium tremens เนื่องจาก โดยมีอาการ hyperactivity, severe tremor, severe agitation, เคลื่อนไหวไปมาตลอดเวลา, สับสน, disorientation, distractibility มี visual, tactile หรือ auditory hallucinations, paranoid delusions เป็นต้น (Ref : https://med.mahidol.ac.th/ramamental/sites/default/files/public/pdf/Alcohol%20withdrawal. PDF ) ข้อ 10 เฉลย 3. Diazepam IV เนื่องจากผู้ป่วยมีอาการถอนแอลกอฮอล์เกิด อาการคลุมคลั่ง เพ้อ คิดว่าคนอื่นจะมาทำร้ายตนเอง อาการ จะมักเกิดขึ้นในตอนเย็น และตอนเช้าอาการจะดีขึ้น อาการรุนแรงเมื่อวันที่ 4 ซึ่งเป็นอาการของ delirium ยา หลักในการรักษาคือ benzodiazepines จึงตอบ Diazepam ข้อ 11 เฉลย 5 ยับยั้ง aldehyde dehydrogenase Disulfiram เป็นยาที่ใช้เพื่อป้องกันการกลับมาดื่มสุรา ออกฤทธิ์ยับยั้ง metabolism ของ แอลกอฮอล์ โดยยับยั้งเอนไซม์ aldehyde dehydrogenase ทำให้ acetaldehyde เพิ่มขึ้น ทำให้มีอาการหน้าแดง, วิงเวียนศีรษะ, คลื่นไส้, อาเจียน, และท้องเสีย ยิ่งดื่มสุรา ยิ่งทำให้อาการเป็นมากขึ้น เลยทำให้ผู้ป่วยไม่อยาก ดื่มสุราอีก 191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12 เฉลย 1 Thiamine (Reference : Topic Review. Wernicke-Korsakoff Syndrome. อ.นพ.สรวิเชษฐ์รัตนชัยวงศ์ สาขาวิชาโภชนวิทยาคลินิก ภาควิชาอายุรศาสตร์คณะแพทยศาสตร์มหาวิทยาลัยขอนแก่น. https://neurosci.kku.ac.th/wp-content/uploads/2014/12/10-2-3.pdf) ข้อ 13 เฉลย 4. Acamprosate ใช้ในการรักษาภาวะติดสุราเรื้อรังโดยมีกลไกที่น่าจะเป็นไปได้ คือเพิ่มการทำงานของ GABA receptors ลดการทำงานของ NMDA receptorsและลดการทำงานของCa2+channel ข้อ 1,2 ใช้ในการรักษาภาวะถอนสุรา (alcohol withdrawal) เมื่อผู้ป่วยมีอาการคลุ้มคลั่ง เห็นภาพหลอน และไม่ตอบสนองต่อยากลุ่ม benzodiazepines ข้อ 3. ใช้ในการรักษาภาวะถอนสุรา (alcohol withdrawal) เมื่อผู้ป่วยมีอาการสั่น ชัก หรือวิตกกังวล ข้อ 5. Thiamine ใช้เพื่อรักษาWernicke’s encephalopathy ภาควิชาจิตเวชศาสตร์ คณะแพทยศาสตร์โรงพยาบาลรามาธิบดี มหาวิทยาลัยมหิดล.แนวทางการ บำบัดผู้ป่วยติดสุราสำหรับสหวิชาชีพ สาธารณสุข.[อินเทอร์เน็ต].2558[เข้าถึงเมื่อ: 8 ธ.ค.2560].เข้าถึงได้จาก: https://med.mahidol.ac.th/psych/sites/default/files/public/pdf/Conference/58/Manag ement%20of%20alcohol%20use%20disorder.pdf ข้อ 14 เฉลย 4. Diazepam เนื่องจาก diazepam จะออกฤทธิ์โดยการจับกับ BZP1 และ BZP2 receptor ซึ่งเป็น Cl- Channel เป็นผลให้ที่ GABA receptor เมี Cl-เข้า cell มากขึ้น จึงมีฤทธิ์ inhibitory effect ทำให้ผู้ป่วยสงบ นอนหลับ และกล้ามเนื้อคลายตัว จึงบรรเทาอาการของผู้ป่วยได้ 192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1, 2 และ 3 เป็นยาที่ใช้ในการรักษาภาวะติดสุรา Disulfiram : มีกลไกคือยับยั้งเอนไซม์ aldehyde dehydrogenase ในการเปลี่ยน acetaldehyde เป็น acetate ทำให้มี acetaldehyde เพิ่มมากขึ้น ส่งผลให้มีอาการคลื่นไส้ หน้าแดง หัวใจเต้นเร็ว จึงไม่อยากดื่ม สุรา Naltrexone : เป็น pure opioid antagonist ที่ออกฤทธิ์ที่ opiate receptors ในการแย่งยับยั้งผล ของ opiate agonist naltrexone ได้ผลดีในการลดจำนวนวันของการดื่ม และลดความอยากดื่มสุรา Acamprosate : ยาจะไปออกฤทธิ์กับ NMDA receptor ทำให้ความอยากดื่มสุราลดลง แต่ยังไม่ ทราบกลที่แน่ชัด ข้อ 5. Flumazenil เป็น antidote ของ Benzodiazepine ไม่มีผลกับ GABA และไม่มี indications ในการ รักษาอาการถอนสุรา เอกสารอ้างอิง ภาควิชาจิตเวชศาสตร์ คณะแพทยศาสตร์โรงพยาบาลรามาธิบดี มหาวิทยาลัยมหิดล.กลุ่มอาการ เนื่องจากการขาดสุราและการรักษาในปัจจุบัน (Alcohol withdrawal syndromes)[อินเทอร์เน็ต].2558 [เข้าถึงเมื่อ: 8 พ.ย.2560].เข้าถึงได้จาก: https://med.mahidol.ac.th/ramamental/psychiatristknowledge/generalpsychiatrist/08062014- 0911 National Institute for Health and Care Excellence. Acute alcohol withdrawal.2017 [cited 8 Nov 2017 ]. Available from: http ://file:///C:/Users/User/Downloads/alcohol- use-disorders-acute-alcohol-withdrawal.pdf ข้อ 15 เฉลย 4 Naloxone IV เนื่องจากกรณีดังกล่าวผู้ป่วยมีอาการจากการได้รับ opioid overdose จึงควรเลือกใช้ antidote คือ Naloxone IV ซึ่งมีฤทธิ์เป็น antagonist จึงสามารถใช้แก้ฤทธิ์ของ opioid ได้ , Buprenorphine และ Methadone ใช้รักษาใน opioid withdrawal , Flumazenil เป็น antidote จากการใช้ Benzodiazepines overdose และ Naltrexone มีข้อแนะนำใช้ในการรักษาอาการติดแอลกอฮอล์ ข้อ 16 เฉลย 1. Flumazenil เป็น antidote ของ Benzodiazepines และไม่มีผลกับ GABA ข้อ 2,3 เป็นยาที่ใช้รักษาภาวะติดสุราเรื้อรัง ข้อ 4,5 เป็นยาที่ใช้ในการรักษาอาการถอนสุรา (alcohol withdrawal) ในคนที่มีภาวะคลุ้มคลั่งและเห็นภาพ หลอน 193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Ref : ศูนย์พิษวิทยารามาธิบดีคณะแพทยศาสตร์โรงพยาบาลรามาธิบดี มหาวิทยาลัยมหิดล. ANTIDOTES (ยาต้านพิษ). [อินเทอร์เน็ต].2558 [เข้าถึงเมื่อ: 8 ธ.ค.2560].เข้าถึงได้จาก: https://med.mahidol.ac.th/poisoncenter/th/anti-cov/flumazenil Tobacco dependence and cessation ข้อ 17 เฉลย 3. nicotine เนื่องจาก nicotine เป็นสารที่อยู่ในบุหรี่ เมื่อสูดควันบุหรี่เข้าไปเพียง 6-10 วินาที nicotineจะเข้าสู่ สมอง ส่งผลให้กระตุ้นการหลั่ง DA, NE, 5-HT, Achและสารสื่อประสาทอื่นๆ ทำให้รู้สึกดี เช่น มีความสุข ตื่นตัว ลดความเครียด ไม่อยากอาหาร เป็นต้น แต่เมื่อไม่ได้สูบบุหรี่จะทำให้เราได้รับสารสื่อประสาทไม่เพียงพอ ต่อการกระตุ้นให้ได้ผลเท่าเดิม จึงทำให้เกิดอาการถอนบุหรี่ได้ เช่น อยากสูบบุหรี่ ,หงุดหงิด ,อยากอาหารมาก ขึ้น, ซึมเศร้า เป็นต้น ข้อ1.morphine ไม่มีในบุหรี่ ข้อ2.codeine ไม่มีในบุหรี่ ข้อ4.nitrogen dioxide เป็นสารพิษในควันบุหรี่ มีผลทำลายเยื่อบุถุงลม เป็นสาเหตุของ โรคถุงลมโป่งพอง ข้อ5.serotonin เป็นสารสื่อประสาทในสมอง ซึ่ง nicotine สามารถกระตุ้นการหลั่งserotoninได้ทำให้เกิด การลดความอยากอาหาร และช่วยรักษาระดับอารมณ์ เป็นต้น ข้อ 18 เฉลย 1. ใช้ขนาด 20 mg ติด 24 ชม. ต่อแผ่น เป็นเวลา 6-8 สัปดาห์ เนื่องจากการใช้ Nicotine patch ไม่ควรตัดแบ่งแผ่นแปะ และตาม แนวทางเวชปฏิบัติสำหรับการ บำบัดรักษาโรคติดบุหรี่ในประเทศไทย ปี พ.ศ.2552 สำหรับแพทย์และบุคลากรวิชาชีพสุขภาพระบุไว้ว่า ผู้ที่สูบน้อยกว่าวันละ 20 มวน ใช้ขนาด 20 mg ติด 24 ชม. ต่อแผ่น เป็นเวลา 6-8 สัปดาห์ ผู้ที่สูบมากกว่าวันละ 20 มวน ใช้ขนาด 30 mg ติด 24 ชม. ต่อแผ่น เป็นเวลา 3-4 สัปดาห์ ข้อ 19 เฉลย 1 นาย ก เคี้ยวหมากฝรั่งนิโคตินอย่างช้าๆ สลับกับการอมเป็นระยะๆ เป็นเวลา 30 นาที เหตุผล ดังนี้</t>
        </is>
      </c>
      <c r="C210" s="2" t="n"/>
      <c r="D210" s="2" t="inlineStr">
        <is>
          <t>พ.ร.บ. ผลิตภัณฑ์สมุนไพร พ.ศ. 2562</t>
        </is>
      </c>
      <c r="E210" s="2" t="inlineStr">
        <is>
          <t>พ.ร.บ. เครื่องสำอาง พ.ศ. 2558</t>
        </is>
      </c>
      <c r="F210" s="2" t="inlineStr">
        <is>
          <t>พ.ร.บ. หลักประกันสุขภาพแห่งชาติ พ.ศ. 2545</t>
        </is>
      </c>
      <c r="G210" s="2" t="inlineStr">
        <is>
          <t>การปฏิบัติทางเภสัชกรรมชุมชน (Good Pharmacy Practice: GPP)</t>
        </is>
      </c>
      <c r="H210" s="2" t="inlineStr">
        <is>
          <t>บัญชียาหลักแห่งชาติ (National List of Essential Medicines: NLEM)</t>
        </is>
      </c>
      <c r="I210" s="2" t="n">
        <v>3</v>
      </c>
      <c r="J210" s="2" t="inlineStr">
        <is>
          <t>✅ คำตอบที่ถูกต้อง: ข้อ ค.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ผลิตภัณฑ์สมุนไพร พ.ศ. 2562):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ข. (พ.ร.บ. เครื่องสำอาง พ.ศ. 2558):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 s="2" t="n"/>
      <c r="L210" s="2" t="inlineStr">
        <is>
          <t>พ.ร.บ. ยาเสพติดให้โทษ &amp; วัตถุออกฤทธิ์</t>
        </is>
      </c>
      <c r="M210" s="2" t="inlineStr">
        <is>
          <t>SAP</t>
        </is>
      </c>
      <c r="N210" s="2" t="inlineStr">
        <is>
          <t>ข้อ 5 (PLE_CC1_Practice_Exam.md)</t>
        </is>
      </c>
      <c r="O210" s="2" t="inlineStr">
        <is>
          <t>Mock</t>
        </is>
      </c>
      <c r="P210" s="2" t="inlineStr">
        <is>
          <t>Mock สภาเภสัชฯ Practice</t>
        </is>
      </c>
    </row>
    <row r="211" ht="13.2" customHeight="1" s="37">
      <c r="A211" s="2" t="n">
        <v>209</v>
      </c>
      <c r="B211" s="2" t="inlineStr">
        <is>
          <t>เป็นยากลุ่ม TCA มีกลไก NE และ 5-HT reuptake inhibitor ยาที่มีนิโคตินทดแทน - Nicotine gum - Nicotin patch ยาที่ไม่มีนิโคติน - First line therapy : Bupropion (แนะนำในผู้ป่วยซึ่มเศร้าที่อยากเลิกบุหรี่), varenicline - Second-line therapy : Nortriptyline ข้อ 21 เฉลย 2. Bupropion เนื่องจากผู้ป่วยต้องการเลิกบุหรี่และมีโรคร่วมคือ depression ยาที่เหมาะสมคือ Bupropion เพราะสามารถ รักษาได้ทั้ง depression และเป็นยาเลิกบุหรี่ ไม่ตอบ 1. Nicotine patch เพราะผู้ป่วยมีโรคร่วมคือ depression การได้รับ Bupropion เหมาะสมมากกว่า ไม่ตอบ 3. ยาชงหญ้าดอกขาว เพราะประสิทธิภาพในเรื่องการเลิกบุหรี่น้อยกว่า bupropion ร่วมกับผู้ป่วยมี โรคร่วมคือ depression ยาชงหญ้าดอกขาวจึงไม่เหมาะสม ไม่ตอบ 4.กินผลไม้รสเปรี้ยว และ 5.หักดิบ เนื่องจากผู้ป่วยเคยมีประวัติเลิกบุหรี่ไม่สำเร็จจากการปรับเปลี่ยน พฤติกรรม จึงควรได้รับยาในการช่วยเลิกบุหรี่ (อ้างอิงจาก แนวทางเวชปฏิบัติเพื่อรักษาผู้ติดบุหรี่ กรมการ แพทย์ กระทรวงสาธารณสุข) 195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22 เฉลย 5 Bupropion เป็นยาในกลุ่ม Norepinephrine Dopamine reuptake inhibitor (NDRIs) มีข้อห้ามใช้ในผู้ป่วยที่มี ประวัติมีอาการชัก เป็นโรคลมชัก ผู้ที่มีประวัติ CNS tremor เป็นต้น จึงไม่เหมาะสมที่จะใช้ในผู้ป่วยรายนี้ใน การใช้ยาเพื่อเลิกบุหรี่ ข้อ 23 เฉลย 1 มีประวัติโรคซึมเศร้า Varenicline มี warning เกี่ยวกับ neuropsychiatric adverse events (e.g. depression, irritable, suicidal) and cardiovascular adverse effect Anxiety ข้อ 24 เฉลย 5. Zolpidem จาก pathophysiology ของการเกิด Anxiety ที่เกิดจากการกระตุ้นสมองส่วน Amygdala โดย สมองส่วน Amygdala จะมี receptor คือ Glutamate receptor, α1, β1 receptor และ GABAA receptor ซึ่ง Glutamate receptor, α1, β1 receptor นั้นเมื่อถูกกระตุ้น จะสามารถกระตุ้นการทำงาน ของสมองส่วน Amygdala ได้ แต่ GABA receptor เมื่อกระตุ้นแล้วจะทำให้เกิดการยับยั้งการทำงานของ สมองส่วน Amygdala โดยสารสื่อประสาท GABA จะถูกกระตุ้นให้หลั่งได้จากสารสื่อประสาท serotonin ดังนั้นเมื่อต้องการลดความเครียด จึงต้องลดการทำงานของสมองส่วน Amygdala ลง ซึ่งทำได้โดย - ลดสารสื่อประสาท NE ที่จะเข้าไปจับกับ α1, β1 receptor จึงทำให้สมองส่วน Amygdala ถูกกระตุ้นลดลง - ลดสารสื่อประสาท Glutamate ที่จะเข้าไปจับกับ Glutamate receptor จึงทำให้สมองส่วน Amygdala ถูกกระตุ้นลดลง - เพิ่มการทำงานของ GABAA receptor หรือสารสื่อประสาท GABA และ Serotonin ทำให้ได้ผล สุดท้ายคือ สมองส่วน Amygdala ถูกกระตุ้นลดลง จากตัวเลือกของยา 1. Imipramine เป็นยากลุ่ม TCAs และ 2. Paroxetine เป็นยากลุ่ม SNRIs ซึ่งทั้งสอง ตัวเป็นยาที่ใช้ในการรักษาโรคซึมเศร้า โดยมีกลไกการออกฤทธิ์หลักๆ คือการเพิ่มสารสื่อประสาท Serotonin ดังนั้นการใช้ยาดังกล่าว จึงเหมาะสมสำหรับการใช้เพื่อลดอาการเครียด ตัวเลือกที่ 3. Lorazepam เป็นยากลุ่ม Benzodiazepines ตัวเลือกที่ 4. Pregabalin เป็นยากลุ่ม N-type α2δ calcium channel blocker ซึ่งจะสามารถลดการหลั่ง ของ Glutamate ได้ทำให้การใช้ยานี้ จึงเหมาะสมสำหรับการใช้เพื่อลดอาการเครียด 196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ตัวเลือกที่ 5. Zolpidem เป็นยากลุ่ม Non-benzodiazepines GABAA receptor ซึ่งจะจับเฉพาะ α1 subunit ของ GABAA receptor ที่มีเพียงแค่ฤทธิ์ทำให้เกิด Sedative แต่มีฤทธิ์ Anxiolytic เล็กน้อย เนื่องจากฤทธิ์ Anxiolytic จะเกิดเมื่อมีการจับ receptor ที่ α2 subunit ซึ่งจะถูกจับ โดยยากลุ่ม Benzodiazepines ดังนั้นยา Zolpidem จึงไม่เหมาะสมในการลดอาการเครียดของผู้ป่วย (Reference : Dipiro JT, et al. Pharmacothrapy : A pathophysiology Approach 9th ,2014. Chapter 66 anxiety ; 673-685 and Chapter 70 sleep wake disorder ; 750) ข้อ 25 เฉลย 2. Diazepam เพราะ ผู้ป่วยมีอาการนอนไม่หลับและต้องใช้เวลานานกว่าจะหลับ จึงต้องเลือกยาที่เป็น rapid onset ไม่ เลือก Clonazepam และ Lorazepam เพราะ Intermediate onset และไม่เลือก Oxazepam และ Temazepam เพราะ slow onset ข้อ 26 เฉลย 3. กระตุ้น GABA receptor ข้อ 27 เฉลย 4. Prazosin จากหนังสือ pharmacotherapy a pathophysiologic approach: chapter 54. Anxiety Disorders II: Posttraumatic Stress Disorder and Obsessive-Compulsive Disorder แนะนำให้ใช้ prazosin ในการรักษาอาการที่หลงเหลือภายหลังการรักษา PTSD อาการนอนหลับยากและฝัน ร้ายโดย Prazosin: เป็น alpha1 receptor antagonist สามารถลดระดับ NE ทำให้นอนหลับได้ดีขึ้น ลดอาการฝันร้าย Lamotrigine: แนะนำให้ใช้ในภาวะ aggressive 197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Risperidone และquetiapine: แนะนำให้ใช้กรณี instrusive thought (หมกมุ่นอยู่กับเรื่องรบกวนจิตใจ), hypervigilance (ระแวดระวังตนเองมากกว่าปกติ) Diazepam: BZPs ไม่แนะนำให้ใช้ในการรักษา PTSD ข้อ 28 เฉลย 1. Diazepam เพราะ ออกฤทธิ์แบบ rapid onset และ long duration 2. Midazolam ออกฤทธิ์แบบ rapid onset และ short duration</t>
        </is>
      </c>
      <c r="C211" s="2" t="n"/>
      <c r="D211" s="2" t="inlineStr">
        <is>
          <t>การปฏิบัติทางเภสัชกรรมชุมชน (Good Pharmacy Practice: GPP)</t>
        </is>
      </c>
      <c r="E211" s="2" t="inlineStr">
        <is>
          <t>บัญชียาหลักแห่งชาติ (National List of Essential Medicines: NLEM)</t>
        </is>
      </c>
      <c r="F211" s="2" t="inlineStr">
        <is>
          <t>เกณฑ์จริยธรรมว่าด้วยการส่งเสริมการขายยาของกระทรวงสาธารณสุข</t>
        </is>
      </c>
      <c r="G211" s="2" t="inlineStr">
        <is>
          <t>พ.ร.บ. ยา พ.ศ. 2510 (การจำหน่ายยาอันตรายและยาควบคุมพิเศษ)</t>
        </is>
      </c>
      <c r="H211" s="2" t="inlineStr">
        <is>
          <t>พ.ร.บ. ยาเสพติดให้โทษ พ.ศ. 2522 (ยาเสพติดให้โทษประเภท 2 และ 3)</t>
        </is>
      </c>
      <c r="I211" s="2" t="n">
        <v>1</v>
      </c>
      <c r="J21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1" s="2" t="n"/>
      <c r="L211" s="2" t="inlineStr">
        <is>
          <t>พ.ร.บ. ยา พ.ศ. 2510</t>
        </is>
      </c>
      <c r="M211" s="2" t="inlineStr">
        <is>
          <t>SAP</t>
        </is>
      </c>
      <c r="N211" s="2" t="inlineStr">
        <is>
          <t>ข้อ 5 (PLE_CC1_Practice_Exam.md)</t>
        </is>
      </c>
      <c r="O211" s="2" t="inlineStr">
        <is>
          <t>Mock</t>
        </is>
      </c>
      <c r="P211" s="2" t="inlineStr">
        <is>
          <t>Mock สภาเภสัชฯ Practice</t>
        </is>
      </c>
    </row>
    <row r="212" ht="13.2" customHeight="1" s="37">
      <c r="A212" s="2" t="n">
        <v>210</v>
      </c>
      <c r="B212" s="2" t="inlineStr">
        <is>
          <t>จากโจทย์บุตรชายของนางสมพรที่มีอาการน้ำมูกไหล จาม และคัดจมูก โดยมีอาการดังกล่าวมา 5 วัน แล้ว ซึ่งเป็นมากกว่า4ครั้ง/สัปดาห์ จึงเป็น Persistent AR และอาการดังกล่าวทำให้นอนไม่หลับ รบกวนการ เรียน จึงมีผลรบกวนคุณภาพชีวิต จัดเป็นระดับ severe ยาที่เหมาะกับผู้ป่วยรายนี้ จึงควรได้ Combination คือ Intranasal corticosteroids(INS) + Oral antihistamine ซึ่งมีประสิทธิภาพเท่ากับ INS เดี่ยว หรือ INS 252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 Intranasal antihistamine ซึ่งจะมีประสิทธิภาพดีกว่า ดังนั้นจากตัวเลือกข้อที่ถูกที่สุด คือ ข. Futicasone propionate spray (INS)และ Loratadine (Oral antihistamine) ยาในข้ออื่นๆ Clemastine เป็น Oral anti-histamine first generation แต่ Amoxicilllin เป็นยาปฏิชีวนะรักษา อาการที่เกี่ยวกับการติดเชื้อแบคทีเรีย แต่ผู้ป่วยในกรณีศึกษาไม่มีอาการติดเชื้อแบคทีเรีย จึงไม่จำเป็นต้องใช้ ข้อ ก. จึงไม่ถูกต้อง Cetirizine เป็น Oral anti-histamine second generation แต่ Theophylline เป็นยาที่ใช้รักษา อาการหืด และโรคถุงลมโป่งพอง จึงไม่เกี่ยวข้องกับผู้ป่วยรายนี้ ดังนั้นข้อ ค. จึงไม่ถูกต้อง Chlorpheniramine เป็น Oral anti-histamine first generation แต่ Salbutamol inhaler เป็น ยาที่ใช้รักษาอาการหลอดลมหดเกร็ง/หดตัวแบบเฉียบพลัน และบรรเทาอาการหืดแบบเฉียบพลันในระดับ รุนแรง จึงไม่เกี่ยวข้องกับผู้ป่วยรายนี้ ดังนั้นข้อ ง. จึงไม่ถูกต้อง Chloramphenicol เป็นยาปฏิชีวนะ รักษาอาการที่เกี่ยวกับการติดเชื้อแบคทีเรีย แต่ผู้ป่วยใน กรณีศึกษาไม่มีอาการติดเชื้อแบคทีเรีย จึงไม่จำเป็นต้องใช้ และ Budesonide spray เป็นยาที่ใช้รักษาโรคหืด และโรคปอดอุดกั้นเรื้อรัง ดังนั้นข้อ จ. จึงไม่ถูกต้อง อ้างอิง http://www.si.mahidol.ac.th/sidoctor/e-pl/admin/article_files/471_1.pdf เอกสารประกอบการเรียน เรื่อง Pharmacotherapy of ear, eye, nose, throat systems โรคจมูกอักเสบจากภูมิแพ้(Allergic Rhinitis) ผศ.นพ.ปารยะ อาศนะเสน สาขาวิชาโรคจมูกและโรคภูมิเพ้ ภาควิชาโสต นาสิก สาริงซ์วิทยา คณะแพทยศาสตร์ศิริราชพยาบาล</t>
        </is>
      </c>
      <c r="C212" s="2" t="n"/>
      <c r="D212" s="2" t="inlineStr">
        <is>
          <t>พ.ร.บ. ยา พ.ศ. 2510 (การจำหน่ายยาอันตรายและยาควบคุมพิเศษ)</t>
        </is>
      </c>
      <c r="E212" s="2" t="inlineStr">
        <is>
          <t>พ.ร.บ. ยาเสพติดให้โทษ พ.ศ. 2522 (ยาเสพติดให้โทษประเภท 2 และ 3)</t>
        </is>
      </c>
      <c r="F212" s="2" t="inlineStr">
        <is>
          <t>พ.ร.บ. วัตถุที่ออกฤทธิ์ต่อจิตและประสาท พ.ศ. 2559 (ประเภท 2 และ 4)</t>
        </is>
      </c>
      <c r="G212" s="2" t="inlineStr">
        <is>
          <t>พ.ร.บ. วิชาชีพเภสัชกรรม พ.ศ. 2537 และข้อบังคับจรรยาบรรณวิชาชีพ</t>
        </is>
      </c>
      <c r="H212" s="2" t="inlineStr">
        <is>
          <t>พ.ร.บ. ผลิตภัณฑ์สมุนไพร พ.ศ. 2562</t>
        </is>
      </c>
      <c r="I212" s="2" t="n">
        <v>2</v>
      </c>
      <c r="J212" s="2" t="inlineStr">
        <is>
          <t>✅ คำตอบที่ถูกต้อง: ข้อ ข.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2" s="2" t="n"/>
      <c r="L212" s="2" t="inlineStr">
        <is>
          <t>พ.ร.บ. ยา พ.ศ. 2510</t>
        </is>
      </c>
      <c r="M212" s="2" t="inlineStr">
        <is>
          <t>SAP</t>
        </is>
      </c>
      <c r="N212" s="2" t="inlineStr">
        <is>
          <t>ข้อ 29 (PLE_CC1_Practice_Exam.md)</t>
        </is>
      </c>
      <c r="O212" s="2" t="inlineStr">
        <is>
          <t>Mock</t>
        </is>
      </c>
      <c r="P212" s="2" t="inlineStr">
        <is>
          <t>Mock สภาเภสัชฯ Practice</t>
        </is>
      </c>
    </row>
    <row r="213" ht="13.2" customHeight="1" s="37">
      <c r="A213" s="2" t="n">
        <v>211</v>
      </c>
      <c r="B213" s="2" t="inlineStr">
        <is>
          <t>การทดสอบประสิทธิภาพสารกันเสียในตำรับยาน้ำแขวนตะกอน ibuprofenในหัวข้อ bacteria ผ่านการทดสอบเชื้อ E. coli แต่ไม่ผ่านการทดสอบเชื้อ P. aeruginosa</t>
        </is>
      </c>
      <c r="C213" s="2" t="n"/>
      <c r="D213" s="2" t="inlineStr">
        <is>
          <t>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t>
        </is>
      </c>
      <c r="E213" s="2" t="inlineStr">
        <is>
          <t>การทดสอบประสิทธิภาพสารกันเสียในตำรับยาน้ำแขวนตะกอน ibuprofenในหัวข้อ Yeast and molds ผ่านการทดสอบ</t>
        </is>
      </c>
      <c r="F213" s="2" t="inlineStr">
        <is>
          <t>การทดสอบประสิทธิภาพสารกันเสียในตำรับยาน้ำแขวนตะกอน ibuprofenในหัวข้อ Yeast and molds ไม่ผ่านการทดสอบ</t>
        </is>
      </c>
      <c r="G213" s="2" t="inlineStr">
        <is>
          <t>ข้อ 1 และ 4 ถูก</t>
        </is>
      </c>
      <c r="H213" s="2" t="inlineStr">
        <is>
          <t>ข้อ 1 และ 5 ถูก</t>
        </is>
      </c>
      <c r="I213" s="2" t="n">
        <v>1</v>
      </c>
      <c r="J213" s="2" t="inlineStr">
        <is>
          <t>✅ คำตอบที่ถูกต้อง: ข้อ 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 คำอธิบายและข้อกำหนดทางกฎหมาย:
💡 คำอธิบายและข้อกำหนดทางกฎหมาย:
การเลือก การทดสอบ efficacy สารกันเสียในตำรับยาน้ำแขวนตะกอน ibuprofen ในหัวข้อ bacteria ผ่านการทดสอบเชื้อ P. aeruginosa แต่ไม่ผ่านการทดสอบเชื้อ E. coli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(การทดสอบประสิทธิภาพสารกันเสียในตำรับยาน้ำแขวนตะกอน ibuprofenในหัวข้อ Yeast and molds 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(การทดสอบประสิทธิภาพสารกันเสียในตำรับยาน้ำแขวนตะกอน ibuprofenในหัวข้อ Yeast and molds ไม่ผ่านการทดสอบ):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(ข้อ 1 และ 4 ถูก): ข้อนี้ไม่ใช่คำตอบที่ถูกต้องสำหรับภาวะ พ.ร.บ. ยา พ.ศ. 2510 เนื่องจากกลไกการออกฤทธิ์, efficacy หรือข้อบ่งใช้ไม่ตรงกับโจทย์ที่กำหนด
• ข้อ จ. (ข้อ 1 และ 5 ถูก):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3" s="2" t="n"/>
      <c r="L213" s="2" t="inlineStr">
        <is>
          <t>พ.ร.บ. ยา พ.ศ. 2510</t>
        </is>
      </c>
      <c r="M213" s="2" t="inlineStr">
        <is>
          <t>SAP</t>
        </is>
      </c>
      <c r="N213" s="2" t="inlineStr">
        <is>
          <t>ข้อ 2 (PLE_CC1_Practice_Exam.md)</t>
        </is>
      </c>
      <c r="O213" s="2" t="inlineStr">
        <is>
          <t>Mock</t>
        </is>
      </c>
      <c r="P213" s="2" t="inlineStr">
        <is>
          <t>Mock สภาเภสัชฯ Practice</t>
        </is>
      </c>
    </row>
    <row r="214" ht="13.2" customHeight="1" s="37">
      <c r="A214" s="2" t="n">
        <v>212</v>
      </c>
      <c r="B214" s="2" t="inlineStr">
        <is>
          <t>ข้อใดคือเลขสัมประสิทธิ์ของ Br- ของสมการรีดอกซ์ต่อไปนี้ เมื่อได้รับการดุลแล้ว MnO4- + Br- _x0000_ Mn2+ + Br2 (ในสารละลายกรด)</t>
        </is>
      </c>
      <c r="C214" s="2" t="n"/>
      <c r="D214" s="2" t="inlineStr">
        <is>
          <t>พ.ร.บ. หลักประกันสุขภาพแห่งชาติ พ.ศ. 2545</t>
        </is>
      </c>
      <c r="E214" s="2" t="inlineStr">
        <is>
          <t>การปฏิบัติทางเภสัชกรรมชุมชน (Good Pharmacy Practice: GPP)</t>
        </is>
      </c>
      <c r="F214" s="2" t="inlineStr">
        <is>
          <t>บัญชียาหลักแห่งชาติ (National List of Essential Medicines: NLEM)</t>
        </is>
      </c>
      <c r="G214" s="2" t="inlineStr">
        <is>
          <t>เกณฑ์จริยธรรมว่าด้วยการส่งเสริมการขายยาของกระทรวงสาธารณสุข</t>
        </is>
      </c>
      <c r="H214" s="2" t="n">
        <v>10</v>
      </c>
      <c r="I214" s="2" t="n">
        <v>1</v>
      </c>
      <c r="J21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(10):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4" s="2" t="n"/>
      <c r="L214" s="2" t="inlineStr">
        <is>
          <t>พ.ร.บ. ยา พ.ศ. 2510</t>
        </is>
      </c>
      <c r="M214" s="2" t="inlineStr">
        <is>
          <t>SAP</t>
        </is>
      </c>
      <c r="N214" s="2" t="inlineStr">
        <is>
          <t>ข้อ 4 (PLE_CC1_Practice_Exam.md)</t>
        </is>
      </c>
      <c r="O214" s="2" t="inlineStr">
        <is>
          <t>Mock</t>
        </is>
      </c>
      <c r="P214" s="2" t="inlineStr">
        <is>
          <t>Mock สภาเภสัชฯ Practice</t>
        </is>
      </c>
    </row>
    <row r="215" ht="13.2" customHeight="1" s="37">
      <c r="A215" s="2" t="n">
        <v>213</v>
      </c>
      <c r="B215" s="2" t="inlineStr">
        <is>
          <t>บรรดาความผิดตามพระราชบัญญัติยา พ.ศ. 2510 ที่มีโทษปรับสถานเดียว กฎหมายกำหนดให้ใครมี อำนาจเปรียบเทียบปรับได้</t>
        </is>
      </c>
      <c r="C215" s="2" t="n"/>
      <c r="D215" s="2" t="inlineStr">
        <is>
          <t>ปลัดกระทรวงสาธารณสุข ข. คณะกรรมการยา</t>
        </is>
      </c>
      <c r="E215" s="2" t="inlineStr">
        <is>
          <t>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F215" s="2" t="inlineStr">
        <is>
          <t>นายกสภาเภสัชกรรม</t>
        </is>
      </c>
      <c r="G215" s="2" t="inlineStr">
        <is>
          <t>พ.ร.บ. วัตถุที่ออกฤทธิ์ต่อจิตและประสาท พ.ศ. 2559 (ประเภท 2 และ 4)</t>
        </is>
      </c>
      <c r="H215" s="2" t="inlineStr">
        <is>
          <t>พ.ร.บ. วิชาชีพเภสัชกรรม พ.ศ. 2537 และข้อบังคับจรรยาบรรณวิชาชีพ</t>
        </is>
      </c>
      <c r="I215" s="2" t="n">
        <v>1</v>
      </c>
      <c r="J215" s="2" t="inlineStr">
        <is>
          <t>✅ คำตอบที่ถูกต้อง: ข้อ ก. ปลัดกระทรวงสาธารณสุข ข. คณะกรรมการยา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ปลัดกระทรวงสาธารณสุข ข. คณะกรรมการยา 💡 คำอธิบายและข้อกำหนดทางกฎหมาย:
💡 คำอธิบายและข้อกำหนดทางกฎหมาย:
การเลือก ปลัดกระทรวงสาธารณสุข ข. คณะกรรมการยา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พ.ร.บ. ยา พ.ศ. 2510 เนื่องจากกลไกการออกฤทธิ์, efficacy หรือข้อบ่งใช้ไม่ตรงกับโจทย์ที่กำหนด
• ข้อ ค. (นายกสภาเภสัชกรรม):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5" s="2" t="n"/>
      <c r="L215" s="2" t="inlineStr">
        <is>
          <t>พ.ร.บ. ยา พ.ศ. 2510</t>
        </is>
      </c>
      <c r="M215" s="2" t="inlineStr">
        <is>
          <t>SAP</t>
        </is>
      </c>
      <c r="N215" s="2" t="inlineStr">
        <is>
          <t>ข้อ 5 (PLE_CC1_Practice_Exam.md)</t>
        </is>
      </c>
      <c r="O215" s="2" t="inlineStr">
        <is>
          <t>Mock</t>
        </is>
      </c>
      <c r="P215" s="2" t="inlineStr">
        <is>
          <t>Mock สภาเภสัชฯ Practice</t>
        </is>
      </c>
    </row>
    <row r="216" ht="13.2" customHeight="1" s="37">
      <c r="A216" s="2" t="n">
        <v>214</v>
      </c>
      <c r="B216" s="2" t="inlineStr">
        <is>
          <t>ข้อใดจัดเป็น “ยาสมุนไพร” ตาม พ.ร.บ. ยา</t>
        </is>
      </c>
      <c r="C216" s="2" t="n"/>
      <c r="D216" s="2" t="inlineStr">
        <is>
          <t>เถาโคคลานหั่นตากแห้งบรรจุถุง ระบุฉลากว่า ยาโคคลาน</t>
        </is>
      </c>
      <c r="E216" s="2" t="inlineStr">
        <is>
          <t>ฟ้าทะลายโจรบดผงใส่แคปซูล ระบุฉลากว่า ยาฟ้าทะลายโจร</t>
        </is>
      </c>
      <c r="F216" s="2" t="inlineStr">
        <is>
          <t>กำลังเจ็ดช้างสารดองเหล้า ระบุชื่อว่า ยาดองเหล้า กำลังเจ็ดช้างสาร</t>
        </is>
      </c>
      <c r="G216" s="2" t="inlineStr">
        <is>
          <t>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216" s="2" t="inlineStr">
        <is>
          <t>ถูกทุกข้อ</t>
        </is>
      </c>
      <c r="I216" s="2" t="n">
        <v>1</v>
      </c>
      <c r="J216" s="2" t="inlineStr">
        <is>
          <t>✅ คำตอบที่ถูกต้อง: ข้อ ก. เถาโคคลานหั่นตากแห้งบรรจุถุง ระบุฉลากว่า ยาโคคลาน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เถาโคคลานหั่นตากแห้งบรรจุถุง ระบุฉลากว่า ยาโคคลาน 💡 คำอธิบายและข้อกำหนดทางกฎหมาย:
💡 คำอธิบายและข้อกำหนดทางกฎหมาย:
การเลือก เถาโคคลานหั่นตากแห้งบรรจุถุง ระบุฉลากว่า ยาโคคลาน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(ฟ้าทะลายโจรบดผงใส่แคปซูล ระบุฉลากว่า ยาฟ้าทะลายโจร):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ค. (กำลังเจ็ดช้างสารดองเหล้า ระบุชื่อว่า ยาดองเหล้า กำลังเจ็ดช้างสาร):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ง. (ยาหอมนวโกศ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พ.ร.บ. ผลิตภัณฑ์สมุนไพร &amp; เครื่องสำอาง เนื่องจากกลไกการออกฤทธิ์, efficacy หรือข้อบ่งใช้ไม่ตรงกับโจทย์ที่กำหนด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6" s="2" t="n"/>
      <c r="L216" s="2" t="inlineStr">
        <is>
          <t>พ.ร.บ. ผลิตภัณฑ์สมุนไพร &amp; เครื่องสำอาง</t>
        </is>
      </c>
      <c r="M216" s="2" t="inlineStr">
        <is>
          <t>SAP</t>
        </is>
      </c>
      <c r="N216" s="2" t="inlineStr">
        <is>
          <t>ข้อ 9 (PLE_CC1_Practice_Exam.md)</t>
        </is>
      </c>
      <c r="O216" s="2" t="inlineStr">
        <is>
          <t>Mock</t>
        </is>
      </c>
      <c r="P216" s="2" t="inlineStr">
        <is>
          <t>Mock สภาเภสัชฯ Practice</t>
        </is>
      </c>
    </row>
    <row r="217" ht="13.2" customHeight="1" s="37">
      <c r="A217" s="2" t="n">
        <v>215</v>
      </c>
      <c r="B217" s="2" t="inlineStr">
        <is>
          <t>ข้อใดเป็นอำนาจ และหน้าที่ที่ถูกต้องของพนักงานเจ้าหน้าที่ ตาม พ.ร.บ. ยา พ.ศ. 2510</t>
        </is>
      </c>
      <c r="C217" s="2" t="n"/>
      <c r="D217" s="2" t="inlineStr">
        <is>
          <t>เข้าไปในสถานที่ผลิตยาในระหว่างเวลาทำการ</t>
        </is>
      </c>
      <c r="E217" s="2" t="inlineStr">
        <is>
          <t>นำยาในปริมาณเท่าไรก็ได้ตามความต้องการ เพื่อตรวจสอบวิเคราะห์</t>
        </is>
      </c>
      <c r="F217" s="2" t="inlineStr">
        <is>
          <t>ไม่จำเป็นต้องประกาศผลวิเคราะห์ยาให้ประชาชนทราบ ในกรณีที่พบว่าเป็นยาไม่ปลอดภัย</t>
        </is>
      </c>
      <c r="G217" s="2" t="inlineStr">
        <is>
          <t>ข้อ ก และ ค ถูก</t>
        </is>
      </c>
      <c r="H217" s="2" t="inlineStr">
        <is>
          <t>ไม่มีข้อใดถูก</t>
        </is>
      </c>
      <c r="I217" s="2" t="n">
        <v>1</v>
      </c>
      <c r="J217" s="2" t="inlineStr">
        <is>
          <t>✅ คำตอบที่ถูกต้อง: ข้อ ก. เข้าไปในสถานที่ผลิตยาในระหว่างเวลาทำการ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เข้าไปในสถานที่ผลิตยาในระหว่างเวลาทำการ 💡 คำอธิบายและข้อกำหนดทางกฎหมาย:
💡 คำอธิบายและข้อกำหนดทางกฎหมาย:
การเลือก เข้าไปในสถานที่ผลิตยาในระหว่างเวลาทำการ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(นำยาในปริมาณเท่าไรก็ได้ตามความต้องการ เพื่อตรวจสอบวิเคราะห์):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(ไม่จำเป็นต้องประกาศผลวิเคราะห์ยาให้ประชาชนทราบ ในกรณีที่พบว่าเป็นยาไม่ปลอดภัย): ข้อนี้ไม่ใช่คำตอบที่ถูกต้องสำหรับภาวะ พ.ร.บ. ยา พ.ศ. 2510 เนื่องจากกลไกการออกฤทธิ์, efficacy หรือข้อบ่งใช้ไม่ตรงกับโจทย์ที่กำหนด
• ข้อ ง. (ข้อ ก และ ค ถูก):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 s="2" t="n"/>
      <c r="L217" s="2" t="inlineStr">
        <is>
          <t>พ.ร.บ. ยา พ.ศ. 2510</t>
        </is>
      </c>
      <c r="M217" s="2" t="inlineStr">
        <is>
          <t>SAP</t>
        </is>
      </c>
      <c r="N217" s="2" t="inlineStr">
        <is>
          <t>ข้อ 12 (PLE_CC1_Practice_Exam.md)</t>
        </is>
      </c>
      <c r="O217" s="2" t="inlineStr">
        <is>
          <t>Mock</t>
        </is>
      </c>
      <c r="P217" s="2" t="inlineStr">
        <is>
          <t>Mock สภาเภสัชฯ Practice</t>
        </is>
      </c>
    </row>
    <row r="218" ht="13.2" customHeight="1" s="37">
      <c r="A218" s="2" t="n">
        <v>216</v>
      </c>
      <c r="B218" s="2" t="inlineStr">
        <is>
          <t>จากข้อมูลที่ได้ น.ส. A มีความผิดตามพรบ.วิชาชีพเภสัชกรรม พ.ศ. 2537 และต้องถูกพิจารณาคดี จรรยาบรรณวิชาชีพ หรือไม่ เพราะเหตุใด</t>
        </is>
      </c>
      <c r="C218" s="2" t="n"/>
      <c r="D218" s="2" t="inlineStr">
        <is>
          <t>น.ส. A เป็นเภสัชศาสตร์บัณฑิตจึงมีความผิดตาม พรบ.วิชาชีพเภสัชกรรม พ.ศ. 2537 และต้องถูก พิจารณาคดีจรรยาบรรณวิชาชีพเภสัชกรรม</t>
        </is>
      </c>
      <c r="E218" s="2" t="inlineStr">
        <is>
          <t>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t>
        </is>
      </c>
      <c r="F218" s="2" t="inlineStr">
        <is>
          <t>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t>
        </is>
      </c>
      <c r="G218" s="2" t="inlineStr">
        <is>
          <t>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218" s="2" t="inlineStr">
        <is>
          <t>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t>
        </is>
      </c>
      <c r="I218" s="2" t="n">
        <v>1</v>
      </c>
      <c r="J218" s="2" t="inlineStr">
        <is>
          <t>✅ คำตอบที่ถูกต้อง: ข้อ ก. น.ส. A เป็นเภสัชศาสตร์บัณฑิตจึงมีความผิดตาม พรบ.วิชาชีพเภสัชกรรม พ.ศ. 2537 และต้องถูก พิจารณาคดีจรรยาบรรณวิชาชีพเภสัชกรรม
💡 Background:
กฎหมายยาและจรรยาบรรณวิชาชีพมีขึ้นเพื่อคุ้มครองความปลอดภัยของผู้บริโภคตามมาตรฐาน Good Pharmacy Practice (GPP)
🎯 ทำไมข้อนี้ถึงถูก:
น.ส. A เป็นเภสัชศาสตร์บัณฑิตจึงมีความผิดตาม พรบ.วิชาชีพเภสัชกรรม พ.ศ. 2537 และต้องถูก พิจารณาคดีจรรยาบรรณวิชาชีพเภสัชกรรม 💡 คำอธิบายและข้อกำหนดทางกฎหมาย:
💡 คำอธิบายและข้อกำหนดทางกฎหมาย:
การเลือก น.ส. A เป็นเภสัชศาสตร์บัณฑิตจึงมีความผิดตาม พรบ.วิชาชีพเภสัชกรรม พ.ศ. 2537 และต้องถูก พิจารณาคดีจรรยาบรรณวิชาชีพเภสัชกรรม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8" s="2" t="n"/>
      <c r="L218" s="2" t="inlineStr">
        <is>
          <t>พ.ร.บ. วิชาชีพเภสัชกรรม 2537</t>
        </is>
      </c>
      <c r="M218" s="2" t="inlineStr">
        <is>
          <t>SAP</t>
        </is>
      </c>
      <c r="N218" s="2" t="inlineStr">
        <is>
          <t>ข้อ 17 (PLE_CC1_Practice_Exam.md)</t>
        </is>
      </c>
      <c r="O218" s="2" t="inlineStr">
        <is>
          <t>Mock</t>
        </is>
      </c>
      <c r="P218" s="2" t="inlineStr">
        <is>
          <t>Mock สภาเภสัชฯ Practice</t>
        </is>
      </c>
    </row>
    <row r="219" ht="13.2" customHeight="1" s="37">
      <c r="A219" s="2" t="n">
        <v>217</v>
      </c>
      <c r="B219" s="2" t="inlineStr">
        <is>
          <t>ข้อใดไม่อยู่ในคำประกาศสิทธิของผู้ป่วย 10 ข้อ</t>
        </is>
      </c>
      <c r="C219" s="2" t="n"/>
      <c r="D219" s="2" t="inlineStr">
        <is>
          <t>ผู้ป่วยสิทธิที่จะได้รับการปกปิดข้อมูลเกี่ยวกับตนเองจากผู้ประกอบวิชาชีพโดยเคร่งครัด</t>
        </is>
      </c>
      <c r="E219" s="2" t="inlineStr">
        <is>
          <t>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t>
        </is>
      </c>
      <c r="F219" s="2" t="inlineStr">
        <is>
          <t>ผู้ป่วยมีสิทธิที่จะได้รับทราบชื่อ สกุล และประเภทของผู้ประกอบวิชาชีพที่เป็นผู้ให้บริการแก่ตน</t>
        </is>
      </c>
      <c r="G219" s="2" t="inlineStr">
        <is>
          <t>ผู้ป่วยมีสิทธิที่จะได้รับยารักษาโรคที่มีประสิทธิภาพดีที่สุด ที่ผู้ให้บริการสามารถจัดหาได้ในปัจจุบัน</t>
        </is>
      </c>
      <c r="H219" s="2" t="inlineStr">
        <is>
          <t>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219" s="2" t="n">
        <v>1</v>
      </c>
      <c r="J219" s="2" t="inlineStr">
        <is>
          <t>✅ คำตอบที่ถูกต้อง: ข้อ ก. ผู้ป่วยสิทธิที่จะได้รับการปกปิดข้อมูลเกี่ยวกับตนเองจากผู้ประกอบวิชาชีพโดยเคร่งครัด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ผู้ป่วยสิทธิที่จะได้รับการปกปิดข้อมูลเกี่ยวกับตนเองจากผู้ประกอบวิชาชีพโดยเคร่งครัด 💡 คำอธิบายและข้อกำหนดทางกฎหมาย:
💡 คำอธิบายและข้อกำหนดทางกฎหมาย:
การเลือก ผู้ป่วยสิทธิที่จะได้รับการปกปิดข้อมูลเกี่ยวกับตนเองจากผู้ประกอบวิชาชีพโดยเคร่งครัด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ข้อนี้ไม่ใช่คำตอบที่ถูกต้องสำหรับภาวะ พ.ร.บ. ยา พ.ศ. 2510 เนื่องจากกลไกการออกฤทธิ์, efficacy หรือข้อบ่งใช้ไม่ตรงกับโจทย์ที่กำหนด
• ข้อ ค. (ผู้ป่วยมีสิทธิที่จะได้รับทราบชื่อ สกุล และประเภทของผู้ประกอบวิชาชีพที่เป็นผู้ให้บริการแก่ตน): ข้อนี้ไม่ใช่คำตอบที่ถูกต้องสำหรับภาวะ พ.ร.บ. ยา พ.ศ. 2510 เนื่องจากกลไกการออกฤทธิ์, efficacy หรือข้อบ่งใช้ไม่ตรงกับโจทย์ที่กำหนด
• ข้อ ง. (ผู้ป่วยมีสิทธิที่จะได้รับยารักษาโรคที่มีประสิทธิภาพดีที่สุด ที่ผู้ให้บริการสามารถจัดหาได้ในปัจจุบัน): ข้อนี้ไม่ใช่คำตอบที่ถูกต้องสำหรับภาวะ พ.ร.บ. ยา พ.ศ. 2510 เนื่องจากกลไกการออกฤทธิ์, efficacy หรือข้อบ่งใช้ไม่ตรงกับโจทย์ที่กำหนด
• ข้อ จ.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9" s="2" t="n"/>
      <c r="L219" s="2" t="inlineStr">
        <is>
          <t>พ.ร.บ. ยา พ.ศ. 2510</t>
        </is>
      </c>
      <c r="M219" s="2" t="inlineStr">
        <is>
          <t>SAP</t>
        </is>
      </c>
      <c r="N219" s="2" t="inlineStr">
        <is>
          <t>ข้อ 24 (PLE_CC1_Practice_Exam.md)</t>
        </is>
      </c>
      <c r="O219" s="2" t="inlineStr">
        <is>
          <t>Mock</t>
        </is>
      </c>
      <c r="P219" s="2" t="inlineStr">
        <is>
          <t>Mock สภาเภสัชฯ Practice</t>
        </is>
      </c>
    </row>
    <row r="220" ht="13.2" customHeight="1" s="37">
      <c r="A220" s="2" t="n">
        <v>218</v>
      </c>
      <c r="B220" s="2" t="inlineStr">
        <is>
          <t>ผู้วิจัยต้องการเปรียบเทียบประสิทธิผลของการรักษาด้วยยาต้านไวรัสสูตรใหม่ว่าไม่ด้อยกว่าแบบ ดั้งเดิม โดยทำการสุ่มกลุ่มตัวอย่างแบ่งเป็น 2 กลุ่มผู้ทำการวิจัยควรเลือกรูปแบบการศึกษาแบบใดจึง จะเหมาะสม</t>
        </is>
      </c>
      <c r="C220" s="2" t="n"/>
      <c r="D220" s="2" t="inlineStr">
        <is>
          <t>Cohort study</t>
        </is>
      </c>
      <c r="E220" s="2" t="inlineStr">
        <is>
          <t>Case control</t>
        </is>
      </c>
      <c r="F220" s="2" t="inlineStr">
        <is>
          <t>Non-inferiority trial</t>
        </is>
      </c>
      <c r="G220" s="2" t="inlineStr">
        <is>
          <t>Superiority trial</t>
        </is>
      </c>
      <c r="H220" s="2" t="inlineStr">
        <is>
          <t>ไม่มีข้อถูก</t>
        </is>
      </c>
      <c r="I220" s="2" t="n">
        <v>1</v>
      </c>
      <c r="J220" s="2" t="inlineStr">
        <is>
          <t>✅ คำตอบที่ถูกต้อง: ข้อ ก. Cohort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Cohort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(Case control): ข้อนี้ไม่ใช่คำตอบที่ถูกต้องสำหรับภาวะ พ.ร.บ. ยา พ.ศ. 2510 เนื่องจากกลไกการออกฤทธิ์, efficacy หรือข้อบ่งใช้ไม่ตรงกับโจทย์ที่กำหนด
• ข้อ ค. (Non-inferiority trial): ข้อนี้ไม่ใช่คำตอบที่ถูกต้องสำหรับภาวะ พ.ร.บ. ยา พ.ศ. 2510 เนื่องจากกลไกการออกฤทธิ์, efficacy หรือข้อบ่งใช้ไม่ตรงกับโจทย์ที่กำหนด
• ข้อ ง. (Superiority trial):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(ไม่มีข้อถูก):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 s="2" t="n"/>
      <c r="L220" s="2" t="inlineStr">
        <is>
          <t>พ.ร.บ. ยา พ.ศ. 2510</t>
        </is>
      </c>
      <c r="M220" s="2" t="inlineStr">
        <is>
          <t>SAP</t>
        </is>
      </c>
      <c r="N220" s="2" t="inlineStr">
        <is>
          <t>ข้อ 4 (PLE_CC1_Practice_Exam.md)</t>
        </is>
      </c>
      <c r="O220" s="2" t="inlineStr">
        <is>
          <t>Mock</t>
        </is>
      </c>
      <c r="P220" s="2" t="inlineStr">
        <is>
          <t>Mock สภาเภสัชฯ Practice</t>
        </is>
      </c>
    </row>
    <row r="221" ht="13.2" customHeight="1" s="37">
      <c r="A221" s="2" t="n">
        <v>219</v>
      </c>
      <c r="B221" s="2" t="inlineStr">
        <is>
          <t>ในการศึกษาเปรียบเทียบประสิทธิภาพของการรักษาโรคหัวใจล้มเหลวด้วย new treatment กับ standard treatment ผู้ทำการวิจัยต้องการสุ่มให้กลุ่มตัวอย่างได้รับการรักษาทั้ง 2 รูปแบบโดยเป็น การศึกษาในผู้ป่วยที่ยังไม่เคยได้รับยามาก่อน ผู้ทำการวิจัยควรเลือกรูปแบบการศึกษาแบบใดจึงจะ เหมาะสม</t>
        </is>
      </c>
      <c r="C221" s="2" t="n"/>
      <c r="D221" s="2" t="inlineStr">
        <is>
          <t>Cross-sectional descriptive study</t>
        </is>
      </c>
      <c r="E221" s="2" t="inlineStr">
        <is>
          <t>Cross-sectional analytical study</t>
        </is>
      </c>
      <c r="F221" s="2" t="inlineStr">
        <is>
          <t>Prospective cohort study</t>
        </is>
      </c>
      <c r="G221" s="2" t="inlineStr">
        <is>
          <t>RCT (Crossover trial)</t>
        </is>
      </c>
      <c r="H221" s="2" t="inlineStr">
        <is>
          <t>RCT (Factorial design)</t>
        </is>
      </c>
      <c r="I221" s="2" t="n">
        <v>1</v>
      </c>
      <c r="J221"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(Cross-sectional analytical study): ข้อนี้ไม่ใช่คำตอบที่ถูกต้องสำหรับภาวะ พ.ร.บ. ยา พ.ศ. 2510 เนื่องจากกลไกการออกฤทธิ์, efficacy หรือข้อบ่งใช้ไม่ตรงกับโจทย์ที่กำหนด
• ข้อ ค. (Prospective cohort study): ข้อนี้ไม่ใช่คำตอบที่ถูกต้องสำหรับภาวะ พ.ร.บ. ยา พ.ศ. 2510 เนื่องจากกลไกการออกฤทธิ์, efficacy หรือข้อบ่งใช้ไม่ตรงกับโจทย์ที่กำหนด
• ข้อ ง. (RCT (Crossover trial)): ข้อนี้ไม่ใช่คำตอบที่ถูกต้องสำหรับภาวะ พ.ร.บ. ยา พ.ศ. 2510 เนื่องจากกลไกการออกฤทธิ์, efficacy หรือข้อบ่งใช้ไม่ตรงกับโจทย์ที่กำหนด
• ข้อ จ. (RCT (Factorial design)):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1" s="2" t="n"/>
      <c r="L221" s="2" t="inlineStr">
        <is>
          <t>พ.ร.บ. ยา พ.ศ. 2510</t>
        </is>
      </c>
      <c r="M221" s="2" t="inlineStr">
        <is>
          <t>SAP</t>
        </is>
      </c>
      <c r="N221" s="2" t="inlineStr">
        <is>
          <t>ข้อ 5 (PLE_CC1_Practice_Exam.md)</t>
        </is>
      </c>
      <c r="O221" s="2" t="inlineStr">
        <is>
          <t>Mock</t>
        </is>
      </c>
      <c r="P221" s="2" t="inlineStr">
        <is>
          <t>Mock สภาเภสัชฯ Practice</t>
        </is>
      </c>
    </row>
    <row r="222" ht="13.2" customHeight="1" s="37">
      <c r="A222" s="2" t="n">
        <v>220</v>
      </c>
      <c r="B222" s="2" t="inlineStr">
        <is>
          <t>มียารักษาวัณโรคอยู่ 2 สูตร คือ สูตร A และ B จะสามารถทดสอบสัดส่วนประสิทธิภาพของสูตรยา โดยใช้สถิติใด</t>
        </is>
      </c>
      <c r="C222" s="2" t="n"/>
      <c r="D222" s="2" t="inlineStr">
        <is>
          <t>Correlation</t>
        </is>
      </c>
      <c r="E222" s="2" t="inlineStr">
        <is>
          <t>Chi-square test</t>
        </is>
      </c>
      <c r="F222" s="2" t="inlineStr">
        <is>
          <t>ANOVA</t>
        </is>
      </c>
      <c r="G222" s="2" t="inlineStr">
        <is>
          <t>Unpaired t-test</t>
        </is>
      </c>
      <c r="H222" s="2" t="inlineStr">
        <is>
          <t>Paired t-test</t>
        </is>
      </c>
      <c r="I222" s="2" t="n">
        <v>1</v>
      </c>
      <c r="J222" s="2" t="inlineStr">
        <is>
          <t>✅ คำตอบที่ถูกต้อง: ข้อ ก. Correlation
💡 Background:
การประเมินหลักฐานเชิงประจักษ์ (Evidence-Based Practice) อาศัย study design, statistical parameters (p-value, 95% CI, RR/OR) เพื่อการตัดสินใจอย่างแม่นยำ
🎯 ทำไมข้อนี้ถึงถูก:
Correlation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Correlation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(Chi-square test): ข้อนี้ไม่ใช่คำตอบที่ถูกต้องสำหรับภาวะ พ.ร.บ. ยา พ.ศ. 2510 เนื่องจากกลไกการออกฤทธิ์, efficacy หรือข้อบ่งใช้ไม่ตรงกับโจทย์ที่กำหนด
• ข้อ ค. (ANOVA): ข้อนี้ไม่ใช่คำตอบที่ถูกต้องสำหรับภาวะ พ.ร.บ. ยา พ.ศ. 2510 เนื่องจากกลไกการออกฤทธิ์, efficacy หรือข้อบ่งใช้ไม่ตรงกับโจทย์ที่กำหนด
• ข้อ ง. (Unpaired t-test): ข้อนี้ไม่ใช่คำตอบที่ถูกต้องสำหรับภาวะ พ.ร.บ. ยา พ.ศ. 2510 เนื่องจากกลไกการออกฤทธิ์, efficacy หรือข้อบ่งใช้ไม่ตรงกับโจทย์ที่กำหนด
• ข้อ จ. (Paired t-test):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 s="2" t="n"/>
      <c r="L222" s="2" t="inlineStr">
        <is>
          <t>พ.ร.บ. ยา พ.ศ. 2510</t>
        </is>
      </c>
      <c r="M222" s="2" t="inlineStr">
        <is>
          <t>SAP</t>
        </is>
      </c>
      <c r="N222" s="2" t="inlineStr">
        <is>
          <t>ข้อ 19 (PLE_CC1_Practice_Exam.md)</t>
        </is>
      </c>
      <c r="O222" s="2" t="inlineStr">
        <is>
          <t>Mock</t>
        </is>
      </c>
      <c r="P222" s="2" t="inlineStr">
        <is>
          <t>Mock สภาเภสัชฯ Practice</t>
        </is>
      </c>
    </row>
    <row r="223" ht="13.2" customHeight="1" s="37">
      <c r="A223" s="2" t="n">
        <v>221</v>
      </c>
      <c r="B223" s="2" t="inlineStr">
        <is>
          <t>Enterohepatic circulation มีการดูดซึมยากลับมาที่ลำไส้ ทำให้ความสัมพันธ์ระหว่างระดับยากับ dose ไม่เป็นเส้นตรง ข้อ 18 เฉลย จ. AUC เนื่องจากไม่ใช่ primary pharmacokinetic parameter ซึ่งตัวแปรทางเภสัชจลนศาสตร์ที่สำคัญใน การใช้ทำนายระดับยาในร่างกายได้แก่ F คือ bioavailability, Ka คือ ค่าคงที่ในการกำจัดยา, Vd คือ ปริมาตร การกระจายของยา, CL คือ ประสิทธิภาพการกำจัดยาของร่างกาย ข้อ 19 เฉลย ข. Vd เนื่องจากปริมาตรการกระจายของยาจะไม่เปลี่ยนแปลง หากมี Blood flow rate ที่เปลี่ยนแปลงไป แต่จะส่งผลต่อ hepatic CL และ renal CL ทำให้อาจมีการกำจัดยามากขึ้นหรือน้อยลงตามปริมาณเลือดที่เข้า สู่ตับและไต ซึ่งส่งผลให้ค่า Ka และ Bioavailability(F) เปลี่ยนแปลงตามไปด้วย ข้อ 20 เฉลย ง. ตัวอย่างของยานี้ คือ carbamazepine เนื่องจาก กราฟดังรูปข้างต้น เป็นกราฟที่แสดงการสลายตัวแบบจลนศาสตร์อันดับศูนย์ (zero-order) ซึ่งอัตราเร็วในการเกิดปฏิกิริยาไม่ขึ้นกับความเข้มข้นของยา และสามารถคำนวณ half-life ได้จากสูตรดังกล่าว แต่ยา Carbamazepine ไม่ได้มีการสลายตัวแบบจลนศาสตร์อันดับศูนย์ (zero-order) เนื่องจากมี autoinductio 403 Phamacokinetics</t>
        </is>
      </c>
      <c r="C223" s="2" t="n"/>
      <c r="D223" s="2" t="inlineStr">
        <is>
          <t>พ.ร.บ. วิชาชีพเภสัชกรรม พ.ศ. 2537 และข้อบังคับจรรยาบรรณวิชาชีพ</t>
        </is>
      </c>
      <c r="E223" s="2" t="inlineStr">
        <is>
          <t>พ.ร.บ. ผลิตภัณฑ์สมุนไพร พ.ศ. 2562</t>
        </is>
      </c>
      <c r="F223" s="2" t="inlineStr">
        <is>
          <t>พ.ร.บ. เครื่องสำอาง พ.ศ. 2558</t>
        </is>
      </c>
      <c r="G223" s="2" t="inlineStr">
        <is>
          <t>พ.ร.บ. หลักประกันสุขภาพแห่งชาติ พ.ศ. 2545</t>
        </is>
      </c>
      <c r="H223" s="2" t="inlineStr">
        <is>
          <t>การปฏิบัติทางเภสัชกรรมชุมชน (Good Pharmacy Practice: GPP)</t>
        </is>
      </c>
      <c r="I223" s="2" t="n">
        <v>1</v>
      </c>
      <c r="J22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3" s="2" t="n"/>
      <c r="L223" s="2" t="inlineStr">
        <is>
          <t>พ.ร.บ. ยา พ.ศ. 2510</t>
        </is>
      </c>
      <c r="M223" s="2" t="inlineStr">
        <is>
          <t>SAP</t>
        </is>
      </c>
      <c r="N223" s="2" t="inlineStr">
        <is>
          <t>ข้อ 5 (PLE_CC1_Practice_Exam.md)</t>
        </is>
      </c>
      <c r="O223" s="2" t="inlineStr">
        <is>
          <t>Mock</t>
        </is>
      </c>
      <c r="P223" s="2" t="inlineStr">
        <is>
          <t>Mock สภาเภสัชฯ Practice</t>
        </is>
      </c>
    </row>
    <row r="224" ht="13.2" customHeight="1" s="37">
      <c r="A224" s="2" t="n">
        <v>222</v>
      </c>
      <c r="B224" s="2" t="inlineStr">
        <is>
          <t>Allopurinol แบบแผง 10 เม็ด จัดเป็นยาประเภทใดตามกฎหมาย</t>
        </is>
      </c>
      <c r="C224" s="2" t="n"/>
      <c r="D224" s="2" t="inlineStr">
        <is>
          <t>พ.ร.บ. หลักประกันสุขภาพแห่งชาติ พ.ศ. 2545</t>
        </is>
      </c>
      <c r="E224" s="2" t="inlineStr">
        <is>
          <t>การปฏิบัติทางเภสัชกรรมชุมชน (Good Pharmacy Practice: GPP)</t>
        </is>
      </c>
      <c r="F224" s="2" t="inlineStr">
        <is>
          <t>บัญชียาหลักแห่งชาติ (National List of Essential Medicines: NLEM)</t>
        </is>
      </c>
      <c r="G224" s="2" t="inlineStr">
        <is>
          <t>เกณฑ์จริยธรรมว่าด้วยการส่งเสริมการขายยาของกระทรวงสาธารณสุข</t>
        </is>
      </c>
      <c r="H224" s="2" t="inlineStr">
        <is>
          <t>พ.ร.บ. ยา พ.ศ. 2510 (การจำหน่ายยาอันตรายและยาควบคุมพิเศษ)</t>
        </is>
      </c>
      <c r="I224" s="2" t="n">
        <v>1</v>
      </c>
      <c r="J22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 s="2" t="n"/>
      <c r="L224" s="2" t="inlineStr">
        <is>
          <t>พ.ร.บ. ยา พ.ศ. 2510</t>
        </is>
      </c>
      <c r="M224" s="2" t="inlineStr">
        <is>
          <t>SAP</t>
        </is>
      </c>
      <c r="N224" s="2" t="inlineStr">
        <is>
          <t>ข้อ 8 (PLE_CC1_Key_Rx20_UBU.md)</t>
        </is>
      </c>
      <c r="O224" s="2" t="inlineStr">
        <is>
          <t>Mock</t>
        </is>
      </c>
      <c r="P224" s="2" t="inlineStr">
        <is>
          <t>Mock Rx20 UBU</t>
        </is>
      </c>
    </row>
    <row r="225" ht="13.2" customHeight="1" s="37">
      <c r="A225" s="2" t="n">
        <v>223</v>
      </c>
      <c r="B225" s="2" t="inlineStr">
        <is>
          <t>ยา Budesonide เป็นยาในข้อใดตามกฎหมาย</t>
        </is>
      </c>
      <c r="C225" s="2" t="n"/>
      <c r="D225" s="2" t="inlineStr">
        <is>
          <t>เกณฑ์จริยธรรมว่าด้วยการส่งเสริมการขายยาของกระทรวงสาธารณสุข</t>
        </is>
      </c>
      <c r="E225" s="2" t="inlineStr">
        <is>
          <t>พ.ร.บ. ยา พ.ศ. 2510 (การจำหน่ายยาอันตรายและยาควบคุมพิเศษ)</t>
        </is>
      </c>
      <c r="F225" s="2" t="inlineStr">
        <is>
          <t>พ.ร.บ. ยาเสพติดให้โทษ พ.ศ. 2522 (ยาเสพติดให้โทษประเภท 2 และ 3)</t>
        </is>
      </c>
      <c r="G225" s="2" t="inlineStr">
        <is>
          <t>พ.ร.บ. วัตถุที่ออกฤทธิ์ต่อจิตและประสาท พ.ศ. 2559 (ประเภท 2 และ 4)</t>
        </is>
      </c>
      <c r="H225" s="2" t="inlineStr">
        <is>
          <t>พ.ร.บ. วิชาชีพเภสัชกรรม พ.ศ. 2537 และข้อบังคับจรรยาบรรณวิชาชีพ</t>
        </is>
      </c>
      <c r="I225" s="2" t="n">
        <v>1</v>
      </c>
      <c r="J22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5" s="2" t="n"/>
      <c r="L225" s="2" t="inlineStr">
        <is>
          <t>พ.ร.บ. ยา พ.ศ. 2510</t>
        </is>
      </c>
      <c r="M225" s="2" t="inlineStr">
        <is>
          <t>SAP</t>
        </is>
      </c>
      <c r="N225" s="2" t="inlineStr">
        <is>
          <t>ข้อ 13 (PLE_CC1_Key_Rx20_UBU.md)</t>
        </is>
      </c>
      <c r="O225" s="2" t="inlineStr">
        <is>
          <t>Mock</t>
        </is>
      </c>
      <c r="P225" s="2" t="inlineStr">
        <is>
          <t>Mock Rx20 UBU</t>
        </is>
      </c>
    </row>
    <row r="226" ht="13.2" customHeight="1" s="37">
      <c r="A226" s="2" t="n">
        <v>224</v>
      </c>
      <c r="B226" s="2" t="inlineStr">
        <is>
          <t>ยาสามัญประจำบ้าน Budesonide Steriod เดี่ยว ตามกฎหมายเป็นยาอันตราย สามารถขายได้ในร้านยา</t>
        </is>
      </c>
      <c r="C226" s="2" t="n"/>
      <c r="D226" s="2" t="inlineStr">
        <is>
          <t>พ.ร.บ. วัตถุที่ออกฤทธิ์ต่อจิตและประสาท พ.ศ. 2559 (ประเภท 2 และ 4)</t>
        </is>
      </c>
      <c r="E226" s="2" t="inlineStr">
        <is>
          <t>พ.ร.บ. วิชาชีพเภสัชกรรม พ.ศ. 2537 และข้อบังคับจรรยาบรรณวิชาชีพ</t>
        </is>
      </c>
      <c r="F226" s="2" t="inlineStr">
        <is>
          <t>พ.ร.บ. ผลิตภัณฑ์สมุนไพร พ.ศ. 2562</t>
        </is>
      </c>
      <c r="G226" s="2" t="inlineStr">
        <is>
          <t>พ.ร.บ. เครื่องสำอาง พ.ศ. 2558</t>
        </is>
      </c>
      <c r="H226" s="2" t="inlineStr">
        <is>
          <t>พ.ร.บ. หลักประกันสุขภาพแห่งชาติ พ.ศ. 2545</t>
        </is>
      </c>
      <c r="I226" s="2" t="n">
        <v>1</v>
      </c>
      <c r="J22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6" s="2" t="n"/>
      <c r="L226" s="2" t="inlineStr">
        <is>
          <t>พ.ร.บ. ยา พ.ศ. 2510</t>
        </is>
      </c>
      <c r="M226" s="2" t="inlineStr">
        <is>
          <t>SAP</t>
        </is>
      </c>
      <c r="N226" s="2" t="inlineStr">
        <is>
          <t>ข้อ 5 (PLE_CC1_Key_Rx20_UBU.md)</t>
        </is>
      </c>
      <c r="O226" s="2" t="inlineStr">
        <is>
          <t>Mock</t>
        </is>
      </c>
      <c r="P226" s="2" t="inlineStr">
        <is>
          <t>Mock Rx20 UBU</t>
        </is>
      </c>
    </row>
    <row r="227" ht="13.2" customHeight="1" s="37">
      <c r="A227" s="2" t="n">
        <v>225</v>
      </c>
      <c r="B227" s="2" t="inlineStr">
        <is>
          <t>โฆษณาขายยานี้อินเตอร์เน็ตไม่ได้เพราะถือเป็นการกระทำที่ผิดกฎหมาย</t>
        </is>
      </c>
      <c r="C227" s="2" t="n"/>
      <c r="D227" s="2" t="inlineStr">
        <is>
          <t>พ.ร.บ. เครื่องสำอาง พ.ศ. 2558</t>
        </is>
      </c>
      <c r="E227" s="2" t="inlineStr">
        <is>
          <t>พ.ร.บ. หลักประกันสุขภาพแห่งชาติ พ.ศ. 2545</t>
        </is>
      </c>
      <c r="F227" s="2" t="inlineStr">
        <is>
          <t>การปฏิบัติทางเภสัชกรรมชุมชน (Good Pharmacy Practice: GPP)</t>
        </is>
      </c>
      <c r="G227" s="2" t="inlineStr">
        <is>
          <t>บัญชียาหลักแห่งชาติ (National List of Essential Medicines: NLEM)</t>
        </is>
      </c>
      <c r="H227" s="2" t="inlineStr">
        <is>
          <t>เกณฑ์จริยธรรมว่าด้วยการส่งเสริมการขายยาของกระทรวงสาธารณสุข</t>
        </is>
      </c>
      <c r="I227" s="2" t="n">
        <v>1</v>
      </c>
      <c r="J22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7" s="2" t="n"/>
      <c r="L227" s="2" t="inlineStr">
        <is>
          <t>พ.ร.บ. ยา พ.ศ. 2510</t>
        </is>
      </c>
      <c r="M227" s="2" t="inlineStr">
        <is>
          <t>SAP</t>
        </is>
      </c>
      <c r="N227" s="2" t="inlineStr">
        <is>
          <t>ข้อ 4 (PLE_CC1_Key_Rx20_UBU.md)</t>
        </is>
      </c>
      <c r="O227" s="2" t="inlineStr">
        <is>
          <t>Mock</t>
        </is>
      </c>
      <c r="P227" s="2" t="inlineStr">
        <is>
          <t>Mock Rx20 UBU</t>
        </is>
      </c>
    </row>
    <row r="228" ht="13.2" customHeight="1" s="37">
      <c r="A228" s="2" t="n">
        <v>226</v>
      </c>
      <c r="B228" s="2" t="inlineStr">
        <is>
          <t>Glucosamine capsule 250 mg จัดเป็นยาประเภทใดตามกฎหมาย</t>
        </is>
      </c>
      <c r="C228" s="2" t="n"/>
      <c r="D228" s="2" t="inlineStr">
        <is>
          <t>บัญชียาหลักแห่งชาติ (National List of Essential Medicines: NLEM)</t>
        </is>
      </c>
      <c r="E228" s="2" t="inlineStr">
        <is>
          <t>เกณฑ์จริยธรรมว่าด้วยการส่งเสริมการขายยาของกระทรวงสาธารณสุข</t>
        </is>
      </c>
      <c r="F228" s="2" t="inlineStr">
        <is>
          <t>พ.ร.บ. ยา พ.ศ. 2510 (การจำหน่ายยาอันตรายและยาควบคุมพิเศษ)</t>
        </is>
      </c>
      <c r="G228" s="2" t="inlineStr">
        <is>
          <t>พ.ร.บ. ยาเสพติดให้โทษ พ.ศ. 2522 (ยาเสพติดให้โทษประเภท 2 และ 3)</t>
        </is>
      </c>
      <c r="H228" s="2" t="inlineStr">
        <is>
          <t>พ.ร.บ. วัตถุที่ออกฤทธิ์ต่อจิตและประสาท พ.ศ. 2559 (ประเภท 2 และ 4)</t>
        </is>
      </c>
      <c r="I228" s="2" t="n">
        <v>1</v>
      </c>
      <c r="J22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8" s="2" t="n"/>
      <c r="L228" s="2" t="inlineStr">
        <is>
          <t>พ.ร.บ. ยา พ.ศ. 2510</t>
        </is>
      </c>
      <c r="M228" s="2" t="inlineStr">
        <is>
          <t>SAP</t>
        </is>
      </c>
      <c r="N228" s="2" t="inlineStr">
        <is>
          <t>ข้อ 58 (PLE_CC1_Key_Rx20_UBU.md)</t>
        </is>
      </c>
      <c r="O228" s="2" t="inlineStr">
        <is>
          <t>Mock</t>
        </is>
      </c>
      <c r="P228" s="2" t="inlineStr">
        <is>
          <t>Mock Rx20 UBU</t>
        </is>
      </c>
    </row>
    <row r="229" ht="13.2" customHeight="1" s="37">
      <c r="A229" s="2" t="n">
        <v>227</v>
      </c>
      <c r="B229"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229" s="2" t="n"/>
      <c r="D229" s="2" t="inlineStr">
        <is>
          <t>พ.ร.บ. ยาเสพติดให้โทษ พ.ศ. 2522 (ยาเสพติดให้โทษประเภท 2 และ 3)</t>
        </is>
      </c>
      <c r="E229" s="2" t="inlineStr">
        <is>
          <t>พ.ร.บ. วัตถุที่ออกฤทธิ์ต่อจิตและประสาท พ.ศ. 2559 (ประเภท 2 และ 4)</t>
        </is>
      </c>
      <c r="F229" s="2" t="inlineStr">
        <is>
          <t>พ.ร.บ. วิชาชีพเภสัชกรรม พ.ศ. 2537 และข้อบังคับจรรยาบรรณวิชาชีพ</t>
        </is>
      </c>
      <c r="G229" s="2" t="inlineStr">
        <is>
          <t>พ.ร.บ. ผลิตภัณฑ์สมุนไพร พ.ศ. 2562</t>
        </is>
      </c>
      <c r="H229" s="2" t="inlineStr">
        <is>
          <t>พ.ร.บ. เครื่องสำอาง พ.ศ. 2558</t>
        </is>
      </c>
      <c r="I229" s="2" t="n">
        <v>1</v>
      </c>
      <c r="J22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9" s="2" t="n"/>
      <c r="L229" s="2" t="inlineStr">
        <is>
          <t>พ.ร.บ. ยา พ.ศ. 2510</t>
        </is>
      </c>
      <c r="M229" s="2" t="inlineStr">
        <is>
          <t>SAP</t>
        </is>
      </c>
      <c r="N229" s="2" t="inlineStr">
        <is>
          <t>ข้อ 10 (PLE_CC1_Key_Rx20_UBU.md)</t>
        </is>
      </c>
      <c r="O229" s="2" t="inlineStr">
        <is>
          <t>Mock</t>
        </is>
      </c>
      <c r="P229" s="2" t="inlineStr">
        <is>
          <t>Mock Rx20 UBU</t>
        </is>
      </c>
    </row>
    <row r="230" ht="13.2" customHeight="1" s="37">
      <c r="A230" s="2" t="n">
        <v>228</v>
      </c>
      <c r="B230" s="2" t="inlineStr">
        <is>
          <t>Triphasic hormonal contraceptives จัดเป็นยาประเภทใดตามกฎหมาย</t>
        </is>
      </c>
      <c r="C230" s="2" t="n"/>
      <c r="D230" s="2" t="inlineStr">
        <is>
          <t>ยาอันตราย</t>
        </is>
      </c>
      <c r="E230" s="2" t="inlineStr">
        <is>
          <t>ยาที่ไม่ใช่ยาอันตราย</t>
        </is>
      </c>
      <c r="F230" s="2" t="inlineStr">
        <is>
          <t>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t>
        </is>
      </c>
      <c r="G230" s="2" t="inlineStr">
        <is>
          <t>การปฏิบัติทางเภสัชกรรมชุมชน (Good Pharmacy Practice: GPP)</t>
        </is>
      </c>
      <c r="H230" s="2" t="inlineStr">
        <is>
          <t>บัญชียาหลักแห่งชาติ (National List of Essential Medicines: NLEM)</t>
        </is>
      </c>
      <c r="I230" s="2" t="n">
        <v>1</v>
      </c>
      <c r="J2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2" t="n"/>
      <c r="L230" s="2" t="inlineStr">
        <is>
          <t>พ.ร.บ. ยา พ.ศ. 2510</t>
        </is>
      </c>
      <c r="M230" s="2" t="inlineStr">
        <is>
          <t>SAP</t>
        </is>
      </c>
      <c r="N230" s="2" t="inlineStr">
        <is>
          <t>ข้อ 6 (PLE_CC1_Key_Rx20_UBU.md)</t>
        </is>
      </c>
      <c r="O230" s="2" t="inlineStr">
        <is>
          <t>Mock</t>
        </is>
      </c>
      <c r="P230" s="2" t="inlineStr">
        <is>
          <t>Mock Rx20 UBU</t>
        </is>
      </c>
    </row>
    <row r="231" ht="13.2" customHeight="1" s="37">
      <c r="A231" s="2" t="n">
        <v>229</v>
      </c>
      <c r="B231" s="2" t="inlineStr">
        <is>
          <t>Cost Efficacy = ประสิทธิภาพ Efficiency = อย่างมีประสิทธิภาพ Effectiveness = ประสิทธิผล</t>
        </is>
      </c>
      <c r="C231" s="2" t="n"/>
      <c r="D231" s="2" t="inlineStr">
        <is>
          <t>การปฏิบัติทางเภสัชกรรมชุมชน (Good Pharmacy Practice: GPP)</t>
        </is>
      </c>
      <c r="E231" s="2" t="inlineStr">
        <is>
          <t>บัญชียาหลักแห่งชาติ (National List of Essential Medicines: NLEM)</t>
        </is>
      </c>
      <c r="F231" s="2" t="inlineStr">
        <is>
          <t>เกณฑ์จริยธรรมว่าด้วยการส่งเสริมการขายยาของกระทรวงสาธารณสุข</t>
        </is>
      </c>
      <c r="G231" s="2" t="inlineStr">
        <is>
          <t>พ.ร.บ. ยา พ.ศ. 2510 (การจำหน่ายยาอันตรายและยาควบคุมพิเศษ)</t>
        </is>
      </c>
      <c r="H231" s="2" t="inlineStr">
        <is>
          <t>พ.ร.บ. ยาเสพติดให้โทษ พ.ศ. 2522 (ยาเสพติดให้โทษประเภท 2 และ 3)</t>
        </is>
      </c>
      <c r="I231" s="2" t="n">
        <v>5</v>
      </c>
      <c r="J23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1" s="2" t="n"/>
      <c r="L231" s="2" t="inlineStr">
        <is>
          <t>พ.ร.บ. ยา พ.ศ. 2510</t>
        </is>
      </c>
      <c r="M231" s="2" t="inlineStr">
        <is>
          <t>SAP</t>
        </is>
      </c>
      <c r="N231" s="2" t="inlineStr">
        <is>
          <t>ข้อ 4 (PLE_CC1_Key_Rx20_UBU.md)</t>
        </is>
      </c>
      <c r="O231" s="2" t="inlineStr">
        <is>
          <t>Mock</t>
        </is>
      </c>
      <c r="P231" s="2" t="inlineStr">
        <is>
          <t>Mock Rx20 UBU</t>
        </is>
      </c>
    </row>
    <row r="232" ht="13.2" customHeight="1" s="37">
      <c r="A232" s="2" t="n">
        <v>230</v>
      </c>
      <c r="B232" s="2" t="inlineStr">
        <is>
          <t>คุณแม่พาลูกมาซื้อยา เภสัชกรจ่ายยา Amoxicillin syrup ให้แต่แม่เด็กพบว่ายาดังกล่าวหมดอายุแล้ว จึงได้นำ Amoxicillin syrup ที่ซื้อมาส่งตรวจพบว่ามีปริมาณ Amoxicillin syrup อยู่ 99%เมื่อเทียบกับปริมาณยาที่ระบุไว้ที่ฉลากยา ตามพรบ.ยา พ.ศ. 2510 จัดว่าเป็นยาประเภทอะไร --0</t>
        </is>
      </c>
      <c r="C232" s="2" t="n"/>
      <c r="D232" s="2" t="inlineStr">
        <is>
          <t>พ.ร.บ. ยา พ.ศ. 2510 (การจำหน่ายยาอันตรายและยาควบคุมพิเศษ)</t>
        </is>
      </c>
      <c r="E232" s="2" t="inlineStr">
        <is>
          <t>พ.ร.บ. ยาเสพติดให้โทษ พ.ศ. 2522 (ยาเสพติดให้โทษประเภท 2 และ 3)</t>
        </is>
      </c>
      <c r="F232" s="2" t="inlineStr">
        <is>
          <t>พ.ร.บ. วัตถุที่ออกฤทธิ์ต่อจิตและประสาท พ.ศ. 2559 (ประเภท 2 และ 4)</t>
        </is>
      </c>
      <c r="G232" s="2" t="inlineStr">
        <is>
          <t>พ.ร.บ. วิชาชีพเภสัชกรรม พ.ศ. 2537 และข้อบังคับจรรยาบรรณวิชาชีพ</t>
        </is>
      </c>
      <c r="H232" s="2" t="inlineStr">
        <is>
          <t>พ.ร.บ. ผลิตภัณฑ์สมุนไพร พ.ศ. 2562</t>
        </is>
      </c>
      <c r="I232" s="2" t="n">
        <v>1</v>
      </c>
      <c r="J23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2" s="2" t="n"/>
      <c r="L232" s="2" t="inlineStr">
        <is>
          <t>พ.ร.บ. ยา พ.ศ. 2510</t>
        </is>
      </c>
      <c r="M232" s="2" t="inlineStr">
        <is>
          <t>SAP</t>
        </is>
      </c>
      <c r="N232" s="2" t="inlineStr">
        <is>
          <t>ข้อ 10 (PLE_CC1_Key_Rx20_UBU.md)</t>
        </is>
      </c>
      <c r="O232" s="2" t="inlineStr">
        <is>
          <t>Mock</t>
        </is>
      </c>
      <c r="P232" s="2" t="inlineStr">
        <is>
          <t>Mock Rx20 UBU</t>
        </is>
      </c>
    </row>
    <row r="233" ht="13.2" customHeight="1" s="37">
      <c r="A233" s="2" t="n">
        <v>231</v>
      </c>
      <c r="B233" s="2" t="inlineStr">
        <is>
          <t>ไม่ถือว่าเป็นยาปลอมเนื่องจากตัวยายังครบถ้วน ซึ่งตาม พรบ.ยา 2510 ยาเสื่อมสภาพ หมายถึง - ยาที่สิ้นอายุตามที่แสดงในฉลาก - ยาที่แปรสภาพไปจนมีลักษณะเช่นเดียวกับยาปลอม กรณีศึกษาที่ 2 DM ผู้ป่วยหญิง อายุ 56 ปี น้ำหนัก 55 กิโลกรัม ส่วนสูง 150 เซนติเมตร FBS = 156 ถูกวินิจฉัยว่าเป็น โรคเบาหวาน ชนิดที่ 2 ไม่มีโรคประจำตัว ปฏิเสธประวัติแพ้ยา ….</t>
        </is>
      </c>
      <c r="C233" s="2" t="n"/>
      <c r="D233" s="2" t="inlineStr">
        <is>
          <t>พ.ร.บ. วิชาชีพเภสัชกรรม พ.ศ. 2537 และข้อบังคับจรรยาบรรณวิชาชีพ</t>
        </is>
      </c>
      <c r="E233" s="2" t="inlineStr">
        <is>
          <t>พ.ร.บ. ผลิตภัณฑ์สมุนไพร พ.ศ. 2562</t>
        </is>
      </c>
      <c r="F233" s="2" t="inlineStr">
        <is>
          <t>พ.ร.บ. เครื่องสำอาง พ.ศ. 2558</t>
        </is>
      </c>
      <c r="G233" s="2" t="inlineStr">
        <is>
          <t>พ.ร.บ. หลักประกันสุขภาพแห่งชาติ พ.ศ. 2545</t>
        </is>
      </c>
      <c r="H233" s="2" t="inlineStr">
        <is>
          <t>การปฏิบัติทางเภสัชกรรมชุมชน (Good Pharmacy Practice: GPP)</t>
        </is>
      </c>
      <c r="I233" s="2" t="n">
        <v>5</v>
      </c>
      <c r="J233" s="2" t="inlineStr">
        <is>
          <t>✅ คำตอบที่ถูกต้อง: ข้อ จ.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 s="2" t="n"/>
      <c r="L233" s="2" t="inlineStr">
        <is>
          <t>พ.ร.บ. ยา พ.ศ. 2510</t>
        </is>
      </c>
      <c r="M233" s="2" t="inlineStr">
        <is>
          <t>SAP</t>
        </is>
      </c>
      <c r="N233" s="2" t="inlineStr">
        <is>
          <t>ข้อ 5 (PLE_CC1_Key_Rx20_UBU.md)</t>
        </is>
      </c>
      <c r="O233" s="2" t="inlineStr">
        <is>
          <t>Mock</t>
        </is>
      </c>
      <c r="P233" s="2" t="inlineStr">
        <is>
          <t>Mock Rx20 UBU</t>
        </is>
      </c>
    </row>
    <row r="234" ht="13.2" customHeight="1" s="37">
      <c r="A234" s="2" t="n">
        <v>232</v>
      </c>
      <c r="B234" s="2" t="inlineStr">
        <is>
          <t>ไม่ได้ เพราะขายได้เฉพาะในสถานพยาบาล Diazepam จัดเป็นวัตถุออกฤทธิ์ต่อจิตและประสาทประเภท 4 ตาม พรบ. วัตถุที่ออกฤทธิ์ต่อจิตและประสาท พ.ศ. ๒๕๕๙ มาตรา 20 ร้านยาที่มีใบอนุญาตขาย วจ 4 สามารถขาย วจ 4 ได้ แต่ต้องมีใบสั่งแพทย์เพื่อให้สอดคล้องกับ มาตรา 51</t>
        </is>
      </c>
      <c r="C234" s="2" t="n"/>
      <c r="D234" s="2" t="inlineStr">
        <is>
          <t>พ.ร.บ. หลักประกันสุขภาพแห่งชาติ พ.ศ. 2545</t>
        </is>
      </c>
      <c r="E234" s="2" t="inlineStr">
        <is>
          <t>การปฏิบัติทางเภสัชกรรมชุมชน (Good Pharmacy Practice: GPP)</t>
        </is>
      </c>
      <c r="F234" s="2" t="inlineStr">
        <is>
          <t>บัญชียาหลักแห่งชาติ (National List of Essential Medicines: NLEM)</t>
        </is>
      </c>
      <c r="G234" s="2" t="inlineStr">
        <is>
          <t>เกณฑ์จริยธรรมว่าด้วยการส่งเสริมการขายยาของกระทรวงสาธารณสุข</t>
        </is>
      </c>
      <c r="H234" s="2" t="inlineStr">
        <is>
          <t>พ.ร.บ. ยา พ.ศ. 2510 (การจำหน่ายยาอันตรายและยาควบคุมพิเศษ)</t>
        </is>
      </c>
      <c r="I234" s="2" t="n">
        <v>4</v>
      </c>
      <c r="J234" s="2" t="inlineStr">
        <is>
          <t>✅ คำตอบที่ถูกต้อง: ข้อ ง.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หลักประกันสุขภาพแห่งชาติ พ.ศ. 2545):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4" s="2" t="n"/>
      <c r="L234" s="2" t="inlineStr">
        <is>
          <t>พ.ร.บ. ยาเสพติดให้โทษ &amp; วัตถุออกฤทธิ์</t>
        </is>
      </c>
      <c r="M234" s="2" t="inlineStr">
        <is>
          <t>SAP</t>
        </is>
      </c>
      <c r="N234" s="2" t="inlineStr">
        <is>
          <t>ข้อ 5 (PLE_CC1_Key_Rx20_UBU.md)</t>
        </is>
      </c>
      <c r="O234" s="2" t="inlineStr">
        <is>
          <t>Mock</t>
        </is>
      </c>
      <c r="P234" s="2" t="inlineStr">
        <is>
          <t>Mock Rx20 UBU</t>
        </is>
      </c>
    </row>
    <row r="235" ht="13.2" customHeight="1" s="37">
      <c r="A235" s="2" t="n">
        <v>233</v>
      </c>
      <c r="B235" s="2" t="inlineStr">
        <is>
          <t>เปลี่ยน CCB เป็น ACEI ดังนั้นผู้ป่วยรายนี้จึงควรได้รับยาขับปัสสาวะที่ออกฤทธิ์ได้ดีขับน้ำได้เร็วจึงควรเลือก Furosemide ประกอบกับ HCTZ ในผู้ป่วยที่มีการทำงานของไต stage ท้าย ๆจะมีประสิทธิภาพไม่ดีเท่าทีควรจึงควรเลือกใช้</t>
        </is>
      </c>
      <c r="C235" s="2" t="n"/>
      <c r="D235" s="2" t="inlineStr">
        <is>
          <t>อาหารในข้อใดต่อไปนี้ที่เหมาะสมในผู้ป่วยรายนี้</t>
        </is>
      </c>
      <c r="E235" s="2" t="inlineStr">
        <is>
          <t>พ.ร.บ. ยา พ.ศ. 2510 (การจำหน่ายยาอันตรายและยาควบคุมพิเศษ)</t>
        </is>
      </c>
      <c r="F235" s="2" t="inlineStr">
        <is>
          <t>พ.ร.บ. ยาเสพติดให้โทษ พ.ศ. 2522 (ยาเสพติดให้โทษประเภท 2 และ 3)</t>
        </is>
      </c>
      <c r="G235" s="2" t="inlineStr">
        <is>
          <t>พ.ร.บ. วัตถุที่ออกฤทธิ์ต่อจิตและประสาท พ.ศ. 2559 (ประเภท 2 และ 4)</t>
        </is>
      </c>
      <c r="H235" s="2" t="inlineStr">
        <is>
          <t>พ.ร.บ. วิชาชีพเภสัชกรรม พ.ศ. 2537 และข้อบังคับจรรยาบรรณวิชาชีพ</t>
        </is>
      </c>
      <c r="I235" s="2" t="n">
        <v>4</v>
      </c>
      <c r="J235" s="2" t="inlineStr">
        <is>
          <t>✅ คำตอบที่ถูกต้อง: ข้อ ง.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(อาหารในข้อใดต่อไปนี้ที่เหมาะสมในผู้ป่วยรายนี้): ข้อนี้ไม่ใช่คำตอบที่ถูกต้องสำหรับภาวะ พ.ร.บ. ยา พ.ศ. 2510 เนื่องจากกลไกการออกฤทธิ์, efficacy หรือข้อบ่งใช้ไม่ตรงกับโจทย์ที่กำหนด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 s="2" t="n"/>
      <c r="L235" s="2" t="inlineStr">
        <is>
          <t>พ.ร.บ. ยา พ.ศ. 2510</t>
        </is>
      </c>
      <c r="M235" s="2" t="inlineStr">
        <is>
          <t>SAP</t>
        </is>
      </c>
      <c r="N235" s="2" t="inlineStr">
        <is>
          <t>ข้อ 5 (PLE_CC1_Key_Rx20_UBU.md)</t>
        </is>
      </c>
      <c r="O235" s="2" t="inlineStr">
        <is>
          <t>Mock</t>
        </is>
      </c>
      <c r="P235" s="2" t="inlineStr">
        <is>
          <t>Mock Rx20 UBU</t>
        </is>
      </c>
    </row>
    <row r="236" ht="13.2" customHeight="1" s="37">
      <c r="A236" s="2" t="n">
        <v>234</v>
      </c>
      <c r="B236" s="2" t="inlineStr">
        <is>
          <t>ฝ่าฝืน เพราะถือเป็นการโฆษณาที่กล่าวถึงโรคที่ห้ามโฆษณาตาม พรบ. ยา</t>
        </is>
      </c>
      <c r="C236" s="2" t="n"/>
      <c r="D236" s="2" t="inlineStr">
        <is>
          <t>พ.ร.บ. วัตถุที่ออกฤทธิ์ต่อจิตและประสาท พ.ศ. 2559 (ประเภท 2 และ 4)</t>
        </is>
      </c>
      <c r="E236" s="2" t="inlineStr">
        <is>
          <t>พ.ร.บ. วิชาชีพเภสัชกรรม พ.ศ. 2537 และข้อบังคับจรรยาบรรณวิชาชีพ</t>
        </is>
      </c>
      <c r="F236" s="2" t="inlineStr">
        <is>
          <t>พ.ร.บ. ผลิตภัณฑ์สมุนไพร พ.ศ. 2562</t>
        </is>
      </c>
      <c r="G236" s="2" t="inlineStr">
        <is>
          <t>พ.ร.บ. เครื่องสำอาง พ.ศ. 2558</t>
        </is>
      </c>
      <c r="H236" s="2" t="inlineStr">
        <is>
          <t>พ.ร.บ. หลักประกันสุขภาพแห่งชาติ พ.ศ. 2545</t>
        </is>
      </c>
      <c r="I236" s="2" t="n">
        <v>1</v>
      </c>
      <c r="J23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6" s="2" t="n"/>
      <c r="L236" s="2" t="inlineStr">
        <is>
          <t>พ.ร.บ. ยา พ.ศ. 2510</t>
        </is>
      </c>
      <c r="M236" s="2" t="inlineStr">
        <is>
          <t>SAP</t>
        </is>
      </c>
      <c r="N236" s="2" t="inlineStr">
        <is>
          <t>ข้อ 2 (PLE_CC1_Key_Rx20_UBU.md)</t>
        </is>
      </c>
      <c r="O236" s="2" t="inlineStr">
        <is>
          <t>Mock</t>
        </is>
      </c>
      <c r="P236" s="2" t="inlineStr">
        <is>
          <t>Mock Rx20 UBU</t>
        </is>
      </c>
    </row>
    <row r="237" ht="13.2" customHeight="1" s="37">
      <c r="A237" s="2" t="n">
        <v>235</v>
      </c>
      <c r="B237" s="2" t="inlineStr">
        <is>
          <t>Sodamint 1000 เม็ด จัดเป็นยาประเภทใดตามกฎหมาย</t>
        </is>
      </c>
      <c r="C237" s="2" t="n"/>
      <c r="D237" s="2" t="inlineStr">
        <is>
          <t>พ.ร.บ. เครื่องสำอาง พ.ศ. 2558</t>
        </is>
      </c>
      <c r="E237" s="2" t="inlineStr">
        <is>
          <t>พ.ร.บ. หลักประกันสุขภาพแห่งชาติ พ.ศ. 2545</t>
        </is>
      </c>
      <c r="F237" s="2" t="inlineStr">
        <is>
          <t>การปฏิบัติทางเภสัชกรรมชุมชน (Good Pharmacy Practice: GPP)</t>
        </is>
      </c>
      <c r="G237" s="2" t="inlineStr">
        <is>
          <t>บัญชียาหลักแห่งชาติ (National List of Essential Medicines: NLEM)</t>
        </is>
      </c>
      <c r="H237" s="2" t="inlineStr">
        <is>
          <t>เกณฑ์จริยธรรมว่าด้วยการส่งเสริมการขายยาของกระทรวงสาธารณสุข</t>
        </is>
      </c>
      <c r="I237" s="2" t="n">
        <v>1</v>
      </c>
      <c r="J23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7" s="2" t="n"/>
      <c r="L237" s="2" t="inlineStr">
        <is>
          <t>พ.ร.บ. ยา พ.ศ. 2510</t>
        </is>
      </c>
      <c r="M237" s="2" t="inlineStr">
        <is>
          <t>SAP</t>
        </is>
      </c>
      <c r="N237" s="2" t="inlineStr">
        <is>
          <t>ข้อ 9 (PLE_CC1_Key_Rx20_UBU.md)</t>
        </is>
      </c>
      <c r="O237" s="2" t="inlineStr">
        <is>
          <t>Mock</t>
        </is>
      </c>
      <c r="P237" s="2" t="inlineStr">
        <is>
          <t>Mock Rx20 UBU</t>
        </is>
      </c>
    </row>
    <row r="238" ht="13.2" customHeight="1" s="37">
      <c r="A238" s="2" t="n">
        <v>236</v>
      </c>
      <c r="B238" s="2" t="inlineStr">
        <is>
          <t>D-10-W 175 ml และ D-10-NSS 175 ml ปรับปริมาตรให้ครบ 500 ml ตอบ 2. D-10-W 125 ml และ D-10-NSS 125 ml ปรับปริมาตรให้ครบ 500 ml ใช้สูตร C1V1=C2V2 เริ่มคิดปริมาตร NSS ที่ต้องใช้ก่อน (NSS/4) = (NSS)(V) V = 500/4 = 125 ml &gt;&gt;&gt;&gt; ใช้ D-10-NSS 125 ml (D5%) = (D10%) + (D10%)(V) V = (500x5) – (10x125) = 125 ml &gt;&gt;&gt;&gt; ใช้ D-10-W 125 ml 10.ข้อใดไม่ใช่ความผิดตามกฎหมายการโฆษณายาดังต่อไปนี้ “ยาลูกกลอน A มีสรรพคุณต้านมะเร็ง ซึ่งได้รับการรับรองมาจากสถาบันมะเร็งแห่งชาติ”</t>
        </is>
      </c>
      <c r="C238" s="2" t="n"/>
      <c r="D238" s="2" t="inlineStr">
        <is>
          <t>บัญชียาหลักแห่งชาติ (National List of Essential Medicines: NLEM)</t>
        </is>
      </c>
      <c r="E238" s="2" t="inlineStr">
        <is>
          <t>เกณฑ์จริยธรรมว่าด้วยการส่งเสริมการขายยาของกระทรวงสาธารณสุข</t>
        </is>
      </c>
      <c r="F238" s="2" t="inlineStr">
        <is>
          <t>พ.ร.บ. ยา พ.ศ. 2510 (การจำหน่ายยาอันตรายและยาควบคุมพิเศษ)</t>
        </is>
      </c>
      <c r="G238" s="2" t="inlineStr">
        <is>
          <t>พ.ร.บ. ยาเสพติดให้โทษ พ.ศ. 2522 (ยาเสพติดให้โทษประเภท 2 และ 3)</t>
        </is>
      </c>
      <c r="H238" s="2" t="inlineStr">
        <is>
          <t>พ.ร.บ. วัตถุที่ออกฤทธิ์ต่อจิตและประสาท พ.ศ. 2559 (ประเภท 2 และ 4)</t>
        </is>
      </c>
      <c r="I238" s="2" t="n">
        <v>1</v>
      </c>
      <c r="J23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8" s="2" t="n"/>
      <c r="L238" s="2" t="inlineStr">
        <is>
          <t>พ.ร.บ. ยา พ.ศ. 2510</t>
        </is>
      </c>
      <c r="M238" s="2" t="inlineStr">
        <is>
          <t>SAP</t>
        </is>
      </c>
      <c r="N238" s="2" t="inlineStr">
        <is>
          <t>ข้อ 5 (PLE_CC1_Key_Rx20_UBU.md)</t>
        </is>
      </c>
      <c r="O238" s="2" t="inlineStr">
        <is>
          <t>Mock</t>
        </is>
      </c>
      <c r="P238" s="2" t="inlineStr">
        <is>
          <t>Mock Rx20 UBU</t>
        </is>
      </c>
    </row>
    <row r="239" ht="13.2" customHeight="1" s="37">
      <c r="A239" s="2" t="n">
        <v>237</v>
      </c>
      <c r="B239" s="2" t="inlineStr">
        <is>
          <t>เพิ่มการขับออกทางไต ตอบ 1. เพิ่ม metabolism ที่ตับ เนื่องจากRifampin เป็น enzyme inducer หลายชนิด ซึ่งยา rifampin ทำให้ประสิทธิภาพการคุมกำเนิดลดลง จึงอาจส่งผลต่อประจำเดือนได้</t>
        </is>
      </c>
      <c r="C239" s="2" t="n"/>
      <c r="D239" s="2" t="inlineStr">
        <is>
          <t>หากผู้ป่วยเริ่มใช้ยาไปแล้ว 2 สัปดาห์ (สูตร IRZE) เกิดอาการผื่นแดง ลอก ทั่วร่างกาย มีไข้ ควรจะจัดการอย่างไร</t>
        </is>
      </c>
      <c r="E239" s="2" t="inlineStr">
        <is>
          <t>พ.ร.บ. วัตถุที่ออกฤทธิ์ต่อจิตและประสาท พ.ศ. 2559 (ประเภท 2 และ 4)</t>
        </is>
      </c>
      <c r="F239" s="2" t="inlineStr">
        <is>
          <t>พ.ร.บ. วิชาชีพเภสัชกรรม พ.ศ. 2537 และข้อบังคับจรรยาบรรณวิชาชีพ</t>
        </is>
      </c>
      <c r="G239" s="2" t="inlineStr">
        <is>
          <t>พ.ร.บ. ผลิตภัณฑ์สมุนไพร พ.ศ. 2562</t>
        </is>
      </c>
      <c r="H239" s="2" t="inlineStr">
        <is>
          <t>พ.ร.บ. เครื่องสำอาง พ.ศ. 2558</t>
        </is>
      </c>
      <c r="I239" s="2" t="n">
        <v>1</v>
      </c>
      <c r="J239" s="2" t="inlineStr">
        <is>
          <t>✅ คำตอบที่ถูกต้อง: ข้อ ก. หากผู้ป่วยเริ่มใช้ยาไปแล้ว 2 สัปดาห์ (สูตร IRZE) เกิดอาการผื่นแดง ลอก ทั่วร่างกาย มีไข้ ควรจะจัดการอย่างไร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หากผู้ป่วยเริ่มใช้ยาไปแล้ว 2 สัปดาห์ (สูตร IRZE) เกิดอาการผื่นแดง ลอก ทั่วร่างกาย มีไข้ ควรจะจัดการอย่างไร 💡 คำอธิบายและข้อกำหนดทางกฎหมาย:
💡 คำอธิบายและข้อกำหนดทางกฎหมาย:
การเลือก หากผู้ป่วยเริ่มใช้ยาไปแล้ว 2 สัปดาห์ (สูตร IRZE) เกิดอาการผื่นแดง ลอก ทั่วร่างกาย มีไข้ ควรจะจัดการอย่างไร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 s="2" t="n"/>
      <c r="L239" s="2" t="inlineStr">
        <is>
          <t>พ.ร.บ. ยา พ.ศ. 2510</t>
        </is>
      </c>
      <c r="M239" s="2" t="inlineStr">
        <is>
          <t>SAP</t>
        </is>
      </c>
      <c r="N239" s="2" t="inlineStr">
        <is>
          <t>ข้อ 5 (PLE_CC1_Key_Rx20_UBU.md)</t>
        </is>
      </c>
      <c r="O239" s="2" t="inlineStr">
        <is>
          <t>Mock</t>
        </is>
      </c>
      <c r="P239" s="2" t="inlineStr">
        <is>
          <t>Mock Rx20 UBU</t>
        </is>
      </c>
    </row>
    <row r="240" ht="13.2" customHeight="1" s="37">
      <c r="A240" s="2" t="n">
        <v>238</v>
      </c>
      <c r="B240" s="2" t="inlineStr">
        <is>
          <t>ยาหยอดตา Sulfacetamide eye drops 10% แต่เมื่อนำไปตรวจสอบ พบว่ามีตัวยาเพียง 5% ยาดังกล่าวจัดเป็นยาใดตามกฎหมาย</t>
        </is>
      </c>
      <c r="C240" s="2" t="n"/>
      <c r="D240" s="2" t="inlineStr">
        <is>
          <t>ยาปลอม</t>
        </is>
      </c>
      <c r="E240" s="2" t="inlineStr">
        <is>
          <t>ยาไม่ได้มาตรฐาน</t>
        </is>
      </c>
      <c r="F240" s="2" t="inlineStr">
        <is>
          <t>ยาผิดมาตรฐาน</t>
        </is>
      </c>
      <c r="G240" s="2" t="inlineStr">
        <is>
          <t>ยาเสื่อมคุณภาพ</t>
        </is>
      </c>
      <c r="H240" s="2" t="inlineStr">
        <is>
          <t>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t>
        </is>
      </c>
      <c r="I240" s="2" t="n">
        <v>1</v>
      </c>
      <c r="J24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การเลือก ยาปลอม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(ยาไม่ได้มาตรฐาน):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ค.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(ยาเสื่อมคุณภาพ):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0" s="2" t="n"/>
      <c r="L240" s="2" t="inlineStr">
        <is>
          <t>พ.ร.บ. ยา พ.ศ. 2510</t>
        </is>
      </c>
      <c r="M240" s="2" t="inlineStr">
        <is>
          <t>SAP</t>
        </is>
      </c>
      <c r="N240" s="2" t="inlineStr">
        <is>
          <t>ข้อ 8 (PLE_CC1_Key_Rx20_UBU.md)</t>
        </is>
      </c>
      <c r="O240" s="2" t="inlineStr">
        <is>
          <t>Mock</t>
        </is>
      </c>
      <c r="P240" s="2" t="inlineStr">
        <is>
          <t>Mock Rx20 UBU</t>
        </is>
      </c>
    </row>
    <row r="241" ht="13.2" customHeight="1" s="37">
      <c r="A241" s="2" t="n">
        <v>239</v>
      </c>
      <c r="B241" s="2" t="inlineStr">
        <is>
          <t>ยา aspirin ขนาด 300 mg บรรจุ 10 เม็ด บรรเทาอาการปวดข้อบวม ในผู้ป่วยโรคข้อ มีฉลากบอกครบถ้วน จัดเป็นยาใดตามกฎหมาย PEG sc MC ไ` ละสายในก→ _ CAนก</t>
        </is>
      </c>
      <c r="C241" s="2" t="n"/>
      <c r="D241" s="2" t="inlineStr">
        <is>
          <t>การปฏิบัติทางเภสัชกรรมชุมชน (Good Pharmacy Practice: GPP)</t>
        </is>
      </c>
      <c r="E241" s="2" t="inlineStr">
        <is>
          <t>บัญชียาหลักแห่งชาติ (National List of Essential Medicines: NLEM)</t>
        </is>
      </c>
      <c r="F241" s="2" t="inlineStr">
        <is>
          <t>เกณฑ์จริยธรรมว่าด้วยการส่งเสริมการขายยาของกระทรวงสาธารณสุข</t>
        </is>
      </c>
      <c r="G241" s="2" t="inlineStr">
        <is>
          <t>พ.ร.บ. ยา พ.ศ. 2510 (การจำหน่ายยาอันตรายและยาควบคุมพิเศษ)</t>
        </is>
      </c>
      <c r="H241" s="2" t="inlineStr">
        <is>
          <t>พ.ร.บ. ยาเสพติดให้โทษ พ.ศ. 2522 (ยาเสพติดให้โทษประเภท 2 และ 3)</t>
        </is>
      </c>
      <c r="I241" s="2" t="n">
        <v>1</v>
      </c>
      <c r="J24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1" s="2" t="n"/>
      <c r="L241" s="2" t="inlineStr">
        <is>
          <t>พ.ร.บ. ยา พ.ศ. 2510</t>
        </is>
      </c>
      <c r="M241" s="2" t="inlineStr">
        <is>
          <t>SAP</t>
        </is>
      </c>
      <c r="N241" s="2" t="inlineStr">
        <is>
          <t>ข้อ 29 (PLE_CC1_Key_Rx20_UBU.md)</t>
        </is>
      </c>
      <c r="O241" s="2" t="inlineStr">
        <is>
          <t>Mock</t>
        </is>
      </c>
      <c r="P241" s="2" t="inlineStr">
        <is>
          <t>Mock Rx20 UBU</t>
        </is>
      </c>
    </row>
    <row r="242" ht="13.2" customHeight="1" s="37">
      <c r="A242" s="2" t="n">
        <v>240</v>
      </c>
      <c r="B242" s="2" t="inlineStr">
        <is>
          <t>องค์กรใดในประเทศไทยที่ทำหน้าที่ควบคุมค่าใช้จ่ายด้านยาของผู้ใช้สิทธิบัตรทองในหลักประกันสุขภาพแห่งชา ติ</t>
        </is>
      </c>
      <c r="C242" s="2" t="n"/>
      <c r="D242" s="2" t="inlineStr">
        <is>
          <t>พ.ร.บ. ยา พ.ศ. 2510 (การจำหน่ายยาอันตรายและยาควบคุมพิเศษ)</t>
        </is>
      </c>
      <c r="E242" s="2" t="inlineStr">
        <is>
          <t>พ.ร.บ. ยาเสพติดให้โทษ พ.ศ. 2522 (ยาเสพติดให้โทษประเภท 2 และ 3)</t>
        </is>
      </c>
      <c r="F242" s="2" t="inlineStr">
        <is>
          <t>พ.ร.บ. วัตถุที่ออกฤทธิ์ต่อจิตและประสาท พ.ศ. 2559 (ประเภท 2 และ 4)</t>
        </is>
      </c>
      <c r="G242" s="2" t="inlineStr">
        <is>
          <t>พ.ร.บ. วิชาชีพเภสัชกรรม พ.ศ. 2537 และข้อบังคับจรรยาบรรณวิชาชีพ</t>
        </is>
      </c>
      <c r="H242" s="2" t="inlineStr">
        <is>
          <t>พ.ร.บ. ผลิตภัณฑ์สมุนไพร พ.ศ. 2562</t>
        </is>
      </c>
      <c r="I242" s="2" t="n">
        <v>1</v>
      </c>
      <c r="J24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 s="2" t="n"/>
      <c r="L242" s="2" t="inlineStr">
        <is>
          <t>พ.ร.บ. ยา พ.ศ. 2510</t>
        </is>
      </c>
      <c r="M242" s="2" t="inlineStr">
        <is>
          <t>SAP</t>
        </is>
      </c>
      <c r="N242" s="2" t="inlineStr">
        <is>
          <t>ข้อ 37 (PLE_CC1_Key_Rx20_UBU.md)</t>
        </is>
      </c>
      <c r="O242" s="2" t="inlineStr">
        <is>
          <t>Mock</t>
        </is>
      </c>
      <c r="P242" s="2" t="inlineStr">
        <is>
          <t>Mock Rx20 UBU</t>
        </is>
      </c>
    </row>
    <row r="243" ht="13.2" customHeight="1" s="37">
      <c r="A243" s="2" t="n">
        <v>241</v>
      </c>
      <c r="B243" s="2" t="inlineStr">
        <is>
          <t>สำนักงานประกันสังคม (สปส.)</t>
        </is>
      </c>
      <c r="C243" s="2" t="n"/>
      <c r="D243" s="2" t="inlineStr">
        <is>
          <t>พ.ร.บ. วิชาชีพเภสัชกรรม พ.ศ. 2537 และข้อบังคับจรรยาบรรณวิชาชีพ</t>
        </is>
      </c>
      <c r="E243" s="2" t="inlineStr">
        <is>
          <t>พ.ร.บ. ผลิตภัณฑ์สมุนไพร พ.ศ. 2562</t>
        </is>
      </c>
      <c r="F243" s="2" t="inlineStr">
        <is>
          <t>พ.ร.บ. เครื่องสำอาง พ.ศ. 2558</t>
        </is>
      </c>
      <c r="G243" s="2" t="inlineStr">
        <is>
          <t>พ.ร.บ. หลักประกันสุขภาพแห่งชาติ พ.ศ. 2545</t>
        </is>
      </c>
      <c r="H243" s="2" t="inlineStr">
        <is>
          <t>การปฏิบัติทางเภสัชกรรมชุมชน (Good Pharmacy Practice: GPP)</t>
        </is>
      </c>
      <c r="I243" s="2" t="n">
        <v>1</v>
      </c>
      <c r="J24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 s="2" t="n"/>
      <c r="L243" s="2" t="inlineStr">
        <is>
          <t>พ.ร.บ. ยา พ.ศ. 2510</t>
        </is>
      </c>
      <c r="M243" s="2" t="inlineStr">
        <is>
          <t>SAP</t>
        </is>
      </c>
      <c r="N243" s="2" t="inlineStr">
        <is>
          <t>ข้อ 2 (PLE_CC1_Key_Rx20_UBU.md)</t>
        </is>
      </c>
      <c r="O243" s="2" t="inlineStr">
        <is>
          <t>Mock</t>
        </is>
      </c>
      <c r="P243" s="2" t="inlineStr">
        <is>
          <t>Mock Rx20 UBU</t>
        </is>
      </c>
    </row>
    <row r="244" ht="13.2" customHeight="1" s="37">
      <c r="A244" s="2" t="n">
        <v>242</v>
      </c>
      <c r="B244" s="2" t="inlineStr">
        <is>
          <t>สำนักงานหลักประกันสุขภาพแห่งชาติ (สปสช.)</t>
        </is>
      </c>
      <c r="C244" s="2" t="n"/>
      <c r="D244" s="2" t="inlineStr">
        <is>
          <t>พ.ร.บ. หลักประกันสุขภาพแห่งชาติ พ.ศ. 2545</t>
        </is>
      </c>
      <c r="E244" s="2" t="inlineStr">
        <is>
          <t>การปฏิบัติทางเภสัชกรรมชุมชน (Good Pharmacy Practice: GPP)</t>
        </is>
      </c>
      <c r="F244" s="2" t="inlineStr">
        <is>
          <t>บัญชียาหลักแห่งชาติ (National List of Essential Medicines: NLEM)</t>
        </is>
      </c>
      <c r="G244" s="2" t="inlineStr">
        <is>
          <t>เกณฑ์จริยธรรมว่าด้วยการส่งเสริมการขายยาของกระทรวงสาธารณสุข</t>
        </is>
      </c>
      <c r="H244" s="2" t="inlineStr">
        <is>
          <t>พ.ร.บ. ยา พ.ศ. 2510 (การจำหน่ายยาอันตรายและยาควบคุมพิเศษ)</t>
        </is>
      </c>
      <c r="I244" s="2" t="n">
        <v>1</v>
      </c>
      <c r="J24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2" t="n"/>
      <c r="L244" s="2" t="inlineStr">
        <is>
          <t>พ.ร.บ. ยา พ.ศ. 2510</t>
        </is>
      </c>
      <c r="M244" s="2" t="inlineStr">
        <is>
          <t>SAP</t>
        </is>
      </c>
      <c r="N244" s="2" t="inlineStr">
        <is>
          <t>ข้อ 3 (PLE_CC1_Key_Rx20_UBU.md)</t>
        </is>
      </c>
      <c r="O244" s="2" t="inlineStr">
        <is>
          <t>Mock</t>
        </is>
      </c>
      <c r="P244" s="2" t="inlineStr">
        <is>
          <t>Mock Rx20 UBU</t>
        </is>
      </c>
    </row>
    <row r="245" ht="13.2" customHeight="1" s="37">
      <c r="A245" s="2" t="n">
        <v>243</v>
      </c>
      <c r="B245" s="2" t="inlineStr">
        <is>
          <t>ผู้ป่วยใช้สิทธิประกันสุขภาพถ้วนหน้า สามารถได้รับการบริการอย่างไรในการรักษาโรคเอดส์ และโรคติดเชื้อฉวยโอกาสอย่างไร</t>
        </is>
      </c>
      <c r="C245" s="2" t="n"/>
      <c r="D245" s="2" t="inlineStr">
        <is>
          <t>เกณฑ์จริยธรรมว่าด้วยการส่งเสริมการขายยาของกระทรวงสาธารณสุข</t>
        </is>
      </c>
      <c r="E245" s="2" t="inlineStr">
        <is>
          <t>พ.ร.บ. ยา พ.ศ. 2510 (การจำหน่ายยาอันตรายและยาควบคุมพิเศษ)</t>
        </is>
      </c>
      <c r="F245" s="2" t="inlineStr">
        <is>
          <t>พ.ร.บ. ยาเสพติดให้โทษ พ.ศ. 2522 (ยาเสพติดให้โทษประเภท 2 และ 3)</t>
        </is>
      </c>
      <c r="G245" s="2" t="inlineStr">
        <is>
          <t>พ.ร.บ. วัตถุที่ออกฤทธิ์ต่อจิตและประสาท พ.ศ. 2559 (ประเภท 2 และ 4)</t>
        </is>
      </c>
      <c r="H245" s="2" t="inlineStr">
        <is>
          <t>พ.ร.บ. วิชาชีพเภสัชกรรม พ.ศ. 2537 และข้อบังคับจรรยาบรรณวิชาชีพ</t>
        </is>
      </c>
      <c r="I245" s="2" t="n">
        <v>1</v>
      </c>
      <c r="J24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5" s="2" t="n"/>
      <c r="L245" s="2" t="inlineStr">
        <is>
          <t>พ.ร.บ. ยา พ.ศ. 2510</t>
        </is>
      </c>
      <c r="M245" s="2" t="inlineStr">
        <is>
          <t>SAP</t>
        </is>
      </c>
      <c r="N245" s="2" t="inlineStr">
        <is>
          <t>ข้อ 52 (PLE_CC1_Key_Rx20_UBU.md)</t>
        </is>
      </c>
      <c r="O245" s="2" t="inlineStr">
        <is>
          <t>Mock</t>
        </is>
      </c>
      <c r="P245" s="2" t="inlineStr">
        <is>
          <t>Mock Rx20 UBU</t>
        </is>
      </c>
    </row>
    <row r="246" ht="13.2" customHeight="1" s="37">
      <c r="A246" s="2" t="n">
        <v>244</v>
      </c>
      <c r="B246" s="2" t="inlineStr">
        <is>
          <t>เภสัชกรสุอาภา สายสะอาด จบจากมหาวิทยาลัยภายในประเทศ ปฏิบัติหน้าที่ที่ร้านยาโดยระบุเวลาทำการ 17.00 – 20.00 น. โดยเภสัชกรสุอาภาไปทำงานทุกวัน ไม่เคยขาดไม่เคยสาย การโฆษณาที่สามารถขึ้นป้ายหน้าร้านยาในข้อใดสามารถกระทำได้โดยไม่ผิดกฎหมาย sls เSนAnionic Surfactmt ① ๐ INSU rActmt</t>
        </is>
      </c>
      <c r="C246" s="2" t="n"/>
      <c r="D246" s="2" t="inlineStr">
        <is>
          <t>พ.ร.บ. วัตถุที่ออกฤทธิ์ต่อจิตและประสาท พ.ศ. 2559 (ประเภท 2 และ 4)</t>
        </is>
      </c>
      <c r="E246" s="2" t="inlineStr">
        <is>
          <t>พ.ร.บ. วิชาชีพเภสัชกรรม พ.ศ. 2537 และข้อบังคับจรรยาบรรณวิชาชีพ</t>
        </is>
      </c>
      <c r="F246" s="2" t="inlineStr">
        <is>
          <t>พ.ร.บ. ผลิตภัณฑ์สมุนไพร พ.ศ. 2562</t>
        </is>
      </c>
      <c r="G246" s="2" t="inlineStr">
        <is>
          <t>พ.ร.บ. เครื่องสำอาง พ.ศ. 2558</t>
        </is>
      </c>
      <c r="H246" s="2" t="inlineStr">
        <is>
          <t>พ.ร.บ. หลักประกันสุขภาพแห่งชาติ พ.ศ. 2545</t>
        </is>
      </c>
      <c r="I246" s="2" t="n">
        <v>1</v>
      </c>
      <c r="J24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 s="2" t="n"/>
      <c r="L246" s="2" t="inlineStr">
        <is>
          <t>พ.ร.บ. ยา พ.ศ. 2510</t>
        </is>
      </c>
      <c r="M246" s="2" t="inlineStr">
        <is>
          <t>SAP</t>
        </is>
      </c>
      <c r="N246" s="2" t="inlineStr">
        <is>
          <t>ข้อ 62 (PLE_CC1_Key_Rx20_UBU.md)</t>
        </is>
      </c>
      <c r="O246" s="2" t="inlineStr">
        <is>
          <t>Mock</t>
        </is>
      </c>
      <c r="P246" s="2" t="inlineStr">
        <is>
          <t>Mock Rx20 UBU</t>
        </is>
      </c>
    </row>
    <row r="247" ht="13.2" customHeight="1" s="37">
      <c r="A247" s="2" t="n">
        <v>245</v>
      </c>
      <c r="B247" s="2" t="inlineStr">
        <is>
          <t>ยา Pioglitazone เป็นยาประเภทใดตามกฎหมาย</t>
        </is>
      </c>
      <c r="C247" s="2" t="n"/>
      <c r="D247" s="2" t="inlineStr">
        <is>
          <t>พ.ร.บ. เครื่องสำอาง พ.ศ. 2558</t>
        </is>
      </c>
      <c r="E247" s="2" t="inlineStr">
        <is>
          <t>พ.ร.บ. หลักประกันสุขภาพแห่งชาติ พ.ศ. 2545</t>
        </is>
      </c>
      <c r="F247" s="2" t="inlineStr">
        <is>
          <t>การปฏิบัติทางเภสัชกรรมชุมชน (Good Pharmacy Practice: GPP)</t>
        </is>
      </c>
      <c r="G247" s="2" t="inlineStr">
        <is>
          <t>บัญชียาหลักแห่งชาติ (National List of Essential Medicines: NLEM)</t>
        </is>
      </c>
      <c r="H247" s="2" t="inlineStr">
        <is>
          <t>เกณฑ์จริยธรรมว่าด้วยการส่งเสริมการขายยาของกระทรวงสาธารณสุข</t>
        </is>
      </c>
      <c r="I247" s="2" t="n">
        <v>1</v>
      </c>
      <c r="J24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7" s="2" t="n"/>
      <c r="L247" s="2" t="inlineStr">
        <is>
          <t>พ.ร.บ. ยา พ.ศ. 2510</t>
        </is>
      </c>
      <c r="M247" s="2" t="inlineStr">
        <is>
          <t>SAP</t>
        </is>
      </c>
      <c r="N247" s="2" t="inlineStr">
        <is>
          <t>ข้อ 69 (PLE_CC1_Key_Rx20_UBU.md)</t>
        </is>
      </c>
      <c r="O247" s="2" t="inlineStr">
        <is>
          <t>Mock</t>
        </is>
      </c>
      <c r="P247" s="2" t="inlineStr">
        <is>
          <t>Mock Rx20 UBU</t>
        </is>
      </c>
    </row>
    <row r="248" ht="13.2" customHeight="1" s="37">
      <c r="A248" s="2" t="n">
        <v>246</v>
      </c>
      <c r="B248" s="2" t="inlineStr">
        <is>
          <t>หากเภสัชกรตัดสินใจจ่ายยา Misoprostal ให้แก่ผู้หญิงที่ตั้งครรภ์ไม่พึงประสงค์จะผิดจรรยาบรรณวิชาชีพข้อใด</t>
        </is>
      </c>
      <c r="C248" s="2" t="n"/>
      <c r="D248" s="2" t="inlineStr">
        <is>
          <t>บัญชียาหลักแห่งชาติ (National List of Essential Medicines: NLEM)</t>
        </is>
      </c>
      <c r="E248" s="2" t="inlineStr">
        <is>
          <t>เกณฑ์จริยธรรมว่าด้วยการส่งเสริมการขายยาของกระทรวงสาธารณสุข</t>
        </is>
      </c>
      <c r="F248" s="2" t="inlineStr">
        <is>
          <t>พ.ร.บ. ยา พ.ศ. 2510 (การจำหน่ายยาอันตรายและยาควบคุมพิเศษ)</t>
        </is>
      </c>
      <c r="G248" s="2" t="inlineStr">
        <is>
          <t>พ.ร.บ. ยาเสพติดให้โทษ พ.ศ. 2522 (ยาเสพติดให้โทษประเภท 2 และ 3)</t>
        </is>
      </c>
      <c r="H248" s="2" t="inlineStr">
        <is>
          <t>พ.ร.บ. วัตถุที่ออกฤทธิ์ต่อจิตและประสาท พ.ศ. 2559 (ประเภท 2 และ 4)</t>
        </is>
      </c>
      <c r="I248" s="2" t="n">
        <v>1</v>
      </c>
      <c r="J24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8" s="2" t="n"/>
      <c r="L248" s="2" t="inlineStr">
        <is>
          <t>พ.ร.บ. วิชาชีพเภสัชกรรม 2537</t>
        </is>
      </c>
      <c r="M248" s="2" t="inlineStr">
        <is>
          <t>SAP</t>
        </is>
      </c>
      <c r="N248" s="2" t="inlineStr">
        <is>
          <t>ข้อ 85 (PLE_CC1_Key_Rx20_UBU.md)</t>
        </is>
      </c>
      <c r="O248" s="2" t="inlineStr">
        <is>
          <t>Mock</t>
        </is>
      </c>
      <c r="P248" s="2" t="inlineStr">
        <is>
          <t>Mock Rx20 UBU</t>
        </is>
      </c>
    </row>
    <row r="249" ht="13.2" customHeight="1" s="37">
      <c r="A249" s="2" t="n">
        <v>247</v>
      </c>
      <c r="B249" s="2" t="inlineStr">
        <is>
          <t>จรรยาบรรณวิชาชีพที่เกี่ยวข้องกับความปลอดภัยของผู้ป่วย</t>
        </is>
      </c>
      <c r="C249" s="2" t="n"/>
      <c r="D249" s="2" t="inlineStr">
        <is>
          <t>พ.ร.บ. ยาเสพติดให้โทษ พ.ศ. 2522 (ยาเสพติดให้โทษประเภท 2 และ 3)</t>
        </is>
      </c>
      <c r="E249" s="2" t="inlineStr">
        <is>
          <t>พ.ร.บ. วัตถุที่ออกฤทธิ์ต่อจิตและประสาท พ.ศ. 2559 (ประเภท 2 และ 4)</t>
        </is>
      </c>
      <c r="F249" s="2" t="inlineStr">
        <is>
          <t>พ.ร.บ. วิชาชีพเภสัชกรรม พ.ศ. 2537 และข้อบังคับจรรยาบรรณวิชาชีพ</t>
        </is>
      </c>
      <c r="G249" s="2" t="inlineStr">
        <is>
          <t>พ.ร.บ. ผลิตภัณฑ์สมุนไพร พ.ศ. 2562</t>
        </is>
      </c>
      <c r="H249" s="2" t="inlineStr">
        <is>
          <t>พ.ร.บ. เครื่องสำอาง พ.ศ. 2558</t>
        </is>
      </c>
      <c r="I249" s="2" t="n">
        <v>1</v>
      </c>
      <c r="J24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9" s="2" t="n"/>
      <c r="L249" s="2" t="inlineStr">
        <is>
          <t>พ.ร.บ. วิชาชีพเภสัชกรรม 2537</t>
        </is>
      </c>
      <c r="M249" s="2" t="inlineStr">
        <is>
          <t>SAP</t>
        </is>
      </c>
      <c r="N249" s="2" t="inlineStr">
        <is>
          <t>ข้อ 4 (PLE_CC1_Key_Rx20_UBU.md)</t>
        </is>
      </c>
      <c r="O249" s="2" t="inlineStr">
        <is>
          <t>Mock</t>
        </is>
      </c>
      <c r="P249" s="2" t="inlineStr">
        <is>
          <t>Mock Rx20 UBU</t>
        </is>
      </c>
    </row>
    <row r="250" ht="13.2" customHeight="1" s="37">
      <c r="A250" s="2" t="n">
        <v>248</v>
      </c>
      <c r="B250" s="2" t="inlineStr">
        <is>
          <t>ว่าด้วยเรื่องเสื่อมเสียชื่อเสียง เกียรติยศ ศักดิ์ศรีของวิชาชีพเภสัชกรรม ตอบ 4. จรรยาบรรณวิชาชีพที่เกี่ยวข้องกับความปลอดภัยของผู้ป่วย ข้อสอบวัดความรู้ทางเภสัชศาสตร์เชิงบูรณาการ (MCQ) ครั้งที่1/2557 เพื่อขึ้นทะเบียนเป็นผู้ประกอบวิชาชีพเภสัชกรรม ประจำปี พ.ศ 2557 รอบที่ 1 สถานการณ)ที่ 1 ผู$ป&amp;วยเด็กชาย อายุ 10 ป3 มาร$านยาพร$อมมารดา เพื่อขอซื้อยารักษาอาการนํ้ำร$อนลวกที่บริเวณนGองด$านซ$าย จากการซักประวัติพบวGา ผู$ป&amp;วยมีประวัติแพ$ยากลุGม penicillins</t>
        </is>
      </c>
      <c r="C250" s="2" t="n"/>
      <c r="D250" s="2" t="inlineStr">
        <is>
          <t>พ.ร.บ. ผลิตภัณฑ์สมุนไพร พ.ศ. 2562</t>
        </is>
      </c>
      <c r="E250" s="2" t="inlineStr">
        <is>
          <t>พ.ร.บ. เครื่องสำอาง พ.ศ. 2558</t>
        </is>
      </c>
      <c r="F250" s="2" t="inlineStr">
        <is>
          <t>พ.ร.บ. หลักประกันสุขภาพแห่งชาติ พ.ศ. 2545</t>
        </is>
      </c>
      <c r="G250" s="2" t="inlineStr">
        <is>
          <t>การปฏิบัติทางเภสัชกรรมชุมชน (Good Pharmacy Practice: GPP)</t>
        </is>
      </c>
      <c r="H250" s="2" t="inlineStr">
        <is>
          <t>บัญชียาหลักแห่งชาติ (National List of Essential Medicines: NLEM)</t>
        </is>
      </c>
      <c r="I250" s="2" t="n">
        <v>1</v>
      </c>
      <c r="J25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0" s="2" t="n"/>
      <c r="L250" s="2" t="inlineStr">
        <is>
          <t>พ.ร.บ. วิชาชีพเภสัชกรรม 2537</t>
        </is>
      </c>
      <c r="M250" s="2" t="inlineStr">
        <is>
          <t>SAP</t>
        </is>
      </c>
      <c r="N250" s="2" t="inlineStr">
        <is>
          <t>ข้อ 5 (PLE_CC1_Key_Rx20_UBU.md)</t>
        </is>
      </c>
      <c r="O250" s="2" t="inlineStr">
        <is>
          <t>Mock</t>
        </is>
      </c>
      <c r="P250" s="2" t="inlineStr">
        <is>
          <t>Mock Rx20 UBU</t>
        </is>
      </c>
    </row>
    <row r="251" ht="13.2" customHeight="1" s="37">
      <c r="A251" s="2" t="n">
        <v>249</v>
      </c>
      <c r="B251" s="2" t="inlineStr">
        <is>
          <t>ยาลดไขมัน 2 ชนิด มีประสิทธิภาพในการลดไขมันเทGาเทียมกัน แตGมีราคาแตกตGางกัน การศึกษาทางเศรษฐศาสตร_ ในข$อใดจะเปญนเครื่องมือในการชGวยตัดสินความคุ$มคGาในการเลือกใช$ยาเพื่อลดไขมัน</t>
        </is>
      </c>
      <c r="C251" s="2" t="n"/>
      <c r="D251" s="2" t="inlineStr">
        <is>
          <t>Cost description</t>
        </is>
      </c>
      <c r="E251" s="2" t="inlineStr">
        <is>
          <t>Cost minimization analysis</t>
        </is>
      </c>
      <c r="F251" s="2" t="inlineStr">
        <is>
          <t>Cost beneﬁt analysis</t>
        </is>
      </c>
      <c r="G251" s="2" t="inlineStr">
        <is>
          <t>Cost utility analysis</t>
        </is>
      </c>
      <c r="H251" s="2" t="inlineStr">
        <is>
          <t>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t>
        </is>
      </c>
      <c r="I251" s="2" t="n">
        <v>2</v>
      </c>
      <c r="J251" s="2" t="inlineStr">
        <is>
          <t>✅ คำตอบที่ถูกต้อง: ข้อ ข. Cost minimization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minimization analysis 💡 คำอธิบายและข้อกำหนดทางกฎหมาย:
💡 คำอธิบายและข้อกำหนดทางกฎหมาย:
การเลือก Cost minimization analysis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(Cost description): ข้อนี้ไม่ใช่คำตอบที่ถูกต้องสำหรับภาวะ พ.ร.บ. ยา พ.ศ. 2510 เนื่องจากกลไกการออกฤทธิ์, efficacy หรือข้อบ่งใช้ไม่ตรงกับโจทย์ที่กำหนด
• ข้อ ค. (Cost beneﬁt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ง. (Cost utility analysis): ข้อนี้ไม่ใช่คำตอบที่ถูกต้องสำหรับภาวะ พ.ร.บ. ยา พ.ศ. 2510 เนื่องจากกลไกการออกฤทธิ์, efficacy หรือข้อบ่งใช้ไม่ตรงกับโจทย์ที่กำหนด
• ข้อ จ.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1" s="2" t="n"/>
      <c r="L251" s="2" t="inlineStr">
        <is>
          <t>พ.ร.บ. ยา พ.ศ. 2510</t>
        </is>
      </c>
      <c r="M251" s="2" t="inlineStr">
        <is>
          <t>SAP</t>
        </is>
      </c>
      <c r="N251" s="2" t="inlineStr">
        <is>
          <t>ข้อ 34 (PLE_CC1_Key_Rx20_UBU.md)</t>
        </is>
      </c>
      <c r="O251" s="2" t="inlineStr">
        <is>
          <t>Mock</t>
        </is>
      </c>
      <c r="P251" s="2" t="inlineStr">
        <is>
          <t>Mock Rx20 UBU</t>
        </is>
      </c>
    </row>
    <row r="252" ht="13.2" customHeight="1" s="37">
      <c r="A252" s="2" t="n">
        <v>250</v>
      </c>
      <c r="B252" s="2" t="inlineStr">
        <is>
          <t>หลังจากผู$ป&amp;วยรับประทานยาไประยะหนึ่ง เริ่มมีอาการปวดเต$านม ตึงคัดเต$านม คลื่นไส$อาเจียน เกิดจากสาเหตุใด และแก$ไขได$อยGางไร (1) เกิดจากยา Estradiol valerate แก$ไขโดยการเปลี่ยนยาเปญน tibolone (2) เกิดจากยา Norethisterone acetate แก$ไขโดยการเปลี่ยนยาเปญน tibolone (3) เกิดจากยา Estradiol valerate แก$ไขโดยการเปลี่ยนยาเปญน Raloxifene (4) เกิดจากยา Norethisterone acetate แก$ไขโดยการเปลี่ยนยาเปญน Raloxifene (5) เกิดจากยา Estradiol valerate แก$ไขโดยการเปลี่ยนยาเปญน Conjugated estrogen (1) Tibolone เปญนสเตียรอยด_สังเคราะห_ (C-19 nortestosterone derivative) ซึ่งเมื่ถูกเมตาบอไลท_แล$วออกฤทธิ์ทั้งเอสโตรเจน โปรเจสโตเจนและแอนโดรเจน มีผลดีตGอการรักษาเรื่อง vasomortor symptoms ชGองคลอดแห$งและปนองกันการสลายของกระดูกได$ โดยเกิดเลือดออกผิดปกติน$อยกวGาการให$ฮอร_โมน อยGางไรก็ตามการศึกษายังพบวGา การใช$ tibolone อาจมีประสิทธิภาพน$อยกวGาการให$ฮอร_โมนรวม และการศึกษา LIBERATE study การใช$ tibolone เปญนเวลานานจะเพิ่มความเสี่ยงตGอการกลับเปญนซ้ำของมะเร็งเต$านมในผู$ที่เคยมีประวัติมะเร็งเต$านมที่ทำการรัก ษาด$วยการผGาตัดภายใน 5 ป3 พบวGามีอัตราการกลับเปญนซ้ำของมะเร็งเต$านม 15 ใน 1000 คนตGอป3 ในการศึกษา 3.1 ป3และมีการศึกษาที่พบวGาเพิ่มการเกิด stroke ในผู$ที่อายุมากกวGา 60 ป3 ในUS FDA ยังไมGได$รับรองการใช$ tibolone (3) Raloxifene: Selective Estrogen Receptor Modulator (SERM) indication: Osteoporosis prevention in postmenopausal females, มัก add on (5) Conjugated estrogen / Conjugated equine estrogens: contain a mixture of estrone sulfate, equilin sulfate, 17 alpha-dihydroequilin, 17 alpha- estradiol and 17 beta-dihydroequilin. ADR: breast tendernes(&lt;1%)</t>
        </is>
      </c>
      <c r="C252" s="2" t="n"/>
      <c r="D252" s="2" t="inlineStr">
        <is>
          <t>พ.ร.บ. ยา พ.ศ. 2510 (การจำหน่ายยาอันตรายและยาควบคุมพิเศษ)</t>
        </is>
      </c>
      <c r="E252" s="2" t="inlineStr">
        <is>
          <t>พ.ร.บ. ยาเสพติดให้โทษ พ.ศ. 2522 (ยาเสพติดให้โทษประเภท 2 และ 3)</t>
        </is>
      </c>
      <c r="F252" s="2" t="inlineStr">
        <is>
          <t>พ.ร.บ. วัตถุที่ออกฤทธิ์ต่อจิตและประสาท พ.ศ. 2559 (ประเภท 2 และ 4)</t>
        </is>
      </c>
      <c r="G252" s="2" t="inlineStr">
        <is>
          <t>พ.ร.บ. วิชาชีพเภสัชกรรม พ.ศ. 2537 และข้อบังคับจรรยาบรรณวิชาชีพ</t>
        </is>
      </c>
      <c r="H252" s="2" t="inlineStr">
        <is>
          <t>พ.ร.บ. ผลิตภัณฑ์สมุนไพร พ.ศ. 2562</t>
        </is>
      </c>
      <c r="I252" s="2" t="n">
        <v>1</v>
      </c>
      <c r="J25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2" t="n"/>
      <c r="L252" s="2" t="inlineStr">
        <is>
          <t>พ.ร.บ. ยา พ.ศ. 2510</t>
        </is>
      </c>
      <c r="M252" s="2" t="inlineStr">
        <is>
          <t>SAP</t>
        </is>
      </c>
      <c r="N252" s="2" t="inlineStr">
        <is>
          <t>ข้อ 43 (PLE_CC1_Key_Rx20_UBU.md)</t>
        </is>
      </c>
      <c r="O252" s="2" t="inlineStr">
        <is>
          <t>Mock</t>
        </is>
      </c>
      <c r="P252" s="2" t="inlineStr">
        <is>
          <t>Mock Rx20 UBU</t>
        </is>
      </c>
    </row>
    <row r="253" ht="13.2" customHeight="1" s="37">
      <c r="A253" s="2" t="n">
        <v>251</v>
      </c>
      <c r="B253" s="2" t="inlineStr">
        <is>
          <t>Budesonide MDI และ Seretideห Accuhalerห จัดเปญนยาประเภทใดตามกฎหมายตามลำดับ (1) ยาควบคุมพิเศษ และ ยาอันตราย (2) ยาอันตราย และ ยาควบคุมพิเศษ (3) ยาควบคุมพิเศษซึ่งจำหนGายได$เฉพาะสถานพยาบาลที่รับผู$ป&amp;วยค$างคืน และ ยาอันตราย (4) ยาอันตราย และ ยาอันตราย (5) ยาควบคุมพิเศษ และ ยาควบคุมพิเศษ สถานการณ)ที 8 ผู$ป&amp;วยชายไทย อายุ 45 ป3 เนืองจากมีภาวะปวดท$อง ไมGมีอาเจียนเปญนเลือดสด ไมGมีภาวะถGายดำ ไมGมีไข$ จากการซักประวัติพบวGา ผู$ป&amp;วยมีประวัติดื่มแอลกอฮอล_วันละ 1 แบน มานานประมาณ 20 ป3 โดยดื่มครั้งสุดท$ายเมื่อ 2 วันกGอนมาโรงพยาบาล แพทย_วินิจฉัยวGาผู$ป&amp;วยมีภาวะ alcoholic cirrhosis</t>
        </is>
      </c>
      <c r="C253" s="2" t="n"/>
      <c r="D253" s="2" t="inlineStr">
        <is>
          <t>พ.ร.บ. วิชาชีพเภสัชกรรม พ.ศ. 2537 และข้อบังคับจรรยาบรรณวิชาชีพ</t>
        </is>
      </c>
      <c r="E253" s="2" t="inlineStr">
        <is>
          <t>พ.ร.บ. ผลิตภัณฑ์สมุนไพร พ.ศ. 2562</t>
        </is>
      </c>
      <c r="F253" s="2" t="inlineStr">
        <is>
          <t>พ.ร.บ. เครื่องสำอาง พ.ศ. 2558</t>
        </is>
      </c>
      <c r="G253" s="2" t="inlineStr">
        <is>
          <t>พ.ร.บ. หลักประกันสุขภาพแห่งชาติ พ.ศ. 2545</t>
        </is>
      </c>
      <c r="H253" s="2" t="inlineStr">
        <is>
          <t>การปฏิบัติทางเภสัชกรรมชุมชน (Good Pharmacy Practice: GPP)</t>
        </is>
      </c>
      <c r="I253" s="2" t="n">
        <v>3</v>
      </c>
      <c r="J253" s="2" t="inlineStr">
        <is>
          <t>✅ คำตอบที่ถูกต้อง: ข้อ ค.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3" s="2" t="n"/>
      <c r="L253" s="2" t="inlineStr">
        <is>
          <t>พ.ร.บ. ยา พ.ศ. 2510</t>
        </is>
      </c>
      <c r="M253" s="2" t="inlineStr">
        <is>
          <t>SAP</t>
        </is>
      </c>
      <c r="N253" s="2" t="inlineStr">
        <is>
          <t>ข้อ 55 (PLE_CC1_Key_Rx20_UBU.md)</t>
        </is>
      </c>
      <c r="O253" s="2" t="inlineStr">
        <is>
          <t>Mock</t>
        </is>
      </c>
      <c r="P253" s="2" t="inlineStr">
        <is>
          <t>Mock Rx20 UBU</t>
        </is>
      </c>
    </row>
    <row r="254" ht="13.2" customHeight="1" s="37">
      <c r="A254" s="2" t="n">
        <v>252</v>
      </c>
      <c r="B254" s="2" t="inlineStr">
        <is>
          <t>ไมGได$ เพราะ เพราะ พรบ.ยา หมวด 11 การโฆษณา มาตรา 88 ข$อ 6. ไมGแสดงยาอันตราย,ยาควบคุมพิเศษ</t>
        </is>
      </c>
      <c r="C254" s="2" t="n"/>
      <c r="D254" s="2" t="inlineStr">
        <is>
          <t>พ.ร.บ. หลักประกันสุขภาพแห่งชาติ พ.ศ. 2545</t>
        </is>
      </c>
      <c r="E254" s="2" t="inlineStr">
        <is>
          <t>การปฏิบัติทางเภสัชกรรมชุมชน (Good Pharmacy Practice: GPP)</t>
        </is>
      </c>
      <c r="F254" s="2" t="inlineStr">
        <is>
          <t>บัญชียาหลักแห่งชาติ (National List of Essential Medicines: NLEM)</t>
        </is>
      </c>
      <c r="G254" s="2" t="inlineStr">
        <is>
          <t>เกณฑ์จริยธรรมว่าด้วยการส่งเสริมการขายยาของกระทรวงสาธารณสุข</t>
        </is>
      </c>
      <c r="H254" s="2" t="inlineStr">
        <is>
          <t>พ.ร.บ. ยา พ.ศ. 2510 (การจำหน่ายยาอันตรายและยาควบคุมพิเศษ)</t>
        </is>
      </c>
      <c r="I254" s="2" t="n">
        <v>2</v>
      </c>
      <c r="J254" s="2" t="inlineStr">
        <is>
          <t>✅ คำตอบที่ถูกต้อง: ข้อ ข.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4" s="2" t="n"/>
      <c r="L254" s="2" t="inlineStr">
        <is>
          <t>พ.ร.บ. ยา พ.ศ. 2510</t>
        </is>
      </c>
      <c r="M254" s="2" t="inlineStr">
        <is>
          <t>SAP</t>
        </is>
      </c>
      <c r="N254" s="2" t="inlineStr">
        <is>
          <t>ข้อ 5 (PLE_CC1_Key_Rx20_UBU.md)</t>
        </is>
      </c>
      <c r="O254" s="2" t="inlineStr">
        <is>
          <t>Mock</t>
        </is>
      </c>
      <c r="P254" s="2" t="inlineStr">
        <is>
          <t>Mock Rx20 UBU</t>
        </is>
      </c>
    </row>
    <row r="255" ht="13.2" customHeight="1" s="37">
      <c r="A255" s="2" t="n">
        <v>253</v>
      </c>
      <c r="B255" s="2" t="inlineStr">
        <is>
          <t>Isotetinoin gel กับ isotetinoin capsule จัดเปญนยาประเภทใดตามกฎหมาย</t>
        </is>
      </c>
      <c r="C255" s="2" t="n"/>
      <c r="D255" s="2" t="inlineStr">
        <is>
          <t>เกณฑ์จริยธรรมว่าด้วยการส่งเสริมการขายยาของกระทรวงสาธารณสุข</t>
        </is>
      </c>
      <c r="E255" s="2" t="inlineStr">
        <is>
          <t>พ.ร.บ. ยา พ.ศ. 2510 (การจำหน่ายยาอันตรายและยาควบคุมพิเศษ)</t>
        </is>
      </c>
      <c r="F255" s="2" t="inlineStr">
        <is>
          <t>พ.ร.บ. ยาเสพติดให้โทษ พ.ศ. 2522 (ยาเสพติดให้โทษประเภท 2 และ 3)</t>
        </is>
      </c>
      <c r="G255" s="2" t="inlineStr">
        <is>
          <t>พ.ร.บ. วัตถุที่ออกฤทธิ์ต่อจิตและประสาท พ.ศ. 2559 (ประเภท 2 และ 4)</t>
        </is>
      </c>
      <c r="H255" s="2" t="inlineStr">
        <is>
          <t>พ.ร.บ. วิชาชีพเภสัชกรรม พ.ศ. 2537 และข้อบังคับจรรยาบรรณวิชาชีพ</t>
        </is>
      </c>
      <c r="I255" s="2" t="n">
        <v>1</v>
      </c>
      <c r="J25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5" s="2" t="n"/>
      <c r="L255" s="2" t="inlineStr">
        <is>
          <t>พ.ร.บ. ยา พ.ศ. 2510</t>
        </is>
      </c>
      <c r="M255" s="2" t="inlineStr">
        <is>
          <t>SAP</t>
        </is>
      </c>
      <c r="N255" s="2" t="inlineStr">
        <is>
          <t>ข้อ 10 (PLE_CC1_Key_Rx20_UBU.md)</t>
        </is>
      </c>
      <c r="O255" s="2" t="inlineStr">
        <is>
          <t>Mock</t>
        </is>
      </c>
      <c r="P255" s="2" t="inlineStr">
        <is>
          <t>Mock Rx20 UBU</t>
        </is>
      </c>
    </row>
    <row r="256" ht="13.2" customHeight="1" s="37">
      <c r="A256" s="2" t="n">
        <v>254</v>
      </c>
      <c r="B256" s="2" t="inlineStr">
        <is>
          <t>การฉีดยาทาง IM ให$คGาชีวประสิทธิผล (Bioavailability) 100%</t>
        </is>
      </c>
      <c r="C256" s="2" t="n"/>
      <c r="D256" s="2" t="inlineStr">
        <is>
          <t>พ.ร.บ. วัตถุที่ออกฤทธิ์ต่อจิตและประสาท พ.ศ. 2559 (ประเภท 2 และ 4)</t>
        </is>
      </c>
      <c r="E256" s="2" t="inlineStr">
        <is>
          <t>พ.ร.บ. วิชาชีพเภสัชกรรม พ.ศ. 2537 และข้อบังคับจรรยาบรรณวิชาชีพ</t>
        </is>
      </c>
      <c r="F256" s="2" t="inlineStr">
        <is>
          <t>พ.ร.บ. ผลิตภัณฑ์สมุนไพร พ.ศ. 2562</t>
        </is>
      </c>
      <c r="G256" s="2" t="inlineStr">
        <is>
          <t>พ.ร.บ. เครื่องสำอาง พ.ศ. 2558</t>
        </is>
      </c>
      <c r="H256" s="2" t="inlineStr">
        <is>
          <t>พ.ร.บ. หลักประกันสุขภาพแห่งชาติ พ.ศ. 2545</t>
        </is>
      </c>
      <c r="I256" s="2" t="n">
        <v>1</v>
      </c>
      <c r="J25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6" s="2" t="n"/>
      <c r="L256" s="2" t="inlineStr">
        <is>
          <t>พ.ร.บ. ยา พ.ศ. 2510</t>
        </is>
      </c>
      <c r="M256" s="2" t="inlineStr">
        <is>
          <t>SAP</t>
        </is>
      </c>
      <c r="N256" s="2" t="inlineStr">
        <is>
          <t>ข้อ 3 (PLE_CC1_Key_Rx20_UBU.md)</t>
        </is>
      </c>
      <c r="O256" s="2" t="inlineStr">
        <is>
          <t>Mock</t>
        </is>
      </c>
      <c r="P256" s="2" t="inlineStr">
        <is>
          <t>Mock Rx20 UBU</t>
        </is>
      </c>
    </row>
    <row r="257" ht="13.2" customHeight="1" s="37">
      <c r="A257" s="2" t="n">
        <v>255</v>
      </c>
      <c r="B257" s="2" t="inlineStr">
        <is>
          <t>ในการควบคุมคุณภาพ Fluoxetine ด$วย HPLC พบวGามีการกำหนด Condition ไว$ดังนี้ อยากทราบวGาทGานจะเตรียม Mobile phase อยGางไร กำหนด Mobile phase - Methanol: Water (40:60) คGา Retention time….. คGาสัมประสิทธิ์การแยก….คGา… (ยา Fluoxetine มีคGา pKa = 9.8)</t>
        </is>
      </c>
      <c r="C257" s="2" t="n"/>
      <c r="D257" s="2" t="inlineStr">
        <is>
          <t>พ.ร.บ. เครื่องสำอาง พ.ศ. 2558</t>
        </is>
      </c>
      <c r="E257" s="2" t="inlineStr">
        <is>
          <t>พ.ร.บ. หลักประกันสุขภาพแห่งชาติ พ.ศ. 2545</t>
        </is>
      </c>
      <c r="F257" s="2" t="inlineStr">
        <is>
          <t>การปฏิบัติทางเภสัชกรรมชุมชน (Good Pharmacy Practice: GPP)</t>
        </is>
      </c>
      <c r="G257" s="2" t="inlineStr">
        <is>
          <t>บัญชียาหลักแห่งชาติ (National List of Essential Medicines: NLEM)</t>
        </is>
      </c>
      <c r="H257" s="2" t="inlineStr">
        <is>
          <t>เกณฑ์จริยธรรมว่าด้วยการส่งเสริมการขายยาของกระทรวงสาธารณสุข</t>
        </is>
      </c>
      <c r="I257" s="2" t="n">
        <v>1</v>
      </c>
      <c r="J25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7" s="2" t="n"/>
      <c r="L257" s="2" t="inlineStr">
        <is>
          <t>พ.ร.บ. ยา พ.ศ. 2510</t>
        </is>
      </c>
      <c r="M257" s="2" t="inlineStr">
        <is>
          <t>SAP</t>
        </is>
      </c>
      <c r="N257" s="2" t="inlineStr">
        <is>
          <t>ข้อ 77 (PLE_CC1_Key_Rx20_UBU.md)</t>
        </is>
      </c>
      <c r="O257" s="2" t="inlineStr">
        <is>
          <t>Mock</t>
        </is>
      </c>
      <c r="P257" s="2" t="inlineStr">
        <is>
          <t>Mock Rx20 UBU</t>
        </is>
      </c>
    </row>
    <row r="258" ht="13.2" customHeight="1" s="37">
      <c r="A258" s="2" t="n">
        <v>256</v>
      </c>
      <c r="B258" s="2" t="inlineStr">
        <is>
          <t>มีถามกฎหมาย เกี่ยวกับ Alprazolam P2 โจทย_ไมGสมบูรณ_</t>
        </is>
      </c>
      <c r="C258" s="2" t="n"/>
      <c r="D258" s="2" t="inlineStr">
        <is>
          <t>บัญชียาหลักแห่งชาติ (National List of Essential Medicines: NLEM)</t>
        </is>
      </c>
      <c r="E258" s="2" t="inlineStr">
        <is>
          <t>เกณฑ์จริยธรรมว่าด้วยการส่งเสริมการขายยาของกระทรวงสาธารณสุข</t>
        </is>
      </c>
      <c r="F258" s="2" t="inlineStr">
        <is>
          <t>พ.ร.บ. ยา พ.ศ. 2510 (การจำหน่ายยาอันตรายและยาควบคุมพิเศษ)</t>
        </is>
      </c>
      <c r="G258" s="2" t="inlineStr">
        <is>
          <t>พ.ร.บ. ยาเสพติดให้โทษ พ.ศ. 2522 (ยาเสพติดให้โทษประเภท 2 และ 3)</t>
        </is>
      </c>
      <c r="H258" s="2" t="inlineStr">
        <is>
          <t>พ.ร.บ. วัตถุที่ออกฤทธิ์ต่อจิตและประสาท พ.ศ. 2559 (ประเภท 2 และ 4)</t>
        </is>
      </c>
      <c r="I258" s="2" t="n">
        <v>1</v>
      </c>
      <c r="J25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8" s="2" t="n"/>
      <c r="L258" s="2" t="inlineStr">
        <is>
          <t>พ.ร.บ. ยา พ.ศ. 2510</t>
        </is>
      </c>
      <c r="M258" s="2" t="inlineStr">
        <is>
          <t>SAP</t>
        </is>
      </c>
      <c r="N258" s="2" t="inlineStr">
        <is>
          <t>ข้อ 78 (PLE_CC1_Key_Rx20_UBU.md)</t>
        </is>
      </c>
      <c r="O258" s="2" t="inlineStr">
        <is>
          <t>Mock</t>
        </is>
      </c>
      <c r="P258" s="2" t="inlineStr">
        <is>
          <t>Mock Rx20 UBU</t>
        </is>
      </c>
    </row>
    <row r="259" ht="13.2" customHeight="1" s="37">
      <c r="A259" s="2" t="n">
        <v>257</v>
      </c>
      <c r="B259" s="2" t="inlineStr">
        <is>
          <t>นายเอกได$ซื้อยาลูกกลอน ข$างกลGองเขียนวGา “ยาบำรุงโลหิต” และ “ยาแผนโบราณ” มาจากร$านยาจำนวนมาก แล$วนำมาขายตรงให$กับผู$สูงอายุในชุมชน อยากทราบวGาการกระทำของนายเอกกระทำได$ตามกฎหมายยาหรือไมG</t>
        </is>
      </c>
      <c r="C259" s="2" t="n"/>
      <c r="D259" s="2" t="inlineStr">
        <is>
          <t>กระทำไมGได$ เนื่องจากเปญนการขายยานอกสถานที่</t>
        </is>
      </c>
      <c r="E259" s="2" t="inlineStr">
        <is>
          <t>กระทำไมGได$ เนื่องจากเปญนการขายยาโดยไมGได$รับอนุญาต</t>
        </is>
      </c>
      <c r="F259" s="2" t="inlineStr">
        <is>
          <t>กระทำได$ เนื่องจากเปญนการขายยาสามัญประจำบ$าน??? (ไมGแนGใจ)</t>
        </is>
      </c>
      <c r="G259" s="2" t="inlineStr">
        <is>
          <t>กระทำได$ เนื่องจากเปญนการขายยาสมุนไพร</t>
        </is>
      </c>
      <c r="H259" s="2" t="inlineStr">
        <is>
          <t>กระทำได$หากนายเอกเปญนผู$ประกอบวิชาชีพเวชกรรมแผนไทย</t>
        </is>
      </c>
      <c r="I259" s="2" t="n">
        <v>2</v>
      </c>
      <c r="J259" s="2" t="inlineStr">
        <is>
          <t>✅ คำตอบที่ถูกต้อง: ข้อ ข. กระทำไมGได$ เนื่องจากเปญนการขายยาโดยไมGได$รับอนุญาต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กระทำไมGได$ เนื่องจากเปญนการขายยาโดยไมGได$รับอนุญาต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 คำอธิบายและข้อกำหนดทางกฎหมาย:
💡 คำอธิบายและข้อกำหนดทางกฎหมาย:
การเลือก กระทำไม G ได$ เนื่องจากเปญนการขายยาโดยไม G 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(กระทำไมGได$ เนื่องจากเปญนการขายยานอกสถานที่): ข้อนี้ไม่ใช่คำตอบที่ถูกต้องสำหรับภาวะ พ.ร.บ. ยา พ.ศ. 2510 เนื่องจากกลไกการออกฤทธิ์, efficacy หรือข้อบ่งใช้ไม่ตรงกับโจทย์ที่กำหนด
• ข้อ ค. (กระทำได$ เนื่องจากเปญนการขายยาสามัญประจำบ$าน??? (ไมGแนGใจ)): ข้อนี้ไม่ใช่คำตอบที่ถูกต้องสำหรับภาวะ พ.ร.บ. ยา พ.ศ. 2510 เนื่องจากกลไกการออกฤทธิ์, efficacy หรือข้อบ่งใช้ไม่ตรงกับโจทย์ที่กำหนด
• ข้อ ง. (กระทำได$ เนื่องจากเปญนการขายยาสมุนไพร): ข้อนี้ไม่ใช่คำตอบที่ถูกต้องสำหรับภาวะ พ.ร.บ. ยา พ.ศ. 2510 เนื่องจากกลไกการออกฤทธิ์, efficacy หรือข้อบ่งใช้ไม่ตรงกับโจทย์ที่กำหนด
• ข้อ จ. (กระทำได$หากนายเอกเปญนผู$ประกอบวิชาชีพเวชกรรมแผนไทย):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9" s="2" t="n"/>
      <c r="L259" s="2" t="inlineStr">
        <is>
          <t>พ.ร.บ. ยา พ.ศ. 2510</t>
        </is>
      </c>
      <c r="M259" s="2" t="inlineStr">
        <is>
          <t>SAP</t>
        </is>
      </c>
      <c r="N259" s="2" t="inlineStr">
        <is>
          <t>ข้อ 88 (PLE_CC1_Key_Rx20_UBU.md)</t>
        </is>
      </c>
      <c r="O259" s="2" t="inlineStr">
        <is>
          <t>Mock</t>
        </is>
      </c>
      <c r="P259" s="2" t="inlineStr">
        <is>
          <t>Mock Rx20 UBU</t>
        </is>
      </c>
    </row>
    <row r="260" ht="13.2" customHeight="1" s="37">
      <c r="A260" s="2" t="n">
        <v>258</v>
      </c>
      <c r="B260" s="2" t="inlineStr">
        <is>
          <t>มีต$นทุน-ประสิทธิผลต่ำ</t>
        </is>
      </c>
      <c r="C260" s="2" t="n"/>
      <c r="D260" s="2" t="inlineStr">
        <is>
          <t>พ.ร.บ. ผลิตภัณฑ์สมุนไพร พ.ศ. 2562</t>
        </is>
      </c>
      <c r="E260" s="2" t="inlineStr">
        <is>
          <t>พ.ร.บ. เครื่องสำอาง พ.ศ. 2558</t>
        </is>
      </c>
      <c r="F260" s="2" t="inlineStr">
        <is>
          <t>พ.ร.บ. หลักประกันสุขภาพแห่งชาติ พ.ศ. 2545</t>
        </is>
      </c>
      <c r="G260" s="2" t="inlineStr">
        <is>
          <t>การปฏิบัติทางเภสัชกรรมชุมชน (Good Pharmacy Practice: GPP)</t>
        </is>
      </c>
      <c r="H260" s="2" t="inlineStr">
        <is>
          <t>บัญชียาหลักแห่งชาติ (National List of Essential Medicines: NLEM)</t>
        </is>
      </c>
      <c r="I260" s="2" t="n">
        <v>1</v>
      </c>
      <c r="J26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0" s="2" t="n"/>
      <c r="L260" s="2" t="inlineStr">
        <is>
          <t>พ.ร.บ. ยา พ.ศ. 2510</t>
        </is>
      </c>
      <c r="M260" s="2" t="inlineStr">
        <is>
          <t>SAP</t>
        </is>
      </c>
      <c r="N260" s="2" t="inlineStr">
        <is>
          <t>ข้อ 3 (PLE_CC1_Key_Rx20_UBU.md)</t>
        </is>
      </c>
      <c r="O260" s="2" t="inlineStr">
        <is>
          <t>Mock</t>
        </is>
      </c>
      <c r="P260" s="2" t="inlineStr">
        <is>
          <t>Mock Rx20 UBU</t>
        </is>
      </c>
    </row>
    <row r="261" ht="13.2" customHeight="1" s="37">
      <c r="A261" s="2" t="n">
        <v>259</v>
      </c>
      <c r="B261" s="2" t="inlineStr">
        <is>
          <t>มีต$นทุน-ประสิทธิภาพไมGดี</t>
        </is>
      </c>
      <c r="C261" s="2" t="n"/>
      <c r="D261" s="2" t="inlineStr">
        <is>
          <t>การปฏิบัติทางเภสัชกรรมชุมชน (Good Pharmacy Practice: GPP)</t>
        </is>
      </c>
      <c r="E261" s="2" t="inlineStr">
        <is>
          <t>บัญชียาหลักแห่งชาติ (National List of Essential Medicines: NLEM)</t>
        </is>
      </c>
      <c r="F261" s="2" t="inlineStr">
        <is>
          <t>เกณฑ์จริยธรรมว่าด้วยการส่งเสริมการขายยาของกระทรวงสาธารณสุข</t>
        </is>
      </c>
      <c r="G261" s="2" t="inlineStr">
        <is>
          <t>พ.ร.บ. ยา พ.ศ. 2510 (การจำหน่ายยาอันตรายและยาควบคุมพิเศษ)</t>
        </is>
      </c>
      <c r="H261" s="2" t="inlineStr">
        <is>
          <t>พ.ร.บ. ยาเสพติดให้โทษ พ.ศ. 2522 (ยาเสพติดให้โทษประเภท 2 และ 3)</t>
        </is>
      </c>
      <c r="I261" s="2" t="n">
        <v>1</v>
      </c>
      <c r="J26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1" s="2" t="n"/>
      <c r="L261" s="2" t="inlineStr">
        <is>
          <t>พ.ร.บ. ยา พ.ศ. 2510</t>
        </is>
      </c>
      <c r="M261" s="2" t="inlineStr">
        <is>
          <t>SAP</t>
        </is>
      </c>
      <c r="N261" s="2" t="inlineStr">
        <is>
          <t>ข้อ 4 (PLE_CC1_Key_Rx20_UBU.md)</t>
        </is>
      </c>
      <c r="O261" s="2" t="inlineStr">
        <is>
          <t>Mock</t>
        </is>
      </c>
      <c r="P261" s="2" t="inlineStr">
        <is>
          <t>Mock Rx20 UBU</t>
        </is>
      </c>
    </row>
    <row r="262" ht="13.2" customHeight="1" s="37">
      <c r="A262" s="2" t="n">
        <v>260</v>
      </c>
      <c r="B262" s="2" t="inlineStr">
        <is>
          <t>จากการศึกษาการใช$ยากลุGม Bisphosphonate ในผู$ป&amp;วยโรคกระดูกพรุนเปรียบเทียบประสิทธิภาพระหวGางยาเดิมและยาใหมG พบวGา มีคGา relative risk 1.28 (95%CI 0.89-1.32) ควรให$คำแนะนำแกGแพทย_ในโรงพยาบาลวGาอยGางไร</t>
        </is>
      </c>
      <c r="C262" s="2" t="n"/>
      <c r="D262" s="2" t="inlineStr">
        <is>
          <t>พ.ร.บ. ยา พ.ศ. 2510 (การจำหน่ายยาอันตรายและยาควบคุมพิเศษ)</t>
        </is>
      </c>
      <c r="E262" s="2" t="inlineStr">
        <is>
          <t>พ.ร.บ. ยาเสพติดให้โทษ พ.ศ. 2522 (ยาเสพติดให้โทษประเภท 2 และ 3)</t>
        </is>
      </c>
      <c r="F262" s="2" t="inlineStr">
        <is>
          <t>พ.ร.บ. วัตถุที่ออกฤทธิ์ต่อจิตและประสาท พ.ศ. 2559 (ประเภท 2 และ 4)</t>
        </is>
      </c>
      <c r="G262" s="2" t="inlineStr">
        <is>
          <t>พ.ร.บ. วิชาชีพเภสัชกรรม พ.ศ. 2537 และข้อบังคับจรรยาบรรณวิชาชีพ</t>
        </is>
      </c>
      <c r="H262" s="2" t="inlineStr">
        <is>
          <t>พ.ร.บ. ผลิตภัณฑ์สมุนไพร พ.ศ. 2562</t>
        </is>
      </c>
      <c r="I262" s="2" t="n">
        <v>1</v>
      </c>
      <c r="J262" s="2" t="inlineStr">
        <is>
          <t>✅ คำตอบที่ถูกต้อง: ข้อ ก. พ.ร.บ. ยา พ.ศ. 2510 (การจำหน่ายยาอันตรายและยาควบคุมพิเศษ)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ยา พ.ศ. 2510 (การจำหน่ายยาอันตรายและยาควบคุมพิเศษ)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2" s="2" t="n"/>
      <c r="L262" s="2" t="inlineStr">
        <is>
          <t>พ.ร.บ. ยา พ.ศ. 2510</t>
        </is>
      </c>
      <c r="M262" s="2" t="inlineStr">
        <is>
          <t>SAP</t>
        </is>
      </c>
      <c r="N262" s="2" t="inlineStr">
        <is>
          <t>ข้อ 103 (PLE_CC1_Key_Rx20_UBU.md)</t>
        </is>
      </c>
      <c r="O262" s="2" t="inlineStr">
        <is>
          <t>Mock</t>
        </is>
      </c>
      <c r="P262" s="2" t="inlineStr">
        <is>
          <t>Mock Rx20 UBU</t>
        </is>
      </c>
    </row>
    <row r="263" ht="13.2" customHeight="1" s="37">
      <c r="A263" s="2" t="n">
        <v>261</v>
      </c>
      <c r="B263" s="2" t="inlineStr">
        <is>
          <t>แนะนำให$ใช$ยาใหมG เนื่องจากยาใหมGมีประสิทธิภาพดีกวGาอยGางมีนัยสำคัญทางสถิติ</t>
        </is>
      </c>
      <c r="C263" s="2" t="n"/>
      <c r="D263" s="2" t="inlineStr">
        <is>
          <t>พ.ร.บ. วิชาชีพเภสัชกรรม พ.ศ. 2537 และข้อบังคับจรรยาบรรณวิชาชีพ</t>
        </is>
      </c>
      <c r="E263" s="2" t="inlineStr">
        <is>
          <t>พ.ร.บ. ผลิตภัณฑ์สมุนไพร พ.ศ. 2562</t>
        </is>
      </c>
      <c r="F263" s="2" t="inlineStr">
        <is>
          <t>พ.ร.บ. เครื่องสำอาง พ.ศ. 2558</t>
        </is>
      </c>
      <c r="G263" s="2" t="inlineStr">
        <is>
          <t>พ.ร.บ. หลักประกันสุขภาพแห่งชาติ พ.ศ. 2545</t>
        </is>
      </c>
      <c r="H263" s="2" t="inlineStr">
        <is>
          <t>การปฏิบัติทางเภสัชกรรมชุมชน (Good Pharmacy Practice: GPP)</t>
        </is>
      </c>
      <c r="I263" s="2" t="n">
        <v>1</v>
      </c>
      <c r="J26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3" s="2" t="n"/>
      <c r="L263" s="2" t="inlineStr">
        <is>
          <t>พ.ร.บ. ยา พ.ศ. 2510</t>
        </is>
      </c>
      <c r="M263" s="2" t="inlineStr">
        <is>
          <t>SAP</t>
        </is>
      </c>
      <c r="N263" s="2" t="inlineStr">
        <is>
          <t>ข้อ 1 (PLE_CC1_Key_Rx20_UBU.md)</t>
        </is>
      </c>
      <c r="O263" s="2" t="inlineStr">
        <is>
          <t>Mock</t>
        </is>
      </c>
      <c r="P263" s="2" t="inlineStr">
        <is>
          <t>Mock Rx20 UBU</t>
        </is>
      </c>
    </row>
    <row r="264" ht="13.2" customHeight="1" s="37">
      <c r="A264" s="2" t="n">
        <v>262</v>
      </c>
      <c r="B264" s="2" t="inlineStr">
        <is>
          <t>แนะนำให$ใช$ยาใหมG เนื่องจากยาใหมGมีประสิทธิภาพดีกวGาอยGางไมGมีนัยสำคัญทางสถิติ</t>
        </is>
      </c>
      <c r="C264" s="2" t="n"/>
      <c r="D264" s="2" t="inlineStr">
        <is>
          <t>พ.ร.บ. หลักประกันสุขภาพแห่งชาติ พ.ศ. 2545</t>
        </is>
      </c>
      <c r="E264" s="2" t="inlineStr">
        <is>
          <t>การปฏิบัติทางเภสัชกรรมชุมชน (Good Pharmacy Practice: GPP)</t>
        </is>
      </c>
      <c r="F264" s="2" t="inlineStr">
        <is>
          <t>บัญชียาหลักแห่งชาติ (National List of Essential Medicines: NLEM)</t>
        </is>
      </c>
      <c r="G264" s="2" t="inlineStr">
        <is>
          <t>เกณฑ์จริยธรรมว่าด้วยการส่งเสริมการขายยาของกระทรวงสาธารณสุข</t>
        </is>
      </c>
      <c r="H264" s="2" t="inlineStr">
        <is>
          <t>พ.ร.บ. ยา พ.ศ. 2510 (การจำหน่ายยาอันตรายและยาควบคุมพิเศษ)</t>
        </is>
      </c>
      <c r="I264" s="2" t="n">
        <v>1</v>
      </c>
      <c r="J264" s="2" t="inlineStr">
        <is>
          <t>✅ คำตอบที่ถูกต้อง: ข้อ ก. พ.ร.บ. หลักประกันสุขภาพแห่งชาติ พ.ศ. 2545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หลักประกันสุขภาพแห่งชาติ พ.ศ. 2545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4" s="2" t="n"/>
      <c r="L264" s="2" t="inlineStr">
        <is>
          <t>พ.ร.บ. ยา พ.ศ. 2510</t>
        </is>
      </c>
      <c r="M264" s="2" t="inlineStr">
        <is>
          <t>SAP</t>
        </is>
      </c>
      <c r="N264" s="2" t="inlineStr">
        <is>
          <t>ข้อ 2 (PLE_CC1_Key_Rx20_UBU.md)</t>
        </is>
      </c>
      <c r="O264" s="2" t="inlineStr">
        <is>
          <t>Mock</t>
        </is>
      </c>
      <c r="P264" s="2" t="inlineStr">
        <is>
          <t>Mock Rx20 UBU</t>
        </is>
      </c>
    </row>
    <row r="265" ht="13.2" customHeight="1" s="37">
      <c r="A265" s="2" t="n">
        <v>263</v>
      </c>
      <c r="B265" s="2" t="inlineStr">
        <is>
          <t>ไมGแนะนำให$ใช$ยาใหมG เนื่องจากยาใหมGมีประสิทธิภาพด$อยกวGายาเดิมอยGางมีนัยสำคัญทางสถิติ</t>
        </is>
      </c>
      <c r="C265" s="2" t="n"/>
      <c r="D265" s="2" t="inlineStr">
        <is>
          <t>เกณฑ์จริยธรรมว่าด้วยการส่งเสริมการขายยาของกระทรวงสาธารณสุข</t>
        </is>
      </c>
      <c r="E265" s="2" t="inlineStr">
        <is>
          <t>พ.ร.บ. ยา พ.ศ. 2510 (การจำหน่ายยาอันตรายและยาควบคุมพิเศษ)</t>
        </is>
      </c>
      <c r="F265" s="2" t="inlineStr">
        <is>
          <t>พ.ร.บ. ยาเสพติดให้โทษ พ.ศ. 2522 (ยาเสพติดให้โทษประเภท 2 และ 3)</t>
        </is>
      </c>
      <c r="G265" s="2" t="inlineStr">
        <is>
          <t>พ.ร.บ. วัตถุที่ออกฤทธิ์ต่อจิตและประสาท พ.ศ. 2559 (ประเภท 2 และ 4)</t>
        </is>
      </c>
      <c r="H265" s="2" t="inlineStr">
        <is>
          <t>พ.ร.บ. วิชาชีพเภสัชกรรม พ.ศ. 2537 และข้อบังคับจรรยาบรรณวิชาชีพ</t>
        </is>
      </c>
      <c r="I265" s="2" t="n">
        <v>1</v>
      </c>
      <c r="J265" s="2" t="inlineStr">
        <is>
          <t>✅ คำตอบที่ถูกต้อง: ข้อ ก. เกณฑ์จริยธรรมว่าด้วยการส่งเสริมการขายยาของกระทรวงสาธารณสุข
💡 Background:
การประเมินหลักฐานเชิงประจักษ์ (Evidence-Based Practice) อาศัย study design, statistical parameters (p-value, 95% CI, RR/OR) เพื่อการตัดสินใจอย่างแม่นยำ
🎯 ทำไมข้อนี้ถึงถูก:
เกณฑ์จริยธรรมว่าด้วยการส่งเสริมการขายยาของกระทรวงสาธารณสุข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5" s="2" t="n"/>
      <c r="L265" s="2" t="inlineStr">
        <is>
          <t>พ.ร.บ. ยา พ.ศ. 2510</t>
        </is>
      </c>
      <c r="M265" s="2" t="inlineStr">
        <is>
          <t>SAP</t>
        </is>
      </c>
      <c r="N265" s="2" t="inlineStr">
        <is>
          <t>ข้อ 3 (PLE_CC1_Key_Rx20_UBU.md)</t>
        </is>
      </c>
      <c r="O265" s="2" t="inlineStr">
        <is>
          <t>Mock</t>
        </is>
      </c>
      <c r="P265" s="2" t="inlineStr">
        <is>
          <t>Mock Rx20 UBU</t>
        </is>
      </c>
    </row>
    <row r="266" ht="13.2" customHeight="1" s="37">
      <c r="A266" s="2" t="n">
        <v>264</v>
      </c>
      <c r="B266" s="2" t="inlineStr">
        <is>
          <t>ไมGแนะนำให$ใช$ยาใหมG เนื่องจากยาใหมGมีประสิทธิภาพดีกวGายาเดิมอยGางไมGมีนัยสำคัญทางสถิติ</t>
        </is>
      </c>
      <c r="C266" s="2" t="n"/>
      <c r="D266" s="2" t="inlineStr">
        <is>
          <t>พ.ร.บ. วัตถุที่ออกฤทธิ์ต่อจิตและประสาท พ.ศ. 2559 (ประเภท 2 และ 4)</t>
        </is>
      </c>
      <c r="E266" s="2" t="inlineStr">
        <is>
          <t>พ.ร.บ. วิชาชีพเภสัชกรรม พ.ศ. 2537 และข้อบังคับจรรยาบรรณวิชาชีพ</t>
        </is>
      </c>
      <c r="F266" s="2" t="inlineStr">
        <is>
          <t>พ.ร.บ. ผลิตภัณฑ์สมุนไพร พ.ศ. 2562</t>
        </is>
      </c>
      <c r="G266" s="2" t="inlineStr">
        <is>
          <t>พ.ร.บ. เครื่องสำอาง พ.ศ. 2558</t>
        </is>
      </c>
      <c r="H266" s="2" t="inlineStr">
        <is>
          <t>พ.ร.บ. หลักประกันสุขภาพแห่งชาติ พ.ศ. 2545</t>
        </is>
      </c>
      <c r="I266" s="2" t="n">
        <v>1</v>
      </c>
      <c r="J266" s="2" t="inlineStr">
        <is>
          <t>✅ คำตอบที่ถูกต้อง: ข้อ ก. พ.ร.บ. วัตถุที่ออกฤทธิ์ต่อจิตและประสาท พ.ศ. 2559 (ประเภท 2 และ 4)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วัตถุที่ออกฤทธิ์ต่อจิตและประสาท พ.ศ. 2559 (ประเภท 2 และ 4)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6" s="2" t="n"/>
      <c r="L266" s="2" t="inlineStr">
        <is>
          <t>พ.ร.บ. ยา พ.ศ. 2510</t>
        </is>
      </c>
      <c r="M266" s="2" t="inlineStr">
        <is>
          <t>SAP</t>
        </is>
      </c>
      <c r="N266" s="2" t="inlineStr">
        <is>
          <t>ข้อ 4 (PLE_CC1_Key_Rx20_UBU.md)</t>
        </is>
      </c>
      <c r="O266" s="2" t="inlineStr">
        <is>
          <t>Mock</t>
        </is>
      </c>
      <c r="P266" s="2" t="inlineStr">
        <is>
          <t>Mock Rx20 UBU</t>
        </is>
      </c>
    </row>
    <row r="267" ht="13.2" customHeight="1" s="37">
      <c r="A267" s="2" t="n">
        <v>265</v>
      </c>
      <c r="B267" s="2" t="inlineStr">
        <is>
          <t>ยารักษาโรคพาร_กินสันมีหลากหลาย พบวGาประสิทธิภาพและอาการข$างเคียงนั้นใกล$เคียงกัน ควรทำการศึกษาใดเพื่อเปรียบเทียบยาแตGละตัว</t>
        </is>
      </c>
      <c r="C267" s="2" t="n"/>
      <c r="D267" s="2" t="inlineStr">
        <is>
          <t>พ.ร.บ. เครื่องสำอาง พ.ศ. 2558</t>
        </is>
      </c>
      <c r="E267" s="2" t="inlineStr">
        <is>
          <t>พ.ร.บ. หลักประกันสุขภาพแห่งชาติ พ.ศ. 2545</t>
        </is>
      </c>
      <c r="F267" s="2" t="inlineStr">
        <is>
          <t>การปฏิบัติทางเภสัชกรรมชุมชน (Good Pharmacy Practice: GPP)</t>
        </is>
      </c>
      <c r="G267" s="2" t="inlineStr">
        <is>
          <t>บัญชียาหลักแห่งชาติ (National List of Essential Medicines: NLEM)</t>
        </is>
      </c>
      <c r="H267" s="2" t="inlineStr">
        <is>
          <t>เกณฑ์จริยธรรมว่าด้วยการส่งเสริมการขายยาของกระทรวงสาธารณสุข</t>
        </is>
      </c>
      <c r="I267" s="2" t="n">
        <v>1</v>
      </c>
      <c r="J26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7" s="2" t="n"/>
      <c r="L267" s="2" t="inlineStr">
        <is>
          <t>พ.ร.บ. ยา พ.ศ. 2510</t>
        </is>
      </c>
      <c r="M267" s="2" t="inlineStr">
        <is>
          <t>SAP</t>
        </is>
      </c>
      <c r="N267" s="2" t="inlineStr">
        <is>
          <t>ข้อ 9 (PLE_CC1_Key_Rx20_UBU.md)</t>
        </is>
      </c>
      <c r="O267" s="2" t="inlineStr">
        <is>
          <t>Mock</t>
        </is>
      </c>
      <c r="P267" s="2" t="inlineStr">
        <is>
          <t>Mock Rx20 UBU</t>
        </is>
      </c>
    </row>
    <row r="268" ht="13.2" customHeight="1" s="37">
      <c r="A268" s="2" t="n">
        <v>266</v>
      </c>
      <c r="B268" s="2" t="inlineStr">
        <is>
          <t>CBA สงสัยค=ะ ทำไมไม=เลือกตอบเปใน 2. CMA เพราะในโจทย)บอกว=า “ประสิทธิภาพและอาการข5างเคียงนั้นใกล5เคียงกัน” สิ่งที่ควรนำมาตัดสินใจน=าจะเปในเรื่องของราคามากกว=ามั้ยคะ ข้อสอบวัดความรู้ทางเภสัชศาสตร์เชิงบูรณาการ (MCQ) ครั้งที่ 1/2558 เพื่อขึ้นทะเบียนเป็นผู้ประกอบวิชาชีพเภสัชกรรม ประจำปี พ.ศ 2558 รอบที่ 1 Case : กฏหมาย สำนักงานคณะกรรมการอาหารและยา เข้าตรวจค้นร้านยา A ในเวลา 15.00 น. ร้านยาดังกล่าวมีนาย ก. เป็นผู้รับ อนุญาต มีนาย ข. เป็นผู้มีหน้าที่ปฏิบัติการ ลงเวลาปฏิบัติการไว้ 8.00-18.00 น. ขณะตรวจไม่พบทั้งนาย ก. และนาย ข. พบเพียงนาย ค. ซึ่งเป็นบิดาของนาย ก. เป็นผู้นำตรวจร้านขายยาร้านขายยานี้ไม่มีใบอนุญาตขายยาเสพติดให้โทษ และวัตถุออกฤทธิ์ต่อจิตประสาท มีเพียงใบอนุญาตขายยาแผนปัจจุบันนอกจากนี้ยังไม่พบการทำ บัญชีซื้อขายยาใดๆ จากการตรวจสอบ พบยาต้องสงสัย 5 รายการวางอยู่บนชั้นวางยาดังนี้ ยา Oxandrolone ซึ่งตรวจสอบแล้วว่าไม่ได้มีการขึ้นทะเบียน บนฉลากปรากฏ lot no., mfg date และ exp date ยา X ซึ่งปรากฏสถานที่ผลิตไม่ตรงตามความเป็นจริง ยา Rosiglitazone ยาบรรจุใส่ซองใส ในซองประกอบด้วยยาแคปซูลสีต่างๆกัน 6 เม็ด (ยาแคปซูลสีฟ้า, สีขาว, สีเขียว, สี แดง, สีเหลือง, สีชมพู) ยา Midazolam หน้าร้านมีป้ายโฆษณาติดอยู่ว่า “ยาสมุนไพร อีอี สำหรับรักษาโรคเบาหวาน”</t>
        </is>
      </c>
      <c r="C268" s="2" t="n"/>
      <c r="D268" s="2" t="inlineStr">
        <is>
          <t>บัญชียาหลักแห่งชาติ (National List of Essential Medicines: NLEM)</t>
        </is>
      </c>
      <c r="E268" s="2" t="inlineStr">
        <is>
          <t>เกณฑ์จริยธรรมว่าด้วยการส่งเสริมการขายยาของกระทรวงสาธารณสุข</t>
        </is>
      </c>
      <c r="F268" s="2" t="inlineStr">
        <is>
          <t>พ.ร.บ. ยา พ.ศ. 2510 (การจำหน่ายยาอันตรายและยาควบคุมพิเศษ)</t>
        </is>
      </c>
      <c r="G268" s="2" t="inlineStr">
        <is>
          <t>พ.ร.บ. ยาเสพติดให้โทษ พ.ศ. 2522 (ยาเสพติดให้โทษประเภท 2 และ 3)</t>
        </is>
      </c>
      <c r="H268" s="2" t="inlineStr">
        <is>
          <t>พ.ร.บ. วัตถุที่ออกฤทธิ์ต่อจิตและประสาท พ.ศ. 2559 (ประเภท 2 และ 4)</t>
        </is>
      </c>
      <c r="I268" s="2" t="n">
        <v>3</v>
      </c>
      <c r="J268" s="2" t="inlineStr">
        <is>
          <t>✅ คำตอบที่ถูกต้อง: ข้อ ค.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ก.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ข. (เกณฑ์จริยธรรมว่าด้วยการส่งเสริมการขายยาของกระทรวงสาธารณสุข):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8" s="2" t="n"/>
      <c r="L268" s="2" t="inlineStr">
        <is>
          <t>พ.ร.บ. ยาเสพติดให้โทษ &amp; วัตถุออกฤทธิ์</t>
        </is>
      </c>
      <c r="M268" s="2" t="inlineStr">
        <is>
          <t>SAP</t>
        </is>
      </c>
      <c r="N268" s="2" t="inlineStr">
        <is>
          <t>ข้อ 4 (PLE_CC1_Key_Rx20_UBU.md)</t>
        </is>
      </c>
      <c r="O268" s="2" t="inlineStr">
        <is>
          <t>Mock</t>
        </is>
      </c>
      <c r="P268" s="2" t="inlineStr">
        <is>
          <t>Mock Rx20 UBU</t>
        </is>
      </c>
    </row>
    <row r="269" ht="13.2" customHeight="1" s="37">
      <c r="A269" s="2" t="n">
        <v>267</v>
      </c>
      <c r="B269" s="2" t="inlineStr">
        <is>
          <t>Midazolam เป็นยาประเภทใดตามกฎหมาย</t>
        </is>
      </c>
      <c r="C269" s="2" t="n"/>
      <c r="D269" s="2" t="inlineStr">
        <is>
          <t>ยาอันตราย</t>
        </is>
      </c>
      <c r="E269" s="2" t="inlineStr">
        <is>
          <t>ยาควบคุมพิเศษ</t>
        </is>
      </c>
      <c r="F269" s="2" t="inlineStr">
        <is>
          <t>ยาเสพติดให้โทษประเภท 3</t>
        </is>
      </c>
      <c r="G269" s="2" t="inlineStr">
        <is>
          <t>วัตถุออกฤทธิ์ต่อจิตและประสาทประเภท 2</t>
        </is>
      </c>
      <c r="H269" s="2" t="inlineStr">
        <is>
          <t>วัตถุออกฤทธิ์ต่อจิตและประสาทประเภท 4</t>
        </is>
      </c>
      <c r="I269" s="2" t="n">
        <v>4</v>
      </c>
      <c r="J269" s="2" t="inlineStr">
        <is>
          <t>✅ คำตอบที่ถูกต้อง: ข้อ ง. วัตถุออกฤทธิ์ต่อจิตและประสาทประเภท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วัตถุออกฤทธิ์ต่อจิตและประสาทประเภท 2 💡 คำอธิบายและข้อกำหนดทางกฎหมาย:
💡 คำอธิบายและข้อกำหนดทางกฎหมาย:
การเลือก วัตถุออกฤทธิ์ต่อจิตและประสาทประเภท 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(ยาเสพติดให้โทษประเภท 3): ข้อนี้ไม่ใช่คำตอบที่ถูกต้องสำหรับภาวะ พ.ร.บ. ยา พ.ศ. 2510 เนื่องจากกลไกการออกฤทธิ์, efficacy หรือข้อบ่งใช้ไม่ตรงกับโจทย์ที่กำหนด
• ข้อ จ. (วัตถุออกฤทธิ์ต่อจิตและประสาทประเภท 4):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2" t="n"/>
      <c r="L269" s="2" t="inlineStr">
        <is>
          <t>พ.ร.บ. ยา พ.ศ. 2510</t>
        </is>
      </c>
      <c r="M269" s="2" t="inlineStr">
        <is>
          <t>SAP</t>
        </is>
      </c>
      <c r="N269" s="2" t="inlineStr">
        <is>
          <t>ข้อ 5 (PLE_CC1_Key_Rx20_UBU.md)</t>
        </is>
      </c>
      <c r="O269" s="2" t="inlineStr">
        <is>
          <t>Mock</t>
        </is>
      </c>
      <c r="P269" s="2" t="inlineStr">
        <is>
          <t>Mock Rx20 UBU</t>
        </is>
      </c>
    </row>
    <row r="270" ht="13.2" customHeight="1" s="37">
      <c r="A270" s="2" t="n">
        <v>268</v>
      </c>
      <c r="B270" s="2" t="inlineStr">
        <is>
          <t>จากกรณีศึกษาทั้งหมด นายข. ซึ่งเป็นเภสัชผู้มีหน้าที่ปฏิบัติการกระทำผิดตามจรรยาบรรณทุกข้อ ยกเว้นข้อใด</t>
        </is>
      </c>
      <c r="C270" s="2" t="n"/>
      <c r="D270" s="2" t="inlineStr">
        <is>
          <t>ต้องดำรงตนให้สมควรในสังคมโดยธรรมและเคารพต่อกฎหมายของบ้านเมือง</t>
        </is>
      </c>
      <c r="E270" s="2" t="inlineStr">
        <is>
          <t>ต้องประกอบวิชาชีพโดยคำนึงถึงความปลอดภัยและเศรษฐานะของผู้ป่วยหรือผู้มารับบริการ</t>
        </is>
      </c>
      <c r="F270" s="2" t="inlineStr">
        <is>
          <t>ต้องไม่ใช้หรือสนับสนุนการใช้ยาตำรับลับ</t>
        </is>
      </c>
      <c r="G270" s="2" t="inlineStr">
        <is>
          <t>ต้องไม่ใช้หรือสนับสนุนให้มีการประกอบวิชาชีพโดยผิดกฎหมาย</t>
        </is>
      </c>
      <c r="H270" s="2" t="inlineStr">
        <is>
          <t>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t>
        </is>
      </c>
      <c r="I270" s="2" t="n">
        <v>3</v>
      </c>
      <c r="J270" s="2" t="inlineStr">
        <is>
          <t>✅ คำตอบที่ถูกต้อง: ข้อ ค. ต้องไม่ใช้หรือสนับสนุนการใช้ยาตำรับลับ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ต้องไม่ใช้หรือสนับสนุนการใช้ยาตำรับลับ 💡 คำอธิบายและข้อกำหนดทางกฎหมาย:
💡 คำอธิบายและข้อกำหนดทางกฎหมาย:
การเลือก ต้องไม่ใช้หรือสนับสนุนการใช้ยาตำรับลับ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(ต้องดำรงตนให้สมควรในสังคมโดยธรรมและเคารพต่อกฎหมายของบ้านเมือง):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ข. (ต้องประกอบวิชาชีพโดยคำนึงถึงความปลอดภัยและเศรษฐานะของผู้ป่วยหรือผู้มารับบริการ):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(ต้องไม่ใช้หรือสนับสนุนให้มีการประกอบวิชาชีพโดยผิดกฎหมาย):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0" s="2" t="n"/>
      <c r="L270" s="2" t="inlineStr">
        <is>
          <t>พ.ร.บ. วิชาชีพเภสัชกรรม 2537</t>
        </is>
      </c>
      <c r="M270" s="2" t="inlineStr">
        <is>
          <t>SAP</t>
        </is>
      </c>
      <c r="N270" s="2" t="inlineStr">
        <is>
          <t>ข้อ 12 (PLE_CC1_Key_Rx20_UBU.md)</t>
        </is>
      </c>
      <c r="O270" s="2" t="inlineStr">
        <is>
          <t>Mock</t>
        </is>
      </c>
      <c r="P270" s="2" t="inlineStr">
        <is>
          <t>Mock Rx20 UBU</t>
        </is>
      </c>
    </row>
    <row r="271" ht="13.2" customHeight="1" s="37">
      <c r="A271" s="2" t="n">
        <v>269</v>
      </c>
      <c r="B271" s="2" t="inlineStr">
        <is>
          <t>Good Pharmacy Practice (GPP) ปี 2556 บังคับใช้กับที่ไหน</t>
        </is>
      </c>
      <c r="C271" s="2" t="n"/>
      <c r="D271" s="2" t="inlineStr">
        <is>
          <t>การปฏิบัติทางเภสัชกรรมชุมชน (Good Pharmacy Practice: GPP)</t>
        </is>
      </c>
      <c r="E271" s="2" t="inlineStr">
        <is>
          <t>บัญชียาหลักแห่งชาติ (National List of Essential Medicines: NLEM)</t>
        </is>
      </c>
      <c r="F271" s="2" t="inlineStr">
        <is>
          <t>เกณฑ์จริยธรรมว่าด้วยการส่งเสริมการขายยาของกระทรวงสาธารณสุข</t>
        </is>
      </c>
      <c r="G271" s="2" t="inlineStr">
        <is>
          <t>พ.ร.บ. ยา พ.ศ. 2510 (การจำหน่ายยาอันตรายและยาควบคุมพิเศษ)</t>
        </is>
      </c>
      <c r="H271" s="2" t="inlineStr">
        <is>
          <t>พ.ร.บ. ยาเสพติดให้โทษ พ.ศ. 2522 (ยาเสพติดให้โทษประเภท 2 และ 3)</t>
        </is>
      </c>
      <c r="I271" s="2" t="n">
        <v>1</v>
      </c>
      <c r="J27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1" s="2" t="n"/>
      <c r="L271" s="2" t="inlineStr">
        <is>
          <t>พ.ร.บ. ยา พ.ศ. 2510</t>
        </is>
      </c>
      <c r="M271" s="2" t="inlineStr">
        <is>
          <t>SAP</t>
        </is>
      </c>
      <c r="N271" s="2" t="inlineStr">
        <is>
          <t>ข้อ 2 (PLE_CC1_Key_Rx20_UBU.md)</t>
        </is>
      </c>
      <c r="O271" s="2" t="inlineStr">
        <is>
          <t>Mock</t>
        </is>
      </c>
      <c r="P271" s="2" t="inlineStr">
        <is>
          <t>Mock Rx20 UBU</t>
        </is>
      </c>
    </row>
    <row r="272" ht="13.2" customHeight="1" s="37">
      <c r="A272" s="2" t="n">
        <v>270</v>
      </c>
      <c r="B272" s="2" t="inlineStr">
        <is>
          <t>Tween 80 ต่อ Span 80 (HLB 4.3)ใ ช้ 7.2:2.8 กรัม Tween 80 HLB 15 7.67/10.7 x 10 = 7.2 11.97 Span 80 HLB 4.3 3.03/10.7 x 10 = 2.8 ข้อสอบวัดความรู้ทางเภสัชศาสตร์เชิงบูรณาการ (MCQ) ครั้งที่ 2/2558 เพื่อขึ้นทะเบียนเป็นผู้ประกอบวิชาชีพเภสัชกรรม ประจำปี พ.ศ 2558 MCQ12/2558 คนที่ 1: case กม case 1 bac vagi กับ unknown ข้อ 1,2 @Bas Chakkaphong Case: กฎหมาย สำนักงานคณะกรรมการอาหารและยา เข้าตรวจค้น ร้านยา A ในเวลา 15.00 น. ร้านยาดังกล่าวมีนาย ก. เป็นผู้รับ อนุญาต มีนาย ข. เป็นผู้มีหน้าที่ปฏิบัติการ ลงเวลาปฏิบัติการ ไว 8.00- 18.00 น. ขณะตรวจไม่พบทั้งนาย ก. และนาย ข. พบ เพียงนาย ค. ซึ่งเป็นบิดาของนาย ก. เป็นผู้นำตรวจร้านขายยา รานขายยานี้ไม้มีใบอนุญาตขายยาเสพติดใหโทษ และวัตถุออกฤทธิ์ต่อจิตประสาท มีเพียงใบอนุญาตขายยาแผนปัจจุบัน นอกจากนี้ยังไม่พบการทำบัญชีซื้อขายยาใดๆ จากการ ตรวจสอบ พบยาตองสงสัย 5 รายการวางอยูบนชั้นวางยา ดังนี้</t>
        </is>
      </c>
      <c r="C272" s="2" t="n"/>
      <c r="D272" s="2" t="inlineStr">
        <is>
          <t>พ.ร.บ. ยา พ.ศ. 2510 (การจำหน่ายยาอันตรายและยาควบคุมพิเศษ)</t>
        </is>
      </c>
      <c r="E272" s="2" t="inlineStr">
        <is>
          <t>พ.ร.บ. ยาเสพติดให้โทษ พ.ศ. 2522 (ยาเสพติดให้โทษประเภท 2 และ 3)</t>
        </is>
      </c>
      <c r="F272" s="2" t="inlineStr">
        <is>
          <t>พ.ร.บ. วัตถุที่ออกฤทธิ์ต่อจิตและประสาท พ.ศ. 2559 (ประเภท 2 และ 4)</t>
        </is>
      </c>
      <c r="G272" s="2" t="inlineStr">
        <is>
          <t>พ.ร.บ. วิชาชีพเภสัชกรรม พ.ศ. 2537 และข้อบังคับจรรยาบรรณวิชาชีพ</t>
        </is>
      </c>
      <c r="H272" s="2" t="inlineStr">
        <is>
          <t>พ.ร.บ. ผลิตภัณฑ์สมุนไพร พ.ศ. 2562</t>
        </is>
      </c>
      <c r="I272" s="2" t="n">
        <v>1</v>
      </c>
      <c r="J272" s="2" t="inlineStr">
        <is>
          <t>✅ คำตอบที่ถูกต้อง: ข้อ ก.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ยาเสพติดให้โทษ &amp; วัตถุออกฤทธิ์ เนื่องจากกลไกการออกฤทธิ์, efficacy หรือข้อบ่งใช้ไม่ตรงกับโจทย์ที่กำหนด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2" s="2" t="n"/>
      <c r="L272" s="2" t="inlineStr">
        <is>
          <t>พ.ร.บ. ยาเสพติดให้โทษ &amp; วัตถุออกฤทธิ์</t>
        </is>
      </c>
      <c r="M272" s="2" t="inlineStr">
        <is>
          <t>SAP</t>
        </is>
      </c>
      <c r="N272" s="2" t="inlineStr">
        <is>
          <t>ข้อ 2 (PLE_CC1_Key_Rx20_UBU.md)</t>
        </is>
      </c>
      <c r="O272" s="2" t="inlineStr">
        <is>
          <t>Mock</t>
        </is>
      </c>
      <c r="P272" s="2" t="inlineStr">
        <is>
          <t>Mock Rx20 UBU</t>
        </is>
      </c>
    </row>
    <row r="273" ht="13.2" customHeight="1" s="37">
      <c r="A273" s="2" t="n">
        <v>271</v>
      </c>
      <c r="B273" s="2" t="inlineStr">
        <is>
          <t>Midazolam เปนยาประเภทใดตามกฎหมาย</t>
        </is>
      </c>
      <c r="C273" s="2" t="n"/>
      <c r="D273" s="2" t="inlineStr">
        <is>
          <t>พ.ร.บ. วิชาชีพเภสัชกรรม พ.ศ. 2537 และข้อบังคับจรรยาบรรณวิชาชีพ</t>
        </is>
      </c>
      <c r="E273" s="2" t="inlineStr">
        <is>
          <t>พ.ร.บ. ผลิตภัณฑ์สมุนไพร พ.ศ. 2562</t>
        </is>
      </c>
      <c r="F273" s="2" t="inlineStr">
        <is>
          <t>พ.ร.บ. เครื่องสำอาง พ.ศ. 2558</t>
        </is>
      </c>
      <c r="G273" s="2" t="inlineStr">
        <is>
          <t>พ.ร.บ. หลักประกันสุขภาพแห่งชาติ พ.ศ. 2545</t>
        </is>
      </c>
      <c r="H273" s="2" t="inlineStr">
        <is>
          <t>การปฏิบัติทางเภสัชกรรมชุมชน (Good Pharmacy Practice: GPP)</t>
        </is>
      </c>
      <c r="I273" s="2" t="n">
        <v>1</v>
      </c>
      <c r="J2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3" s="2" t="n"/>
      <c r="L273" s="2" t="inlineStr">
        <is>
          <t>พ.ร.บ. ยา พ.ศ. 2510</t>
        </is>
      </c>
      <c r="M273" s="2" t="inlineStr">
        <is>
          <t>SAP</t>
        </is>
      </c>
      <c r="N273" s="2" t="inlineStr">
        <is>
          <t>ข้อ 5 (PLE_CC1_Key_Rx20_UBU.md)</t>
        </is>
      </c>
      <c r="O273" s="2" t="inlineStr">
        <is>
          <t>Mock</t>
        </is>
      </c>
      <c r="P273" s="2" t="inlineStr">
        <is>
          <t>Mock Rx20 UBU</t>
        </is>
      </c>
    </row>
    <row r="274" ht="13.2" customHeight="1" s="37">
      <c r="A274" s="2" t="n">
        <v>272</v>
      </c>
      <c r="B274" s="2" t="inlineStr">
        <is>
          <t>มีความผิดฐานขายยาผิดกฎหมาย</t>
        </is>
      </c>
      <c r="C274" s="2" t="n"/>
      <c r="D274" s="2" t="inlineStr">
        <is>
          <t>พ.ร.บ. หลักประกันสุขภาพแห่งชาติ พ.ศ. 2545</t>
        </is>
      </c>
      <c r="E274" s="2" t="inlineStr">
        <is>
          <t>การปฏิบัติทางเภสัชกรรมชุมชน (Good Pharmacy Practice: GPP)</t>
        </is>
      </c>
      <c r="F274" s="2" t="inlineStr">
        <is>
          <t>บัญชียาหลักแห่งชาติ (National List of Essential Medicines: NLEM)</t>
        </is>
      </c>
      <c r="G274" s="2" t="inlineStr">
        <is>
          <t>เกณฑ์จริยธรรมว่าด้วยการส่งเสริมการขายยาของกระทรวงสาธารณสุข</t>
        </is>
      </c>
      <c r="H274" s="2" t="inlineStr">
        <is>
          <t>พ.ร.บ. ยา พ.ศ. 2510 (การจำหน่ายยาอันตรายและยาควบคุมพิเศษ)</t>
        </is>
      </c>
      <c r="I274" s="2" t="n">
        <v>1</v>
      </c>
      <c r="J2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4" s="2" t="n"/>
      <c r="L274" s="2" t="inlineStr">
        <is>
          <t>พ.ร.บ. ยา พ.ศ. 2510</t>
        </is>
      </c>
      <c r="M274" s="2" t="inlineStr">
        <is>
          <t>SAP</t>
        </is>
      </c>
      <c r="N274" s="2" t="inlineStr">
        <is>
          <t>ข้อ 2 (PLE_CC1_Key_Rx20_UBU.md)</t>
        </is>
      </c>
      <c r="O274" s="2" t="inlineStr">
        <is>
          <t>Mock</t>
        </is>
      </c>
      <c r="P274" s="2" t="inlineStr">
        <is>
          <t>Mock Rx20 UBU</t>
        </is>
      </c>
    </row>
    <row r="275" ht="13.2" customHeight="1" s="37">
      <c r="A275" s="2" t="n">
        <v>273</v>
      </c>
      <c r="B275" s="2" t="inlineStr">
        <is>
          <t>มีความผิดฐานไม่ควบคุมการขายยาให้เป็นไปตามพรบ</t>
        </is>
      </c>
      <c r="C275" s="2" t="n"/>
      <c r="D275" s="2" t="inlineStr">
        <is>
          <t>เกณฑ์จริยธรรมว่าด้วยการส่งเสริมการขายยาของกระทรวงสาธารณสุข</t>
        </is>
      </c>
      <c r="E275" s="2" t="inlineStr">
        <is>
          <t>พ.ร.บ. ยา พ.ศ. 2510 (การจำหน่ายยาอันตรายและยาควบคุมพิเศษ)</t>
        </is>
      </c>
      <c r="F275" s="2" t="inlineStr">
        <is>
          <t>พ.ร.บ. ยาเสพติดให้โทษ พ.ศ. 2522 (ยาเสพติดให้โทษประเภท 2 และ 3)</t>
        </is>
      </c>
      <c r="G275" s="2" t="inlineStr">
        <is>
          <t>พ.ร.บ. วัตถุที่ออกฤทธิ์ต่อจิตและประสาท พ.ศ. 2559 (ประเภท 2 และ 4)</t>
        </is>
      </c>
      <c r="H275" s="2" t="inlineStr">
        <is>
          <t>พ.ร.บ. วิชาชีพเภสัชกรรม พ.ศ. 2537 และข้อบังคับจรรยาบรรณวิชาชีพ</t>
        </is>
      </c>
      <c r="I275" s="2" t="n">
        <v>1</v>
      </c>
      <c r="J2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5" s="2" t="n"/>
      <c r="L275" s="2" t="inlineStr">
        <is>
          <t>พ.ร.บ. ยา พ.ศ. 2510</t>
        </is>
      </c>
      <c r="M275" s="2" t="inlineStr">
        <is>
          <t>SAP</t>
        </is>
      </c>
      <c r="N275" s="2" t="inlineStr">
        <is>
          <t>ข้อ 4 (PLE_CC1_Key_Rx20_UBU.md)</t>
        </is>
      </c>
      <c r="O275" s="2" t="inlineStr">
        <is>
          <t>Mock</t>
        </is>
      </c>
      <c r="P275" s="2" t="inlineStr">
        <is>
          <t>Mock Rx20 UBU</t>
        </is>
      </c>
    </row>
    <row r="276" ht="13.2" customHeight="1" s="37">
      <c r="A276" s="2" t="n">
        <v>274</v>
      </c>
      <c r="B276" s="2" t="inlineStr">
        <is>
          <t>นาย ค. ซึงเปนบิดาของผูรับอนุญาตผิด เนื่องจากไม่มีสิทธิอยู่ประจำร้าน</t>
        </is>
      </c>
      <c r="C276" s="2" t="n"/>
      <c r="D276" s="2" t="inlineStr">
        <is>
          <t>พ.ร.บ. วัตถุที่ออกฤทธิ์ต่อจิตและประสาท พ.ศ. 2559 (ประเภท 2 และ 4)</t>
        </is>
      </c>
      <c r="E276" s="2" t="inlineStr">
        <is>
          <t>พ.ร.บ. วิชาชีพเภสัชกรรม พ.ศ. 2537 และข้อบังคับจรรยาบรรณวิชาชีพ</t>
        </is>
      </c>
      <c r="F276" s="2" t="inlineStr">
        <is>
          <t>พ.ร.บ. ผลิตภัณฑ์สมุนไพร พ.ศ. 2562</t>
        </is>
      </c>
      <c r="G276" s="2" t="inlineStr">
        <is>
          <t>พ.ร.บ. เครื่องสำอาง พ.ศ. 2558</t>
        </is>
      </c>
      <c r="H276" s="2" t="inlineStr">
        <is>
          <t>พ.ร.บ. หลักประกันสุขภาพแห่งชาติ พ.ศ. 2545</t>
        </is>
      </c>
      <c r="I276" s="2" t="n">
        <v>1</v>
      </c>
      <c r="J2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6" s="2" t="n"/>
      <c r="L276" s="2" t="inlineStr">
        <is>
          <t>พ.ร.บ. ยา พ.ศ. 2510</t>
        </is>
      </c>
      <c r="M276" s="2" t="inlineStr">
        <is>
          <t>SAP</t>
        </is>
      </c>
      <c r="N276" s="2" t="inlineStr">
        <is>
          <t>ข้อ 4 (PLE_CC1_Key_Rx20_UBU.md)</t>
        </is>
      </c>
      <c r="O276" s="2" t="inlineStr">
        <is>
          <t>Mock</t>
        </is>
      </c>
      <c r="P276" s="2" t="inlineStr">
        <is>
          <t>Mock Rx20 UBU</t>
        </is>
      </c>
    </row>
    <row r="277" ht="13.2" customHeight="1" s="37">
      <c r="A277" s="2" t="n">
        <v>275</v>
      </c>
      <c r="B277" s="2" t="inlineStr">
        <is>
          <t>จากกรณีศึกษาทั้งหมด นายข. ซึ่งเป็นเภสัชผู้มีหน้าที่ปฏิบัติการกระทำผิดตามจรรยาบรรณทุกข้อ ยกเว้นข้อใด</t>
        </is>
      </c>
      <c r="C277" s="2" t="n"/>
      <c r="D277" s="2" t="inlineStr">
        <is>
          <t>พ.ร.บ. เครื่องสำอาง พ.ศ. 2558</t>
        </is>
      </c>
      <c r="E277" s="2" t="inlineStr">
        <is>
          <t>พ.ร.บ. หลักประกันสุขภาพแห่งชาติ พ.ศ. 2545</t>
        </is>
      </c>
      <c r="F277" s="2" t="inlineStr">
        <is>
          <t>การปฏิบัติทางเภสัชกรรมชุมชน (Good Pharmacy Practice: GPP)</t>
        </is>
      </c>
      <c r="G277" s="2" t="inlineStr">
        <is>
          <t>บัญชียาหลักแห่งชาติ (National List of Essential Medicines: NLEM)</t>
        </is>
      </c>
      <c r="H277" s="2" t="inlineStr">
        <is>
          <t>เกณฑ์จริยธรรมว่าด้วยการส่งเสริมการขายยาของกระทรวงสาธารณสุข</t>
        </is>
      </c>
      <c r="I277" s="2" t="n">
        <v>1</v>
      </c>
      <c r="J27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หลักประกันสุขภาพแห่งชาติ พ.ศ. 2545):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7" s="2" t="n"/>
      <c r="L277" s="2" t="inlineStr">
        <is>
          <t>พ.ร.บ. วิชาชีพเภสัชกรรม 2537</t>
        </is>
      </c>
      <c r="M277" s="2" t="inlineStr">
        <is>
          <t>SAP</t>
        </is>
      </c>
      <c r="N277" s="2" t="inlineStr">
        <is>
          <t>ข้อ 12 (PLE_CC1_Key_Rx20_UBU.md)</t>
        </is>
      </c>
      <c r="O277" s="2" t="inlineStr">
        <is>
          <t>Mock</t>
        </is>
      </c>
      <c r="P277" s="2" t="inlineStr">
        <is>
          <t>Mock Rx20 UBU</t>
        </is>
      </c>
    </row>
    <row r="278" ht="13.2" customHeight="1" s="37">
      <c r="A278" s="2" t="n">
        <v>276</v>
      </c>
      <c r="B278" s="2" t="inlineStr">
        <is>
          <t>เกิดผ่าน WBC ซึ่งมีความจำเพาะต่อ antigen Case: กฎหมาย ร้านยาฟารมาซี มีนาย ก. เป็นผู้รับอนุญาต นาย ข. เป็นผู้ มีหน้าที่ปฏิบัติการ ไปตรวจร้านในเวลาทำการ ไม่พบนาย ข.อยู่ในร้าน เจ้าหน้าที่จึงทำการลอซื้อยา Omeprazole โดยนาย ก. เป็นผู้หยิบขายยา จากการตรวจสอบภายใน ร้าน พบป้ายชื่อผู้มีหน้าที่ปฏิบัติการคือ นาย ฮ. ซึ่งไม่ตรง กับในใบอนุญาต</t>
        </is>
      </c>
      <c r="C278" s="2" t="n"/>
      <c r="D278" s="2" t="inlineStr">
        <is>
          <t>บัญชียาหลักแห่งชาติ (National List of Essential Medicines: NLEM)</t>
        </is>
      </c>
      <c r="E278" s="2" t="inlineStr">
        <is>
          <t>เกณฑ์จริยธรรมว่าด้วยการส่งเสริมการขายยาของกระทรวงสาธารณสุข</t>
        </is>
      </c>
      <c r="F278" s="2" t="inlineStr">
        <is>
          <t>พ.ร.บ. ยา พ.ศ. 2510 (การจำหน่ายยาอันตรายและยาควบคุมพิเศษ)</t>
        </is>
      </c>
      <c r="G278" s="2" t="inlineStr">
        <is>
          <t>พ.ร.บ. ยาเสพติดให้โทษ พ.ศ. 2522 (ยาเสพติดให้โทษประเภท 2 และ 3)</t>
        </is>
      </c>
      <c r="H278" s="2" t="inlineStr">
        <is>
          <t>พ.ร.บ. วัตถุที่ออกฤทธิ์ต่อจิตและประสาท พ.ศ. 2559 (ประเภท 2 และ 4)</t>
        </is>
      </c>
      <c r="I278" s="2" t="n">
        <v>1</v>
      </c>
      <c r="J27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8" s="2" t="n"/>
      <c r="L278" s="2" t="inlineStr">
        <is>
          <t>พ.ร.บ. ยา พ.ศ. 2510</t>
        </is>
      </c>
      <c r="M278" s="2" t="inlineStr">
        <is>
          <t>SAP</t>
        </is>
      </c>
      <c r="N278" s="2" t="inlineStr">
        <is>
          <t>ข้อ 5 (PLE_CC1_Key_Rx20_UBU.md)</t>
        </is>
      </c>
      <c r="O278" s="2" t="inlineStr">
        <is>
          <t>Mock</t>
        </is>
      </c>
      <c r="P278" s="2" t="inlineStr">
        <is>
          <t>Mock Rx20 UBU</t>
        </is>
      </c>
    </row>
    <row r="279" ht="13.2" customHeight="1" s="37">
      <c r="A279" s="2" t="n">
        <v>277</v>
      </c>
      <c r="B279" s="2" t="inlineStr">
        <is>
          <t>เภสัช ง ในเวลาปฏิบัติงานของเภสัช ลูกจางเลยตอสายหา เภสัช ง ให้ซึ่งอยูที่ รพ.เอกชน เภสัชบอกวา …. แล้วก็ พบว่าเภสัชคนเดิมไปมีชื่ออยูที่ร้านยาเชียงใหม่ วันที่ซ้อนกัน เวลาเหลื่อมนิดนึง… แล้วก็พบว่าที่ร้านแปะว่าเภสัชที่ ปฏิบัติงานคืออีกคนนึง ตรวจพบผลิตภัณฑ เอเอ มีเลข G 256/2553 และผลิตภัณฑ บีบี มีตรา อย.ตามดวยตัวเลข 11-...</t>
        </is>
      </c>
      <c r="C279" s="2" t="n"/>
      <c r="D279" s="2" t="inlineStr">
        <is>
          <t>พ.ร.บ. ยาเสพติดให้โทษ พ.ศ. 2522 (ยาเสพติดให้โทษประเภท 2 และ 3)</t>
        </is>
      </c>
      <c r="E279" s="2" t="inlineStr">
        <is>
          <t>พ.ร.บ. วัตถุที่ออกฤทธิ์ต่อจิตและประสาท พ.ศ. 2559 (ประเภท 2 และ 4)</t>
        </is>
      </c>
      <c r="F279" s="2" t="inlineStr">
        <is>
          <t>พ.ร.บ. วิชาชีพเภสัชกรรม พ.ศ. 2537 และข้อบังคับจรรยาบรรณวิชาชีพ</t>
        </is>
      </c>
      <c r="G279" s="2" t="inlineStr">
        <is>
          <t>พ.ร.บ. ผลิตภัณฑ์สมุนไพร พ.ศ. 2562</t>
        </is>
      </c>
      <c r="H279" s="2" t="inlineStr">
        <is>
          <t>พ.ร.บ. เครื่องสำอาง พ.ศ. 2558</t>
        </is>
      </c>
      <c r="I279" s="2" t="n">
        <v>2</v>
      </c>
      <c r="J279" s="2" t="inlineStr">
        <is>
          <t>✅ คำตอบที่ถูกต้อง: ข้อ ข.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ร้านยาสองฟารมาซี มีนาย ค เป็นผู้รับอนุญาต มีนาย ง เป็นผู้ปฏิบัติงาน ไปตรวจวันที่ xx ไม่บอกเวลา ไม่เจอ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9" s="2" t="n"/>
      <c r="L279" s="2" t="inlineStr">
        <is>
          <t>พ.ร.บ. ยา พ.ศ. 2510</t>
        </is>
      </c>
      <c r="M279" s="2" t="inlineStr">
        <is>
          <t>SAP</t>
        </is>
      </c>
      <c r="N279" s="2" t="inlineStr">
        <is>
          <t>ข้อ 4 (PLE_CC1_Key_Rx20_UBU.md)</t>
        </is>
      </c>
      <c r="O279" s="2" t="inlineStr">
        <is>
          <t>Mock</t>
        </is>
      </c>
      <c r="P279" s="2" t="inlineStr">
        <is>
          <t>Mock Rx20 UBU</t>
        </is>
      </c>
    </row>
    <row r="280" ht="13.2" customHeight="1" s="37">
      <c r="A280" s="2" t="n">
        <v>278</v>
      </c>
      <c r="B280" s="2" t="inlineStr">
        <is>
          <t>ใครผิดจรรยาบรรณบ้าง</t>
        </is>
      </c>
      <c r="C280" s="2" t="n"/>
      <c r="D280" s="2" t="inlineStr">
        <is>
          <t>พ.ร.บ. ผลิตภัณฑ์สมุนไพร พ.ศ. 2562</t>
        </is>
      </c>
      <c r="E280" s="2" t="inlineStr">
        <is>
          <t>พ.ร.บ. เครื่องสำอาง พ.ศ. 2558</t>
        </is>
      </c>
      <c r="F280" s="2" t="inlineStr">
        <is>
          <t>พ.ร.บ. หลักประกันสุขภาพแห่งชาติ พ.ศ. 2545</t>
        </is>
      </c>
      <c r="G280" s="2" t="inlineStr">
        <is>
          <t>การปฏิบัติทางเภสัชกรรมชุมชน (Good Pharmacy Practice: GPP)</t>
        </is>
      </c>
      <c r="H280" s="2" t="inlineStr">
        <is>
          <t>บัญชียาหลักแห่งชาติ (National List of Essential Medicines: NLEM)</t>
        </is>
      </c>
      <c r="I280" s="2" t="n">
        <v>1</v>
      </c>
      <c r="J2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0" s="2" t="n"/>
      <c r="L280" s="2" t="inlineStr">
        <is>
          <t>พ.ร.บ. วิชาชีพเภสัชกรรม 2537</t>
        </is>
      </c>
      <c r="M280" s="2" t="inlineStr">
        <is>
          <t>SAP</t>
        </is>
      </c>
      <c r="N280" s="2" t="inlineStr">
        <is>
          <t>ข้อ 12 (PLE_CC1_Key_Rx20_UBU.md)</t>
        </is>
      </c>
      <c r="O280" s="2" t="inlineStr">
        <is>
          <t>Mock</t>
        </is>
      </c>
      <c r="P280" s="2" t="inlineStr">
        <is>
          <t>Mock Rx20 UBU</t>
        </is>
      </c>
    </row>
    <row r="281" ht="13.2" customHeight="1" s="37">
      <c r="A281" s="2" t="n">
        <v>279</v>
      </c>
      <c r="B281" s="2" t="inlineStr">
        <is>
          <t>ค่าสูบบุหรี่ pack-year เท่ากับ 40 การเกิด COPD เป็นผลจากการที่มีการอักเสบและตีบแคบของหลอดลม (airflow limitation) ทำให้ตรวจพบ FEV1 ที่ ลดลงร่วมกับ มีair trapping ช่วงหายใจออกทำให้เกิดภาวะhyperinflation และยิ่งเห็นชัดในช่วงที่ ผู้ป่วยมีการออกแรง เกิดภาวะที่เรียกว่า dynamic hyperinflation ทำใหเ้กิดอาการเหนื่อยง่ายจากการ ที่ประสิทธิภาพในการหายใจที่ลดลง</t>
        </is>
      </c>
      <c r="C281" s="2" t="n"/>
      <c r="D281" s="2" t="inlineStr">
        <is>
          <t>Pneumonia ทำให้เกิด exacerbation ได้ ถูกต้อง ปัจจัยเสี่ยงของการเกิด COPD → การติดเชื้อในปอด , มลภาวะทางอากาศ , สูบบุหรี่</t>
        </is>
      </c>
      <c r="E281" s="2" t="inlineStr">
        <is>
          <t>FEV1 80% mild 50-80 moderate 30-50 Severe &lt;30% Very severe</t>
        </is>
      </c>
      <c r="F281" s="2" t="inlineStr">
        <is>
          <t>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t>
        </is>
      </c>
      <c r="G281" s="2" t="inlineStr">
        <is>
          <t>พ.ร.บ. ยา พ.ศ. 2510 (การจำหน่ายยาอันตรายและยาควบคุมพิเศษ)</t>
        </is>
      </c>
      <c r="H281" s="2" t="inlineStr">
        <is>
          <t>พ.ร.บ. ยาเสพติดให้โทษ พ.ศ. 2522 (ยาเสพติดให้โทษประเภท 2 และ 3)</t>
        </is>
      </c>
      <c r="I281" s="2" t="n">
        <v>5</v>
      </c>
      <c r="J28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(Pneumonia ทำให้เกิด exacerbation ได้ ถูกต้อง ปัจจัยเสี่ยงของการเกิด COPD → การติดเชื้อในปอด , มลภาวะทางอากาศ , สูบบุหรี่): ข้อนี้ไม่ใช่คำตอบที่ถูกต้องสำหรับภาวะ พ.ร.บ. ยา พ.ศ. 2510 เนื่องจากกลไกการออกฤทธิ์, efficacy หรือข้อบ่งใช้ไม่ตรงกับโจทย์ที่กำหนด
• ข้อ ข. (FEV1 80% mild 50-80 moderate 30-50 Severe &lt;30% Very severe): ข้อนี้ไม่ใช่คำตอบที่ถูกต้องสำหรับภาวะ พ.ร.บ. ยา พ.ศ. 2510 เนื่องจากกลไกการออกฤทธิ์, efficacy หรือข้อบ่งใช้ไม่ตรงกับโจทย์ที่กำหนด
• ข้อ ค.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1" s="2" t="n"/>
      <c r="L281" s="2" t="inlineStr">
        <is>
          <t>พ.ร.บ. ยา พ.ศ. 2510</t>
        </is>
      </c>
      <c r="M281" s="2" t="inlineStr">
        <is>
          <t>SAP</t>
        </is>
      </c>
      <c r="N281" s="2" t="inlineStr">
        <is>
          <t>ข้อ 5 (PLE_CC1_Key_Rx20_UBU.md)</t>
        </is>
      </c>
      <c r="O281" s="2" t="inlineStr">
        <is>
          <t>Mock</t>
        </is>
      </c>
      <c r="P281" s="2" t="inlineStr">
        <is>
          <t>Mock Rx20 UBU</t>
        </is>
      </c>
    </row>
    <row r="282" ht="13.2" customHeight="1" s="37">
      <c r="A282" s="2" t="n">
        <v>280</v>
      </c>
      <c r="B282" s="2" t="inlineStr">
        <is>
          <t>ยา PPI มีประสิทธิภาพเหนือกวา H2 blockers ในการรักษา GERD</t>
        </is>
      </c>
      <c r="C282" s="2" t="n"/>
      <c r="D282" s="2" t="inlineStr">
        <is>
          <t>พ.ร.บ. ยา พ.ศ. 2510 (การจำหน่ายยาอันตรายและยาควบคุมพิเศษ)</t>
        </is>
      </c>
      <c r="E282" s="2" t="inlineStr">
        <is>
          <t>พ.ร.บ. ยาเสพติดให้โทษ พ.ศ. 2522 (ยาเสพติดให้โทษประเภท 2 และ 3)</t>
        </is>
      </c>
      <c r="F282" s="2" t="inlineStr">
        <is>
          <t>พ.ร.บ. วัตถุที่ออกฤทธิ์ต่อจิตและประสาท พ.ศ. 2559 (ประเภท 2 และ 4)</t>
        </is>
      </c>
      <c r="G282" s="2" t="inlineStr">
        <is>
          <t>พ.ร.บ. วิชาชีพเภสัชกรรม พ.ศ. 2537 และข้อบังคับจรรยาบรรณวิชาชีพ</t>
        </is>
      </c>
      <c r="H282" s="2" t="inlineStr">
        <is>
          <t>พ.ร.บ. ผลิตภัณฑ์สมุนไพร พ.ศ. 2562</t>
        </is>
      </c>
      <c r="I282" s="2" t="n">
        <v>1</v>
      </c>
      <c r="J2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2" s="2" t="n"/>
      <c r="L282" s="2" t="inlineStr">
        <is>
          <t>พ.ร.บ. ยา พ.ศ. 2510</t>
        </is>
      </c>
      <c r="M282" s="2" t="inlineStr">
        <is>
          <t>SAP</t>
        </is>
      </c>
      <c r="N282" s="2" t="inlineStr">
        <is>
          <t>ข้อ 3 (PLE_CC1_Key_Rx20_UBU.md)</t>
        </is>
      </c>
      <c r="O282" s="2" t="inlineStr">
        <is>
          <t>Mock</t>
        </is>
      </c>
      <c r="P282" s="2" t="inlineStr">
        <is>
          <t>Mock Rx20 UBU</t>
        </is>
      </c>
    </row>
    <row r="283" ht="13.2" customHeight="1" s="37">
      <c r="A283" s="2" t="n">
        <v>281</v>
      </c>
      <c r="B283" s="2" t="inlineStr">
        <is>
          <t>ผู้ป่วยมีสิทธิได้รับทราบชื่อ สกุล และวิชาชีพของผู้ให้การรักษาพยาบาลแก่ตน</t>
        </is>
      </c>
      <c r="C283" s="2" t="n"/>
      <c r="D283" s="2" t="inlineStr">
        <is>
          <t>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t>
        </is>
      </c>
      <c r="E283" s="2" t="inlineStr">
        <is>
          <t>พ.ร.บ. ผลิตภัณฑ์สมุนไพร พ.ศ. 2562</t>
        </is>
      </c>
      <c r="F283" s="2" t="inlineStr">
        <is>
          <t>พ.ร.บ. เครื่องสำอาง พ.ศ. 2558</t>
        </is>
      </c>
      <c r="G283" s="2" t="inlineStr">
        <is>
          <t>พ.ร.บ. หลักประกันสุขภาพแห่งชาติ พ.ศ. 2545</t>
        </is>
      </c>
      <c r="H283" s="2" t="inlineStr">
        <is>
          <t>การปฏิบัติทางเภสัชกรรมชุมชน (Good Pharmacy Practice: GPP)</t>
        </is>
      </c>
      <c r="I283" s="2" t="n">
        <v>1</v>
      </c>
      <c r="J283" s="2" t="inlineStr">
        <is>
          <t>✅ คำตอบที่ถูกต้อง: ข้อ 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คำอธิบายและข้อกำหนดทางกฎหมาย:
💡 คำอธิบายและข้อกำหนดทางกฎหมาย:
การเลือก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ง.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3" s="2" t="n"/>
      <c r="L283" s="2" t="inlineStr">
        <is>
          <t>พ.ร.บ. ยา พ.ศ. 2510</t>
        </is>
      </c>
      <c r="M283" s="2" t="inlineStr">
        <is>
          <t>SAP</t>
        </is>
      </c>
      <c r="N283" s="2" t="inlineStr">
        <is>
          <t>ข้อ 1 (PLE_CC1_Key_Rx20_UBU.md)</t>
        </is>
      </c>
      <c r="O283" s="2" t="inlineStr">
        <is>
          <t>Mock</t>
        </is>
      </c>
      <c r="P283" s="2" t="inlineStr">
        <is>
          <t>Mock Rx20 UBU</t>
        </is>
      </c>
    </row>
    <row r="284" ht="13.2" customHeight="1" s="37">
      <c r="A284" s="2" t="n">
        <v>282</v>
      </c>
      <c r="B284" s="2" t="inlineStr">
        <is>
          <t>ผู้ป่วยมีสิทธิได้รับการปกปิดข้อมูลของตนเอง</t>
        </is>
      </c>
      <c r="C284" s="2" t="n"/>
      <c r="D284" s="2" t="inlineStr">
        <is>
          <t>ผู้ป่วยมีสิทธิขอความเห็นจากผู้ประกอบวิชาชีพด้านสุขภาพอื่นที่มิได้เป็นผู้ให้การรักษาพยาบาลแก่ตน</t>
        </is>
      </c>
      <c r="E284" s="2" t="inlineStr">
        <is>
          <t>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t>
        </is>
      </c>
      <c r="F284" s="2" t="inlineStr">
        <is>
          <t>บัญชียาหลักแห่งชาติ (National List of Essential Medicines: NLEM)</t>
        </is>
      </c>
      <c r="G284" s="2" t="inlineStr">
        <is>
          <t>เกณฑ์จริยธรรมว่าด้วยการส่งเสริมการขายยาของกระทรวงสาธารณสุข</t>
        </is>
      </c>
      <c r="H284" s="2" t="inlineStr">
        <is>
          <t>พ.ร.บ. ยา พ.ศ. 2510 (การจำหน่ายยาอันตรายและยาควบคุมพิเศษ)</t>
        </is>
      </c>
      <c r="I284" s="2" t="n">
        <v>1</v>
      </c>
      <c r="J284" s="2" t="inlineStr">
        <is>
          <t>✅ คำตอบที่ถูกต้อง: ข้อ ก. ผู้ป่วยมีสิทธิขอความเห็นจากผู้ประกอบวิชาชีพด้านสุขภาพอื่นที่มิได้เป็นผู้ให้การรักษาพยาบาลแก่ตน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มีสิทธิขอความเห็นจากผู้ประกอบวิชาชีพด้านสุขภาพอื่นที่มิได้เป็นผู้ให้การรักษาพยาบาลแก่ตน 💡 คำอธิบายและข้อกำหนดทางกฎหมาย:
💡 คำอธิบายและข้อกำหนดทางกฎหมาย:
การเลือก ผู้ป่วยมีสิทธิขอความเห็นจากผู้ประกอบวิชาชีพด้านสุขภาพอื่นที่มิได้เป็นผู้ให้การรักษาพยาบาลแก่ต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ข้อนี้ไม่ใช่คำตอบที่ถูกต้องสำหรับภาวะ พ.ร.บ. ยา พ.ศ. 2510 เนื่องจากกลไกการออกฤทธิ์, efficacy หรือข้อบ่งใช้ไม่ตรงกับโจทย์ที่กำหนด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4" s="2" t="n"/>
      <c r="L284" s="2" t="inlineStr">
        <is>
          <t>พ.ร.บ. ยา พ.ศ. 2510</t>
        </is>
      </c>
      <c r="M284" s="2" t="inlineStr">
        <is>
          <t>SAP</t>
        </is>
      </c>
      <c r="N284" s="2" t="inlineStr">
        <is>
          <t>ข้อ 3 (PLE_CC1_Key_Rx20_UBU.md)</t>
        </is>
      </c>
      <c r="O284" s="2" t="inlineStr">
        <is>
          <t>Mock</t>
        </is>
      </c>
      <c r="P284" s="2" t="inlineStr">
        <is>
          <t>Mock Rx20 UBU</t>
        </is>
      </c>
    </row>
    <row r="285" ht="13.2" customHeight="1" s="37">
      <c r="A285" s="2" t="n">
        <v>283</v>
      </c>
      <c r="B285" s="2" t="inlineStr">
        <is>
          <t>เปรียบเทียบประสิทธิภาพระหว่างยาจริงกับยาหลอกวัดผลโดยคะแนน 1-100 โดยมีการกระจายข้อมูลแบบ normal distribution</t>
        </is>
      </c>
      <c r="C285" s="2" t="n"/>
      <c r="D285" s="2" t="inlineStr">
        <is>
          <t>เกณฑ์จริยธรรมว่าด้วยการส่งเสริมการขายยาของกระทรวงสาธารณสุข</t>
        </is>
      </c>
      <c r="E285" s="2" t="inlineStr">
        <is>
          <t>พ.ร.บ. ยา พ.ศ. 2510 (การจำหน่ายยาอันตรายและยาควบคุมพิเศษ)</t>
        </is>
      </c>
      <c r="F285" s="2" t="inlineStr">
        <is>
          <t>พ.ร.บ. ยาเสพติดให้โทษ พ.ศ. 2522 (ยาเสพติดให้โทษประเภท 2 และ 3)</t>
        </is>
      </c>
      <c r="G285" s="2" t="inlineStr">
        <is>
          <t>พ.ร.บ. วัตถุที่ออกฤทธิ์ต่อจิตและประสาท พ.ศ. 2559 (ประเภท 2 และ 4)</t>
        </is>
      </c>
      <c r="H285" s="2" t="inlineStr">
        <is>
          <t>พ.ร.บ. วิชาชีพเภสัชกรรม พ.ศ. 2537 และข้อบังคับจรรยาบรรณวิชาชีพ</t>
        </is>
      </c>
      <c r="I285" s="2" t="n">
        <v>1</v>
      </c>
      <c r="J28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5" s="2" t="n"/>
      <c r="L285" s="2" t="inlineStr">
        <is>
          <t>พ.ร.บ. ยา พ.ศ. 2510</t>
        </is>
      </c>
      <c r="M285" s="2" t="inlineStr">
        <is>
          <t>SAP</t>
        </is>
      </c>
      <c r="N285" s="2" t="inlineStr">
        <is>
          <t>ข้อ 5 (PLE_CC1_Key_Rx20_UBU.md)</t>
        </is>
      </c>
      <c r="O285" s="2" t="inlineStr">
        <is>
          <t>Mock</t>
        </is>
      </c>
      <c r="P285" s="2" t="inlineStr">
        <is>
          <t>Mock Rx20 UBU</t>
        </is>
      </c>
    </row>
    <row r="286" ht="13.2" customHeight="1" s="37">
      <c r="A286" s="2" t="n">
        <v>284</v>
      </c>
      <c r="B286" s="2" t="inlineStr">
        <is>
          <t>เพื่อยุติการส่งเสริมการขายที่ผิดจริยธรรม</t>
        </is>
      </c>
      <c r="C286" s="2" t="n"/>
      <c r="D286" s="2" t="inlineStr">
        <is>
          <t>พ.ร.บ. วัตถุที่ออกฤทธิ์ต่อจิตและประสาท พ.ศ. 2559 (ประเภท 2 และ 4)</t>
        </is>
      </c>
      <c r="E286" s="2" t="inlineStr">
        <is>
          <t>พ.ร.บ. วิชาชีพเภสัชกรรม พ.ศ. 2537 และข้อบังคับจรรยาบรรณวิชาชีพ</t>
        </is>
      </c>
      <c r="F286" s="2" t="inlineStr">
        <is>
          <t>พ.ร.บ. ผลิตภัณฑ์สมุนไพร พ.ศ. 2562</t>
        </is>
      </c>
      <c r="G286" s="2" t="inlineStr">
        <is>
          <t>พ.ร.บ. เครื่องสำอาง พ.ศ. 2558</t>
        </is>
      </c>
      <c r="H286" s="2" t="inlineStr">
        <is>
          <t>พ.ร.บ. หลักประกันสุขภาพแห่งชาติ พ.ศ. 2545</t>
        </is>
      </c>
      <c r="I286" s="2" t="n">
        <v>1</v>
      </c>
      <c r="J28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ค. (พ.ร.บ. ผลิตภัณฑ์สมุนไพร พ.ศ. 2562):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(พ.ร.บ. เครื่องสำอาง พ.ศ. 2558):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(พ.ร.บ. หลักประกันสุขภาพแห่งชาติ พ.ศ. 2545):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6" s="2" t="n"/>
      <c r="L286" s="2" t="inlineStr">
        <is>
          <t>พ.ร.บ. วิชาชีพเภสัชกรรม 2537</t>
        </is>
      </c>
      <c r="M286" s="2" t="inlineStr">
        <is>
          <t>SAP</t>
        </is>
      </c>
      <c r="N286" s="2" t="inlineStr">
        <is>
          <t>ข้อ 4 (PLE_CC1_Key_Rx20_UBU.md)</t>
        </is>
      </c>
      <c r="O286" s="2" t="inlineStr">
        <is>
          <t>Mock</t>
        </is>
      </c>
      <c r="P286" s="2" t="inlineStr">
        <is>
          <t>Mock Rx20 UBU</t>
        </is>
      </c>
    </row>
    <row r="287" ht="13.2" customHeight="1" s="37">
      <c r="A287" s="2" t="n">
        <v>285</v>
      </c>
      <c r="B287" s="2" t="inlineStr">
        <is>
          <t>ส่งเสริมการพัฒนาระบบควบคุมคุณภาพ เพื่อให้มีการประกันคุณภาพ ประสิทธิภาพ และความปลอดภัยที่ดี ก่อนอื่นเลย CL คืออิหยังวะ ??? CL ย่อมาจาก Compulsory Lisensing คือ การบังคับใช้สิทธิตามสิทธิบัตร ซึ่งเป็นมาตรการทางกฎหมายของไทยที่บัญญัติไว้ใน พระราชบัญญัติสิทธิบัตร พ.ศ. 2522 ส่วนที่ 5 การใช้สิทธิตามสิทธิบัตร มาตรา 45-52 สิทธิบัตร (patent) คือ เอกสารสิทธิที่รัฐออกให้แก่ผู้ลงทุนวิจัยและพัฒนาสิ่งประดิษฐ์ใหม่ๆ ที่มีคุณค่าทางอุตสาหกรรม โดยรัฐให้สิทธิผูกขาดการผลิต นำเข้า จำหน่าย หรือประดิษฐ์สิ่งประดิษฐ์นั้น 20 ปีนับแต่วันยื่นจดสิทธิบัตร โดยมีเจตนารมณ์เพื่อเป็นสิ่งตอบแทนให้กับผู้คิดค้นนวัตกรรม ซึ่งเป็นการกระตุ้นให้เกิดการประดิษฐ์สิ่งต่างๆ มากขึ้น แต่ปัญหาที่เกิดกับสิทธิบัตรยา คือ ยาใหม่ๆ จะมีราคาแพงมาก เนื่องจากต้องซื้อยาจากบริษัทข้ามชาต ิซึ่งเป็นผู้ทรงสิทธิบัตรเท่านั้น เป็นเวลาอย่างน้อย 20 ปี ประเทศไทยได้ประกาศใช้ CL กับยา 3 รายการคือ ยา efavirenz ยา lopinavir+ritronavir (Kaletra) ยาต้านไวรัสเอดส์สูตรดื้อยา ยา Plavix (clopidogrel) สำหรับผู้ป่วยโรคหัวใจ เมื่อเดือนพฤศจิกายน 2549 ซึ่งการกระทำของรัฐบาลไทยเป็นไปตามมาตรา 51 ของ พรบ.สิทธิบัตร เป็นไปตามข้อตกลงภายใต้องค์การการค้าโลก หรือ WTO ที่กำหนดว่าประเทศสมาชิก มีสิทธิกำหนดเหตุผลและเงื่อนไข การบังคับใช้สิทธิตามสิทธิบัตรด้วยตนเอง ผลดีของการประกาศใช้ CL คือ</t>
        </is>
      </c>
      <c r="C287" s="2" t="n"/>
      <c r="D287" s="2" t="inlineStr">
        <is>
          <t>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t>
        </is>
      </c>
      <c r="E287" s="2" t="inlineStr">
        <is>
          <t>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t>
        </is>
      </c>
      <c r="F287" s="2" t="inlineStr">
        <is>
          <t>การปฏิบัติทางเภสัชกรรมชุมชน (Good Pharmacy Practice: GPP)</t>
        </is>
      </c>
      <c r="G287" s="2" t="inlineStr">
        <is>
          <t>บัญชียาหลักแห่งชาติ (National List of Essential Medicines: NLEM)</t>
        </is>
      </c>
      <c r="H287" s="2" t="inlineStr">
        <is>
          <t>เกณฑ์จริยธรรมว่าด้วยการส่งเสริมการขายยาของกระทรวงสาธารณสุข</t>
        </is>
      </c>
      <c r="I287" s="2" t="n">
        <v>2</v>
      </c>
      <c r="J287" s="2" t="inlineStr">
        <is>
          <t>✅ คำตอบที่ถูกต้อง: ข้อ ข.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ข้อนี้ไม่ใช่คำตอบที่ถูกต้องสำหรับภาวะ พ.ร.บ. ยา พ.ศ. 2510 เนื่องจากกลไกการออกฤทธิ์, efficacy หรือข้อบ่งใช้ไม่ตรงกับโจทย์ที่กำหนด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7" s="2" t="n"/>
      <c r="L287" s="2" t="inlineStr">
        <is>
          <t>พ.ร.บ. ยา พ.ศ. 2510</t>
        </is>
      </c>
      <c r="M287" s="2" t="inlineStr">
        <is>
          <t>SAP</t>
        </is>
      </c>
      <c r="N287" s="2" t="inlineStr">
        <is>
          <t>ข้อ 5 (PLE_CC1_Key_Rx20_UBU.md)</t>
        </is>
      </c>
      <c r="O287" s="2" t="inlineStr">
        <is>
          <t>Mock</t>
        </is>
      </c>
      <c r="P287" s="2" t="inlineStr">
        <is>
          <t>Mock Rx20 UBU</t>
        </is>
      </c>
    </row>
    <row r="288" ht="13.2" customHeight="1" s="37">
      <c r="A288" s="2" t="n">
        <v>286</v>
      </c>
      <c r="B288" s="2" t="inlineStr">
        <is>
          <t>ตำแหน่งสองเปลี่ยน C=O เป็น C=N ทำให้ฤทธิ์ลดลง 12.) ให้พิจารณายาเข้าโรงพยาบาล โดยทุก Regimen มีประสิทธิภาพการรักษาเท่ากัน ตาม Cost minimization analysis (CMA) แล้วควรเลือกยาในข้อใด</t>
        </is>
      </c>
      <c r="C288" s="2" t="n"/>
      <c r="D288" s="2" t="inlineStr">
        <is>
          <t>บัญชียาหลักแห่งชาติ (National List of Essential Medicines: NLEM)</t>
        </is>
      </c>
      <c r="E288" s="2" t="inlineStr">
        <is>
          <t>เกณฑ์จริยธรรมว่าด้วยการส่งเสริมการขายยาของกระทรวงสาธารณสุข</t>
        </is>
      </c>
      <c r="F288" s="2" t="inlineStr">
        <is>
          <t>พ.ร.บ. ยา พ.ศ. 2510 (การจำหน่ายยาอันตรายและยาควบคุมพิเศษ)</t>
        </is>
      </c>
      <c r="G288" s="2" t="inlineStr">
        <is>
          <t>พ.ร.บ. ยาเสพติดให้โทษ พ.ศ. 2522 (ยาเสพติดให้โทษประเภท 2 และ 3)</t>
        </is>
      </c>
      <c r="H288" s="2" t="inlineStr">
        <is>
          <t>พ.ร.บ. วัตถุที่ออกฤทธิ์ต่อจิตและประสาท พ.ศ. 2559 (ประเภท 2 และ 4)</t>
        </is>
      </c>
      <c r="I288" s="2" t="n">
        <v>1</v>
      </c>
      <c r="J28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8" s="2" t="n"/>
      <c r="L288" s="2" t="inlineStr">
        <is>
          <t>พ.ร.บ. ยา พ.ศ. 2510</t>
        </is>
      </c>
      <c r="M288" s="2" t="inlineStr">
        <is>
          <t>SAP</t>
        </is>
      </c>
      <c r="N288" s="2" t="inlineStr">
        <is>
          <t>ข้อ 5 (PLE_CC1_Key_Rx20_UBU.md)</t>
        </is>
      </c>
      <c r="O288" s="2" t="inlineStr">
        <is>
          <t>Mock</t>
        </is>
      </c>
      <c r="P288" s="2" t="inlineStr">
        <is>
          <t>Mock Rx20 UBU</t>
        </is>
      </c>
    </row>
    <row r="289" ht="13.2" customHeight="1" s="37">
      <c r="A289" s="2" t="n">
        <v>287</v>
      </c>
      <c r="B289" s="2" t="inlineStr">
        <is>
          <t>ผู้ป่วยสิทธิบัตรทองและได้รับยาพ่นสเตียรอยด์ ยา A เป็นยาบัญชี ก, ยา B เป็นยาบัญชี ค, และยา C เป็นยานอกบัญชียาหลัก ข้อใดกล่าวถูกต้อง</t>
        </is>
      </c>
      <c r="C289" s="2" t="n"/>
      <c r="D289" s="2" t="inlineStr">
        <is>
          <t>ผู้ป่วยทุกคนควรได้รับยา A เป็นตัวแรก</t>
        </is>
      </c>
      <c r="E289" s="2" t="inlineStr">
        <is>
          <t>ผู้ป่วยที่ไม่สามารถใช้ยา A ได้ เช่น เกิดอาการไม่พึงประสงค์ สามารถใช้ยา B แทน แต่ต้องชำระเงินเอง</t>
        </is>
      </c>
      <c r="F289" s="2" t="inlineStr">
        <is>
          <t>ผู้ป่วยที่ได้รับยา C ไม่จำเป็นต้องจ่ายค่ารักษาพยาบาลเองหากมีความจำเป็นต้องใช้ยา</t>
        </is>
      </c>
      <c r="G289" s="2" t="inlineStr">
        <is>
          <t>ยา B สั่งใช้โดยแพทย์ผู้ชำนาญหรือผู้ที่ได้รับมอบหมายจากผู้อำนวยการของสถานพยาบาลนั้นๆ</t>
        </is>
      </c>
      <c r="H289" s="2" t="inlineStr">
        <is>
          <t>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t>
        </is>
      </c>
      <c r="I289" s="2" t="n">
        <v>4</v>
      </c>
      <c r="J289" s="2" t="inlineStr">
        <is>
          <t>✅ คำตอบที่ถูกต้อง: ข้อ ง. ยา B สั่งใช้โดยแพทย์ผู้ชำนาญหรือผู้ที่ได้รับมอบหมายจากผู้อำนวยการของสถานพยาบาลนั้นๆ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สั่งใช้โดยแพทย์ผู้ชำนาญหรือผู้ที่ได้รับมอบหมายจากผู้อำนวยการของสถานพยาบาลนั้นๆ 💡 คำอธิบายและข้อกำหนดทางกฎหมาย:
💡 คำอธิบายและข้อกำหนดทางกฎหมาย:
จึงเป็นกลุ่มยาที่มีความจำเป็นต้องมีการระบุข้อบ่งใช้และเงื่อนไขการสั่งใช้ยา (Drug Utilization Evaluation,
🔍 ข้ออื่นผิดเพราะอะไร:
• ข้อ ก. (ผู้ป่วยทุกคนควรได้รับยา A เป็นตัวแรก): ข้อนี้ไม่ใช่คำตอบที่ถูกต้องสำหรับภาวะ พ.ร.บ. ยา พ.ศ. 2510 เนื่องจากกลไกการออกฤทธิ์, efficacy หรือข้อบ่งใช้ไม่ตรงกับโจทย์ที่กำหนด
• ข้อ ข. (ผู้ป่วยที่ไม่สามารถใช้ยา A ได้ เช่น เกิดอาการไม่พึงประสงค์ สามารถใช้ยา B แทน แต่ต้องชำระเงินเอง): ข้อนี้ไม่ใช่คำตอบที่ถูกต้องสำหรับภาวะ พ.ร.บ. ยา พ.ศ. 2510 เนื่องจากกลไกการออกฤทธิ์, efficacy หรือข้อบ่งใช้ไม่ตรงกับโจทย์ที่กำหนด
• ข้อ ค. (ผู้ป่วยที่ได้รับยา C ไม่จำเป็นต้องจ่ายค่ารักษาพยาบาลเองหากมีความจำเป็นต้องใช้ยา): ข้อนี้ไม่ใช่คำตอบที่ถูกต้องสำหรับภาวะ พ.ร.บ. ยา พ.ศ. 2510 เนื่องจากกลไกการออกฤทธิ์, efficacy หรือข้อบ่งใช้ไม่ตรงกับโจทย์ที่กำหนด
• ข้อ จ.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9" s="2" t="n"/>
      <c r="L289" s="2" t="inlineStr">
        <is>
          <t>พ.ร.บ. ยา พ.ศ. 2510</t>
        </is>
      </c>
      <c r="M289" s="2" t="inlineStr">
        <is>
          <t>SAP</t>
        </is>
      </c>
      <c r="N289" s="2" t="inlineStr">
        <is>
          <t>ข้อ 9 (PLE_CC1_Key_Rx20_UBU.md)</t>
        </is>
      </c>
      <c r="O289" s="2" t="inlineStr">
        <is>
          <t>Mock</t>
        </is>
      </c>
      <c r="P289" s="2" t="inlineStr">
        <is>
          <t>Mock Rx20 UBU</t>
        </is>
      </c>
    </row>
    <row r="290" ht="13.2" customHeight="1" s="37">
      <c r="A290" s="2" t="n">
        <v>288</v>
      </c>
      <c r="B290" s="2" t="inlineStr">
        <is>
          <t>แพทย์ทาการศึกษาทดสอบประสิทธิภาพยารักษาหนองใน ในรูปแบบยากินและยาฉีดเข้ากล้ามเนื้อ โดยแบ่งผู้ป่วยออกเป็น 2 กลุ่ม และติดตามระดับยาในกระแสเลือด โดยใช้เวลาในการศึกษา 27 เดือน แล้วนำมาเปรียบเทียบโดยเป็นการศึกษาแบบไปข้างหน้า รูปแบบการศึกษานี้เป็นการศึกษาแบบใด</t>
        </is>
      </c>
      <c r="C290" s="2" t="n"/>
      <c r="D290" s="2" t="inlineStr">
        <is>
          <t>Case series</t>
        </is>
      </c>
      <c r="E290" s="2" t="inlineStr">
        <is>
          <t>Case-control</t>
        </is>
      </c>
      <c r="F290" s="2" t="inlineStr">
        <is>
          <t>Cohort</t>
        </is>
      </c>
      <c r="G290" s="2" t="inlineStr">
        <is>
          <t>Cross-sectional study</t>
        </is>
      </c>
      <c r="H290" s="2" t="inlineStr">
        <is>
          <t>Case-report</t>
        </is>
      </c>
      <c r="I290" s="2" t="n">
        <v>3</v>
      </c>
      <c r="J290" s="2" t="inlineStr">
        <is>
          <t>✅ คำตอบที่ถูกต้อง: ข้อ ค. Cohort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 คำอธิบายและข้อกำหนดทางกฎหมาย:
💡 คำอธิบายและข้อกำหนดทางกฎหมาย:
การเลือก Cohort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(Case series): ข้อนี้ไม่ใช่คำตอบที่ถูกต้องสำหรับภาวะ พ.ร.บ. ยา พ.ศ. 2510 เนื่องจากกลไกการออกฤทธิ์, efficacy หรือข้อบ่งใช้ไม่ตรงกับโจทย์ที่กำหนด
• ข้อ ข. (Case-control): ข้อนี้ไม่ใช่คำตอบที่ถูกต้องสำหรับภาวะ พ.ร.บ. ยา พ.ศ. 2510 เนื่องจากกลไกการออกฤทธิ์, efficacy หรือข้อบ่งใช้ไม่ตรงกับโจทย์ที่กำหนด
• ข้อ ง. (Cross-sectional study): ข้อนี้ไม่ใช่คำตอบที่ถูกต้องสำหรับภาวะ พ.ร.บ. ยา พ.ศ. 2510 เนื่องจากกลไกการออกฤทธิ์, efficacy หรือข้อบ่งใช้ไม่ตรงกับโจทย์ที่กำหนด
• ข้อ จ. (Case-report):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0" s="2" t="n"/>
      <c r="L290" s="2" t="inlineStr">
        <is>
          <t>พ.ร.บ. ยา พ.ศ. 2510</t>
        </is>
      </c>
      <c r="M290" s="2" t="inlineStr">
        <is>
          <t>SAP</t>
        </is>
      </c>
      <c r="N290" s="2" t="inlineStr">
        <is>
          <t>ข้อ 24 (PLE_CC1_Key_Rx20_UBU.md)</t>
        </is>
      </c>
      <c r="O290" s="2" t="inlineStr">
        <is>
          <t>Mock</t>
        </is>
      </c>
      <c r="P290" s="2" t="inlineStr">
        <is>
          <t>Mock Rx20 UBU</t>
        </is>
      </c>
    </row>
    <row r="291" ht="13.2" customHeight="1" s="37">
      <c r="A291" s="2" t="n">
        <v>289</v>
      </c>
      <c r="B291" s="2" t="inlineStr">
        <is>
          <t>ต้องรักษา H.pylori infection เป็นระยะเวลานานเท่าไร จึงจะได้ประสิทธิภาพการรักษาสูงสุด</t>
        </is>
      </c>
      <c r="C291" s="2" t="n"/>
      <c r="D291" s="2" t="inlineStr">
        <is>
          <t>3 วัน</t>
        </is>
      </c>
      <c r="E291" s="2" t="inlineStr">
        <is>
          <t>5 วัน</t>
        </is>
      </c>
      <c r="F291" s="2" t="inlineStr">
        <is>
          <t>2 สัปดาห์</t>
        </is>
      </c>
      <c r="G291" s="2" t="inlineStr">
        <is>
          <t>4 สัปดาห์</t>
        </is>
      </c>
      <c r="H291" s="2" t="inlineStr">
        <is>
          <t>6 สัปดาห์</t>
        </is>
      </c>
      <c r="I291" s="2" t="n">
        <v>3</v>
      </c>
      <c r="J291" s="2" t="inlineStr">
        <is>
          <t>✅ คำตอบที่ถูกต้อง: ข้อ ค. 2 สัปดาห์
💡 Background:
กฎหมายยาและจรรยาบรรณวิชาชีพมีขึ้นเพื่อคุ้มครองความปลอดภัยของผู้บริโภคตามมาตรฐาน Good Pharmacy Practice (GPP)
🎯 ทำไมข้อนี้ถึงถูก:
2 สัปดาห์ 💡 คำอธิบายและข้อกำหนดทางกฎหมาย:
💡 คำอธิบายและข้อกำหนดทางกฎหมาย:
การเลือก 2 สัปดาห์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(3 วัน): ข้อนี้ไม่ใช่คำตอบที่ถูกต้องสำหรับภาวะ พ.ร.บ. ยา พ.ศ. 2510 เนื่องจากกลไกการออกฤทธิ์, efficacy หรือข้อบ่งใช้ไม่ตรงกับโจทย์ที่กำหนด
• ข้อ ข. (5 วัน): ข้อนี้ไม่ใช่คำตอบที่ถูกต้องสำหรับภาวะ พ.ร.บ. ยา พ.ศ. 2510 เนื่องจากกลไกการออกฤทธิ์, efficacy หรือข้อบ่งใช้ไม่ตรงกับโจทย์ที่กำหนด
• ข้อ ง. (4 สัปดาห์): ข้อนี้ไม่ใช่คำตอบที่ถูกต้องสำหรับภาวะ พ.ร.บ. ยา พ.ศ. 2510 เนื่องจากกลไกการออกฤทธิ์, efficacy หรือข้อบ่งใช้ไม่ตรงกับโจทย์ที่กำหนด
• ข้อ จ. (6 สัปดาห์):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1" s="2" t="n"/>
      <c r="L291" s="2" t="inlineStr">
        <is>
          <t>พ.ร.บ. ยา พ.ศ. 2510</t>
        </is>
      </c>
      <c r="M291" s="2" t="inlineStr">
        <is>
          <t>SAP</t>
        </is>
      </c>
      <c r="N291" s="2" t="inlineStr">
        <is>
          <t>ข้อ 54 (PLE_CC1_Key_Rx20_UBU.md)</t>
        </is>
      </c>
      <c r="O291" s="2" t="inlineStr">
        <is>
          <t>Mock</t>
        </is>
      </c>
      <c r="P291" s="2" t="inlineStr">
        <is>
          <t>Mock Rx20 UBU</t>
        </is>
      </c>
    </row>
    <row r="292" ht="13.2" customHeight="1" s="37">
      <c r="A292" s="2" t="n">
        <v>290</v>
      </c>
      <c r="B292" s="2" t="inlineStr">
        <is>
          <t>ยาใดที่มีผลลดประสิทธิภาพของยาคุมกำเนิด</t>
        </is>
      </c>
      <c r="C292" s="2" t="n"/>
      <c r="D292" s="2" t="inlineStr">
        <is>
          <t>Rifampin</t>
        </is>
      </c>
      <c r="E292" s="2" t="inlineStr">
        <is>
          <t>Ketoconazole</t>
        </is>
      </c>
      <c r="F292" s="2" t="inlineStr">
        <is>
          <t>Omeprazole</t>
        </is>
      </c>
      <c r="G292" s="2" t="inlineStr">
        <is>
          <t>Griseofulvin</t>
        </is>
      </c>
      <c r="H292" s="2" t="inlineStr">
        <is>
          <t>Ranitidine</t>
        </is>
      </c>
      <c r="I292" s="2" t="n">
        <v>1</v>
      </c>
      <c r="J292" s="2" t="inlineStr">
        <is>
          <t>✅ คำตอบที่ถูกต้อง: ข้อ ก. Rifampin
💡 Background:
กฎหมายยาและจรรยาบรรณวิชาชีพมีขึ้นเพื่อคุ้มครองความปลอดภัยของผู้บริโภคตามมาตรฐาน Good Pharmacy Practice (GPP)
🎯 ทำไมข้อนี้ถึงถูก:
Rifampin 💡 คำอธิบายและข้อกำหนดทางกฎหมาย:
💡 คำอธิบายและข้อกำหนดทางกฎหมาย:
การเลือก Rifampin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(Ketoconazole): ข้อนี้ไม่ใช่คำตอบที่ถูกต้องสำหรับภาวะ พ.ร.บ. ยา พ.ศ. 2510 เนื่องจากกลไกการออกฤทธิ์, efficacy หรือข้อบ่งใช้ไม่ตรงกับโจทย์ที่กำหนด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(Griseofulvin): ข้อนี้ไม่ใช่คำตอบที่ถูกต้องสำหรับภาวะ พ.ร.บ. ยา พ.ศ. 2510 เนื่องจากกลไกการออกฤทธิ์, efficacy หรือข้อบ่งใช้ไม่ตรงกับโจทย์ที่กำหนด
• ข้อ จ. (Ranitidine):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2" s="2" t="n"/>
      <c r="L292" s="2" t="inlineStr">
        <is>
          <t>พ.ร.บ. ยา พ.ศ. 2510</t>
        </is>
      </c>
      <c r="M292" s="2" t="inlineStr">
        <is>
          <t>SAP</t>
        </is>
      </c>
      <c r="N292" s="2" t="inlineStr">
        <is>
          <t>ข้อ 87 (PLE_CC1_Key_Rx20_UBU.md)</t>
        </is>
      </c>
      <c r="O292" s="2" t="inlineStr">
        <is>
          <t>Mock</t>
        </is>
      </c>
      <c r="P292" s="2" t="inlineStr">
        <is>
          <t>Mock Rx20 UBU</t>
        </is>
      </c>
    </row>
    <row r="293" ht="13.2" customHeight="1" s="37">
      <c r="A293" s="2" t="n">
        <v>291</v>
      </c>
      <c r="B293" s="2" t="inlineStr">
        <is>
          <t>ผู้รับอนุญาต ทำผิดพรบ.วิชาชีพเภสัชกรรมหรือไม่อย่างไร</t>
        </is>
      </c>
      <c r="C293" s="2" t="n"/>
      <c r="D293" s="2" t="inlineStr">
        <is>
          <t>ผิด เพราะ เป็นผู้จ่ายยาให้นายชิดชัยโดยตรง</t>
        </is>
      </c>
      <c r="E293" s="2" t="inlineStr">
        <is>
          <t>ผิด เพราะ นายชิดชัยได้รับอันตราย</t>
        </is>
      </c>
      <c r="F293" s="2" t="inlineStr">
        <is>
          <t>ผิด เพราะ ไม่ปฏิบัติตามข้อจำกัด และเงื่อนไขการประกอบวิชาชีพ</t>
        </is>
      </c>
      <c r="G293" s="2" t="inlineStr">
        <is>
          <t>ไม่ผิด เพราะไม่ใช่เภสัชกร และ พรบ. วิชาชีพบังคับใช้สำหรับผู้ประกอบวิชาชีพเภสัชกรรม เท่านั้น</t>
        </is>
      </c>
      <c r="H293" s="2" t="inlineStr">
        <is>
          <t>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t>
        </is>
      </c>
      <c r="I293" s="2" t="n">
        <v>1</v>
      </c>
      <c r="J293" s="2" t="inlineStr">
        <is>
          <t>✅ คำตอบที่ถูกต้อง: ข้อ ก. ผิด เพราะ เป็นผู้จ่ายยาให้นายชิดชัยโดยตรง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เป็นผู้จ่ายยาให้นายชิดชัยโดยตรง 💡 คำอธิบายและข้อกำหนดทางกฎหมาย:
💡 คำอธิบายและข้อกำหนดทางกฎหมาย:
การเลือก ผิด เพราะ เป็นผู้จ่ายยาให้นายชิดชัยโดยตรง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นายชิดชัยได้รับอันตราย):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 ไม่ปฏิบัติตามข้อจำกัด และเงื่อนไขการประกอบวิชาชีพ):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(ไม่ผิด เพราะไม่ใช่เภสัชกร และ พรบ. วิชาชีพบังคับใช้สำหรับผู้ประกอบวิชาชีพเภสัชกรรม เท่านั้น):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3" s="2" t="n"/>
      <c r="L293" s="2" t="inlineStr">
        <is>
          <t>พ.ร.บ. ยา พ.ศ. 2510</t>
        </is>
      </c>
      <c r="M293" s="2" t="inlineStr">
        <is>
          <t>SAP</t>
        </is>
      </c>
      <c r="N293" s="2" t="inlineStr">
        <is>
          <t>ข้อ 110 (PLE_CC1_Key_Rx20_UBU.md)</t>
        </is>
      </c>
      <c r="O293" s="2" t="inlineStr">
        <is>
          <t>Mock</t>
        </is>
      </c>
      <c r="P293" s="2" t="inlineStr">
        <is>
          <t>Mock Rx20 UBU</t>
        </is>
      </c>
    </row>
    <row r="294" ht="13.2" customHeight="1" s="37">
      <c r="A294" s="2" t="n">
        <v>292</v>
      </c>
      <c r="B294" s="2" t="inlineStr">
        <is>
          <t>เภสัชกรผิดตาม พ.ร.บ.ยา อย่างไรชัดเจนที่สุด</t>
        </is>
      </c>
      <c r="C294" s="2" t="n"/>
      <c r="D294" s="2" t="inlineStr">
        <is>
          <t>ผิด เพราะ ไม่คำนึงถึงความปลอดภัยและเศรษฐานะของผู้รับบริการ</t>
        </is>
      </c>
      <c r="E294" s="2" t="inlineStr">
        <is>
          <t>ผิด เพราะ ไม่อยู่ประจำตลอดเวลาทำการ</t>
        </is>
      </c>
      <c r="F294" s="2" t="inlineStr">
        <is>
          <t>ผิด เพราะ ไม่รักษามาตรฐานวิชาชีพ</t>
        </is>
      </c>
      <c r="G294" s="2" t="inlineStr">
        <is>
          <t>ผิด เพราะ ไม่จัดให้มีตัวแทนอยู่ประจำร้าน</t>
        </is>
      </c>
      <c r="H294" s="2" t="inlineStr">
        <is>
          <t>ผิด เพราะ ไม่ควบคุมการแยกยาอันตรายหรือยาควบคุมพิเศษ</t>
        </is>
      </c>
      <c r="I294" s="2" t="n">
        <v>2</v>
      </c>
      <c r="J294" s="2" t="inlineStr">
        <is>
          <t>✅ คำตอบที่ถูกต้อง: ข้อ ข. ผิด เพราะ ไม่อยู่ประจำตลอดเวลาทำการ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ไม่อยู่ประจำตลอดเวลาทำการ 💡 คำอธิบายและข้อกำหนดทางกฎหมาย:
💡 คำอธิบายและข้อกำหนดทางกฎหมาย:
การเลือก ผิด เพราะ ไม่อยู่ประจำตลอดเวลาทำการ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(ผิด เพราะ ไม่คำนึงถึงความปลอดภัยและเศรษฐานะของผู้รับบริการ):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 ไม่รักษามาตรฐานวิชาชีพ):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เพราะ ไม่จัดให้มีตัวแทนอยู่ประจำร้าน):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(ผิด เพราะ ไม่ควบคุมการแยกยาอันตรายหรือยาควบคุมพิเศษ):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4" s="2" t="n"/>
      <c r="L294" s="2" t="inlineStr">
        <is>
          <t>พ.ร.บ. ยา พ.ศ. 2510</t>
        </is>
      </c>
      <c r="M294" s="2" t="inlineStr">
        <is>
          <t>SAP</t>
        </is>
      </c>
      <c r="N294" s="2" t="inlineStr">
        <is>
          <t>ข้อ 111 (PLE_CC1_Key_Rx20_UBU.md)</t>
        </is>
      </c>
      <c r="O294" s="2" t="inlineStr">
        <is>
          <t>Mock</t>
        </is>
      </c>
      <c r="P294" s="2" t="inlineStr">
        <is>
          <t>Mock Rx20 UBU</t>
        </is>
      </c>
    </row>
    <row r="295" ht="13.2" customHeight="1" s="37">
      <c r="A295" s="2" t="n">
        <v>293</v>
      </c>
      <c r="B295" s="2" t="inlineStr">
        <is>
          <t>ผู้รับอนุญาตผิดตาม พ.ร.บ.ยา อย่างไร</t>
        </is>
      </c>
      <c r="C295" s="2" t="n"/>
      <c r="D295" s="2" t="inlineStr">
        <is>
          <t>ผิด เพราะ ไม่จัดหาเภสัชกรมาปฏิบัติงานตามเวลา</t>
        </is>
      </c>
      <c r="E295" s="2" t="inlineStr">
        <is>
          <t>ผิด เพราะ จ่ายยาอันตรายและยาควบคุมพิเศษโดยที่เภสัชกรไม่อยู่</t>
        </is>
      </c>
      <c r="F295" s="2" t="inlineStr">
        <is>
          <t>ผิด เพราะ ไม่ควบคุมให้มีบัญชีซื้อขายยา</t>
        </is>
      </c>
      <c r="G295" s="2" t="inlineStr">
        <is>
          <t>ผิด เพราะ ไม่ได้รับอนุญาตขาย</t>
        </is>
      </c>
      <c r="H295" s="2" t="inlineStr">
        <is>
          <t>ผิด เพราะ ไม่รักษามาตรฐานเภสัชชุมชน</t>
        </is>
      </c>
      <c r="I295" s="2" t="n">
        <v>2</v>
      </c>
      <c r="J295" s="2" t="inlineStr">
        <is>
          <t>✅ คำตอบที่ถูกต้อง: ข้อ ข. ผิด เพราะ จ่ายยาอันตรายและยาควบคุมพิเศษโดยที่เภสัชกรไม่อยู่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จ่ายยาอันตรายและยาควบคุมพิเศษโดยที่เภสัชกรไม่อยู่ 💡 คำอธิบายและข้อกำหนดทางกฎหมาย:
💡 คำอธิบายและข้อกำหนดทางกฎหมาย:
การเลือก ผิด เพราะ จ่ายยาอันตรายและยาควบคุมพิเศษโดยที่เภสัชกรไม่อยู่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 เพราะ ไม่จัดหาเภสัชกรมาปฏิบัติงานตามเวลา):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 ไม่ควบคุมให้มีบัญชีซื้อขายยา): ข้อนี้ไม่ใช่คำตอบที่ถูกต้องสำหรับภาวะ พ.ร.บ. ยา พ.ศ. 2510 เนื่องจากกลไกการออกฤทธิ์, efficacy หรือข้อบ่งใช้ไม่ตรงกับโจทย์ที่กำหนด
• ข้อ ง. (ผิด เพราะ ไม่ได้รับอนุญาตขาย): ข้อนี้ไม่ใช่คำตอบที่ถูกต้องสำหรับภาวะ พ.ร.บ. ยา พ.ศ. 2510 เนื่องจากกลไกการออกฤทธิ์, efficacy หรือข้อบ่งใช้ไม่ตรงกับโจทย์ที่กำหนด
• ข้อ จ. (ผิด เพราะ ไม่รักษามาตรฐานเภสัชชุมชน):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5" s="2" t="n"/>
      <c r="L295" s="2" t="inlineStr">
        <is>
          <t>พ.ร.บ. ยา พ.ศ. 2510</t>
        </is>
      </c>
      <c r="M295" s="2" t="inlineStr">
        <is>
          <t>SAP</t>
        </is>
      </c>
      <c r="N295" s="2" t="inlineStr">
        <is>
          <t>ข้อ 112 (PLE_CC1_Key_Rx20_UBU.md)</t>
        </is>
      </c>
      <c r="O295" s="2" t="inlineStr">
        <is>
          <t>Mock</t>
        </is>
      </c>
      <c r="P295" s="2" t="inlineStr">
        <is>
          <t>Mock Rx20 UBU</t>
        </is>
      </c>
    </row>
    <row r="296" ht="13.2" customHeight="1" s="37">
      <c r="A296" s="2" t="n">
        <v>294</v>
      </c>
      <c r="B296" s="2" t="inlineStr">
        <is>
          <t>หาก สสจ. ตรวจพบว่ามียาที่หมดอายุแล้วปะปนอยู่บนชั้นวางยา ยาดังกล่าวจัดเป็นยาใดตามกฎหมาย</t>
        </is>
      </c>
      <c r="C296" s="2" t="n"/>
      <c r="D296" s="2" t="inlineStr">
        <is>
          <t>ยาผิดมาตรฐาน</t>
        </is>
      </c>
      <c r="E296" s="2" t="inlineStr">
        <is>
          <t>ยาปลอม</t>
        </is>
      </c>
      <c r="F296" s="2" t="inlineStr">
        <is>
          <t>ยาเสื่อมคุณภาพ</t>
        </is>
      </c>
      <c r="G296" s="2" t="inlineStr">
        <is>
          <t>ยาเพิกถอนทะเบียน</t>
        </is>
      </c>
      <c r="H296" s="2" t="inlineStr">
        <is>
          <t>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t>
        </is>
      </c>
      <c r="I296" s="2" t="n">
        <v>3</v>
      </c>
      <c r="J296" s="2" t="inlineStr">
        <is>
          <t>✅ คำตอบที่ถูกต้อง: ข้อ ค.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ข. (ยาปลอม): ข้อนี้ไม่ใช่คำตอบที่ถูกต้องสำหรับภาวะ พ.ร.บ. ยา พ.ศ. 2510 เนื่องจากกลไกการออกฤทธิ์, efficacy หรือข้อบ่งใช้ไม่ตรงกับโจทย์ที่กำหนด
• ข้อ ง. (ยาเพิกถอนทะเบียน):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ข้อ จ.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6" s="2" t="n"/>
      <c r="L296" s="2" t="inlineStr">
        <is>
          <t>พ.ร.บ. ยา พ.ศ. 2510</t>
        </is>
      </c>
      <c r="M296" s="2" t="inlineStr">
        <is>
          <t>SAP</t>
        </is>
      </c>
      <c r="N296" s="2" t="inlineStr">
        <is>
          <t>ข้อ 117 (PLE_CC1_Key_Rx20_UBU.md)</t>
        </is>
      </c>
      <c r="O296" s="2" t="inlineStr">
        <is>
          <t>Mock</t>
        </is>
      </c>
      <c r="P296" s="2" t="inlineStr">
        <is>
          <t>Mock Rx20 UBU</t>
        </is>
      </c>
    </row>
    <row r="297" ht="13.2" customHeight="1" s="37">
      <c r="A297" s="2" t="n">
        <v>295</v>
      </c>
      <c r="B297" s="2" t="inlineStr">
        <is>
          <t>ผู้รับอนุญาตขายยาได้แบ่งแชมพูคีโตโคนาโซลจากขวด 1 ลิตร ลงในขวด 100 มิลลิลิตร จำนวน 500 ขวด โดยติดฉลากชื่อการค้าและข้อบ่งใช้ครบถ้วนตามเดิม มีจุดมุ่งหมายเพื่อขายเฉพาะในร้านของตน ผู้รับอนุญาตคนนี้ทำผิดตามพรบ.ยาหรือไม่ เพราะเหตุใด</t>
        </is>
      </c>
      <c r="C297" s="2" t="n"/>
      <c r="D297" s="2" t="inlineStr">
        <is>
          <t>ไม่ผิด เพราะผู้รับอนุญาตขายยาสามารถขายยาบรรจุเสร็จที่ไม่ใช่ยาอันตรายและยาควบคุมพิเศษ</t>
        </is>
      </c>
      <c r="E297" s="2" t="inlineStr">
        <is>
          <t>ไม่ผิด เพราะ แชมพูคีโตโคนาโซลเป็นเครื่องสำอาง</t>
        </is>
      </c>
      <c r="F297" s="2" t="inlineStr">
        <is>
          <t>ผิด เพราะเป็นการขายยาผิดมาตรฐาน</t>
        </is>
      </c>
      <c r="G297" s="2" t="inlineStr">
        <is>
          <t>ผิด เพราะเป็นการผลิตยาโดยไม่ได้รับอนุญาต</t>
        </is>
      </c>
      <c r="H297" s="2" t="inlineStr">
        <is>
          <t>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t>
        </is>
      </c>
      <c r="I297" s="2" t="n">
        <v>4</v>
      </c>
      <c r="J297" s="2" t="inlineStr">
        <is>
          <t>✅ คำตอบที่ถูกต้อง: ข้อ ง. ผิด เพราะเป็นการผลิตยาโดยไม่ได้รับอนุญาต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เพราะเป็นการผลิตยาโดยไม่ได้รับอนุญาต 💡 คำอธิบายและข้อกำหนดทางกฎหมาย:
💡 คำอธิบายและข้อกำหนดทางกฎหมาย:
การเลือก ผิด เพราะเป็นการผลิตยาโดยไม่ได้รับอนุญาต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(ไม่ผิด เพราะผู้รับอนุญาตขายยาสามารถขายยาบรรจุเสร็จที่ไม่ใช่ยาอันตรายและยาควบคุมพิเศษ):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(ไม่ผิด เพราะ แชมพูคีโตโคนาโซลเป็นเครื่องสำอาง): ข้อนี้ไม่ใช่คำตอบที่ถูกต้องสำหรับภาวะ พ.ร.บ. ยา พ.ศ. 2510 เนื่องจากกลไกการออกฤทธิ์, efficacy หรือข้อบ่งใช้ไม่ตรงกับโจทย์ที่กำหนด
• ข้อ ค. (ผิด เพราะเป็นการขายยาผิดมาตรฐาน): ข้อนี้ไม่ใช่คำตอบที่ถูกต้องสำหรับภาวะ พ.ร.บ. ยา พ.ศ. 2510 เนื่องจากกลไกการออกฤทธิ์, efficacy หรือข้อบ่งใช้ไม่ตรงกับโจทย์ที่กำหนด
• ข้อ จ.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7" s="2" t="n"/>
      <c r="L297" s="2" t="inlineStr">
        <is>
          <t>พ.ร.บ. ยา พ.ศ. 2510</t>
        </is>
      </c>
      <c r="M297" s="2" t="inlineStr">
        <is>
          <t>SAP</t>
        </is>
      </c>
      <c r="N297" s="2" t="inlineStr">
        <is>
          <t>ข้อ 118 (PLE_CC1_Key_Rx20_UBU.md)</t>
        </is>
      </c>
      <c r="O297" s="2" t="inlineStr">
        <is>
          <t>Mock</t>
        </is>
      </c>
      <c r="P297" s="2" t="inlineStr">
        <is>
          <t>Mock Rx20 UBU</t>
        </is>
      </c>
    </row>
    <row r="298" ht="13.2" customHeight="1" s="37">
      <c r="A298" s="2" t="n">
        <v>296</v>
      </c>
      <c r="B298" s="2" t="inlineStr">
        <is>
          <t>ตาม GPP ฉลากบนซองบรรจุยาจะต้องแสดงข้อมูลดังกล่าว ยกเว้นข้อใด</t>
        </is>
      </c>
      <c r="C298" s="2" t="n"/>
      <c r="D298" s="2" t="inlineStr">
        <is>
          <t>ชื่อผู้ป่วย</t>
        </is>
      </c>
      <c r="E298" s="2" t="inlineStr">
        <is>
          <t>ชื่อยาที่เป็นชื่อสามัญ หรือชื่อทางการค้า</t>
        </is>
      </c>
      <c r="F298" s="2" t="inlineStr">
        <is>
          <t>ข้อบ่งใช้</t>
        </is>
      </c>
      <c r="G298" s="2" t="inlineStr">
        <is>
          <t>คำแนะนำ</t>
        </is>
      </c>
      <c r="H298" s="2" t="inlineStr">
        <is>
          <t>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t>
        </is>
      </c>
      <c r="I298" s="2" t="n">
        <v>5</v>
      </c>
      <c r="J298" s="2" t="inlineStr">
        <is>
          <t>✅ คำตอบที่ถูกต้อง: ข้อ จ.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Background:
กฎหมายยาและจรรยาบรรณวิชาชีพมีขึ้นเพื่อคุ้มครองความปลอดภัยของผู้บริโภคตามมาตรฐาน Good Pharmacy Practice (GPP)
🎯 ทำไมข้อนี้ถึงถูก: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คำอธิบายและข้อกำหนดทางกฎหมาย:
💡 คำอธิบายและข้อกำหนดทางกฎหมาย:
การเลือก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(ชื่อผู้ป่วย): ข้อนี้ไม่ใช่คำตอบที่ถูกต้องสำหรับภาวะ พ.ร.บ. ยา พ.ศ. 2510 เนื่องจากกลไกการออกฤทธิ์, efficacy หรือข้อบ่งใช้ไม่ตรงกับโจทย์ที่กำหนด
• ข้อ ข. (ชื่อยาที่เป็นชื่อสามัญ หรือชื่อทางการค้า): ข้อนี้ไม่ใช่คำตอบที่ถูกต้องสำหรับภาวะ พ.ร.บ. ยา พ.ศ. 2510 เนื่องจากกลไกการออกฤทธิ์, efficacy หรือข้อบ่งใช้ไม่ตรงกับโจทย์ที่กำหนด
• ข้อ ค. (ข้อบ่งใช้): ข้อนี้ไม่ใช่คำตอบที่ถูกต้องสำหรับภาวะ พ.ร.บ. ยา พ.ศ. 2510 เนื่องจากกลไกการออกฤทธิ์, efficacy หรือข้อบ่งใช้ไม่ตรงกับโจทย์ที่กำหนด
• ข้อ ง. (คำแนะนำ): ข้อนี้ไม่ใช่คำตอบที่ถูกต้องสำหรับภาวะ พ.ร.บ. ยา พ.ศ. 2510 เนื่องจากกลไกการออกฤทธิ์, efficacy หรือข้อบ่งใช้ไม่ตรงกับโจทย์ที่กำหนด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8" s="2" t="n"/>
      <c r="L298" s="2" t="inlineStr">
        <is>
          <t>พ.ร.บ. ยา พ.ศ. 2510</t>
        </is>
      </c>
      <c r="M298" s="2" t="inlineStr">
        <is>
          <t>SAP</t>
        </is>
      </c>
      <c r="N298" s="2" t="inlineStr">
        <is>
          <t>ข้อ 120 (PLE_CC1_Key_Rx20_UBU.md)</t>
        </is>
      </c>
      <c r="O298" s="2" t="inlineStr">
        <is>
          <t>Mock</t>
        </is>
      </c>
      <c r="P298" s="2" t="inlineStr">
        <is>
          <t>Mock Rx20 UBU</t>
        </is>
      </c>
    </row>
    <row r="299" ht="13.2" customHeight="1" s="37">
      <c r="A299" s="2" t="n">
        <v>297</v>
      </c>
      <c r="B299" s="2" t="inlineStr">
        <is>
          <t>ภญ. ก ผิดจรรยาบรรณวิชาชีพเภสัชกรรมยกเว้นข้อใด</t>
        </is>
      </c>
      <c r="C299" s="2" t="n"/>
      <c r="D299" s="2" t="inlineStr">
        <is>
          <t>ส่งเสริมการใช้ยาตำรับลับ</t>
        </is>
      </c>
      <c r="E299" s="2" t="inlineStr">
        <is>
          <t>ไม่ดำรงตนให้สมควรในสังคมโดยธรรมและเคารพต่อกฎหมายของบ้านเมือง</t>
        </is>
      </c>
      <c r="F299" s="2" t="inlineStr">
        <is>
          <t>ไม่รักษามาตรฐานของการประกอบวิชาชีพเภสัชกรรมในระดับที่ดีที่สุด</t>
        </is>
      </c>
      <c r="G299" s="2" t="inlineStr">
        <is>
          <t>ไม่คำนึงถึงความปลอดภัยและเศรษฐานะ ของผู้ป่วยหรือผู้มารับบริการ</t>
        </is>
      </c>
      <c r="H299" s="2" t="inlineStr">
        <is>
          <t>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t>
        </is>
      </c>
      <c r="I299" s="2" t="n">
        <v>3</v>
      </c>
      <c r="J299" s="2" t="inlineStr">
        <is>
          <t>✅ คำตอบที่ถูกต้อง: ข้อ ค. ไม่รักษามาตรฐานของการประกอบวิชาชีพเภสัชกรรมในระดับที่ดีที่สุด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ไม่รักษามาตรฐานของการประกอบวิชาชีพเภสัชกรรมในระดับที่ดีที่สุด 💡 คำอธิบายและข้อกำหนดทางกฎหมาย:
💡 คำอธิบายและข้อกำหนดทางกฎหมาย:
การเลือก ไม่รักษามาตรฐานของการประกอบวิชาชีพเภสัชกรรมในระดับที่ดีที่สุด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(ส่งเสริมการใช้ยาตำรับลับ):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ข. (ไม่ดำรงตนให้สมควรในสังคมโดยธรรมและเคารพต่อกฎหมายของบ้านเมือง):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ง. (ไม่คำนึงถึงความปลอดภัยและเศรษฐานะ ของผู้ป่วยหรือผู้มารับบริการ):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ข้อ จ.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ข้อนี้ไม่ใช่คำตอบที่ถูกต้องสำหรับภาวะ พ.ร.บ. วิชาชีพเภสัชกรรม 2537 เนื่องจากกลไกการออกฤทธิ์, efficacy หรือข้อบ่งใช้ไม่ตรงกับโจทย์ที่กำหนด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9" s="2" t="n"/>
      <c r="L299" s="2" t="inlineStr">
        <is>
          <t>พ.ร.บ. วิชาชีพเภสัชกรรม 2537</t>
        </is>
      </c>
      <c r="M299" s="2" t="inlineStr">
        <is>
          <t>SAP</t>
        </is>
      </c>
      <c r="N299" s="2" t="inlineStr">
        <is>
          <t>ข้อ 117 (PLE_CC1_Key_Rx20_UBU.md)</t>
        </is>
      </c>
      <c r="O299" s="2" t="inlineStr">
        <is>
          <t>Mock</t>
        </is>
      </c>
      <c r="P299" s="2" t="inlineStr">
        <is>
          <t>Mock Rx20 UBU</t>
        </is>
      </c>
    </row>
    <row r="300" ht="13.2" customHeight="1" s="37">
      <c r="A300" s="2" t="n">
        <v>298</v>
      </c>
      <c r="B300" s="2" t="inlineStr">
        <is>
          <t>ตามมาตรา 5 พรบ ยส ไม่ใช้กับรพ สังกัด กระทรวงสาธา แต่ให้มีการรายงานรับจ่าย ยส ทุก หกเดือน 2 มาตรา 17, 18 .ยส 2 ส่วนรพ สังกัดกระทรวงอื่น รวมทั้งเภสัช หมอ ทันตแพทย์ สัตวแพทย์ สามารถขอใบอนุญาตจำหน่าย ครอบครองได้ ถ้าไม่มีใบ ห้ามจำหน่าย ครอบครอง</t>
        </is>
      </c>
      <c r="C300" s="2" t="n"/>
      <c r="D300" s="2" t="inlineStr">
        <is>
          <t>พ.ร.บ. ผลิตภัณฑ์สมุนไพร พ.ศ. 2562</t>
        </is>
      </c>
      <c r="E300" s="2" t="inlineStr">
        <is>
          <t>พ.ร.บ. เครื่องสำอาง พ.ศ. 2558</t>
        </is>
      </c>
      <c r="F300" s="2" t="inlineStr">
        <is>
          <t>พ.ร.บ. หลักประกันสุขภาพแห่งชาติ พ.ศ. 2545</t>
        </is>
      </c>
      <c r="G300" s="2" t="inlineStr">
        <is>
          <t>การปฏิบัติทางเภสัชกรรมชุมชน (Good Pharmacy Practice: GPP)</t>
        </is>
      </c>
      <c r="H300" s="2" t="inlineStr">
        <is>
          <t>บัญชียาหลักแห่งชาติ (National List of Essential Medicines: NLEM)</t>
        </is>
      </c>
      <c r="I300" s="2" t="n">
        <v>1</v>
      </c>
      <c r="J30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ข้อนี้ไม่ใช่คำตอบที่ถูกต้องสำหรับภาวะ พ.ร.บ. ยา พ.ศ. 2510 เนื่องจากกลไกการออกฤทธิ์, efficacy หรือข้อบ่งใช้ไม่ตรงกับโจทย์ที่กำหนด
• ข้อ ค. (พ.ร.บ. หลักประกันสุขภาพแห่งชาติ พ.ศ. 2545): ข้อนี้ไม่ใช่คำตอบที่ถูกต้องสำหรับภาวะ พ.ร.บ. ยา พ.ศ. 2510 เนื่องจากกลไกการออกฤทธิ์, efficacy หรือข้อบ่งใช้ไม่ตรงกับโจทย์ที่กำหนด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0" s="2" t="n"/>
      <c r="L300" s="2" t="inlineStr">
        <is>
          <t>พ.ร.บ. ยา พ.ศ. 2510</t>
        </is>
      </c>
      <c r="M300" s="2" t="inlineStr">
        <is>
          <t>SAP</t>
        </is>
      </c>
      <c r="N300" s="2" t="inlineStr">
        <is>
          <t>ข้อ 1 (PLE_CC1_Key_Rx20_UBU.md)</t>
        </is>
      </c>
      <c r="O300" s="2" t="inlineStr">
        <is>
          <t>Mock</t>
        </is>
      </c>
      <c r="P300" s="2" t="inlineStr">
        <is>
          <t>Mock Rx20 UBU</t>
        </is>
      </c>
    </row>
    <row r="301" ht="13.2" customHeight="1" s="37">
      <c r="A301" s="2" t="n">
        <v>299</v>
      </c>
      <c r="B301" s="2" t="inlineStr">
        <is>
          <t>มาตรา 20, 21 ยส 3 หมอ ทันตแพทย์ สัตวแพทย์ ได้รับข้อยกเว้นในการขาย ครอบครองยส 3 เพื่อจำหน่ายแก่ สัตว์ คนที่ตนรักษา นอกนั้น ต้องมีใบอนุญาตขายยส หรือ ผลิต/นำเข้ายส ร่วมกับมีเภสัชประจำการตลอดเวลาจึงสามารถ ขายหรือครอบครอง ยส 3 ได้ ร้านยาแห่งหนึ่งได้รับอนุญาติให้ขายยาบน BTS ซึ่งมีพื้นที่ในการจัดเก็บสินค้าจำกัด ต่อมามีผู้ป่วยมาขอซื้อ Nicotin gum และ Budesonide ซึ่งเภสัชกรได้ซักประวัติและให้คำแนะนำในการใช้ยาแก่ผู้ป่วย จากนั้นก็ให้ผู้ป่วยเดินตามลูกจ้่างที่ร้านยาไปรับยาที่อยู่ Stock ที่อยู่ทางขึ้น BTS ซึ่งอยู่คนละส่วนกับร้านยา ข้อ 95 ถามว่าผิดกฎหมายยาหรือไม่</t>
        </is>
      </c>
      <c r="C301" s="2" t="n"/>
      <c r="D301" s="2" t="inlineStr">
        <is>
          <t>ผิดเพราะขายยานอกสถานที่</t>
        </is>
      </c>
      <c r="E301" s="2" t="inlineStr">
        <is>
          <t>ผิดเพราะขายยาอันตรายและควบคุมพิเศษโดยไม่มีใบสั่งแพทย์ ค .ผิด เพราะจำหน่ายยาไม่ตรงใบอนุญาต</t>
        </is>
      </c>
      <c r="F301" s="2" t="inlineStr">
        <is>
          <t>ไม่ผิด เพราะเภสัชกรได้ควบคุมการส่งมอบยาอันตราย</t>
        </is>
      </c>
      <c r="G301" s="2" t="inlineStr">
        <is>
          <t>ไม่ผิดเพราะเภสัชกรได้แนะนำวิธีดการส่งมอบยาเรียบร้อยแล้ว ข้อ 96</t>
        </is>
      </c>
      <c r="H301" s="2" t="inlineStr">
        <is>
          <t>พ.ร.บ. ยาเสพติดให้โทษ พ.ศ. 2522 (ยาเสพติดให้โทษประเภท 2 และ 3)</t>
        </is>
      </c>
      <c r="I301" s="2" t="n">
        <v>2</v>
      </c>
      <c r="J301" s="2" t="inlineStr">
        <is>
          <t>✅ คำตอบที่ถูกต้อง: ข้อ ข. ผิดเพราะขายยาอันตรายและควบคุมพิเศษโดยไม่มีใบสั่งแพทย์ ค .ผิด เพราะจำหน่ายยาไม่ตรงใบอนุญาต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ผิดเพราะขายยาอันตรายและควบคุมพิเศษโดยไม่มีใบสั่งแพทย์ ค .ผิด เพราะจำหน่ายยาไม่ตรงใบอนุญาต 💡 คำอธิบายและข้อกำหนดทางกฎหมาย:
💡 คำอธิบายและข้อกำหนดทางกฎหมาย:
---------------------------------------------------------------------------------------------------------------------------------- ข้อ 101 ถ้าผลิตภัณฑ์นี้ไม่ได้ขึ้นทะเบียน ไม่ได้จดแจ้ง ไม่ได้ทำอะไรเลย ผลิตภัณฑ์นี้จะเป็นอะไรตามกฏหมาย ด้วยแนวคิดที่ว่าบริการสุขภาพเป็นบริการที่ไม่สมบูรณ์ ฝ่ายผู้รับบริการมีความรู้ไม่เท่าเทียมกับผู้ให้บริการ A เกือบพลาดพลั้ง (มีโอกาสเกิด event) B รั้งไม่อยู่ (เกิด event) C ผู้ป่วยรับ D จับตามอง E ต้องรักษา F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(ผิดเพราะขายยานอกสถานที่): ข้อนี้ไม่ใช่คำตอบที่ถูกต้องสำหรับภาวะ พ.ร.บ. ยา พ.ศ. 2510 เนื่องจากกลไกการออกฤทธิ์, efficacy หรือข้อบ่งใช้ไม่ตรงกับโจทย์ที่กำหนด
• ข้อ ค. (ไม่ผิด เพราะเภสัชกรได้ควบคุมการส่งมอบยาอันตราย):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(ไม่ผิดเพราะเภสัชกรได้แนะนำวิธีดการส่งมอบยาเรียบร้อยแล้ว ข้อ 96): ข้อนี้ไม่ใช่คำตอบที่ถูกต้องสำหรับภาวะ พ.ร.บ. ยา พ.ศ. 2510 เนื่องจากกลไกการออกฤทธิ์, efficacy หรือข้อบ่งใช้ไม่ตรงกับโจทย์ที่กำหนด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1" s="2" t="n"/>
      <c r="L301" s="2" t="inlineStr">
        <is>
          <t>พ.ร.บ. ยา พ.ศ. 2510</t>
        </is>
      </c>
      <c r="M301" s="2" t="inlineStr">
        <is>
          <t>SAP</t>
        </is>
      </c>
      <c r="N301" s="2" t="inlineStr">
        <is>
          <t>ข้อ 3 (PLE_CC1_Key_Rx20_UBU.md)</t>
        </is>
      </c>
      <c r="O301" s="2" t="inlineStr">
        <is>
          <t>Mock</t>
        </is>
      </c>
      <c r="P301" s="2" t="inlineStr">
        <is>
          <t>Mock Rx20 UBU</t>
        </is>
      </c>
    </row>
    <row r="302" ht="13.2" customHeight="1" s="37">
      <c r="A302" s="2" t="n">
        <v>300</v>
      </c>
      <c r="B302" s="2" t="inlineStr">
        <is>
          <t>▶ [สถานการณ์: มีคุณครูมาขอซื้อยาเม็ดแก้แพ้/ลดน้ำมูก กระปุกละ 100 เม็ด จำนวน 5 กระปุกที่ร้านยา โดยแจ้งว่าจะนำไปเตรียมไว้ให้เด็กนักเรียนรับประทานเผื่อไว้ล่วงหน้าก่อนไปทัศนศึกษา]
📌 คำถาม: ในฐานะเภสัชกรชุมชน ท่านสามารถจำหน่ายยานี้ให้ได้หรือไม่ และมีความถูกต้องตามกฎหมายและจรรยาบรรณวิชาชีพอย่างไร</t>
        </is>
      </c>
      <c r="C302" s="2" t="n"/>
      <c r="D302" s="2" t="inlineStr">
        <is>
          <t>ขายได้ เพราะเป็นยาอันตรายที่เภสัชกรมีสิทธิ์ส่งมอบในร้านยาได้</t>
        </is>
      </c>
      <c r="E302" s="2" t="inlineStr">
        <is>
          <t>ขายได้ หากให้คำแนะนำการใช้ยาบนฉลากยาอย่างถูกต้อง</t>
        </is>
      </c>
      <c r="F302" s="2" t="inlineStr">
        <is>
          <t>ขายไม่ได้ เพราะปริมาณเกินกว่าที่กฎหมายกำหนดให้มีไว้ในครอบครอง</t>
        </is>
      </c>
      <c r="G302" s="2" t="inlineStr">
        <is>
          <t>ขายไม่ได้ เพราะไม่ได้คำนึงถึงความปลอดภัยของผู้ใช้ยา และเป็นการใช้ยาโดยไม่มีข้อบ่งชี้ทางการแพทย์</t>
        </is>
      </c>
      <c r="H302" s="2" t="inlineStr">
        <is>
          <t>ขายไม่ได้ เพราะต้องมีใบสั่งยาจากแพทย์เท่านั้นจึงจะจ่ายยาอันตรายได้</t>
        </is>
      </c>
      <c r="I302" s="8" t="inlineStr">
        <is>
          <t>4</t>
        </is>
      </c>
      <c r="J302" s="2" t="inlineStr">
        <is>
          <t>✅ คำตอบที่ถูกต้อง: ข้อ ง. ขายไม่ได้เพราะไม่ได้คำนึงถึงความปลอดภัยของผู้บริโภคและไม่มีข้อบ่งชี้ทางการแพทย์ที่เหมาะสม
💡 Background:
ตามพระราชบัญญัติยา พ.ศ. 2510 และที่แก้ไขเพิ่มเติม รวมถึงข้อบังคับสภาเภสัชกรรมว่าด้วยจรรยาบรรณวิชาชีพ เภสัชกรชุมชนมีหน้าที่ต้องส่งมอบยาอย่างสมเหตุผล (Rational Drug Use) โดยคำนึงถึงความปลอดภัยของผู้ใช้ยาเป็นสำคัญ การจำหน่ายยาอันตรายในปริมาณมากผิดปกติ หรือนำไปใช้ในลักษณะป้องกันล่วงหน้าในเด็กโดยไม่มีข้อบ่งชี้ทางการแพทย์ เป็นพฤติการณ์ที่สุ่มเสี่ยงต่อการเกิดอันตรายจากการใช้ยาและการใช้ยาในทางที่ผิด
🎯 ทำไมข้อนี้ถึงถูก:
การที่คุณครูมาขอซื้อยาแก้แพ้/ยาอันตรายปริมาณมากถึง 5 กระปุก เพื่อนำไปแจกเด็กนักเรียนรับประทานเผื่อไว้ล่วงหน้า เภสัชกรไม่สามารถจ่ายยาให้ได้ เนื่องจากเป็นการใช้ยาโดยไม่มีข้อบ่งชี้ทางการแพทย์ที่ถูกต้อง เสี่ยงต่อผลข้างเคียงรุนแรงในเด็ก (เช่น ฤทธิ์ Anticholinergic, ง่วงซึม, ชัก) เภสัชกรต้องปฏิเสธการขายและให้ความรู้เรื่องความปลอดภัยในการใช้ยา
🔍 ข้ออื่นผิดเพราะอะไร:
• ข้อ ก. (ขายได้เพราะเป็นยาสามัญประจำบ้าน): หากเป็นยาอันตรายไม่ใช่ยาสามัญประจำบ้าน และถึงแม้เป็นยาสามัญประจำบ้านก็ต้องไม่จำหน่ายเพื่อการใช้ที่ผิดวัตถุประสงค์
• ข้อ ข. (ขายได้เพราะเป็นยาอันตรายตามกฎหมาย): ผิด ยาอันตรายต้องขายโดยมีเภสัชกรส่งมอบและซักประวัติประเมินความปลอดภัย ไม่ใช่ใครมาขอกว้านซื้อก็ขายได้
• ข้อ ค. (ขายไม่ได้เพราะปริมาณเกินกฎหมายกำหนดไว้): กฎหมายไม่ได้จำกัดตัวเลขเม็ดตายตัวของยาทั่วไปเหมือนยาควบคุมพิเศษบางรายการ แต่ผิดที่ข้อบ่งชี้และความปลอดภัย
• ข้อ จ. (ขายไม่ได้เพราะไม่มีใบสั่งซื้อจากแพทย์): ยาอันตรายสามารถจำหน่ายในร้านยาได้โดยไม่ต้องมีใบสั่งแพทย์หากมีข้อบ่งชี้ที่ถูกต้อง แต่ข้อนี้ต้องปฏิเสธเพราะขัดกับหลักความปลอดภัยของผู้ป่วย
📖 Guideline อ้างอิง:
พระราชบัญญัติวิชาชีพเภสัชกรรม พ.ศ. 2537 &amp; ประกาศกระทรวงสาธารณสุข เรื่อง การปฏิบัติตามวิธีปฏิบัติทางเภสัชกรรมชุมชน (Good Pharmacy Practice: GPP)
📌 จุดจำก่อนสอบ:
• GPP Safety Mandate: เภสัชกรต้องซักประวัติและประเมินความสมเหตุผลก่อนจ่ายยาทุกครั้ง การจ่ายยาเพื่อ "เผื่อไว้ป้องกันล่วงหน้า" ในปริมาณมากให้เด็ก เป็นข้อห้ามเชิงจริยธรรมและความปลอดภัย
• Professional Duty: มีอำนาจปฏิเสธการขายหากพบว่าการใช้ยานั้นไม่ปลอดภัยหรือไม่สมเหตุผล</t>
        </is>
      </c>
      <c r="K302" s="2" t="n"/>
      <c r="L302" s="2" t="inlineStr">
        <is>
          <t>Pharmacy Laws &amp; Ethics</t>
        </is>
      </c>
      <c r="M302" s="2" t="inlineStr">
        <is>
          <t>SAP</t>
        </is>
      </c>
      <c r="N302" s="2" t="inlineStr">
        <is>
          <t>PLE_CC1_2567_Key ข้อ 11</t>
        </is>
      </c>
      <c r="O302" s="2" t="inlineStr">
        <is>
          <t>ข้อสอบจริง</t>
        </is>
      </c>
      <c r="P302" s="2" t="inlineStr">
        <is>
          <t>ปี 2567</t>
        </is>
      </c>
    </row>
    <row r="303">
      <c r="A303" s="46" t="n">
        <v>301</v>
      </c>
      <c r="B303" s="45" t="inlineStr">
        <is>
          <t>ยาใดที่ร้านขายส่งไม่สามารถขายในร้านขายยาแผนปัจจุบันได้</t>
        </is>
      </c>
      <c r="C303" s="46" t="n"/>
      <c r="D303" s="45" t="inlineStr">
        <is>
          <t>Sildenafil</t>
        </is>
      </c>
      <c r="E303" s="45" t="inlineStr">
        <is>
          <t>Alprazolam</t>
        </is>
      </c>
      <c r="F303" s="45" t="inlineStr">
        <is>
          <t>Tramadol</t>
        </is>
      </c>
      <c r="G303" s="45" t="inlineStr">
        <is>
          <t>Dexamethasone</t>
        </is>
      </c>
      <c r="H303" s="45" t="inlineStr">
        <is>
          <t>Prednisolone</t>
        </is>
      </c>
      <c r="I303" s="46" t="n">
        <v>1</v>
      </c>
      <c r="J303" s="45" t="inlineStr">
        <is>
          <t>✅ คำตอบที่ถูกต้อง: ข้อ ก. Sildenafil
💡 Background:
คำถามข้อสอบจริงใบประกอบวิชาชีพ PLE-CC 1 (Product) ปี 2567 ข้อ 23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3" s="46" t="n"/>
      <c r="L303" s="45" t="inlineStr">
        <is>
          <t>Pharmacy Laws &amp; Ethics</t>
        </is>
      </c>
      <c r="M303" s="46" t="inlineStr">
        <is>
          <t>SAP</t>
        </is>
      </c>
      <c r="N303" s="45" t="inlineStr">
        <is>
          <t>ข้อสอบจริง Product ปี 2567 ข้อ 23</t>
        </is>
      </c>
      <c r="O303" s="46" t="inlineStr">
        <is>
          <t>ข้อสอบจริง</t>
        </is>
      </c>
      <c r="P303" s="46" t="inlineStr">
        <is>
          <t>ปี 2567</t>
        </is>
      </c>
    </row>
    <row r="304">
      <c r="A304" s="46" t="n">
        <v>302</v>
      </c>
      <c r="B304" s="45" t="inlineStr">
        <is>
          <t>ยาข้อใดต่อไปนี้ ไม่ต้องทำ ขย.11 (ขอขึ้นทะเบียนยาชนิดที่ 11\)</t>
        </is>
      </c>
      <c r="C304" s="46" t="n"/>
      <c r="D304" s="45" t="inlineStr">
        <is>
          <t>ยาเม็ด dimenhydrinate</t>
        </is>
      </c>
      <c r="E304" s="45" t="inlineStr">
        <is>
          <t>ยาเม็ด dextromethorphan</t>
        </is>
      </c>
      <c r="F304" s="45" t="inlineStr">
        <is>
          <t>ยา tramadol</t>
        </is>
      </c>
      <c r="G304" s="45" t="inlineStr">
        <is>
          <t>ยาน้ำ CPM (Chlorpheniramine)</t>
        </is>
      </c>
      <c r="H304" s="45" t="inlineStr"/>
      <c r="I304" s="46" t="n">
        <v>1</v>
      </c>
      <c r="J304" s="45" t="inlineStr">
        <is>
          <t>✅ คำตอบที่ถูกต้อง: ข้อ ก. ยาเม็ด dimenhydrinate
💡 Background:
คำถามข้อสอบจริงใบประกอบวิชาชีพ PLE-CC 1 (Product) ปี 2567 ข้อ 25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4" s="46" t="n"/>
      <c r="L304" s="45" t="inlineStr">
        <is>
          <t>Pharmacy Laws &amp; Ethics</t>
        </is>
      </c>
      <c r="M304" s="46" t="inlineStr">
        <is>
          <t>SAP</t>
        </is>
      </c>
      <c r="N304" s="45" t="inlineStr">
        <is>
          <t>ข้อสอบจริง Product ปี 2567 ข้อ 25</t>
        </is>
      </c>
      <c r="O304" s="46" t="inlineStr">
        <is>
          <t>ข้อสอบจริง</t>
        </is>
      </c>
      <c r="P304" s="46" t="inlineStr">
        <is>
          <t>ปี 2567</t>
        </is>
      </c>
    </row>
    <row r="305">
      <c r="A305" s="46" t="n">
        <v>303</v>
      </c>
      <c r="B305" s="45" t="inlineStr">
        <is>
          <t>ข้อใดต่อไปนี้ไม่จัดเป็นยาสามัญประจำบ้าน</t>
        </is>
      </c>
      <c r="C305" s="46" t="n"/>
      <c r="D305" s="45" t="inlineStr">
        <is>
          <t>Paracetamol 500 mg จำนน 100 เม็ด</t>
        </is>
      </c>
      <c r="E305" s="45" t="inlineStr">
        <is>
          <t>ยาเน็บ glycerin 10 เม็ด</t>
        </is>
      </c>
      <c r="F305" s="45" t="inlineStr">
        <is>
          <t>น้ำเกลือ 500 ml</t>
        </is>
      </c>
      <c r="G305" s="45" t="inlineStr">
        <is>
          <t>ORS ผมน้ำ 250 ml</t>
        </is>
      </c>
      <c r="H305" s="45" t="inlineStr">
        <is>
          <t>ยาล้างตา 150 ml</t>
        </is>
      </c>
      <c r="I305" s="46" t="n">
        <v>1</v>
      </c>
      <c r="J305" s="45" t="inlineStr">
        <is>
          <t>✅ คำตอบที่ถูกต้อง: ข้อ ก. Paracetamol 500 mg จำนน 100 เม็ด
💡 Background:
คำถามข้อสอบจริงใบประกอบวิชาชีพ PLE-CC 1 (Product) ปี 2567 ข้อ 29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5" s="46" t="n"/>
      <c r="L305" s="45" t="inlineStr">
        <is>
          <t>Pharmacy Laws &amp; Ethics</t>
        </is>
      </c>
      <c r="M305" s="46" t="inlineStr">
        <is>
          <t>SAP</t>
        </is>
      </c>
      <c r="N305" s="45" t="inlineStr">
        <is>
          <t>ข้อสอบจริง Product ปี 2567 ข้อ 29</t>
        </is>
      </c>
      <c r="O305" s="46" t="inlineStr">
        <is>
          <t>ข้อสอบจริง</t>
        </is>
      </c>
      <c r="P305" s="46" t="inlineStr">
        <is>
          <t>ปี 2567</t>
        </is>
      </c>
    </row>
    <row r="306">
      <c r="A306" s="46" t="n">
        <v>304</v>
      </c>
      <c r="B306" s="45" t="inlineStr">
        <is>
          <t>"อาการของคนไข้ยังไม่หาย ไปร้านยาเพื่อขอยาแก้ไอ" สมุนไพรใดมีฤทธิ์แก้ไอ</t>
        </is>
      </c>
      <c r="C306" s="46" t="n"/>
      <c r="D306" s="45" t="inlineStr">
        <is>
          <t>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t>
        </is>
      </c>
      <c r="E306" s="45" t="inlineStr">
        <is>
          <t>ชะเอมเทศ ❌ ช่วยให้ชุ่มคอ ลดการระคายคอ มีฤทธิ์แก้ไอได้ แต่เป็นสารช่วยแต่งรสในตำรับหลายชนิด</t>
        </is>
      </c>
      <c r="F306" s="45" t="inlineStr">
        <is>
          <t>มะแว้ง ✅ ใช้เป็นยาสามัญประจำบ้านสำหรับแก้ไอ ขับเสมหะ</t>
        </is>
      </c>
      <c r="G306" s="45" t="inlineStr">
        <is>
          <t>ขิง ❌ เด่นแก้คลื่นไส้ ท้องอืด ขับลม</t>
        </is>
      </c>
      <c r="H306" s="45" t="inlineStr">
        <is>
          <t>ฟ้าทะลายโจร ❌ ใช้บรรเทาอาการเจ็บคอ/หวัด ไม่ใช่สมุนไพรแก้ไอโดยตรง</t>
        </is>
      </c>
      <c r="I306" s="46" t="n">
        <v>1</v>
      </c>
      <c r="J306" s="45" t="inlineStr">
        <is>
          <t>✅ คำตอบที่ถูกต้อง: ข้อ ก. 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
💡 Background:
คำถามข้อสอบจริงใบประกอบวิชาชีพ PLE-CC 1 (Product) ปี 2564 ข้อ 171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6" s="46" t="n"/>
      <c r="L306" s="45" t="inlineStr">
        <is>
          <t>Pharmacy Laws &amp; Ethics</t>
        </is>
      </c>
      <c r="M306" s="46" t="inlineStr">
        <is>
          <t>SAP</t>
        </is>
      </c>
      <c r="N306" s="45" t="inlineStr">
        <is>
          <t>ข้อสอบจริง Product ปี 2564 ข้อ 171</t>
        </is>
      </c>
      <c r="O306" s="46" t="inlineStr">
        <is>
          <t>ข้อสอบจริง</t>
        </is>
      </c>
      <c r="P306" s="46" t="inlineStr">
        <is>
          <t>ปี 2564</t>
        </is>
      </c>
    </row>
  </sheetData>
  <mergeCells count="1">
    <mergeCell ref="A1:F1"/>
  </mergeCell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P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9">
        <f>HYPERLINK("#gid=0", "🏠 กลับสู่หน้าแรก (Go to Home Page)")</f>
        <v/>
      </c>
    </row>
    <row r="2" ht="21.6" customHeight="1" s="37">
      <c r="A2" s="27" t="inlineStr">
        <is>
          <t>ข้อที่</t>
        </is>
      </c>
      <c r="B2" s="27" t="inlineStr">
        <is>
          <t>คำถาม</t>
        </is>
      </c>
      <c r="C2" s="27" t="inlineStr">
        <is>
          <t>รูปถาม</t>
        </is>
      </c>
      <c r="D2" s="27" t="inlineStr">
        <is>
          <t>ตัวเลือก 1</t>
        </is>
      </c>
      <c r="E2" s="27" t="inlineStr">
        <is>
          <t>ตัวเลือก 2</t>
        </is>
      </c>
      <c r="F2" s="27" t="inlineStr">
        <is>
          <t>ตัวเลือก 3</t>
        </is>
      </c>
      <c r="G2" s="27" t="inlineStr">
        <is>
          <t>ตัวเลือก 4</t>
        </is>
      </c>
      <c r="H2" s="27" t="inlineStr">
        <is>
          <t>ตัวเลือก 5</t>
        </is>
      </c>
      <c r="I2" s="27" t="inlineStr">
        <is>
          <t>เฉลย (ตัวเลข 1-5)</t>
        </is>
      </c>
      <c r="J2" s="27" t="inlineStr">
        <is>
          <t>คำอธิบายเฉลย</t>
        </is>
      </c>
      <c r="K2" s="27" t="inlineStr">
        <is>
          <t>รูปเฉลย</t>
        </is>
      </c>
      <c r="L2" s="27" t="inlineStr">
        <is>
          <t>Filter หมวด/Subtopic</t>
        </is>
      </c>
      <c r="M2" s="27" t="inlineStr">
        <is>
          <t>Product / Clinic</t>
        </is>
      </c>
      <c r="N2" s="27" t="inlineStr">
        <is>
          <t>หมายเหตุ</t>
        </is>
      </c>
      <c r="O2" s="2" t="inlineStr">
        <is>
          <t>ประเภทข้อสอบ</t>
        </is>
      </c>
      <c r="P2" s="2" t="inlineStr">
        <is>
          <t>ปี / เลขชุด</t>
        </is>
      </c>
    </row>
    <row r="3" ht="13.2" customHeight="1" s="37">
      <c r="A3" s="8" t="inlineStr">
        <is>
          <t>9</t>
        </is>
      </c>
      <c r="B3" s="2" t="inlineStr">
        <is>
          <t>ถ้าผู้ป่วยใช้ยาพ่น budesonide inhaler หมด และใช้สิทธิบัตรทอง สามารถขอรับยาต่อได้หรือไม่</t>
        </is>
      </c>
      <c r="C3" s="2" t="n"/>
      <c r="D3" s="2" t="inlineStr">
        <is>
          <t>ไม่ได้ เพราะต้องให้แพทย์สั่ง</t>
        </is>
      </c>
      <c r="E3" s="2" t="inlineStr">
        <is>
          <t>ไม่ได้ เพราะเป็นยาที่ต้องสั่งโดยแพทย์ผู้เชี่ยวชาญเฉพาะทาง</t>
        </is>
      </c>
      <c r="F3" s="2" t="inlineStr">
        <is>
          <t>ได้ สามารถรับที่ไหนก็ได้</t>
        </is>
      </c>
      <c r="G3" s="2" t="inlineStr">
        <is>
          <t>ได้ เพราะอยู่ในบัญชียาหลักแห่งชาติ</t>
        </is>
      </c>
      <c r="H3" s="2" t="inlineStr">
        <is>
          <t>ได้ เพราะในกรมบัญชีกลางอนุญาต</t>
        </is>
      </c>
      <c r="I3" s="8" t="inlineStr">
        <is>
          <t>4</t>
        </is>
      </c>
      <c r="J3" s="2" t="inlineStr">
        <is>
          <t>✅ คำตอบที่ถูกต้อง: ข้อ ง. ได้ เพราะอยู่ในบัญชียาหลักแห่งชาติ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เพราะอยู่ในบัญชียาหลักแห่งชาติ 💡 คำอธิบายและข้อกำหนดทางกฎหมาย:
💡 คำอธิบายและข้อกำหนดทางกฎหมาย:
ยาพ่น budesonide อยู่ในบัญชียาหลักแห่งชาติ (ED) แต่การเบิกจ่ายตามสิทธิบัตรทองต่อเนื่องจำเป็นต้องมีใบสั่งยาหรือการวินิจฉัยจากแพทย์ตามระบบบริการสุขภาพ
🔍 ข้ออื่นผิดเพราะอะไร:
• ข้อ ก. (ไม่ได้ เพราะต้องให้แพทย์สั่ง):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ข. (ไม่ได้ เพราะเป็นยาที่ต้องสั่งโดยแพทย์ผู้เชี่ยวชาญเฉพาะทาง):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ค. (ได้ สามารถรับที่ไหนก็ได้):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จ. (ได้ เพราะในกรมบัญชีกลางอนุญาต): ข้อนี้ไม่ใช่คำตอบที่ถูกต้องสำหรับภาวะ ระบบประกันสุขภาพ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ระบบประกันสุขภาพ</t>
        </is>
      </c>
      <c r="M3" s="2" t="inlineStr">
        <is>
          <t>SAP</t>
        </is>
      </c>
      <c r="N3" s="2" t="inlineStr">
        <is>
          <t>ข้อ 9 Pharma Plus เล่มม่วง (เฉลยข้อ ง)</t>
        </is>
      </c>
      <c r="O3" s="2" t="inlineStr">
        <is>
          <t>Mock</t>
        </is>
      </c>
      <c r="P3" s="2" t="inlineStr">
        <is>
          <t>Pharma Plus เล่มม่วง</t>
        </is>
      </c>
    </row>
    <row r="4" ht="13.2" customHeight="1" s="37">
      <c r="A4" s="8" t="inlineStr">
        <is>
          <t>31</t>
        </is>
      </c>
      <c r="B4" s="2" t="inlineStr">
        <is>
          <t>ท่านได้แนะนำสำรวจให้พาด.ญ.สายไปรับวัคซีนตามโปรแกรมสร้างภูมิคุ้มกันของกระทรวงสาธารณสุข การรับวัคซีนตามโปรแกรมสร้างเสริมภูมิคุ้มกันในศูนย์บริการสาธารณสุขนั้นข้อใดถูก
การรับวัคซีนตามโปรแกรมสร้างเสริมภูมิคุ้มกันในศูนย์บริการสาธารณสุขนั้นข้อใดถูก</t>
        </is>
      </c>
      <c r="C4" s="2" t="n"/>
      <c r="D4" s="2" t="inlineStr">
        <is>
          <t>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t>
        </is>
      </c>
      <c r="E4" s="2" t="inlineStr">
        <is>
          <t>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t>
        </is>
      </c>
      <c r="F4" s="2" t="inlineStr">
        <is>
          <t>ต้องเสียค่าใช้จ่าย แต่หากผู้ปกครองไม่นำบุตรไปรับวัคซีนตามโปรแกรมถือมีความผิดตามกฎหมาย</t>
        </is>
      </c>
      <c r="G4" s="2" t="inlineStr">
        <is>
          <t>ต้องเสียค่าใช้จ่าย แต่หากผู้ปกครองไม่นำบุตรไปรับวัคซีนตามโปรแกรมถือว่าไม่มีความผิดตามกฎหมาย</t>
        </is>
      </c>
      <c r="H4" s="2" t="inlineStr">
        <is>
          <t>ไม่มีข้อใดถูก</t>
        </is>
      </c>
      <c r="I4" s="8" t="inlineStr">
        <is>
          <t>1</t>
        </is>
      </c>
      <c r="J4" s="2" t="inlineStr">
        <is>
          <t>✅ คำตอบที่ถูกต้อง: ข้อ 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คำอธิบายและข้อกำหนดทางกฎหมาย:
💡 คำอธิบายและข้อกำหนดทางกฎหมาย:
การสร้างเสริมภูมิคุ้มกันโรคตามโปรแกรมของกระทรวงสาธารณสุข (EPI) สำหรับเด็กไทย จัดบริการโดยรัฐโดยไม่เสียค่าใช้จ่าย เพื่อสร้างภูมิคุ้มกันหมู่ แต่การไม่นำบุตรมารับวัคซีนไม่มีบทลงโทษทางอาญาโดยตรงตามกฎหมาย (ถือเป็นสิทธิและการรณรงค์ส่งเสริมสุขภาพ)
🔍 ข้ออื่นผิดเพราะอะไร:
• ข้อ ข.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ค. (ต้องเสียค่าใช้จ่าย แต่หากผู้ปกครองไม่นำบุตรไปรับวัคซีนตามโปรแกรมถือมีความผิดตามกฎหมาย):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ง. (ต้องเสียค่าใช้จ่าย แต่หากผู้ปกครองไม่นำบุตรไปรับวัคซีนตามโปรแกรมถือว่าไม่มีความผิดตามกฎหมาย): ข้อนี้ไม่ใช่คำตอบที่ถูกต้องสำหรับภาวะ ระบบประกันสุขภาพ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ระบบประกันสุขภาพ</t>
        </is>
      </c>
      <c r="M4" s="2" t="inlineStr">
        <is>
          <t>SAP</t>
        </is>
      </c>
      <c r="N4" s="2" t="inlineStr">
        <is>
          <t>ข้อ 31 Pharma Plus เล่มม่วง (เฉลยข้อ ก)</t>
        </is>
      </c>
      <c r="O4" s="2" t="inlineStr">
        <is>
          <t>Mock</t>
        </is>
      </c>
      <c r="P4" s="2" t="inlineStr">
        <is>
          <t>Pharma Plus เล่มม่วง</t>
        </is>
      </c>
    </row>
    <row r="5" ht="13.2" customHeight="1" s="37">
      <c r="A5" s="2" t="n">
        <v>32</v>
      </c>
      <c r="B5" s="2" t="inlineStr">
        <is>
          <t>ผู้ป่วยมีความกังวลจากการต้องรับประทานยาจำนวนมากเป็นประจำต่อเนื่อง ซึ่งอาจส่งผลกระทบต่อความร่วมมือในการใช้ยา (Medication Adherence) ในฐานะเภสัชกรท่านควรใช้วิธีการสื่อสารเช่นใดกับผู้ป่วยรายนี้</t>
        </is>
      </c>
      <c r="C5" s="2" t="n"/>
      <c r="D5" s="2" t="inlineStr">
        <is>
          <t>ใช้วิธีเตือนอย่างเข้มงวดและแจ้งบทลงโทษหากไม่มารับยาตามนัด</t>
        </is>
      </c>
      <c r="E5" s="2" t="inlineStr">
        <is>
          <t>ให้คำแนะนำที่ตรงไปตรงมา เน้นย้ำถึงอันตรายของการเกิดเชื้อดื้อยาจนรักษาไม่หาย</t>
        </is>
      </c>
      <c r="F5" s="2" t="inlineStr">
        <is>
          <t>ให้คำแนะนำตามหลักการแพทย์เชิงลึกเพื่อให้ดูน่าเชื่อถือและผู้ป่วยปฏิบัติตาม</t>
        </is>
      </c>
      <c r="G5" s="2" t="inlineStr">
        <is>
          <t>เสริมสร้างพลังอำนาจแก่ผู้ป่วย (Empowerment) ให้มีส่วนร่วมในการวางแผน สอบถามความกังวล และจัดตารางการทานยาร่วมกัน</t>
        </is>
      </c>
      <c r="H5" s="2" t="inlineStr">
        <is>
          <t>ให้คำแนะนำเท่าที่จำเป็นอย่างกระชับเพื่อไม่ให้ผู้ป่วยเสียเวลาและไม่วิตกกังวล</t>
        </is>
      </c>
      <c r="I5" s="8" t="inlineStr">
        <is>
          <t>4</t>
        </is>
      </c>
      <c r="J5" s="2" t="inlineStr">
        <is>
          <t>✅ คำตอบที่ถูกต้อง: ข้อ ง. เสริมสร้างพลังอำนาจแก่ผู้ป่วย (Empowerment) ให้มีส่วนร่วมในการวางแผนและสอบถามความกังวล
💡 Background:
ผู้ป่วยวัณโรคจำเป็นต้องรับประทานยาหลายชนิดเป็นเวลาติดต่อกันอย่างน้อย 6 เดือน ทำให้เกิดปัญหาความร่วมมือในการใช้ยา (Medication Adherence) ได้บ่อย การสื่อสารและการบริบาลทางเภสัชกรรมสมัยใหม่มุ่งเน้นการดูแลโดยยึดผู้ป่วยเป็นศูนย์กลาง (Patient-Centered Care) และการเสริมสร้างพลังอำนาจ (Patient Empowerment) ซึ่งส่งเสริมให้ผู้ป่วยมีความรู้ ความเข้าใจ รู้สึกเป็นเจ้าของการรักษา และมีส่วนร่วมในการตัดสินใจวางแผนเวลาการรับประทานยาให้สอดคล้องกับวิถีชีวิตประจำวัน
🎯 ทำไมข้อนี้ถึงถูก:
การสร้างเสริมอำนาจแก่ผู้ป่วย (Patient Empowerment) เปิดโอกาสให้ผู้ป่วยได้บอกเล่าความกังวล อุปสรรค และร่วมกันวางแผนการรับประทานยากับบุคลากรทางการแพทย์ เป็นยุทธศาสตร์การสื่อสารที่พิสูจน์แล้วว่าช่วยเพิ่มความร่วมมือในการรับประทานยา (Adherence) และลดอัตราการขาดยา (Default rate) ได้อย่างมีประสิทธิภาพและยั่งยืนที่สุด
🔍 ข้ออื่นผิดเพราะอะไร:
• ข้อ ก. (Naloxone 0.4 mg IV stat): เป็นตัวเลือกผิดพลาดจากการสลับแถวในระบบเดิม (Naloxone ใช้แก้พิษ Opioid)
• ข้อ ข. (ให้คำแนะนำที่ตรงไปตรงมา เน้นย้ำถึงอันตรายของการเกิดเชื้อดื้อยา): การใช้เทคนิคข่มขู่หรือสร้างความกลัว (Fear appeal) เพียงอย่างเดียว มักทำให้ผู้ป่วยเกิดความเครียด วิตกกังวล และอาจปกปิดข้อมูลเมื่อลืมรับประทานยา
• ข้อ ค. (ให้คำแนะนำตามหลักวิชาการ ให้ดูน่าเชื่อถือ): การใช้ภาษาเชิงวิชาการมากเกินไป (Medical jargon) ทำให้ผู้ป่วยไม่เข้าใจและเข้าไม่ถึงข้อมูล
• ข้อ จ. (ให้คำแนะนำกระชับ และเน้นความสำคัญของการใช้ยา): การสื่อสารทางเดียว (One-way communication) โดยไม่รับฟังปัญหาความกังวลของผู้ป่วย ไม่สามารถแก้ไขปัญหา adherence ในระยะยาวได้
📖 Guideline อ้างอิง:
WHO Guidelines for Treatment of Drug-Susceptible Tuberculosis and Patient Care (Section: Patient education, adherence support and care) &amp; สภาเภสัชกรรม: แนวปฏิบัติการบริบาลทางเภสัชกรรมเพื่อส่งเสริมความร่วมมือในการใช้ยาของผู้ป่วย
📌 จุดจำก่อนสอบ:
• Patient Empowerment: การเปิดโอกาสให้ผู้ป่วยซักถามและร่วมวางแผน (Partnership) เป็นหัวใจสำคัญในการเพิ่ม Adherence ของโรคเรื้อรังและวัณโรค
• Motivational Interviewing (MI): การสัมภาษณ์เพื่อสร้างแรงจูงใจและการรับฟังอย่างเข้าใจ (Active listening) ดีกว่าการสั่งสอนหรือตักเตือนด้วยความกลัว</t>
        </is>
      </c>
      <c r="K5" s="2" t="n"/>
      <c r="L5" s="2" t="inlineStr">
        <is>
          <t>Pharmacy Administration &amp; System</t>
        </is>
      </c>
      <c r="M5" s="2" t="inlineStr">
        <is>
          <t>SAP</t>
        </is>
      </c>
      <c r="N5" s="2" t="inlineStr">
        <is>
          <t>Mock PLE-CC 1 ข้อ 106</t>
        </is>
      </c>
      <c r="O5" s="2" t="inlineStr">
        <is>
          <t>Mock</t>
        </is>
      </c>
      <c r="P5" s="2" t="inlineStr">
        <is>
          <t>Mock RxCU83</t>
        </is>
      </c>
    </row>
  </sheetData>
  <mergeCells count="1">
    <mergeCell ref="A1:F1"/>
  </mergeCells>
  <pageMargins left="0.75" right="0.75" top="1" bottom="1" header="0.5" footer="0.5"/>
</worksheet>
</file>

<file path=xl/worksheets/sheet35.xml><?xml version="1.0" encoding="utf-8"?>
<worksheet xmlns="http://schemas.openxmlformats.org/spreadsheetml/2006/main">
  <sheetPr>
    <tabColor rgb="FF8C3FBF"/>
    <outlinePr summaryBelow="0" summaryRight="0"/>
    <pageSetUpPr/>
  </sheetPr>
  <dimension ref="A1:Q76"/>
  <sheetViews>
    <sheetView workbookViewId="0">
      <selection activeCell="A1" sqref="A1"/>
    </sheetView>
  </sheetViews>
  <sheetFormatPr baseColWidth="8" defaultColWidth="12.6640625" defaultRowHeight="15.75" customHeight="1"/>
  <sheetData>
    <row r="1" ht="27" customHeight="1" s="37">
      <c r="A1" s="36">
        <f>HYPERLINK("#gid=0", "🏠 กลับสู่หน้าแรก (Go to Home Page)")</f>
        <v/>
      </c>
    </row>
    <row r="2" ht="21.6" customHeight="1" s="37">
      <c r="A2" s="28" t="inlineStr">
        <is>
          <t>ข้อที่</t>
        </is>
      </c>
      <c r="B2" s="28" t="inlineStr">
        <is>
          <t>คำถาม</t>
        </is>
      </c>
      <c r="C2" s="28" t="inlineStr">
        <is>
          <t>รูปถาม</t>
        </is>
      </c>
      <c r="D2" s="28" t="inlineStr">
        <is>
          <t>ตัวเลือก 1</t>
        </is>
      </c>
      <c r="E2" s="28" t="inlineStr">
        <is>
          <t>ตัวเลือก 2</t>
        </is>
      </c>
      <c r="F2" s="28" t="inlineStr">
        <is>
          <t>ตัวเลือก 3</t>
        </is>
      </c>
      <c r="G2" s="28" t="inlineStr">
        <is>
          <t>ตัวเลือก 4</t>
        </is>
      </c>
      <c r="H2" s="28" t="inlineStr">
        <is>
          <t>ตัวเลือก 5</t>
        </is>
      </c>
      <c r="I2" s="28" t="inlineStr">
        <is>
          <t>เฉลย (ตัวเลข 1-5)</t>
        </is>
      </c>
      <c r="J2" s="28" t="inlineStr">
        <is>
          <t>คำอธิบายเฉลย</t>
        </is>
      </c>
      <c r="K2" s="28" t="inlineStr">
        <is>
          <t>รูปเฉลย</t>
        </is>
      </c>
      <c r="L2" s="28" t="inlineStr">
        <is>
          <t>Filter หมวด/Subtopic</t>
        </is>
      </c>
      <c r="M2" s="28" t="inlineStr">
        <is>
          <t>Product / Clinic</t>
        </is>
      </c>
      <c r="N2" s="28" t="inlineStr">
        <is>
          <t>หมายเหตุ</t>
        </is>
      </c>
      <c r="O2" s="28" t="inlineStr">
        <is>
          <t>ประเภทข้อสอบ</t>
        </is>
      </c>
      <c r="P2" s="28" t="inlineStr">
        <is>
          <t>ปี / เลขชุด</t>
        </is>
      </c>
    </row>
    <row r="3" ht="13.2" customHeight="1" s="37">
      <c r="A3" s="8" t="inlineStr">
        <is>
          <t>30</t>
        </is>
      </c>
      <c r="B3" s="2" t="inlineStr">
        <is>
          <t>ในการเสนอเกณฑ์การประเมินการใช้ยากลุ่ม statin เภสัชกรควรจัดทำข้อมูลโดยอิงจากหลักหลักฐานทางวิชาการ งานวิจัยที่น่าเชื่อถือ หลักฐานทางวิชาการ งานวิจัยประเภทใดที่มีความน่าเชื่อถือมากที่สุด
งานวิจัยประเภทใดที่มีความน่าเชื่อถือมากที่สุด</t>
        </is>
      </c>
      <c r="C3" s="2" t="n"/>
      <c r="D3" s="2" t="inlineStr">
        <is>
          <t>Cohort study, Case controlled study</t>
        </is>
      </c>
      <c r="E3" s="2" t="inlineStr">
        <is>
          <t>Case report, Cross-sectional study</t>
        </is>
      </c>
      <c r="F3" s="2" t="inlineStr">
        <is>
          <t>Case controlled study, Cross-sectional study</t>
        </is>
      </c>
      <c r="G3" s="2" t="inlineStr">
        <is>
          <t>Meta-analysis, Randomized controlled study</t>
        </is>
      </c>
      <c r="H3" s="2" t="inlineStr">
        <is>
          <t>Cross-sectional study, Randomized controlled study</t>
        </is>
      </c>
      <c r="I3" s="8" t="inlineStr">
        <is>
          <t>4</t>
        </is>
      </c>
      <c r="J3" s="2" t="inlineStr">
        <is>
          <t>✅ คำตอบที่ถูกต้อง: ข้อ ง. Meta-analysis, Randomized controlled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Randomized controlled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ตามลำดับชั้นของหลักฐานทางการแพทย์ (Hierarchy of Evidence) Systematic review และ Meta-analysis ของ Randomized Controlled Trials (RCTs) รวมถึง Randomized Controlled Trials (RCTs) เดี่ยวๆ จัดเป็นหลักฐานเชิงประจักษ์ที่มีความน่าเชื่อถือสูงที่สุด (Level I และ II) ในการประเมิน efficacy ของยา
🔍 ข้ออื่นผิดเพราะอะไร:
• ข้อ ก. (Cohort study, Case controlled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(Case report, Cross-sectional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(Case controlled study, Cross-sectional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(Cross-sectional study, Randomized controlled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รูปแบบการวิจัยทางคลินิก</t>
        </is>
      </c>
      <c r="M3" s="2" t="inlineStr">
        <is>
          <t>SAP</t>
        </is>
      </c>
      <c r="N3" s="2" t="inlineStr">
        <is>
          <t>ข้อ 30 Pharma Plus เล่มม่วง (เฉลยข้อ ง)</t>
        </is>
      </c>
      <c r="O3" s="2" t="inlineStr">
        <is>
          <t>Mock</t>
        </is>
      </c>
      <c r="P3" s="2" t="inlineStr">
        <is>
          <t>Pharma Plus เล่มม่วง</t>
        </is>
      </c>
    </row>
    <row r="4" ht="13.2" customHeight="1" s="37">
      <c r="A4" s="8" t="inlineStr">
        <is>
          <t>52</t>
        </is>
      </c>
      <c r="B4" s="2" t="inlineStr">
        <is>
          <t>ทำการศึกษา ergotamine ในรูปแบบต่างกัน 2 รูปแบบโดยเปรียบเทียบระดับสูงสุดจะใช้สถิติใดทดสอบ</t>
        </is>
      </c>
      <c r="C4" s="2" t="n"/>
      <c r="D4" s="2" t="inlineStr">
        <is>
          <t>T-test unpair</t>
        </is>
      </c>
      <c r="E4" s="2" t="inlineStr">
        <is>
          <t>T-test pair</t>
        </is>
      </c>
      <c r="F4" s="2" t="inlineStr">
        <is>
          <t>F-test</t>
        </is>
      </c>
      <c r="G4" s="2" t="inlineStr">
        <is>
          <t>Mann-Whitney u test</t>
        </is>
      </c>
      <c r="H4" s="2" t="inlineStr">
        <is>
          <t>ไม่มีข้อใดถูก</t>
        </is>
      </c>
      <c r="I4" s="8" t="inlineStr">
        <is>
          <t>1</t>
        </is>
      </c>
      <c r="J4" s="2" t="inlineStr">
        <is>
          <t>✅ คำตอบที่ถูกต้อง: ข้อ ก. T-test unpair
💡 Background:
การประเมินหลักฐานเชิงประจักษ์ (Evidence-Based Practice) อาศัย study design, statistical parameters (p-value, 95% CI, RR/OR) เพื่อการตัดสินใจอย่างแม่นยำ
🎯 ทำไมข้อนี้ถึงถูก:
T-test unpair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การเปรียบเทียบค่าเฉลี่ยของข้อมูล 2 กลุ่มที่เป็นอิสระจากกัน (unpaired) เช่น การเปรียบเทียบระดับยาสูงสุดในกลุ่มตัวอย่าง 2 กลุ่มที่ใช้ยาคนละรูปแบบกัน ใช้สถิติ Unpaired T-test (กรณีข้อมูลมีการแจกแจงปกติ)
🔍 ข้ออื่นผิดเพราะอะไร:
• ข้อ ข. (T-test pair):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(F-test):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(Mann-Whitney u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รูปแบบการวิจัยทางคลินิก</t>
        </is>
      </c>
      <c r="M4" s="2" t="inlineStr">
        <is>
          <t>SAP</t>
        </is>
      </c>
      <c r="N4" s="2" t="inlineStr">
        <is>
          <t>ข้อ 52 Pharma Plus เล่มม่วง (เฉลยข้อ ก)</t>
        </is>
      </c>
      <c r="O4" s="2" t="inlineStr">
        <is>
          <t>Mock</t>
        </is>
      </c>
      <c r="P4" s="2" t="inlineStr">
        <is>
          <t>Pharma Plus เล่มม่วง</t>
        </is>
      </c>
    </row>
    <row r="5" ht="13.2" customHeight="1" s="37">
      <c r="A5" s="8" t="inlineStr">
        <is>
          <t>55</t>
        </is>
      </c>
      <c r="B5" s="2" t="inlineStr">
        <is>
          <t>ในช่วงเวลาเดียวกันก็มีผู้ป่วยหลายร้อยรายที่มีอาการเหมือนผู้ป่วยรายนี้มาปรึกษาท่านที่ร้านยา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t>
        </is>
      </c>
      <c r="C5" s="2" t="n"/>
      <c r="D5" s="2" t="inlineStr">
        <is>
          <t>Case control study</t>
        </is>
      </c>
      <c r="E5" s="2" t="inlineStr">
        <is>
          <t>Randomized control study</t>
        </is>
      </c>
      <c r="F5" s="2" t="inlineStr">
        <is>
          <t>Cohort study</t>
        </is>
      </c>
      <c r="G5" s="2" t="inlineStr">
        <is>
          <t>Analysis of secular trend</t>
        </is>
      </c>
      <c r="H5" s="2" t="inlineStr">
        <is>
          <t>Cross-sectional study</t>
        </is>
      </c>
      <c r="I5" s="8" t="inlineStr">
        <is>
          <t>1</t>
        </is>
      </c>
      <c r="J5" s="2" t="inlineStr">
        <is>
          <t>✅ คำตอบที่ถูกต้อง: ข้อ ก. Case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Case control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เมื่อเกิดการระบาดของโรคขึ้นอย่างรวดเร็ว (ผู้ป่วยหลายร้อยรายในเวลาเดียวกัน) การศึกษาแบบ Case-control study เหมาะสมที่สุดในการหาปัจจัยเสี่ยงหรือสาเหตุย้อนหลังอย่างรวดเร็ว
🔍 ข้ออื่นผิดเพราะอะไร:
• ข้อ ข. (Randomized control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(Cohort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(Analysis of secular trend):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(Cross-sectional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รูปแบบการวิจัยทางคลินิก</t>
        </is>
      </c>
      <c r="M5" s="2" t="inlineStr">
        <is>
          <t>SAP</t>
        </is>
      </c>
      <c r="N5" s="2" t="inlineStr">
        <is>
          <t>ข้อ 55 Pharma Plus เล่มม่วง (เฉลยข้อ ก)</t>
        </is>
      </c>
      <c r="O5" s="2" t="inlineStr">
        <is>
          <t>Mock</t>
        </is>
      </c>
      <c r="P5" s="2" t="inlineStr">
        <is>
          <t>Pharma Plus เล่มม่วง</t>
        </is>
      </c>
    </row>
    <row r="6" ht="13.2" customHeight="1" s="37">
      <c r="A6" s="8" t="inlineStr">
        <is>
          <t>56</t>
        </is>
      </c>
      <c r="B6" s="2" t="inlineStr">
        <is>
          <t>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บริษัทต้องตัดสินใจตั้งราคาโดยมีข้อมูลดังจากข้อมูลข้างต้น ท่านคิดว่าบริษัทยาจะตั้งราคาเท่าไรจึงไม่ขาดทุน
ยา a | วิธีใช้: 2x2pc 1 วัน | ราคาต่อเม็ด: 20 บาท | ประสิทธิภาพ: 70%
ยา Vanotab® | วิธีใช้: 1 OD 1 วัน | ราคาต่อเม็ด: ? | ประสิทธิภาพ: 90%
บริษัทยาจะตั้งราคาเท่าไรจึงไม่ขาดทุน</t>
        </is>
      </c>
      <c r="C6" s="2" t="n"/>
      <c r="D6" s="2" t="inlineStr">
        <is>
          <t>90 บาทต่อเม็ด</t>
        </is>
      </c>
      <c r="E6" s="2" t="inlineStr">
        <is>
          <t>98 บาทต่อเม็ด</t>
        </is>
      </c>
      <c r="F6" s="2" t="inlineStr">
        <is>
          <t>100 บาทต่อเม็ด</t>
        </is>
      </c>
      <c r="G6" s="2" t="inlineStr">
        <is>
          <t>103 บาทต่อเม็ด</t>
        </is>
      </c>
      <c r="H6" s="2" t="inlineStr">
        <is>
          <t>110 บาทต่อเม็ด</t>
        </is>
      </c>
      <c r="I6" s="8" t="inlineStr">
        <is>
          <t>4</t>
        </is>
      </c>
      <c r="J6" s="2" t="inlineStr">
        <is>
          <t>✅ คำตอบที่ถูกต้อง: ข้อ ง. 103 บาทต่อเม็ด
💡 Background:
กฎหมายยาและจรรยาบรรณวิชาชีพมีขึ้นเพื่อคุ้มครองความปลอดภัยของผู้บริโภคตามมาตรฐาน Good Pharmacy Practice (GPP)
🎯 ทำไมข้อนี้ถึงถูก:
103 บาทต่อเม็ด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คำนวณต้นทุนต่อหน่วย efficacy (Cost per % Effectiveness) ของยาเดิม:
ยา a ใช้ 4 เม็ด/วัน (2x2) x 20 บาท = 80 บาท/วัน ได้ efficacy 70%
ดังนั้น Cost/Effectiveness ratio = 80 / 70
ยา Vanotab ใช้ 1 เม็ด/วัน ได้ efficacy 90%
ราคาต่อเม็ดที่คุ้มค่าเทียบเท่ากัน = (80 / 70) x 90 = 102.85 บาท ปัดเป็น 103 บาท
🔍 ข้ออื่นผิดเพราะอะไร:
• ข้อ ก. (90 บาทต่อเม็ด):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(98 บาทต่อเม็ด):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(100 บาทต่อเม็ด):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(110 บาทต่อเม็ด):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รูปแบบการวิจัยทางคลินิก</t>
        </is>
      </c>
      <c r="M6" s="2" t="inlineStr">
        <is>
          <t>SAP</t>
        </is>
      </c>
      <c r="N6" s="2" t="inlineStr">
        <is>
          <t>ข้อ 56 Pharma Plus เล่มม่วง (เฉลยข้อ ง)</t>
        </is>
      </c>
      <c r="O6" s="2" t="inlineStr">
        <is>
          <t>Mock</t>
        </is>
      </c>
      <c r="P6" s="2" t="inlineStr">
        <is>
          <t>Pharma Plus เล่มม่วง</t>
        </is>
      </c>
    </row>
    <row r="7" ht="13.2" customHeight="1" s="37">
      <c r="A7" s="8" t="inlineStr">
        <is>
          <t>59</t>
        </is>
      </c>
      <c r="B7" s="2" t="inlineStr">
        <is>
          <t>ถ้าบริษัทที่จำหน่ายยา A ซึ่งเป็นยาในกลุ่ม diuretic ตัวหนึ่งต้องการเปรียบเทียบการป้องกันการสูญเสียโพแทสเซียมในคนไข้โรคไตได้ไม่แตกต่างจาก HCTZ วิจัยแบบใดดีที่สุด
วิจัยแบบใดดีที่สุด</t>
        </is>
      </c>
      <c r="C7" s="2" t="n"/>
      <c r="D7" s="2" t="inlineStr">
        <is>
          <t>Case control</t>
        </is>
      </c>
      <c r="E7" s="2" t="inlineStr">
        <is>
          <t>Cohort</t>
        </is>
      </c>
      <c r="F7" s="2" t="inlineStr">
        <is>
          <t>Meta-analysis of case control studies</t>
        </is>
      </c>
      <c r="G7" s="2" t="inlineStr">
        <is>
          <t>Descriptive</t>
        </is>
      </c>
      <c r="H7" s="2" t="inlineStr">
        <is>
          <t>Randomized control trial</t>
        </is>
      </c>
      <c r="I7" s="8" t="inlineStr">
        <is>
          <t>5</t>
        </is>
      </c>
      <c r="J7" s="2" t="inlineStr">
        <is>
          <t>✅ คำตอบที่ถูกต้อง: ข้อ จ. Randomized control trial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 trial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การศึกษาเพื่อเปรียบเทียบ efficacy หรือความเท่าเทียมกันของยา (Efficacy/Equivalence trial) ระหว่างยาสองชนิด จำเป็นต้องใช้การศึกษาแบบ Randomized Controlled Trial (RCT) ซึ่งจัดเป็นระดับความน่าเชื่อถือสูงสุด (Level I evidence) ในการประเมินความสัมพันธ์เชิงเหตุและผล
🔍 ข้ออื่นผิดเพราะอะไร:
• ข้อ ก.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(Cohort):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(Meta-analysis of case control studies):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(Descriptive):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รูปแบบการวิจัยทางคลินิก</t>
        </is>
      </c>
      <c r="M7" s="2" t="inlineStr">
        <is>
          <t>SAP</t>
        </is>
      </c>
      <c r="N7" s="2" t="inlineStr">
        <is>
          <t>ข้อ 59 Pharma Plus เล่มม่วง (เฉลยข้อ จ)</t>
        </is>
      </c>
      <c r="O7" s="2" t="inlineStr">
        <is>
          <t>Mock</t>
        </is>
      </c>
      <c r="P7" s="2" t="inlineStr">
        <is>
          <t>Pharma Plus เล่มม่วง</t>
        </is>
      </c>
    </row>
    <row r="8" ht="13.2" customHeight="1" s="37">
      <c r="A8" s="8" t="inlineStr">
        <is>
          <t>102</t>
        </is>
      </c>
      <c r="B8" s="2" t="inlineStr">
        <is>
          <t>การทดสอบอาการข้างเคียงของยา colchicine ในกลุ่มคน 3 กลุ่มที่ได้รับยาในขนาดต่างกัน ใช้สถิติในข้อใด</t>
        </is>
      </c>
      <c r="C8" s="2" t="n"/>
      <c r="D8" s="2" t="inlineStr">
        <is>
          <t>Unpaired t-test</t>
        </is>
      </c>
      <c r="E8" s="2" t="inlineStr">
        <is>
          <t>T-test</t>
        </is>
      </c>
      <c r="F8" s="2" t="inlineStr">
        <is>
          <t>Chi-square</t>
        </is>
      </c>
      <c r="G8" s="2" t="inlineStr">
        <is>
          <t>One way analysis of variance</t>
        </is>
      </c>
      <c r="H8" s="2" t="inlineStr">
        <is>
          <t>Correlation</t>
        </is>
      </c>
      <c r="I8" s="8" t="inlineStr">
        <is>
          <t>4</t>
        </is>
      </c>
      <c r="J8" s="2" t="inlineStr">
        <is>
          <t>✅ คำตอบที่ถูกต้อง: ข้อ ง. One way analysis of variance
💡 Background:
การประเมินหลักฐานเชิงประจักษ์ (Evidence-Based Practice) อาศัย study design, statistical parameters (p-value, 95% CI, RR/OR) เพื่อการตัดสินใจอย่างแม่นยำ
🎯 ทำไมข้อนี้ถึงถูก:
One way analysis of variance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การเปรียบเทียบค่าเฉลี่ยของกลุ่มตัวอย่างที่เป็นอิสระจากกัน มากกว่า 2 กลุ่มขึ้นไป (3 กลุ่มขึ้นไป) ต้องใช้สถิติ One-way ANOVA (Analysis of Variance)
🔍 ข้ออื่นผิดเพราะอะไร:
• ข้อ ก. (Unpaired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รูปแบบการวิจัยทางคลินิก</t>
        </is>
      </c>
      <c r="M8" s="2" t="inlineStr">
        <is>
          <t>SAP</t>
        </is>
      </c>
      <c r="N8" s="2" t="inlineStr">
        <is>
          <t>ข้อ 102 Pharma Plus เล่มม่วง (เฉลยข้อ ง)</t>
        </is>
      </c>
      <c r="O8" s="2" t="inlineStr">
        <is>
          <t>Mock</t>
        </is>
      </c>
      <c r="P8" s="2" t="inlineStr">
        <is>
          <t>Pharma Plus เล่มม่วง</t>
        </is>
      </c>
    </row>
    <row r="9" ht="13.2" customHeight="1" s="37">
      <c r="A9" s="8" t="inlineStr">
        <is>
          <t>103</t>
        </is>
      </c>
      <c r="B9" s="2" t="inlineStr">
        <is>
          <t>การทาน aspirin สามารถลดการเกิด CAD โดยมีค่า OR 0.83 หมายความว่าอย่างไร</t>
        </is>
      </c>
      <c r="C9" s="2" t="n"/>
      <c r="D9" s="2" t="inlineStr">
        <is>
          <t>คนที่กิน aspirin มีโอกาสเป็น CAD น้อยกว่าคนที่ไม่กิน 17 %</t>
        </is>
      </c>
      <c r="E9" s="2" t="inlineStr">
        <is>
          <t>คนที่กิน aspirin มีโอกาสเป็น CAD น้อยกว่าคนที่ไม่กิน 83 %</t>
        </is>
      </c>
      <c r="F9" s="2" t="inlineStr">
        <is>
          <t>คนที่กิน aspirin มีโอกาสเป็น CAD มากกว่าคนที่ไม่กิน 17 %</t>
        </is>
      </c>
      <c r="G9" s="2" t="inlineStr">
        <is>
          <t>คนที่กิน aspirin มีโอกาสเป็น CAD มากกว่าคนที่ไม่กิน 83 %</t>
        </is>
      </c>
      <c r="H9" s="2" t="inlineStr">
        <is>
          <t>คนที่กิน aspirin มีโอกาสเป็น CAD เท่ากับคนที่ไม่กิน 17 %</t>
        </is>
      </c>
      <c r="I9" s="8" t="inlineStr">
        <is>
          <t>1</t>
        </is>
      </c>
      <c r="J9" s="2" t="inlineStr">
        <is>
          <t>✅ คำตอบที่ถูกต้อง: ข้อ ก. คนที่กิน aspirin มีโอกาสเป็น CAD น้อยกว่าคนที่ไม่กิน 17 %
💡 Background:
กฎหมายยาและจรรยาบรรณวิชาชีพมีขึ้นเพื่อคุ้มครองความปลอดภัยของผู้บริโภคตามมาตรฐาน Good Pharmacy Practice (GPP)
🎯 ทำไมข้อนี้ถึงถูก:
คนที่กิน aspirin มีโอกาสเป็น CAD น้อยกว่าคนที่ไม่กิน 17 %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Odds Ratio (OR) = 0.83 หมายความว่ากลุ่มที่ได้รับ aspirin มีโอกาสเกิดโรค (CAD) เป็น 0.83 เท่าของกลุ่มที่ไม่ได้รับ หรือคิดเป็นความเสี่ยงที่ลดลงเท่ากับ (1 - 0.83) = 0.17 หรือลดลง 17%
🔍 ข้ออื่นผิดเพราะอะไร:
• ข้อ ข. (คนที่กิน aspirin มีโอกาสเป็น CAD น้อยกว่าคนที่ไม่กิน 83 %): เป็น irreversible COX-1 inhibitor ยับยั้ง Thromboxane A2 เป็นแกนหลักใน antiplatelet secondary prevention ของ CVD (ขนาดยา 75-100 mg/day)
• ข้อ ค. (คนที่กิน aspirin มีโอกาสเป็น CAD มากกว่าคนที่ไม่กิน 17 %): เป็น irreversible COX-1 inhibitor ยับยั้ง Thromboxane A2 เป็นแกนหลักใน antiplatelet secondary prevention ของ CVD (ขนาดยา 75-100 mg/day)
• ข้อ ง. (คนที่กิน aspirin มีโอกาสเป็น CAD มากกว่าคนที่ไม่กิน 83 %): เป็น irreversible COX-1 inhibitor ยับยั้ง Thromboxane A2 เป็นแกนหลักใน antiplatelet secondary prevention ของ CVD (ขนาดยา 75-100 mg/day)
• ข้อ จ. (คนที่กิน aspirin มีโอกาสเป็น CAD เท่ากับคนที่ไม่กิน 17 %): เป็น irreversible COX-1 inhibitor ยับยั้ง Thromboxane A2 เป็นแกนหลักใน antiplatelet secondary prevention ของ CVD (ขนาดยา 75-100 mg/day)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รูปแบบการวิจัยทางคลินิก</t>
        </is>
      </c>
      <c r="M9" s="2" t="inlineStr">
        <is>
          <t>SAP</t>
        </is>
      </c>
      <c r="N9" s="2" t="inlineStr">
        <is>
          <t>ข้อ 103 Pharma Plus เล่มม่วง (เฉลยข้อ ก)</t>
        </is>
      </c>
      <c r="O9" s="2" t="inlineStr">
        <is>
          <t>Mock</t>
        </is>
      </c>
      <c r="P9" s="2" t="inlineStr">
        <is>
          <t>Pharma Plus เล่มม่วง</t>
        </is>
      </c>
    </row>
    <row r="10" ht="13.2" customHeight="1" s="37">
      <c r="A10" s="8" t="inlineStr">
        <is>
          <t>105</t>
        </is>
      </c>
      <c r="B10" s="2" t="inlineStr">
        <is>
          <t>จากการวิจัยเพื่อศึกษาการเปรียบเทียบการติดเชื้อที่อวัยวะ จงหาปริมาณปัจจัยเสี่ยงที่จะติดเชื้อ
ภาวะการณ์ติดเชื้อ | การเป็นโรคหวัด
| เป็นหวัด | ไม่เป็นหวัด
ติดเชื้อที่อวัยวะอื่น | 25 | 15
ไม่ติดเชื้อที่อวัยวะอื่น | 25 | 30
จงหาค่า Odds ratio จากตาราง 2x2 ดังกล่าว</t>
        </is>
      </c>
      <c r="C10" s="2" t="n"/>
      <c r="D10" s="8" t="inlineStr">
        <is>
          <t>1.4</t>
        </is>
      </c>
      <c r="E10" s="8" t="inlineStr">
        <is>
          <t>1.5</t>
        </is>
      </c>
      <c r="F10" s="8" t="inlineStr">
        <is>
          <t>1.6</t>
        </is>
      </c>
      <c r="G10" s="2" t="inlineStr">
        <is>
          <t>Cost-Minimization Analysis (CMA)</t>
        </is>
      </c>
      <c r="H10" s="2" t="inlineStr">
        <is>
          <t>Student t-test for comparing two independent means</t>
        </is>
      </c>
      <c r="I10" s="8" t="inlineStr">
        <is>
          <t>2</t>
        </is>
      </c>
      <c r="J10" s="2" t="inlineStr">
        <is>
          <t>✅ คำตอบที่ถูกต้อง: ข้อ ข. 1.5
💡 Background:
การประเมินหลักฐานเชิงประจักษ์ (Evidence-Based Practice) อาศัย study design, statistical parameters (p-value, 95% CI, RR/OR) เพื่อการตัดสินใจอย่างแม่นยำ
🎯 ทำไมข้อนี้ถึงถูก:
1.5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Odds Ratio (OR) = (a * d) / (b * c) จากตาราง: a=25, b=15, c=25, d=30 ดังนั้น OR = (25 * 30) / (15 * 25) = 30 / 15 = 2.0
🔍 ข้ออื่นผิดเพราะอะไร:
• ข้อ ก. (1.4): ข้อนี้ไม่ใช่คำตอบที่ถูกต้องสำหรับภาวะ สถิติวิเคราะห์ เนื่องจากกลไกการออกฤทธิ์, efficacy หรือข้อบ่งใช้ไม่ตรงกับโจทย์ที่กำหนด
• ข้อ ค. (1.6): ข้อนี้ไม่ใช่คำตอบที่ถูกต้องสำหรับภาวะ สถิติวิเคราะห์ เนื่องจากกลไกการออกฤทธิ์, efficacy หรือข้อบ่งใช้ไม่ตรงกับโจทย์ที่กำหนด
• ข้อ ง. (Cost-Minimization Analysis (CMA)): ข้อนี้ไม่ใช่คำตอบที่ถูกต้องสำหรับภาวะ สถิติวิเคราะห์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สถิติวิเคราะห์</t>
        </is>
      </c>
      <c r="M10" s="2" t="inlineStr">
        <is>
          <t>SAP</t>
        </is>
      </c>
      <c r="N10" s="2" t="inlineStr">
        <is>
          <t>ข้อ 105 Pharma Plus เล่มม่วง (เฉลยข้อ ข)</t>
        </is>
      </c>
      <c r="O10" s="2" t="inlineStr">
        <is>
          <t>Mock</t>
        </is>
      </c>
      <c r="P10" s="2" t="inlineStr">
        <is>
          <t>Pharma Plus เล่มม่วง</t>
        </is>
      </c>
    </row>
    <row r="11" ht="13.2" customHeight="1" s="37">
      <c r="A11" s="8" t="inlineStr">
        <is>
          <t>106</t>
        </is>
      </c>
      <c r="B11" s="2" t="inlineStr">
        <is>
          <t>หากมีผลการวิจัยใหม่ของบริษัทแห่งหนึ่งเกี่ยวกับการเปรียบเทียบความเสี่ยงในการเกิดอาการข้างเคียงจากการใช้ยาใหม่เทียบกับยา levonorgestrel พบว่า odd ratio = 1.25, p= 0.07 ท่านจะแปลความหมายของผลการวิจัยอย่างไร</t>
        </is>
      </c>
      <c r="C11" s="2" t="n"/>
      <c r="D11" s="2" t="inlineStr">
        <is>
          <t>ยาใหม่และยา levonorgestrel มีความเสี่ยงในการเกิดอาการข้างเคียงแตกต่างกันอย่างมีนัยสำคัญทางสถิติ</t>
        </is>
      </c>
      <c r="E11" s="2" t="inlineStr">
        <is>
          <t>ยาใหม่และยา levonorgestrel มีความเสี่ยงในการเกิดอาการข้างเคียงแตกต่างกันอย่างมีนัยสำคัญทางสถิติ</t>
        </is>
      </c>
      <c r="F11" s="2" t="inlineStr">
        <is>
          <t>ยาใหม่มีความเสี่ยงในการเกิดอาการข้างเคียงมากกว่ามากกว่ายา levonorgestrel 1.25 เท่า</t>
        </is>
      </c>
      <c r="G11" s="2" t="inlineStr">
        <is>
          <t>ยา levonorgestrel มีความเสี่ยงในการเกิดอาการข้างเคียงมากกว่ายาใหม่ 1.25 เท่า</t>
        </is>
      </c>
      <c r="H11" s="2" t="inlineStr">
        <is>
          <t>ยาใหม่และยา levonorgestrel มีความเสี่ยงในการเกิดอาการข้างเคียงแตกต่างกันอย่างไม่มีนัยสำคัญทางสถิติ</t>
        </is>
      </c>
      <c r="I11" s="8" t="inlineStr">
        <is>
          <t>1</t>
        </is>
      </c>
      <c r="J11" s="2" t="inlineStr">
        <is>
          <t>✅ คำตอบที่ถูกต้อง: ข้อ ก. ยาใหม่และยา levonorgestrel มีความเสี่ยงในการเกิดอาการข้างเคียงแตกต่างกันอย่างมีนัยสำคัญทางสถิติ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ยาใหม่และยา levonorgestrel มีความเสี่ยงในการเกิดอาการข้างเคียงแตกต่างกันอย่างมีนัยสำคัญทางสถิติ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p-value = 0.07 ซึ่งมากกว่าระดับนัยสำคัญทั่วไป (alpha = 0.05) แสดงว่าผลลัพธ์ไม่มีนัยสำคัญทางสถิติ ดังนั้นจึงสรุปได้ว่าความเสี่ยงไม่แตกต่างกันอย่างมีนัยสำคัญทางสถิติ แม้ว่าค่า OR จะเท่ากับ 1.25 ก็ตาม
🔍 ข้ออื่นผิดเพราะอะไร:
• ข้อ ข. (ยาใหม่และยา levonorgestrel มีความเสี่ยงในการเกิดอาการข้างเคียงแตกต่างกันอย่างมีนัยสำคัญทางสถิติ):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(ยาใหม่มีความเสี่ยงในการเกิดอาการข้างเคียงมากกว่ามากกว่ายา levonorgestrel 1.25 เท่า):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(ยา levonorgestrel มีความเสี่ยงในการเกิดอาการข้างเคียงมากกว่ายาใหม่ 1.25 เท่า):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(ยาใหม่และยา levonorgestrel มีความเสี่ยงในการเกิดอาการข้างเคียงแตกต่างกันอย่างไม่มีนัยสำคัญทางสถิติ):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รูปแบบการวิจัยทางคลินิก</t>
        </is>
      </c>
      <c r="M11" s="2" t="inlineStr">
        <is>
          <t>SAP</t>
        </is>
      </c>
      <c r="N11" s="2" t="inlineStr">
        <is>
          <t>ข้อ 106 Pharma Plus เล่มม่วง (เฉลยข้อ ก)</t>
        </is>
      </c>
      <c r="O11" s="2" t="inlineStr">
        <is>
          <t>Mock</t>
        </is>
      </c>
      <c r="P11" s="2" t="inlineStr">
        <is>
          <t>Pharma Plus เล่มม่วง</t>
        </is>
      </c>
    </row>
    <row r="12" ht="13.2" customHeight="1" s="37">
      <c r="A12" s="8" t="inlineStr">
        <is>
          <t>128</t>
        </is>
      </c>
      <c r="B12" s="2" t="inlineStr">
        <is>
          <t>จากการศึกษาปัจจัยการสูบบุหรี่และการเกิดโรคมะเร็งปอด ตั้งตารางข้างล่างให้คำนวณหาความสัมพันธ์ระหว่างปัจจัยการสูบบุหรี่และการเกิดโรคมะเร็งปอด
จงคำนวณหาค่า Odds Ratio หรือ Relative Risk (ตามโจทย์ระบุตัวเลือก)</t>
        </is>
      </c>
      <c r="C12" s="2" t="n"/>
      <c r="D12" s="2" t="inlineStr">
        <is>
          <t>Randomized Controlled Trial (Double-blind RCT)</t>
        </is>
      </c>
      <c r="E12" s="2" t="inlineStr">
        <is>
          <t>Prospective Cohort Study (Relative Risk: RR)</t>
        </is>
      </c>
      <c r="F12" s="2" t="inlineStr">
        <is>
          <t>Case-Control Study (Odds Ratio: OR)</t>
        </is>
      </c>
      <c r="G12" s="2" t="inlineStr">
        <is>
          <t>Cross-Sectional Survey Prevalence Study</t>
        </is>
      </c>
      <c r="H12" s="8" t="inlineStr">
        <is>
          <t>10</t>
        </is>
      </c>
      <c r="I12" s="8" t="inlineStr">
        <is>
          <t>1</t>
        </is>
      </c>
      <c r="J12" s="2" t="inlineStr">
        <is>
          <t>✅ คำตอบที่ถูกต้อง: ข้อ ก.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Case-Control Study (หรือ Cross-sectional):
- เป็นมะเร็ง สูบบุหรี่ = 200, ไม่สูบ = 300
- ไม่เป็นมะเร็ง สูบบุหรี่ = 50, ไม่สูบ = 450
คำนวณ Odds Ratio (OR) = (200 * 450) / (300 * 50) = 90,000 / 15,000 = 6
🔍 ข้ออื่นผิดเพราะอะไร:
• ข้อ ข. (Prospective Cohort Study (Relative Risk: RR)): ข้อนี้ไม่ใช่คำตอบที่ถูกต้องสำหรับภาวะ สถิติวิเคราะห์ เนื่องจากกลไกการออกฤทธิ์, efficacy หรือข้อบ่งใช้ไม่ตรงกับโจทย์ที่กำหนด
• ข้อ ค. (Case-Control Study (Odds Ratio: OR)): ข้อนี้ไม่ใช่คำตอบที่ถูกต้องสำหรับภาวะ สถิติวิเคราะห์ เนื่องจากกลไกการออกฤทธิ์, efficacy หรือข้อบ่งใช้ไม่ตรงกับโจทย์ที่กำหนด
• ข้อ ง. (Cross-Sectional Survey Prevalence Study): ข้อนี้ไม่ใช่คำตอบที่ถูกต้องสำหรับภาวะ สถิติวิเคราะห์ เนื่องจากกลไกการออกฤทธิ์, efficacy หรือข้อบ่งใช้ไม่ตรงกับโจทย์ที่กำหนด
• ข้อ จ. (10):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สถิติวิเคราะห์</t>
        </is>
      </c>
      <c r="M12" s="2" t="inlineStr">
        <is>
          <t>SAP</t>
        </is>
      </c>
      <c r="N12" s="2" t="inlineStr">
        <is>
          <t>ข้อ 128 Pharma Plus เล่มม่วง (เฉลยข้อ ก)</t>
        </is>
      </c>
      <c r="O12" s="2" t="inlineStr">
        <is>
          <t>Mock</t>
        </is>
      </c>
      <c r="P12" s="2" t="inlineStr">
        <is>
          <t>Pharma Plus เล่มม่วง</t>
        </is>
      </c>
    </row>
    <row r="13" ht="13.2" customHeight="1" s="37">
      <c r="A13" s="8" t="inlineStr">
        <is>
          <t>129</t>
        </is>
      </c>
      <c r="B13" s="2" t="inlineStr">
        <is>
          <t>ทำการศึกษาการเกิดมะเร็งปอดในผู้ป่วยกลุ่ม cohort เป็นระยะเวลา 30 ปี ให้ผลดังนี้ (ตารางแสดง อุบัติการณ์การเกิด CA lung: ไม่สูบบุหรี่ 0.1% (0.001), สูบบุหรี่ 1% (0.01), RR = 10, NNH = 1/(0.01-0.001) = 111)
ข้อใดถูกต้อง</t>
        </is>
      </c>
      <c r="C13" s="2" t="n"/>
      <c r="D13" s="2" t="inlineStr">
        <is>
          <t>การเกิด CA lung ในกลุ่มสูบบุหรี่ = 1 คนใน 1,000 คน</t>
        </is>
      </c>
      <c r="E13" s="2" t="inlineStr">
        <is>
          <t>การเกิด CA lung ในกลุ่มไม่สูบบุหรี่ = 1 คนใน 10,000 คน</t>
        </is>
      </c>
      <c r="F13" s="2" t="inlineStr">
        <is>
          <t>odd ratio = 11</t>
        </is>
      </c>
      <c r="G13" s="2" t="inlineStr">
        <is>
          <t>ผู้ป่วยที่สูบบุหรี่เป็นเวลา 30 ปี มีโอกาสเกิด CA lung 1 คน ใน 111 คน</t>
        </is>
      </c>
      <c r="H13" s="2" t="inlineStr">
        <is>
          <t>ไม่มีข้อใดถูก</t>
        </is>
      </c>
      <c r="I13" s="8" t="inlineStr">
        <is>
          <t>4</t>
        </is>
      </c>
      <c r="J13" s="2" t="inlineStr">
        <is>
          <t>✅ คำตอบที่ถูกต้อง: ข้อ ง. ผู้ป่วยที่สูบบุหรี่เป็นเวลา 30 ปี มีโอกาสเกิด CA lung 1 คน ใน 111 คน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ผู้ป่วยที่สูบบุหรี่เป็นเวลา 30 ปี มีโอกาสเกิด CA lung 1 คน ใน 111 คน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อุบัติการณ์ในกลุ่มสูบบุหรี่คือ 1% หรือ 0.01 ซึ่งเท่ากับ 1 คนใน 100 คน (ไม่ใช่ 1,000 คน), อุบัติการณ์ในกลุ่มไม่สูบบุหรี่คือ 0.1% หรือ 0.001 ซึ่งเท่ากับ 1 คนใน 1,000 คน, ส่วน NNH (Number Needed to Harm) คำนวณจาก 1 / Absolute Risk Increase (1% - 0.1% = 0.9% หรือ 0.009) จะได้ประมาณ 111 แปลว่าผู้ที่สูบบุหรี่เป็นเวลา 30 ปี จะมีโอกาสเกิด CA lung ส่วนเกินที่เป็นผลจากการสูบบุหรี่ 1 คน ใน 111 คน
🔍 ข้ออื่นผิดเพราะอะไร:
• ข้อ ก. (การเกิด CA lung ในกลุ่มสูบบุหรี่ = 1 คนใน 1,000 คน):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(การเกิด CA lung ในกลุ่มไม่สูบบุหรี่ = 1 คนใน 10,000 คน):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(odd ratio = 11):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รูปแบบการวิจัยทางคลินิก</t>
        </is>
      </c>
      <c r="M13" s="2" t="inlineStr">
        <is>
          <t>SAP</t>
        </is>
      </c>
      <c r="N13" s="2" t="inlineStr">
        <is>
          <t>ข้อ 129 Pharma Plus เล่มม่วง (เฉลยข้อ ง)</t>
        </is>
      </c>
      <c r="O13" s="2" t="inlineStr">
        <is>
          <t>Mock</t>
        </is>
      </c>
      <c r="P13" s="2" t="inlineStr">
        <is>
          <t>Pharma Plus เล่มม่วง</t>
        </is>
      </c>
    </row>
    <row r="14" ht="13.2" customHeight="1" s="37">
      <c r="A14" s="8" t="inlineStr">
        <is>
          <t>13</t>
        </is>
      </c>
      <c r="B14" s="2" t="inlineStr">
        <is>
          <t>ถ้ายา Pioglitazone ได้รับการอนุมัติให้ขายในไทย โดยหากต้องการติดตามอาการไม่พึงประสงค์หลังจากการใช้ยา
หลังจากทำการวางขาย (post marketing surveillance) ต้องใช้วิธีวิจัยใดจึงจะเหมาะสมที่สุด</t>
        </is>
      </c>
      <c r="C14" s="2" t="n"/>
      <c r="D14" s="2" t="inlineStr">
        <is>
          <t>Cross sectional study</t>
        </is>
      </c>
      <c r="E14" s="2" t="inlineStr">
        <is>
          <t>Cohort study</t>
        </is>
      </c>
      <c r="F14" s="2" t="inlineStr">
        <is>
          <t>Randomized control study</t>
        </is>
      </c>
      <c r="G14" s="2" t="inlineStr">
        <is>
          <t>Systematic review and meta analysis study</t>
        </is>
      </c>
      <c r="H14" s="2" t="inlineStr">
        <is>
          <t>Systematic review and meta analysis study</t>
        </is>
      </c>
      <c r="I14" s="8" t="inlineStr">
        <is>
          <t>1</t>
        </is>
      </c>
      <c r="J14" s="2" t="inlineStr">
        <is>
          <t>✅ คำตอบที่ถูกต้อง: ข้อ ก. Cross sectional study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Ecological study การเลือก Ecological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(Research &amp; Biostats):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(Cross sectional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(Cohort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(Randomized control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[NEED_REVIEW]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4" s="2" t="n"/>
      <c r="L14" s="2" t="inlineStr">
        <is>
          <t>รูปแบบการวิจัยทางคลินิก</t>
        </is>
      </c>
      <c r="M14" s="2" t="inlineStr">
        <is>
          <t>Research &amp; Biostats</t>
        </is>
      </c>
      <c r="N14" s="2" t="inlineStr">
        <is>
          <t>Mock PLE-CC 1 ข้อ 38</t>
        </is>
      </c>
      <c r="O14" s="2" t="inlineStr">
        <is>
          <t>Mock</t>
        </is>
      </c>
      <c r="P14" s="2" t="inlineStr">
        <is>
          <t>Mock RxCU83</t>
        </is>
      </c>
      <c r="Q14" s="2" t="n"/>
    </row>
    <row r="15" ht="13.2" customHeight="1" s="37">
      <c r="A15" s="8" t="inlineStr">
        <is>
          <t>14</t>
        </is>
      </c>
      <c r="B15" s="2"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Cl: 0.5-0.85)
ข้อใดกล่าวถูกต้อง</t>
        </is>
      </c>
      <c r="C15" s="2" t="n"/>
      <c r="D15" s="2" t="inlineStr">
        <is>
          <t>B ลด death risk ได้ 35% เมื่อเทียบกับ A</t>
        </is>
      </c>
      <c r="E15" s="2" t="inlineStr">
        <is>
          <t>HR ใกล้เคียง1หมายความว่าไม่มีความแตกต่างในข้อมูล</t>
        </is>
      </c>
      <c r="F15" s="2" t="inlineStr">
        <is>
          <t>Median OS ของ A แปลว่า คนไข้ที่ใช้ A มีมัธยฐานของ survival rate อยู่ที่ 28 เดือน</t>
        </is>
      </c>
      <c r="G15" s="2" t="inlineStr">
        <is>
          <t>A ลด death risk ได้ 65%</t>
        </is>
      </c>
      <c r="H15" s="2" t="inlineStr">
        <is>
          <t>Median OS ของ B มากกว่า 18 เดือนแต่ไม่มีนัยส าคัญทางสถิติ</t>
        </is>
      </c>
      <c r="I15" s="8" t="inlineStr">
        <is>
          <t>1</t>
        </is>
      </c>
      <c r="J15" s="2" t="inlineStr">
        <is>
          <t>✅ คำตอบที่ถูกต้อง: ข้อ ก. B ลด death risk ได้ 35% เมื่อเทียบกับ A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(B ลด death risk ได้ 35% เมื่อเทียบกับ 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(HR ใกล้เคียง1หมายความว่าไม่มีความแตกต่างในข้อมูล):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(Median OS ของ A แปลว่า คนไข้ที่ใช้ A มีมัธยฐานของ survival rate อยู่ที่ 28 เดือน):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(A ลด death risk ได้ 65%):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National Comprehensive Cancer Network (NCCN) Clinical Practice Guidelines in Oncology &amp; MASCC/ESMO Antiemetic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5" s="2" t="n"/>
      <c r="L15" s="2" t="inlineStr">
        <is>
          <t>รูปแบบการวิจัยทางคลินิก</t>
        </is>
      </c>
      <c r="M15" s="2" t="inlineStr">
        <is>
          <t>Research &amp; Biostats</t>
        </is>
      </c>
      <c r="N15" s="2" t="inlineStr">
        <is>
          <t>Mock PLE-CC 1 ข้อ 83</t>
        </is>
      </c>
      <c r="O15" s="2" t="inlineStr">
        <is>
          <t>Mock</t>
        </is>
      </c>
      <c r="P15" s="2" t="inlineStr">
        <is>
          <t>Mock RxCU83</t>
        </is>
      </c>
      <c r="Q15" s="2" t="n"/>
    </row>
    <row r="16" ht="13.2" customHeight="1" s="37">
      <c r="A16" s="8" t="inlineStr">
        <is>
          <t>15</t>
        </is>
      </c>
      <c r="B16" s="2" t="inlineStr">
        <is>
          <t>จากการศึกษา cohort study เกี่ยวกับการใช้ ACEI ลดความดันกับอาการไอ s แนะนำในการติดเชื้อดื้อยา และใช้ได้ในผู้ป่วยที่แพ้ amoxicillin เกิด outcome ไม่เกิด outcome ไอ ไม่ไอ รวม ACEIs 20 180 200 No ACEIs 15 485 500 Exposed A B Non-Exposed A+B C+D C D จงหา relative risk ของอาการไอกับการใช้ยา ACEIs</t>
        </is>
      </c>
      <c r="C16" s="2" t="n"/>
      <c r="D16" s="8" t="inlineStr">
        <is>
          <t>3.59</t>
        </is>
      </c>
      <c r="E16" s="8" t="inlineStr">
        <is>
          <t>3.33</t>
        </is>
      </c>
      <c r="F16" s="8" t="inlineStr">
        <is>
          <t>0.28</t>
        </is>
      </c>
      <c r="G16" s="8" t="inlineStr">
        <is>
          <t>2.69</t>
        </is>
      </c>
      <c r="H16" s="2" t="inlineStr">
        <is>
          <t>0.3 Relative risk = cumulative incidence in exposed gr. / cumulative incidence in unexposed gr. = [A/(A+B)] / [C/(C+D)] = [20/(200)]/[15/(500)] = 3.33 ชายไทย 25 ปี ไปพบแพทย์ด้วยมีผื่นขึ้นที่บริเวณหัวไหล่ 1 วง ขนาดเส้นผ่านศูนย์กลาง 2 ซม. โดยมีเกร็ด สีขาวที่ผื่น บริเวณกลางผื่นเป็นผื่นลักษณะปกติ มีอาการคัน ไม่แพ้ยาและไม่มีโรคประจำตัว</t>
        </is>
      </c>
      <c r="I16" s="8" t="inlineStr">
        <is>
          <t>1</t>
        </is>
      </c>
      <c r="J16" s="2" t="inlineStr">
        <is>
          <t>✅ คำตอบที่ถูกต้อง: ข้อ ก. 3.59
💡 Background:
การรักษาโรคติดเชื้อแบคทีเรีย (สถิติวิเคราะห์)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(3.59): ข้อนี้ไม่ใช่คำตอบที่ถูกต้องสำหรับภาวะ สถิติวิเคราะห์ เนื่องจากกลไกการออกฤทธิ์, efficacy หรือข้อบ่งใช้ไม่ตรงกับโจทย์ที่กำหนด
• ข้อ ค. (3.33): ข้อนี้ไม่ใช่คำตอบที่ถูกต้องสำหรับภาวะ สถิติวิเคราะห์ เนื่องจากกลไกการออกฤทธิ์, efficacy หรือข้อบ่งใช้ไม่ตรงกับโจทย์ที่กำหนด
• ข้อ ง. (0.28): ข้อนี้ไม่ใช่คำตอบที่ถูกต้องสำหรับภาวะ สถิติวิเคราะห์ เนื่องจากกลไกการออกฤทธิ์, efficacy หรือข้อบ่งใช้ไม่ตรงกับโจทย์ที่กำหนด
• ข้อ จ. (2.69):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 s="2" t="n"/>
      <c r="L16" s="2" t="inlineStr">
        <is>
          <t>สถิติวิเคราะห์</t>
        </is>
      </c>
      <c r="M16" s="2" t="inlineStr">
        <is>
          <t>Research &amp; Biostats</t>
        </is>
      </c>
      <c r="N16" s="2" t="inlineStr">
        <is>
          <t>PLE_CC1_2567_Key ข้อ 38</t>
        </is>
      </c>
      <c r="O16" s="2" t="inlineStr">
        <is>
          <t>ข้อสอบจริง</t>
        </is>
      </c>
      <c r="P16" s="2" t="inlineStr">
        <is>
          <t>ปี 2567</t>
        </is>
      </c>
      <c r="Q16" s="2" t="n"/>
    </row>
    <row r="17" ht="13.2" customHeight="1" s="37">
      <c r="A17" s="8" t="inlineStr">
        <is>
          <t>16</t>
        </is>
      </c>
      <c r="B17" s="2" t="inlineStr">
        <is>
          <t>ผู้ป่วยมียีนแพ้ยา HLA B 58:01 ห้ามใช้ยาข้อใดต่อไปนี้ Stool softener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 &amp; Bulk forming &amp; % Stimulant &amp; % Hyperosmotic</t>
        </is>
      </c>
      <c r="C17" s="2" t="n"/>
      <c r="D17" s="2" t="inlineStr">
        <is>
          <t>Allopurinol</t>
        </is>
      </c>
      <c r="E17" s="2" t="inlineStr">
        <is>
          <t>จำ choice ไม่ได้</t>
        </is>
      </c>
      <c r="F17" s="2" t="inlineStr">
        <is>
          <t>จำ choice ไม่ได้</t>
        </is>
      </c>
      <c r="G17" s="2" t="inlineStr">
        <is>
          <t>จำ choice ไม่ได้</t>
        </is>
      </c>
      <c r="H17" s="2" t="inlineStr">
        <is>
          <t>*จำ choice ไม่ได้*</t>
        </is>
      </c>
      <c r="I17" s="8" t="inlineStr">
        <is>
          <t>1</t>
        </is>
      </c>
      <c r="J17" s="2" t="inlineStr">
        <is>
          <t>✅ คำตอบที่ถูกต้อง: ข้อ ก. Allopurinol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ค. (จำ choice ไม่ได้):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(จำ choice ไม่ได้):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(จำ choice ไม่ได้):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7" s="2" t="n"/>
      <c r="L17" s="2" t="inlineStr">
        <is>
          <t>รูปแบบการวิจัยทางคลินิก</t>
        </is>
      </c>
      <c r="M17" s="2" t="inlineStr">
        <is>
          <t>Research &amp; Biostats</t>
        </is>
      </c>
      <c r="N17" s="2" t="inlineStr">
        <is>
          <t>PLE_CC1_2567_Key ข้อ 72</t>
        </is>
      </c>
      <c r="O17" s="2" t="inlineStr">
        <is>
          <t>ข้อสอบจริง</t>
        </is>
      </c>
      <c r="P17" s="2" t="inlineStr">
        <is>
          <t>ปี 2567</t>
        </is>
      </c>
      <c r="Q17" s="2" t="n"/>
    </row>
    <row r="18" ht="13.2" customHeight="1" s="37">
      <c r="A18" s="8" t="inlineStr">
        <is>
          <t>17</t>
        </is>
      </c>
      <c r="B18" s="2" t="inlineStr">
        <is>
          <t>จากการศึกษา cohort study เกี่ยวกับการใช้ ACEI ลดความดันกับอาการไอ เป็นวิธีที่สามารถทำให้นํ้าในผลึกระเหยออกมาได้เมื่อสารได้รับความร้อนที่อุณหภูมิที่กำหนด</t>
        </is>
      </c>
      <c r="C18" s="2" t="n"/>
      <c r="D18" s="2" t="inlineStr">
        <is>
          <t>Research &amp; Biostats</t>
        </is>
      </c>
      <c r="E18" s="2" t="inlineStr">
        <is>
          <t>Chi-Square Test for Categorical Independence (p &lt; 0.05)</t>
        </is>
      </c>
      <c r="F18" s="2" t="inlineStr">
        <is>
          <t>Randomized Controlled Trial (Double-blind RCT)</t>
        </is>
      </c>
      <c r="G18" s="2" t="inlineStr">
        <is>
          <t>Prospective Cohort Study (Relative Risk: RR)</t>
        </is>
      </c>
      <c r="H18" s="2" t="inlineStr">
        <is>
          <t>Case-Control Study (Odds Ratio: OR)</t>
        </is>
      </c>
      <c r="I18" s="8" t="inlineStr">
        <is>
          <t>1</t>
        </is>
      </c>
      <c r="J18"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(Randomized Controlled Trial (Double-blind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8" s="2" t="n"/>
      <c r="L18" s="2" t="inlineStr">
        <is>
          <t>รูปแบบการวิจัยทางคลินิก</t>
        </is>
      </c>
      <c r="M18" s="2" t="inlineStr">
        <is>
          <t>Research &amp; Biostats</t>
        </is>
      </c>
      <c r="N18" s="2" t="inlineStr">
        <is>
          <t>PLE_CC1_2567_Set1_Key ข้อ 38</t>
        </is>
      </c>
      <c r="O18" s="2" t="inlineStr">
        <is>
          <t>ข้อสอบจริง</t>
        </is>
      </c>
      <c r="P18" s="2" t="inlineStr">
        <is>
          <t>ปี 2567</t>
        </is>
      </c>
    </row>
    <row r="19" ht="13.2" customHeight="1" s="37">
      <c r="A19" s="8" t="inlineStr">
        <is>
          <t>18</t>
        </is>
      </c>
      <c r="B19" s="2" t="inlineStr">
        <is>
          <t>ข้อใดจับคู่กลไกยาระบายได้ถูกต้อง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Azithromy = 3 Ceftriazone 4 /</t>
        </is>
      </c>
      <c r="C19" s="2" t="n"/>
      <c r="D19" s="2" t="inlineStr">
        <is>
          <t>Research &amp; Biostats</t>
        </is>
      </c>
      <c r="E19" s="2" t="inlineStr">
        <is>
          <t>Case-Control Study (Odds Ratio: OR)</t>
        </is>
      </c>
      <c r="F19" s="2" t="inlineStr">
        <is>
          <t>Cross-Sectional Survey Prevalence Study</t>
        </is>
      </c>
      <c r="G19" s="2" t="inlineStr">
        <is>
          <t>Cost-Effectiveness Analysis (Incremental Cost-Effectiveness Ratio: ICER)</t>
        </is>
      </c>
      <c r="H19" s="2" t="inlineStr">
        <is>
          <t>Cost-Utility Analysis (Quality-Adjusted Life Years: QALY)</t>
        </is>
      </c>
      <c r="I19" s="8" t="inlineStr">
        <is>
          <t>1</t>
        </is>
      </c>
      <c r="J19"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9" s="2" t="n"/>
      <c r="L19" s="2" t="inlineStr">
        <is>
          <t>รูปแบบการวิจัยทางคลินิก</t>
        </is>
      </c>
      <c r="M19" s="2" t="inlineStr">
        <is>
          <t>Research &amp; Biostats</t>
        </is>
      </c>
      <c r="N19" s="2" t="inlineStr">
        <is>
          <t>PLE_CC1_2567_Set1_Key ข้อ 71</t>
        </is>
      </c>
      <c r="O19" s="2" t="inlineStr">
        <is>
          <t>ข้อสอบจริง</t>
        </is>
      </c>
      <c r="P19" s="2" t="inlineStr">
        <is>
          <t>ปี 2567</t>
        </is>
      </c>
    </row>
    <row r="20" ht="13.2" customHeight="1" s="37">
      <c r="A20" s="8" t="inlineStr">
        <is>
          <t>19</t>
        </is>
      </c>
      <c r="B20" s="2" t="inlineStr">
        <is>
          <t>Retrospective cohort</t>
        </is>
      </c>
      <c r="C20" s="2" t="n"/>
      <c r="D20" s="2" t="inlineStr">
        <is>
          <t>Research &amp; Biostats</t>
        </is>
      </c>
      <c r="E20" s="2" t="inlineStr">
        <is>
          <t>Cost-Utility Analysis (Quality-Adjusted Life Years: QALY)</t>
        </is>
      </c>
      <c r="F20" s="2" t="inlineStr">
        <is>
          <t>Cost-Benefit Analysis (Net Monetary Benefit)</t>
        </is>
      </c>
      <c r="G20" s="2" t="inlineStr">
        <is>
          <t>Cost-Minimization Analysis (CMA)</t>
        </is>
      </c>
      <c r="H20" s="2" t="inlineStr">
        <is>
          <t>Student t-test for comparing two independent means</t>
        </is>
      </c>
      <c r="I20" s="8" t="inlineStr">
        <is>
          <t>1</t>
        </is>
      </c>
      <c r="J20"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0" s="2" t="n"/>
      <c r="L20" s="2" t="inlineStr">
        <is>
          <t>รูปแบบการวิจัยทางคลินิก</t>
        </is>
      </c>
      <c r="M20" s="2" t="inlineStr">
        <is>
          <t>Research &amp; Biostats</t>
        </is>
      </c>
      <c r="N20" s="2" t="inlineStr">
        <is>
          <t>PLE-CC1 ปี 2566 Day 2 ข้อ 1</t>
        </is>
      </c>
      <c r="O20" s="2" t="inlineStr">
        <is>
          <t>ข้อสอบจริง</t>
        </is>
      </c>
      <c r="P20" s="2" t="inlineStr">
        <is>
          <t>ปี 2566</t>
        </is>
      </c>
    </row>
    <row r="21" ht="13.2" customHeight="1" s="37">
      <c r="A21" s="8" t="inlineStr">
        <is>
          <t>20</t>
        </is>
      </c>
      <c r="B21" s="2" t="inlineStr">
        <is>
          <t>ยาpropranolol ไม่แตกต่างจากcontrol อย่างมีมีนัยสำคัญทางสถิติในการป้องกันการเกิดไมเกรนได้ที่ระยะเวลา8 สัปดาห์</t>
        </is>
      </c>
      <c r="C21" s="2" t="n"/>
      <c r="D21" s="2" t="inlineStr">
        <is>
          <t>Research &amp; Biostats</t>
        </is>
      </c>
      <c r="E21" s="2" t="inlineStr">
        <is>
          <t>Student t-test for comparing two independent means</t>
        </is>
      </c>
      <c r="F21" s="2" t="inlineStr">
        <is>
          <t>Chi-Square Test for Categorical Independence (p &lt; 0.05)</t>
        </is>
      </c>
      <c r="G21" s="2" t="inlineStr">
        <is>
          <t>Randomized Controlled Trial (Double-blind RCT)</t>
        </is>
      </c>
      <c r="H21" s="2" t="inlineStr">
        <is>
          <t>Prospective Cohort Study (Relative Risk: RR)</t>
        </is>
      </c>
      <c r="I21" s="8" t="inlineStr">
        <is>
          <t>1</t>
        </is>
      </c>
      <c r="J21"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1" s="2" t="n"/>
      <c r="L21" s="2" t="inlineStr">
        <is>
          <t>รูปแบบการวิจัยทางคลินิก</t>
        </is>
      </c>
      <c r="M21" s="2" t="inlineStr">
        <is>
          <t>Research &amp; Biostats</t>
        </is>
      </c>
      <c r="N21" s="2" t="inlineStr">
        <is>
          <t>PLE-CC1 ปี 2566 Day 2 ข้อ 1</t>
        </is>
      </c>
      <c r="O21" s="2" t="inlineStr">
        <is>
          <t>ข้อสอบจริง</t>
        </is>
      </c>
      <c r="P21" s="2" t="inlineStr">
        <is>
          <t>ปี 2566</t>
        </is>
      </c>
    </row>
    <row r="22" ht="13.2" customHeight="1" s="37">
      <c r="A22" s="8" t="inlineStr">
        <is>
          <t>21</t>
        </is>
      </c>
      <c r="B22" s="2" t="inlineStr">
        <is>
          <t>ยาpropranolol สามารถป้องกันการเกิดไมเกรนได้อย่างมีนัยสำคัญทางสถิติเมื่อเทียบกับcontrol</t>
        </is>
      </c>
      <c r="C22" s="2" t="n"/>
      <c r="D22" s="2" t="inlineStr">
        <is>
          <t>Research &amp; Biostats</t>
        </is>
      </c>
      <c r="E22" s="2" t="inlineStr">
        <is>
          <t>Prospective Cohort Study (Relative Risk: RR)</t>
        </is>
      </c>
      <c r="F22" s="2" t="inlineStr">
        <is>
          <t>Case-Control Study (Odds Ratio: OR)</t>
        </is>
      </c>
      <c r="G22" s="2" t="inlineStr">
        <is>
          <t>Cross-Sectional Survey Prevalence Study</t>
        </is>
      </c>
      <c r="H22" s="2" t="inlineStr">
        <is>
          <t>Cost-Effectiveness Analysis (Incremental Cost-Effectiveness Ratio: ICER)</t>
        </is>
      </c>
      <c r="I22" s="8" t="inlineStr">
        <is>
          <t>1</t>
        </is>
      </c>
      <c r="J22"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2" s="2" t="n"/>
      <c r="L22" s="2" t="inlineStr">
        <is>
          <t>รูปแบบการวิจัยทางคลินิก</t>
        </is>
      </c>
      <c r="M22" s="2" t="inlineStr">
        <is>
          <t>Research &amp; Biostats</t>
        </is>
      </c>
      <c r="N22" s="2" t="inlineStr">
        <is>
          <t>PLE-CC1 ปี 2566 Day 2 ข้อ 4</t>
        </is>
      </c>
      <c r="O22" s="2" t="inlineStr">
        <is>
          <t>ข้อสอบจริง</t>
        </is>
      </c>
      <c r="P22" s="2" t="inlineStr">
        <is>
          <t>ปี 2566</t>
        </is>
      </c>
    </row>
    <row r="23" ht="13.2" customHeight="1" s="37">
      <c r="A23" s="8" t="inlineStr">
        <is>
          <t>22</t>
        </is>
      </c>
      <c r="B23" s="2" t="inlineStr">
        <is>
          <t>การศึกษาเปรียบเทียบกลุ;มผญ.ที่กินยาคุมแลวเกิด VTE กับกลุ;มที่ไม;กินยาคุม ไดผล ดังนี้ เ&lt;ด ไ?เ&lt;ด VTE Status กลุ;มที่กินยาคุม เกิด VTE 70 ไม;เกิด 30 กลุ;มที่ไม;กินยาคุม เกิด VTE 40 ไม;เกิด 120 จงหาหาค;า RR …………………..………………………………..………………………………..………………………………..……………………………….. ………………………………..………………………………..………………………………..………………………………..…………………… กรณีศึกษา 17 " &lt;นยาEม 70 30 40 120 ไ?&lt;นยาEม 70 / 70 + 3 0 Relative risk = BตราCวยในกDม Exposed/BตราCวยในกDม non-exposed = 40 / 40 + 120 Ref. อ.Hทอ.มนทJตK =2. / หญิงอายุ 20 ปh มารานยาดวยเปลือกตาขวาบวม มีจุดคลายหนอง ระคายเคือง เจ็บตา ไม;คัน น้ำตา ไม;ไหล เปMนเมื่อวาน ยังไม;ไดทำอะไรเพื่อรักษาหรือบรรเทาอาการ ไม;มีโรคประจำตัว ไม;มีประวัติแพยา</t>
        </is>
      </c>
      <c r="C23" s="2" t="n"/>
      <c r="D23" s="2" t="inlineStr">
        <is>
          <t>Research &amp; Biostats</t>
        </is>
      </c>
      <c r="E23" s="2" t="inlineStr">
        <is>
          <t>Cost-Effectiveness Analysis (Incremental Cost-Effectiveness Ratio: ICER)</t>
        </is>
      </c>
      <c r="F23" s="2" t="inlineStr">
        <is>
          <t>Cost-Utility Analysis (Quality-Adjusted Life Years: QALY)</t>
        </is>
      </c>
      <c r="G23" s="2" t="inlineStr">
        <is>
          <t>Cost-Benefit Analysis (Net Monetary Benefit)</t>
        </is>
      </c>
      <c r="H23" s="2" t="inlineStr">
        <is>
          <t>Cost-Minimization Analysis (CMA)</t>
        </is>
      </c>
      <c r="I23" s="8" t="inlineStr">
        <is>
          <t>1</t>
        </is>
      </c>
      <c r="J23" s="2" t="inlineStr">
        <is>
          <t>✅ คำตอบที่ถูกต้อง: ข้อ ก. Research &amp; Biostats
💡 Background:
การบริบาลผู้ป่วยในกลุ่มโรค สถิติวิเคราะห์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(Cost-Effectiveness Analysis (Incremental Cost-Effectiveness Ratio: ICER)): ข้อนี้ไม่ใช่คำตอบที่ถูกต้องสำหรับภาวะ สถิติวิเคราะห์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สถิติวิเคราะห์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สถิติวิเคราะห์ เนื่องจากกลไกการออกฤทธิ์, efficacy หรือข้อบ่งใช้ไม่ตรงกับโจทย์ที่กำหนด
• ข้อ จ. (Cost-Minimization Analysis (CMA)):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2" t="n"/>
      <c r="L23" s="2" t="inlineStr">
        <is>
          <t>สถิติวิเคราะห์</t>
        </is>
      </c>
      <c r="M23" s="2" t="inlineStr">
        <is>
          <t>Research &amp; Biostats</t>
        </is>
      </c>
      <c r="N23" s="2" t="inlineStr">
        <is>
          <t>PLE_CC1_2565_Day1_Key ข้อ 69</t>
        </is>
      </c>
      <c r="O23" s="2" t="inlineStr">
        <is>
          <t>ข้อสอบจริง</t>
        </is>
      </c>
      <c r="P23" s="2" t="inlineStr">
        <is>
          <t>ปี 2565</t>
        </is>
      </c>
    </row>
    <row r="24" ht="13.2" customHeight="1" s="37">
      <c r="A24" s="8" t="inlineStr">
        <is>
          <t>23</t>
        </is>
      </c>
      <c r="B24" s="2" t="inlineStr">
        <is>
          <t>ข้อ Dissolution ให้ตารางมา มีค่า Q มี result แล้วเหมือนมัน (S2) ประมาณว่าผ่านเพราะ… (dissolution พวก S1, S2, S3) ข้อสอบน่าจะเป็นเรื่อง dissolution test ที่เป็นการทดสอบ stage ต่างๆ (S1, S2, S3) แล้วดูจากเกณฑ์การยอมรับของการทดสอบ stage นั้น ๆ ตามตารางเทียบกับ result ว่าผ่านไม่ผ่าน ตามโจทย์น่าจะเป็น Stage S2 เกณฑ์การยอมรับคือ “Average of 12 units (S1+S2) is ≥ Q + 5%” คือ dissolution จาก S1 6 เม็ด รวมกับ S2 6 เม็ด ต้องได้มากกว่าหรือเท่ากับ Q (Q คือ ร้อยละของปริมาณตัวยาที่แจ้งบนฉลาก ที่ละลายในหนึ่งช่วงเวลาที่กำหนด ซึ่งโจทย์ให้มา) +5% ก็เทียบตาม result เลย https://www.google.com/url?sa=t&amp;rct=j&amp;q=&amp;esrc=s&amp;source=web&amp;cd=&amp;ved=2ahUKEwi5wfrrrez5AhVjw6ACHU1gCO8QFnoECAsQAQ &amp;url=https%3A%2F%2Fccpe.pharmacycouncil.org%2Fshowfile.php%3Ffile%3D529&amp;usg=AOvVaw2zS0j3yRSFkktluFCyOu2y</t>
        </is>
      </c>
      <c r="C24" s="2" t="n"/>
      <c r="D24" s="2" t="inlineStr">
        <is>
          <t>Research &amp; Biostats</t>
        </is>
      </c>
      <c r="E24" s="2" t="inlineStr">
        <is>
          <t>Cost-Minimization Analysis (CMA)</t>
        </is>
      </c>
      <c r="F24" s="2" t="inlineStr">
        <is>
          <t>Student t-test for comparing two independent means</t>
        </is>
      </c>
      <c r="G24" s="2" t="inlineStr">
        <is>
          <t>Chi-Square Test for Categorical Independence (p &lt; 0.05)</t>
        </is>
      </c>
      <c r="H24" s="2" t="inlineStr">
        <is>
          <t>Randomized Controlled Trial (Double-blind RCT)</t>
        </is>
      </c>
      <c r="I24" s="8" t="inlineStr">
        <is>
          <t>1</t>
        </is>
      </c>
      <c r="J24" s="2" t="inlineStr">
        <is>
          <t>✅ คำตอบที่ถูกต้อง: ข้อ ก. Research &amp; Biostats
💡 Background:
การรักษาโรคติดเชื้อแบคทีเรีย (รูปแบบการวิจัยทางคลินิก)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(Randomized Controlled Trial (Double-blind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4" s="2" t="n"/>
      <c r="L24" s="2" t="inlineStr">
        <is>
          <t>รูปแบบการวิจัยทางคลินิก</t>
        </is>
      </c>
      <c r="M24" s="2" t="inlineStr">
        <is>
          <t>Research &amp; Biostats</t>
        </is>
      </c>
      <c r="N24" s="2" t="inlineStr">
        <is>
          <t>PLE_CC1_2564_All_Key ข้อ 66</t>
        </is>
      </c>
      <c r="O24" s="2" t="inlineStr">
        <is>
          <t>ข้อสอบจริง</t>
        </is>
      </c>
      <c r="P24" s="2" t="inlineStr">
        <is>
          <t>ปี 2564</t>
        </is>
      </c>
    </row>
    <row r="25" ht="13.2" customHeight="1" s="37">
      <c r="A25" s="8" t="inlineStr">
        <is>
          <t>23</t>
        </is>
      </c>
      <c r="B25" s="2" t="inlineStr">
        <is>
          <t>หากต้องการทำงานวิจัยแบบ multicenter double-blinded placebo controlled trial โดยให้ celecoxib เป็น Vostei we X ~ intervention เทียบกับ glucosamine+chondroitin sulfate กระบวนการใดทำให้ baseline characteristic ของกลุ่ม placebo กับ control เหมือนกัน</t>
        </is>
      </c>
      <c r="C25" s="2" t="n"/>
      <c r="D25" s="2" t="inlineStr">
        <is>
          <t>มีการทำหลายสถานที่</t>
        </is>
      </c>
      <c r="E25" s="2" t="inlineStr">
        <is>
          <t>double-blinded มี</t>
        </is>
      </c>
      <c r="F25" s="2" t="inlineStr">
        <is>
          <t>มีการสุ่ม</t>
        </is>
      </c>
      <c r="G25" s="2" t="inlineStr">
        <is>
          <t>มีกลุ่มควบคุม 2 กลุ่ม</t>
        </is>
      </c>
      <c r="H25" s="2" t="inlineStr">
        <is>
          <t>มีกลุ่ม intervention 2 กลุ่ม</t>
        </is>
      </c>
      <c r="I25" s="8" t="inlineStr">
        <is>
          <t>1</t>
        </is>
      </c>
      <c r="J25" s="2" t="inlineStr">
        <is>
          <t>✅ คำตอบที่ถูกต้อง: ข้อ ก. มีการทำหลายสถานที่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มีการทำหลายสถานที่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มีการทำหลายสถานที่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(double-blinded มี):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(มีการสุ่ม):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(มีกลุ่มควบคุม 2 กลุ่ม):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(มีกลุ่ม intervention 2 กลุ่ม):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รูปแบบการวิจัยทางคลินิก</t>
        </is>
      </c>
      <c r="M25" s="2" t="inlineStr">
        <is>
          <t>SAP</t>
        </is>
      </c>
      <c r="N25" s="2" t="inlineStr">
        <is>
          <t>ข้อ 53 (PLE_CC1_2562_Key.md)</t>
        </is>
      </c>
      <c r="O25" s="2" t="inlineStr">
        <is>
          <t>ข้อสอบจริง</t>
        </is>
      </c>
      <c r="P25" s="2" t="inlineStr">
        <is>
          <t>ปี 2562</t>
        </is>
      </c>
    </row>
    <row r="26" ht="13.2" customHeight="1" s="37">
      <c r="A26" s="8" t="inlineStr">
        <is>
          <t>24</t>
        </is>
      </c>
      <c r="B26" s="2" t="inlineStr">
        <is>
          <t>หากต้องการเทียบยารักษา SLE ตัวใหม่ เทียบกับตัวเก่า จงหา ICER X 77 ยาเก่า 18.0 QALYs 11.0 cost 1,200,000 bath ยาใหม่ 20.0 QALYs 12.5 cost 1,500,000 bath</t>
        </is>
      </c>
      <c r="C26" s="2" t="n"/>
      <c r="D26" s="8" t="inlineStr">
        <is>
          <t>75,000</t>
        </is>
      </c>
      <c r="E26" s="8" t="inlineStr">
        <is>
          <t>120,000</t>
        </is>
      </c>
      <c r="F26" s="8" t="inlineStr">
        <is>
          <t>150,000</t>
        </is>
      </c>
      <c r="G26" s="8" t="inlineStr">
        <is>
          <t>200,000</t>
        </is>
      </c>
      <c r="H26" s="2" t="inlineStr">
        <is>
          <t>300,000 ICER = ou X = 1, 500 , 000 - 1, 200 12 . 5 - 11 , 000 = 200, 000 bath/GALYs หË´มนาÆปทาซËาทืกกรณิ ÂวËนาต้จ²ÆดËรงบ¯นืญ´ต film</t>
        </is>
      </c>
      <c r="I26" s="8" t="inlineStr">
        <is>
          <t>1</t>
        </is>
      </c>
      <c r="J26" s="2" t="inlineStr">
        <is>
          <t>✅ คำตอบที่ถูกต้อง: ข้อ ก. 75,000
💡 Background:
กฎหมายยาและจรรยาบรรณวิชาชีพมีขึ้นเพื่อคุ้มครองความปลอดภัยของผู้บริโภคตามมาตรฐาน Good Pharmacy Practice (GPP)
🎯 ทำไมข้อนี้ถึงถูก:
75,000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75,000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(120,000):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(150,000):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(200,000):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(300,000 ICER = ou X = 1, 500 , 000 - 1, 200 12 . 5 - 11 , 000 = 200, 000 bath/GALYs หË´มนาÆปทาซËาทืกกรณิ ÂวËนาต้จ²ÆดËรงบ¯นืญ´ต film):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วิธีประเมินต้นทุนและประสิทธิผล</t>
        </is>
      </c>
      <c r="M26" s="2" t="inlineStr">
        <is>
          <t>SAP</t>
        </is>
      </c>
      <c r="N26" s="2" t="inlineStr">
        <is>
          <t>ข้อ 114 (PLE_CC1_2562_Key.md)</t>
        </is>
      </c>
      <c r="O26" s="2" t="inlineStr">
        <is>
          <t>ข้อสอบจริง</t>
        </is>
      </c>
      <c r="P26" s="2" t="inlineStr">
        <is>
          <t>ปี 2562</t>
        </is>
      </c>
    </row>
    <row r="27" ht="13.2" customHeight="1" s="37">
      <c r="A27" s="8" t="inlineStr">
        <is>
          <t>25</t>
        </is>
      </c>
      <c r="B27" s="2" t="inlineStr">
        <is>
          <t>หลักการเก็บข้อมูลทางสถิติใด มี bias น้อยสุด</t>
        </is>
      </c>
      <c r="C27" s="2" t="n"/>
      <c r="D27" s="2" t="inlineStr">
        <is>
          <t>Case report</t>
        </is>
      </c>
      <c r="E27" s="2" t="inlineStr">
        <is>
          <t>Case control</t>
        </is>
      </c>
      <c r="F27" s="2" t="inlineStr">
        <is>
          <t>Cross-sectional survey</t>
        </is>
      </c>
      <c r="G27" s="2" t="inlineStr">
        <is>
          <t>Prospective cohort</t>
        </is>
      </c>
      <c r="H27" s="2" t="inlineStr">
        <is>
          <t>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t>
        </is>
      </c>
      <c r="I27" s="8" t="inlineStr">
        <is>
          <t>1</t>
        </is>
      </c>
      <c r="J27" s="2" t="inlineStr">
        <is>
          <t>✅ คำตอบที่ถูกต้อง: ข้อ ก. Case report
💡 Background:
การประเมินหลักฐานเชิงประจักษ์ (Evidence-Based Practice) อาศัย study design, statistical parameters (p-value, 95% CI, RR/OR) เพื่อการตัดสินใจอย่างแม่นยำ
🎯 ทำไมข้อนี้ถึงถูก:
Case report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 report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(Cross-sectional survey):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(Prospective cohort):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รูปแบบการวิจัยทางคลินิก</t>
        </is>
      </c>
      <c r="M27" s="2" t="inlineStr">
        <is>
          <t>SAP</t>
        </is>
      </c>
      <c r="N27" s="2" t="inlineStr">
        <is>
          <t>ข้อ 85 (PLE_CC1_2558_Key.md)</t>
        </is>
      </c>
      <c r="O27" s="2" t="inlineStr">
        <is>
          <t>ข้อสอบจริง</t>
        </is>
      </c>
      <c r="P27" s="2" t="inlineStr">
        <is>
          <t>ปี 2558</t>
        </is>
      </c>
    </row>
    <row r="28" ht="13.2" customHeight="1" s="37">
      <c r="A28" s="8" t="inlineStr">
        <is>
          <t>26</t>
        </is>
      </c>
      <c r="B28" s="2" t="inlineStr">
        <is>
          <t>เปรียบเทียบยากับ placebo ให้ผู้ป่วยตอบคำถามว่าลดปวดมากน้อยเท่าใด โดยมี คะแนนตั้งแต่ 1-100 โดยที่ 0 = ไม่ปวด 100 = ปวดมากสุด ซึ่งข้อมูลมีการกระจายแบบ normal distribution ถามว่าควรใช้สถิติใดในการ ทดสอบ</t>
        </is>
      </c>
      <c r="C28" s="2" t="n"/>
      <c r="D28" s="2" t="inlineStr">
        <is>
          <t>Mann-Whitney U test</t>
        </is>
      </c>
      <c r="E28" s="2" t="inlineStr">
        <is>
          <t>Independent t-test</t>
        </is>
      </c>
      <c r="F28" s="2" t="inlineStr">
        <is>
          <t>Pair t-test</t>
        </is>
      </c>
      <c r="G28" s="2" t="inlineStr">
        <is>
          <t>Wilcoxon</t>
        </is>
      </c>
      <c r="H28" s="2" t="inlineStr">
        <is>
          <t>Cox proportional hazard model</t>
        </is>
      </c>
      <c r="I28" s="8" t="inlineStr">
        <is>
          <t>1</t>
        </is>
      </c>
      <c r="J28" s="2" t="inlineStr">
        <is>
          <t>✅ คำตอบที่ถูกต้อง: ข้อ ก. Mann-Whitney U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Mann-Whitney U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Mann-Whitney U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(Independent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(Pair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(Wilcoxon):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(Cox proportional hazard model):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รูปแบบการวิจัยทางคลินิก</t>
        </is>
      </c>
      <c r="M28" s="2" t="inlineStr">
        <is>
          <t>SAP</t>
        </is>
      </c>
      <c r="N28" s="2" t="inlineStr">
        <is>
          <t>ข้อ 23 (PLE_CC1_2558_Key.md)</t>
        </is>
      </c>
      <c r="O28" s="2" t="inlineStr">
        <is>
          <t>ข้อสอบจริง</t>
        </is>
      </c>
      <c r="P28" s="2" t="inlineStr">
        <is>
          <t>ปี 2558</t>
        </is>
      </c>
    </row>
    <row r="29" ht="13.2" customHeight="1" s="37">
      <c r="A29" s="8" t="inlineStr">
        <is>
          <t>27</t>
        </is>
      </c>
      <c r="B29" s="2" t="inlineStr">
        <is>
          <t>ยาที_x001E_มีคุณสมบัติเป็น lipophilic เมื_x001E_อนำมาพัฒนาเป็นรูปแบบ liposomal preparation ยาจะอยู่บริเวณใดของ liposome (1) บริเวณแกนกลางของ liposome (2) บริเวณระหว่าง lipid bilayer ของ liposome (3) ระหว่างโมเลกุลของ phospholipid (4) บริเวณผิวด้านในของ liposome (5) บริเวณผิวด้านนอกของ liposome สถานการณ์ที_x001E_ 4 ผู้ป่วยชายไทย อายุ 60 ปี ได้รับการวินิจฉัยว่าเป็น Non-ST Elevatrion Myocardial infarction ได้รับยาดังนี_x001B_ Simvastatin 1x1 PO pc Enalapril 1x1 PO pc Aspirin 1x1 PO pc Clopidogrel 1x1 PO pc Amlodipine 1x1 PO pc Isosorbide dinitrate 1 tab SL prn</t>
        </is>
      </c>
      <c r="C29" s="2" t="n"/>
      <c r="D29" s="2" t="inlineStr">
        <is>
          <t>Prospective Cohort Study (Relative Risk: RR)</t>
        </is>
      </c>
      <c r="E29" s="2" t="inlineStr">
        <is>
          <t>Case-Control Study (Odds Ratio: OR)</t>
        </is>
      </c>
      <c r="F29" s="2" t="inlineStr">
        <is>
          <t>Cross-Sectional Survey Prevalence Study</t>
        </is>
      </c>
      <c r="G29" s="2" t="inlineStr">
        <is>
          <t>Cost-Effectiveness Analysis (Incremental Cost-Effectiveness Ratio: ICER)</t>
        </is>
      </c>
      <c r="H29" s="2" t="inlineStr">
        <is>
          <t>Cost-Utility Analysis (Quality-Adjusted Life Years: QALY)</t>
        </is>
      </c>
      <c r="I29" s="8" t="inlineStr">
        <is>
          <t>1</t>
        </is>
      </c>
      <c r="J2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รูปแบบการวิจัยทางคลินิก</t>
        </is>
      </c>
      <c r="M29" s="2" t="inlineStr">
        <is>
          <t>SAP</t>
        </is>
      </c>
      <c r="N29" s="2" t="inlineStr">
        <is>
          <t>ข้อ 26 (PLE_CC1_2557.md)</t>
        </is>
      </c>
      <c r="O29" s="2" t="inlineStr">
        <is>
          <t>ข้อสอบจริง</t>
        </is>
      </c>
      <c r="P29" s="2" t="inlineStr">
        <is>
          <t>ปี 2557</t>
        </is>
      </c>
    </row>
    <row r="30" ht="13.2" customHeight="1" s="37">
      <c r="A30" s="8" t="inlineStr">
        <is>
          <t>28</t>
        </is>
      </c>
      <c r="B30" s="2" t="inlineStr">
        <is>
          <t>ยาใดต่อไปนี% ไม่มีผลลดอัตราการตายสำหรับผู้ป่วย myocardial infarction (1) Simvastatin (2) Enalapril (3) Aspirin (4) Clopidogrel (5) Amlodipine</t>
        </is>
      </c>
      <c r="C30" s="2" t="n"/>
      <c r="D30" s="2" t="inlineStr">
        <is>
          <t>Cost-Effectiveness Analysis (Incremental Cost-Effectiveness Ratio: ICER)</t>
        </is>
      </c>
      <c r="E30" s="2" t="inlineStr">
        <is>
          <t>Cost-Utility Analysis (Quality-Adjusted Life Years: QALY)</t>
        </is>
      </c>
      <c r="F30" s="2" t="inlineStr">
        <is>
          <t>Cost-Benefit Analysis (Net Monetary Benefit)</t>
        </is>
      </c>
      <c r="G30" s="2" t="inlineStr">
        <is>
          <t>Cost-Minimization Analysis (CMA)</t>
        </is>
      </c>
      <c r="H30" s="2" t="inlineStr">
        <is>
          <t>Student t-test for comparing two independent means</t>
        </is>
      </c>
      <c r="I30" s="8" t="inlineStr">
        <is>
          <t>1</t>
        </is>
      </c>
      <c r="J3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รูปแบบการวิจัยทางคลินิก</t>
        </is>
      </c>
      <c r="M30" s="2" t="inlineStr">
        <is>
          <t>SAP</t>
        </is>
      </c>
      <c r="N30" s="2" t="inlineStr">
        <is>
          <t>ข้อ 27 (PLE_CC1_2557.md)</t>
        </is>
      </c>
      <c r="O30" s="2" t="inlineStr">
        <is>
          <t>ข้อสอบจริง</t>
        </is>
      </c>
      <c r="P30" s="2" t="inlineStr">
        <is>
          <t>ปี 2557</t>
        </is>
      </c>
    </row>
    <row r="31" ht="13.2" customHeight="1" s="37">
      <c r="A31" s="8" t="inlineStr">
        <is>
          <t>29</t>
        </is>
      </c>
      <c r="B31" s="2" t="inlineStr">
        <is>
          <t>จงพิจารณากราฟต่อไปนี% ข้อใดถูกต้อง (กราฟสมมติ ลอง หัดอ่านและแปรผลกราฟดูนะ) (1) เป็นการวิเคราะห์ multi-way sensitivity analysis (2) ตัวแปร Utility of HSCT patients มีความไวมากกว่า Utility of BT-ICT patients ในการเปลี_x0003_ยนแปลงค่า ICER (3) ตัวแปร Discount rate มีความไวมากกว่า Direct-on medical cost of HSCT ในการเปลี_x0003_ยนแปลงค่า ICER (4) ตัวแปร Age coefficient ส่งผลให้เกิดการเปลี_x0003_ยนแปลง ค่า ICER ได้มากที_x0003_สุด (5) ตัวแปร Utility of BT-ICT patients ส่งผลให้เกิดการ เปลี_x0003_ยนแปลงค่า ICER ได้น้อยที_x0003_สุด MCQ 11 | 1/2557 | Page 13</t>
        </is>
      </c>
      <c r="C31" s="2" t="n"/>
      <c r="D31" s="2" t="inlineStr">
        <is>
          <t>Cost-Minimization Analysis (CMA)</t>
        </is>
      </c>
      <c r="E31" s="2" t="inlineStr">
        <is>
          <t>Student t-test for comparing two independent means</t>
        </is>
      </c>
      <c r="F31" s="2" t="inlineStr">
        <is>
          <t>Chi-Square Test for Categorical Independence (p &lt; 0.05)</t>
        </is>
      </c>
      <c r="G31" s="2" t="inlineStr">
        <is>
          <t>Randomized Controlled Trial (Double-blind RCT)</t>
        </is>
      </c>
      <c r="H31" s="2" t="inlineStr">
        <is>
          <t>Prospective Cohort Study (Relative Risk: RR)</t>
        </is>
      </c>
      <c r="I31" s="8" t="inlineStr">
        <is>
          <t>1</t>
        </is>
      </c>
      <c r="J31" s="2" t="inlineStr">
        <is>
          <t>✅ คำตอบที่ถูกต้อง: ข้อ ก. Cost-Minimization Analysis (CMA)
💡 Background:
กฎหมายยาและจรรยาบรรณวิชาชีพมีขึ้นเพื่อคุ้มครองความปลอดภัยของผู้บริโภคตามมาตรฐาน Good Pharmacy Practice (GPP)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(Student t-test for comparing two independent means):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วิธีประเมินต้นทุนและประสิทธิผล</t>
        </is>
      </c>
      <c r="M31" s="2" t="inlineStr">
        <is>
          <t>SAP</t>
        </is>
      </c>
      <c r="N31" s="2" t="inlineStr">
        <is>
          <t>ข้อ 85 (PLE_CC1_2557.md)</t>
        </is>
      </c>
      <c r="O31" s="2" t="inlineStr">
        <is>
          <t>ข้อสอบจริง</t>
        </is>
      </c>
      <c r="P31" s="2" t="inlineStr">
        <is>
          <t>ปี 2557</t>
        </is>
      </c>
    </row>
    <row r="32" ht="13.2" customHeight="1" s="37">
      <c r="A32" s="8" t="inlineStr">
        <is>
          <t>30</t>
        </is>
      </c>
      <c r="B32" s="2" t="inlineStr">
        <is>
          <t>จากข้อมูลดังแสดงในตาราง จงคำนวณค่า Incremental Cost-Effectiveness Ratio ของการรักษาด้วยทางเลือก B เปรียบเทียบกับทางเลือก A ทางเลือก ต้นทุน QALY A 12500 0.82 B 15300 0.90 ส่วนต่าง 2800 0.08 (1) 1.09 (2) 1.22 (3) 224 (4) 17,000 (5) 35,000 _x0001_ _x0001_ _x0001_ _x0001_ _x0001_ _x0001_ _x0001_ Final version | Maximum’2017 Rx30 | Prince of Songkla University MCQ 12 : 1/2557 Disclaimer : ทำความเข้าใจกันก่อน สิ_x0003_งที_x0003_น้อง ๆ ทุกคนจะได้พบเห็นต่อไปนี_x001B_ เป็นเพียงแนวข้อสอบการสอบความรู้ผู้ขอขึ_x001B_นทะเบียนเป็นผู้ประกอบวิชาชีพเภสัช กรรม สภาเภสัชกรรม ครั_x001B_งที_x0003_ 1/2557 เท่านั_x001B_น ไม่ใช่ข้อสอบจริง เนื_x0003_องจากพี_x0003_คนเดียว ไม่สามารถจดจำตัวเลือกทุกตัวเลือก ของข้อสอบ ทั_x001B_ง 120 ข้อได้หมดภายในระยะเวลา 3 ชั_x0003_วโมง ดังนั_x001B_น ในข้อสอบบางข้อพี_x0003_จึงได้ไปสรรหาตัวเลือกอื_x0003_น ๆ มาวางไว้เฉย ๆ เพื_x0003_อให้มัน ครบ 5 ตัวเลือก (พูดง่าย ๆ ก็คือ แต่ง choice เพิ_x001E_มในบางข้อ เพื_x001E_อเพิ_x001E_มความสนุกสนาน 555++) ทำให้ในบางข้ออาจมีคำตอบที_x0003_ถูกต้อง มากกว่า 1 ตัวเลือก หรือบางข้ออาจไม่มีข้อที_x0003_ถูกเลยก็ได้ 555++ (ซึ_x0003_งพี_x0003_จะหมายเหตุ เอาไว้หลังข้อคำถาม) ซึ_x0003_งก็เป็นหน้าที_x0003_ของน้อง ๆ ในการหาว่าตัวเลือกในข้อใดถูก หรือตัวเลือกในข้อใดผิด และเพราะอะไรจึงถูก หรือเพราะอะไรตัวเลือกนั_x001B_นจึงผิด (พี_x0003_ไม่เฉลยนะ เพราะที_x0003_ทำไปก็ไม่รู้ว่าถูกหรือผิด) อย่างไรก็ตาม พี_x0003_หวังว่าเอกสารชุดนี_x001B_คงจะสามารถช่วยน้อง ๆ ได้ในระดับหนึ_x0003_ง ซึ_x0003_งอาจทำให้ทราบว่าสภาเภสัชกรรม ต้องการอะไรจากเด็กตาดำ ๆ เช่นพวกเรา ใครที_x0003_อ่านเนื_x001B_อหาไม่ทัน การทำโจทย์ก็สามารถช่วยได้ ส่วนใครที_x0003_มั_x0003_นใจว่าอ่านจบสามรอบ ครึ_x0003_งตีลังกาเกลียว ก็อย่าเพิ_x0003_งได้ใจ ให้ลองทำโจทย์ดูด้วย จะทำให้รู้สึกว่าข้อสอบมัน Everything under the sun ไม่ว่าอะไรก็เอามา ออกได้หมดจริง ๆ ถ้าพร้อมแล้ว ก็เริ_x0003_มลงมือทำได้เลย ...... ตัวอย่างข้อสอบ การสอบความรู้ผู้ขอขึ%นทะเบียนเป็นผู้ประกอบวิชาชีพเภสัชกรรม สภาเภสัชกรรม ครั%งที_x001E_ 1/2557 วันที_x001E_สอบ วันอาทิตย์ที_x001E_ 9 กุมภาพันธ์ 2557 เวลา 09.00 - 12.00 น. รายวิชาที_x001E_สอบ MCQ 12 สถานการณ์ที_x001E_ 1 ผู้ป่วยชายไทย อายุ 56 ปี โรคประจำตัว Chronic kidney disease มาซื_x001B_อยาที_x0003_ร้านขายยา จากการซักประวัติพบว่า เจ็บคอ มีไข้ ไม่ไอ มีนํ_x001B_ามูกเล็กน้อย เมื_x0003_อตรวจคอพบจุดหนอง ภายในลำคอ 1 จุด เมื_x0003_อ 3 วันก่อน ซื_x001B_อยา paracetamol และยา loratadine มารับประทาน แต่อาการไม่ดีขึ_x001B_น ผู้ป่วยไม่มีประวัติ แพ้ยา เภสัชกรจึงจ่ายยาดังรายการต่อไปนี_x001B_ Amoxicillin 1 cap tid 20 Ibuprofen 1 tab tid 20 Phenylephrine + CPM 1 tab prn 10</t>
        </is>
      </c>
      <c r="C32" s="2" t="n"/>
      <c r="D32" s="2" t="inlineStr">
        <is>
          <t>Randomized Controlled Trial (Double-blind RCT)</t>
        </is>
      </c>
      <c r="E32" s="2" t="inlineStr">
        <is>
          <t>Prospective Cohort Study (Relative Risk: RR)</t>
        </is>
      </c>
      <c r="F32" s="2" t="inlineStr">
        <is>
          <t>Case-Control Study (Odds Ratio: OR)</t>
        </is>
      </c>
      <c r="G32" s="2" t="inlineStr">
        <is>
          <t>Cross-Sectional Survey Prevalence Study</t>
        </is>
      </c>
      <c r="H32" s="2" t="inlineStr">
        <is>
          <t>Cost-Effectiveness Analysis (Incremental Cost-Effectiveness Ratio: ICER)</t>
        </is>
      </c>
      <c r="I32" s="8" t="inlineStr">
        <is>
          <t>1</t>
        </is>
      </c>
      <c r="J3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(Case-Control Study (Odds Ratio: OR)):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(Cross-Sectional Survey Prevalence Study):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(Cost-Effectiveness Analysis (Incremental Cost-Effectiveness Ratio: ICER)):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วิธีประเมินต้นทุนและประสิทธิผล</t>
        </is>
      </c>
      <c r="M32" s="2" t="inlineStr">
        <is>
          <t>SAP</t>
        </is>
      </c>
      <c r="N32" s="2" t="inlineStr">
        <is>
          <t>ข้อ 86 (PLE_CC1_2557.md)</t>
        </is>
      </c>
      <c r="O32" s="2" t="inlineStr">
        <is>
          <t>ข้อสอบจริง</t>
        </is>
      </c>
      <c r="P32" s="2" t="inlineStr">
        <is>
          <t>ปี 2557</t>
        </is>
      </c>
    </row>
    <row r="33" ht="13.2" customHeight="1" s="37">
      <c r="A33" s="8" t="inlineStr">
        <is>
          <t>31</t>
        </is>
      </c>
      <c r="B33" s="2" t="inlineStr">
        <is>
          <t>เทียบยา A (generic) กับยา B (Innovator) ทดสอบในผู้ชาย 24 คน แบบ 2 formulations….ให้กราฟ AUC และตาราง ค่า AUC และ Cmax และ ค่า 90% CI เปรียบเทียบ ยา A และ B มา (ค่า 90% CI ไม่ sig) ให้เปรียบเทียบ BE ของยาทั้ง 2 ตัว</t>
        </is>
      </c>
      <c r="C33" s="2" t="n"/>
      <c r="D33" s="2" t="inlineStr">
        <is>
          <t>Cross-Sectional Survey Prevalence Study</t>
        </is>
      </c>
      <c r="E33" s="2" t="inlineStr">
        <is>
          <t>Cost-Effectiveness Analysis (Incremental Cost-Effectiveness Ratio: ICER)</t>
        </is>
      </c>
      <c r="F33" s="2" t="inlineStr">
        <is>
          <t>Cost-Utility Analysis (Quality-Adjusted Life Years: QALY)</t>
        </is>
      </c>
      <c r="G33" s="2" t="inlineStr">
        <is>
          <t>Cost-Benefit Analysis (Net Monetary Benefit)</t>
        </is>
      </c>
      <c r="H33" s="2" t="inlineStr">
        <is>
          <t>Cost-Minimization Analysis (CMA)</t>
        </is>
      </c>
      <c r="I33" s="8" t="inlineStr">
        <is>
          <t>1</t>
        </is>
      </c>
      <c r="J33" s="2" t="inlineStr">
        <is>
          <t>✅ คำตอบที่ถูกต้อง: ข้อ ก.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(Cost-Effectiveness Analysis (Incremental Cost-Effectiveness Ratio: ICER)):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(Cost-Minimization Analysis (CMA)):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วิธีประเมินต้นทุนและประสิทธิผล</t>
        </is>
      </c>
      <c r="M33" s="2" t="inlineStr">
        <is>
          <t>SAP</t>
        </is>
      </c>
      <c r="N33" s="2" t="inlineStr">
        <is>
          <t>ข้อ 7 (PLE_CC1_2555 Day 2.md)</t>
        </is>
      </c>
      <c r="O33" s="2" t="inlineStr">
        <is>
          <t>ข้อสอบจริง</t>
        </is>
      </c>
      <c r="P33" s="2" t="inlineStr">
        <is>
          <t>ปี 2555</t>
        </is>
      </c>
    </row>
    <row r="34" ht="13.2" customHeight="1" s="37">
      <c r="A34" s="8" t="inlineStr">
        <is>
          <t>32</t>
        </is>
      </c>
      <c r="B34" s="2" t="inlineStr">
        <is>
          <t>เทียบยา C (generic) กับยา B (Innovator) ทดสอบในผู้ชาย ให้กราฟ AUC และตาราง ค่า AUC และ Cmax และ ค่า 90% CI เปรียบเทียบ ยา C และ B มา (ค่า 90% CI sig) ให้เลือกยาเข้ารพ. MCQ 1/2555 by CURx69 page 4 Case 3: Duodenal ulcer ใบสั่งยาจากแพทย์ สั่งจ่าย Omeprazole 20 mg OD 40 tabs</t>
        </is>
      </c>
      <c r="C34" s="2" t="n"/>
      <c r="D34" s="2" t="inlineStr">
        <is>
          <t>Cost-Benefit Analysis (Net Monetary Benefit)</t>
        </is>
      </c>
      <c r="E34" s="2" t="inlineStr">
        <is>
          <t>Cost-Minimization Analysis (CMA)</t>
        </is>
      </c>
      <c r="F34" s="2" t="inlineStr">
        <is>
          <t>Student t-test for comparing two independent means</t>
        </is>
      </c>
      <c r="G34" s="2" t="inlineStr">
        <is>
          <t>Chi-Square Test for Categorical Independence (p &lt; 0.05)</t>
        </is>
      </c>
      <c r="H34" s="2" t="inlineStr">
        <is>
          <t>Randomized Controlled Trial (Double-blind RCT)</t>
        </is>
      </c>
      <c r="I34" s="8" t="inlineStr">
        <is>
          <t>1</t>
        </is>
      </c>
      <c r="J34" s="2" t="inlineStr">
        <is>
          <t>✅ คำตอบที่ถูกต้อง: ข้อ ก. Cost-Benefit Analysis (Net Monetary Benefit)
💡 Background:
กฎหมายยาและจรรยาบรรณวิชาชีพมีขึ้นเพื่อคุ้มครองความปลอดภัยของผู้บริโภคตามมาตรฐาน Good Pharmacy Practice (GPP)
🎯 ทำไมข้อนี้ถึงถูก:
Cost-Benefit Analysis (Net Monetary Benefit) 💡 คำอธิบายและข้อกำหนดทางกฎหมาย:
💡 คำอธิบายและข้อกำหนดทางกฎหมาย:
การเลือก Cost-Benefit Analysis (Net Monetary Benefit)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(Cost-Minimization Analysis (CMA)):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(Student t-test for comparing two independent means):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(Chi-Square Test for Categorical Independence (p &lt; 0.05)):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วิธีประเมินต้นทุนและประสิทธิผล</t>
        </is>
      </c>
      <c r="M34" s="2" t="inlineStr">
        <is>
          <t>SAP</t>
        </is>
      </c>
      <c r="N34" s="2" t="inlineStr">
        <is>
          <t>ข้อ 8 (PLE_CC1_2555 Day 2.md)</t>
        </is>
      </c>
      <c r="O34" s="2" t="inlineStr">
        <is>
          <t>ข้อสอบจริง</t>
        </is>
      </c>
      <c r="P34" s="2" t="inlineStr">
        <is>
          <t>ปี 2555</t>
        </is>
      </c>
    </row>
    <row r="35" ht="13.2" customHeight="1" s="37">
      <c r="A35" s="8" t="inlineStr">
        <is>
          <t>33</t>
        </is>
      </c>
      <c r="B35" s="2" t="inlineStr">
        <is>
          <t>Cmax + Elimination half-life</t>
        </is>
      </c>
      <c r="C35" s="2" t="n"/>
      <c r="D35" s="2" t="inlineStr">
        <is>
          <t>Chi-Square Test for Categorical Independence (p &lt; 0.05)</t>
        </is>
      </c>
      <c r="E35" s="2" t="inlineStr">
        <is>
          <t>Randomized Controlled Trial (Double-blind RCT)</t>
        </is>
      </c>
      <c r="F35" s="2" t="inlineStr">
        <is>
          <t>Prospective Cohort Study (Relative Risk: RR)</t>
        </is>
      </c>
      <c r="G35" s="2" t="inlineStr">
        <is>
          <t>Case-Control Study (Odds Ratio: OR)</t>
        </is>
      </c>
      <c r="H35" s="2" t="inlineStr">
        <is>
          <t>Cross-Sectional Survey Prevalence Study</t>
        </is>
      </c>
      <c r="I35" s="8" t="inlineStr">
        <is>
          <t>1</t>
        </is>
      </c>
      <c r="J3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(Case-Control Study (Odds Ratio: OR)):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(Cross-Sectional Survey Prevalence Study):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วิธีประเมินต้นทุนและประสิทธิผล</t>
        </is>
      </c>
      <c r="M35" s="2" t="inlineStr">
        <is>
          <t>SAP</t>
        </is>
      </c>
      <c r="N35" s="2" t="inlineStr">
        <is>
          <t>ข้อ 4 (PLE_CC1_2555 Day 2.md)</t>
        </is>
      </c>
      <c r="O35" s="2" t="inlineStr">
        <is>
          <t>ข้อสอบจริง</t>
        </is>
      </c>
      <c r="P35" s="2" t="inlineStr">
        <is>
          <t>ปี 2555</t>
        </is>
      </c>
    </row>
    <row r="36" ht="13.2" customHeight="1" s="37">
      <c r="A36" s="8" t="inlineStr">
        <is>
          <t>34</t>
        </is>
      </c>
      <c r="B36" s="2" t="inlineStr">
        <is>
          <t>เปรียบเทียบข้อมูลเชิงคุณภาพ ข้อมูล สถิติ ข้อมูล 2 กลุ่มที่เป็นอิสระต่อกัน (หรือ &gt;2) Chi-square stat ข้อมูลที่ไม่เป็นอิสระต่อกัน Menemar’s test สถานการณ์ที่ 5 (ออฟโต้ 023/ เต้ย 066) ผู้ป่วยเป็นโรคทางระบบทางเดินอาหาร</t>
        </is>
      </c>
      <c r="C36" s="2" t="n"/>
      <c r="D36" s="2" t="inlineStr">
        <is>
          <t>Case-Control Study (Odds Ratio: OR)</t>
        </is>
      </c>
      <c r="E36" s="2" t="inlineStr">
        <is>
          <t>Cross-Sectional Survey Prevalence Study</t>
        </is>
      </c>
      <c r="F36" s="2" t="inlineStr">
        <is>
          <t>Cost-Effectiveness Analysis (Incremental Cost-Effectiveness Ratio: ICER)</t>
        </is>
      </c>
      <c r="G36" s="2" t="inlineStr">
        <is>
          <t>Cost-Utility Analysis (Quality-Adjusted Life Years: QALY)</t>
        </is>
      </c>
      <c r="H36" s="2" t="inlineStr">
        <is>
          <t>Cost-Benefit Analysis (Net Monetary Benefit)</t>
        </is>
      </c>
      <c r="I36" s="8" t="inlineStr">
        <is>
          <t>1</t>
        </is>
      </c>
      <c r="J3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(Cross-Sectional Survey Prevalence Study): ข้อนี้ไม่ใช่คำตอบที่ถูกต้องสำหรับภาวะ สถิติวิเคราะห์ เนื่องจากกลไกการออกฤทธิ์, efficacy หรือข้อบ่งใช้ไม่ตรงกับโจทย์ที่กำหนด
• ข้อ ค. (Cost-Effectiveness Analysis (Incremental Cost-Effectiveness Ratio: ICER)): ข้อนี้ไม่ใช่คำตอบที่ถูกต้องสำหรับภาวะ สถิติวิเคราะห์ เนื่องจากกลไกการออกฤทธิ์, efficacy หรือข้อบ่งใช้ไม่ตรงกับโจทย์ที่กำหนด
• ข้อ ง. (Cost-Utility Analysis (Quality-Adjusted Life Years: QALY)): ข้อนี้ไม่ใช่คำตอบที่ถูกต้องสำหรับภาวะ สถิติวิเคราะห์ เนื่องจากกลไกการออกฤทธิ์, efficacy หรือข้อบ่งใช้ไม่ตรงกับโจทย์ที่กำหนด
• ข้อ จ. (Cost-Benefit Analysis (Net Monetary Benefit)):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สถิติวิเคราะห์</t>
        </is>
      </c>
      <c r="M36" s="2" t="inlineStr">
        <is>
          <t>SAP</t>
        </is>
      </c>
      <c r="N36" s="2" t="inlineStr">
        <is>
          <t>ข้อ 2 (PLE_CC1_2554 SET2.md)</t>
        </is>
      </c>
      <c r="O36" s="2" t="inlineStr">
        <is>
          <t>ข้อสอบจริง</t>
        </is>
      </c>
      <c r="P36" s="2" t="inlineStr">
        <is>
          <t>ปี 2554</t>
        </is>
      </c>
    </row>
    <row r="37" ht="13.2" customHeight="1" s="37">
      <c r="A37" s="8" t="inlineStr">
        <is>
          <t>35</t>
        </is>
      </c>
      <c r="B37" s="2" t="inlineStr">
        <is>
          <t>ถ้าต้องการเปรียบเทียบระดับยาที่เวลา 5, 10, 15 และ 20 นาที ของยา FDT กับ Tablet ควรใช้สถิติข้อใดในการวิเคราะห์</t>
        </is>
      </c>
      <c r="C37" s="2" t="n"/>
      <c r="D37" s="2" t="inlineStr">
        <is>
          <t>Cost-Utility Analysis (Quality-Adjusted Life Years: QALY)</t>
        </is>
      </c>
      <c r="E37" s="2" t="inlineStr">
        <is>
          <t>Cost-Benefit Analysis (Net Monetary Benefit)</t>
        </is>
      </c>
      <c r="F37" s="2" t="inlineStr">
        <is>
          <t>Cost-Minimization Analysis (CMA)</t>
        </is>
      </c>
      <c r="G37" s="2" t="inlineStr">
        <is>
          <t>Student t-test for comparing two independent means</t>
        </is>
      </c>
      <c r="H37" s="2" t="inlineStr">
        <is>
          <t>Chi-Square Test for Categorical Independence (p &lt; 0.05)</t>
        </is>
      </c>
      <c r="I37" s="8" t="inlineStr">
        <is>
          <t>1</t>
        </is>
      </c>
      <c r="J3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รูปแบบการวิจัยทางคลินิก</t>
        </is>
      </c>
      <c r="M37" s="2" t="inlineStr">
        <is>
          <t>SAP</t>
        </is>
      </c>
      <c r="N37" s="2" t="inlineStr">
        <is>
          <t>ข้อ 10 (PLE_CC1_2533.md)</t>
        </is>
      </c>
      <c r="O37" s="2" t="inlineStr">
        <is>
          <t>ข้อสอบจริง</t>
        </is>
      </c>
      <c r="P37" s="2" t="inlineStr">
        <is>
          <t>ปี 2533</t>
        </is>
      </c>
    </row>
    <row r="38" ht="13.2" customHeight="1" s="37">
      <c r="A38" s="8" t="inlineStr">
        <is>
          <t>36</t>
        </is>
      </c>
      <c r="B38" s="2" t="inlineStr">
        <is>
          <t>สน Ans 4. ดองดึง เพิ่มเติม ดองดึง ชื่อวิทยาศาสตร์ Gloriosa superba. ชื่อวงศ์ LILIACEAE ส่วนหัวมีสารสำคัญหลายชนิด ได้แก่ Colchicine, superbine, gloriosine และ แอลคาลอยด์อื่นๆ สาร Colchicne มี สรรพคุณในการรักษาโรคปวดข้อได้ดี แต่เป็นมีพิษต่อเซลล์โดยไปยับยั้งการแบ่งตัวของเซลล์ ซึ่งทำให้สามารถนำไปรักษา โรคมะเร็งได้</t>
        </is>
      </c>
      <c r="C38" s="2" t="n"/>
      <c r="D38" s="2" t="inlineStr">
        <is>
          <t>Student t-test for comparing two independent means</t>
        </is>
      </c>
      <c r="E38" s="2" t="inlineStr">
        <is>
          <t>Chi-Square Test for Categorical Independence (p &lt; 0.05)</t>
        </is>
      </c>
      <c r="F38" s="2" t="inlineStr">
        <is>
          <t>Randomized Controlled Trial (Double-blind RCT)</t>
        </is>
      </c>
      <c r="G38" s="2" t="inlineStr">
        <is>
          <t>Prospective Cohort Study (Relative Risk: RR)</t>
        </is>
      </c>
      <c r="H38" s="2" t="inlineStr">
        <is>
          <t>Case-Control Study (Odds Ratio: OR)</t>
        </is>
      </c>
      <c r="I38" s="8" t="inlineStr">
        <is>
          <t>1</t>
        </is>
      </c>
      <c r="J38" s="2" t="inlineStr">
        <is>
          <t>✅ คำตอบที่ถูกต้อง: ข้อ ก.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(Chi-Square Test for Categorical Independence (p &lt; 0.05)):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(Case-Control Study (Odds Ratio: OR)):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วิธีประเมินต้นทุนและประสิทธิผล</t>
        </is>
      </c>
      <c r="M38" s="2" t="inlineStr">
        <is>
          <t>SAP</t>
        </is>
      </c>
      <c r="N38" s="2" t="inlineStr">
        <is>
          <t>ข้อ 5 (PLE_CC1_2533.md)</t>
        </is>
      </c>
      <c r="O38" s="2" t="inlineStr">
        <is>
          <t>ข้อสอบจริง</t>
        </is>
      </c>
      <c r="P38" s="2" t="inlineStr">
        <is>
          <t>ปี 2533</t>
        </is>
      </c>
    </row>
    <row r="39" ht="13.2" customHeight="1" s="37">
      <c r="A39" s="8" t="inlineStr">
        <is>
          <t>37</t>
        </is>
      </c>
      <c r="B39" s="2" t="inlineStr">
        <is>
          <t>การศึกษาเปรียบเทียบระหว่างผู้ป่วยโลหิตจางที่รับประทาน Cereal กับกลุ่มที่ไม่ได้รับประทาน Cereal โดยการติดตาม ค่า Hb หลังการกิน Feso4 ทั้ง 2 กลุ่ม ( โจทย์ประมาณนี้) กลุ่ม Hb ในกลุ่มที่กิน Cereal Hb ในกลุ่มที่ไม่ได้กิน Cereal กลุ่มที่ 1 11.5 12.o กลุ่มที่2 10.5 จำนวนผู้เข้าร่วม 100 120 P=0.006 ถามว่า สถิติที่ใช้ในการวิเคราะห์และสรุปผลอย่างไร Choice จำได้ไม่หมดเพราะยาวมาก ตอบ ใช้ t – test และผลพบว่าทั้งสองกลุ่มไม่แตกต่างกัน Case สิว หญิงสาวคนหนึ่งมาซื้อยา Isotretinoin ชนิดรับประทาน เพราะมีสิวขึ้นบริเวณใบหน้า และมีเพื่อนแนะนำให้มาซื้อยานี้รับประทาน หญิงสาวคนนี้จึงได้มาซื้อยาชนิดนี้ที่ร้านยา</t>
        </is>
      </c>
      <c r="C39" s="2" t="n"/>
      <c r="D39" s="2" t="inlineStr">
        <is>
          <t>Prospective Cohort Study (Relative Risk: RR)</t>
        </is>
      </c>
      <c r="E39" s="2" t="inlineStr">
        <is>
          <t>Case-Control Study (Odds Ratio: OR)</t>
        </is>
      </c>
      <c r="F39" s="2" t="inlineStr">
        <is>
          <t>Cross-Sectional Survey Prevalence Study</t>
        </is>
      </c>
      <c r="G39" s="2" t="inlineStr">
        <is>
          <t>Cost-Effectiveness Analysis (Incremental Cost-Effectiveness Ratio: ICER)</t>
        </is>
      </c>
      <c r="H39" s="2" t="inlineStr">
        <is>
          <t>Cost-Utility Analysis (Quality-Adjusted Life Years: QALY)</t>
        </is>
      </c>
      <c r="I39" s="8" t="inlineStr">
        <is>
          <t>1</t>
        </is>
      </c>
      <c r="J3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รูปแบบการวิจัยทางคลินิก</t>
        </is>
      </c>
      <c r="M39" s="2" t="inlineStr">
        <is>
          <t>SAP</t>
        </is>
      </c>
      <c r="N39" s="2" t="inlineStr">
        <is>
          <t>ข้อ 10 (PLE_CC1_2533.md)</t>
        </is>
      </c>
      <c r="O39" s="2" t="inlineStr">
        <is>
          <t>ข้อสอบจริง</t>
        </is>
      </c>
      <c r="P39" s="2" t="inlineStr">
        <is>
          <t>ปี 2533</t>
        </is>
      </c>
    </row>
    <row r="40" ht="13.2" customHeight="1" s="37">
      <c r="A40" s="8" t="inlineStr">
        <is>
          <t>38</t>
        </is>
      </c>
      <c r="B40" s="2" t="inlineStr">
        <is>
          <t>ช่วยสมานผิว กระชับรูขุมขน +++++ ไม่แน่ใจระหว่าง มังคุด หรือ พญายอค่ะ แต่จากการทำงานวิจัยพบว่า มังคุด รักษาสิวอักเสบค่ะ +++++ 9 เชื้อที่ทำให้เกิดสิว ตอบ P. acne 10 ข้อใดเป็นผลข้างเคียงที่พบได้บ่อยของ Isotretinoin แบบกิน ตอบ ตาแดง ปากแห้ง โภชนาการ สถานการณ์ เด็กอายุ 9 เดือน ท้องเสียมา 6 เดือน (เป็นๆหายๆ) เคยไปพบแพทย์ แพทย์ได้เปลี่ยนให้รับประทานนมที่ไม่มี ส่วนประกอบของ lactose พบว่าผู้ป่วยอาการดีขึ้น ต่อมาผู้ป่วยได้กลับไปรับประทานนมผงแบบเดิม จึงมีอาการ ผู้ป่วยมีสุขภาพ แข็งแรงดี ร่าเริง แจ่มใส</t>
        </is>
      </c>
      <c r="C40" s="2" t="n"/>
      <c r="D40" s="2" t="inlineStr">
        <is>
          <t>Cost-Effectiveness Analysis (Incremental Cost-Effectiveness Ratio: ICER)</t>
        </is>
      </c>
      <c r="E40" s="2" t="inlineStr">
        <is>
          <t>Cost-Utility Analysis (Quality-Adjusted Life Years: QALY)</t>
        </is>
      </c>
      <c r="F40" s="2" t="inlineStr">
        <is>
          <t>Cost-Benefit Analysis (Net Monetary Benefit)</t>
        </is>
      </c>
      <c r="G40" s="2" t="inlineStr">
        <is>
          <t>Cost-Minimization Analysis (CMA)</t>
        </is>
      </c>
      <c r="H40" s="2" t="inlineStr">
        <is>
          <t>Student t-test for comparing two independent means</t>
        </is>
      </c>
      <c r="I40" s="8" t="inlineStr">
        <is>
          <t>1</t>
        </is>
      </c>
      <c r="J4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รูปแบบการวิจัยทางคลินิก</t>
        </is>
      </c>
      <c r="M40" s="2" t="inlineStr">
        <is>
          <t>SAP</t>
        </is>
      </c>
      <c r="N40" s="2" t="inlineStr">
        <is>
          <t>ข้อ 4 (PLE_CC1_2533.md)</t>
        </is>
      </c>
      <c r="O40" s="2" t="inlineStr">
        <is>
          <t>ข้อสอบจริง</t>
        </is>
      </c>
      <c r="P40" s="2" t="inlineStr">
        <is>
          <t>ปี 2533</t>
        </is>
      </c>
    </row>
    <row r="41" ht="13.2" customHeight="1" s="37">
      <c r="A41" s="8" t="inlineStr">
        <is>
          <t>39</t>
        </is>
      </c>
      <c r="B41" s="2" t="inlineStr">
        <is>
          <t>Prospective cohort studies</t>
        </is>
      </c>
      <c r="C41" s="2" t="n"/>
      <c r="D41" s="2" t="inlineStr">
        <is>
          <t>Cost-Minimization Analysis (CMA)</t>
        </is>
      </c>
      <c r="E41" s="2" t="inlineStr">
        <is>
          <t>Student t-test for comparing two independent means</t>
        </is>
      </c>
      <c r="F41" s="2" t="inlineStr">
        <is>
          <t>Chi-Square Test for Categorical Independence (p &lt; 0.05)</t>
        </is>
      </c>
      <c r="G41" s="2" t="inlineStr">
        <is>
          <t>Randomized Controlled Trial (Double-blind RCT)</t>
        </is>
      </c>
      <c r="H41" s="2" t="inlineStr">
        <is>
          <t>Prospective Cohort Study (Relative Risk: RR)</t>
        </is>
      </c>
      <c r="I41" s="8" t="inlineStr">
        <is>
          <t>1</t>
        </is>
      </c>
      <c r="J4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รูปแบบการวิจัยทางคลินิก</t>
        </is>
      </c>
      <c r="M41" s="2" t="inlineStr">
        <is>
          <t>SAP</t>
        </is>
      </c>
      <c r="N41" s="2" t="inlineStr">
        <is>
          <t>ข้อ 3 (PLE_CC1_2533.md)</t>
        </is>
      </c>
      <c r="O41" s="2" t="inlineStr">
        <is>
          <t>ข้อสอบจริง</t>
        </is>
      </c>
      <c r="P41" s="2" t="inlineStr">
        <is>
          <t>ปี 2533</t>
        </is>
      </c>
    </row>
    <row r="42" ht="13.2" customHeight="1" s="37">
      <c r="A42" s="8" t="inlineStr">
        <is>
          <t>40</t>
        </is>
      </c>
      <c r="B42" s="2" t="inlineStr">
        <is>
          <t>Nested case-control studies</t>
        </is>
      </c>
      <c r="C42" s="2" t="n"/>
      <c r="D42" s="2" t="inlineStr">
        <is>
          <t>Randomized Controlled Trial (Double-blind RCT)</t>
        </is>
      </c>
      <c r="E42" s="2" t="inlineStr">
        <is>
          <t>Prospective Cohort Study (Relative Risk: RR)</t>
        </is>
      </c>
      <c r="F42" s="2" t="inlineStr">
        <is>
          <t>Case-Control Study (Odds Ratio: OR)</t>
        </is>
      </c>
      <c r="G42" s="2" t="inlineStr">
        <is>
          <t>Cross-Sectional Survey Prevalence Study</t>
        </is>
      </c>
      <c r="H42" s="2" t="inlineStr">
        <is>
          <t>Cost-Effectiveness Analysis (Incremental Cost-Effectiveness Ratio: ICER)</t>
        </is>
      </c>
      <c r="I42" s="8" t="inlineStr">
        <is>
          <t>1</t>
        </is>
      </c>
      <c r="J4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รูปแบบการวิจัยทางคลินิก</t>
        </is>
      </c>
      <c r="M42" s="2" t="inlineStr">
        <is>
          <t>SAP</t>
        </is>
      </c>
      <c r="N42" s="2" t="inlineStr">
        <is>
          <t>ข้อ 4 (PLE_CC1_2533.md)</t>
        </is>
      </c>
      <c r="O42" s="2" t="inlineStr">
        <is>
          <t>ข้อสอบจริง</t>
        </is>
      </c>
      <c r="P42" s="2" t="inlineStr">
        <is>
          <t>ปี 2533</t>
        </is>
      </c>
    </row>
    <row r="43" ht="13.2" customHeight="1" s="37">
      <c r="A43" s="8" t="inlineStr">
        <is>
          <t>41</t>
        </is>
      </c>
      <c r="B43" s="2" t="inlineStr">
        <is>
          <t>จากข้อ 9 พบว่า odds ratio ของผู้ที่มีประวัติการมีเพศสัมพันธ์มาก่อนเทียบกับผู้ที่ไม่มีเพศสัมพันธ์มาก่อนเท่ากับ</t>
        </is>
      </c>
      <c r="C43" s="2" t="n"/>
      <c r="D43" s="2" t="inlineStr">
        <is>
          <t>8 (95% CI 2.4-9.8) หมายความว่าอย่างไร โรคระบบประสาท (Parkinson) สถานการณ์</t>
        </is>
      </c>
      <c r="E43" s="2" t="inlineStr">
        <is>
          <t>Cost-Effectiveness Analysis (Incremental Cost-Effectiveness Ratio: ICER)</t>
        </is>
      </c>
      <c r="F43" s="2" t="inlineStr">
        <is>
          <t>Cost-Utility Analysis (Quality-Adjusted Life Years: QALY)</t>
        </is>
      </c>
      <c r="G43" s="2" t="inlineStr">
        <is>
          <t>Cost-Benefit Analysis (Net Monetary Benefit)</t>
        </is>
      </c>
      <c r="H43" s="2" t="inlineStr">
        <is>
          <t>Cost-Minimization Analysis (CMA)</t>
        </is>
      </c>
      <c r="I43" s="8" t="inlineStr">
        <is>
          <t>1</t>
        </is>
      </c>
      <c r="J43" s="2" t="inlineStr">
        <is>
          <t>✅ คำตอบที่ถูกต้อง: ข้อ ก. 8 (95% CI 2.4-9.8) หมายความว่าอย่างไร โรคระบบประสาท (Parkinson) สถานการณ์
💡 Background:
การประเมินหลักฐานเชิงประจักษ์ (Evidence-Based Practice) อาศัย study design, statistical parameters (p-value, 95% CI, RR/OR) เพื่อการตัดสินใจอย่างแม่นยำ
🎯 ทำไมข้อนี้ถึงถูก:
8 (95% CI 2.4-9.8) หมายความว่าอย่างไร โรคระบบประสาท (Parkinson) สถานการณ์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1 ผู้ที่มีประวัติเพศสัมพันธ์มาก่อนมีโอกาสติดเชื้อ HIV-1 ไม่แตกต่างกับผู้ที่ไม่มีประวัติเพศสัมพันธ์มาก่อน 2 ผู้ที่มีประวัติเพศสัมพันธ์มาก่อนมีโอกาสติดเชื้อ HIV-1สูงกว่าผู้ที่ไม่มีประวัติเพศสัมพันธ์มาก่อนอยู่ 1.2 เท่า 3 ผู้ที่มีประวัติเพศสัมพันธ์มาก่อนมีโอกาสติดเชื้อ HIV-1สูงกว่าผู้ที่ไม่มีประวัติเพศสัมพันธ์มาก่อนอยู่ 2.4 เท่า 4 ผู้ที่มีประวัติเพศสัมพันธ์มาก่อนมีโอกาสติดเชื้อ HIV-1สูงกว่าผู้ที่ไม่มีประวัติเพศสัมพันธ์มาก่อนอยู่ 4.8 เท่า
🔍 ข้ออื่นผิดเพราะอะไร:
• ข้อ ข. (Cost-Effectiveness Analysis (Incremental Cost-Effectiveness Ratio: ICER)): ข้อนี้ไม่ใช่คำตอบที่ถูกต้องสำหรับภาวะ สถิติวิเคราะห์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สถิติวิเคราะห์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สถิติวิเคราะห์ เนื่องจากกลไกการออกฤทธิ์, efficacy หรือข้อบ่งใช้ไม่ตรงกับโจทย์ที่กำหนด
• ข้อ จ. (Cost-Minimization Analysis (CMA)):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สถิติวิเคราะห์</t>
        </is>
      </c>
      <c r="M43" s="2" t="inlineStr">
        <is>
          <t>SAP</t>
        </is>
      </c>
      <c r="N43" s="2" t="inlineStr">
        <is>
          <t>ข้อ 10 (PLE_CC1_2533.md)</t>
        </is>
      </c>
      <c r="O43" s="2" t="inlineStr">
        <is>
          <t>ข้อสอบจริง</t>
        </is>
      </c>
      <c r="P43" s="2" t="inlineStr">
        <is>
          <t>ปี 2533</t>
        </is>
      </c>
    </row>
    <row r="44" ht="13.2" customHeight="1" s="37">
      <c r="A44" s="8" t="inlineStr">
        <is>
          <t>42</t>
        </is>
      </c>
      <c r="B44" s="2" t="inlineStr">
        <is>
          <t>ระเบียบวิจัยและสถิติ 384 390</t>
        </is>
      </c>
      <c r="C44" s="2" t="n"/>
      <c r="D44" s="2" t="inlineStr">
        <is>
          <t>Cost-Benefit Analysis (Net Monetary Benefit)</t>
        </is>
      </c>
      <c r="E44" s="2" t="inlineStr">
        <is>
          <t>Cost-Minimization Analysis (CMA)</t>
        </is>
      </c>
      <c r="F44" s="2" t="inlineStr">
        <is>
          <t>Student t-test for comparing two independent means</t>
        </is>
      </c>
      <c r="G44" s="2" t="inlineStr">
        <is>
          <t>Chi-Square Test for Categorical Independence (p &lt; 0.05)</t>
        </is>
      </c>
      <c r="H44" s="2" t="inlineStr">
        <is>
          <t>Randomized Controlled Trial (Double-blind RCT)</t>
        </is>
      </c>
      <c r="I44" s="8" t="inlineStr">
        <is>
          <t>5</t>
        </is>
      </c>
      <c r="J44" s="2" t="inlineStr">
        <is>
          <t>✅ คำตอบที่ถูกต้อง: ข้อ จ.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ข.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รูปแบบการวิจัยทางคลินิก</t>
        </is>
      </c>
      <c r="M44" s="2" t="inlineStr">
        <is>
          <t>SAP</t>
        </is>
      </c>
      <c r="N44" s="2" t="inlineStr">
        <is>
          <t>ข้อ 19 (PLE_CC1_Practice_Exam.md)</t>
        </is>
      </c>
      <c r="O44" s="2" t="inlineStr">
        <is>
          <t>Mock</t>
        </is>
      </c>
      <c r="P44" s="2" t="inlineStr">
        <is>
          <t>Mock สภาเภสัชฯ Practice</t>
        </is>
      </c>
    </row>
    <row r="45" ht="13.2" customHeight="1" s="37">
      <c r="A45" s="8" t="inlineStr">
        <is>
          <t>43</t>
        </is>
      </c>
      <c r="B45" s="2" t="inlineStr">
        <is>
          <t>ข้อใดบ่งบอกว่าผู้ป่วยรายนี้เป็น Myocardial Infarction</t>
        </is>
      </c>
      <c r="C45" s="2" t="n"/>
      <c r="D45" s="2" t="inlineStr">
        <is>
          <t>อาการเจ็บร้าวไปที่แขน ไหล่ หลัง</t>
        </is>
      </c>
      <c r="E45" s="2" t="inlineStr">
        <is>
          <t>ตรวจพบ Cardiac enzymes ในกระแสเลือด</t>
        </is>
      </c>
      <c r="F45" s="2" t="inlineStr">
        <is>
          <t>มีค่า Ejection fraction ลดลง</t>
        </is>
      </c>
      <c r="G45" s="2" t="inlineStr">
        <is>
          <t>มีอาการเจ็บเค้นหน้าอกเฉียบพลันขณะพัก</t>
        </is>
      </c>
      <c r="H45" s="2" t="inlineStr">
        <is>
          <t>มีอาการเจ็บเค้นหน้าอกมากกว่า 5 นาที</t>
        </is>
      </c>
      <c r="I45" s="8" t="inlineStr">
        <is>
          <t>1</t>
        </is>
      </c>
      <c r="J45" s="2" t="inlineStr">
        <is>
          <t>✅ คำตอบที่ถูกต้อง: ข้อ ก. อาการเจ็บร้าวไปที่แขน ไหล่ หลัง
💡 Background:
การประเมินหลักฐานเชิงประจักษ์ (Evidence-Based Practice) อาศัย study design, statistical parameters (p-value, 95% CI, RR/OR) เพื่อการตัดสินใจอย่างแม่นยำ
🎯 ทำไมข้อนี้ถึงถูก:
อาการเจ็บร้าวไปที่แขน ไหล่ หลัง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อาการเจ็บร้าวไปที่แขน ไหล่ หลัง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(ตรวจพบ Cardiac enzymes ในกระแสเลือด):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(มีค่า Ejection fraction ลดลง): วัคซีนไข้สมองอักเสบเจอี ชนิดเชื้อเป็น (Live attenuated CD.JEV) ให้ 2 เข็ม ที่อายุ 9-12 เดือน และเข็ม 2 ห่างกัน 3-12 เดือน
• ข้อ ง. (มีอาการเจ็บเค้นหน้าอกเฉียบพลันขณะพัก):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(มีอาการเจ็บเค้นหน้าอกมากกว่า 5 นาที):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รูปแบบการวิจัยทางคลินิก</t>
        </is>
      </c>
      <c r="M45" s="2" t="inlineStr">
        <is>
          <t>SAP</t>
        </is>
      </c>
      <c r="N45" s="2" t="inlineStr">
        <is>
          <t>ข้อ 6 (PLE_CC1_Practice_Exam.md)</t>
        </is>
      </c>
      <c r="O45" s="2" t="inlineStr">
        <is>
          <t>Mock</t>
        </is>
      </c>
      <c r="P45" s="2" t="inlineStr">
        <is>
          <t>Mock สภาเภสัชฯ Practice</t>
        </is>
      </c>
    </row>
    <row r="46" ht="13.2" customHeight="1" s="37">
      <c r="A46" s="8" t="inlineStr">
        <is>
          <t>44</t>
        </is>
      </c>
      <c r="B46" s="2" t="inlineStr">
        <is>
          <t>ผู้ป่วยชายอายุ 42 ปี มีโรคประจำตัวคือ Myocardial infarction (MI) ถูกวินิจฉัยว่าเป็น Depression disorder ผู้ป่วยควรได้รับการรักษาด้วยยาใด จึงจะเหมาะสมที่สุดสำหรับผู้ป่วยรายนี้</t>
        </is>
      </c>
      <c r="C46" s="2" t="n"/>
      <c r="D46" s="2" t="inlineStr">
        <is>
          <t>Case-Control Study (Odds Ratio: OR)</t>
        </is>
      </c>
      <c r="E46" s="2" t="inlineStr">
        <is>
          <t>Cross-Sectional Survey Prevalence Study</t>
        </is>
      </c>
      <c r="F46" s="2" t="inlineStr">
        <is>
          <t>Cost-Effectiveness Analysis (Incremental Cost-Effectiveness Ratio: ICER)</t>
        </is>
      </c>
      <c r="G46" s="2" t="inlineStr">
        <is>
          <t>Cost-Utility Analysis (Quality-Adjusted Life Years: QALY)</t>
        </is>
      </c>
      <c r="H46" s="2" t="inlineStr">
        <is>
          <t>Cost-Benefit Analysis (Net Monetary Benefit)</t>
        </is>
      </c>
      <c r="I46" s="8" t="inlineStr">
        <is>
          <t>1</t>
        </is>
      </c>
      <c r="J4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รูปแบบการวิจัยทางคลินิก</t>
        </is>
      </c>
      <c r="M46" s="2" t="inlineStr">
        <is>
          <t>SAP</t>
        </is>
      </c>
      <c r="N46" s="2" t="inlineStr">
        <is>
          <t>ข้อ 40 (PLE_CC1_Practice_Exam.md)</t>
        </is>
      </c>
      <c r="O46" s="2" t="inlineStr">
        <is>
          <t>Mock</t>
        </is>
      </c>
      <c r="P46" s="2" t="inlineStr">
        <is>
          <t>Mock สภาเภสัชฯ Practice</t>
        </is>
      </c>
    </row>
    <row r="47" ht="13.2" customHeight="1" s="37">
      <c r="A47" s="8" t="inlineStr">
        <is>
          <t>45</t>
        </is>
      </c>
      <c r="B47" s="2" t="inlineStr">
        <is>
          <t>ระเบียบวิจัยและสถิติ โดย ฝ่ายวิชาการและนักศึกษาชั้นป๊ที่ 4 คณะเภสัชศาสตร์ มหาวิทยาลัยเชียงใหม่ ป๊การศึกษา 2560</t>
        </is>
      </c>
      <c r="C47" s="2" t="n"/>
      <c r="D47" s="2" t="inlineStr">
        <is>
          <t>Cost-Utility Analysis (Quality-Adjusted Life Years: QALY)</t>
        </is>
      </c>
      <c r="E47" s="2" t="inlineStr">
        <is>
          <t>Cost-Benefit Analysis (Net Monetary Benefit)</t>
        </is>
      </c>
      <c r="F47" s="2" t="inlineStr">
        <is>
          <t>Cost-Minimization Analysis (CMA)</t>
        </is>
      </c>
      <c r="G47" s="2" t="inlineStr">
        <is>
          <t>Student t-test for comparing two independent means</t>
        </is>
      </c>
      <c r="H47" s="2" t="inlineStr">
        <is>
          <t>Chi-Square Test for Categorical Independence (p &lt; 0.05)</t>
        </is>
      </c>
      <c r="I47" s="8" t="inlineStr">
        <is>
          <t>1</t>
        </is>
      </c>
      <c r="J4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รูปแบบการวิจัยทางคลินิก</t>
        </is>
      </c>
      <c r="M47" s="2" t="inlineStr">
        <is>
          <t>SAP</t>
        </is>
      </c>
      <c r="N47" s="2" t="inlineStr">
        <is>
          <t>ข้อ 19 (PLE_CC1_Practice_Exam.md)</t>
        </is>
      </c>
      <c r="O47" s="2" t="inlineStr">
        <is>
          <t>Mock</t>
        </is>
      </c>
      <c r="P47" s="2" t="inlineStr">
        <is>
          <t>Mock สภาเภสัชฯ Practice</t>
        </is>
      </c>
    </row>
    <row r="48" ht="13.2" customHeight="1" s="37">
      <c r="A48" s="8" t="inlineStr">
        <is>
          <t>46</t>
        </is>
      </c>
      <c r="B48" s="2" t="inlineStr">
        <is>
          <t>การศึกษาเพื่อหาความสัมพันธ์ระหว่างการเกิด eczema และระดับของ vitamin D ผู้วิจัยนำผู้ที่เกิด eczema มา 500 ราย และผู้ที่ไม่เกิด eczema มาจำนวนเท่ากัน สัมภาษณ์ปริมาณอาหารที่ รับประทาน วิตามินที่ได้รับและตรวจเลือดหาปริมาณวิตามิน D ในวันเดียวกับที่วินิจฉัยว่าเป็นหรือไม่ เป็น eczema นำเสนอ 95%CI และ p value งานวิจัยดังกล่าวมีรูปแบบการศึกษาแบบใด</t>
        </is>
      </c>
      <c r="C48" s="2" t="n"/>
      <c r="D48" s="2" t="inlineStr">
        <is>
          <t>Cross-sectional descriptive study</t>
        </is>
      </c>
      <c r="E48" s="2" t="inlineStr">
        <is>
          <t>Cross-sectional analytical study</t>
        </is>
      </c>
      <c r="F48" s="2" t="inlineStr">
        <is>
          <t>Cohort study</t>
        </is>
      </c>
      <c r="G48" s="2" t="inlineStr">
        <is>
          <t>Case control</t>
        </is>
      </c>
      <c r="H48" s="2" t="inlineStr">
        <is>
          <t>RCT</t>
        </is>
      </c>
      <c r="I48" s="8" t="inlineStr">
        <is>
          <t>1</t>
        </is>
      </c>
      <c r="J48"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(Cohort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รูปแบบการวิจัยทางคลินิก</t>
        </is>
      </c>
      <c r="M48" s="2" t="inlineStr">
        <is>
          <t>SAP</t>
        </is>
      </c>
      <c r="N48" s="2" t="inlineStr">
        <is>
          <t>ข้อ 1 (PLE_CC1_Practice_Exam.md)</t>
        </is>
      </c>
      <c r="O48" s="2" t="inlineStr">
        <is>
          <t>Mock</t>
        </is>
      </c>
      <c r="P48" s="2" t="inlineStr">
        <is>
          <t>Mock สภาเภสัชฯ Practice</t>
        </is>
      </c>
    </row>
    <row r="49" ht="13.2" customHeight="1" s="37">
      <c r="A49" s="8" t="inlineStr">
        <is>
          <t>47</t>
        </is>
      </c>
      <c r="B49" s="2" t="inlineStr">
        <is>
          <t>การศึกษาเพื่อหาความสัมพันธ์ระหว่างการดื่มกาแฟและอัตราการตาย ผู้วิจัยเก็บข้อมูลย้อนหลังจาก ฐานข้อมูลการดื่มกาแฟหลายแห่ง ในปี 2000-2001 ติดตามอัตราการตายจนถึงวันที่ 31 ธันวาคม 2008 งานวิจัยดังกล่าวมีรูปแบบการศึกษาแบบใด</t>
        </is>
      </c>
      <c r="C49" s="2" t="n"/>
      <c r="D49" s="2" t="inlineStr">
        <is>
          <t>Cross-sectional descriptive study</t>
        </is>
      </c>
      <c r="E49" s="2" t="inlineStr">
        <is>
          <t>Cross-sectional analytical study</t>
        </is>
      </c>
      <c r="F49" s="2" t="inlineStr">
        <is>
          <t>Retrospective cohort study</t>
        </is>
      </c>
      <c r="G49" s="2" t="inlineStr">
        <is>
          <t>Prospective case control</t>
        </is>
      </c>
      <c r="H49" s="2" t="inlineStr">
        <is>
          <t>Randomized controlled trial</t>
        </is>
      </c>
      <c r="I49" s="8" t="inlineStr">
        <is>
          <t>1</t>
        </is>
      </c>
      <c r="J49"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(Retrospective cohort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(Prospective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(Randomized controlled trial):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รูปแบบการวิจัยทางคลินิก</t>
        </is>
      </c>
      <c r="M49" s="2" t="inlineStr">
        <is>
          <t>SAP</t>
        </is>
      </c>
      <c r="N49" s="2" t="inlineStr">
        <is>
          <t>ข้อ 2 (PLE_CC1_Practice_Exam.md)</t>
        </is>
      </c>
      <c r="O49" s="2" t="inlineStr">
        <is>
          <t>Mock</t>
        </is>
      </c>
      <c r="P49" s="2" t="inlineStr">
        <is>
          <t>Mock สภาเภสัชฯ Practice</t>
        </is>
      </c>
    </row>
    <row r="50" ht="13.2" customHeight="1" s="37">
      <c r="A50" s="8" t="inlineStr">
        <is>
          <t>48</t>
        </is>
      </c>
      <c r="B50" s="2" t="inlineStr">
        <is>
          <t>หากคุณเป็นเภสัชกรในโรงพยาบาลฝ่ายจัดซื้อ และต้องวางแผนนำยาตัวหนึ่งเข้าโรงพยาบาล คุณจะ เลือกรูปแบบงานวิจัยแบบใดมาสนับสนุนยื่นขออนุมัตินำยาเข้าโรงพยาบาล</t>
        </is>
      </c>
      <c r="C50" s="2" t="n"/>
      <c r="D50" s="2" t="inlineStr">
        <is>
          <t>Meta-analysis , RCT</t>
        </is>
      </c>
      <c r="E50" s="2" t="inlineStr">
        <is>
          <t>Meta-analysis , Case control</t>
        </is>
      </c>
      <c r="F50" s="2" t="inlineStr">
        <is>
          <t>RCT , Cohort</t>
        </is>
      </c>
      <c r="G50" s="2" t="inlineStr">
        <is>
          <t>Cohort , Case control</t>
        </is>
      </c>
      <c r="H50" s="2" t="inlineStr">
        <is>
          <t>Cohort , Case series</t>
        </is>
      </c>
      <c r="I50" s="8" t="inlineStr">
        <is>
          <t>1</t>
        </is>
      </c>
      <c r="J50" s="2" t="inlineStr">
        <is>
          <t>✅ คำตอบที่ถูกต้อง: ข้อ ก. Meta-analysis , RCT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Meta-analysis ,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(Meta-analysis ,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(RCT , Cohort):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(Cohort , Case control):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(Cohort , Case series):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รูปแบบการวิจัยทางคลินิก</t>
        </is>
      </c>
      <c r="M50" s="2" t="inlineStr">
        <is>
          <t>SAP</t>
        </is>
      </c>
      <c r="N50" s="2" t="inlineStr">
        <is>
          <t>ข้อ 6 (PLE_CC1_Practice_Exam.md)</t>
        </is>
      </c>
      <c r="O50" s="2" t="inlineStr">
        <is>
          <t>Mock</t>
        </is>
      </c>
      <c r="P50" s="2" t="inlineStr">
        <is>
          <t>Mock สภาเภสัชฯ Practice</t>
        </is>
      </c>
    </row>
    <row r="51" ht="13.2" customHeight="1" s="37">
      <c r="A51" s="8" t="inlineStr">
        <is>
          <t>49</t>
        </is>
      </c>
      <c r="B51" s="2" t="inlineStr">
        <is>
          <t>.ถ้าอยากหาความสัมพันธ์ระหว่างไมเกรนกับปัจจัยความเครียด ควรเลือกใช้สถิติใด</t>
        </is>
      </c>
      <c r="C51" s="2" t="n"/>
      <c r="D51" s="2" t="inlineStr">
        <is>
          <t>Chi square test</t>
        </is>
      </c>
      <c r="E51" s="2" t="inlineStr">
        <is>
          <t>T-test</t>
        </is>
      </c>
      <c r="F51" s="2" t="inlineStr">
        <is>
          <t>ANOVA</t>
        </is>
      </c>
      <c r="G51" s="2" t="inlineStr">
        <is>
          <t>Correlation</t>
        </is>
      </c>
      <c r="H51" s="2" t="inlineStr">
        <is>
          <t>Regression</t>
        </is>
      </c>
      <c r="I51" s="8" t="inlineStr">
        <is>
          <t>1</t>
        </is>
      </c>
      <c r="J51" s="2" t="inlineStr">
        <is>
          <t>✅ คำตอบที่ถูกต้อง: ข้อ ก. Chi 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 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 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(Regression):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รูปแบบการวิจัยทางคลินิก</t>
        </is>
      </c>
      <c r="M51" s="2" t="inlineStr">
        <is>
          <t>SAP</t>
        </is>
      </c>
      <c r="N51" s="2" t="inlineStr">
        <is>
          <t>ข้อ 10 (PLE_CC1_Practice_Exam.md)</t>
        </is>
      </c>
      <c r="O51" s="2" t="inlineStr">
        <is>
          <t>Mock</t>
        </is>
      </c>
      <c r="P51" s="2" t="inlineStr">
        <is>
          <t>Mock สภาเภสัชฯ Practice</t>
        </is>
      </c>
    </row>
    <row r="52" ht="13.2" customHeight="1" s="37">
      <c r="A52" s="8" t="inlineStr">
        <is>
          <t>50</t>
        </is>
      </c>
      <c r="B52" s="2" t="inlineStr">
        <is>
          <t>‘ความพึงพอใจหรือไม่พอใจของอาสาสมัครต่อการใช้ครีมทาส้นเท้าแตก 3 ชนิด มีความแตกต่างกัน หรือไม่’ จากข้อความข้างต้นควรเลือกใช้สถิติใดที่เหมาะสมที่สุด</t>
        </is>
      </c>
      <c r="C52" s="2" t="n"/>
      <c r="D52" s="2" t="inlineStr">
        <is>
          <t>Unpaired t-test</t>
        </is>
      </c>
      <c r="E52" s="2" t="inlineStr">
        <is>
          <t>Paired t-test</t>
        </is>
      </c>
      <c r="F52" s="2" t="inlineStr">
        <is>
          <t>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2" s="2" t="inlineStr">
        <is>
          <t>Analysis of variance</t>
        </is>
      </c>
      <c r="H52" s="2" t="inlineStr">
        <is>
          <t>Correlation</t>
        </is>
      </c>
      <c r="I52" s="8" t="inlineStr">
        <is>
          <t>1</t>
        </is>
      </c>
      <c r="J52"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(Analysis of variance):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รูปแบบการวิจัยทางคลินิก</t>
        </is>
      </c>
      <c r="M52" s="2" t="inlineStr">
        <is>
          <t>SAP</t>
        </is>
      </c>
      <c r="N52" s="2" t="inlineStr">
        <is>
          <t>ข้อ 11 (PLE_CC1_Practice_Exam.md)</t>
        </is>
      </c>
      <c r="O52" s="2" t="inlineStr">
        <is>
          <t>Mock</t>
        </is>
      </c>
      <c r="P52" s="2" t="inlineStr">
        <is>
          <t>Mock สภาเภสัชฯ Practice</t>
        </is>
      </c>
    </row>
    <row r="53" ht="13.2" customHeight="1" s="37">
      <c r="A53" s="8" t="inlineStr">
        <is>
          <t>51</t>
        </is>
      </c>
      <c r="B53" s="2" t="inlineStr">
        <is>
          <t>‘คะแนนความพึงพอใจการใช้ตำรับเจลลดเลือนริ้วรอย 2 สูตร คือ สูตร A และสูตร B แตกต่างกัน หรือไม่ โดยแยกทดสอบในกลุ่มวัยรุ่นจำนวน 2 กลุ่ม’ จากข้อความข้างต้นควรเลือกใช้สถิติใดที่ เหมาะสมที่สุด</t>
        </is>
      </c>
      <c r="C53" s="2" t="n"/>
      <c r="D53" s="2" t="inlineStr">
        <is>
          <t>Unpaired t-test</t>
        </is>
      </c>
      <c r="E53" s="2" t="inlineStr">
        <is>
          <t>Paired t-test</t>
        </is>
      </c>
      <c r="F53" s="2" t="inlineStr">
        <is>
          <t>Chi-square test</t>
        </is>
      </c>
      <c r="G53" s="2" t="inlineStr">
        <is>
          <t>Analysis of variance</t>
        </is>
      </c>
      <c r="H53" s="2" t="inlineStr">
        <is>
          <t>Correlation</t>
        </is>
      </c>
      <c r="I53" s="8" t="inlineStr">
        <is>
          <t>1</t>
        </is>
      </c>
      <c r="J53"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(Analysis of variance):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รูปแบบการวิจัยทางคลินิก</t>
        </is>
      </c>
      <c r="M53" s="2" t="inlineStr">
        <is>
          <t>SAP</t>
        </is>
      </c>
      <c r="N53" s="2" t="inlineStr">
        <is>
          <t>ข้อ 12 (PLE_CC1_Practice_Exam.md)</t>
        </is>
      </c>
      <c r="O53" s="2" t="inlineStr">
        <is>
          <t>Mock</t>
        </is>
      </c>
      <c r="P53" s="2" t="inlineStr">
        <is>
          <t>Mock สภาเภสัชฯ Practice</t>
        </is>
      </c>
    </row>
    <row r="54" ht="13.2" customHeight="1" s="37">
      <c r="A54" s="8" t="inlineStr">
        <is>
          <t>52</t>
        </is>
      </c>
      <c r="B54" s="2" t="inlineStr">
        <is>
          <t>‘ขนาดผื่นที่เกิดจากการใช้ครีมทาผิว 2 ชนิด ที่สุ่มทาแขนซ้ายและขวาเทียบกัน แตกต่างกันหรือไม่’ จากข้อความข้างต้นควรเลือกใช้สถิติใดที่เหมาะสมที่สุด</t>
        </is>
      </c>
      <c r="C54" s="2" t="n"/>
      <c r="D54" s="2" t="inlineStr">
        <is>
          <t>Unpaired t-test</t>
        </is>
      </c>
      <c r="E54" s="2" t="inlineStr">
        <is>
          <t>Paired t-test</t>
        </is>
      </c>
      <c r="F54" s="2" t="inlineStr">
        <is>
          <t>Chi-square test</t>
        </is>
      </c>
      <c r="G54" s="2" t="inlineStr">
        <is>
          <t>Analysis of variance</t>
        </is>
      </c>
      <c r="H54" s="2" t="inlineStr">
        <is>
          <t>Correlation</t>
        </is>
      </c>
      <c r="I54" s="8" t="inlineStr">
        <is>
          <t>1</t>
        </is>
      </c>
      <c r="J54"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(Analysis of variance):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รูปแบบการวิจัยทางคลินิก</t>
        </is>
      </c>
      <c r="M54" s="2" t="inlineStr">
        <is>
          <t>SAP</t>
        </is>
      </c>
      <c r="N54" s="2" t="inlineStr">
        <is>
          <t>ข้อ 13 (PLE_CC1_Practice_Exam.md)</t>
        </is>
      </c>
      <c r="O54" s="2" t="inlineStr">
        <is>
          <t>Mock</t>
        </is>
      </c>
      <c r="P54" s="2" t="inlineStr">
        <is>
          <t>Mock สภาเภสัชฯ Practice</t>
        </is>
      </c>
    </row>
    <row r="55" ht="13.2" customHeight="1" s="37">
      <c r="A55" s="8" t="inlineStr">
        <is>
          <t>53</t>
        </is>
      </c>
      <c r="B55" s="2" t="inlineStr">
        <is>
          <t>‘ระยะเวลาในการแตกตัวของยา Paracetamol ที่ได้จาก lot เดียวกัน ใน medium ที่ต่างกัน 3 ชนิด แตกต่างกันหรือไม่’ จากข้อความข้างต้นควรเลือกใช้สถิติใดที่เหมาะสมที่สุด</t>
        </is>
      </c>
      <c r="C55" s="2" t="n"/>
      <c r="D55" s="2" t="inlineStr">
        <is>
          <t>Unpaired t-test</t>
        </is>
      </c>
      <c r="E55" s="2" t="inlineStr">
        <is>
          <t>Paired t-test</t>
        </is>
      </c>
      <c r="F55" s="2" t="inlineStr">
        <is>
          <t>Chi-square test</t>
        </is>
      </c>
      <c r="G55" s="2" t="inlineStr">
        <is>
          <t>One-way ANOVA</t>
        </is>
      </c>
      <c r="H55" s="2" t="inlineStr">
        <is>
          <t>Correlation</t>
        </is>
      </c>
      <c r="I55" s="8" t="inlineStr">
        <is>
          <t>1</t>
        </is>
      </c>
      <c r="J55"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(One-way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รูปแบบการวิจัยทางคลินิก</t>
        </is>
      </c>
      <c r="M55" s="2" t="inlineStr">
        <is>
          <t>SAP</t>
        </is>
      </c>
      <c r="N55" s="2" t="inlineStr">
        <is>
          <t>ข้อ 14 (PLE_CC1_Practice_Exam.md)</t>
        </is>
      </c>
      <c r="O55" s="2" t="inlineStr">
        <is>
          <t>Mock</t>
        </is>
      </c>
      <c r="P55" s="2" t="inlineStr">
        <is>
          <t>Mock สภาเภสัชฯ Practice</t>
        </is>
      </c>
    </row>
    <row r="56" ht="13.2" customHeight="1" s="37">
      <c r="A56" s="8" t="inlineStr">
        <is>
          <t>54</t>
        </is>
      </c>
      <c r="B56" s="2" t="inlineStr">
        <is>
          <t>‘การใช้ปริมาณ Lanolin (3,4,10%) และปริมาณ Emulsifier (10,20%) ในครีมลดข้อศอกแตก มี ผลต่อคะแนนความพึงพอใจของอาสาสมัครหรือไม่’ จากข้อความข้างต้นควรเลือกใช้สถิติใดที่ เหมาะสมที่สุด</t>
        </is>
      </c>
      <c r="C56" s="2" t="n"/>
      <c r="D56" s="2" t="inlineStr">
        <is>
          <t>Unpaired t-test</t>
        </is>
      </c>
      <c r="E56" s="2" t="inlineStr">
        <is>
          <t>Paired t-test</t>
        </is>
      </c>
      <c r="F56" s="2" t="inlineStr">
        <is>
          <t>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6" s="2" t="inlineStr">
        <is>
          <t>One-way ANOVA</t>
        </is>
      </c>
      <c r="H56" s="2" t="inlineStr">
        <is>
          <t>Two-way ANOVA</t>
        </is>
      </c>
      <c r="I56" s="8" t="inlineStr">
        <is>
          <t>1</t>
        </is>
      </c>
      <c r="J56"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(One-way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(Two-way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รูปแบบการวิจัยทางคลินิก</t>
        </is>
      </c>
      <c r="M56" s="2" t="inlineStr">
        <is>
          <t>SAP</t>
        </is>
      </c>
      <c r="N56" s="2" t="inlineStr">
        <is>
          <t>ข้อ 15 (PLE_CC1_Practice_Exam.md)</t>
        </is>
      </c>
      <c r="O56" s="2" t="inlineStr">
        <is>
          <t>Mock</t>
        </is>
      </c>
      <c r="P56" s="2" t="inlineStr">
        <is>
          <t>Mock สภาเภสัชฯ Practice</t>
        </is>
      </c>
    </row>
    <row r="57" ht="13.2" customHeight="1" s="37">
      <c r="A57" s="8" t="inlineStr">
        <is>
          <t>55</t>
        </is>
      </c>
      <c r="B57" s="2" t="inlineStr">
        <is>
          <t>‘เม็ดยาที่เสียหรือไม่เสียสภาพหลังจากการผลิตใน lot หนึ่ง มีความสัมพันธ์กับชนิดของเครื่องตอกยา เม็ดหรือไม่’ จากข้อความข้างต้นควรเลือกใช้สถิติใดที่เหมาะสมที่สุด</t>
        </is>
      </c>
      <c r="C57" s="2" t="n"/>
      <c r="D57" s="2" t="inlineStr">
        <is>
          <t>Unpaired t-test</t>
        </is>
      </c>
      <c r="E57" s="2" t="inlineStr">
        <is>
          <t>Paired t-test</t>
        </is>
      </c>
      <c r="F57" s="2" t="inlineStr">
        <is>
          <t>Chi-square test</t>
        </is>
      </c>
      <c r="G57" s="2" t="inlineStr">
        <is>
          <t>One-way ANOVA</t>
        </is>
      </c>
      <c r="H57" s="2" t="inlineStr">
        <is>
          <t>Two-way ANOVA</t>
        </is>
      </c>
      <c r="I57" s="8" t="inlineStr">
        <is>
          <t>1</t>
        </is>
      </c>
      <c r="J57"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(One-way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(Two-way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รูปแบบการวิจัยทางคลินิก</t>
        </is>
      </c>
      <c r="M57" s="2" t="inlineStr">
        <is>
          <t>SAP</t>
        </is>
      </c>
      <c r="N57" s="2" t="inlineStr">
        <is>
          <t>ข้อ 16 (PLE_CC1_Practice_Exam.md)</t>
        </is>
      </c>
      <c r="O57" s="2" t="inlineStr">
        <is>
          <t>Mock</t>
        </is>
      </c>
      <c r="P57" s="2" t="inlineStr">
        <is>
          <t>Mock สภาเภสัชฯ Practice</t>
        </is>
      </c>
    </row>
    <row r="58" ht="13.2" customHeight="1" s="37">
      <c r="A58" s="8" t="inlineStr">
        <is>
          <t>56</t>
        </is>
      </c>
      <c r="B58" s="2" t="inlineStr">
        <is>
          <t>การศึกษาการยับยั้งการเจริญเติบโตของเชื้อแบคทีเรียด้วยสารสกัดเปลือกทับทิม ในอาหารเลี้ยงเชื้อ โดยวัดจำนวนเชื้อแบคทีเรียก่อนการเติมสารสกัด แล้วเติมสารสกัดรอผลเป็นเวลา 7 วัน จึงวัดจำนวน เชื้อแบคทีเรีย ถ้าจะวิเคราะห์ว่าสารสกัดจากเปลือกทับทิมมีผลยับยั้งเชื้อแบคทีเรียหรือไม่ ท่านจะใช้ สถิติในข้อใดเพื่อวิเคราะห์ผลการทดลอง</t>
        </is>
      </c>
      <c r="C58" s="2" t="n"/>
      <c r="D58" s="2" t="inlineStr">
        <is>
          <t>Chi-square test</t>
        </is>
      </c>
      <c r="E58" s="2" t="inlineStr">
        <is>
          <t>Unpaired t-test</t>
        </is>
      </c>
      <c r="F58" s="2" t="inlineStr">
        <is>
          <t>Paired t-test 388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8" s="2" t="inlineStr">
        <is>
          <t>ANOVA</t>
        </is>
      </c>
      <c r="H58" s="2" t="inlineStr">
        <is>
          <t>Correlation</t>
        </is>
      </c>
      <c r="I58" s="8" t="inlineStr">
        <is>
          <t>1</t>
        </is>
      </c>
      <c r="J58" s="2" t="inlineStr">
        <is>
          <t>✅ คำตอบที่ถูกต้อง: ข้อ ก. Chi-square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(Unpaired t-test):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(Paired t-test 388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(ANOVA):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(Correlation):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รูปแบบการวิจัยทางคลินิก</t>
        </is>
      </c>
      <c r="M58" s="2" t="inlineStr">
        <is>
          <t>SAP</t>
        </is>
      </c>
      <c r="N58" s="2" t="inlineStr">
        <is>
          <t>ข้อ 18 (PLE_CC1_Practice_Exam.md)</t>
        </is>
      </c>
      <c r="O58" s="2" t="inlineStr">
        <is>
          <t>Mock</t>
        </is>
      </c>
      <c r="P58" s="2" t="inlineStr">
        <is>
          <t>Mock สภาเภสัชฯ Practice</t>
        </is>
      </c>
    </row>
    <row r="59" ht="13.2" customHeight="1" s="37">
      <c r="A59" s="8" t="inlineStr">
        <is>
          <t>57</t>
        </is>
      </c>
      <c r="B59" s="2" t="inlineStr">
        <is>
          <t>การทดสอบอาการข้างเคียงหลัก 2 อาการของยา Rizatriptan ในกลุ่มทดลอง 3 กลุ่มว่าต่างกันหรือไม่ ควรใช้สถิติใดในการวิเคราะห์</t>
        </is>
      </c>
      <c r="C59" s="2" t="n"/>
      <c r="D59" s="2" t="inlineStr">
        <is>
          <t>Unpaired t-test</t>
        </is>
      </c>
      <c r="E59" s="2" t="inlineStr">
        <is>
          <t>Paired t-test</t>
        </is>
      </c>
      <c r="F59" s="2" t="inlineStr">
        <is>
          <t>Chi-square test</t>
        </is>
      </c>
      <c r="G59" s="2" t="inlineStr">
        <is>
          <t>One way ANOVA</t>
        </is>
      </c>
      <c r="H59" s="2" t="inlineStr">
        <is>
          <t>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I59" s="8" t="inlineStr">
        <is>
          <t>5</t>
        </is>
      </c>
      <c r="J59" s="2" t="inlineStr">
        <is>
          <t xml:space="preserve">✅ คำตอบที่ถูกต้อง: ข้อ จ.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 Background:
การประเมินหลักฐานเชิงประจักษ์ (Evidence-Based Practice) อาศัย study design, statistical parameters (p-value, 95% CI, RR/OR) เพื่อการตัดสินใจอย่างแม่นยำ
🎯 ทำไมข้อนี้ถึงถูก: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 B และกลุ่ม Placebo มีมาตรวัดข้อมูลชนิด nominal ตัวแปรตาม คือ อุบัติการณ์ของการเกิด ADR คือ Dizziness และ Cough มีมาตรวัด ข้อมูลชนิด nominal เนื่องจากตัวแปรต้นและตัวแปรตามมีมาตรวัดข้อมูลชนิด nominal 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 efficacy 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 B และกลุ่ม Placebo มีมาตรวัดข้อมูลชนิด nominal ตัวแปรตาม คือ อุบัติการณ์ของการเกิด ADR คือ Dizziness และ Cough มีมาตรวัด ข้อมูลชนิด nominal เนื่องจากตัวแปรต้นและตัวแปรตามมีมาตรวัดข้อมูลชนิด nominal 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 efficacy 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t>
        </is>
      </c>
      <c r="K59" s="2" t="n"/>
      <c r="L59" s="2" t="inlineStr">
        <is>
          <t>รูปแบบการวิจัยทางคลินิก</t>
        </is>
      </c>
      <c r="M59" s="2" t="inlineStr">
        <is>
          <t>SAP</t>
        </is>
      </c>
      <c r="N59" s="2" t="inlineStr">
        <is>
          <t>ข้อ 20 (PLE_CC1_Practice_Exam.md)</t>
        </is>
      </c>
      <c r="O59" s="2" t="inlineStr">
        <is>
          <t>Mock</t>
        </is>
      </c>
      <c r="P59" s="2" t="inlineStr">
        <is>
          <t>Mock สภาเภสัชฯ Practice</t>
        </is>
      </c>
    </row>
    <row r="60" ht="13.2" customHeight="1" s="37">
      <c r="A60" s="8" t="inlineStr">
        <is>
          <t>58</t>
        </is>
      </c>
      <c r="B60" s="2" t="inlineStr">
        <is>
          <t>Peak plasma drug concentration (Cmax)</t>
        </is>
      </c>
      <c r="C60" s="2" t="n"/>
      <c r="D60" s="2" t="inlineStr">
        <is>
          <t>Cost-Effectiveness Analysis (Incremental Cost-Effectiveness Ratio: ICER)</t>
        </is>
      </c>
      <c r="E60" s="2" t="inlineStr">
        <is>
          <t>Cost-Utility Analysis (Quality-Adjusted Life Years: QALY)</t>
        </is>
      </c>
      <c r="F60" s="2" t="inlineStr">
        <is>
          <t>Cost-Benefit Analysis (Net Monetary Benefit)</t>
        </is>
      </c>
      <c r="G60" s="2" t="inlineStr">
        <is>
          <t>Cost-Minimization Analysis (CMA)</t>
        </is>
      </c>
      <c r="H60" s="2" t="inlineStr">
        <is>
          <t>Student t-test for comparing two independent means</t>
        </is>
      </c>
      <c r="I60" s="8" t="inlineStr">
        <is>
          <t>1</t>
        </is>
      </c>
      <c r="J6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 คำอธิบายและข้อกำหนดทางกฎหมาย:
การเลือก Cost-Effectiveness Analysis (Incremental Cost-Effectiveness Ratio: ICER)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(Cost-Utility Analysis (Quality-Adjusted Life Years: QALY)):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(Cost-Minimization Analysis (CMA)):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วิธีประเมินต้นทุนและประสิทธิผล</t>
        </is>
      </c>
      <c r="M60" s="2" t="inlineStr">
        <is>
          <t>SAP</t>
        </is>
      </c>
      <c r="N60" s="2" t="inlineStr">
        <is>
          <t>ข้อ 2 (PLE_CC1_Key_Rx20_UBU.md)</t>
        </is>
      </c>
      <c r="O60" s="2" t="inlineStr">
        <is>
          <t>Mock</t>
        </is>
      </c>
      <c r="P60" s="2" t="inlineStr">
        <is>
          <t>Mock Rx20 UBU</t>
        </is>
      </c>
    </row>
    <row r="61" ht="13.2" customHeight="1" s="37">
      <c r="A61" s="8" t="inlineStr">
        <is>
          <t>59</t>
        </is>
      </c>
      <c r="B61" s="2" t="inlineStr">
        <is>
          <t>หากต้องการวิเคราะห์ข้อมูลความแตกต่างของการใช้สมุนไพรลดน้ำหนักเปรียบเทียบกับ placebo โดยดูจากน้ำหนักที่ลดลงของอาสาสมัครทั้งสองกลุ่ม กลุ่มละ 50 คนควรใช้สถิติใดในการวิเคราะห์ ใช้สมุนไพร placebo น้ำหนักที่ลด (กก.) 4±2.5 2±1.7</t>
        </is>
      </c>
      <c r="C61" s="2" t="n"/>
      <c r="D61" s="2" t="inlineStr">
        <is>
          <t>Cost-Minimization Analysis (CMA)</t>
        </is>
      </c>
      <c r="E61" s="2" t="inlineStr">
        <is>
          <t>Student t-test for comparing two independent means</t>
        </is>
      </c>
      <c r="F61" s="2" t="inlineStr">
        <is>
          <t>Chi-Square Test for Categorical Independence (p &lt; 0.05)</t>
        </is>
      </c>
      <c r="G61" s="2" t="inlineStr">
        <is>
          <t>Randomized Controlled Trial (Double-blind RCT)</t>
        </is>
      </c>
      <c r="H61" s="2" t="inlineStr">
        <is>
          <t>Prospective Cohort Study (Relative Risk: RR)</t>
        </is>
      </c>
      <c r="I61" s="8" t="inlineStr">
        <is>
          <t>1</t>
        </is>
      </c>
      <c r="J6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รูปแบบการวิจัยทางคลินิก</t>
        </is>
      </c>
      <c r="M61" s="2" t="inlineStr">
        <is>
          <t>SAP</t>
        </is>
      </c>
      <c r="N61" s="2" t="inlineStr">
        <is>
          <t>ข้อ 13 (PLE_CC1_Key_Rx20_UBU.md)</t>
        </is>
      </c>
      <c r="O61" s="2" t="inlineStr">
        <is>
          <t>Mock</t>
        </is>
      </c>
      <c r="P61" s="2" t="inlineStr">
        <is>
          <t>Mock Rx20 UBU</t>
        </is>
      </c>
    </row>
    <row r="62" ht="13.2" customHeight="1" s="37">
      <c r="A62" s="8" t="inlineStr">
        <is>
          <t>60</t>
        </is>
      </c>
      <c r="B62" s="2" t="inlineStr">
        <is>
          <t>สำนักงานวิจัยระบบสาธารณสุข (สวรส.)</t>
        </is>
      </c>
      <c r="C62" s="2" t="n"/>
      <c r="D62" s="2" t="inlineStr">
        <is>
          <t>Randomized Controlled Trial (Double-blind RCT)</t>
        </is>
      </c>
      <c r="E62" s="2" t="inlineStr">
        <is>
          <t>Prospective Cohort Study (Relative Risk: RR)</t>
        </is>
      </c>
      <c r="F62" s="2" t="inlineStr">
        <is>
          <t>Case-Control Study (Odds Ratio: OR)</t>
        </is>
      </c>
      <c r="G62" s="2" t="inlineStr">
        <is>
          <t>Cross-Sectional Survey Prevalence Study</t>
        </is>
      </c>
      <c r="H62" s="2" t="inlineStr">
        <is>
          <t>Cost-Effectiveness Analysis (Incremental Cost-Effectiveness Ratio: ICER)</t>
        </is>
      </c>
      <c r="I62" s="8" t="inlineStr">
        <is>
          <t>1</t>
        </is>
      </c>
      <c r="J6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(Case-Control Study (Odds Ratio: OR)):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(Cross-Sectional Survey Prevalence Study):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รูปแบบการวิจัยทางคลินิก</t>
        </is>
      </c>
      <c r="M62" s="2" t="inlineStr">
        <is>
          <t>SAP</t>
        </is>
      </c>
      <c r="N62" s="2" t="inlineStr">
        <is>
          <t>ข้อ 1 (PLE_CC1_Key_Rx20_UBU.md)</t>
        </is>
      </c>
      <c r="O62" s="2" t="inlineStr">
        <is>
          <t>Mock</t>
        </is>
      </c>
      <c r="P62" s="2" t="inlineStr">
        <is>
          <t>Mock Rx20 UBU</t>
        </is>
      </c>
    </row>
    <row r="63" ht="13.2" customHeight="1" s="37">
      <c r="A63" s="8" t="inlineStr">
        <is>
          <t>61</t>
        </is>
      </c>
      <c r="B63" s="2" t="inlineStr">
        <is>
          <t>ฉีดยาทิ้ง 10 ml คำอธิบายเพิ่มเติม การทดสอบ BE คือการทดสอบความเท่าเทียมกับของยา แบ่งเป็น bioequivalent study คือการทดสอบในมนุษย์ (RCT ตามปกติ) ในเรื่อง efficacy และ safety ว่าเท่าเทียมยาเก่าไหม แต่แปลผลเป็น 90%CI ตามที่อธิบายด้านบน ดังนั้นสามารถทำแบบ crossover ได้ จึงควรแก้ไขโดยเพิ่ม wash out period ให้ระดับยาแรกลดลงก่อนห้ยาสอง เดี๋ยวผลมันจะ interlapse กัน อีกอันที่ทำได้คือการศึกษาในหลอดทดลอง มี similary factor &gt; 50 คือยอมรับ</t>
        </is>
      </c>
      <c r="C63" s="2" t="n"/>
      <c r="D63" s="2" t="inlineStr">
        <is>
          <t>Cross-Sectional Survey Prevalence Study</t>
        </is>
      </c>
      <c r="E63" s="2" t="inlineStr">
        <is>
          <t>Cost-Effectiveness Analysis (Incremental Cost-Effectiveness Ratio: ICER)</t>
        </is>
      </c>
      <c r="F63" s="2" t="inlineStr">
        <is>
          <t>Cost-Utility Analysis (Quality-Adjusted Life Years: QALY)</t>
        </is>
      </c>
      <c r="G63" s="2" t="inlineStr">
        <is>
          <t>Cost-Benefit Analysis (Net Monetary Benefit)</t>
        </is>
      </c>
      <c r="H63" s="2" t="inlineStr">
        <is>
          <t>Cost-Minimization Analysis (CMA)</t>
        </is>
      </c>
      <c r="I63" s="8" t="inlineStr">
        <is>
          <t>1</t>
        </is>
      </c>
      <c r="J6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รูปแบบการวิจัยทางคลินิก</t>
        </is>
      </c>
      <c r="M63" s="2" t="inlineStr">
        <is>
          <t>SAP</t>
        </is>
      </c>
      <c r="N63" s="2" t="inlineStr">
        <is>
          <t>ข้อ 4 (PLE_CC1_Key_Rx20_UBU.md)</t>
        </is>
      </c>
      <c r="O63" s="2" t="inlineStr">
        <is>
          <t>Mock</t>
        </is>
      </c>
      <c r="P63" s="2" t="inlineStr">
        <is>
          <t>Mock Rx20 UBU</t>
        </is>
      </c>
    </row>
    <row r="64" ht="13.2" customHeight="1" s="37">
      <c r="A64" s="8" t="inlineStr">
        <is>
          <t>62</t>
        </is>
      </c>
      <c r="B64" s="2" t="inlineStr">
        <is>
          <t>ยาใดตGอไปนี้ ไมGมีผลลดอัตราการตายสำหรับผู$ป&amp;วย myocardial infarction</t>
        </is>
      </c>
      <c r="C64" s="2" t="n"/>
      <c r="D64" s="2" t="inlineStr">
        <is>
          <t>Simvastatin</t>
        </is>
      </c>
      <c r="E64" s="2" t="inlineStr">
        <is>
          <t>Enalapril</t>
        </is>
      </c>
      <c r="F64" s="2" t="inlineStr">
        <is>
          <t>Aspirin</t>
        </is>
      </c>
      <c r="G64" s="2" t="inlineStr">
        <is>
          <t>Clopidogrel</t>
        </is>
      </c>
      <c r="H64" s="2" t="inlineStr">
        <is>
          <t>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t>
        </is>
      </c>
      <c r="I64" s="8" t="inlineStr">
        <is>
          <t>5</t>
        </is>
      </c>
      <c r="J64" s="2" t="inlineStr">
        <is>
          <t>✅ คำตอบที่ถูกต้อง: ข้อ จ.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 Background:
การประเมินหลักฐานเชิงประจักษ์ (Evidence-Based Practice) อาศัย study design, statistical parameters (p-value, 95% CI, RR/OR) เพื่อการตัดสินใจอย่างแม่นยำ
🎯 ทำไมข้อนี้ถึงถูก: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รูปแบบการวิจัยทางคลินิก</t>
        </is>
      </c>
      <c r="M64" s="2" t="inlineStr">
        <is>
          <t>SAP</t>
        </is>
      </c>
      <c r="N64" s="2" t="inlineStr">
        <is>
          <t>ข้อ 27 (PLE_CC1_Key_Rx20_UBU.md)</t>
        </is>
      </c>
      <c r="O64" s="2" t="inlineStr">
        <is>
          <t>Mock</t>
        </is>
      </c>
      <c r="P64" s="2" t="inlineStr">
        <is>
          <t>Mock Rx20 UBU</t>
        </is>
      </c>
    </row>
    <row r="65" ht="13.2" customHeight="1" s="37">
      <c r="A65" s="8" t="inlineStr">
        <is>
          <t>63</t>
        </is>
      </c>
      <c r="B65" s="2" t="inlineStr">
        <is>
          <t>ยาในข$อใดสามารถใช$เปญนยาปนองกัน (primary prophylaxis) สำหรับภาวะ variceal bleeding (1) Octreotide (2) Pantoprazole (3) Somatostatin (4) Propranolol (5) Lactulose</t>
        </is>
      </c>
      <c r="C65" s="2" t="n"/>
      <c r="D65" s="2" t="inlineStr">
        <is>
          <t>Chi-Square Test for Categorical Independence (p &lt; 0.05)</t>
        </is>
      </c>
      <c r="E65" s="2" t="inlineStr">
        <is>
          <t>Randomized Controlled Trial (Double-blind RCT)</t>
        </is>
      </c>
      <c r="F65" s="2" t="inlineStr">
        <is>
          <t>Prospective Cohort Study (Relative Risk: RR)</t>
        </is>
      </c>
      <c r="G65" s="2" t="inlineStr">
        <is>
          <t>Case-Control Study (Odds Ratio: OR)</t>
        </is>
      </c>
      <c r="H65" s="2" t="inlineStr">
        <is>
          <t>Cross-Sectional Survey Prevalence Study</t>
        </is>
      </c>
      <c r="I65" s="8" t="inlineStr">
        <is>
          <t>1</t>
        </is>
      </c>
      <c r="J6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(Case-Control Study (Odds Ratio: OR)):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(Cross-Sectional Survey Prevalence Study):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วิธีประเมินต้นทุนและประสิทธิผล</t>
        </is>
      </c>
      <c r="M65" s="2" t="inlineStr">
        <is>
          <t>SAP</t>
        </is>
      </c>
      <c r="N65" s="2" t="inlineStr">
        <is>
          <t>ข้อ 56 (PLE_CC1_Key_Rx20_UBU.md)</t>
        </is>
      </c>
      <c r="O65" s="2" t="inlineStr">
        <is>
          <t>Mock</t>
        </is>
      </c>
      <c r="P65" s="2" t="inlineStr">
        <is>
          <t>Mock Rx20 UBU</t>
        </is>
      </c>
    </row>
    <row r="66" ht="13.2" customHeight="1" s="37">
      <c r="A66" s="8" t="inlineStr">
        <is>
          <t>64</t>
        </is>
      </c>
      <c r="B66" s="2" t="inlineStr">
        <is>
          <t>จงคำนวณป3สุขภาวะ หากในระยะเวลา 8.4 เดือน ผู$ป&amp;วยมีคุณภาพชีวิตเทGากับ 0.8 (1) 0.96 (2) 0.80 (3) 0.67 (4) 0.56 (5) 0.48 QALY = 0.88.4/12 = 0.56 ข้อสอบวัดความรู้ทางเภสัชศาสตร์เชิงบูรณาการ (MCQ) ครั้งที่ 2/2557 เพื่อขึ้นทะเบียนเป็นผู้ประกอบวิชาชีพเภสัชกรรม ประจำปี พ.ศ 2557 รอบที่ 2 สถานการณ) 1 หญิงไทยคูG อายุ 24 ป3 มาพบแพทย_ผิวหนังเพื่อรักษาสิว โดยบริเวณใบหน$ามีสิวอุดตันเม็ดเล็กๆ ทั้งหัวดำและหัวขาวกระจายทั่วใบหน$า PE: non-inflammatory (few comedones) Diagnosis: Acne</t>
        </is>
      </c>
      <c r="C66" s="2" t="n"/>
      <c r="D66" s="2" t="inlineStr">
        <is>
          <t>Case-Control Study (Odds Ratio: OR)</t>
        </is>
      </c>
      <c r="E66" s="2" t="inlineStr">
        <is>
          <t>Cross-Sectional Survey Prevalence Study</t>
        </is>
      </c>
      <c r="F66" s="2" t="inlineStr">
        <is>
          <t>Cost-Effectiveness Analysis (Incremental Cost-Effectiveness Ratio: ICER)</t>
        </is>
      </c>
      <c r="G66" s="2" t="inlineStr">
        <is>
          <t>Cost-Utility Analysis (Quality-Adjusted Life Years: QALY)</t>
        </is>
      </c>
      <c r="H66" s="2" t="inlineStr">
        <is>
          <t>Cost-Benefit Analysis (Net Monetary Benefit)</t>
        </is>
      </c>
      <c r="I66" s="8" t="inlineStr">
        <is>
          <t>1</t>
        </is>
      </c>
      <c r="J66" s="2" t="inlineStr">
        <is>
          <t>✅ คำตอบที่ถูกต้อง: ข้อ ก.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(Cross-Sectional Survey Prevalence Study):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(Cost-Effectiveness Analysis (Incremental Cost-Effectiveness Ratio: ICER)):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(Cost-Utility Analysis (Quality-Adjusted Life Years: QALY)):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(Cost-Benefit Analysis (Net Monetary Benefit)):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วิธีประเมินต้นทุนและประสิทธิผล</t>
        </is>
      </c>
      <c r="M66" s="2" t="inlineStr">
        <is>
          <t>SAP</t>
        </is>
      </c>
      <c r="N66" s="2" t="inlineStr">
        <is>
          <t>ข้อ 84 (PLE_CC1_Key_Rx20_UBU.md)</t>
        </is>
      </c>
      <c r="O66" s="2" t="inlineStr">
        <is>
          <t>Mock</t>
        </is>
      </c>
      <c r="P66" s="2" t="inlineStr">
        <is>
          <t>Mock Rx20 UBU</t>
        </is>
      </c>
    </row>
    <row r="67" ht="13.2" customHeight="1" s="37">
      <c r="A67" s="8" t="inlineStr">
        <is>
          <t>65</t>
        </is>
      </c>
      <c r="B67" s="2" t="inlineStr">
        <is>
          <t>(โจทย_ถามรูปแบบการทดลองที่ให$ข$อมูลที่นGาเชื่อถือที่สุด) RCT</t>
        </is>
      </c>
      <c r="C67" s="2" t="n"/>
      <c r="D67" s="2" t="inlineStr">
        <is>
          <t>Cost-Utility Analysis (Quality-Adjusted Life Years: QALY)</t>
        </is>
      </c>
      <c r="E67" s="2" t="inlineStr">
        <is>
          <t>Cost-Benefit Analysis (Net Monetary Benefit)</t>
        </is>
      </c>
      <c r="F67" s="2" t="inlineStr">
        <is>
          <t>Cost-Minimization Analysis (CMA)</t>
        </is>
      </c>
      <c r="G67" s="2" t="inlineStr">
        <is>
          <t>Student t-test for comparing two independent means</t>
        </is>
      </c>
      <c r="H67" s="2" t="inlineStr">
        <is>
          <t>Chi-Square Test for Categorical Independence (p &lt; 0.05)</t>
        </is>
      </c>
      <c r="I67" s="8" t="inlineStr">
        <is>
          <t>1</t>
        </is>
      </c>
      <c r="J6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(Chi-Square Test for Categorical Independence (p &lt; 0.05)):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รูปแบบการวิจัยทางคลินิก</t>
        </is>
      </c>
      <c r="M67" s="2" t="inlineStr">
        <is>
          <t>SAP</t>
        </is>
      </c>
      <c r="N67" s="2" t="inlineStr">
        <is>
          <t>ข้อ 39 (PLE_CC1_Key_Rx20_UBU.md)</t>
        </is>
      </c>
      <c r="O67" s="2" t="inlineStr">
        <is>
          <t>Mock</t>
        </is>
      </c>
      <c r="P67" s="2" t="inlineStr">
        <is>
          <t>Mock Rx20 UBU</t>
        </is>
      </c>
    </row>
    <row r="68" ht="13.2" customHeight="1" s="37">
      <c r="A68" s="8" t="inlineStr">
        <is>
          <t>66</t>
        </is>
      </c>
      <c r="B68" s="2" t="inlineStr">
        <is>
          <t>(โจทย_ให$แปลความหมายของ relative risk ให$คGา 0.88 95% CI ไมGครGอม 1) สถานการณ) 5</t>
        </is>
      </c>
      <c r="C68" s="2" t="n"/>
      <c r="D68" s="2" t="inlineStr">
        <is>
          <t>Student t-test for comparing two independent means</t>
        </is>
      </c>
      <c r="E68" s="2" t="inlineStr">
        <is>
          <t>Chi-Square Test for Categorical Independence (p &lt; 0.05)</t>
        </is>
      </c>
      <c r="F68" s="2" t="inlineStr">
        <is>
          <t>Randomized Controlled Trial (Double-blind RCT)</t>
        </is>
      </c>
      <c r="G68" s="2" t="inlineStr">
        <is>
          <t>Prospective Cohort Study (Relative Risk: RR)</t>
        </is>
      </c>
      <c r="H68" s="2" t="inlineStr">
        <is>
          <t>Case-Control Study (Odds Ratio: OR)</t>
        </is>
      </c>
      <c r="I68" s="8" t="inlineStr">
        <is>
          <t>1</t>
        </is>
      </c>
      <c r="J68" s="2"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(Chi-Square Test for Categorical Independence (p &lt; 0.05)): ข้อนี้ไม่ใช่คำตอบที่ถูกต้องสำหรับภาวะ สถิติวิเคราะห์ เนื่องจากกลไกการออกฤทธิ์, efficacy หรือข้อบ่งใช้ไม่ตรงกับโจทย์ที่กำหนด
• ข้อ ค. (Randomized Controlled Trial (Double-blind RCT)): ข้อนี้ไม่ใช่คำตอบที่ถูกต้องสำหรับภาวะ สถิติวิเคราะห์ เนื่องจากกลไกการออกฤทธิ์, efficacy หรือข้อบ่งใช้ไม่ตรงกับโจทย์ที่กำหนด
• ข้อ ง. (Prospective Cohort Study (Relative Risk: RR)): ข้อนี้ไม่ใช่คำตอบที่ถูกต้องสำหรับภาวะ สถิติวิเคราะห์ เนื่องจากกลไกการออกฤทธิ์, efficacy หรือข้อบ่งใช้ไม่ตรงกับโจทย์ที่กำหนด
• ข้อ จ. (Case-Control Study (Odds Ratio: OR)):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สถิติวิเคราะห์</t>
        </is>
      </c>
      <c r="M68" s="2" t="inlineStr">
        <is>
          <t>SAP</t>
        </is>
      </c>
      <c r="N68" s="2" t="inlineStr">
        <is>
          <t>ข้อ 40 (PLE_CC1_Key_Rx20_UBU.md)</t>
        </is>
      </c>
      <c r="O68" s="2" t="inlineStr">
        <is>
          <t>Mock</t>
        </is>
      </c>
      <c r="P68" s="2" t="inlineStr">
        <is>
          <t>Mock Rx20 UBU</t>
        </is>
      </c>
    </row>
    <row r="69" ht="13.2" customHeight="1" s="37">
      <c r="A69" s="8" t="inlineStr">
        <is>
          <t>67</t>
        </is>
      </c>
      <c r="B69" s="2" t="inlineStr">
        <is>
          <t>มีคGา ICER สูง cost/unit of efficacy ใช$เงินน$อยๆ เพื่อให$ได$ outcome ที่ต$องการ</t>
        </is>
      </c>
      <c r="C69" s="2" t="n"/>
      <c r="D69" s="2" t="inlineStr">
        <is>
          <t>Prospective Cohort Study (Relative Risk: RR)</t>
        </is>
      </c>
      <c r="E69" s="2" t="inlineStr">
        <is>
          <t>Case-Control Study (Odds Ratio: OR)</t>
        </is>
      </c>
      <c r="F69" s="2" t="inlineStr">
        <is>
          <t>Cross-Sectional Survey Prevalence Study</t>
        </is>
      </c>
      <c r="G69" s="2" t="inlineStr">
        <is>
          <t>Cost-Effectiveness Analysis (Incremental Cost-Effectiveness Ratio: ICER)</t>
        </is>
      </c>
      <c r="H69" s="2" t="inlineStr">
        <is>
          <t>Cost-Utility Analysis (Quality-Adjusted Life Years: QALY)</t>
        </is>
      </c>
      <c r="I69" s="8" t="inlineStr">
        <is>
          <t>2</t>
        </is>
      </c>
      <c r="J69" s="2" t="inlineStr">
        <is>
          <t>✅ คำตอบที่ถูกต้อง: ข้อ ข.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(Cross-Sectional Survey Prevalence Study):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(Cost-Effectiveness Analysis (Incremental Cost-Effectiveness Ratio: ICER)):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(Cost-Utility Analysis (Quality-Adjusted Life Years: QALY)):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วิธีประเมินต้นทุนและประสิทธิผล</t>
        </is>
      </c>
      <c r="M69" s="2" t="inlineStr">
        <is>
          <t>SAP</t>
        </is>
      </c>
      <c r="N69" s="2" t="inlineStr">
        <is>
          <t>ข้อ 5 (PLE_CC1_Key_Rx20_UBU.md)</t>
        </is>
      </c>
      <c r="O69" s="2" t="inlineStr">
        <is>
          <t>Mock</t>
        </is>
      </c>
      <c r="P69" s="2" t="inlineStr">
        <is>
          <t>Mock Rx20 UBU</t>
        </is>
      </c>
    </row>
    <row r="70" ht="13.2" customHeight="1" s="37">
      <c r="A70" s="8" t="inlineStr">
        <is>
          <t>68</t>
        </is>
      </c>
      <c r="B70" s="2" t="inlineStr">
        <is>
          <t>จากสถิติพบวGาในป3 2556 มีผู$ป&amp;วยด$วยภาวะ..........22885 รายตGอประชากรหนึ่งแสนคน จำนวนดังกลGาวเรียกวGาอะไร</t>
        </is>
      </c>
      <c r="C70" s="2" t="n"/>
      <c r="D70" s="2" t="inlineStr">
        <is>
          <t>Cost-Effectiveness Analysis (Incremental Cost-Effectiveness Ratio: ICER)</t>
        </is>
      </c>
      <c r="E70" s="2" t="inlineStr">
        <is>
          <t>Cost-Utility Analysis (Quality-Adjusted Life Years: QALY)</t>
        </is>
      </c>
      <c r="F70" s="2" t="inlineStr">
        <is>
          <t>Cost-Benefit Analysis (Net Monetary Benefit)</t>
        </is>
      </c>
      <c r="G70" s="2" t="inlineStr">
        <is>
          <t>Cost-Minimization Analysis (CMA)</t>
        </is>
      </c>
      <c r="H70" s="2" t="inlineStr">
        <is>
          <t>Student t-test for comparing two independent means</t>
        </is>
      </c>
      <c r="I70" s="8" t="inlineStr">
        <is>
          <t>1</t>
        </is>
      </c>
      <c r="J7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(Student t-test for comparing two independent means):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รูปแบบการวิจัยทางคลินิก</t>
        </is>
      </c>
      <c r="M70" s="2" t="inlineStr">
        <is>
          <t>SAP</t>
        </is>
      </c>
      <c r="N70" s="2" t="inlineStr">
        <is>
          <t>ข้อ 105 (PLE_CC1_Key_Rx20_UBU.md)</t>
        </is>
      </c>
      <c r="O70" s="2" t="inlineStr">
        <is>
          <t>Mock</t>
        </is>
      </c>
      <c r="P70" s="2" t="inlineStr">
        <is>
          <t>Mock Rx20 UBU</t>
        </is>
      </c>
    </row>
    <row r="71" ht="13.2" customHeight="1" s="37">
      <c r="A71" s="8" t="inlineStr">
        <is>
          <t>69</t>
        </is>
      </c>
      <c r="B71" s="2" t="inlineStr">
        <is>
          <t>Morbidity rate ในประชากรที่เสี่ยงทั้งหมดในเวลาที่กำหนด Relative risk = อัตราสGวนความเสี่ยงซึ่งต$องเปญนการรายงานในลักษณะที่มีการเปรียบเทียบ ซึ่งลักษณะคล$ายกับ odd ratio Attack rate = คืออัตราอุบัติการณ_ที่มักใช$กับโรคติดเชื้อ เฉียบพลัน หรือโรคระบาด Hazard ratio = ความหมายคล$าย RR แตGตGางกันตรงที่ HR จะมี timing มาเกี่ยวข$อง โดยจะใช$รายงานผลการวิเคราะห_ survival analysis ที่เปญนวัดผลแบบ time-to-event นั่นเอง</t>
        </is>
      </c>
      <c r="C71" s="2" t="n"/>
      <c r="D71" s="2" t="inlineStr">
        <is>
          <t>Cost-Minimization Analysis (CMA)</t>
        </is>
      </c>
      <c r="E71" s="2" t="inlineStr">
        <is>
          <t>Student t-test for comparing two independent means</t>
        </is>
      </c>
      <c r="F71" s="2" t="inlineStr">
        <is>
          <t>Chi-Square Test for Categorical Independence (p &lt; 0.05)</t>
        </is>
      </c>
      <c r="G71" s="2" t="inlineStr">
        <is>
          <t>Randomized Controlled Trial (Double-blind RCT)</t>
        </is>
      </c>
      <c r="H71" s="2" t="inlineStr">
        <is>
          <t>Prospective Cohort Study (Relative Risk: RR)</t>
        </is>
      </c>
      <c r="I71" s="8" t="inlineStr">
        <is>
          <t>2</t>
        </is>
      </c>
      <c r="J71" s="2" t="inlineStr">
        <is>
          <t>✅ คำตอบที่ถูกต้อง: ข้อ ข.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ก. (Cost-Minimization Analysis (CMA)): ข้อนี้ไม่ใช่คำตอบที่ถูกต้องสำหรับภาวะ สถิติวิเคราะห์ เนื่องจากกลไกการออกฤทธิ์, efficacy หรือข้อบ่งใช้ไม่ตรงกับโจทย์ที่กำหนด
• ข้อ ค. (Chi-Square Test for Categorical Independence (p &lt; 0.05)): ข้อนี้ไม่ใช่คำตอบที่ถูกต้องสำหรับภาวะ สถิติวิเคราะห์ เนื่องจากกลไกการออกฤทธิ์, efficacy หรือข้อบ่งใช้ไม่ตรงกับโจทย์ที่กำหนด
• ข้อ ง. (Randomized Controlled Trial (Double-blind RCT)): ข้อนี้ไม่ใช่คำตอบที่ถูกต้องสำหรับภาวะ สถิติวิเคราะห์ เนื่องจากกลไกการออกฤทธิ์, efficacy หรือข้อบ่งใช้ไม่ตรงกับโจทย์ที่กำหนด
• ข้อ จ. (Prospective Cohort Study (Relative Risk: RR)): ข้อนี้ไม่ใช่คำตอบที่ถูกต้องสำหรับภาวะ สถิติวิเคราะห์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สถิติวิเคราะห์</t>
        </is>
      </c>
      <c r="M71" s="2" t="inlineStr">
        <is>
          <t>SAP</t>
        </is>
      </c>
      <c r="N71" s="2" t="inlineStr">
        <is>
          <t>ข้อ 5 (PLE_CC1_Key_Rx20_UBU.md)</t>
        </is>
      </c>
      <c r="O71" s="2" t="inlineStr">
        <is>
          <t>Mock</t>
        </is>
      </c>
      <c r="P71" s="2" t="inlineStr">
        <is>
          <t>Mock Rx20 UBU</t>
        </is>
      </c>
    </row>
    <row r="72" ht="13.2" customHeight="1" s="37">
      <c r="A72" s="8" t="inlineStr">
        <is>
          <t>70</t>
        </is>
      </c>
      <c r="B72" s="2" t="inlineStr">
        <is>
          <t>รับประทานยาหลังอาหารเพื่อหลีกเลี่ยงอาการคลื่นไส้อาเจียน ถูกดูดซึมได้ดีทางลำไส้เล็ก ดังนั้นการดูดซึมจึงขึ้นกับ gastric emptying time นอกจากนี้การดูดซึมของ levodopa และการผ่าน BBB จะอาศัย Large neutral amino acid transporter ซึ่งถูกขนส่งแบบแข่งขันกับกรดอะมิโนอื่นๆ ดังนั้นการรับประทาน levodopa พร้อมอาหารโดยเฉพาะอาหารที่มีโปรตีนสูงจะทำให้การดูดซึม levodopa ช้าลงหรือมี Cmax ลดลง นำไปสู่การไม่ตอบสนองต่อยาได้ ดังนั้นควรให้ยา levodopa ในขณะท้องว่าง หรือให้ยาใน รูปแบบ oral disintegration tablet หรือการฉีด apomorphine s.c. เพื่อลดอาการของพาร์กินสัน ขณะรอให้มีการตอบสนองต่อ levodopa ซึ่งภาวะที่ผู้ป่วยตอบสนองต่อยาช้ากว่าปกติ หรือไม่ตอบสนอง ต่อยาDelayed ‘on’ or no ‘on’ response</t>
        </is>
      </c>
      <c r="C72" s="2" t="n"/>
      <c r="D72" s="2" t="inlineStr">
        <is>
          <t>Randomized Controlled Trial (Double-blind RCT)</t>
        </is>
      </c>
      <c r="E72" s="2" t="inlineStr">
        <is>
          <t>Prospective Cohort Study (Relative Risk: RR)</t>
        </is>
      </c>
      <c r="F72" s="2" t="inlineStr">
        <is>
          <t>Case-Control Study (Odds Ratio: OR)</t>
        </is>
      </c>
      <c r="G72" s="2" t="inlineStr">
        <is>
          <t>Cross-Sectional Survey Prevalence Study</t>
        </is>
      </c>
      <c r="H72" s="2" t="inlineStr">
        <is>
          <t>Cost-Effectiveness Analysis (Incremental Cost-Effectiveness Ratio: ICER)</t>
        </is>
      </c>
      <c r="I72" s="8" t="inlineStr">
        <is>
          <t>4</t>
        </is>
      </c>
      <c r="J72" s="2" t="inlineStr">
        <is>
          <t>✅ คำตอบที่ถูกต้อง: ข้อ ง.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ข. (Prospective Cohort Study (Relative Risk: RR)):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(Case-Control Study (Odds Ratio: OR)):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(Cost-Effectiveness Analysis (Incremental Cost-Effectiveness Ratio: ICER)):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วิธีประเมินต้นทุนและประสิทธิผล</t>
        </is>
      </c>
      <c r="M72" s="2" t="inlineStr">
        <is>
          <t>SAP</t>
        </is>
      </c>
      <c r="N72" s="2" t="inlineStr">
        <is>
          <t>ข้อ 2 (PLE_CC1_Key_Rx20_UBU.md)</t>
        </is>
      </c>
      <c r="O72" s="2" t="inlineStr">
        <is>
          <t>Mock</t>
        </is>
      </c>
      <c r="P72" s="2" t="inlineStr">
        <is>
          <t>Mock Rx20 UBU</t>
        </is>
      </c>
    </row>
    <row r="73" ht="13.2" customHeight="1" s="37">
      <c r="A73" s="8" t="inlineStr">
        <is>
          <t>71</t>
        </is>
      </c>
      <c r="B73" s="2" t="inlineStr">
        <is>
          <t>Prospective Cohort study</t>
        </is>
      </c>
      <c r="C73" s="2" t="n"/>
      <c r="D73" s="2" t="inlineStr">
        <is>
          <t>Cross-Sectional Survey Prevalence Study</t>
        </is>
      </c>
      <c r="E73" s="2" t="inlineStr">
        <is>
          <t>Cost-Effectiveness Analysis (Incremental Cost-Effectiveness Ratio: ICER)</t>
        </is>
      </c>
      <c r="F73" s="2" t="inlineStr">
        <is>
          <t>Cost-Utility Analysis (Quality-Adjusted Life Years: QALY)</t>
        </is>
      </c>
      <c r="G73" s="2" t="inlineStr">
        <is>
          <t>Cost-Benefit Analysis (Net Monetary Benefit)</t>
        </is>
      </c>
      <c r="H73" s="2" t="inlineStr">
        <is>
          <t>Cost-Minimization Analysis (CMA)</t>
        </is>
      </c>
      <c r="I73" s="8" t="inlineStr">
        <is>
          <t>1</t>
        </is>
      </c>
      <c r="J7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ค. (Cost-Utility Analysis (Quality-Adjusted Life Years: QALY)):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ง. (Cost-Benefit Analysis (Net Monetary Benefit)):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ข้อ จ. (Cost-Minimization Analysis (CMA)): ข้อนี้ไม่ใช่คำตอบที่ถูกต้องสำหรับภาวะ รูปแบบการวิจัยทางคลินิก เนื่องจากกลไกการออกฤทธิ์, efficacy หรือข้อบ่งใช้ไม่ตรงกับโจทย์ที่กำหนด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รูปแบบการวิจัยทางคลินิก</t>
        </is>
      </c>
      <c r="M73" s="2" t="inlineStr">
        <is>
          <t>SAP</t>
        </is>
      </c>
      <c r="N73" s="2" t="inlineStr">
        <is>
          <t>ข้อ 5 (PLE_CC1_Key_Rx20_UBU.md)</t>
        </is>
      </c>
      <c r="O73" s="2" t="inlineStr">
        <is>
          <t>Mock</t>
        </is>
      </c>
      <c r="P73" s="2" t="inlineStr">
        <is>
          <t>Mock Rx20 UBU</t>
        </is>
      </c>
    </row>
    <row r="74" ht="13.2" customHeight="1" s="37">
      <c r="A74" s="8" t="inlineStr">
        <is>
          <t>72</t>
        </is>
      </c>
      <c r="B74" s="2" t="inlineStr">
        <is>
          <t>numbness ที่นิ้ว ตอบ 3 recall SE ด้าน Cardiovascular ที่สามารถพบได้ Bradycardia, cold extremities, ECG changes, edema, hypertension, ischemia, tachycardia, valvular sclerosis, vasospasm ------------------------------------------------------------------------------ คนที่ 8 : case 11 pharyngitis + unknown ข้อ 17-19 @Dawn Oceania มีตุ่มหนองในคอ ไม่ไอ อายุ มีไข้ คอบวม ครบ 4 คะแนน (ขาดแค่อายุ) เป็น bacterial pharyngitis/tonsilitis โจทย์ recall ,modified Centor Recall : strep pyrogenase// อีกชื่อ group A beta hemolytic strep Complication คือ rehumatic fever : Poststreptococcal glomerulonephritis 30 mg PO OD 10 d = 300 mg /course 300/75= 4 cap</t>
        </is>
      </c>
      <c r="C74" s="2" t="n"/>
      <c r="D74" s="2" t="inlineStr">
        <is>
          <t>Cost-Benefit Analysis (Net Monetary Benefit)</t>
        </is>
      </c>
      <c r="E74" s="2" t="inlineStr">
        <is>
          <t>Cost-Minimization Analysis (CMA)</t>
        </is>
      </c>
      <c r="F74" s="2" t="inlineStr">
        <is>
          <t>Student t-test for comparing two independent means</t>
        </is>
      </c>
      <c r="G74" s="2" t="inlineStr">
        <is>
          <t>Chi-Square Test for Categorical Independence (p &lt; 0.05)</t>
        </is>
      </c>
      <c r="H74" s="2" t="inlineStr">
        <is>
          <t>Randomized Controlled Trial (Double-blind RCT)</t>
        </is>
      </c>
      <c r="I74" s="8" t="inlineStr">
        <is>
          <t>3</t>
        </is>
      </c>
      <c r="J74" s="2" t="inlineStr">
        <is>
          <t>✅ คำตอบที่ถูกต้อง: ข้อ ค.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(Cost-Benefit Analysis (Net Monetary Benefit)):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ข. (Cost-Minimization Analysis (CMA)):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ง. (Chi-Square Test for Categorical Independence (p &lt; 0.05)):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(Randomized Controlled Trial (Double-blind RCT)):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วิธีประเมินต้นทุนและประสิทธิผล</t>
        </is>
      </c>
      <c r="M74" s="2" t="inlineStr">
        <is>
          <t>SAP</t>
        </is>
      </c>
      <c r="N74" s="2" t="inlineStr">
        <is>
          <t>ข้อ 4 (PLE_CC1_Key_Rx20_UBU.md)</t>
        </is>
      </c>
      <c r="O74" s="2" t="inlineStr">
        <is>
          <t>Mock</t>
        </is>
      </c>
      <c r="P74" s="2" t="inlineStr">
        <is>
          <t>Mock Rx20 UBU</t>
        </is>
      </c>
    </row>
    <row r="75" ht="13.2" customHeight="1" s="37">
      <c r="A75" s="8" t="inlineStr">
        <is>
          <t>73</t>
        </is>
      </c>
      <c r="B75" s="2" t="inlineStr">
        <is>
          <t>โรงพยาบาลพิจารณาเลือกยา โดยดูความคุ้มค่าของยาพ่น A และ ยาพ่น B ข้อใดถูกต้อง (Threshold ของ โรงพยาบาล = 160,000/QALYs)</t>
        </is>
      </c>
      <c r="C75" s="2" t="n"/>
      <c r="D75" s="2" t="inlineStr">
        <is>
          <t>ยา A คุ้มค่ามากกว่า เนื่องจากมีปีสุขภาวะมากกว่า</t>
        </is>
      </c>
      <c r="E75" s="2" t="inlineStr">
        <is>
          <t>ยา A คุ้มค่ามากกว่ายา B เนื่องจากมีค่า ICER ติดลบ 8,000/QALYs</t>
        </is>
      </c>
      <c r="F75" s="2" t="inlineStr">
        <is>
          <t>ยา B คุ้มค่ามากกว่ายา A เนื่องจากต้นทุนถูกกว่า</t>
        </is>
      </c>
      <c r="G75" s="2" t="inlineStr">
        <is>
          <t>ยา B คุ้มค่ามากกว่ายา A เนื่องจากมีค่า ICER บวก 8,000/QALYs</t>
        </is>
      </c>
      <c r="H75" s="2" t="inlineStr">
        <is>
          <t>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t>
        </is>
      </c>
      <c r="I75" s="8" t="inlineStr">
        <is>
          <t>4</t>
        </is>
      </c>
      <c r="J75" s="2" t="inlineStr">
        <is>
          <t>✅ คำตอบที่ถูกต้อง: ข้อ ง. ยา B คุ้มค่ามากกว่ายา A เนื่องจากมีค่า ICER บวก 8,000/QALYs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คุ้มค่ามากกว่ายา A เนื่องจากมีค่า ICER บวก 8,000/QALYs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ผู้ป่วยมีความรู้สึกเศร้า ว้าเหว่เป็นบางเวลา ซักประวัติพบว่า พ่อเสียชีวิตเมื่อ 10 ปีก่อนจากโรคหัวใจล้มเหลว,
🔍 ข้ออื่นผิดเพราะอะไร:
• ข้อ ก. (ยา A คุ้มค่ามากกว่า เนื่องจากมีปีสุขภาวะมากกว่า):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ข. (ยา A คุ้มค่ามากกว่ายา B เนื่องจากมีค่า ICER ติดลบ 8,000/QALYs):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ค. (ยา B คุ้มค่ามากกว่ายา A เนื่องจากต้นทุนถูกกว่า): ข้อนี้ไม่ใช่คำตอบที่ถูกต้องสำหรับภาวะ วิธีประเมินต้นทุนและประสิทธิผล เนื่องจากกลไกการออกฤทธิ์, efficacy หรือข้อบ่งใช้ไม่ตรงกับโจทย์ที่กำหนด
• ข้อ จ. (ยา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วิธีประเมินต้นทุนและประสิทธิผล</t>
        </is>
      </c>
      <c r="M75" s="2" t="inlineStr">
        <is>
          <t>SAP</t>
        </is>
      </c>
      <c r="N75" s="2" t="inlineStr">
        <is>
          <t>ข้อ 63 (PLE_CC1_Key_Rx20_UBU.md)</t>
        </is>
      </c>
      <c r="O75" s="2" t="inlineStr">
        <is>
          <t>Mock</t>
        </is>
      </c>
      <c r="P75" s="2" t="inlineStr">
        <is>
          <t>Mock Rx20 UBU</t>
        </is>
      </c>
    </row>
    <row r="76" ht="13.2" customHeight="1" s="37">
      <c r="A76" s="2" t="n">
        <v>130</v>
      </c>
      <c r="B76" s="2" t="inlineStr">
        <is>
          <t>▶ [กรณีศึกษา: ชายอายุ 69 ปี สูง 170 ซม. น้ำหนัก 90 กก. เข้าโรงพยาบาลด้วยอาการปวดท้องส่วนบน แสบร้อนกลางอก คลื่นไส้อาเจียน เป็นมา 5 วัน อาการหนักขึ้นหลังอาหารและตอนกลางคืน ดื่มสุราและสูบบุหรี่ ส่องกล้องพบแผลในกระเพาะอาหารขนาดใหญ่มีเลือดออก ผลตรวจ UBT positive ได้รับการวินิจฉัยเป็น Peptic Ulcer Disease จาก H. pylori ร่วมกับการใช้ยาแก้ปวด NSAIDs]
📌 คำถาม: คนไข้รายนี้ปวดท้องจนไม่สามารถไปทำงานได้ ทำให้ขาดรายได้ จัดเป็นต้นทุนประเภทใดตามหลักเศรษฐศาสตร์สาธารณสุข (Pharmacoeconomics)</t>
        </is>
      </c>
      <c r="C76" s="2" t="n"/>
      <c r="D76" s="2" t="inlineStr">
        <is>
          <t>Indirect cost (ต้นทุนทางอ้อม)</t>
        </is>
      </c>
      <c r="E76" s="2" t="inlineStr">
        <is>
          <t>Intangible cost (ต้นทุนที่ไม่สามารถวัดเป็นตัวเงินได้)</t>
        </is>
      </c>
      <c r="F76" s="2" t="inlineStr">
        <is>
          <t>Direct medical cost (ต้นทุนทางตรงทางการแพทย์)</t>
        </is>
      </c>
      <c r="G76" s="2" t="inlineStr">
        <is>
          <t>Direct non-medical cost (ต้นทุนทางตรงที่ไม่ใช่ทางการแพทย์)</t>
        </is>
      </c>
      <c r="H76" s="2" t="inlineStr">
        <is>
          <t>Opportunity cost (ต้นทุนค่าเสียโอกาสเชิงนโยบาย)</t>
        </is>
      </c>
      <c r="I76" s="8" t="inlineStr">
        <is>
          <t>1</t>
        </is>
      </c>
      <c r="J76" s="2" t="inlineStr">
        <is>
          <t>✅ คำตอบที่ถูกต้อง: ข้อ ก. Indirect cost (ต้นทุนทางอ้อม)
💡 Background:
การประเมินทางเศรษฐศาสตร์สาธารณสุข (Pharmacoeconomics) จำแนกต้นทุนที่เกี่ยวข้องกับการเจ็บป่วยออกเป็น 4 ประเภทหลัก: 
1. Direct Medical Cost: ต้นทุนทางการแพทย์โดยตรง เช่น ค่ายา ค่าตรวจวินิจฉัย ค่าห้อง ค่าบริการทางการแพทย์ 
2. Direct Non-Medical Cost: ต้นทุนทางตรงที่ไม่เกี่ยวกับการแพทย์ เช่น ค่าเดินทางไปโรงพยาบาล ค่าที่พัก ค่าอาหารพิเศษ 
3. Indirect Cost: ต้นทุนทางอ้อมจากการสูญเสียผลิตภาพ (Productivity loss) เช่น การขาดงาน การสูญเสียรายได้ การทำงานได้ลดลง หรือการเสียชีวิตก่อนวัยอันควร 
4. Intangible Cost: ต้นทุนที่ไม่สามารถตีเป็นมูลค่าเงินได้โดยตรง เช่น ความเจ็บปวด ความวิตกกังวล ความทุกข์ทรมานใจ
🎯 ทำไมข้อนี้ถึงถูก:
การที่ผู้ป่วยปวดท้องรุนแรงจนไม่สามารถไปทำงานได้ ทำให้เกิดการขาดงาน (Absenteeism) และสูญเสียผลผลิตหรือรายได้ ซึ่งจัดเป็น "ต้นทุนทางอ้อม (Indirect Cost)" ตามหลักเศรษฐศาสตร์สาธารณสุขอย่างชัดเจน
🔍 ข้ออื่นผิดเพราะอะไร:
• ข้อ ข. (Intangible cost): เป็นต้นทุนด้านความทุกข์ทรมาน ความเจ็บปวด หรือความเครียดทางจิตใจ ไม่ใช่การสูญเสียผลิตภาพจากการขาดงาน
• ข้อ ค. (Direct medical cost): เป็นค่ารักษาพยาบาล ค่ายา ค่าตรวจแล็บ หรือค่าทำหัตถการโดยตรง
• ข้อ ง. (Direct non-medical cost): เป็นค่าใช้จ่ายที่เป็นตัวเงินที่ผู้ป่วยต้องจ่ายอันเนื่องมาจากการมารับการรักษา เช่น ค่ารถ ค่าเดินทาง ค่าอาหาร
• ข้อ จ. (Fixed cost): เป็นต้นทุนคงที่ในระบบบริหารจัดการ ไม่ตรงกับประเภทต้นทุนความสูญเสียของผู้ป่วย
📖 Guideline อ้างอิง:
คู่มือการประเมินเทคโนโลยีด้านสุขภาพสำหรับประเทศไทย (HITAP) ฉบับปรับปรุง พ.ศ. 2562 &amp; ISPOR Guidelines for Cost-of-Illness Studies
📌 จุดจำก่อนสอบ:
• Absenteeism &amp; Presenteeism: การหยุดงานหรือทำงานได้ลดลงเนื่องจากการเจ็บป่วย = Indirect Cost เสมอ
• Pain and Suffering: ความเจ็บปวด ทรมานใจ เสียขวัญ = Intangible Cost ซึ่งวัดยากที่สุดและมักประเมินด้วยแบบวัดคุณภาพชีวิต (QALY/EQ-5D)</t>
        </is>
      </c>
      <c r="K76" s="2" t="n"/>
      <c r="L76" s="2" t="inlineStr">
        <is>
          <t>Research &amp; Biostats</t>
        </is>
      </c>
      <c r="M76" s="2" t="inlineStr">
        <is>
          <t>SAP</t>
        </is>
      </c>
      <c r="N76" s="2" t="inlineStr">
        <is>
          <t>PLE_CC1_2567_Key ข้อ 10</t>
        </is>
      </c>
      <c r="O76" s="2" t="inlineStr">
        <is>
          <t>ข้อสอบจริง</t>
        </is>
      </c>
      <c r="P76" s="2" t="inlineStr">
        <is>
          <t>ปี 2567</t>
        </is>
      </c>
    </row>
  </sheetData>
  <mergeCells count="1">
    <mergeCell ref="A1:P1"/>
  </mergeCell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G13"/>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36">
        <f>HYPERLINK("#gid=0", "🏠 กลับสู่หน้าแรก (Go to Home Page)")</f>
        <v/>
      </c>
    </row>
    <row r="2" ht="21.6" customHeight="1" s="37">
      <c r="A2" s="3" t="inlineStr">
        <is>
          <t>Username</t>
        </is>
      </c>
      <c r="B2" s="3" t="inlineStr">
        <is>
          <t>Display Name</t>
        </is>
      </c>
      <c r="C2" s="3" t="inlineStr">
        <is>
          <t>Total Answered</t>
        </is>
      </c>
      <c r="D2" s="3" t="inlineStr">
        <is>
          <t>Total Correct</t>
        </is>
      </c>
      <c r="E2" s="3" t="inlineStr">
        <is>
          <t>Accuracy (%)</t>
        </is>
      </c>
      <c r="F2" s="3" t="inlineStr">
        <is>
          <t>Current Streak (Days)</t>
        </is>
      </c>
      <c r="G2" s="3" t="inlineStr">
        <is>
          <t>Last Active</t>
        </is>
      </c>
    </row>
    <row r="3" ht="13.2" customHeight="1" s="37">
      <c r="A3" s="2" t="inlineStr">
        <is>
          <t>maxnum</t>
        </is>
      </c>
      <c r="B3" s="2" t="inlineStr">
        <is>
          <t>Maxnum</t>
        </is>
      </c>
      <c r="C3" s="2" t="n">
        <v>17</v>
      </c>
      <c r="D3" s="2" t="n">
        <v>5</v>
      </c>
      <c r="E3" s="4" t="n">
        <v>0.29</v>
      </c>
      <c r="F3" s="2" t="n">
        <v>1</v>
      </c>
      <c r="G3" s="2" t="inlineStr">
        <is>
          <t>2026-09-24T14:17:16.289Z</t>
        </is>
      </c>
    </row>
    <row r="4" ht="13.2" customHeight="1" s="37">
      <c r="A4" s="2" t="inlineStr">
        <is>
          <t>chayanit</t>
        </is>
      </c>
      <c r="B4" s="2" t="inlineStr">
        <is>
          <t>idea</t>
        </is>
      </c>
      <c r="C4" s="2" t="n">
        <v>33</v>
      </c>
      <c r="D4" s="2" t="n">
        <v>26</v>
      </c>
      <c r="E4" s="4" t="n">
        <v>0.79</v>
      </c>
      <c r="F4" s="2" t="n">
        <v>1</v>
      </c>
      <c r="G4" s="2" t="inlineStr">
        <is>
          <t>2026-09-24T13:36:51.013Z</t>
        </is>
      </c>
    </row>
    <row r="5" ht="13.2" customHeight="1" s="37">
      <c r="A5" s="2" t="inlineStr">
        <is>
          <t>supichaya</t>
        </is>
      </c>
      <c r="B5" s="2" t="inlineStr">
        <is>
          <t>bt</t>
        </is>
      </c>
      <c r="C5" s="2" t="n">
        <v>0</v>
      </c>
      <c r="D5" s="2" t="n">
        <v>0</v>
      </c>
      <c r="E5" s="4" t="n">
        <v>0</v>
      </c>
      <c r="F5" s="2" t="n">
        <v>1</v>
      </c>
      <c r="G5" s="2" t="inlineStr">
        <is>
          <t>2026-09-24T13:18:00.422Z</t>
        </is>
      </c>
    </row>
    <row r="6" ht="13.2" customHeight="1" s="37">
      <c r="A6" s="2" t="n">
        <v>6531014833</v>
      </c>
      <c r="B6" s="2" t="inlineStr">
        <is>
          <t>JN</t>
        </is>
      </c>
      <c r="C6" s="2" t="n">
        <v>0</v>
      </c>
      <c r="D6" s="2" t="n">
        <v>0</v>
      </c>
      <c r="E6" s="4" t="n">
        <v>0</v>
      </c>
      <c r="F6" s="2" t="n">
        <v>1</v>
      </c>
      <c r="G6" s="2" t="inlineStr">
        <is>
          <t>2026-09-24T13:18:27.158Z</t>
        </is>
      </c>
    </row>
    <row r="7" ht="13.2" customHeight="1" s="37">
      <c r="A7" s="2" t="inlineStr">
        <is>
          <t>j.natthida</t>
        </is>
      </c>
      <c r="B7" s="2" t="inlineStr">
        <is>
          <t>jn.</t>
        </is>
      </c>
      <c r="C7" s="2" t="n">
        <v>0</v>
      </c>
      <c r="D7" s="2" t="n">
        <v>0</v>
      </c>
      <c r="E7" s="4" t="n">
        <v>0</v>
      </c>
      <c r="F7" s="2" t="n">
        <v>1</v>
      </c>
      <c r="G7" s="2" t="inlineStr">
        <is>
          <t>2026-09-24T13:20:39.625Z</t>
        </is>
      </c>
    </row>
    <row r="8" ht="13.2" customHeight="1" s="37">
      <c r="A8" s="2" t="n">
        <v>6531024033</v>
      </c>
      <c r="B8" s="2" t="n">
        <v>6531024033</v>
      </c>
      <c r="C8" s="2" t="n">
        <v>9</v>
      </c>
      <c r="D8" s="2" t="n">
        <v>5</v>
      </c>
      <c r="E8" s="4" t="n">
        <v>0.5600000000000001</v>
      </c>
      <c r="F8" s="2" t="n">
        <v>1</v>
      </c>
      <c r="G8" s="2" t="inlineStr">
        <is>
          <t>2026-09-24T13:27:04.553Z</t>
        </is>
      </c>
    </row>
    <row r="9" ht="13.2" customHeight="1" s="37">
      <c r="E9" s="4" t="n"/>
    </row>
    <row r="10" ht="13.2" customHeight="1" s="37">
      <c r="E10" s="4" t="n"/>
    </row>
    <row r="11" ht="13.2" customHeight="1" s="37">
      <c r="E11" s="4" t="n"/>
    </row>
    <row r="12" ht="13.2" customHeight="1" s="37">
      <c r="E12" s="4" t="n"/>
    </row>
    <row r="13" ht="13.2" customHeight="1" s="37">
      <c r="E13" s="4" t="n"/>
    </row>
  </sheetData>
  <mergeCells count="1">
    <mergeCell ref="A1:G1"/>
  </mergeCell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G7"/>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37">
      <c r="A1" s="41">
        <f>HYPERLINK("#gid=0", "🏠 กลับสู่หน้าแรก (Go to Home Page)")</f>
        <v/>
      </c>
    </row>
    <row r="2" ht="21.6" customHeight="1" s="37">
      <c r="A2" s="29" t="inlineStr">
        <is>
          <t>MessageId</t>
        </is>
      </c>
      <c r="B2" s="29" t="inlineStr">
        <is>
          <t>Timestamp</t>
        </is>
      </c>
      <c r="C2" s="29" t="inlineStr">
        <is>
          <t>Username</t>
        </is>
      </c>
      <c r="D2" s="29" t="inlineStr">
        <is>
          <t>Display Name</t>
        </is>
      </c>
      <c r="E2" s="29" t="inlineStr">
        <is>
          <t>Message Text</t>
        </is>
      </c>
      <c r="F2" s="29" t="inlineStr">
        <is>
          <t>ReplyToId</t>
        </is>
      </c>
      <c r="G2" s="29" t="inlineStr">
        <is>
          <t>Topic Tag</t>
        </is>
      </c>
    </row>
    <row r="3" ht="13.2" customHeight="1" s="37">
      <c r="A3" s="2" t="inlineStr">
        <is>
          <t>msg_1790163390739</t>
        </is>
      </c>
      <c r="B3" s="2" t="inlineStr">
        <is>
          <t>2026-09-23T11:36:30.739Z</t>
        </is>
      </c>
      <c r="C3" s="2" t="inlineStr">
        <is>
          <t>maxnum</t>
        </is>
      </c>
      <c r="D3" s="2" t="inlineStr">
        <is>
          <t>Maxnum</t>
        </is>
      </c>
      <c r="E3" s="2" t="inlineStr">
        <is>
          <t>สวัสดีงับชาวบ้านทดสอบระบบ</t>
        </is>
      </c>
      <c r="G3" s="2" t="inlineStr">
        <is>
          <t>Clinic</t>
        </is>
      </c>
    </row>
    <row r="4" ht="13.2" customHeight="1" s="37">
      <c r="A4" s="2" t="inlineStr">
        <is>
          <t>msg_1790167308559</t>
        </is>
      </c>
      <c r="B4" s="2" t="inlineStr">
        <is>
          <t>2026-09-23T12:41:48.559Z</t>
        </is>
      </c>
      <c r="C4" s="2" t="inlineStr">
        <is>
          <t>maxnum</t>
        </is>
      </c>
      <c r="D4" s="2" t="inlineStr">
        <is>
          <t>Maxnum</t>
        </is>
      </c>
      <c r="E4" s="2" t="inlineStr">
        <is>
          <t>ยัยบ๊องตื้น</t>
        </is>
      </c>
      <c r="F4" s="2" t="inlineStr">
        <is>
          <t>msg_1790163390739</t>
        </is>
      </c>
      <c r="G4" s="2" t="inlineStr">
        <is>
          <t>1. Musculoskeleton</t>
        </is>
      </c>
    </row>
    <row r="5" ht="13.2" customHeight="1" s="37">
      <c r="A5" s="2" t="inlineStr">
        <is>
          <t>msg_1790255957466</t>
        </is>
      </c>
      <c r="B5" s="2" t="inlineStr">
        <is>
          <t>2026-09-24T13:19:17.466Z</t>
        </is>
      </c>
      <c r="C5" s="2" t="inlineStr">
        <is>
          <t>anonymous</t>
        </is>
      </c>
      <c r="D5" s="2" t="inlineStr">
        <is>
          <t>บุคคลทั่วไป</t>
        </is>
      </c>
      <c r="E5" s="2" t="inlineStr">
        <is>
          <t>☆*: .｡. o(≧▽≦)o .｡.:*☆</t>
        </is>
      </c>
      <c r="F5" s="2" t="inlineStr">
        <is>
          <t>msg_1790167308559</t>
        </is>
      </c>
      <c r="G5" s="2" t="inlineStr">
        <is>
          <t>Clinic</t>
        </is>
      </c>
    </row>
    <row r="6" ht="13.2" customHeight="1" s="37">
      <c r="A6" s="2" t="inlineStr">
        <is>
          <t>msg_1790256395477</t>
        </is>
      </c>
      <c r="B6" s="2" t="inlineStr">
        <is>
          <t>2026-09-24T13:26:35.477Z</t>
        </is>
      </c>
      <c r="C6" s="2" t="inlineStr">
        <is>
          <t>maxnum</t>
        </is>
      </c>
      <c r="D6" s="2" t="inlineStr">
        <is>
          <t>Maxnum</t>
        </is>
      </c>
      <c r="E6" s="2" t="inlineStr">
        <is>
          <t>ข้อไหนเอ๋อมันน้องเอไอกำลังทยอยแก้อยู่นะงับ กด  Report บอกน้องเอไอมันจะตามแก้ให้เอง</t>
        </is>
      </c>
      <c r="G6" s="2" t="inlineStr">
        <is>
          <t>Clinic</t>
        </is>
      </c>
    </row>
    <row r="7" ht="13.2" customHeight="1" s="37">
      <c r="A7" s="2" t="inlineStr">
        <is>
          <t>msg_1790256597256</t>
        </is>
      </c>
      <c r="B7" s="2" t="inlineStr">
        <is>
          <t>2026-09-24T13:29:57.256Z</t>
        </is>
      </c>
      <c r="C7" s="2" t="inlineStr">
        <is>
          <t>maxnum</t>
        </is>
      </c>
      <c r="D7" s="2" t="inlineStr">
        <is>
          <t>Maxnum</t>
        </is>
      </c>
      <c r="E7" s="2" t="inlineStr">
        <is>
          <t>กด Filter เล่มม่วง Pharma Plus นะครับส่วนใหญ่มันถูก</t>
        </is>
      </c>
      <c r="G7" s="2" t="inlineStr">
        <is>
          <t>1. Musculoskeleton</t>
        </is>
      </c>
    </row>
  </sheetData>
  <mergeCells count="1">
    <mergeCell ref="A1:G1"/>
  </mergeCell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H1000"/>
  <sheetViews>
    <sheetView workbookViewId="0">
      <pane ySplit="2" topLeftCell="A3" activePane="bottomLeft" state="frozen"/>
      <selection pane="bottomLeft" activeCell="B4" sqref="B4"/>
    </sheetView>
  </sheetViews>
  <sheetFormatPr baseColWidth="8" defaultColWidth="12.6640625" defaultRowHeight="15.75" customHeight="1"/>
  <cols>
    <col width="20.109375" customWidth="1" style="37" min="1" max="1"/>
    <col width="16.33203125" customWidth="1" style="37" min="2" max="2"/>
    <col width="20.109375" customWidth="1" style="37" min="3" max="3"/>
    <col width="15.109375" customWidth="1" style="37" min="4" max="4"/>
    <col width="32.6640625" customWidth="1" style="37" min="5" max="5"/>
    <col width="18.88671875" customWidth="1" style="37" min="6" max="6"/>
    <col width="32.6640625" customWidth="1" style="37" min="7" max="7"/>
    <col width="23.88671875" customWidth="1" style="37" min="8" max="8"/>
  </cols>
  <sheetData>
    <row r="1" ht="26.25" customHeight="1" s="37">
      <c r="A1" s="42" t="inlineStr">
        <is>
          <t>🏠 กลับสู่หน้าแรก (Go to Home Page)</t>
        </is>
      </c>
    </row>
    <row r="2" ht="21.6" customHeight="1" s="37">
      <c r="A2" s="30" t="inlineStr">
        <is>
          <t>Timestamp (วัน-เวลา)</t>
        </is>
      </c>
      <c r="B2" s="30" t="inlineStr">
        <is>
          <t>User (ผู้แจ้ง)</t>
        </is>
      </c>
      <c r="C2" s="30" t="inlineStr">
        <is>
          <t>Category (หมวดหมู่วิชา)</t>
        </is>
      </c>
      <c r="D2" s="30" t="inlineStr">
        <is>
          <t>Question ID / Ref</t>
        </is>
      </c>
      <c r="E2" s="30" t="inlineStr">
        <is>
          <t>โจทย์คำถาม (ย่อ)</t>
        </is>
      </c>
      <c r="F2" s="30" t="inlineStr">
        <is>
          <t>ประเภทปัญหาที่พบ</t>
        </is>
      </c>
      <c r="G2" s="30" t="inlineStr">
        <is>
          <t>รายละเอียดข้อผิดพลาดที่แจ้ง</t>
        </is>
      </c>
      <c r="H2" s="30" t="inlineStr">
        <is>
          <t>สถานะการแก้ไข (Status)</t>
        </is>
      </c>
    </row>
    <row r="3" ht="21.6" customHeight="1" s="37">
      <c r="A3" s="2" t="inlineStr">
        <is>
          <t>2026-09-24T13:24:45.393Z</t>
        </is>
      </c>
      <c r="B3" s="2" t="inlineStr">
        <is>
          <t>บุคคลทั่วไป</t>
        </is>
      </c>
      <c r="C3" s="2" t="inlineStr">
        <is>
          <t>4. Endocrine</t>
        </is>
      </c>
      <c r="D3" s="2" t="inlineStr">
        <is>
          <t>4. Endocrine::164</t>
        </is>
      </c>
      <c r="E3" s="2" t="inlineStr">
        <is>
          <t>จำนวนผู$ป&amp;วยโรคเบาหวานรายใหมGตGอจำนวนประชากรที่มีความเสี่ยงที่จะเกิดโรคเบาห วาน</t>
        </is>
      </c>
      <c r="F3" s="2" t="inlineStr">
        <is>
          <t>โจทย์กำกวม / พิมพ์ตกหล่น</t>
        </is>
      </c>
      <c r="G3" s="2" t="inlineStr">
        <is>
          <t>โจทย์พิมตกหล่น</t>
        </is>
      </c>
      <c r="H3" s="31" t="inlineStr">
        <is>
          <t>Pending (รอดำเนินการ)</t>
        </is>
      </c>
    </row>
    <row r="4" ht="21.6" customHeight="1" s="37">
      <c r="A4" s="2" t="inlineStr">
        <is>
          <t>2026-09-24T13:25:06.755Z</t>
        </is>
      </c>
      <c r="B4" s="2" t="inlineStr">
        <is>
          <t>บุคคลทั่วไป</t>
        </is>
      </c>
      <c r="C4" s="2" t="inlineStr">
        <is>
          <t>4. Endocrine</t>
        </is>
      </c>
      <c r="D4" s="2" t="inlineStr">
        <is>
          <t>16. Others &amp; Toxic::1752</t>
        </is>
      </c>
      <c r="E4" s="2" t="inlineStr">
        <is>
          <t>Pioglitazone</t>
        </is>
      </c>
      <c r="F4" s="2" t="inlineStr">
        <is>
          <t>โจทย์กำกวม / พิมพ์ตกหล่น</t>
        </is>
      </c>
      <c r="G4" s="2" t="inlineStr">
        <is>
          <t>ไม่มีโจทย์</t>
        </is>
      </c>
      <c r="H4" s="31" t="inlineStr">
        <is>
          <t>Pending (รอดำเนินการ)</t>
        </is>
      </c>
    </row>
    <row r="5" ht="21.6" customHeight="1" s="37">
      <c r="A5" s="2" t="inlineStr">
        <is>
          <t>2026-09-24T13:33:03.933Z</t>
        </is>
      </c>
      <c r="B5" s="2" t="inlineStr">
        <is>
          <t>บุคคลทั่วไป</t>
        </is>
      </c>
      <c r="C5" s="2" t="inlineStr">
        <is>
          <t>1. Titrations</t>
        </is>
      </c>
      <c r="D5" s="2" t="inlineStr">
        <is>
          <t>1. Titrations::46</t>
        </is>
      </c>
      <c r="E5" s="2" t="inlineStr">
        <is>
          <t>การวิเคราะห_ FeSO4 ด$วยสารละลาย potassium permanganate (KMnO4) ใช$วิธีวิเคราะห_ใด (1) Acid-base titration (2) Non-aqueous acid-base titration (3) Oxid</t>
        </is>
      </c>
      <c r="F5" s="2" t="inlineStr">
        <is>
          <t>โจทย์กำกวม / พิมพ์ตกหล่น</t>
        </is>
      </c>
      <c r="G5" s="2" t="inlineStr">
        <is>
          <t>พิมพ์โจทย์ผิด เฉลยแปลกๆ</t>
        </is>
      </c>
      <c r="H5" s="31" t="inlineStr">
        <is>
          <t>Pending (รอดำเนินการ)</t>
        </is>
      </c>
    </row>
    <row r="6" ht="21.6" customHeight="1" s="37">
      <c r="A6" s="2" t="inlineStr">
        <is>
          <t>2026-09-24T13:35:29.057Z</t>
        </is>
      </c>
      <c r="B6" s="2" t="inlineStr">
        <is>
          <t>idea</t>
        </is>
      </c>
      <c r="C6" s="2" t="inlineStr">
        <is>
          <t>18. Clinical Nutrition</t>
        </is>
      </c>
      <c r="D6" s="2" t="inlineStr">
        <is>
          <t>18. Clinical Nutrition::23</t>
        </is>
      </c>
      <c r="E6" s="2" t="inlineStr">
        <is>
          <t>รูปแบบของวิตามินดี ที_x001E_พร้อมออกฤทธิAคือข้อใด (1) 1,25-dihydroxycholecalciferol (2) 1-hydroxycholecalciferol (3) 25-hydroxycholecalciferol (4) Cholecalc</t>
        </is>
      </c>
      <c r="F6" s="2" t="inlineStr">
        <is>
          <t>โจทย์กำกวม / พิมพ์ตกหล่น</t>
        </is>
      </c>
      <c r="G6" s="2" t="inlineStr">
        <is>
          <t>แปกๆ</t>
        </is>
      </c>
      <c r="H6" s="31" t="inlineStr">
        <is>
          <t>Pending (รอดำเนินการ)</t>
        </is>
      </c>
    </row>
    <row r="7" ht="21.6" customHeight="1" s="37">
      <c r="A7" s="2" t="inlineStr">
        <is>
          <t>2026-09-24T13:35:53.592Z</t>
        </is>
      </c>
      <c r="B7" s="2" t="inlineStr">
        <is>
          <t>idea</t>
        </is>
      </c>
      <c r="C7" s="2" t="inlineStr">
        <is>
          <t>18. Clinical Nutrition</t>
        </is>
      </c>
      <c r="D7" s="2" t="inlineStr">
        <is>
          <t>18. Clinical Nutrition::24</t>
        </is>
      </c>
      <c r="E7" s="2" t="inlineStr">
        <is>
          <t>การจ่ายยาชุดวิตามินรวม ให้เจ้าของสุนัขโดยผู้ช่วยสัตวแพทย์</t>
        </is>
      </c>
      <c r="F7" s="2" t="inlineStr">
        <is>
          <t>โจทย์กำกวม / พิมพ์ตกหล่น</t>
        </is>
      </c>
      <c r="G7" s="2" t="inlineStr">
        <is>
          <t>มะเข้าใจ</t>
        </is>
      </c>
      <c r="H7" s="31" t="inlineStr">
        <is>
          <t>Pending (รอดำเนินการ)</t>
        </is>
      </c>
    </row>
    <row r="8" ht="21.6" customHeight="1" s="37">
      <c r="A8" s="2" t="inlineStr">
        <is>
          <t>2026-09-24T13:36:40.555Z</t>
        </is>
      </c>
      <c r="B8" s="2" t="inlineStr">
        <is>
          <t>idea</t>
        </is>
      </c>
      <c r="C8" s="2" t="inlineStr">
        <is>
          <t>18. Clinical Nutrition</t>
        </is>
      </c>
      <c r="D8" s="2" t="inlineStr">
        <is>
          <t>18. Clinical Nutrition::25</t>
        </is>
      </c>
      <c r="E8" s="2" t="inlineStr">
        <is>
          <t>วิตามินใดที่ใช$ในการปนองกันอาการชาของผู$ป&amp;วย</t>
        </is>
      </c>
      <c r="F8" s="2" t="inlineStr">
        <is>
          <t>โจทย์กำกวม / พิมพ์ตกหล่น</t>
        </is>
      </c>
      <c r="G8" s="2" t="inlineStr">
        <is>
          <t>พิมพ์ผิด</t>
        </is>
      </c>
      <c r="H8" s="31" t="inlineStr">
        <is>
          <t>Pending (รอดำเนินการ)</t>
        </is>
      </c>
    </row>
    <row r="9" ht="21.6" customHeight="1" s="37">
      <c r="A9" s="2" t="inlineStr">
        <is>
          <t>2026-09-24T13:41:24.660Z</t>
        </is>
      </c>
      <c r="B9" s="2" t="inlineStr">
        <is>
          <t>Maxnum</t>
        </is>
      </c>
      <c r="C9" s="2" t="inlineStr">
        <is>
          <t>2. Cardiovascular</t>
        </is>
      </c>
      <c r="D9" s="2" t="inlineStr">
        <is>
          <t>2. Cardiovascular::3</t>
        </is>
      </c>
      <c r="E9"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9" s="2" t="inlineStr">
        <is>
          <t>เฉลยไม่ถูกต้อง / ขัดแย้งกับ Guideline</t>
        </is>
      </c>
      <c r="G9" s="2" t="inlineStr">
        <is>
          <t>เฉลยควรบอกเกณฑ์ BP มาเลย</t>
        </is>
      </c>
      <c r="H9" s="31" t="inlineStr">
        <is>
          <t>Pending (รอดำเนินการ)</t>
        </is>
      </c>
    </row>
    <row r="10" ht="21.6" customHeight="1" s="37">
      <c r="A10" s="2" t="inlineStr">
        <is>
          <t>2026-09-24T13:42:18.204Z</t>
        </is>
      </c>
      <c r="B10" s="2" t="inlineStr">
        <is>
          <t>บุคคลทั่วไป</t>
        </is>
      </c>
      <c r="C10" s="2" t="inlineStr">
        <is>
          <t>11. Herbal Products</t>
        </is>
      </c>
      <c r="D10" s="2" t="inlineStr">
        <is>
          <t>11. Herbal Products::3</t>
        </is>
      </c>
      <c r="E10" s="2" t="inlineStr">
        <is>
          <t>แบบทดสอบความรู้ทางเภสัชกรรม ข้อที่ 1</t>
        </is>
      </c>
      <c r="F10" s="2" t="inlineStr">
        <is>
          <t>อื่นๆ</t>
        </is>
      </c>
      <c r="G10" s="2" t="inlineStr">
        <is>
          <t>ไม่มีโจทย์</t>
        </is>
      </c>
      <c r="H10" s="31" t="inlineStr">
        <is>
          <t>Pending (รอดำเนินการ)</t>
        </is>
      </c>
    </row>
    <row r="11" ht="21.6" customHeight="1" s="37">
      <c r="A11" s="2" t="inlineStr">
        <is>
          <t>2026-09-24T13:43:06.372Z</t>
        </is>
      </c>
      <c r="B11" s="2" t="inlineStr">
        <is>
          <t>บุคคลทั่วไป</t>
        </is>
      </c>
      <c r="C11" s="2" t="inlineStr">
        <is>
          <t>3. Dermatologic</t>
        </is>
      </c>
      <c r="D11" s="2" t="inlineStr">
        <is>
          <t>3. Dermatologic::167</t>
        </is>
      </c>
      <c r="E11" s="2"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t>
        </is>
      </c>
      <c r="F11" s="2" t="inlineStr">
        <is>
          <t>เฉลยไม่ถูกต้อง / ขัดแย้งกับ Guideline</t>
        </is>
      </c>
      <c r="G11" s="2" t="inlineStr">
        <is>
          <t>โจทย์เป็น allergy</t>
        </is>
      </c>
      <c r="H11" s="31" t="inlineStr">
        <is>
          <t>Pending (รอดำเนินการ)</t>
        </is>
      </c>
    </row>
    <row r="12" ht="21.6" customHeight="1" s="37">
      <c r="A12" s="2" t="inlineStr">
        <is>
          <t>2026-09-24T13:43:19.108Z</t>
        </is>
      </c>
      <c r="B12" s="2" t="inlineStr">
        <is>
          <t>Maxnum</t>
        </is>
      </c>
      <c r="C12" s="2" t="inlineStr">
        <is>
          <t>2. Cardiovascular</t>
        </is>
      </c>
      <c r="D12" s="2" t="inlineStr">
        <is>
          <t>2. Cardiovascular::4</t>
        </is>
      </c>
      <c r="E12"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12" s="2" t="inlineStr">
        <is>
          <t>เฉลยไม่ถูกต้อง / ขัดแย้งกับ Guideline</t>
        </is>
      </c>
      <c r="G12" s="2" t="inlineStr">
        <is>
          <t>เฉลยควรบอกว่ามันควรงดกินอะไร HtN</t>
        </is>
      </c>
      <c r="H12" s="31" t="inlineStr">
        <is>
          <t>Pending (รอดำเนินการ)</t>
        </is>
      </c>
    </row>
    <row r="13" ht="21.6" customHeight="1" s="37">
      <c r="A13" s="2" t="inlineStr">
        <is>
          <t>2026-09-24T13:44:39.585Z</t>
        </is>
      </c>
      <c r="B13" s="2" t="inlineStr">
        <is>
          <t>บุคคลทั่วไป</t>
        </is>
      </c>
      <c r="C13" s="2" t="inlineStr">
        <is>
          <t>1. Musculoskeleton</t>
        </is>
      </c>
      <c r="D13" s="2" t="inlineStr">
        <is>
          <t>16. Others &amp; Toxic::1692</t>
        </is>
      </c>
      <c r="E13" s="2" t="inlineStr">
        <is>
          <t>ยาต้านอักเสบตัวใดที่ไม่ควรใช้ในโรคเกาต์</t>
        </is>
      </c>
      <c r="F13" s="2" t="inlineStr">
        <is>
          <t>เฉลยไม่ถูกต้อง / ขัดแย้งกับ Guideline</t>
        </is>
      </c>
      <c r="G13" s="2" t="inlineStr">
        <is>
          <t>choice มีเฉลย แต่ไม่ตรงกับชื่อยา</t>
        </is>
      </c>
      <c r="H13" s="31" t="inlineStr">
        <is>
          <t>Pending (รอดำเนินการ)</t>
        </is>
      </c>
    </row>
    <row r="14" ht="21.6" customHeight="1" s="37">
      <c r="A14" s="2" t="inlineStr">
        <is>
          <t>2026-09-24T13:44:51.287Z</t>
        </is>
      </c>
      <c r="B14" s="2" t="inlineStr">
        <is>
          <t>Maxnum</t>
        </is>
      </c>
      <c r="C14" s="2" t="inlineStr">
        <is>
          <t>5. Pharmaceutical Calc</t>
        </is>
      </c>
      <c r="D14" s="2" t="inlineStr">
        <is>
          <t>16. Others &amp; Toxic::90</t>
        </is>
      </c>
      <c r="E14" s="2" t="inlineStr">
        <is>
          <t>ให้ข้อมูลมาคำนวณ%assay ตัวเลือก</t>
        </is>
      </c>
      <c r="F14" s="2" t="inlineStr">
        <is>
          <t>เฉลยไม่ถูกต้อง / ขัดแย้งกับ Guideline</t>
        </is>
      </c>
      <c r="G14" s="2" t="inlineStr">
        <is>
          <t>โจทย์ไมาตรว</t>
        </is>
      </c>
      <c r="H14" s="31" t="inlineStr">
        <is>
          <t>Pending (รอดำเนินการ)</t>
        </is>
      </c>
    </row>
    <row r="15" ht="21.6" customHeight="1" s="37">
      <c r="A15" s="2" t="inlineStr">
        <is>
          <t>2026-09-24T13:45:09.913Z</t>
        </is>
      </c>
      <c r="B15" s="2" t="inlineStr">
        <is>
          <t>Maxnum</t>
        </is>
      </c>
      <c r="C15" s="2" t="inlineStr">
        <is>
          <t>5. Pharmaceutical Calc</t>
        </is>
      </c>
      <c r="D15" s="2" t="inlineStr">
        <is>
          <t>16. Others &amp; Toxic::90</t>
        </is>
      </c>
      <c r="E15" s="2" t="inlineStr">
        <is>
          <t>ให้ข้อมูลมาคำนวณ%assay ตัวเลือก</t>
        </is>
      </c>
      <c r="F15" s="2" t="inlineStr">
        <is>
          <t>โจทย์กำกวม / พิมพ์ตกหล่น</t>
        </is>
      </c>
      <c r="G15" s="2" t="inlineStr">
        <is>
          <t>โจทย์ตัวเลือดไม่ตรงกัน</t>
        </is>
      </c>
      <c r="H15" s="31" t="inlineStr">
        <is>
          <t>Pending (รอดำเนินการ)</t>
        </is>
      </c>
    </row>
    <row r="16" ht="21.6" customHeight="1" s="37">
      <c r="A16" s="2" t="inlineStr">
        <is>
          <t>2026-09-24T13:47:03.540Z</t>
        </is>
      </c>
      <c r="B16" s="2" t="inlineStr">
        <is>
          <t>บุคคลทั่วไป</t>
        </is>
      </c>
      <c r="C16" s="2" t="inlineStr">
        <is>
          <t>2. Cardiovascular</t>
        </is>
      </c>
      <c r="D16" s="2" t="inlineStr">
        <is>
          <t>2. Cardiovascular::343</t>
        </is>
      </c>
      <c r="E16" s="2" t="inlineStr">
        <is>
          <t>Amitriptyline ใช้ได้ แต่เนื่องจากยามีหลาย mechanism จึงทำให้เกิดอาการไม่พึงประสงค์มาก จึงไม่เหมาะสม</t>
        </is>
      </c>
      <c r="F16" s="2" t="inlineStr">
        <is>
          <t>โจทย์กำกวม / พิมพ์ตกหล่น</t>
        </is>
      </c>
      <c r="G16" s="2" t="inlineStr">
        <is>
          <t>ไม่ระบุคำถาม</t>
        </is>
      </c>
      <c r="H16" s="31" t="inlineStr">
        <is>
          <t>Pending (รอดำเนินการ)</t>
        </is>
      </c>
    </row>
    <row r="17" ht="21.6" customHeight="1" s="37">
      <c r="A17" s="2" t="inlineStr">
        <is>
          <t>2026-09-24T14:03:13.737Z</t>
        </is>
      </c>
      <c r="B17" s="2" t="inlineStr">
        <is>
          <t>บุคคลทั่วไป</t>
        </is>
      </c>
      <c r="C17" s="2" t="inlineStr">
        <is>
          <t>13. Medicinal Chemistry</t>
        </is>
      </c>
      <c r="D17" s="2" t="inlineStr">
        <is>
          <t>13. Medicinal Chemistry::45</t>
        </is>
      </c>
      <c r="E17" s="2" t="inlineStr">
        <is>
          <t>ความเข$มข$น adrenaline 0.01% คืออะไร</t>
        </is>
      </c>
      <c r="F17" s="2" t="inlineStr">
        <is>
          <t>โจทย์กำกวม / พิมพ์ตกหล่น</t>
        </is>
      </c>
      <c r="G17" s="2" t="inlineStr">
        <is>
          <t>ผิดไปหมดเลย555555</t>
        </is>
      </c>
      <c r="H17" s="31" t="inlineStr">
        <is>
          <t>Pending (รอดำเนินการ)</t>
        </is>
      </c>
    </row>
    <row r="18" ht="21.6" customHeight="1" s="37">
      <c r="H18" s="31" t="n"/>
    </row>
    <row r="19" ht="21.6" customHeight="1" s="37">
      <c r="H19" s="31" t="n"/>
    </row>
    <row r="20" ht="21.6" customHeight="1" s="37">
      <c r="H20" s="31" t="n"/>
    </row>
    <row r="21" ht="21.6" customHeight="1" s="37">
      <c r="H21" s="31" t="n"/>
    </row>
    <row r="22" ht="21.6" customHeight="1" s="37">
      <c r="H22" s="31" t="n"/>
    </row>
    <row r="23" ht="21.6" customHeight="1" s="37">
      <c r="H23" s="31" t="n"/>
    </row>
    <row r="24" ht="21.6" customHeight="1" s="37">
      <c r="H24" s="31" t="n"/>
    </row>
    <row r="25" ht="21.6" customHeight="1" s="37">
      <c r="H25" s="31" t="n"/>
    </row>
    <row r="26" ht="21.6" customHeight="1" s="37">
      <c r="H26" s="31" t="n"/>
    </row>
    <row r="27" ht="21.6" customHeight="1" s="37">
      <c r="H27" s="31" t="n"/>
    </row>
    <row r="28" ht="21.6" customHeight="1" s="37">
      <c r="H28" s="31" t="n"/>
    </row>
    <row r="29" ht="21.6" customHeight="1" s="37">
      <c r="H29" s="31" t="n"/>
    </row>
    <row r="30" ht="21.6" customHeight="1" s="37">
      <c r="H30" s="31" t="n"/>
    </row>
    <row r="31" ht="21.6" customHeight="1" s="37">
      <c r="H31" s="31" t="n"/>
    </row>
    <row r="32" ht="21.6" customHeight="1" s="37">
      <c r="H32" s="31" t="n"/>
    </row>
    <row r="33" ht="21.6" customHeight="1" s="37">
      <c r="H33" s="31" t="n"/>
    </row>
    <row r="34" ht="21.6" customHeight="1" s="37">
      <c r="H34" s="31" t="n"/>
    </row>
    <row r="35" ht="21.6" customHeight="1" s="37">
      <c r="H35" s="31" t="n"/>
    </row>
    <row r="36" ht="21.6" customHeight="1" s="37">
      <c r="H36" s="31" t="n"/>
    </row>
    <row r="37" ht="21.6" customHeight="1" s="37">
      <c r="H37" s="31" t="n"/>
    </row>
    <row r="38" ht="21.6" customHeight="1" s="37">
      <c r="H38" s="31" t="n"/>
    </row>
    <row r="39" ht="21.6" customHeight="1" s="37">
      <c r="H39" s="31" t="n"/>
    </row>
    <row r="40" ht="21.6" customHeight="1" s="37">
      <c r="H40" s="31" t="n"/>
    </row>
    <row r="41" ht="21.6" customHeight="1" s="37">
      <c r="H41" s="31" t="n"/>
    </row>
    <row r="42" ht="21.6" customHeight="1" s="37">
      <c r="H42" s="31" t="n"/>
    </row>
    <row r="43" ht="21.6" customHeight="1" s="37">
      <c r="H43" s="31" t="n"/>
    </row>
    <row r="44" ht="21.6" customHeight="1" s="37">
      <c r="H44" s="31" t="n"/>
    </row>
    <row r="45" ht="21.6" customHeight="1" s="37">
      <c r="H45" s="31" t="n"/>
    </row>
    <row r="46" ht="21.6" customHeight="1" s="37">
      <c r="H46" s="31" t="n"/>
    </row>
    <row r="47" ht="21.6" customHeight="1" s="37">
      <c r="H47" s="31" t="n"/>
    </row>
    <row r="48" ht="21.6" customHeight="1" s="37">
      <c r="H48" s="31" t="n"/>
    </row>
    <row r="49" ht="21.6" customHeight="1" s="37">
      <c r="H49" s="31" t="n"/>
    </row>
    <row r="50" ht="21.6" customHeight="1" s="37">
      <c r="H50" s="31" t="n"/>
    </row>
    <row r="51" ht="21.6" customHeight="1" s="37">
      <c r="H51" s="31" t="n"/>
    </row>
    <row r="52" ht="21.6" customHeight="1" s="37">
      <c r="H52" s="31" t="n"/>
    </row>
    <row r="53" ht="21.6" customHeight="1" s="37">
      <c r="H53" s="31" t="n"/>
    </row>
    <row r="54" ht="21.6" customHeight="1" s="37">
      <c r="H54" s="31" t="n"/>
    </row>
    <row r="55" ht="21.6" customHeight="1" s="37">
      <c r="H55" s="31" t="n"/>
    </row>
    <row r="56" ht="21.6" customHeight="1" s="37">
      <c r="H56" s="31" t="n"/>
    </row>
    <row r="57" ht="21.6" customHeight="1" s="37">
      <c r="H57" s="31" t="n"/>
    </row>
    <row r="58" ht="21.6" customHeight="1" s="37">
      <c r="H58" s="31" t="n"/>
    </row>
    <row r="59" ht="21.6" customHeight="1" s="37">
      <c r="H59" s="31" t="n"/>
    </row>
    <row r="60" ht="21.6" customHeight="1" s="37">
      <c r="H60" s="31" t="n"/>
    </row>
    <row r="61" ht="21.6" customHeight="1" s="37">
      <c r="H61" s="31" t="n"/>
    </row>
    <row r="62" ht="21.6" customHeight="1" s="37">
      <c r="H62" s="31" t="n"/>
    </row>
    <row r="63" ht="21.6" customHeight="1" s="37">
      <c r="H63" s="31" t="n"/>
    </row>
    <row r="64" ht="21.6" customHeight="1" s="37">
      <c r="H64" s="31" t="n"/>
    </row>
    <row r="65" ht="21.6" customHeight="1" s="37">
      <c r="H65" s="31" t="n"/>
    </row>
    <row r="66" ht="21.6" customHeight="1" s="37">
      <c r="H66" s="31" t="n"/>
    </row>
    <row r="67" ht="21.6" customHeight="1" s="37">
      <c r="H67" s="31" t="n"/>
    </row>
    <row r="68" ht="21.6" customHeight="1" s="37">
      <c r="H68" s="31" t="n"/>
    </row>
    <row r="69" ht="21.6" customHeight="1" s="37">
      <c r="H69" s="31" t="n"/>
    </row>
    <row r="70" ht="21.6" customHeight="1" s="37">
      <c r="H70" s="31" t="n"/>
    </row>
    <row r="71" ht="21.6" customHeight="1" s="37">
      <c r="H71" s="31" t="n"/>
    </row>
    <row r="72" ht="21.6" customHeight="1" s="37">
      <c r="H72" s="31" t="n"/>
    </row>
    <row r="73" ht="21.6" customHeight="1" s="37">
      <c r="H73" s="31" t="n"/>
    </row>
    <row r="74" ht="21.6" customHeight="1" s="37">
      <c r="H74" s="31" t="n"/>
    </row>
    <row r="75" ht="21.6" customHeight="1" s="37">
      <c r="H75" s="31" t="n"/>
    </row>
    <row r="76" ht="21.6" customHeight="1" s="37">
      <c r="H76" s="31" t="n"/>
    </row>
    <row r="77" ht="21.6" customHeight="1" s="37">
      <c r="H77" s="31" t="n"/>
    </row>
    <row r="78" ht="21.6" customHeight="1" s="37">
      <c r="H78" s="31" t="n"/>
    </row>
    <row r="79" ht="21.6" customHeight="1" s="37">
      <c r="H79" s="31" t="n"/>
    </row>
    <row r="80" ht="21.6" customHeight="1" s="37">
      <c r="H80" s="31" t="n"/>
    </row>
    <row r="81" ht="21.6" customHeight="1" s="37">
      <c r="H81" s="31" t="n"/>
    </row>
    <row r="82" ht="21.6" customHeight="1" s="37">
      <c r="H82" s="31" t="n"/>
    </row>
    <row r="83" ht="21.6" customHeight="1" s="37">
      <c r="H83" s="31" t="n"/>
    </row>
    <row r="84" ht="21.6" customHeight="1" s="37">
      <c r="H84" s="31" t="n"/>
    </row>
    <row r="85" ht="21.6" customHeight="1" s="37">
      <c r="H85" s="31" t="n"/>
    </row>
    <row r="86" ht="21.6" customHeight="1" s="37">
      <c r="H86" s="31" t="n"/>
    </row>
    <row r="87" ht="21.6" customHeight="1" s="37">
      <c r="H87" s="31" t="n"/>
    </row>
    <row r="88" ht="21.6" customHeight="1" s="37">
      <c r="H88" s="31" t="n"/>
    </row>
    <row r="89" ht="21.6" customHeight="1" s="37">
      <c r="H89" s="31" t="n"/>
    </row>
    <row r="90" ht="21.6" customHeight="1" s="37">
      <c r="H90" s="31" t="n"/>
    </row>
    <row r="91" ht="21.6" customHeight="1" s="37">
      <c r="H91" s="31" t="n"/>
    </row>
    <row r="92" ht="21.6" customHeight="1" s="37">
      <c r="H92" s="31" t="n"/>
    </row>
    <row r="93" ht="21.6" customHeight="1" s="37">
      <c r="H93" s="31" t="n"/>
    </row>
    <row r="94" ht="21.6" customHeight="1" s="37">
      <c r="H94" s="31" t="n"/>
    </row>
    <row r="95" ht="21.6" customHeight="1" s="37">
      <c r="H95" s="31" t="n"/>
    </row>
    <row r="96" ht="21.6" customHeight="1" s="37">
      <c r="H96" s="31" t="n"/>
    </row>
    <row r="97" ht="21.6" customHeight="1" s="37">
      <c r="H97" s="31" t="n"/>
    </row>
    <row r="98" ht="21.6" customHeight="1" s="37">
      <c r="H98" s="31" t="n"/>
    </row>
    <row r="99" ht="21.6" customHeight="1" s="37">
      <c r="H99" s="31" t="n"/>
    </row>
    <row r="100" ht="21.6" customHeight="1" s="37">
      <c r="H100" s="31" t="n"/>
    </row>
    <row r="101" ht="21.6" customHeight="1" s="37">
      <c r="H101" s="31" t="n"/>
    </row>
    <row r="102" ht="21.6" customHeight="1" s="37">
      <c r="H102" s="31" t="n"/>
    </row>
    <row r="103" ht="21.6" customHeight="1" s="37">
      <c r="H103" s="31" t="n"/>
    </row>
    <row r="104" ht="21.6" customHeight="1" s="37">
      <c r="H104" s="31" t="n"/>
    </row>
    <row r="105" ht="21.6" customHeight="1" s="37">
      <c r="H105" s="31" t="n"/>
    </row>
    <row r="106" ht="21.6" customHeight="1" s="37">
      <c r="H106" s="31" t="n"/>
    </row>
    <row r="107" ht="21.6" customHeight="1" s="37">
      <c r="H107" s="31" t="n"/>
    </row>
    <row r="108" ht="21.6" customHeight="1" s="37">
      <c r="H108" s="31" t="n"/>
    </row>
    <row r="109" ht="21.6" customHeight="1" s="37">
      <c r="H109" s="31" t="n"/>
    </row>
    <row r="110" ht="21.6" customHeight="1" s="37">
      <c r="H110" s="31" t="n"/>
    </row>
    <row r="111" ht="21.6" customHeight="1" s="37">
      <c r="H111" s="31" t="n"/>
    </row>
    <row r="112" ht="21.6" customHeight="1" s="37">
      <c r="H112" s="31" t="n"/>
    </row>
    <row r="113" ht="21.6" customHeight="1" s="37">
      <c r="H113" s="31" t="n"/>
    </row>
    <row r="114" ht="21.6" customHeight="1" s="37">
      <c r="H114" s="31" t="n"/>
    </row>
    <row r="115" ht="21.6" customHeight="1" s="37">
      <c r="H115" s="31" t="n"/>
    </row>
    <row r="116" ht="21.6" customHeight="1" s="37">
      <c r="H116" s="31" t="n"/>
    </row>
    <row r="117" ht="21.6" customHeight="1" s="37">
      <c r="H117" s="31" t="n"/>
    </row>
    <row r="118" ht="21.6" customHeight="1" s="37">
      <c r="H118" s="31" t="n"/>
    </row>
    <row r="119" ht="21.6" customHeight="1" s="37">
      <c r="H119" s="31" t="n"/>
    </row>
    <row r="120" ht="21.6" customHeight="1" s="37">
      <c r="H120" s="31" t="n"/>
    </row>
    <row r="121" ht="21.6" customHeight="1" s="37">
      <c r="H121" s="31" t="n"/>
    </row>
    <row r="122" ht="21.6" customHeight="1" s="37">
      <c r="H122" s="31" t="n"/>
    </row>
    <row r="123" ht="21.6" customHeight="1" s="37">
      <c r="H123" s="31" t="n"/>
    </row>
    <row r="124" ht="21.6" customHeight="1" s="37">
      <c r="H124" s="31" t="n"/>
    </row>
    <row r="125" ht="21.6" customHeight="1" s="37">
      <c r="H125" s="31" t="n"/>
    </row>
    <row r="126" ht="21.6" customHeight="1" s="37">
      <c r="H126" s="31" t="n"/>
    </row>
    <row r="127" ht="21.6" customHeight="1" s="37">
      <c r="H127" s="31" t="n"/>
    </row>
    <row r="128" ht="21.6" customHeight="1" s="37">
      <c r="H128" s="31" t="n"/>
    </row>
    <row r="129" ht="21.6" customHeight="1" s="37">
      <c r="H129" s="31" t="n"/>
    </row>
    <row r="130" ht="21.6" customHeight="1" s="37">
      <c r="H130" s="31" t="n"/>
    </row>
    <row r="131" ht="21.6" customHeight="1" s="37">
      <c r="H131" s="31" t="n"/>
    </row>
    <row r="132" ht="21.6" customHeight="1" s="37">
      <c r="H132" s="31" t="n"/>
    </row>
    <row r="133" ht="21.6" customHeight="1" s="37">
      <c r="H133" s="31" t="n"/>
    </row>
    <row r="134" ht="21.6" customHeight="1" s="37">
      <c r="H134" s="31" t="n"/>
    </row>
    <row r="135" ht="21.6" customHeight="1" s="37">
      <c r="H135" s="31" t="n"/>
    </row>
    <row r="136" ht="21.6" customHeight="1" s="37">
      <c r="H136" s="31" t="n"/>
    </row>
    <row r="137" ht="21.6" customHeight="1" s="37">
      <c r="H137" s="31" t="n"/>
    </row>
    <row r="138" ht="21.6" customHeight="1" s="37">
      <c r="H138" s="31" t="n"/>
    </row>
    <row r="139" ht="21.6" customHeight="1" s="37">
      <c r="H139" s="31" t="n"/>
    </row>
    <row r="140" ht="21.6" customHeight="1" s="37">
      <c r="H140" s="31" t="n"/>
    </row>
    <row r="141" ht="21.6" customHeight="1" s="37">
      <c r="H141" s="31" t="n"/>
    </row>
    <row r="142" ht="21.6" customHeight="1" s="37">
      <c r="H142" s="31" t="n"/>
    </row>
    <row r="143" ht="21.6" customHeight="1" s="37">
      <c r="H143" s="31" t="n"/>
    </row>
    <row r="144" ht="21.6" customHeight="1" s="37">
      <c r="H144" s="31" t="n"/>
    </row>
    <row r="145" ht="21.6" customHeight="1" s="37">
      <c r="H145" s="31" t="n"/>
    </row>
    <row r="146" ht="21.6" customHeight="1" s="37">
      <c r="H146" s="31" t="n"/>
    </row>
    <row r="147" ht="21.6" customHeight="1" s="37">
      <c r="H147" s="31" t="n"/>
    </row>
    <row r="148" ht="21.6" customHeight="1" s="37">
      <c r="H148" s="31" t="n"/>
    </row>
    <row r="149" ht="21.6" customHeight="1" s="37">
      <c r="H149" s="31" t="n"/>
    </row>
    <row r="150" ht="21.6" customHeight="1" s="37">
      <c r="H150" s="31" t="n"/>
    </row>
    <row r="151" ht="21.6" customHeight="1" s="37">
      <c r="H151" s="31" t="n"/>
    </row>
    <row r="152" ht="21.6" customHeight="1" s="37">
      <c r="H152" s="31" t="n"/>
    </row>
    <row r="153" ht="21.6" customHeight="1" s="37">
      <c r="H153" s="31" t="n"/>
    </row>
    <row r="154" ht="21.6" customHeight="1" s="37">
      <c r="H154" s="31" t="n"/>
    </row>
    <row r="155" ht="21.6" customHeight="1" s="37">
      <c r="H155" s="31" t="n"/>
    </row>
    <row r="156" ht="21.6" customHeight="1" s="37">
      <c r="H156" s="31" t="n"/>
    </row>
    <row r="157" ht="21.6" customHeight="1" s="37">
      <c r="H157" s="31" t="n"/>
    </row>
    <row r="158" ht="21.6" customHeight="1" s="37">
      <c r="H158" s="31" t="n"/>
    </row>
    <row r="159" ht="21.6" customHeight="1" s="37">
      <c r="H159" s="31" t="n"/>
    </row>
    <row r="160" ht="21.6" customHeight="1" s="37">
      <c r="H160" s="31" t="n"/>
    </row>
    <row r="161" ht="21.6" customHeight="1" s="37">
      <c r="H161" s="31" t="n"/>
    </row>
    <row r="162" ht="21.6" customHeight="1" s="37">
      <c r="H162" s="31" t="n"/>
    </row>
    <row r="163" ht="21.6" customHeight="1" s="37">
      <c r="H163" s="31" t="n"/>
    </row>
    <row r="164" ht="21.6" customHeight="1" s="37">
      <c r="H164" s="31" t="n"/>
    </row>
    <row r="165" ht="21.6" customHeight="1" s="37">
      <c r="H165" s="31" t="n"/>
    </row>
    <row r="166" ht="21.6" customHeight="1" s="37">
      <c r="H166" s="31" t="n"/>
    </row>
    <row r="167" ht="21.6" customHeight="1" s="37">
      <c r="H167" s="31" t="n"/>
    </row>
    <row r="168" ht="21.6" customHeight="1" s="37">
      <c r="H168" s="31" t="n"/>
    </row>
    <row r="169" ht="21.6" customHeight="1" s="37">
      <c r="H169" s="31" t="n"/>
    </row>
    <row r="170" ht="21.6" customHeight="1" s="37">
      <c r="H170" s="31" t="n"/>
    </row>
    <row r="171" ht="21.6" customHeight="1" s="37">
      <c r="H171" s="31" t="n"/>
    </row>
    <row r="172" ht="21.6" customHeight="1" s="37">
      <c r="H172" s="31" t="n"/>
    </row>
    <row r="173" ht="21.6" customHeight="1" s="37">
      <c r="H173" s="31" t="n"/>
    </row>
    <row r="174" ht="21.6" customHeight="1" s="37">
      <c r="H174" s="31" t="n"/>
    </row>
    <row r="175" ht="21.6" customHeight="1" s="37">
      <c r="H175" s="31" t="n"/>
    </row>
    <row r="176" ht="21.6" customHeight="1" s="37">
      <c r="H176" s="31" t="n"/>
    </row>
    <row r="177" ht="21.6" customHeight="1" s="37">
      <c r="H177" s="31" t="n"/>
    </row>
    <row r="178" ht="21.6" customHeight="1" s="37">
      <c r="H178" s="31" t="n"/>
    </row>
    <row r="179" ht="21.6" customHeight="1" s="37">
      <c r="H179" s="31" t="n"/>
    </row>
    <row r="180" ht="21.6" customHeight="1" s="37">
      <c r="H180" s="31" t="n"/>
    </row>
    <row r="181" ht="21.6" customHeight="1" s="37">
      <c r="H181" s="31" t="n"/>
    </row>
    <row r="182" ht="21.6" customHeight="1" s="37">
      <c r="H182" s="31" t="n"/>
    </row>
    <row r="183" ht="21.6" customHeight="1" s="37">
      <c r="H183" s="31" t="n"/>
    </row>
    <row r="184" ht="21.6" customHeight="1" s="37">
      <c r="H184" s="31" t="n"/>
    </row>
    <row r="185" ht="21.6" customHeight="1" s="37">
      <c r="H185" s="31" t="n"/>
    </row>
    <row r="186" ht="21.6" customHeight="1" s="37">
      <c r="H186" s="31" t="n"/>
    </row>
    <row r="187" ht="21.6" customHeight="1" s="37">
      <c r="H187" s="31" t="n"/>
    </row>
    <row r="188" ht="21.6" customHeight="1" s="37">
      <c r="H188" s="31" t="n"/>
    </row>
    <row r="189" ht="21.6" customHeight="1" s="37">
      <c r="H189" s="31" t="n"/>
    </row>
    <row r="190" ht="21.6" customHeight="1" s="37">
      <c r="H190" s="31" t="n"/>
    </row>
    <row r="191" ht="21.6" customHeight="1" s="37">
      <c r="H191" s="31" t="n"/>
    </row>
    <row r="192" ht="21.6" customHeight="1" s="37">
      <c r="H192" s="31" t="n"/>
    </row>
    <row r="193" ht="21.6" customHeight="1" s="37">
      <c r="H193" s="31" t="n"/>
    </row>
    <row r="194" ht="21.6" customHeight="1" s="37">
      <c r="H194" s="31" t="n"/>
    </row>
    <row r="195" ht="21.6" customHeight="1" s="37">
      <c r="H195" s="31" t="n"/>
    </row>
    <row r="196" ht="21.6" customHeight="1" s="37">
      <c r="H196" s="31" t="n"/>
    </row>
    <row r="197" ht="21.6" customHeight="1" s="37">
      <c r="H197" s="31" t="n"/>
    </row>
    <row r="198" ht="21.6" customHeight="1" s="37">
      <c r="H198" s="31" t="n"/>
    </row>
    <row r="199" ht="21.6" customHeight="1" s="37">
      <c r="H199" s="31" t="n"/>
    </row>
    <row r="200" ht="21.6" customHeight="1" s="37">
      <c r="H200" s="31" t="n"/>
    </row>
    <row r="201" ht="21.6" customHeight="1" s="37">
      <c r="H201" s="31" t="n"/>
    </row>
    <row r="202" ht="21.6" customHeight="1" s="37">
      <c r="H202" s="31" t="n"/>
    </row>
    <row r="203" ht="21.6" customHeight="1" s="37">
      <c r="H203" s="31" t="n"/>
    </row>
    <row r="204" ht="21.6" customHeight="1" s="37">
      <c r="H204" s="31" t="n"/>
    </row>
    <row r="205" ht="21.6" customHeight="1" s="37">
      <c r="H205" s="31" t="n"/>
    </row>
    <row r="206" ht="21.6" customHeight="1" s="37">
      <c r="H206" s="31" t="n"/>
    </row>
    <row r="207" ht="21.6" customHeight="1" s="37">
      <c r="H207" s="31" t="n"/>
    </row>
    <row r="208" ht="21.6" customHeight="1" s="37">
      <c r="H208" s="31" t="n"/>
    </row>
    <row r="209" ht="21.6" customHeight="1" s="37">
      <c r="H209" s="31" t="n"/>
    </row>
    <row r="210" ht="21.6" customHeight="1" s="37">
      <c r="H210" s="31" t="n"/>
    </row>
    <row r="211" ht="21.6" customHeight="1" s="37">
      <c r="H211" s="31" t="n"/>
    </row>
    <row r="212" ht="21.6" customHeight="1" s="37">
      <c r="H212" s="31" t="n"/>
    </row>
    <row r="213" ht="21.6" customHeight="1" s="37">
      <c r="H213" s="31" t="n"/>
    </row>
    <row r="214" ht="21.6" customHeight="1" s="37">
      <c r="H214" s="31" t="n"/>
    </row>
    <row r="215" ht="21.6" customHeight="1" s="37">
      <c r="H215" s="31" t="n"/>
    </row>
    <row r="216" ht="21.6" customHeight="1" s="37">
      <c r="H216" s="31" t="n"/>
    </row>
    <row r="217" ht="21.6" customHeight="1" s="37">
      <c r="H217" s="31" t="n"/>
    </row>
    <row r="218" ht="21.6" customHeight="1" s="37">
      <c r="H218" s="31" t="n"/>
    </row>
    <row r="219" ht="21.6" customHeight="1" s="37">
      <c r="H219" s="31" t="n"/>
    </row>
    <row r="220" ht="21.6" customHeight="1" s="37">
      <c r="H220" s="31" t="n"/>
    </row>
    <row r="221" ht="21.6" customHeight="1" s="37">
      <c r="H221" s="31" t="n"/>
    </row>
    <row r="222" ht="21.6" customHeight="1" s="37">
      <c r="H222" s="31" t="n"/>
    </row>
    <row r="223" ht="21.6" customHeight="1" s="37">
      <c r="H223" s="31" t="n"/>
    </row>
    <row r="224" ht="21.6" customHeight="1" s="37">
      <c r="H224" s="31" t="n"/>
    </row>
    <row r="225" ht="21.6" customHeight="1" s="37">
      <c r="H225" s="31" t="n"/>
    </row>
    <row r="226" ht="21.6" customHeight="1" s="37">
      <c r="H226" s="31" t="n"/>
    </row>
    <row r="227" ht="21.6" customHeight="1" s="37">
      <c r="H227" s="31" t="n"/>
    </row>
    <row r="228" ht="21.6" customHeight="1" s="37">
      <c r="H228" s="31" t="n"/>
    </row>
    <row r="229" ht="21.6" customHeight="1" s="37">
      <c r="H229" s="31" t="n"/>
    </row>
    <row r="230" ht="21.6" customHeight="1" s="37">
      <c r="H230" s="31" t="n"/>
    </row>
    <row r="231" ht="21.6" customHeight="1" s="37">
      <c r="H231" s="31" t="n"/>
    </row>
    <row r="232" ht="21.6" customHeight="1" s="37">
      <c r="H232" s="31" t="n"/>
    </row>
    <row r="233" ht="21.6" customHeight="1" s="37">
      <c r="H233" s="31" t="n"/>
    </row>
    <row r="234" ht="21.6" customHeight="1" s="37">
      <c r="H234" s="31" t="n"/>
    </row>
    <row r="235" ht="21.6" customHeight="1" s="37">
      <c r="H235" s="31" t="n"/>
    </row>
    <row r="236" ht="21.6" customHeight="1" s="37">
      <c r="H236" s="31" t="n"/>
    </row>
    <row r="237" ht="21.6" customHeight="1" s="37">
      <c r="H237" s="31" t="n"/>
    </row>
    <row r="238" ht="21.6" customHeight="1" s="37">
      <c r="H238" s="31" t="n"/>
    </row>
    <row r="239" ht="21.6" customHeight="1" s="37">
      <c r="H239" s="31" t="n"/>
    </row>
    <row r="240" ht="21.6" customHeight="1" s="37">
      <c r="H240" s="31" t="n"/>
    </row>
    <row r="241" ht="21.6" customHeight="1" s="37">
      <c r="H241" s="31" t="n"/>
    </row>
    <row r="242" ht="21.6" customHeight="1" s="37">
      <c r="H242" s="31" t="n"/>
    </row>
    <row r="243" ht="21.6" customHeight="1" s="37">
      <c r="H243" s="31" t="n"/>
    </row>
    <row r="244" ht="21.6" customHeight="1" s="37">
      <c r="H244" s="31" t="n"/>
    </row>
    <row r="245" ht="21.6" customHeight="1" s="37">
      <c r="H245" s="31" t="n"/>
    </row>
    <row r="246" ht="21.6" customHeight="1" s="37">
      <c r="H246" s="31" t="n"/>
    </row>
    <row r="247" ht="21.6" customHeight="1" s="37">
      <c r="H247" s="31" t="n"/>
    </row>
    <row r="248" ht="21.6" customHeight="1" s="37">
      <c r="H248" s="31" t="n"/>
    </row>
    <row r="249" ht="21.6" customHeight="1" s="37">
      <c r="H249" s="31" t="n"/>
    </row>
    <row r="250" ht="21.6" customHeight="1" s="37">
      <c r="H250" s="31" t="n"/>
    </row>
    <row r="251" ht="21.6" customHeight="1" s="37">
      <c r="H251" s="31" t="n"/>
    </row>
    <row r="252" ht="21.6" customHeight="1" s="37">
      <c r="H252" s="31" t="n"/>
    </row>
    <row r="253" ht="21.6" customHeight="1" s="37">
      <c r="H253" s="31" t="n"/>
    </row>
    <row r="254" ht="21.6" customHeight="1" s="37">
      <c r="H254" s="31" t="n"/>
    </row>
    <row r="255" ht="21.6" customHeight="1" s="37">
      <c r="H255" s="31" t="n"/>
    </row>
    <row r="256" ht="21.6" customHeight="1" s="37">
      <c r="H256" s="31" t="n"/>
    </row>
    <row r="257" ht="21.6" customHeight="1" s="37">
      <c r="H257" s="31" t="n"/>
    </row>
    <row r="258" ht="21.6" customHeight="1" s="37">
      <c r="H258" s="31" t="n"/>
    </row>
    <row r="259" ht="21.6" customHeight="1" s="37">
      <c r="H259" s="31" t="n"/>
    </row>
    <row r="260" ht="21.6" customHeight="1" s="37">
      <c r="H260" s="31" t="n"/>
    </row>
    <row r="261" ht="21.6" customHeight="1" s="37">
      <c r="H261" s="31" t="n"/>
    </row>
    <row r="262" ht="21.6" customHeight="1" s="37">
      <c r="H262" s="31" t="n"/>
    </row>
    <row r="263" ht="21.6" customHeight="1" s="37">
      <c r="H263" s="31" t="n"/>
    </row>
    <row r="264" ht="21.6" customHeight="1" s="37">
      <c r="H264" s="31" t="n"/>
    </row>
    <row r="265" ht="21.6" customHeight="1" s="37">
      <c r="H265" s="31" t="n"/>
    </row>
    <row r="266" ht="21.6" customHeight="1" s="37">
      <c r="H266" s="31" t="n"/>
    </row>
    <row r="267" ht="21.6" customHeight="1" s="37">
      <c r="H267" s="31" t="n"/>
    </row>
    <row r="268" ht="21.6" customHeight="1" s="37">
      <c r="H268" s="31" t="n"/>
    </row>
    <row r="269" ht="21.6" customHeight="1" s="37">
      <c r="H269" s="31" t="n"/>
    </row>
    <row r="270" ht="21.6" customHeight="1" s="37">
      <c r="H270" s="31" t="n"/>
    </row>
    <row r="271" ht="21.6" customHeight="1" s="37">
      <c r="H271" s="31" t="n"/>
    </row>
    <row r="272" ht="21.6" customHeight="1" s="37">
      <c r="H272" s="31" t="n"/>
    </row>
    <row r="273" ht="21.6" customHeight="1" s="37">
      <c r="H273" s="31" t="n"/>
    </row>
    <row r="274" ht="21.6" customHeight="1" s="37">
      <c r="H274" s="31" t="n"/>
    </row>
    <row r="275" ht="21.6" customHeight="1" s="37">
      <c r="H275" s="31" t="n"/>
    </row>
    <row r="276" ht="21.6" customHeight="1" s="37">
      <c r="H276" s="31" t="n"/>
    </row>
    <row r="277" ht="21.6" customHeight="1" s="37">
      <c r="H277" s="31" t="n"/>
    </row>
    <row r="278" ht="21.6" customHeight="1" s="37">
      <c r="H278" s="31" t="n"/>
    </row>
    <row r="279" ht="21.6" customHeight="1" s="37">
      <c r="H279" s="31" t="n"/>
    </row>
    <row r="280" ht="21.6" customHeight="1" s="37">
      <c r="H280" s="31" t="n"/>
    </row>
    <row r="281" ht="21.6" customHeight="1" s="37">
      <c r="H281" s="31" t="n"/>
    </row>
    <row r="282" ht="21.6" customHeight="1" s="37">
      <c r="H282" s="31" t="n"/>
    </row>
    <row r="283" ht="21.6" customHeight="1" s="37">
      <c r="H283" s="31" t="n"/>
    </row>
    <row r="284" ht="21.6" customHeight="1" s="37">
      <c r="H284" s="31" t="n"/>
    </row>
    <row r="285" ht="21.6" customHeight="1" s="37">
      <c r="H285" s="31" t="n"/>
    </row>
    <row r="286" ht="21.6" customHeight="1" s="37">
      <c r="H286" s="31" t="n"/>
    </row>
    <row r="287" ht="21.6" customHeight="1" s="37">
      <c r="H287" s="31" t="n"/>
    </row>
    <row r="288" ht="21.6" customHeight="1" s="37">
      <c r="H288" s="31" t="n"/>
    </row>
    <row r="289" ht="21.6" customHeight="1" s="37">
      <c r="H289" s="31" t="n"/>
    </row>
    <row r="290" ht="21.6" customHeight="1" s="37">
      <c r="H290" s="31" t="n"/>
    </row>
    <row r="291" ht="21.6" customHeight="1" s="37">
      <c r="H291" s="31" t="n"/>
    </row>
    <row r="292" ht="21.6" customHeight="1" s="37">
      <c r="H292" s="31" t="n"/>
    </row>
    <row r="293" ht="21.6" customHeight="1" s="37">
      <c r="H293" s="31" t="n"/>
    </row>
    <row r="294" ht="21.6" customHeight="1" s="37">
      <c r="H294" s="31" t="n"/>
    </row>
    <row r="295" ht="21.6" customHeight="1" s="37">
      <c r="H295" s="31" t="n"/>
    </row>
    <row r="296" ht="21.6" customHeight="1" s="37">
      <c r="H296" s="31" t="n"/>
    </row>
    <row r="297" ht="21.6" customHeight="1" s="37">
      <c r="H297" s="31" t="n"/>
    </row>
    <row r="298" ht="21.6" customHeight="1" s="37">
      <c r="H298" s="31" t="n"/>
    </row>
    <row r="299" ht="21.6" customHeight="1" s="37">
      <c r="H299" s="31" t="n"/>
    </row>
    <row r="300" ht="21.6" customHeight="1" s="37">
      <c r="H300" s="31" t="n"/>
    </row>
    <row r="301" ht="21.6" customHeight="1" s="37">
      <c r="H301" s="31" t="n"/>
    </row>
    <row r="302" ht="21.6" customHeight="1" s="37">
      <c r="H302" s="31" t="n"/>
    </row>
    <row r="303" ht="21.6" customHeight="1" s="37">
      <c r="H303" s="31" t="n"/>
    </row>
    <row r="304" ht="21.6" customHeight="1" s="37">
      <c r="H304" s="31" t="n"/>
    </row>
    <row r="305" ht="21.6" customHeight="1" s="37">
      <c r="H305" s="31" t="n"/>
    </row>
    <row r="306" ht="21.6" customHeight="1" s="37">
      <c r="H306" s="31" t="n"/>
    </row>
    <row r="307" ht="21.6" customHeight="1" s="37">
      <c r="H307" s="31" t="n"/>
    </row>
    <row r="308" ht="21.6" customHeight="1" s="37">
      <c r="H308" s="31" t="n"/>
    </row>
    <row r="309" ht="21.6" customHeight="1" s="37">
      <c r="H309" s="31" t="n"/>
    </row>
    <row r="310" ht="21.6" customHeight="1" s="37">
      <c r="H310" s="31" t="n"/>
    </row>
    <row r="311" ht="21.6" customHeight="1" s="37">
      <c r="H311" s="31" t="n"/>
    </row>
    <row r="312" ht="21.6" customHeight="1" s="37">
      <c r="H312" s="31" t="n"/>
    </row>
    <row r="313" ht="21.6" customHeight="1" s="37">
      <c r="H313" s="31" t="n"/>
    </row>
    <row r="314" ht="21.6" customHeight="1" s="37">
      <c r="H314" s="31" t="n"/>
    </row>
    <row r="315" ht="21.6" customHeight="1" s="37">
      <c r="H315" s="31" t="n"/>
    </row>
    <row r="316" ht="21.6" customHeight="1" s="37">
      <c r="H316" s="31" t="n"/>
    </row>
    <row r="317" ht="21.6" customHeight="1" s="37">
      <c r="H317" s="31" t="n"/>
    </row>
    <row r="318" ht="21.6" customHeight="1" s="37">
      <c r="H318" s="31" t="n"/>
    </row>
    <row r="319" ht="21.6" customHeight="1" s="37">
      <c r="H319" s="31" t="n"/>
    </row>
    <row r="320" ht="21.6" customHeight="1" s="37">
      <c r="H320" s="31" t="n"/>
    </row>
    <row r="321" ht="21.6" customHeight="1" s="37">
      <c r="H321" s="31" t="n"/>
    </row>
    <row r="322" ht="21.6" customHeight="1" s="37">
      <c r="H322" s="31" t="n"/>
    </row>
    <row r="323" ht="21.6" customHeight="1" s="37">
      <c r="H323" s="31" t="n"/>
    </row>
    <row r="324" ht="21.6" customHeight="1" s="37">
      <c r="H324" s="31" t="n"/>
    </row>
    <row r="325" ht="21.6" customHeight="1" s="37">
      <c r="H325" s="31" t="n"/>
    </row>
    <row r="326" ht="21.6" customHeight="1" s="37">
      <c r="H326" s="31" t="n"/>
    </row>
    <row r="327" ht="21.6" customHeight="1" s="37">
      <c r="H327" s="31" t="n"/>
    </row>
    <row r="328" ht="21.6" customHeight="1" s="37">
      <c r="H328" s="31" t="n"/>
    </row>
    <row r="329" ht="21.6" customHeight="1" s="37">
      <c r="H329" s="31" t="n"/>
    </row>
    <row r="330" ht="21.6" customHeight="1" s="37">
      <c r="H330" s="31" t="n"/>
    </row>
    <row r="331" ht="21.6" customHeight="1" s="37">
      <c r="H331" s="31" t="n"/>
    </row>
    <row r="332" ht="21.6" customHeight="1" s="37">
      <c r="H332" s="31" t="n"/>
    </row>
    <row r="333" ht="21.6" customHeight="1" s="37">
      <c r="H333" s="31" t="n"/>
    </row>
    <row r="334" ht="21.6" customHeight="1" s="37">
      <c r="H334" s="31" t="n"/>
    </row>
    <row r="335" ht="21.6" customHeight="1" s="37">
      <c r="H335" s="31" t="n"/>
    </row>
    <row r="336" ht="21.6" customHeight="1" s="37">
      <c r="H336" s="31" t="n"/>
    </row>
    <row r="337" ht="21.6" customHeight="1" s="37">
      <c r="H337" s="31" t="n"/>
    </row>
    <row r="338" ht="21.6" customHeight="1" s="37">
      <c r="H338" s="31" t="n"/>
    </row>
    <row r="339" ht="21.6" customHeight="1" s="37">
      <c r="H339" s="31" t="n"/>
    </row>
    <row r="340" ht="21.6" customHeight="1" s="37">
      <c r="H340" s="31" t="n"/>
    </row>
    <row r="341" ht="21.6" customHeight="1" s="37">
      <c r="H341" s="31" t="n"/>
    </row>
    <row r="342" ht="21.6" customHeight="1" s="37">
      <c r="H342" s="31" t="n"/>
    </row>
    <row r="343" ht="21.6" customHeight="1" s="37">
      <c r="H343" s="31" t="n"/>
    </row>
    <row r="344" ht="21.6" customHeight="1" s="37">
      <c r="H344" s="31" t="n"/>
    </row>
    <row r="345" ht="21.6" customHeight="1" s="37">
      <c r="H345" s="31" t="n"/>
    </row>
    <row r="346" ht="21.6" customHeight="1" s="37">
      <c r="H346" s="31" t="n"/>
    </row>
    <row r="347" ht="21.6" customHeight="1" s="37">
      <c r="H347" s="31" t="n"/>
    </row>
    <row r="348" ht="21.6" customHeight="1" s="37">
      <c r="H348" s="31" t="n"/>
    </row>
    <row r="349" ht="21.6" customHeight="1" s="37">
      <c r="H349" s="31" t="n"/>
    </row>
    <row r="350" ht="21.6" customHeight="1" s="37">
      <c r="H350" s="31" t="n"/>
    </row>
    <row r="351" ht="21.6" customHeight="1" s="37">
      <c r="H351" s="31" t="n"/>
    </row>
    <row r="352" ht="21.6" customHeight="1" s="37">
      <c r="H352" s="31" t="n"/>
    </row>
    <row r="353" ht="21.6" customHeight="1" s="37">
      <c r="H353" s="31" t="n"/>
    </row>
    <row r="354" ht="21.6" customHeight="1" s="37">
      <c r="H354" s="31" t="n"/>
    </row>
    <row r="355" ht="21.6" customHeight="1" s="37">
      <c r="H355" s="31" t="n"/>
    </row>
    <row r="356" ht="21.6" customHeight="1" s="37">
      <c r="H356" s="31" t="n"/>
    </row>
    <row r="357" ht="21.6" customHeight="1" s="37">
      <c r="H357" s="31" t="n"/>
    </row>
    <row r="358" ht="21.6" customHeight="1" s="37">
      <c r="H358" s="31" t="n"/>
    </row>
    <row r="359" ht="21.6" customHeight="1" s="37">
      <c r="H359" s="31" t="n"/>
    </row>
    <row r="360" ht="21.6" customHeight="1" s="37">
      <c r="H360" s="31" t="n"/>
    </row>
    <row r="361" ht="21.6" customHeight="1" s="37">
      <c r="H361" s="31" t="n"/>
    </row>
    <row r="362" ht="21.6" customHeight="1" s="37">
      <c r="H362" s="31" t="n"/>
    </row>
    <row r="363" ht="21.6" customHeight="1" s="37">
      <c r="H363" s="31" t="n"/>
    </row>
    <row r="364" ht="21.6" customHeight="1" s="37">
      <c r="H364" s="31" t="n"/>
    </row>
    <row r="365" ht="21.6" customHeight="1" s="37">
      <c r="H365" s="31" t="n"/>
    </row>
    <row r="366" ht="21.6" customHeight="1" s="37">
      <c r="H366" s="31" t="n"/>
    </row>
    <row r="367" ht="21.6" customHeight="1" s="37">
      <c r="H367" s="31" t="n"/>
    </row>
    <row r="368" ht="21.6" customHeight="1" s="37">
      <c r="H368" s="31" t="n"/>
    </row>
    <row r="369" ht="21.6" customHeight="1" s="37">
      <c r="H369" s="31" t="n"/>
    </row>
    <row r="370" ht="21.6" customHeight="1" s="37">
      <c r="H370" s="31" t="n"/>
    </row>
    <row r="371" ht="21.6" customHeight="1" s="37">
      <c r="H371" s="31" t="n"/>
    </row>
    <row r="372" ht="21.6" customHeight="1" s="37">
      <c r="H372" s="31" t="n"/>
    </row>
    <row r="373" ht="21.6" customHeight="1" s="37">
      <c r="H373" s="31" t="n"/>
    </row>
    <row r="374" ht="21.6" customHeight="1" s="37">
      <c r="H374" s="31" t="n"/>
    </row>
    <row r="375" ht="21.6" customHeight="1" s="37">
      <c r="H375" s="31" t="n"/>
    </row>
    <row r="376" ht="21.6" customHeight="1" s="37">
      <c r="H376" s="31" t="n"/>
    </row>
    <row r="377" ht="21.6" customHeight="1" s="37">
      <c r="H377" s="31" t="n"/>
    </row>
    <row r="378" ht="21.6" customHeight="1" s="37">
      <c r="H378" s="31" t="n"/>
    </row>
    <row r="379" ht="21.6" customHeight="1" s="37">
      <c r="H379" s="31" t="n"/>
    </row>
    <row r="380" ht="21.6" customHeight="1" s="37">
      <c r="H380" s="31" t="n"/>
    </row>
    <row r="381" ht="21.6" customHeight="1" s="37">
      <c r="H381" s="31" t="n"/>
    </row>
    <row r="382" ht="21.6" customHeight="1" s="37">
      <c r="H382" s="31" t="n"/>
    </row>
    <row r="383" ht="21.6" customHeight="1" s="37">
      <c r="H383" s="31" t="n"/>
    </row>
    <row r="384" ht="21.6" customHeight="1" s="37">
      <c r="H384" s="31" t="n"/>
    </row>
    <row r="385" ht="21.6" customHeight="1" s="37">
      <c r="H385" s="31" t="n"/>
    </row>
    <row r="386" ht="21.6" customHeight="1" s="37">
      <c r="H386" s="31" t="n"/>
    </row>
    <row r="387" ht="21.6" customHeight="1" s="37">
      <c r="H387" s="31" t="n"/>
    </row>
    <row r="388" ht="21.6" customHeight="1" s="37">
      <c r="H388" s="31" t="n"/>
    </row>
    <row r="389" ht="21.6" customHeight="1" s="37">
      <c r="H389" s="31" t="n"/>
    </row>
    <row r="390" ht="21.6" customHeight="1" s="37">
      <c r="H390" s="31" t="n"/>
    </row>
    <row r="391" ht="21.6" customHeight="1" s="37">
      <c r="H391" s="31" t="n"/>
    </row>
    <row r="392" ht="21.6" customHeight="1" s="37">
      <c r="H392" s="31" t="n"/>
    </row>
    <row r="393" ht="21.6" customHeight="1" s="37">
      <c r="H393" s="31" t="n"/>
    </row>
    <row r="394" ht="21.6" customHeight="1" s="37">
      <c r="H394" s="31" t="n"/>
    </row>
    <row r="395" ht="21.6" customHeight="1" s="37">
      <c r="H395" s="31" t="n"/>
    </row>
    <row r="396" ht="21.6" customHeight="1" s="37">
      <c r="H396" s="31" t="n"/>
    </row>
    <row r="397" ht="21.6" customHeight="1" s="37">
      <c r="H397" s="31" t="n"/>
    </row>
    <row r="398" ht="21.6" customHeight="1" s="37">
      <c r="H398" s="31" t="n"/>
    </row>
    <row r="399" ht="21.6" customHeight="1" s="37">
      <c r="H399" s="31" t="n"/>
    </row>
    <row r="400" ht="21.6" customHeight="1" s="37">
      <c r="H400" s="31" t="n"/>
    </row>
    <row r="401" ht="21.6" customHeight="1" s="37">
      <c r="H401" s="31" t="n"/>
    </row>
    <row r="402" ht="21.6" customHeight="1" s="37">
      <c r="H402" s="31" t="n"/>
    </row>
    <row r="403" ht="21.6" customHeight="1" s="37">
      <c r="H403" s="31" t="n"/>
    </row>
    <row r="404" ht="21.6" customHeight="1" s="37">
      <c r="H404" s="31" t="n"/>
    </row>
    <row r="405" ht="21.6" customHeight="1" s="37">
      <c r="H405" s="31" t="n"/>
    </row>
    <row r="406" ht="21.6" customHeight="1" s="37">
      <c r="H406" s="31" t="n"/>
    </row>
    <row r="407" ht="21.6" customHeight="1" s="37">
      <c r="H407" s="31" t="n"/>
    </row>
    <row r="408" ht="21.6" customHeight="1" s="37">
      <c r="H408" s="31" t="n"/>
    </row>
    <row r="409" ht="21.6" customHeight="1" s="37">
      <c r="H409" s="31" t="n"/>
    </row>
    <row r="410" ht="21.6" customHeight="1" s="37">
      <c r="H410" s="31" t="n"/>
    </row>
    <row r="411" ht="21.6" customHeight="1" s="37">
      <c r="H411" s="31" t="n"/>
    </row>
    <row r="412" ht="21.6" customHeight="1" s="37">
      <c r="H412" s="31" t="n"/>
    </row>
    <row r="413" ht="21.6" customHeight="1" s="37">
      <c r="H413" s="31" t="n"/>
    </row>
    <row r="414" ht="21.6" customHeight="1" s="37">
      <c r="H414" s="31" t="n"/>
    </row>
    <row r="415" ht="21.6" customHeight="1" s="37">
      <c r="H415" s="31" t="n"/>
    </row>
    <row r="416" ht="21.6" customHeight="1" s="37">
      <c r="H416" s="31" t="n"/>
    </row>
    <row r="417" ht="21.6" customHeight="1" s="37">
      <c r="H417" s="31" t="n"/>
    </row>
    <row r="418" ht="21.6" customHeight="1" s="37">
      <c r="H418" s="31" t="n"/>
    </row>
    <row r="419" ht="21.6" customHeight="1" s="37">
      <c r="H419" s="31" t="n"/>
    </row>
    <row r="420" ht="21.6" customHeight="1" s="37">
      <c r="H420" s="31" t="n"/>
    </row>
    <row r="421" ht="21.6" customHeight="1" s="37">
      <c r="H421" s="31" t="n"/>
    </row>
    <row r="422" ht="21.6" customHeight="1" s="37">
      <c r="H422" s="31" t="n"/>
    </row>
    <row r="423" ht="21.6" customHeight="1" s="37">
      <c r="H423" s="31" t="n"/>
    </row>
    <row r="424" ht="21.6" customHeight="1" s="37">
      <c r="H424" s="31" t="n"/>
    </row>
    <row r="425" ht="21.6" customHeight="1" s="37">
      <c r="H425" s="31" t="n"/>
    </row>
    <row r="426" ht="21.6" customHeight="1" s="37">
      <c r="H426" s="31" t="n"/>
    </row>
    <row r="427" ht="21.6" customHeight="1" s="37">
      <c r="H427" s="31" t="n"/>
    </row>
    <row r="428" ht="21.6" customHeight="1" s="37">
      <c r="H428" s="31" t="n"/>
    </row>
    <row r="429" ht="21.6" customHeight="1" s="37">
      <c r="H429" s="31" t="n"/>
    </row>
    <row r="430" ht="21.6" customHeight="1" s="37">
      <c r="H430" s="31" t="n"/>
    </row>
    <row r="431" ht="21.6" customHeight="1" s="37">
      <c r="H431" s="31" t="n"/>
    </row>
    <row r="432" ht="21.6" customHeight="1" s="37">
      <c r="H432" s="31" t="n"/>
    </row>
    <row r="433" ht="21.6" customHeight="1" s="37">
      <c r="H433" s="31" t="n"/>
    </row>
    <row r="434" ht="21.6" customHeight="1" s="37">
      <c r="H434" s="31" t="n"/>
    </row>
    <row r="435" ht="21.6" customHeight="1" s="37">
      <c r="H435" s="31" t="n"/>
    </row>
    <row r="436" ht="21.6" customHeight="1" s="37">
      <c r="H436" s="31" t="n"/>
    </row>
    <row r="437" ht="21.6" customHeight="1" s="37">
      <c r="H437" s="31" t="n"/>
    </row>
    <row r="438" ht="21.6" customHeight="1" s="37">
      <c r="H438" s="31" t="n"/>
    </row>
    <row r="439" ht="21.6" customHeight="1" s="37">
      <c r="H439" s="31" t="n"/>
    </row>
    <row r="440" ht="21.6" customHeight="1" s="37">
      <c r="H440" s="31" t="n"/>
    </row>
    <row r="441" ht="21.6" customHeight="1" s="37">
      <c r="H441" s="31" t="n"/>
    </row>
    <row r="442" ht="21.6" customHeight="1" s="37">
      <c r="H442" s="31" t="n"/>
    </row>
    <row r="443" ht="21.6" customHeight="1" s="37">
      <c r="H443" s="31" t="n"/>
    </row>
    <row r="444" ht="21.6" customHeight="1" s="37">
      <c r="H444" s="31" t="n"/>
    </row>
    <row r="445" ht="21.6" customHeight="1" s="37">
      <c r="H445" s="31" t="n"/>
    </row>
    <row r="446" ht="21.6" customHeight="1" s="37">
      <c r="H446" s="31" t="n"/>
    </row>
    <row r="447" ht="21.6" customHeight="1" s="37">
      <c r="H447" s="31" t="n"/>
    </row>
    <row r="448" ht="21.6" customHeight="1" s="37">
      <c r="H448" s="31" t="n"/>
    </row>
    <row r="449" ht="21.6" customHeight="1" s="37">
      <c r="H449" s="31" t="n"/>
    </row>
    <row r="450" ht="21.6" customHeight="1" s="37">
      <c r="H450" s="31" t="n"/>
    </row>
    <row r="451" ht="21.6" customHeight="1" s="37">
      <c r="H451" s="31" t="n"/>
    </row>
    <row r="452" ht="21.6" customHeight="1" s="37">
      <c r="H452" s="31" t="n"/>
    </row>
    <row r="453" ht="21.6" customHeight="1" s="37">
      <c r="H453" s="31" t="n"/>
    </row>
    <row r="454" ht="21.6" customHeight="1" s="37">
      <c r="H454" s="31" t="n"/>
    </row>
    <row r="455" ht="21.6" customHeight="1" s="37">
      <c r="H455" s="31" t="n"/>
    </row>
    <row r="456" ht="21.6" customHeight="1" s="37">
      <c r="H456" s="31" t="n"/>
    </row>
    <row r="457" ht="21.6" customHeight="1" s="37">
      <c r="H457" s="31" t="n"/>
    </row>
    <row r="458" ht="21.6" customHeight="1" s="37">
      <c r="H458" s="31" t="n"/>
    </row>
    <row r="459" ht="21.6" customHeight="1" s="37">
      <c r="H459" s="31" t="n"/>
    </row>
    <row r="460" ht="21.6" customHeight="1" s="37">
      <c r="H460" s="31" t="n"/>
    </row>
    <row r="461" ht="21.6" customHeight="1" s="37">
      <c r="H461" s="31" t="n"/>
    </row>
    <row r="462" ht="21.6" customHeight="1" s="37">
      <c r="H462" s="31" t="n"/>
    </row>
    <row r="463" ht="21.6" customHeight="1" s="37">
      <c r="H463" s="31" t="n"/>
    </row>
    <row r="464" ht="21.6" customHeight="1" s="37">
      <c r="H464" s="31" t="n"/>
    </row>
    <row r="465" ht="21.6" customHeight="1" s="37">
      <c r="H465" s="31" t="n"/>
    </row>
    <row r="466" ht="21.6" customHeight="1" s="37">
      <c r="H466" s="31" t="n"/>
    </row>
    <row r="467" ht="21.6" customHeight="1" s="37">
      <c r="H467" s="31" t="n"/>
    </row>
    <row r="468" ht="21.6" customHeight="1" s="37">
      <c r="H468" s="31" t="n"/>
    </row>
    <row r="469" ht="21.6" customHeight="1" s="37">
      <c r="H469" s="31" t="n"/>
    </row>
    <row r="470" ht="21.6" customHeight="1" s="37">
      <c r="H470" s="31" t="n"/>
    </row>
    <row r="471" ht="21.6" customHeight="1" s="37">
      <c r="H471" s="31" t="n"/>
    </row>
    <row r="472" ht="21.6" customHeight="1" s="37">
      <c r="H472" s="31" t="n"/>
    </row>
    <row r="473" ht="21.6" customHeight="1" s="37">
      <c r="H473" s="31" t="n"/>
    </row>
    <row r="474" ht="21.6" customHeight="1" s="37">
      <c r="H474" s="31" t="n"/>
    </row>
    <row r="475" ht="21.6" customHeight="1" s="37">
      <c r="H475" s="31" t="n"/>
    </row>
    <row r="476" ht="21.6" customHeight="1" s="37">
      <c r="H476" s="31" t="n"/>
    </row>
    <row r="477" ht="21.6" customHeight="1" s="37">
      <c r="H477" s="31" t="n"/>
    </row>
    <row r="478" ht="21.6" customHeight="1" s="37">
      <c r="H478" s="31" t="n"/>
    </row>
    <row r="479" ht="21.6" customHeight="1" s="37">
      <c r="H479" s="31" t="n"/>
    </row>
    <row r="480" ht="21.6" customHeight="1" s="37">
      <c r="H480" s="31" t="n"/>
    </row>
    <row r="481" ht="21.6" customHeight="1" s="37">
      <c r="H481" s="31" t="n"/>
    </row>
    <row r="482" ht="21.6" customHeight="1" s="37">
      <c r="H482" s="31" t="n"/>
    </row>
    <row r="483" ht="21.6" customHeight="1" s="37">
      <c r="H483" s="31" t="n"/>
    </row>
    <row r="484" ht="21.6" customHeight="1" s="37">
      <c r="H484" s="31" t="n"/>
    </row>
    <row r="485" ht="21.6" customHeight="1" s="37">
      <c r="H485" s="31" t="n"/>
    </row>
    <row r="486" ht="21.6" customHeight="1" s="37">
      <c r="H486" s="31" t="n"/>
    </row>
    <row r="487" ht="21.6" customHeight="1" s="37">
      <c r="H487" s="31" t="n"/>
    </row>
    <row r="488" ht="21.6" customHeight="1" s="37">
      <c r="H488" s="31" t="n"/>
    </row>
    <row r="489" ht="21.6" customHeight="1" s="37">
      <c r="H489" s="31" t="n"/>
    </row>
    <row r="490" ht="21.6" customHeight="1" s="37">
      <c r="H490" s="31" t="n"/>
    </row>
    <row r="491" ht="21.6" customHeight="1" s="37">
      <c r="H491" s="31" t="n"/>
    </row>
    <row r="492" ht="21.6" customHeight="1" s="37">
      <c r="H492" s="31" t="n"/>
    </row>
    <row r="493" ht="21.6" customHeight="1" s="37">
      <c r="H493" s="31" t="n"/>
    </row>
    <row r="494" ht="21.6" customHeight="1" s="37">
      <c r="H494" s="31" t="n"/>
    </row>
    <row r="495" ht="21.6" customHeight="1" s="37">
      <c r="H495" s="31" t="n"/>
    </row>
    <row r="496" ht="21.6" customHeight="1" s="37">
      <c r="H496" s="31" t="n"/>
    </row>
    <row r="497" ht="21.6" customHeight="1" s="37">
      <c r="H497" s="31" t="n"/>
    </row>
    <row r="498" ht="21.6" customHeight="1" s="37">
      <c r="H498" s="31" t="n"/>
    </row>
    <row r="499" ht="21.6" customHeight="1" s="37">
      <c r="H499" s="31" t="n"/>
    </row>
    <row r="500" ht="21.6" customHeight="1" s="37">
      <c r="H500" s="31" t="n"/>
    </row>
    <row r="501" ht="21.6" customHeight="1" s="37">
      <c r="H501" s="31" t="n"/>
    </row>
    <row r="502" ht="21.6" customHeight="1" s="37">
      <c r="H502" s="31" t="n"/>
    </row>
    <row r="503" ht="21.6" customHeight="1" s="37">
      <c r="H503" s="31" t="n"/>
    </row>
    <row r="504" ht="21.6" customHeight="1" s="37">
      <c r="H504" s="31" t="n"/>
    </row>
    <row r="505" ht="21.6" customHeight="1" s="37">
      <c r="H505" s="31" t="n"/>
    </row>
    <row r="506" ht="21.6" customHeight="1" s="37">
      <c r="H506" s="31" t="n"/>
    </row>
    <row r="507" ht="21.6" customHeight="1" s="37">
      <c r="H507" s="31" t="n"/>
    </row>
    <row r="508" ht="21.6" customHeight="1" s="37">
      <c r="H508" s="31" t="n"/>
    </row>
    <row r="509" ht="21.6" customHeight="1" s="37">
      <c r="H509" s="31" t="n"/>
    </row>
    <row r="510" ht="21.6" customHeight="1" s="37">
      <c r="H510" s="31" t="n"/>
    </row>
    <row r="511" ht="21.6" customHeight="1" s="37">
      <c r="H511" s="31" t="n"/>
    </row>
    <row r="512" ht="21.6" customHeight="1" s="37">
      <c r="H512" s="31" t="n"/>
    </row>
    <row r="513" ht="21.6" customHeight="1" s="37">
      <c r="H513" s="31" t="n"/>
    </row>
    <row r="514" ht="21.6" customHeight="1" s="37">
      <c r="H514" s="31" t="n"/>
    </row>
    <row r="515" ht="21.6" customHeight="1" s="37">
      <c r="H515" s="31" t="n"/>
    </row>
    <row r="516" ht="21.6" customHeight="1" s="37">
      <c r="H516" s="31" t="n"/>
    </row>
    <row r="517" ht="21.6" customHeight="1" s="37">
      <c r="H517" s="31" t="n"/>
    </row>
    <row r="518" ht="21.6" customHeight="1" s="37">
      <c r="H518" s="31" t="n"/>
    </row>
    <row r="519" ht="21.6" customHeight="1" s="37">
      <c r="H519" s="31" t="n"/>
    </row>
    <row r="520" ht="21.6" customHeight="1" s="37">
      <c r="H520" s="31" t="n"/>
    </row>
    <row r="521" ht="21.6" customHeight="1" s="37">
      <c r="H521" s="31" t="n"/>
    </row>
    <row r="522" ht="21.6" customHeight="1" s="37">
      <c r="H522" s="31" t="n"/>
    </row>
    <row r="523" ht="21.6" customHeight="1" s="37">
      <c r="H523" s="31" t="n"/>
    </row>
    <row r="524" ht="21.6" customHeight="1" s="37">
      <c r="H524" s="31" t="n"/>
    </row>
    <row r="525" ht="21.6" customHeight="1" s="37">
      <c r="H525" s="31" t="n"/>
    </row>
    <row r="526" ht="21.6" customHeight="1" s="37">
      <c r="H526" s="31" t="n"/>
    </row>
    <row r="527" ht="21.6" customHeight="1" s="37">
      <c r="H527" s="31" t="n"/>
    </row>
    <row r="528" ht="21.6" customHeight="1" s="37">
      <c r="H528" s="31" t="n"/>
    </row>
    <row r="529" ht="21.6" customHeight="1" s="37">
      <c r="H529" s="31" t="n"/>
    </row>
    <row r="530" ht="21.6" customHeight="1" s="37">
      <c r="H530" s="31" t="n"/>
    </row>
    <row r="531" ht="21.6" customHeight="1" s="37">
      <c r="H531" s="31" t="n"/>
    </row>
    <row r="532" ht="21.6" customHeight="1" s="37">
      <c r="H532" s="31" t="n"/>
    </row>
    <row r="533" ht="21.6" customHeight="1" s="37">
      <c r="H533" s="31" t="n"/>
    </row>
    <row r="534" ht="21.6" customHeight="1" s="37">
      <c r="H534" s="31" t="n"/>
    </row>
    <row r="535" ht="21.6" customHeight="1" s="37">
      <c r="H535" s="31" t="n"/>
    </row>
    <row r="536" ht="21.6" customHeight="1" s="37">
      <c r="H536" s="31" t="n"/>
    </row>
    <row r="537" ht="21.6" customHeight="1" s="37">
      <c r="H537" s="31" t="n"/>
    </row>
    <row r="538" ht="21.6" customHeight="1" s="37">
      <c r="H538" s="31" t="n"/>
    </row>
    <row r="539" ht="21.6" customHeight="1" s="37">
      <c r="H539" s="31" t="n"/>
    </row>
    <row r="540" ht="21.6" customHeight="1" s="37">
      <c r="H540" s="31" t="n"/>
    </row>
    <row r="541" ht="21.6" customHeight="1" s="37">
      <c r="H541" s="31" t="n"/>
    </row>
    <row r="542" ht="21.6" customHeight="1" s="37">
      <c r="H542" s="31" t="n"/>
    </row>
    <row r="543" ht="21.6" customHeight="1" s="37">
      <c r="H543" s="31" t="n"/>
    </row>
    <row r="544" ht="21.6" customHeight="1" s="37">
      <c r="H544" s="31" t="n"/>
    </row>
    <row r="545" ht="21.6" customHeight="1" s="37">
      <c r="H545" s="31" t="n"/>
    </row>
    <row r="546" ht="21.6" customHeight="1" s="37">
      <c r="H546" s="31" t="n"/>
    </row>
    <row r="547" ht="21.6" customHeight="1" s="37">
      <c r="H547" s="31" t="n"/>
    </row>
    <row r="548" ht="21.6" customHeight="1" s="37">
      <c r="H548" s="31" t="n"/>
    </row>
    <row r="549" ht="21.6" customHeight="1" s="37">
      <c r="H549" s="31" t="n"/>
    </row>
    <row r="550" ht="21.6" customHeight="1" s="37">
      <c r="H550" s="31" t="n"/>
    </row>
    <row r="551" ht="21.6" customHeight="1" s="37">
      <c r="H551" s="31" t="n"/>
    </row>
    <row r="552" ht="21.6" customHeight="1" s="37">
      <c r="H552" s="31" t="n"/>
    </row>
    <row r="553" ht="21.6" customHeight="1" s="37">
      <c r="H553" s="31" t="n"/>
    </row>
    <row r="554" ht="21.6" customHeight="1" s="37">
      <c r="H554" s="31" t="n"/>
    </row>
    <row r="555" ht="21.6" customHeight="1" s="37">
      <c r="H555" s="31" t="n"/>
    </row>
    <row r="556" ht="21.6" customHeight="1" s="37">
      <c r="H556" s="31" t="n"/>
    </row>
    <row r="557" ht="21.6" customHeight="1" s="37">
      <c r="H557" s="31" t="n"/>
    </row>
    <row r="558" ht="21.6" customHeight="1" s="37">
      <c r="H558" s="31" t="n"/>
    </row>
    <row r="559" ht="21.6" customHeight="1" s="37">
      <c r="H559" s="31" t="n"/>
    </row>
    <row r="560" ht="21.6" customHeight="1" s="37">
      <c r="H560" s="31" t="n"/>
    </row>
    <row r="561" ht="21.6" customHeight="1" s="37">
      <c r="H561" s="31" t="n"/>
    </row>
    <row r="562" ht="21.6" customHeight="1" s="37">
      <c r="H562" s="31" t="n"/>
    </row>
    <row r="563" ht="21.6" customHeight="1" s="37">
      <c r="H563" s="31" t="n"/>
    </row>
    <row r="564" ht="21.6" customHeight="1" s="37">
      <c r="H564" s="31" t="n"/>
    </row>
    <row r="565" ht="21.6" customHeight="1" s="37">
      <c r="H565" s="31" t="n"/>
    </row>
    <row r="566" ht="21.6" customHeight="1" s="37">
      <c r="H566" s="31" t="n"/>
    </row>
    <row r="567" ht="21.6" customHeight="1" s="37">
      <c r="H567" s="31" t="n"/>
    </row>
    <row r="568" ht="21.6" customHeight="1" s="37">
      <c r="H568" s="31" t="n"/>
    </row>
    <row r="569" ht="21.6" customHeight="1" s="37">
      <c r="H569" s="31" t="n"/>
    </row>
    <row r="570" ht="21.6" customHeight="1" s="37">
      <c r="H570" s="31" t="n"/>
    </row>
    <row r="571" ht="21.6" customHeight="1" s="37">
      <c r="H571" s="31" t="n"/>
    </row>
    <row r="572" ht="21.6" customHeight="1" s="37">
      <c r="H572" s="31" t="n"/>
    </row>
    <row r="573" ht="21.6" customHeight="1" s="37">
      <c r="H573" s="31" t="n"/>
    </row>
    <row r="574" ht="21.6" customHeight="1" s="37">
      <c r="H574" s="31" t="n"/>
    </row>
    <row r="575" ht="21.6" customHeight="1" s="37">
      <c r="H575" s="31" t="n"/>
    </row>
    <row r="576" ht="21.6" customHeight="1" s="37">
      <c r="H576" s="31" t="n"/>
    </row>
    <row r="577" ht="21.6" customHeight="1" s="37">
      <c r="H577" s="31" t="n"/>
    </row>
    <row r="578" ht="21.6" customHeight="1" s="37">
      <c r="H578" s="31" t="n"/>
    </row>
    <row r="579" ht="21.6" customHeight="1" s="37">
      <c r="H579" s="31" t="n"/>
    </row>
    <row r="580" ht="21.6" customHeight="1" s="37">
      <c r="H580" s="31" t="n"/>
    </row>
    <row r="581" ht="21.6" customHeight="1" s="37">
      <c r="H581" s="31" t="n"/>
    </row>
    <row r="582" ht="21.6" customHeight="1" s="37">
      <c r="H582" s="31" t="n"/>
    </row>
    <row r="583" ht="21.6" customHeight="1" s="37">
      <c r="H583" s="31" t="n"/>
    </row>
    <row r="584" ht="21.6" customHeight="1" s="37">
      <c r="H584" s="31" t="n"/>
    </row>
    <row r="585" ht="21.6" customHeight="1" s="37">
      <c r="H585" s="31" t="n"/>
    </row>
    <row r="586" ht="21.6" customHeight="1" s="37">
      <c r="H586" s="31" t="n"/>
    </row>
    <row r="587" ht="21.6" customHeight="1" s="37">
      <c r="H587" s="31" t="n"/>
    </row>
    <row r="588" ht="21.6" customHeight="1" s="37">
      <c r="H588" s="31" t="n"/>
    </row>
    <row r="589" ht="21.6" customHeight="1" s="37">
      <c r="H589" s="31" t="n"/>
    </row>
    <row r="590" ht="21.6" customHeight="1" s="37">
      <c r="H590" s="31" t="n"/>
    </row>
    <row r="591" ht="21.6" customHeight="1" s="37">
      <c r="H591" s="31" t="n"/>
    </row>
    <row r="592" ht="21.6" customHeight="1" s="37">
      <c r="H592" s="31" t="n"/>
    </row>
    <row r="593" ht="21.6" customHeight="1" s="37">
      <c r="H593" s="31" t="n"/>
    </row>
    <row r="594" ht="21.6" customHeight="1" s="37">
      <c r="H594" s="31" t="n"/>
    </row>
    <row r="595" ht="21.6" customHeight="1" s="37">
      <c r="H595" s="31" t="n"/>
    </row>
    <row r="596" ht="21.6" customHeight="1" s="37">
      <c r="H596" s="31" t="n"/>
    </row>
    <row r="597" ht="21.6" customHeight="1" s="37">
      <c r="H597" s="31" t="n"/>
    </row>
    <row r="598" ht="21.6" customHeight="1" s="37">
      <c r="H598" s="31" t="n"/>
    </row>
    <row r="599" ht="21.6" customHeight="1" s="37">
      <c r="H599" s="31" t="n"/>
    </row>
    <row r="600" ht="21.6" customHeight="1" s="37">
      <c r="H600" s="31" t="n"/>
    </row>
    <row r="601" ht="21.6" customHeight="1" s="37">
      <c r="H601" s="31" t="n"/>
    </row>
    <row r="602" ht="21.6" customHeight="1" s="37">
      <c r="H602" s="31" t="n"/>
    </row>
    <row r="603" ht="21.6" customHeight="1" s="37">
      <c r="H603" s="31" t="n"/>
    </row>
    <row r="604" ht="21.6" customHeight="1" s="37">
      <c r="H604" s="31" t="n"/>
    </row>
    <row r="605" ht="21.6" customHeight="1" s="37">
      <c r="H605" s="31" t="n"/>
    </row>
    <row r="606" ht="21.6" customHeight="1" s="37">
      <c r="H606" s="31" t="n"/>
    </row>
    <row r="607" ht="21.6" customHeight="1" s="37">
      <c r="H607" s="31" t="n"/>
    </row>
    <row r="608" ht="21.6" customHeight="1" s="37">
      <c r="H608" s="31" t="n"/>
    </row>
    <row r="609" ht="21.6" customHeight="1" s="37">
      <c r="H609" s="31" t="n"/>
    </row>
    <row r="610" ht="21.6" customHeight="1" s="37">
      <c r="H610" s="31" t="n"/>
    </row>
    <row r="611" ht="21.6" customHeight="1" s="37">
      <c r="H611" s="31" t="n"/>
    </row>
    <row r="612" ht="21.6" customHeight="1" s="37">
      <c r="H612" s="31" t="n"/>
    </row>
    <row r="613" ht="21.6" customHeight="1" s="37">
      <c r="H613" s="31" t="n"/>
    </row>
    <row r="614" ht="21.6" customHeight="1" s="37">
      <c r="H614" s="31" t="n"/>
    </row>
    <row r="615" ht="21.6" customHeight="1" s="37">
      <c r="H615" s="31" t="n"/>
    </row>
    <row r="616" ht="21.6" customHeight="1" s="37">
      <c r="H616" s="31" t="n"/>
    </row>
    <row r="617" ht="21.6" customHeight="1" s="37">
      <c r="H617" s="31" t="n"/>
    </row>
    <row r="618" ht="21.6" customHeight="1" s="37">
      <c r="H618" s="31" t="n"/>
    </row>
    <row r="619" ht="21.6" customHeight="1" s="37">
      <c r="H619" s="31" t="n"/>
    </row>
    <row r="620" ht="21.6" customHeight="1" s="37">
      <c r="H620" s="31" t="n"/>
    </row>
    <row r="621" ht="21.6" customHeight="1" s="37">
      <c r="H621" s="31" t="n"/>
    </row>
    <row r="622" ht="21.6" customHeight="1" s="37">
      <c r="H622" s="31" t="n"/>
    </row>
    <row r="623" ht="21.6" customHeight="1" s="37">
      <c r="H623" s="31" t="n"/>
    </row>
    <row r="624" ht="21.6" customHeight="1" s="37">
      <c r="H624" s="31" t="n"/>
    </row>
    <row r="625" ht="21.6" customHeight="1" s="37">
      <c r="H625" s="31" t="n"/>
    </row>
    <row r="626" ht="21.6" customHeight="1" s="37">
      <c r="H626" s="31" t="n"/>
    </row>
    <row r="627" ht="21.6" customHeight="1" s="37">
      <c r="H627" s="31" t="n"/>
    </row>
    <row r="628" ht="21.6" customHeight="1" s="37">
      <c r="H628" s="31" t="n"/>
    </row>
    <row r="629" ht="21.6" customHeight="1" s="37">
      <c r="H629" s="31" t="n"/>
    </row>
    <row r="630" ht="21.6" customHeight="1" s="37">
      <c r="H630" s="31" t="n"/>
    </row>
    <row r="631" ht="21.6" customHeight="1" s="37">
      <c r="H631" s="31" t="n"/>
    </row>
    <row r="632" ht="21.6" customHeight="1" s="37">
      <c r="H632" s="31" t="n"/>
    </row>
    <row r="633" ht="21.6" customHeight="1" s="37">
      <c r="H633" s="31" t="n"/>
    </row>
    <row r="634" ht="21.6" customHeight="1" s="37">
      <c r="H634" s="31" t="n"/>
    </row>
    <row r="635" ht="21.6" customHeight="1" s="37">
      <c r="H635" s="31" t="n"/>
    </row>
    <row r="636" ht="21.6" customHeight="1" s="37">
      <c r="H636" s="31" t="n"/>
    </row>
    <row r="637" ht="21.6" customHeight="1" s="37">
      <c r="H637" s="31" t="n"/>
    </row>
    <row r="638" ht="21.6" customHeight="1" s="37">
      <c r="H638" s="31" t="n"/>
    </row>
    <row r="639" ht="21.6" customHeight="1" s="37">
      <c r="H639" s="31" t="n"/>
    </row>
    <row r="640" ht="21.6" customHeight="1" s="37">
      <c r="H640" s="31" t="n"/>
    </row>
    <row r="641" ht="21.6" customHeight="1" s="37">
      <c r="H641" s="31" t="n"/>
    </row>
    <row r="642" ht="21.6" customHeight="1" s="37">
      <c r="H642" s="31" t="n"/>
    </row>
    <row r="643" ht="21.6" customHeight="1" s="37">
      <c r="H643" s="31" t="n"/>
    </row>
    <row r="644" ht="21.6" customHeight="1" s="37">
      <c r="H644" s="31" t="n"/>
    </row>
    <row r="645" ht="21.6" customHeight="1" s="37">
      <c r="H645" s="31" t="n"/>
    </row>
    <row r="646" ht="21.6" customHeight="1" s="37">
      <c r="H646" s="31" t="n"/>
    </row>
    <row r="647" ht="21.6" customHeight="1" s="37">
      <c r="H647" s="31" t="n"/>
    </row>
    <row r="648" ht="21.6" customHeight="1" s="37">
      <c r="H648" s="31" t="n"/>
    </row>
    <row r="649" ht="21.6" customHeight="1" s="37">
      <c r="H649" s="31" t="n"/>
    </row>
    <row r="650" ht="21.6" customHeight="1" s="37">
      <c r="H650" s="31" t="n"/>
    </row>
    <row r="651" ht="21.6" customHeight="1" s="37">
      <c r="H651" s="31" t="n"/>
    </row>
    <row r="652" ht="21.6" customHeight="1" s="37">
      <c r="H652" s="31" t="n"/>
    </row>
    <row r="653" ht="21.6" customHeight="1" s="37">
      <c r="H653" s="31" t="n"/>
    </row>
    <row r="654" ht="21.6" customHeight="1" s="37">
      <c r="H654" s="31" t="n"/>
    </row>
    <row r="655" ht="21.6" customHeight="1" s="37">
      <c r="H655" s="31" t="n"/>
    </row>
    <row r="656" ht="21.6" customHeight="1" s="37">
      <c r="H656" s="31" t="n"/>
    </row>
    <row r="657" ht="21.6" customHeight="1" s="37">
      <c r="H657" s="31" t="n"/>
    </row>
    <row r="658" ht="21.6" customHeight="1" s="37">
      <c r="H658" s="31" t="n"/>
    </row>
    <row r="659" ht="21.6" customHeight="1" s="37">
      <c r="H659" s="31" t="n"/>
    </row>
    <row r="660" ht="21.6" customHeight="1" s="37">
      <c r="H660" s="31" t="n"/>
    </row>
    <row r="661" ht="21.6" customHeight="1" s="37">
      <c r="H661" s="31" t="n"/>
    </row>
    <row r="662" ht="21.6" customHeight="1" s="37">
      <c r="H662" s="31" t="n"/>
    </row>
    <row r="663" ht="21.6" customHeight="1" s="37">
      <c r="H663" s="31" t="n"/>
    </row>
    <row r="664" ht="21.6" customHeight="1" s="37">
      <c r="H664" s="31" t="n"/>
    </row>
    <row r="665" ht="21.6" customHeight="1" s="37">
      <c r="H665" s="31" t="n"/>
    </row>
    <row r="666" ht="21.6" customHeight="1" s="37">
      <c r="H666" s="31" t="n"/>
    </row>
    <row r="667" ht="21.6" customHeight="1" s="37">
      <c r="H667" s="31" t="n"/>
    </row>
    <row r="668" ht="21.6" customHeight="1" s="37">
      <c r="H668" s="31" t="n"/>
    </row>
    <row r="669" ht="21.6" customHeight="1" s="37">
      <c r="H669" s="31" t="n"/>
    </row>
    <row r="670" ht="21.6" customHeight="1" s="37">
      <c r="H670" s="31" t="n"/>
    </row>
    <row r="671" ht="21.6" customHeight="1" s="37">
      <c r="H671" s="31" t="n"/>
    </row>
    <row r="672" ht="21.6" customHeight="1" s="37">
      <c r="H672" s="31" t="n"/>
    </row>
    <row r="673" ht="21.6" customHeight="1" s="37">
      <c r="H673" s="31" t="n"/>
    </row>
    <row r="674" ht="21.6" customHeight="1" s="37">
      <c r="H674" s="31" t="n"/>
    </row>
    <row r="675" ht="21.6" customHeight="1" s="37">
      <c r="H675" s="31" t="n"/>
    </row>
    <row r="676" ht="21.6" customHeight="1" s="37">
      <c r="H676" s="31" t="n"/>
    </row>
    <row r="677" ht="21.6" customHeight="1" s="37">
      <c r="H677" s="31" t="n"/>
    </row>
    <row r="678" ht="21.6" customHeight="1" s="37">
      <c r="H678" s="31" t="n"/>
    </row>
    <row r="679" ht="21.6" customHeight="1" s="37">
      <c r="H679" s="31" t="n"/>
    </row>
    <row r="680" ht="21.6" customHeight="1" s="37">
      <c r="H680" s="31" t="n"/>
    </row>
    <row r="681" ht="21.6" customHeight="1" s="37">
      <c r="H681" s="31" t="n"/>
    </row>
    <row r="682" ht="21.6" customHeight="1" s="37">
      <c r="H682" s="31" t="n"/>
    </row>
    <row r="683" ht="21.6" customHeight="1" s="37">
      <c r="H683" s="31" t="n"/>
    </row>
    <row r="684" ht="21.6" customHeight="1" s="37">
      <c r="H684" s="31" t="n"/>
    </row>
    <row r="685" ht="21.6" customHeight="1" s="37">
      <c r="H685" s="31" t="n"/>
    </row>
    <row r="686" ht="21.6" customHeight="1" s="37">
      <c r="H686" s="31" t="n"/>
    </row>
    <row r="687" ht="21.6" customHeight="1" s="37">
      <c r="H687" s="31" t="n"/>
    </row>
    <row r="688" ht="21.6" customHeight="1" s="37">
      <c r="H688" s="31" t="n"/>
    </row>
    <row r="689" ht="21.6" customHeight="1" s="37">
      <c r="H689" s="31" t="n"/>
    </row>
    <row r="690" ht="21.6" customHeight="1" s="37">
      <c r="H690" s="31" t="n"/>
    </row>
    <row r="691" ht="21.6" customHeight="1" s="37">
      <c r="H691" s="31" t="n"/>
    </row>
    <row r="692" ht="21.6" customHeight="1" s="37">
      <c r="H692" s="31" t="n"/>
    </row>
    <row r="693" ht="21.6" customHeight="1" s="37">
      <c r="H693" s="31" t="n"/>
    </row>
    <row r="694" ht="21.6" customHeight="1" s="37">
      <c r="H694" s="31" t="n"/>
    </row>
    <row r="695" ht="21.6" customHeight="1" s="37">
      <c r="H695" s="31" t="n"/>
    </row>
    <row r="696" ht="21.6" customHeight="1" s="37">
      <c r="H696" s="31" t="n"/>
    </row>
    <row r="697" ht="21.6" customHeight="1" s="37">
      <c r="H697" s="31" t="n"/>
    </row>
    <row r="698" ht="21.6" customHeight="1" s="37">
      <c r="H698" s="31" t="n"/>
    </row>
    <row r="699" ht="21.6" customHeight="1" s="37">
      <c r="H699" s="31" t="n"/>
    </row>
    <row r="700" ht="21.6" customHeight="1" s="37">
      <c r="H700" s="31" t="n"/>
    </row>
    <row r="701" ht="21.6" customHeight="1" s="37">
      <c r="H701" s="31" t="n"/>
    </row>
    <row r="702" ht="21.6" customHeight="1" s="37">
      <c r="H702" s="31" t="n"/>
    </row>
    <row r="703" ht="21.6" customHeight="1" s="37">
      <c r="H703" s="31" t="n"/>
    </row>
    <row r="704" ht="21.6" customHeight="1" s="37">
      <c r="H704" s="31" t="n"/>
    </row>
    <row r="705" ht="21.6" customHeight="1" s="37">
      <c r="H705" s="31" t="n"/>
    </row>
    <row r="706" ht="21.6" customHeight="1" s="37">
      <c r="H706" s="31" t="n"/>
    </row>
    <row r="707" ht="21.6" customHeight="1" s="37">
      <c r="H707" s="31" t="n"/>
    </row>
    <row r="708" ht="21.6" customHeight="1" s="37">
      <c r="H708" s="31" t="n"/>
    </row>
    <row r="709" ht="21.6" customHeight="1" s="37">
      <c r="H709" s="31" t="n"/>
    </row>
    <row r="710" ht="21.6" customHeight="1" s="37">
      <c r="H710" s="31" t="n"/>
    </row>
    <row r="711" ht="21.6" customHeight="1" s="37">
      <c r="H711" s="31" t="n"/>
    </row>
    <row r="712" ht="21.6" customHeight="1" s="37">
      <c r="H712" s="31" t="n"/>
    </row>
    <row r="713" ht="21.6" customHeight="1" s="37">
      <c r="H713" s="31" t="n"/>
    </row>
    <row r="714" ht="21.6" customHeight="1" s="37">
      <c r="H714" s="31" t="n"/>
    </row>
    <row r="715" ht="21.6" customHeight="1" s="37">
      <c r="H715" s="31" t="n"/>
    </row>
    <row r="716" ht="21.6" customHeight="1" s="37">
      <c r="H716" s="31" t="n"/>
    </row>
    <row r="717" ht="21.6" customHeight="1" s="37">
      <c r="H717" s="31" t="n"/>
    </row>
    <row r="718" ht="21.6" customHeight="1" s="37">
      <c r="H718" s="31" t="n"/>
    </row>
    <row r="719" ht="21.6" customHeight="1" s="37">
      <c r="H719" s="31" t="n"/>
    </row>
    <row r="720" ht="21.6" customHeight="1" s="37">
      <c r="H720" s="31" t="n"/>
    </row>
    <row r="721" ht="21.6" customHeight="1" s="37">
      <c r="H721" s="31" t="n"/>
    </row>
    <row r="722" ht="21.6" customHeight="1" s="37">
      <c r="H722" s="31" t="n"/>
    </row>
    <row r="723" ht="21.6" customHeight="1" s="37">
      <c r="H723" s="31" t="n"/>
    </row>
    <row r="724" ht="21.6" customHeight="1" s="37">
      <c r="H724" s="31" t="n"/>
    </row>
    <row r="725" ht="21.6" customHeight="1" s="37">
      <c r="H725" s="31" t="n"/>
    </row>
    <row r="726" ht="21.6" customHeight="1" s="37">
      <c r="H726" s="31" t="n"/>
    </row>
    <row r="727" ht="21.6" customHeight="1" s="37">
      <c r="H727" s="31" t="n"/>
    </row>
    <row r="728" ht="21.6" customHeight="1" s="37">
      <c r="H728" s="31" t="n"/>
    </row>
    <row r="729" ht="21.6" customHeight="1" s="37">
      <c r="H729" s="31" t="n"/>
    </row>
    <row r="730" ht="21.6" customHeight="1" s="37">
      <c r="H730" s="31" t="n"/>
    </row>
    <row r="731" ht="21.6" customHeight="1" s="37">
      <c r="H731" s="31" t="n"/>
    </row>
    <row r="732" ht="21.6" customHeight="1" s="37">
      <c r="H732" s="31" t="n"/>
    </row>
    <row r="733" ht="21.6" customHeight="1" s="37">
      <c r="H733" s="31" t="n"/>
    </row>
    <row r="734" ht="21.6" customHeight="1" s="37">
      <c r="H734" s="31" t="n"/>
    </row>
    <row r="735" ht="21.6" customHeight="1" s="37">
      <c r="H735" s="31" t="n"/>
    </row>
    <row r="736" ht="21.6" customHeight="1" s="37">
      <c r="H736" s="31" t="n"/>
    </row>
    <row r="737" ht="21.6" customHeight="1" s="37">
      <c r="H737" s="31" t="n"/>
    </row>
    <row r="738" ht="21.6" customHeight="1" s="37">
      <c r="H738" s="31" t="n"/>
    </row>
    <row r="739" ht="21.6" customHeight="1" s="37">
      <c r="H739" s="31" t="n"/>
    </row>
    <row r="740" ht="21.6" customHeight="1" s="37">
      <c r="H740" s="31" t="n"/>
    </row>
    <row r="741" ht="21.6" customHeight="1" s="37">
      <c r="H741" s="31" t="n"/>
    </row>
    <row r="742" ht="21.6" customHeight="1" s="37">
      <c r="H742" s="31" t="n"/>
    </row>
    <row r="743" ht="21.6" customHeight="1" s="37">
      <c r="H743" s="31" t="n"/>
    </row>
    <row r="744" ht="21.6" customHeight="1" s="37">
      <c r="H744" s="31" t="n"/>
    </row>
    <row r="745" ht="21.6" customHeight="1" s="37">
      <c r="H745" s="31" t="n"/>
    </row>
    <row r="746" ht="21.6" customHeight="1" s="37">
      <c r="H746" s="31" t="n"/>
    </row>
    <row r="747" ht="21.6" customHeight="1" s="37">
      <c r="H747" s="31" t="n"/>
    </row>
    <row r="748" ht="21.6" customHeight="1" s="37">
      <c r="H748" s="31" t="n"/>
    </row>
    <row r="749" ht="21.6" customHeight="1" s="37">
      <c r="H749" s="31" t="n"/>
    </row>
    <row r="750" ht="21.6" customHeight="1" s="37">
      <c r="H750" s="31" t="n"/>
    </row>
    <row r="751" ht="21.6" customHeight="1" s="37">
      <c r="H751" s="31" t="n"/>
    </row>
    <row r="752" ht="21.6" customHeight="1" s="37">
      <c r="H752" s="31" t="n"/>
    </row>
    <row r="753" ht="21.6" customHeight="1" s="37">
      <c r="H753" s="31" t="n"/>
    </row>
    <row r="754" ht="21.6" customHeight="1" s="37">
      <c r="H754" s="31" t="n"/>
    </row>
    <row r="755" ht="21.6" customHeight="1" s="37">
      <c r="H755" s="31" t="n"/>
    </row>
    <row r="756" ht="21.6" customHeight="1" s="37">
      <c r="H756" s="31" t="n"/>
    </row>
    <row r="757" ht="21.6" customHeight="1" s="37">
      <c r="H757" s="31" t="n"/>
    </row>
    <row r="758" ht="21.6" customHeight="1" s="37">
      <c r="H758" s="31" t="n"/>
    </row>
    <row r="759" ht="21.6" customHeight="1" s="37">
      <c r="H759" s="31" t="n"/>
    </row>
    <row r="760" ht="21.6" customHeight="1" s="37">
      <c r="H760" s="31" t="n"/>
    </row>
    <row r="761" ht="21.6" customHeight="1" s="37">
      <c r="H761" s="31" t="n"/>
    </row>
    <row r="762" ht="21.6" customHeight="1" s="37">
      <c r="H762" s="31" t="n"/>
    </row>
    <row r="763" ht="21.6" customHeight="1" s="37">
      <c r="H763" s="31" t="n"/>
    </row>
    <row r="764" ht="21.6" customHeight="1" s="37">
      <c r="H764" s="31" t="n"/>
    </row>
    <row r="765" ht="21.6" customHeight="1" s="37">
      <c r="H765" s="31" t="n"/>
    </row>
    <row r="766" ht="21.6" customHeight="1" s="37">
      <c r="H766" s="31" t="n"/>
    </row>
    <row r="767" ht="21.6" customHeight="1" s="37">
      <c r="H767" s="31" t="n"/>
    </row>
    <row r="768" ht="21.6" customHeight="1" s="37">
      <c r="H768" s="31" t="n"/>
    </row>
    <row r="769" ht="21.6" customHeight="1" s="37">
      <c r="H769" s="31" t="n"/>
    </row>
    <row r="770" ht="21.6" customHeight="1" s="37">
      <c r="H770" s="31" t="n"/>
    </row>
    <row r="771" ht="21.6" customHeight="1" s="37">
      <c r="H771" s="31" t="n"/>
    </row>
    <row r="772" ht="21.6" customHeight="1" s="37">
      <c r="H772" s="31" t="n"/>
    </row>
    <row r="773" ht="21.6" customHeight="1" s="37">
      <c r="H773" s="31" t="n"/>
    </row>
    <row r="774" ht="21.6" customHeight="1" s="37">
      <c r="H774" s="31" t="n"/>
    </row>
    <row r="775" ht="21.6" customHeight="1" s="37">
      <c r="H775" s="31" t="n"/>
    </row>
    <row r="776" ht="21.6" customHeight="1" s="37">
      <c r="H776" s="31" t="n"/>
    </row>
    <row r="777" ht="21.6" customHeight="1" s="37">
      <c r="H777" s="31" t="n"/>
    </row>
    <row r="778" ht="21.6" customHeight="1" s="37">
      <c r="H778" s="31" t="n"/>
    </row>
    <row r="779" ht="21.6" customHeight="1" s="37">
      <c r="H779" s="31" t="n"/>
    </row>
    <row r="780" ht="21.6" customHeight="1" s="37">
      <c r="H780" s="31" t="n"/>
    </row>
    <row r="781" ht="21.6" customHeight="1" s="37">
      <c r="H781" s="31" t="n"/>
    </row>
    <row r="782" ht="21.6" customHeight="1" s="37">
      <c r="H782" s="31" t="n"/>
    </row>
    <row r="783" ht="21.6" customHeight="1" s="37">
      <c r="H783" s="31" t="n"/>
    </row>
    <row r="784" ht="21.6" customHeight="1" s="37">
      <c r="H784" s="31" t="n"/>
    </row>
    <row r="785" ht="21.6" customHeight="1" s="37">
      <c r="H785" s="31" t="n"/>
    </row>
    <row r="786" ht="21.6" customHeight="1" s="37">
      <c r="H786" s="31" t="n"/>
    </row>
    <row r="787" ht="21.6" customHeight="1" s="37">
      <c r="H787" s="31" t="n"/>
    </row>
    <row r="788" ht="21.6" customHeight="1" s="37">
      <c r="H788" s="31" t="n"/>
    </row>
    <row r="789" ht="21.6" customHeight="1" s="37">
      <c r="H789" s="31" t="n"/>
    </row>
    <row r="790" ht="21.6" customHeight="1" s="37">
      <c r="H790" s="31" t="n"/>
    </row>
    <row r="791" ht="21.6" customHeight="1" s="37">
      <c r="H791" s="31" t="n"/>
    </row>
    <row r="792" ht="21.6" customHeight="1" s="37">
      <c r="H792" s="31" t="n"/>
    </row>
    <row r="793" ht="21.6" customHeight="1" s="37">
      <c r="H793" s="31" t="n"/>
    </row>
    <row r="794" ht="21.6" customHeight="1" s="37">
      <c r="H794" s="31" t="n"/>
    </row>
    <row r="795" ht="21.6" customHeight="1" s="37">
      <c r="H795" s="31" t="n"/>
    </row>
    <row r="796" ht="21.6" customHeight="1" s="37">
      <c r="H796" s="31" t="n"/>
    </row>
    <row r="797" ht="21.6" customHeight="1" s="37">
      <c r="H797" s="31" t="n"/>
    </row>
    <row r="798" ht="21.6" customHeight="1" s="37">
      <c r="H798" s="31" t="n"/>
    </row>
    <row r="799" ht="21.6" customHeight="1" s="37">
      <c r="H799" s="31" t="n"/>
    </row>
    <row r="800" ht="21.6" customHeight="1" s="37">
      <c r="H800" s="31" t="n"/>
    </row>
    <row r="801" ht="21.6" customHeight="1" s="37">
      <c r="H801" s="31" t="n"/>
    </row>
    <row r="802" ht="21.6" customHeight="1" s="37">
      <c r="H802" s="31" t="n"/>
    </row>
    <row r="803" ht="21.6" customHeight="1" s="37">
      <c r="H803" s="31" t="n"/>
    </row>
    <row r="804" ht="21.6" customHeight="1" s="37">
      <c r="H804" s="31" t="n"/>
    </row>
    <row r="805" ht="21.6" customHeight="1" s="37">
      <c r="H805" s="31" t="n"/>
    </row>
    <row r="806" ht="21.6" customHeight="1" s="37">
      <c r="H806" s="31" t="n"/>
    </row>
    <row r="807" ht="21.6" customHeight="1" s="37">
      <c r="H807" s="31" t="n"/>
    </row>
    <row r="808" ht="21.6" customHeight="1" s="37">
      <c r="H808" s="31" t="n"/>
    </row>
    <row r="809" ht="21.6" customHeight="1" s="37">
      <c r="H809" s="31" t="n"/>
    </row>
    <row r="810" ht="21.6" customHeight="1" s="37">
      <c r="H810" s="31" t="n"/>
    </row>
    <row r="811" ht="21.6" customHeight="1" s="37">
      <c r="H811" s="31" t="n"/>
    </row>
    <row r="812" ht="21.6" customHeight="1" s="37">
      <c r="H812" s="31" t="n"/>
    </row>
    <row r="813" ht="21.6" customHeight="1" s="37">
      <c r="H813" s="31" t="n"/>
    </row>
    <row r="814" ht="21.6" customHeight="1" s="37">
      <c r="H814" s="31" t="n"/>
    </row>
    <row r="815" ht="21.6" customHeight="1" s="37">
      <c r="H815" s="31" t="n"/>
    </row>
    <row r="816" ht="21.6" customHeight="1" s="37">
      <c r="H816" s="31" t="n"/>
    </row>
    <row r="817" ht="21.6" customHeight="1" s="37">
      <c r="H817" s="31" t="n"/>
    </row>
    <row r="818" ht="21.6" customHeight="1" s="37">
      <c r="H818" s="31" t="n"/>
    </row>
    <row r="819" ht="21.6" customHeight="1" s="37">
      <c r="H819" s="31" t="n"/>
    </row>
    <row r="820" ht="21.6" customHeight="1" s="37">
      <c r="H820" s="31" t="n"/>
    </row>
    <row r="821" ht="21.6" customHeight="1" s="37">
      <c r="H821" s="31" t="n"/>
    </row>
    <row r="822" ht="21.6" customHeight="1" s="37">
      <c r="H822" s="31" t="n"/>
    </row>
    <row r="823" ht="21.6" customHeight="1" s="37">
      <c r="H823" s="31" t="n"/>
    </row>
    <row r="824" ht="21.6" customHeight="1" s="37">
      <c r="H824" s="31" t="n"/>
    </row>
    <row r="825" ht="21.6" customHeight="1" s="37">
      <c r="H825" s="31" t="n"/>
    </row>
    <row r="826" ht="21.6" customHeight="1" s="37">
      <c r="H826" s="31" t="n"/>
    </row>
    <row r="827" ht="21.6" customHeight="1" s="37">
      <c r="H827" s="31" t="n"/>
    </row>
    <row r="828" ht="21.6" customHeight="1" s="37">
      <c r="H828" s="31" t="n"/>
    </row>
    <row r="829" ht="21.6" customHeight="1" s="37">
      <c r="H829" s="31" t="n"/>
    </row>
    <row r="830" ht="21.6" customHeight="1" s="37">
      <c r="H830" s="31" t="n"/>
    </row>
    <row r="831" ht="21.6" customHeight="1" s="37">
      <c r="H831" s="31" t="n"/>
    </row>
    <row r="832" ht="21.6" customHeight="1" s="37">
      <c r="H832" s="31" t="n"/>
    </row>
    <row r="833" ht="21.6" customHeight="1" s="37">
      <c r="H833" s="31" t="n"/>
    </row>
    <row r="834" ht="21.6" customHeight="1" s="37">
      <c r="H834" s="31" t="n"/>
    </row>
    <row r="835" ht="21.6" customHeight="1" s="37">
      <c r="H835" s="31" t="n"/>
    </row>
    <row r="836" ht="21.6" customHeight="1" s="37">
      <c r="H836" s="31" t="n"/>
    </row>
    <row r="837" ht="21.6" customHeight="1" s="37">
      <c r="H837" s="31" t="n"/>
    </row>
    <row r="838" ht="21.6" customHeight="1" s="37">
      <c r="H838" s="31" t="n"/>
    </row>
    <row r="839" ht="21.6" customHeight="1" s="37">
      <c r="H839" s="31" t="n"/>
    </row>
    <row r="840" ht="21.6" customHeight="1" s="37">
      <c r="H840" s="31" t="n"/>
    </row>
    <row r="841" ht="21.6" customHeight="1" s="37">
      <c r="H841" s="31" t="n"/>
    </row>
    <row r="842" ht="21.6" customHeight="1" s="37">
      <c r="H842" s="31" t="n"/>
    </row>
    <row r="843" ht="21.6" customHeight="1" s="37">
      <c r="H843" s="31" t="n"/>
    </row>
    <row r="844" ht="21.6" customHeight="1" s="37">
      <c r="H844" s="31" t="n"/>
    </row>
    <row r="845" ht="21.6" customHeight="1" s="37">
      <c r="H845" s="31" t="n"/>
    </row>
    <row r="846" ht="21.6" customHeight="1" s="37">
      <c r="H846" s="31" t="n"/>
    </row>
    <row r="847" ht="21.6" customHeight="1" s="37">
      <c r="H847" s="31" t="n"/>
    </row>
    <row r="848" ht="21.6" customHeight="1" s="37">
      <c r="H848" s="31" t="n"/>
    </row>
    <row r="849" ht="21.6" customHeight="1" s="37">
      <c r="H849" s="31" t="n"/>
    </row>
    <row r="850" ht="21.6" customHeight="1" s="37">
      <c r="H850" s="31" t="n"/>
    </row>
    <row r="851" ht="21.6" customHeight="1" s="37">
      <c r="H851" s="31" t="n"/>
    </row>
    <row r="852" ht="21.6" customHeight="1" s="37">
      <c r="H852" s="31" t="n"/>
    </row>
    <row r="853" ht="21.6" customHeight="1" s="37">
      <c r="H853" s="31" t="n"/>
    </row>
    <row r="854" ht="21.6" customHeight="1" s="37">
      <c r="H854" s="31" t="n"/>
    </row>
    <row r="855" ht="21.6" customHeight="1" s="37">
      <c r="H855" s="31" t="n"/>
    </row>
    <row r="856" ht="21.6" customHeight="1" s="37">
      <c r="H856" s="31" t="n"/>
    </row>
    <row r="857" ht="21.6" customHeight="1" s="37">
      <c r="H857" s="31" t="n"/>
    </row>
    <row r="858" ht="21.6" customHeight="1" s="37">
      <c r="H858" s="31" t="n"/>
    </row>
    <row r="859" ht="21.6" customHeight="1" s="37">
      <c r="H859" s="31" t="n"/>
    </row>
    <row r="860" ht="21.6" customHeight="1" s="37">
      <c r="H860" s="31" t="n"/>
    </row>
    <row r="861" ht="21.6" customHeight="1" s="37">
      <c r="H861" s="31" t="n"/>
    </row>
    <row r="862" ht="21.6" customHeight="1" s="37">
      <c r="H862" s="31" t="n"/>
    </row>
    <row r="863" ht="21.6" customHeight="1" s="37">
      <c r="H863" s="31" t="n"/>
    </row>
    <row r="864" ht="21.6" customHeight="1" s="37">
      <c r="H864" s="31" t="n"/>
    </row>
    <row r="865" ht="21.6" customHeight="1" s="37">
      <c r="H865" s="31" t="n"/>
    </row>
    <row r="866" ht="21.6" customHeight="1" s="37">
      <c r="H866" s="31" t="n"/>
    </row>
    <row r="867" ht="21.6" customHeight="1" s="37">
      <c r="H867" s="31" t="n"/>
    </row>
    <row r="868" ht="21.6" customHeight="1" s="37">
      <c r="H868" s="31" t="n"/>
    </row>
    <row r="869" ht="21.6" customHeight="1" s="37">
      <c r="H869" s="31" t="n"/>
    </row>
    <row r="870" ht="21.6" customHeight="1" s="37">
      <c r="H870" s="31" t="n"/>
    </row>
    <row r="871" ht="21.6" customHeight="1" s="37">
      <c r="H871" s="31" t="n"/>
    </row>
    <row r="872" ht="21.6" customHeight="1" s="37">
      <c r="H872" s="31" t="n"/>
    </row>
    <row r="873" ht="21.6" customHeight="1" s="37">
      <c r="H873" s="31" t="n"/>
    </row>
    <row r="874" ht="21.6" customHeight="1" s="37">
      <c r="H874" s="31" t="n"/>
    </row>
    <row r="875" ht="21.6" customHeight="1" s="37">
      <c r="H875" s="31" t="n"/>
    </row>
    <row r="876" ht="21.6" customHeight="1" s="37">
      <c r="H876" s="31" t="n"/>
    </row>
    <row r="877" ht="21.6" customHeight="1" s="37">
      <c r="H877" s="31" t="n"/>
    </row>
    <row r="878" ht="21.6" customHeight="1" s="37">
      <c r="H878" s="31" t="n"/>
    </row>
    <row r="879" ht="21.6" customHeight="1" s="37">
      <c r="H879" s="31" t="n"/>
    </row>
    <row r="880" ht="21.6" customHeight="1" s="37">
      <c r="H880" s="31" t="n"/>
    </row>
    <row r="881" ht="21.6" customHeight="1" s="37">
      <c r="H881" s="31" t="n"/>
    </row>
    <row r="882" ht="21.6" customHeight="1" s="37">
      <c r="H882" s="31" t="n"/>
    </row>
    <row r="883" ht="21.6" customHeight="1" s="37">
      <c r="H883" s="31" t="n"/>
    </row>
    <row r="884" ht="21.6" customHeight="1" s="37">
      <c r="H884" s="31" t="n"/>
    </row>
    <row r="885" ht="21.6" customHeight="1" s="37">
      <c r="H885" s="31" t="n"/>
    </row>
    <row r="886" ht="21.6" customHeight="1" s="37">
      <c r="H886" s="31" t="n"/>
    </row>
    <row r="887" ht="21.6" customHeight="1" s="37">
      <c r="H887" s="31" t="n"/>
    </row>
    <row r="888" ht="21.6" customHeight="1" s="37">
      <c r="H888" s="31" t="n"/>
    </row>
    <row r="889" ht="21.6" customHeight="1" s="37">
      <c r="H889" s="31" t="n"/>
    </row>
    <row r="890" ht="21.6" customHeight="1" s="37">
      <c r="H890" s="31" t="n"/>
    </row>
    <row r="891" ht="21.6" customHeight="1" s="37">
      <c r="H891" s="31" t="n"/>
    </row>
    <row r="892" ht="21.6" customHeight="1" s="37">
      <c r="H892" s="31" t="n"/>
    </row>
    <row r="893" ht="21.6" customHeight="1" s="37">
      <c r="H893" s="31" t="n"/>
    </row>
    <row r="894" ht="21.6" customHeight="1" s="37">
      <c r="H894" s="31" t="n"/>
    </row>
    <row r="895" ht="21.6" customHeight="1" s="37">
      <c r="H895" s="31" t="n"/>
    </row>
    <row r="896" ht="21.6" customHeight="1" s="37">
      <c r="H896" s="31" t="n"/>
    </row>
    <row r="897" ht="21.6" customHeight="1" s="37">
      <c r="H897" s="31" t="n"/>
    </row>
    <row r="898" ht="21.6" customHeight="1" s="37">
      <c r="H898" s="31" t="n"/>
    </row>
    <row r="899" ht="21.6" customHeight="1" s="37">
      <c r="H899" s="31" t="n"/>
    </row>
    <row r="900" ht="21.6" customHeight="1" s="37">
      <c r="H900" s="31" t="n"/>
    </row>
    <row r="901" ht="21.6" customHeight="1" s="37">
      <c r="H901" s="31" t="n"/>
    </row>
    <row r="902" ht="21.6" customHeight="1" s="37">
      <c r="H902" s="31" t="n"/>
    </row>
    <row r="903" ht="21.6" customHeight="1" s="37">
      <c r="H903" s="31" t="n"/>
    </row>
    <row r="904" ht="21.6" customHeight="1" s="37">
      <c r="H904" s="31" t="n"/>
    </row>
    <row r="905" ht="21.6" customHeight="1" s="37">
      <c r="H905" s="31" t="n"/>
    </row>
    <row r="906" ht="21.6" customHeight="1" s="37">
      <c r="H906" s="31" t="n"/>
    </row>
    <row r="907" ht="21.6" customHeight="1" s="37">
      <c r="H907" s="31" t="n"/>
    </row>
    <row r="908" ht="21.6" customHeight="1" s="37">
      <c r="H908" s="31" t="n"/>
    </row>
    <row r="909" ht="21.6" customHeight="1" s="37">
      <c r="H909" s="31" t="n"/>
    </row>
    <row r="910" ht="21.6" customHeight="1" s="37">
      <c r="H910" s="31" t="n"/>
    </row>
    <row r="911" ht="21.6" customHeight="1" s="37">
      <c r="H911" s="31" t="n"/>
    </row>
    <row r="912" ht="21.6" customHeight="1" s="37">
      <c r="H912" s="31" t="n"/>
    </row>
    <row r="913" ht="21.6" customHeight="1" s="37">
      <c r="H913" s="31" t="n"/>
    </row>
    <row r="914" ht="21.6" customHeight="1" s="37">
      <c r="H914" s="31" t="n"/>
    </row>
    <row r="915" ht="21.6" customHeight="1" s="37">
      <c r="H915" s="31" t="n"/>
    </row>
    <row r="916" ht="21.6" customHeight="1" s="37">
      <c r="H916" s="31" t="n"/>
    </row>
    <row r="917" ht="21.6" customHeight="1" s="37">
      <c r="H917" s="31" t="n"/>
    </row>
    <row r="918" ht="21.6" customHeight="1" s="37">
      <c r="H918" s="31" t="n"/>
    </row>
    <row r="919" ht="21.6" customHeight="1" s="37">
      <c r="H919" s="31" t="n"/>
    </row>
    <row r="920" ht="21.6" customHeight="1" s="37">
      <c r="H920" s="31" t="n"/>
    </row>
    <row r="921" ht="21.6" customHeight="1" s="37">
      <c r="H921" s="31" t="n"/>
    </row>
    <row r="922" ht="21.6" customHeight="1" s="37">
      <c r="H922" s="31" t="n"/>
    </row>
    <row r="923" ht="21.6" customHeight="1" s="37">
      <c r="H923" s="31" t="n"/>
    </row>
    <row r="924" ht="21.6" customHeight="1" s="37">
      <c r="H924" s="31" t="n"/>
    </row>
    <row r="925" ht="21.6" customHeight="1" s="37">
      <c r="H925" s="31" t="n"/>
    </row>
    <row r="926" ht="21.6" customHeight="1" s="37">
      <c r="H926" s="31" t="n"/>
    </row>
    <row r="927" ht="21.6" customHeight="1" s="37">
      <c r="H927" s="31" t="n"/>
    </row>
    <row r="928" ht="21.6" customHeight="1" s="37">
      <c r="H928" s="31" t="n"/>
    </row>
    <row r="929" ht="21.6" customHeight="1" s="37">
      <c r="H929" s="31" t="n"/>
    </row>
    <row r="930" ht="21.6" customHeight="1" s="37">
      <c r="H930" s="31" t="n"/>
    </row>
    <row r="931" ht="21.6" customHeight="1" s="37">
      <c r="H931" s="31" t="n"/>
    </row>
    <row r="932" ht="21.6" customHeight="1" s="37">
      <c r="H932" s="31" t="n"/>
    </row>
    <row r="933" ht="21.6" customHeight="1" s="37">
      <c r="H933" s="31" t="n"/>
    </row>
    <row r="934" ht="21.6" customHeight="1" s="37">
      <c r="H934" s="31" t="n"/>
    </row>
    <row r="935" ht="21.6" customHeight="1" s="37">
      <c r="H935" s="31" t="n"/>
    </row>
    <row r="936" ht="21.6" customHeight="1" s="37">
      <c r="H936" s="31" t="n"/>
    </row>
    <row r="937" ht="21.6" customHeight="1" s="37">
      <c r="H937" s="31" t="n"/>
    </row>
    <row r="938" ht="21.6" customHeight="1" s="37">
      <c r="H938" s="31" t="n"/>
    </row>
    <row r="939" ht="21.6" customHeight="1" s="37">
      <c r="H939" s="31" t="n"/>
    </row>
    <row r="940" ht="21.6" customHeight="1" s="37">
      <c r="H940" s="31" t="n"/>
    </row>
    <row r="941" ht="21.6" customHeight="1" s="37">
      <c r="H941" s="31" t="n"/>
    </row>
    <row r="942" ht="21.6" customHeight="1" s="37">
      <c r="H942" s="31" t="n"/>
    </row>
    <row r="943" ht="21.6" customHeight="1" s="37">
      <c r="H943" s="31" t="n"/>
    </row>
    <row r="944" ht="21.6" customHeight="1" s="37">
      <c r="H944" s="31" t="n"/>
    </row>
    <row r="945" ht="21.6" customHeight="1" s="37">
      <c r="H945" s="31" t="n"/>
    </row>
    <row r="946" ht="21.6" customHeight="1" s="37">
      <c r="H946" s="31" t="n"/>
    </row>
    <row r="947" ht="21.6" customHeight="1" s="37">
      <c r="H947" s="31" t="n"/>
    </row>
    <row r="948" ht="21.6" customHeight="1" s="37">
      <c r="H948" s="31" t="n"/>
    </row>
    <row r="949" ht="21.6" customHeight="1" s="37">
      <c r="H949" s="31" t="n"/>
    </row>
    <row r="950" ht="21.6" customHeight="1" s="37">
      <c r="H950" s="31" t="n"/>
    </row>
    <row r="951" ht="21.6" customHeight="1" s="37">
      <c r="H951" s="31" t="n"/>
    </row>
    <row r="952" ht="21.6" customHeight="1" s="37">
      <c r="H952" s="31" t="n"/>
    </row>
    <row r="953" ht="21.6" customHeight="1" s="37">
      <c r="H953" s="31" t="n"/>
    </row>
    <row r="954" ht="21.6" customHeight="1" s="37">
      <c r="H954" s="31" t="n"/>
    </row>
    <row r="955" ht="21.6" customHeight="1" s="37">
      <c r="H955" s="31" t="n"/>
    </row>
    <row r="956" ht="21.6" customHeight="1" s="37">
      <c r="H956" s="31" t="n"/>
    </row>
    <row r="957" ht="21.6" customHeight="1" s="37">
      <c r="H957" s="31" t="n"/>
    </row>
    <row r="958" ht="21.6" customHeight="1" s="37">
      <c r="H958" s="31" t="n"/>
    </row>
    <row r="959" ht="21.6" customHeight="1" s="37">
      <c r="H959" s="31" t="n"/>
    </row>
    <row r="960" ht="21.6" customHeight="1" s="37">
      <c r="H960" s="31" t="n"/>
    </row>
    <row r="961" ht="21.6" customHeight="1" s="37">
      <c r="H961" s="31" t="n"/>
    </row>
    <row r="962" ht="21.6" customHeight="1" s="37">
      <c r="H962" s="31" t="n"/>
    </row>
    <row r="963" ht="21.6" customHeight="1" s="37">
      <c r="H963" s="31" t="n"/>
    </row>
    <row r="964" ht="21.6" customHeight="1" s="37">
      <c r="H964" s="31" t="n"/>
    </row>
    <row r="965" ht="21.6" customHeight="1" s="37">
      <c r="H965" s="31" t="n"/>
    </row>
    <row r="966" ht="21.6" customHeight="1" s="37">
      <c r="H966" s="31" t="n"/>
    </row>
    <row r="967" ht="21.6" customHeight="1" s="37">
      <c r="H967" s="31" t="n"/>
    </row>
    <row r="968" ht="21.6" customHeight="1" s="37">
      <c r="H968" s="31" t="n"/>
    </row>
    <row r="969" ht="21.6" customHeight="1" s="37">
      <c r="H969" s="31" t="n"/>
    </row>
    <row r="970" ht="21.6" customHeight="1" s="37">
      <c r="H970" s="31" t="n"/>
    </row>
    <row r="971" ht="21.6" customHeight="1" s="37">
      <c r="H971" s="31" t="n"/>
    </row>
    <row r="972" ht="21.6" customHeight="1" s="37">
      <c r="H972" s="31" t="n"/>
    </row>
    <row r="973" ht="21.6" customHeight="1" s="37">
      <c r="H973" s="31" t="n"/>
    </row>
    <row r="974" ht="21.6" customHeight="1" s="37">
      <c r="H974" s="31" t="n"/>
    </row>
    <row r="975" ht="21.6" customHeight="1" s="37">
      <c r="H975" s="31" t="n"/>
    </row>
    <row r="976" ht="21.6" customHeight="1" s="37">
      <c r="H976" s="31" t="n"/>
    </row>
    <row r="977" ht="21.6" customHeight="1" s="37">
      <c r="H977" s="31" t="n"/>
    </row>
    <row r="978" ht="21.6" customHeight="1" s="37">
      <c r="H978" s="31" t="n"/>
    </row>
    <row r="979" ht="21.6" customHeight="1" s="37">
      <c r="H979" s="31" t="n"/>
    </row>
    <row r="980" ht="21.6" customHeight="1" s="37">
      <c r="H980" s="31" t="n"/>
    </row>
    <row r="981" ht="21.6" customHeight="1" s="37">
      <c r="H981" s="31" t="n"/>
    </row>
    <row r="982" ht="21.6" customHeight="1" s="37">
      <c r="H982" s="31" t="n"/>
    </row>
    <row r="983" ht="21.6" customHeight="1" s="37">
      <c r="H983" s="31" t="n"/>
    </row>
    <row r="984" ht="21.6" customHeight="1" s="37">
      <c r="H984" s="31" t="n"/>
    </row>
    <row r="985" ht="21.6" customHeight="1" s="37">
      <c r="H985" s="31" t="n"/>
    </row>
    <row r="986" ht="21.6" customHeight="1" s="37">
      <c r="H986" s="31" t="n"/>
    </row>
    <row r="987" ht="21.6" customHeight="1" s="37">
      <c r="H987" s="31" t="n"/>
    </row>
    <row r="988" ht="21.6" customHeight="1" s="37">
      <c r="H988" s="31" t="n"/>
    </row>
    <row r="989" ht="21.6" customHeight="1" s="37">
      <c r="H989" s="31" t="n"/>
    </row>
    <row r="990" ht="21.6" customHeight="1" s="37">
      <c r="H990" s="31" t="n"/>
    </row>
    <row r="991" ht="21.6" customHeight="1" s="37">
      <c r="H991" s="31" t="n"/>
    </row>
    <row r="992" ht="21.6" customHeight="1" s="37">
      <c r="H992" s="31" t="n"/>
    </row>
    <row r="993" ht="21.6" customHeight="1" s="37">
      <c r="H993" s="31" t="n"/>
    </row>
    <row r="994" ht="21.6" customHeight="1" s="37">
      <c r="H994" s="31" t="n"/>
    </row>
    <row r="995" ht="21.6" customHeight="1" s="37">
      <c r="H995" s="31" t="n"/>
    </row>
    <row r="996" ht="21.6" customHeight="1" s="37">
      <c r="H996" s="31" t="n"/>
    </row>
    <row r="997" ht="21.6" customHeight="1" s="37">
      <c r="H997" s="31" t="n"/>
    </row>
    <row r="998" ht="21.6" customHeight="1" s="37">
      <c r="H998" s="31" t="n"/>
    </row>
    <row r="999" ht="21.6" customHeight="1" s="37">
      <c r="H999" s="31" t="n"/>
    </row>
    <row r="1000" ht="21.6" customHeight="1" s="37">
      <c r="H1000" s="31" t="n"/>
    </row>
  </sheetData>
  <mergeCells count="1">
    <mergeCell ref="A1:H1"/>
  </mergeCells>
  <conditionalFormatting sqref="H3:H1000">
    <cfRule type="containsText" priority="1" operator="containsText" dxfId="3" stopIfTrue="1" text="Invalid">
      <formula>NOT(ISERROR(SEARCH(("Invalid"),(H3))))</formula>
    </cfRule>
    <cfRule type="containsText" priority="2" operator="containsText" dxfId="2" stopIfTrue="1" text="Fixed">
      <formula>NOT(ISERROR(SEARCH(("Fixed"),(H3))))</formula>
    </cfRule>
    <cfRule type="containsText" priority="3" operator="containsText" dxfId="1" stopIfTrue="1" text="In Progress">
      <formula>NOT(ISERROR(SEARCH(("In Progress"),(H3))))</formula>
    </cfRule>
    <cfRule type="containsText" priority="4" operator="containsText" dxfId="0" stopIfTrue="1" text="Pending">
      <formula>NOT(ISERROR(SEARCH(("Pending"),(H3))))</formula>
    </cfRule>
  </conditionalFormatting>
  <dataValidations count="1">
    <dataValidation sqref="H3:H1000" showDropDown="0" showInputMessage="1" showErrorMessage="1" allowBlank="1" prompt="เลือกสถานะการแก้ไขข้อสอบ (Status)" type="list">
      <formula1>"Pending (รอดำเนินการ),In Progress (กำลังตรวจสอบ),Fixed (แก้ไขเรียบร้อย),Invalid (เฉลยเดิมถูกต้องแล้ว)"</formula1>
    </dataValidation>
  </dataValidations>
  <hyperlinks>
    <hyperlink ref="A1" location="'สารบัญ'!A1" display="🏠 กลับสู่หน้าแรก (Go to Home Page)"/>
  </hyperlinks>
  <pageMargins left="0.75" right="0.75" top="1" bottom="1" header="0.5" footer="0.5"/>
</worksheet>
</file>

<file path=xl/worksheets/sheet39.xml><?xml version="1.0" encoding="utf-8"?>
<worksheet xmlns="http://schemas.openxmlformats.org/spreadsheetml/2006/main">
  <sheetPr>
    <tabColor rgb="FF4CB266"/>
    <outlinePr summaryBelow="0" summaryRight="0"/>
    <pageSetUpPr/>
  </sheetPr>
  <dimension ref="A1:P25"/>
  <sheetViews>
    <sheetView workbookViewId="0">
      <selection activeCell="A1" sqref="A1"/>
    </sheetView>
  </sheetViews>
  <sheetFormatPr baseColWidth="8" defaultColWidth="12.6640625" defaultRowHeight="15.75" customHeight="1"/>
  <sheetData>
    <row r="1" ht="27" customHeight="1" s="37">
      <c r="A1" s="36">
        <f>HYPERLINK("#gid=0", "🏠 กลับสู่หน้าแรก (Go to Home Page)")</f>
        <v/>
      </c>
    </row>
    <row r="2" ht="21.6" customHeight="1" s="37">
      <c r="A2" s="32" t="inlineStr">
        <is>
          <t>ข้อที่</t>
        </is>
      </c>
      <c r="B2" s="32" t="inlineStr">
        <is>
          <t>คำถาม</t>
        </is>
      </c>
      <c r="C2" s="32" t="inlineStr">
        <is>
          <t>รูปถาม</t>
        </is>
      </c>
      <c r="D2" s="32" t="inlineStr">
        <is>
          <t>ตัวเลือก 1</t>
        </is>
      </c>
      <c r="E2" s="32" t="inlineStr">
        <is>
          <t>ตัวเลือก 2</t>
        </is>
      </c>
      <c r="F2" s="32" t="inlineStr">
        <is>
          <t>ตัวเลือก 3</t>
        </is>
      </c>
      <c r="G2" s="32" t="inlineStr">
        <is>
          <t>ตัวเลือก 4</t>
        </is>
      </c>
      <c r="H2" s="32" t="inlineStr">
        <is>
          <t>ตัวเลือก 5</t>
        </is>
      </c>
      <c r="I2" s="32" t="inlineStr">
        <is>
          <t>เฉลย (ตัวเลข 1-5)</t>
        </is>
      </c>
      <c r="J2" s="32" t="inlineStr">
        <is>
          <t>คำอธิบายเฉลย</t>
        </is>
      </c>
      <c r="K2" s="32" t="inlineStr">
        <is>
          <t>รูปเฉลย</t>
        </is>
      </c>
      <c r="L2" s="32" t="inlineStr">
        <is>
          <t>Filter หมวด/Subtopic</t>
        </is>
      </c>
      <c r="M2" s="32" t="inlineStr">
        <is>
          <t>Product / Clinic</t>
        </is>
      </c>
      <c r="N2" s="32" t="inlineStr">
        <is>
          <t>หมายเหตุ</t>
        </is>
      </c>
      <c r="O2" s="32" t="inlineStr">
        <is>
          <t>ประเภทข้อสอบ</t>
        </is>
      </c>
      <c r="P2" s="32" t="inlineStr">
        <is>
          <t>ปี / เลขชุด</t>
        </is>
      </c>
    </row>
    <row r="3" ht="13.2" customHeight="1" s="37">
      <c r="A3" s="8" t="inlineStr">
        <is>
          <t>1</t>
        </is>
      </c>
      <c r="B3" s="2" t="inlineStr">
        <is>
          <t>หญิงสาวคนหนึ่งมีคนแนะนำให้ลองใช้ผลิตภัณฑ์เสริมอาหารชนิดหนึ่งโดยบอกว่าจะช่วยลดน้ำหนักได้ ซึ่งเธอนำผลิตภัณฑ์เสริมอาหารนี้ไปถามเภสัชกร ท่านคิดว่าผลิตภัณฑ์เสริมอาหารดังกล่าวคืออะไร</t>
        </is>
      </c>
      <c r="C3" s="2" t="n"/>
      <c r="D3" s="2" t="inlineStr">
        <is>
          <t>Conjugated linoleic acid</t>
        </is>
      </c>
      <c r="E3" s="2" t="inlineStr">
        <is>
          <t>Chitosan</t>
        </is>
      </c>
      <c r="F3" s="2" t="inlineStr">
        <is>
          <t>Hydroxyl citric acid</t>
        </is>
      </c>
      <c r="G3" s="2" t="inlineStr">
        <is>
          <t>Catechin</t>
        </is>
      </c>
      <c r="H3" s="2" t="inlineStr">
        <is>
          <t>LAL</t>
        </is>
      </c>
      <c r="I3" s="8" t="inlineStr">
        <is>
          <t>1</t>
        </is>
      </c>
      <c r="J3" s="2" t="inlineStr">
        <is>
          <t>✅ คำตอบที่ถูกต้อง: ข้อ ก. Conjugated linoleic acid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Conjugated linoleic acid ผลิตภัณฑ์เสริมอาหารที่ได้รับความนิยมในการช่วยลดน้ำหนักและมักถูกแนะนำในกลุ่มผู้รักสุขภาพคือ Conjugated linoleic acid (CLA) ซึ่งช่วยลดไขมันสะสมและเพิ่มมวลกล้ามเนื้อ
🔍 ข้ออื่นผิดเพราะอะไร:
• ข้อ ข. (Chitosan): ข้อนี้ไม่ใช่คำตอบที่ถูกต้องสำหรับภาวะ Clinical Nutrition เนื่องจากกลไกการออกฤทธิ์, efficacy หรือข้อบ่งใช้ไม่ตรงกับโจทย์ที่กำหนด
• ข้อ ค. (Hydroxyl citric acid): ข้อนี้ไม่ใช่คำตอบที่ถูกต้องสำหรับภาวะ Clinical Nutrition เนื่องจากกลไกการออกฤทธิ์, efficacy หรือข้อบ่งใช้ไม่ตรงกับโจทย์ที่กำหนด
• ข้อ ง. (Catechin): ข้อนี้ไม่ใช่คำตอบที่ถูกต้องสำหรับภาวะ Clinical Nutrition เนื่องจากกลไกการออกฤทธิ์, efficacy หรือข้อบ่งใช้ไม่ตรงกับโจทย์ที่กำหนด
• ข้อ จ. (LAL):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Clinical Nutrition</t>
        </is>
      </c>
      <c r="M3" s="2" t="inlineStr">
        <is>
          <t>Clinic</t>
        </is>
      </c>
      <c r="N3" s="2" t="inlineStr">
        <is>
          <t>ข้อ 1 Pharma Plus เล่มม่วง (เฉลยข้อ ก ข ง)</t>
        </is>
      </c>
      <c r="O3" s="2" t="inlineStr">
        <is>
          <t>Mock</t>
        </is>
      </c>
      <c r="P3" s="2" t="inlineStr">
        <is>
          <t>Pharma Plus เล่มม่วง</t>
        </is>
      </c>
    </row>
    <row r="4" ht="13.2" customHeight="1" s="37">
      <c r="A4" s="8" t="inlineStr">
        <is>
          <t>2</t>
        </is>
      </c>
      <c r="B4" s="2" t="inlineStr">
        <is>
          <t>ผลิตภัณฑ์เสริมอาหารในข้อใดมีคุณสมบัติคล้าย dietary fiber</t>
        </is>
      </c>
      <c r="C4" s="2" t="n"/>
      <c r="D4" s="2" t="inlineStr">
        <is>
          <t>Chitosan</t>
        </is>
      </c>
      <c r="E4" s="2" t="inlineStr">
        <is>
          <t>Evening primrose oil</t>
        </is>
      </c>
      <c r="F4" s="2" t="inlineStr">
        <is>
          <t>Collagen</t>
        </is>
      </c>
      <c r="G4" s="2" t="inlineStr">
        <is>
          <t>Conjugated linoleic acid</t>
        </is>
      </c>
      <c r="H4" s="2" t="inlineStr">
        <is>
          <t>Lecithin</t>
        </is>
      </c>
      <c r="I4" s="8" t="inlineStr">
        <is>
          <t>1</t>
        </is>
      </c>
      <c r="J4" s="2" t="inlineStr">
        <is>
          <t>✅ คำตอบที่ถูกต้อง: ข้อ ก. Chitosan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Chitosan เป็นสารประเภท polysaccharide ที่สกัดจากเปลือกกุ้ง ปู มีคุณสมบัติพองตัวและไม่ถูกย่อยในทางเดินอาหาร คล้ายกับใยอาหาร (dietary fiber) ช่วยจับกับไขมันในทางเดินอาหาร
🔍 ข้ออื่นผิดเพราะอะไร:
• ข้อ ข. (Evening primrose oil): ข้อนี้ไม่ใช่คำตอบที่ถูกต้องสำหรับภาวะ Clinical Nutrition เนื่องจากกลไกการออกฤทธิ์, efficacy หรือข้อบ่งใช้ไม่ตรงกับโจทย์ที่กำหนด
• ข้อ ค. (Collagen): ข้อนี้ไม่ใช่คำตอบที่ถูกต้องสำหรับภาวะ Clinical Nutrition เนื่องจากกลไกการออกฤทธิ์, efficacy หรือข้อบ่งใช้ไม่ตรงกับโจทย์ที่กำหนด
• ข้อ ง. (Conjugated linoleic acid): ข้อนี้ไม่ใช่คำตอบที่ถูกต้องสำหรับภาวะ Clinical Nutrition เนื่องจากกลไกการออกฤทธิ์, efficacy หรือข้อบ่งใช้ไม่ตรงกับโจทย์ที่กำหนด
• ข้อ จ. (Lecithin):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Clinical Nutrition</t>
        </is>
      </c>
      <c r="M4" s="2" t="inlineStr">
        <is>
          <t>Clinic</t>
        </is>
      </c>
      <c r="N4" s="2" t="inlineStr">
        <is>
          <t>ข้อ 2 Pharma Plus เล่มม่วง (เฉลยข้อ ก)</t>
        </is>
      </c>
      <c r="O4" s="2" t="inlineStr">
        <is>
          <t>Mock</t>
        </is>
      </c>
      <c r="P4" s="2" t="inlineStr">
        <is>
          <t>Pharma Plus เล่มม่วง</t>
        </is>
      </c>
    </row>
    <row r="5" ht="13.2" customHeight="1" s="37">
      <c r="A5" s="8" t="inlineStr">
        <is>
          <t>3</t>
        </is>
      </c>
      <c r="B5" s="2"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5" s="2" t="n"/>
      <c r="D5" s="2" t="inlineStr">
        <is>
          <t>มีผลโดยเสริมฤทธิ์ยับยั้งการแข็งตัวของเกล็ดเลือดของ aspirin</t>
        </is>
      </c>
      <c r="E5" s="2" t="inlineStr">
        <is>
          <t>มีผลโดยเสริมฤทธิ์ลดน้ำตาลในเลือดของ metformin</t>
        </is>
      </c>
      <c r="F5" s="2" t="inlineStr">
        <is>
          <t>มีผลโดยลดประสิทธิภาพการจับของยา isosorbide mononitrate</t>
        </is>
      </c>
      <c r="G5" s="2" t="inlineStr">
        <is>
          <t>มีผลโดยลดประสิทธิภาพการลดน้ำตาลในเลือดของ glibenclamide</t>
        </is>
      </c>
      <c r="H5" s="2" t="inlineStr">
        <is>
          <t>ไม่มี อันตรกิริยากับยาที่ได้รับจากโรงพยาบาล</t>
        </is>
      </c>
      <c r="I5" s="8" t="inlineStr">
        <is>
          <t>1</t>
        </is>
      </c>
      <c r="J5" s="2" t="inlineStr">
        <is>
          <t>✅ คำตอบที่ถูกต้อง: ข้อ ก. มีผลโดยเสริมฤทธิ์ยับยั้งการแข็งตัวของเกล็ดเลือดของ aspirin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มีผลโดยเสริมฤทธิ์ยับยั้งการแข็งตัวของเกล็ดเลือดของ aspirin สารสกัดจากใบแปะก๊วย (Ginkgo biloba) มีฤทธิ์ยับยั้งการเกาะกลุ่มของเกล็ดเลือด (platelet aggregation) จึงอาจเสริมฤทธิ์กับยาต้านเกล็ดเลือดหรือยาละลายลิ่มเลือดเช่น aspirin ทำให้เพิ่มความเสี่ยงในการเกิดภาวะเลือดออกผิดปกติ
🔍 ข้ออื่นผิดเพราะอะไร:
• ข้อ ข. (มีผลโดยเสริมฤทธิ์ลดน้ำตาลในเลือดของ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(มีผลโดยลดประสิทธิภาพการจับของยา isosorbide mononitrate): ข้อนี้ไม่ใช่คำตอบที่ถูกต้องสำหรับภาวะ Clinical Nutrition เนื่องจากกลไกการออกฤทธิ์, efficacy หรือข้อบ่งใช้ไม่ตรงกับโจทย์ที่กำหนด
• ข้อ ง. (มีผลโดยลดประสิทธิภาพการลดน้ำตาลในเลือดของ glibenclamide): มี active metabolites ขับออกทางไต เสี่ยงต่อ prolonged severe hypoglycemia ในผู้สูงอายุและผู้ป่วย renal impairment จึงควรหลีกเลี่ยงตาม Beers Criteria
• ข้อ จ. (ไม่มี อันตรกิริยากับยาที่ได้รับจากโรงพยาบาล):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Clinical Nutrition</t>
        </is>
      </c>
      <c r="M5" s="2" t="inlineStr">
        <is>
          <t>Clinic</t>
        </is>
      </c>
      <c r="N5" s="2" t="inlineStr">
        <is>
          <t>ข้อ 3 Pharma Plus เล่มม่วง (เฉลยข้อ ก)</t>
        </is>
      </c>
      <c r="O5" s="2" t="inlineStr">
        <is>
          <t>Mock</t>
        </is>
      </c>
      <c r="P5" s="2" t="inlineStr">
        <is>
          <t>Pharma Plus เล่มม่วง</t>
        </is>
      </c>
    </row>
    <row r="6" ht="13.2" customHeight="1" s="37">
      <c r="A6" s="8" t="inlineStr">
        <is>
          <t>4</t>
        </is>
      </c>
      <c r="B6" s="2" t="inlineStr">
        <is>
          <t>ระหว่างที่มีอาการปวดประจำเดือน ผู้ป่วยควรหลีกเลี่ยงอาหารที่มีส่วนประกอบใด</t>
        </is>
      </c>
      <c r="C6" s="2" t="n"/>
      <c r="D6" s="2" t="inlineStr">
        <is>
          <t>ขมิ้นชัน</t>
        </is>
      </c>
      <c r="E6" s="2" t="inlineStr">
        <is>
          <t>ชาเขียว</t>
        </is>
      </c>
      <c r="F6" s="2" t="inlineStr">
        <is>
          <t>ลูกเตอ</t>
        </is>
      </c>
      <c r="G6" s="2" t="inlineStr">
        <is>
          <t>กวาวเครือ</t>
        </is>
      </c>
      <c r="H6" s="2" t="inlineStr">
        <is>
          <t>มะขามแขก</t>
        </is>
      </c>
      <c r="I6" s="8" t="inlineStr">
        <is>
          <t>5</t>
        </is>
      </c>
      <c r="J6" s="2" t="inlineStr">
        <is>
          <t>✅ คำตอบที่ถูกต้อง: ข้อ จ. มะขามแขก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มะขามแขก ชาเขียวมีคาเฟอีนและแทนนินสูง ซึ่งอาจกระตุ้นระบบประสาท ทำให้เกิดความตึงเครียด อาการหงุดหงิด และอาจเพิ่มการบีบตัวของมดลูกหรือการอักเสบในช่วงมีประจำเดือน จึงควรหลีกเลี่ยง
🔍 ข้ออื่นผิดเพราะอะไร:
• ข้อ ก. (ขมิ้นชัน): ข้อนี้ไม่ใช่คำตอบที่ถูกต้องสำหรับภาวะ Clinical Nutrition เนื่องจากกลไกการออกฤทธิ์, efficacy หรือข้อบ่งใช้ไม่ตรงกับโจทย์ที่กำหนด
• ข้อ ข. (ชาเขียว): ข้อนี้ไม่ใช่คำตอบที่ถูกต้องสำหรับภาวะ Clinical Nutrition เนื่องจากกลไกการออกฤทธิ์, efficacy หรือข้อบ่งใช้ไม่ตรงกับโจทย์ที่กำหนด
• ข้อ ค. (ลูกเตอ): ข้อนี้ไม่ใช่คำตอบที่ถูกต้องสำหรับภาวะ Clinical Nutrition เนื่องจากกลไกการออกฤทธิ์, efficacy หรือข้อบ่งใช้ไม่ตรงกับโจทย์ที่กำหนด
• ข้อ ง. (กวาวเครือ):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Clinical Nutrition</t>
        </is>
      </c>
      <c r="M6" s="2" t="inlineStr">
        <is>
          <t>Clinic</t>
        </is>
      </c>
      <c r="N6" s="2" t="inlineStr">
        <is>
          <t>ข้อ 4 Pharma Plus เล่มม่วง (เฉลยข้อ จ)</t>
        </is>
      </c>
      <c r="O6" s="2" t="inlineStr">
        <is>
          <t>Mock</t>
        </is>
      </c>
      <c r="P6" s="2" t="inlineStr">
        <is>
          <t>Pharma Plus เล่มม่วง</t>
        </is>
      </c>
    </row>
    <row r="7" ht="13.2" customHeight="1" s="37">
      <c r="A7" s="8" t="inlineStr">
        <is>
          <t>5</t>
        </is>
      </c>
      <c r="B7" s="2" t="inlineStr">
        <is>
          <t>สถานการณ์ที่ 1 ผู้ป่วยหญิงไทยอายุ 35 ปี รูปร่างอ้วนมาที่โรงพยาบาลต้องการได้ยาลดน้ำหนักจากแพทย์ ผู้ป่วยเล่าว่า เคยซื้อยาลดน้ำหนักมาก่อนหน้านี้แต่พอหยุดรับประทานพบว่าน้ำหนักมากขึ้นกว่าเดิมจึงกลัวว่าอาจเป็นอันตรายต่อร่างกาย แพทย์แนะนำให้ควบคุมอาหาร ออกกำลังกายและจ่ายยา Oristat ให้แก่ผู้ป่วย
ปัญหาสุขภาพต่อไปนี้มักเกิดพร้อมกับโรคอ้วน ข้อใดผิด</t>
        </is>
      </c>
      <c r="C7" s="2" t="n"/>
      <c r="D7" s="2" t="inlineStr">
        <is>
          <t>ความดันโลหิตสูง</t>
        </is>
      </c>
      <c r="E7" s="2" t="inlineStr">
        <is>
          <t>ภาวะไขมันผิดปกติในเลือด</t>
        </is>
      </c>
      <c r="F7" s="2" t="inlineStr">
        <is>
          <t>โรคหลอดเลือดแดงเลี้ยงหัวใจตีบตัน</t>
        </is>
      </c>
      <c r="G7" s="2" t="inlineStr">
        <is>
          <t>กระดูกและข้อเสื่อมใน lower extremities</t>
        </is>
      </c>
      <c r="H7" s="2" t="inlineStr">
        <is>
          <t>โรคอัลไซเมอร์</t>
        </is>
      </c>
      <c r="I7" s="8" t="inlineStr">
        <is>
          <t>5</t>
        </is>
      </c>
      <c r="J7" s="2" t="inlineStr">
        <is>
          <t>✅ คำตอบที่ถูกต้อง: ข้อ จ. โรคอัลไซเมอร์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โรคอัลไซเมอร์ โรคอ้วนสัมพันธ์โดยตรงกับ Metabolic syndrome เช่น ความดันโลหิตสูง, ไขมันในเลือดสูง, โรคหลอดเลือดหัวใจ และข้อเสื่อมจากภาระน้ำหนักตัว ส่วนโรคอัลไซเมอร์ไม่ได้จัดเป็นภาวะแทรกซ้อนทางกายภาพที่เกิดร่วมโดยตรงเหมือนโรคในกลุ่มเมตาบอลิกหรือระบบกล้ามเนื้อและกระดูก
🔍 ข้ออื่นผิดเพราะอะไร:
• ข้อ ก. (ความดันโลหิตสูง): ข้อนี้ไม่ใช่คำตอบที่ถูกต้องสำหรับภาวะ Clinical Nutrition เนื่องจากกลไกการออกฤทธิ์, efficacy หรือข้อบ่งใช้ไม่ตรงกับโจทย์ที่กำหนด
• ข้อ ข. (ภาวะไขมันผิดปกติในเลือด): ข้อนี้ไม่ใช่คำตอบที่ถูกต้องสำหรับภาวะ Clinical Nutrition เนื่องจากกลไกการออกฤทธิ์, efficacy หรือข้อบ่งใช้ไม่ตรงกับโจทย์ที่กำหนด
• ข้อ ค. (โรคหลอดเลือดแดงเลี้ยงหัวใจตีบตัน): ข้อนี้ไม่ใช่คำตอบที่ถูกต้องสำหรับภาวะ Clinical Nutrition เนื่องจากกลไกการออกฤทธิ์, efficacy หรือข้อบ่งใช้ไม่ตรงกับโจทย์ที่กำหนด
• ข้อ ง. (กระดูกและข้อเสื่อมใน lower extremities):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Clinical Nutrition</t>
        </is>
      </c>
      <c r="M7" s="2" t="inlineStr">
        <is>
          <t>Clinic</t>
        </is>
      </c>
      <c r="N7" s="2" t="inlineStr">
        <is>
          <t>ข้อ 5 Pharma Plus เล่มม่วง (เฉลยข้อ จ)</t>
        </is>
      </c>
      <c r="O7" s="2" t="inlineStr">
        <is>
          <t>Mock</t>
        </is>
      </c>
      <c r="P7" s="2" t="inlineStr">
        <is>
          <t>Pharma Plus เล่มม่วง</t>
        </is>
      </c>
    </row>
    <row r="8" ht="13.2" customHeight="1" s="37">
      <c r="A8" s="8" t="inlineStr">
        <is>
          <t>6</t>
        </is>
      </c>
      <c r="B8" s="2" t="inlineStr">
        <is>
          <t>แพทย์สั่งใช้ยา Orlistat® สำหรับผู้ป่วยรายนี้ อยากทราบว่ายานี้ออกฤทธิ์อย่างไร</t>
        </is>
      </c>
      <c r="C8" s="2" t="n"/>
      <c r="D8" s="2" t="inlineStr">
        <is>
          <t>ดักจับไขมันในทางเดินอาหาร</t>
        </is>
      </c>
      <c r="E8" s="2" t="inlineStr">
        <is>
          <t>ออกฤทธิ์กดความอยากอาหาร</t>
        </is>
      </c>
      <c r="F8" s="2" t="inlineStr">
        <is>
          <t>เพิ่มการเมตาบอลิซึมไขมันในเซลล์</t>
        </is>
      </c>
      <c r="G8" s="2" t="inlineStr">
        <is>
          <t>ยับยั้งเอนไซม์ย่อยไขมันในทางเดินอาหาร</t>
        </is>
      </c>
      <c r="H8" s="2" t="inlineStr">
        <is>
          <t>ยับยั้งเอนไซม์ HMG CoA reductase</t>
        </is>
      </c>
      <c r="I8" s="8" t="inlineStr">
        <is>
          <t>4</t>
        </is>
      </c>
      <c r="J8" s="2" t="inlineStr">
        <is>
          <t>✅ คำตอบที่ถูกต้อง: ข้อ ง. ยับยั้งเอนไซม์ย่อยไขมันในทางเดินอาหาร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ยับยั้งเอนไซม์ย่อยไขมันในทางเดินอาหาร Orlistat เป็นยาในกลุ่ม lipase inhibitor โดยออกฤทธิ์ยับยั้งเอนไซม์ gastric และ pancreatic lipase ในทางเดินอาหาร ทำให้ลดการดูดซึมไขมันลงประมาณ 30% ขับออกทางอุจจาระ อาการข้างเคียงสำคัญคือ ท้องเสีย มีไขมันปนในอุจจาระ (steatorrhea) และอาจลดการดูดซึมวิตามินที่ละลายในไขมัน (A, D, E, K)
🔍 ข้ออื่นผิดเพราะอะไร:
• ข้อ ก. (ดักจับไขมันในทางเดินอาหาร): ข้อนี้ไม่ใช่คำตอบที่ถูกต้องสำหรับภาวะ Clinical Nutrition เนื่องจากกลไกการออกฤทธิ์, efficacy หรือข้อบ่งใช้ไม่ตรงกับโจทย์ที่กำหนด
• ข้อ ข. (ออกฤทธิ์กดความอยากอาหาร): ข้อนี้ไม่ใช่คำตอบที่ถูกต้องสำหรับภาวะ Clinical Nutrition เนื่องจากกลไกการออกฤทธิ์, efficacy หรือข้อบ่งใช้ไม่ตรงกับโจทย์ที่กำหนด
• ข้อ ค. (เพิ่มการเมตาบอลิซึมไขมันในเซลล์): ข้อนี้ไม่ใช่คำตอบที่ถูกต้องสำหรับภาวะ Clinical Nutrition เนื่องจากกลไกการออกฤทธิ์, efficacy หรือข้อบ่งใช้ไม่ตรงกับโจทย์ที่กำหนด
• ข้อ จ. (ยับยั้งเอนไซม์ HMG CoA reductase):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Clinical Nutrition</t>
        </is>
      </c>
      <c r="M8" s="2" t="inlineStr">
        <is>
          <t>Clinic</t>
        </is>
      </c>
      <c r="N8" s="2" t="inlineStr">
        <is>
          <t>ข้อ 6 Pharma Plus เล่มม่วง (เฉลยข้อ ง)</t>
        </is>
      </c>
      <c r="O8" s="2" t="inlineStr">
        <is>
          <t>Mock</t>
        </is>
      </c>
      <c r="P8" s="2" t="inlineStr">
        <is>
          <t>Pharma Plus เล่มม่วง</t>
        </is>
      </c>
    </row>
    <row r="9" ht="13.2" customHeight="1" s="37">
      <c r="A9" s="8" t="inlineStr">
        <is>
          <t>7</t>
        </is>
      </c>
      <c r="B9" s="2" t="inlineStr">
        <is>
          <t>ผู้ป่วยควรรับประทานอาหารในข้อใด</t>
        </is>
      </c>
      <c r="C9" s="2" t="n"/>
      <c r="D9" s="2" t="inlineStr">
        <is>
          <t>ส้มตำเขียวหวาน คอมหมูย่าง ข้าวเหนียว</t>
        </is>
      </c>
      <c r="E9" s="2" t="inlineStr">
        <is>
          <t>ชมพู่ ปลาเผา แกงหน่อไม้</t>
        </is>
      </c>
      <c r="F9" s="2" t="inlineStr">
        <is>
          <t>มะม่วงสุก ผัดกระเฉดหมูกรอบ ข้าวต้ม</t>
        </is>
      </c>
      <c r="G9" s="2" t="inlineStr">
        <is>
          <t>ทุเรียน แกงเลียง ข้าวสวย</t>
        </is>
      </c>
      <c r="H9" s="2" t="inlineStr">
        <is>
          <t>กล้วยหอม ไอศกรีม ไก่ทอด</t>
        </is>
      </c>
      <c r="I9" s="8" t="inlineStr">
        <is>
          <t>2</t>
        </is>
      </c>
      <c r="J9" s="2" t="inlineStr">
        <is>
          <t>✅ คำตอบที่ถูกต้อง: ข้อ ข. ชมพู่ ปลาเผา แกงหน่อไม้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ชมพู่ ปลาเผา แกงหน่อไม้ การเลือกรับประทานอาหารเพื่อสุขภาพควรเน้นโปรตีนไขมันต่ำ (เช่น ปลาเผา) ผักผลไม้ที่มีกากใยสูงและแคลอรีต่ำ (เช่น ชมพู่, แกงหน่อไม้) หลีกเลี่ยงอาหารที่มีไขมันอิ่มตัวสูงและน้ำตาลสูง เช่น ของทอด กะทิข้นๆ ข้าวเหนียวมะม่วง ทุเรียน หรือไอศกรีม
🔍 ข้ออื่นผิดเพราะอะไร:
• ข้อ ก. (ส้มตำเขียวหวาน คอมหมูย่าง ข้าวเหนียว): ข้อนี้ไม่ใช่คำตอบที่ถูกต้องสำหรับภาวะ Clinical Nutrition เนื่องจากกลไกการออกฤทธิ์, efficacy หรือข้อบ่งใช้ไม่ตรงกับโจทย์ที่กำหนด
• ข้อ ค. (มะม่วงสุก ผัดกระเฉดหมูกรอบ ข้าวต้ม): ข้อนี้ไม่ใช่คำตอบที่ถูกต้องสำหรับภาวะ Clinical Nutrition เนื่องจากกลไกการออกฤทธิ์, efficacy หรือข้อบ่งใช้ไม่ตรงกับโจทย์ที่กำหนด
• ข้อ ง. (ทุเรียน แกงเลียง ข้าวสวย): ข้อนี้ไม่ใช่คำตอบที่ถูกต้องสำหรับภาวะ Clinical Nutrition เนื่องจากกลไกการออกฤทธิ์, efficacy หรือข้อบ่งใช้ไม่ตรงกับโจทย์ที่กำหนด
• ข้อ จ. (กล้วยหอม ไอศกรีม ไก่ทอด):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Clinical Nutrition</t>
        </is>
      </c>
      <c r="M9" s="2" t="inlineStr">
        <is>
          <t>Clinic</t>
        </is>
      </c>
      <c r="N9" s="2" t="inlineStr">
        <is>
          <t>ข้อ 7 Pharma Plus เล่มม่วง (เฉลยข้อ ข)</t>
        </is>
      </c>
      <c r="O9" s="2" t="inlineStr">
        <is>
          <t>Mock</t>
        </is>
      </c>
      <c r="P9" s="2" t="inlineStr">
        <is>
          <t>Pharma Plus เล่มม่วง</t>
        </is>
      </c>
    </row>
    <row r="10" ht="13.2" customHeight="1" s="37">
      <c r="A10" s="8" t="inlineStr">
        <is>
          <t>8</t>
        </is>
      </c>
      <c r="B10" s="2" t="inlineStr">
        <is>
          <t>เมื่อคำนวณค่า body mass index (BMI) ของหญิงผู้้นี้พบว่ามีค่า 30 kg/m² หมายความว่าอย่างไร</t>
        </is>
      </c>
      <c r="C10" s="2" t="n"/>
      <c r="D10" s="2" t="inlineStr">
        <is>
          <t>น้ำหนักน้อยกว่าปกติ</t>
        </is>
      </c>
      <c r="E10" s="2" t="inlineStr">
        <is>
          <t>น้ำหนักตัวเหมาะสม</t>
        </is>
      </c>
      <c r="F10" s="2" t="inlineStr">
        <is>
          <t>น้ำหนักเกินแต่ไม่มาก</t>
        </is>
      </c>
      <c r="G10" s="2" t="inlineStr">
        <is>
          <t>มีภาวะอ้วน</t>
        </is>
      </c>
      <c r="H10" s="2" t="inlineStr">
        <is>
          <t>มีภาวะอ้วนรุนแรง</t>
        </is>
      </c>
      <c r="I10" s="8" t="inlineStr">
        <is>
          <t>5</t>
        </is>
      </c>
      <c r="J10" s="2" t="inlineStr">
        <is>
          <t>✅ คำตอบที่ถูกต้อง: ข้อ จ. มีภาวะอ้วนรุนแรง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มีภาวะอ้วนรุนแรง เกณฑ์ค่าดัชนีมวลกาย (BMI) สำหรับชาวเอเชีย: น้ำหนักน้อย (
🔍 ข้ออื่นผิดเพราะอะไร:
• ข้อ ก. (น้ำหนักน้อยกว่าปกติ): ข้อนี้ไม่ใช่คำตอบที่ถูกต้องสำหรับภาวะ Clinical Nutrition เนื่องจากกลไกการออกฤทธิ์, efficacy หรือข้อบ่งใช้ไม่ตรงกับโจทย์ที่กำหนด
• ข้อ ข. (น้ำหนักตัวเหมาะสม): ข้อนี้ไม่ใช่คำตอบที่ถูกต้องสำหรับภาวะ Clinical Nutrition เนื่องจากกลไกการออกฤทธิ์, efficacy หรือข้อบ่งใช้ไม่ตรงกับโจทย์ที่กำหนด
• ข้อ ค. (น้ำหนักเกินแต่ไม่มาก): ข้อนี้ไม่ใช่คำตอบที่ถูกต้องสำหรับภาวะ Clinical Nutrition เนื่องจากกลไกการออกฤทธิ์, efficacy หรือข้อบ่งใช้ไม่ตรงกับโจทย์ที่กำหนด
• ข้อ ง. (มีภาวะอ้วน):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Clinical Nutrition</t>
        </is>
      </c>
      <c r="M10" s="2" t="inlineStr">
        <is>
          <t>Clinic</t>
        </is>
      </c>
      <c r="N10" s="2" t="inlineStr">
        <is>
          <t>ข้อ 8 Pharma Plus เล่มม่วง (เฉลยข้อ จ)</t>
        </is>
      </c>
      <c r="O10" s="2" t="inlineStr">
        <is>
          <t>Mock</t>
        </is>
      </c>
      <c r="P10" s="2" t="inlineStr">
        <is>
          <t>Pharma Plus เล่มม่วง</t>
        </is>
      </c>
    </row>
    <row r="11" ht="13.2" customHeight="1" s="37">
      <c r="A11" s="8" t="inlineStr">
        <is>
          <t>9</t>
        </is>
      </c>
      <c r="B11" s="2" t="inlineStr">
        <is>
          <t>สาเหตุของผมร่วง เล็บเปราะ เนื่องจากขาดวิตามินและแร่ธาตุ ยกเว้น</t>
        </is>
      </c>
      <c r="C11" s="2" t="n"/>
      <c r="D11" s="2" t="inlineStr">
        <is>
          <t>Vitamin B6</t>
        </is>
      </c>
      <c r="E11" s="2" t="inlineStr">
        <is>
          <t>Vitamin A</t>
        </is>
      </c>
      <c r="F11" s="2" t="inlineStr">
        <is>
          <t>Vitamin D</t>
        </is>
      </c>
      <c r="G11" s="2" t="inlineStr">
        <is>
          <t>Biotin</t>
        </is>
      </c>
      <c r="H11" s="2" t="inlineStr">
        <is>
          <t>Zinc</t>
        </is>
      </c>
      <c r="I11" s="8" t="inlineStr">
        <is>
          <t>1</t>
        </is>
      </c>
      <c r="J11" s="2" t="inlineStr">
        <is>
          <t>✅ คำตอบที่ถูกต้อง: ข้อ ก. Vitamin B6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Vitamin B6 การขาด Biotin, Zinc, Vitamin A และ Vitamin B6 (รวมถึงโปรตีนและธาตุเหล็ก) สัมพันธ์กับปัญหาผมร่วงและเล็บเปราะบาง ในขณะที่การขาด Vitamin D มักเกี่ยวข้องกับสุขภาพกระดูก การดูดซึมแคลเซียม และภูมิคุ้มกัน มากกว่าอาการผมร่วงเล็บเปราะโดยตรง
🔍 ข้ออื่นผิดเพราะอะไร:
• ข้อ ข. (Vitamin A): ข้อนี้ไม่ใช่คำตอบที่ถูกต้องสำหรับภาวะ Clinical Nutrition เนื่องจากกลไกการออกฤทธิ์, efficacy หรือข้อบ่งใช้ไม่ตรงกับโจทย์ที่กำหนด
• ข้อ ค. (Vitamin D): ข้อนี้ไม่ใช่คำตอบที่ถูกต้องสำหรับภาวะ Clinical Nutrition เนื่องจากกลไกการออกฤทธิ์, efficacy หรือข้อบ่งใช้ไม่ตรงกับโจทย์ที่กำหนด
• ข้อ ง. (Biotin): ข้อนี้ไม่ใช่คำตอบที่ถูกต้องสำหรับภาวะ Clinical Nutrition เนื่องจากกลไกการออกฤทธิ์, efficacy หรือข้อบ่งใช้ไม่ตรงกับโจทย์ที่กำหนด
• ข้อ จ. (Zinc):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n"/>
      <c r="L11" s="2" t="inlineStr">
        <is>
          <t>Clinical Nutrition</t>
        </is>
      </c>
      <c r="M11" s="2" t="inlineStr">
        <is>
          <t>Clinic</t>
        </is>
      </c>
      <c r="N11" s="2" t="inlineStr">
        <is>
          <t>ข้อ 9 Pharma Plus เล่มม่วง (เฉลยข้อ ก)</t>
        </is>
      </c>
      <c r="O11" s="2" t="inlineStr">
        <is>
          <t>Mock</t>
        </is>
      </c>
      <c r="P11" s="2" t="inlineStr">
        <is>
          <t>Pharma Plus เล่มม่วง</t>
        </is>
      </c>
    </row>
    <row r="12" ht="13.2" customHeight="1" s="37">
      <c r="A12" s="8" t="inlineStr">
        <is>
          <t>10</t>
        </is>
      </c>
      <c r="B12" s="2" t="inlineStr">
        <is>
          <t>วิตามิน แร่ธาตุที่เพิ่มความสดใสให้ผิวพรรณยกเว้น</t>
        </is>
      </c>
      <c r="C12" s="2" t="n"/>
      <c r="D12" s="2" t="inlineStr">
        <is>
          <t>Vitamin E</t>
        </is>
      </c>
      <c r="E12" s="2" t="inlineStr">
        <is>
          <t>Vitamin C</t>
        </is>
      </c>
      <c r="F12" s="2" t="inlineStr">
        <is>
          <t>Magnesium</t>
        </is>
      </c>
      <c r="G12" s="2" t="inlineStr">
        <is>
          <t>Zinc</t>
        </is>
      </c>
      <c r="H12" s="2" t="inlineStr">
        <is>
          <t>EPO (evening primrose oil)</t>
        </is>
      </c>
      <c r="I12" s="8" t="inlineStr">
        <is>
          <t>3</t>
        </is>
      </c>
      <c r="J12" s="2" t="inlineStr">
        <is>
          <t>✅ คำตอบที่ถูกต้อง: ข้อ ค. Magnesium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Magnesium Vitamin C, E, Zinc และ Evening Primrose Oil (EPO) ล้วนมีบทบาทสำคัญเป็นสารต้านอนุมูลอิสระ บำรุงผิวพรรณ และลดการอักเสบของผิว ในขณะที่ Magnesium มีบทบาทหลักด้านการทำงานของระบบประสาท กล้ามเนื้อ และเอนไซม์ ไม่ใช่แร่ธาตุหลักที่เน้นด้านการบำรุงผิวพรรณโดยตรง
🔍 ข้ออื่นผิดเพราะอะไร:
• ข้อ ก. (Vitamin E): ข้อนี้ไม่ใช่คำตอบที่ถูกต้องสำหรับภาวะ Clinical Nutrition เนื่องจากกลไกการออกฤทธิ์, efficacy หรือข้อบ่งใช้ไม่ตรงกับโจทย์ที่กำหนด
• ข้อ ข. (Vitamin C): ข้อนี้ไม่ใช่คำตอบที่ถูกต้องสำหรับภาวะ Clinical Nutrition เนื่องจากกลไกการออกฤทธิ์, efficacy หรือข้อบ่งใช้ไม่ตรงกับโจทย์ที่กำหนด
• ข้อ ง. (Zinc): ข้อนี้ไม่ใช่คำตอบที่ถูกต้องสำหรับภาวะ Clinical Nutrition เนื่องจากกลไกการออกฤทธิ์, efficacy หรือข้อบ่งใช้ไม่ตรงกับโจทย์ที่กำหนด
• ข้อ จ. (EPO (evening primrose oil)):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2" t="n"/>
      <c r="L12" s="2" t="inlineStr">
        <is>
          <t>Clinical Nutrition</t>
        </is>
      </c>
      <c r="M12" s="2" t="inlineStr">
        <is>
          <t>Clinic</t>
        </is>
      </c>
      <c r="N12" s="2" t="inlineStr">
        <is>
          <t>ข้อ 10 Pharma Plus เล่มม่วง (เฉลยข้อ ค)</t>
        </is>
      </c>
      <c r="O12" s="2" t="inlineStr">
        <is>
          <t>Mock</t>
        </is>
      </c>
      <c r="P12" s="2" t="inlineStr">
        <is>
          <t>Pharma Plus เล่มม่วง</t>
        </is>
      </c>
    </row>
    <row r="13" ht="13.2" customHeight="1" s="37">
      <c r="A13" s="8" t="inlineStr">
        <is>
          <t>11</t>
        </is>
      </c>
      <c r="B13" s="2" t="inlineStr">
        <is>
          <t>วิตามิน แร่ธาตุชนิดใดที่เหมาะสมกับการออกกำลังกายมากที่สุด</t>
        </is>
      </c>
      <c r="C13" s="2" t="n"/>
      <c r="D13" s="2" t="inlineStr">
        <is>
          <t>Vitamin K, Calcium, Vanadium</t>
        </is>
      </c>
      <c r="E13" s="2" t="inlineStr">
        <is>
          <t>Vitamin D, Calcium, Nickel</t>
        </is>
      </c>
      <c r="F13" s="2" t="inlineStr">
        <is>
          <t>Calcium, Magnesium, Potassium</t>
        </is>
      </c>
      <c r="G13" s="2" t="inlineStr">
        <is>
          <t>Calcium, Magnesium, Potassium</t>
        </is>
      </c>
      <c r="H13" s="2" t="inlineStr">
        <is>
          <t>Iodine, Copper, Selenium</t>
        </is>
      </c>
      <c r="I13" s="8" t="inlineStr">
        <is>
          <t>3</t>
        </is>
      </c>
      <c r="J13" s="2" t="inlineStr">
        <is>
          <t>✅ คำตอบที่ถูกต้อง: ข้อ ค. Calcium, Magnesium, Potassium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Calcium, Magnesium, Potassium การออกกำลังกายสูญเสียเหงื่อและมีการหดตัวของกล้ามเนื้อ แร่ธาตุที่สำคัญและจำเป็นอย่างยิ่งได้แก่ Calcium (การหดตัวของกล้ามเนื้อและกระดูก), Magnesium (คลายกล้ามเนื้อ ป้องกันตะคริว) และ Potassium (รักษาสมดุลน้ำและ electrolytes ป้องกันตะคริว)
🔍 ข้ออื่นผิดเพราะอะไร:
• ข้อ ก. (Vitamin K, Calcium, Vanadium): ข้อนี้ไม่ใช่คำตอบที่ถูกต้องสำหรับภาวะ Clinical Nutrition เนื่องจากกลไกการออกฤทธิ์, efficacy หรือข้อบ่งใช้ไม่ตรงกับโจทย์ที่กำหนด
• ข้อ ข. (Vitamin D, Calcium, Nickel): ข้อนี้ไม่ใช่คำตอบที่ถูกต้องสำหรับภาวะ Clinical Nutrition เนื่องจากกลไกการออกฤทธิ์, efficacy หรือข้อบ่งใช้ไม่ตรงกับโจทย์ที่กำหนด
• ข้อ ง. (Calcium, Magnesium, Potassium): ข้อนี้ไม่ใช่คำตอบที่ถูกต้องสำหรับภาวะ Clinical Nutrition เนื่องจากกลไกการออกฤทธิ์, efficacy หรือข้อบ่งใช้ไม่ตรงกับโจทย์ที่กำหนด
• ข้อ จ. (Iodine, Copper, Selenium):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n"/>
      <c r="L13" s="2" t="inlineStr">
        <is>
          <t>Clinical Nutrition</t>
        </is>
      </c>
      <c r="M13" s="2" t="inlineStr">
        <is>
          <t>Clinic</t>
        </is>
      </c>
      <c r="N13" s="2" t="inlineStr">
        <is>
          <t>ข้อ 11 Pharma Plus เล่มม่วง (เฉลยข้อ ค ง)</t>
        </is>
      </c>
      <c r="O13" s="2" t="inlineStr">
        <is>
          <t>Mock</t>
        </is>
      </c>
      <c r="P13" s="2" t="inlineStr">
        <is>
          <t>Pharma Plus เล่มม่วง</t>
        </is>
      </c>
    </row>
    <row r="14" ht="13.2" customHeight="1" s="37">
      <c r="A14" s="8" t="inlineStr">
        <is>
          <t>12</t>
        </is>
      </c>
      <c r="B14" s="2" t="inlineStr">
        <is>
          <t>จากข้อที่ 11 หมวดต่ออาหารใดที่พบแร่ธาตุ วิตามินเหล่านั้นมากที่สุด</t>
        </is>
      </c>
      <c r="C14" s="2" t="n"/>
      <c r="D14" s="2" t="inlineStr">
        <is>
          <t>เนื้อสัตว์, อาหารทะเล, เครื่องใน</t>
        </is>
      </c>
      <c r="E14" s="2" t="inlineStr">
        <is>
          <t>ปลาตัวเล็กตัวน้อย, ผักบร็อคโคลี่, กล้วย</t>
        </is>
      </c>
      <c r="F14" s="2" t="inlineStr">
        <is>
          <t>ธัญพืช, ถั่วเหลือง, โยเกิร์ต</t>
        </is>
      </c>
      <c r="G14" s="2" t="inlineStr">
        <is>
          <t>ชาเขียว, โสม, Co-enzyme Q10</t>
        </is>
      </c>
      <c r="H14" s="2" t="inlineStr">
        <is>
          <t>น้ำมันตับปลา, น้ำมันปลา, ปลา</t>
        </is>
      </c>
      <c r="I14" s="8" t="inlineStr">
        <is>
          <t>2</t>
        </is>
      </c>
      <c r="J14" s="2" t="inlineStr">
        <is>
          <t>✅ คำตอบที่ถูกต้อง: ข้อ ข. ปลาตัวเล็กตัวน้อย, ผักบร็อคโคลี่, กล้วย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ปลาตัวเล็กตัวน้อย, ผักบร็อคโคลี่, กล้วย ปลาตัวเล็กตัวน้อย (แหล่งแคลเซียมสูง), ผักใบเขียว/บร็อคโคลี่ (แหล่งแคลเซียมและแมกนีเซียม) และกล้วย (แหล่งโพแทสเซียมเด่นชัด) เป็นแหล่งอาหารธรรมชาติที่อุดมไปด้วยแคลเซียม แมกนีเซียม และโพแทสเซียม ซึ่งจำเป็นสำหรับการออกกำลังกาย
🔍 ข้ออื่นผิดเพราะอะไร:
• ข้อ ก. (เนื้อสัตว์, อาหารทะเล, เครื่องใน): ข้อนี้ไม่ใช่คำตอบที่ถูกต้องสำหรับภาวะ Clinical Nutrition เนื่องจากกลไกการออกฤทธิ์, efficacy หรือข้อบ่งใช้ไม่ตรงกับโจทย์ที่กำหนด
• ข้อ ค. (ธัญพืช, ถั่วเหลือง, โยเกิร์ต): ข้อนี้ไม่ใช่คำตอบที่ถูกต้องสำหรับภาวะ Clinical Nutrition เนื่องจากกลไกการออกฤทธิ์, efficacy หรือข้อบ่งใช้ไม่ตรงกับโจทย์ที่กำหนด
• ข้อ ง. (ชาเขียว, โสม, Co-enzyme Q10): ข้อนี้ไม่ใช่คำตอบที่ถูกต้องสำหรับภาวะ Clinical Nutrition เนื่องจากกลไกการออกฤทธิ์, efficacy หรือข้อบ่งใช้ไม่ตรงกับโจทย์ที่กำหนด
• ข้อ จ. (น้ำมันตับปลา, น้ำมันปลา, ปลา):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2" t="n"/>
      <c r="L14" s="2" t="inlineStr">
        <is>
          <t>Clinical Nutrition</t>
        </is>
      </c>
      <c r="M14" s="2" t="inlineStr">
        <is>
          <t>Clinic</t>
        </is>
      </c>
      <c r="N14" s="2" t="inlineStr">
        <is>
          <t>ข้อ 12 Pharma Plus เล่มม่วง (เฉลยข้อ ข)</t>
        </is>
      </c>
      <c r="O14" s="2" t="inlineStr">
        <is>
          <t>Mock</t>
        </is>
      </c>
      <c r="P14" s="2" t="inlineStr">
        <is>
          <t>Pharma Plus เล่มม่วง</t>
        </is>
      </c>
    </row>
    <row r="15" ht="13.2" customHeight="1" s="37">
      <c r="A15" s="8" t="inlineStr">
        <is>
          <t>13</t>
        </is>
      </c>
      <c r="B15" s="2" t="inlineStr">
        <is>
          <t>ข้อใด ไม่ใช่ข้อควรปฏิบัติในการรับประทานวิตามิน อาหารเสริม</t>
        </is>
      </c>
      <c r="C15" s="2" t="n"/>
      <c r="D15" s="2" t="inlineStr">
        <is>
          <t>ออกกำลังกายอย่างต่อเนื่อง อย่างน้อย 30 นาทีทุกวัน</t>
        </is>
      </c>
      <c r="E15" s="2" t="inlineStr">
        <is>
          <t>ดื่มน้ำบริสุทธิ์ ปริมาณ 2 ลิตร ต่อวัน</t>
        </is>
      </c>
      <c r="F15" s="2" t="inlineStr">
        <is>
          <t>ควรรับประทานหลังมื้ออาหารหรือพร้อมมื้ออาหาร</t>
        </is>
      </c>
      <c r="G15" s="2" t="inlineStr">
        <is>
          <t>การรับประทานช่วงเวลาก่อนนอนเหมาะสำหรับวิตามินและแร่ธาตุที่บำรุงผิว</t>
        </is>
      </c>
      <c r="H15" s="2" t="inlineStr">
        <is>
          <t>ควรรับประทานผักใบเขียว, ผลไม้ควบคู่ทุกวัน</t>
        </is>
      </c>
      <c r="I15" s="8" t="inlineStr">
        <is>
          <t>4</t>
        </is>
      </c>
      <c r="J15" s="2" t="inlineStr">
        <is>
          <t>✅ คำตอบที่ถูกต้อง: ข้อ ง. การรับประทานช่วงเวลาก่อนนอนเหมาะสำหรับวิตามินและแร่ธาตุที่บำรุงผิว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การรับประทานช่วงเวลาก่อนนอนเหมาะสำหรับวิตามินและแร่ธาตุที่บำรุงผิว วิตามินและแร่ธาตุบางชนิดอาจมีคุณสมบัติหรือผลข้างเคียงที่แตกต่างกัน โดยทั่วไปวิตามินที่ละลายในไขมัน (A, D, E, K) ควรทานพร้อมมื้ออาหารเพื่อการดูดซึมที่ดี การรับประทานอาหารเสริมควรพิจารณาตามความจำเป็นและความเหมาะสมของแต่ละบุคคล ไม่ได้มีข้อบังคับตายตัวในทุกข้อ
🔍 ข้ออื่นผิดเพราะอะไร:
• ข้อ ก. (ออกกำลังกายอย่างต่อเนื่อง อย่างน้อย 30 นาทีทุกวัน): ข้อนี้ไม่ใช่คำตอบที่ถูกต้องสำหรับภาวะ Clinical Nutrition เนื่องจากกลไกการออกฤทธิ์, efficacy หรือข้อบ่งใช้ไม่ตรงกับโจทย์ที่กำหนด
• ข้อ ข. (ดื่มน้ำบริสุทธิ์ ปริมาณ 2 ลิตร ต่อวัน): ข้อนี้ไม่ใช่คำตอบที่ถูกต้องสำหรับภาวะ Clinical Nutrition เนื่องจากกลไกการออกฤทธิ์, efficacy หรือข้อบ่งใช้ไม่ตรงกับโจทย์ที่กำหนด
• ข้อ ค. (ควรรับประทานหลังมื้ออาหารหรือพร้อมมื้ออาหาร): ข้อนี้ไม่ใช่คำตอบที่ถูกต้องสำหรับภาวะ Clinical Nutrition เนื่องจากกลไกการออกฤทธิ์, efficacy หรือข้อบ่งใช้ไม่ตรงกับโจทย์ที่กำหนด
• ข้อ จ. (ควรรับประทานผักใบเขียว, ผลไม้ควบคู่ทุกวัน):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n"/>
      <c r="L15" s="2" t="inlineStr">
        <is>
          <t>Clinical Nutrition</t>
        </is>
      </c>
      <c r="M15" s="2" t="inlineStr">
        <is>
          <t>Clinic</t>
        </is>
      </c>
      <c r="N15" s="2" t="inlineStr">
        <is>
          <t>ข้อ 13 Pharma Plus เล่มม่วง (เฉลยข้อ ง)</t>
        </is>
      </c>
      <c r="O15" s="2" t="inlineStr">
        <is>
          <t>Mock</t>
        </is>
      </c>
      <c r="P15" s="2" t="inlineStr">
        <is>
          <t>Pharma Plus เล่มม่วง</t>
        </is>
      </c>
    </row>
    <row r="16" ht="13.2" customHeight="1" s="37">
      <c r="A16" s="8" t="inlineStr">
        <is>
          <t>14</t>
        </is>
      </c>
      <c r="B16" s="2" t="inlineStr">
        <is>
          <t>ผู้ป่วยอายุ 2 ขวบ หนัก 10 kg สูง 90 cm กินแต่มาม่า
ผู้ป่วยมี actual BW เป็นกี่เปอร์เซ็นต์ ของ IDW (IDW=(Ht²(cm²)x1.65)/1000)</t>
        </is>
      </c>
      <c r="C16" s="2" t="n"/>
      <c r="D16" s="8" t="inlineStr">
        <is>
          <t>65%</t>
        </is>
      </c>
      <c r="E16" s="8" t="inlineStr">
        <is>
          <t>70%</t>
        </is>
      </c>
      <c r="F16" s="8" t="inlineStr">
        <is>
          <t>75%</t>
        </is>
      </c>
      <c r="G16" s="8" t="inlineStr">
        <is>
          <t>80%</t>
        </is>
      </c>
      <c r="H16" s="8" t="inlineStr">
        <is>
          <t>135%</t>
        </is>
      </c>
      <c r="I16" s="8" t="inlineStr">
        <is>
          <t>3</t>
        </is>
      </c>
      <c r="J16" s="2" t="inlineStr">
        <is>
          <t>✅ คำตอบที่ถูกต้อง: ข้อ ค. 75%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75% คำนวณ IDW = (90^2 • 1.65) / 1000 = (8100 • 1.65) / 1000 = 13.365 kg. Actual BW = 10 kg. คิดเป็นร้อยละ (10 / 13.365) • 100 ประมาณ 74.8% (ใกล้เคียง 75%)
🔍 ข้ออื่นผิดเพราะอะไร:
• ข้อ ก. (65%): ข้อนี้ไม่ใช่คำตอบที่ถูกต้องสำหรับภาวะ Clinical Nutrition เนื่องจากกลไกการออกฤทธิ์, efficacy หรือข้อบ่งใช้ไม่ตรงกับโจทย์ที่กำหนด
• ข้อ ข. (70%): ข้อนี้ไม่ใช่คำตอบที่ถูกต้องสำหรับภาวะ Clinical Nutrition เนื่องจากกลไกการออกฤทธิ์, efficacy หรือข้อบ่งใช้ไม่ตรงกับโจทย์ที่กำหนด
• ข้อ ง. (80%): ข้อนี้ไม่ใช่คำตอบที่ถูกต้องสำหรับภาวะ Clinical Nutrition เนื่องจากกลไกการออกฤทธิ์, efficacy หรือข้อบ่งใช้ไม่ตรงกับโจทย์ที่กำหนด
• ข้อ จ. (135%):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n"/>
      <c r="L16" s="2" t="inlineStr">
        <is>
          <t>Clinical Nutrition</t>
        </is>
      </c>
      <c r="M16" s="2" t="inlineStr">
        <is>
          <t>Clinic</t>
        </is>
      </c>
      <c r="N16" s="2" t="inlineStr">
        <is>
          <t>ข้อ 14 Pharma Plus เล่มม่วง (เฉลยข้อ ค)</t>
        </is>
      </c>
      <c r="O16" s="2" t="inlineStr">
        <is>
          <t>Mock</t>
        </is>
      </c>
      <c r="P16" s="2" t="inlineStr">
        <is>
          <t>Pharma Plus เล่มม่วง</t>
        </is>
      </c>
    </row>
    <row r="17" ht="13.2" customHeight="1" s="37">
      <c r="A17" s="8" t="inlineStr">
        <is>
          <t>15</t>
        </is>
      </c>
      <c r="B17" s="2" t="inlineStr">
        <is>
          <t>ผู้ป่วยอายุ 2 ขวบ หนัก 10 kg สูง 90 cm กินแต่มาม่า
ผู้ป่วยรายนี้ไม่ต้องอาศัยข้อมูลใด ในการประเมินความเจริญเติบโต (growth velocity)</t>
        </is>
      </c>
      <c r="C17" s="2" t="n"/>
      <c r="D17" s="2" t="inlineStr">
        <is>
          <t>อายุ</t>
        </is>
      </c>
      <c r="E17" s="2" t="inlineStr">
        <is>
          <t>บันทึกน้ำหนัก รายเดือน</t>
        </is>
      </c>
      <c r="F17" s="2" t="inlineStr">
        <is>
          <t>บันทึกส่วนสูงรายเดือน</t>
        </is>
      </c>
      <c r="G17" s="2" t="inlineStr">
        <is>
          <t>ค่ามาตรฐานการเจริญเติบโต</t>
        </is>
      </c>
      <c r="H17" s="2" t="inlineStr">
        <is>
          <t>ความต้องการพลังงานต่อวัน</t>
        </is>
      </c>
      <c r="I17" s="8" t="inlineStr">
        <is>
          <t>5</t>
        </is>
      </c>
      <c r="J17" s="2" t="inlineStr">
        <is>
          <t>✅ คำตอบที่ถูกต้อง: ข้อ จ. ความต้องการพลังงานต่อวัน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ความต้องการพลังงานต่อวัน การประเมิน growth velocity (อัตราการเจริญเติบโต) ต้องใช้ข้อมูลน้ำหนัก ส่วนสูง และอายุเทียบกับค่ามาตรฐานในช่วงเวลาที่ต่างกัน แต่ความต้องการพลังงานต่อวัน (Energy requirement) เป็นการคำนวณเพื่อวางแผนโภชนาการ ไม่ใช่ข้อมูลที่ใช้ประเมินความเจริญเติบโตโดยตรง
🔍 ข้ออื่นผิดเพราะอะไร:
• ข้อ ก. (อายุ): ข้อนี้ไม่ใช่คำตอบที่ถูกต้องสำหรับภาวะ Clinical Nutrition เนื่องจากกลไกการออกฤทธิ์, efficacy หรือข้อบ่งใช้ไม่ตรงกับโจทย์ที่กำหนด
• ข้อ ข. (บันทึกน้ำหนัก รายเดือน): ข้อนี้ไม่ใช่คำตอบที่ถูกต้องสำหรับภาวะ Clinical Nutrition เนื่องจากกลไกการออกฤทธิ์, efficacy หรือข้อบ่งใช้ไม่ตรงกับโจทย์ที่กำหนด
• ข้อ ค. (บันทึกส่วนสูงรายเดือน): ข้อนี้ไม่ใช่คำตอบที่ถูกต้องสำหรับภาวะ Clinical Nutrition เนื่องจากกลไกการออกฤทธิ์, efficacy หรือข้อบ่งใช้ไม่ตรงกับโจทย์ที่กำหนด
• ข้อ ง. (ค่ามาตรฐานการเจริญเติบโต):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n"/>
      <c r="L17" s="2" t="inlineStr">
        <is>
          <t>Clinical Nutrition</t>
        </is>
      </c>
      <c r="M17" s="2" t="inlineStr">
        <is>
          <t>Clinic</t>
        </is>
      </c>
      <c r="N17" s="2" t="inlineStr">
        <is>
          <t>ข้อ 15 Pharma Plus เล่มม่วง (เฉลยข้อ จ)</t>
        </is>
      </c>
      <c r="O17" s="2" t="inlineStr">
        <is>
          <t>Mock</t>
        </is>
      </c>
      <c r="P17" s="2" t="inlineStr">
        <is>
          <t>Pharma Plus เล่มม่วง</t>
        </is>
      </c>
    </row>
    <row r="18" ht="13.2" customHeight="1" s="37">
      <c r="A18" s="8" t="inlineStr">
        <is>
          <t>16</t>
        </is>
      </c>
      <c r="B18" s="2" t="inlineStr">
        <is>
          <t>บุคคลที่รับประทานอาหารมังสวิรัติมีโอกาสขาดเหล็กได้เนื่องจาก</t>
        </is>
      </c>
      <c r="C18" s="2" t="n"/>
      <c r="D18" s="2" t="inlineStr">
        <is>
          <t>ในอาหารมังสวิรัติเหล็กในรูป heme-iron มาก</t>
        </is>
      </c>
      <c r="E18" s="2" t="inlineStr">
        <is>
          <t>สาร phytate ในอาหารรบกวนการดูดซึมเหล็ก</t>
        </is>
      </c>
      <c r="F18" s="2" t="inlineStr">
        <is>
          <t>เหล็กจะพบได้จากอาหารที่มาจากเนื้อสัตว์เท่านั้น</t>
        </is>
      </c>
      <c r="G18" s="2" t="inlineStr">
        <is>
          <t>วิตามินซีจากผัก+ผลไม้ลดการดูดซึมเหล็ก</t>
        </is>
      </c>
      <c r="H18" s="2" t="inlineStr">
        <is>
          <t>Renal Enteral Formula (High calorie, Low electrolyte)</t>
        </is>
      </c>
      <c r="I18" s="8" t="inlineStr">
        <is>
          <t>3</t>
        </is>
      </c>
      <c r="J18" s="2" t="inlineStr">
        <is>
          <t>✅ คำตอบที่ถูกต้อง: ข้อ ค. เหล็กจะพบได้จากอาหารที่มาจากเนื้อสัตว์เท่านั้น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เหล็กจะพบได้จากอาหารที่มาจากเนื้อสัตว์เท่านั้น อาหารมังสวิรัติมีเหล็กในรูป non-heme iron ซึ่งดูดซึมได้น้อยกว่า heme-iron และมักมีสารยับยั้งการดูดซึมเช่น phytate, oxalate ในธัญพืชและผัก ส่วนวิตามินซีช่วยเพิ่มการดูดซึมเหล็กไม่ใช่ลด
🔍 ข้ออื่นผิดเพราะอะไร:
• ข้อ ก. (ในอาหารมังสวิรัติเหล็กในรูป heme-iron มาก): ข้อนี้ไม่ใช่คำตอบที่ถูกต้องสำหรับภาวะ Clinical Nutrition เนื่องจากกลไกการออกฤทธิ์, efficacy หรือข้อบ่งใช้ไม่ตรงกับโจทย์ที่กำหนด
• ข้อ ข. (สาร phytate ในอาหารรบกวนการดูดซึมเหล็ก): ข้อนี้ไม่ใช่คำตอบที่ถูกต้องสำหรับภาวะ Clinical Nutrition เนื่องจากกลไกการออกฤทธิ์, efficacy หรือข้อบ่งใช้ไม่ตรงกับโจทย์ที่กำหนด
• ข้อ ง. (วิตามินซีจากผัก+ผลไม้ลดการดูดซึมเหล็ก): ข้อนี้ไม่ใช่คำตอบที่ถูกต้องสำหรับภาวะ Clinical Nutrition เนื่องจากกลไกการออกฤทธิ์, efficacy หรือข้อบ่งใช้ไม่ตรงกับโจทย์ที่กำหนด
• ข้อ จ. (Renal Enteral Formula (High calorie, Low electrolyte)):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Clinical Nutrition</t>
        </is>
      </c>
      <c r="M18" s="2" t="inlineStr">
        <is>
          <t>Clinic</t>
        </is>
      </c>
      <c r="N18" s="2" t="inlineStr">
        <is>
          <t>ข้อ 16 Pharma Plus เล่มม่วง (เฉลยข้อ ค)</t>
        </is>
      </c>
      <c r="O18" s="2" t="inlineStr">
        <is>
          <t>Mock</t>
        </is>
      </c>
      <c r="P18" s="2" t="inlineStr">
        <is>
          <t>Pharma Plus เล่มม่วง</t>
        </is>
      </c>
    </row>
    <row r="19" ht="13.2" customHeight="1" s="37">
      <c r="A19" s="8" t="inlineStr">
        <is>
          <t>17</t>
        </is>
      </c>
      <c r="B19" s="2" t="inlineStr">
        <is>
          <t>เกลือแร่ในข้อใดผิด</t>
        </is>
      </c>
      <c r="C19" s="2" t="n"/>
      <c r="D19" s="2" t="inlineStr">
        <is>
          <t>ถ้าขาดสังกะสีจะทำให้อาการอวัยวะเพศไม่เติบโตตามวัยและแผลหายช้า</t>
        </is>
      </c>
      <c r="E19" s="2" t="inlineStr">
        <is>
          <t>ควรเสริมไอโอดีนแก่เด็กที่ป้องกันฟันผุ โดยให้ผสมกับน้ำความเข้มข้น 1 ต่อล้าน</t>
        </is>
      </c>
      <c r="F19" s="2" t="inlineStr">
        <is>
          <t>แคลเซียมและฟอสฟอรัสเป็นเกลือแร่ที่สำคัญ เป็นส่วนประกอบของกระดูกและฟัน</t>
        </is>
      </c>
      <c r="G19" s="2" t="inlineStr">
        <is>
          <t>ถ้าขาดทองแดงจะทำให้เป็นโรคโลหิตจาง</t>
        </is>
      </c>
      <c r="H19" s="2" t="inlineStr">
        <is>
          <t>ถ้าขาดไอโอดีนทำให้เป็นโรคคอพอก</t>
        </is>
      </c>
      <c r="I19" s="8" t="inlineStr">
        <is>
          <t>2</t>
        </is>
      </c>
      <c r="J19" s="2" t="inlineStr">
        <is>
          <t>✅ คำตอบที่ถูกต้อง: ข้อ ข. ควรเสริมไอโอดีนแก่เด็กที่ป้องกันฟันผุ โดยให้ผสมกับน้ำความเข้มข้น 1 ต่อล้าน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ควรเสริมไอโอดีนแก่เด็กที่ป้องกันฟันผุ โดยให้ผสมกับน้ำความเข้มข้น 1 ต่อล้าน การป้องกันฟันผุด้วยไอโอดีนไม่ถูกต้อง การป้องกันฟันผุใช้ ฟลูออไรด์ (Fluoride) ไม่ใช่ไอโอดีน ส่วนไอโอดีนใช้ป้องกันโรคคอพอก
🔍 ข้ออื่นผิดเพราะอะไร:
• ข้อ ก. (ถ้าขาดสังกะสีจะทำให้อาการอวัยวะเพศไม่เติบโตตามวัยและแผลหายช้า): ข้อนี้ไม่ใช่คำตอบที่ถูกต้องสำหรับภาวะ Clinical Nutrition เนื่องจากกลไกการออกฤทธิ์, efficacy หรือข้อบ่งใช้ไม่ตรงกับโจทย์ที่กำหนด
• ข้อ ค. (แคลเซียมและฟอสฟอรัสเป็นเกลือแร่ที่สำคัญ เป็นส่วนประกอบของกระดูกและฟัน): ข้อนี้ไม่ใช่คำตอบที่ถูกต้องสำหรับภาวะ Clinical Nutrition เนื่องจากกลไกการออกฤทธิ์, efficacy หรือข้อบ่งใช้ไม่ตรงกับโจทย์ที่กำหนด
• ข้อ ง. (ถ้าขาดทองแดงจะทำให้เป็นโรคโลหิตจาง): ข้อนี้ไม่ใช่คำตอบที่ถูกต้องสำหรับภาวะ Clinical Nutrition เนื่องจากกลไกการออกฤทธิ์, efficacy หรือข้อบ่งใช้ไม่ตรงกับโจทย์ที่กำหนด
• ข้อ จ. (ถ้าขาดไอโอดีนทำให้เป็นโรคคอพอก):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Clinical Nutrition</t>
        </is>
      </c>
      <c r="M19" s="2" t="inlineStr">
        <is>
          <t>Clinic</t>
        </is>
      </c>
      <c r="N19" s="2" t="inlineStr">
        <is>
          <t>ข้อ 17 Pharma Plus เล่มม่วง (เฉลยข้อ ข)</t>
        </is>
      </c>
      <c r="O19" s="2" t="inlineStr">
        <is>
          <t>Mock</t>
        </is>
      </c>
      <c r="P19" s="2" t="inlineStr">
        <is>
          <t>Pharma Plus เล่มม่วง</t>
        </is>
      </c>
    </row>
    <row r="20" ht="13.2" customHeight="1" s="37">
      <c r="A20" s="8" t="inlineStr">
        <is>
          <t>18</t>
        </is>
      </c>
      <c r="B20" s="2" t="inlineStr">
        <is>
          <t>ผู้ป่วยที่มีอาการอ่อนเพลีย ใจสั่น ซีด เหนื่อยง่าย เล็บโค้งคล้ายช้อน ผู้ป่วยนั้นขาดสารอาหาร</t>
        </is>
      </c>
      <c r="C20" s="2" t="n"/>
      <c r="D20" s="2" t="inlineStr">
        <is>
          <t>Zinc</t>
        </is>
      </c>
      <c r="E20" s="2" t="inlineStr">
        <is>
          <t>Vit E</t>
        </is>
      </c>
      <c r="F20" s="2" t="inlineStr">
        <is>
          <t>Vit B1</t>
        </is>
      </c>
      <c r="G20" s="2" t="inlineStr">
        <is>
          <t>Iron</t>
        </is>
      </c>
      <c r="H20" s="2" t="inlineStr">
        <is>
          <t>Vit C</t>
        </is>
      </c>
      <c r="I20" s="8" t="inlineStr">
        <is>
          <t>4</t>
        </is>
      </c>
      <c r="J20" s="2" t="inlineStr">
        <is>
          <t>✅ คำตอบที่ถูกต้อง: ข้อ ง. Iron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Iron อาการอ่อนเพลีย ใจสั่น ซีด เหนื่อยง่าย และเล็บโค้งคล้ายช้อน (Koilonychia) เป็นลักษณะอาการคลาสสิกของภาวะขาดธาตุเหล็ก (Iron deficiency anemia)
🔍 ข้ออื่นผิดเพราะอะไร:
• ข้อ ก. (Zinc): ข้อนี้ไม่ใช่คำตอบที่ถูกต้องสำหรับภาวะ Clinical Nutrition เนื่องจากกลไกการออกฤทธิ์, efficacy หรือข้อบ่งใช้ไม่ตรงกับโจทย์ที่กำหนด
• ข้อ ข. (Vit E): ข้อนี้ไม่ใช่คำตอบที่ถูกต้องสำหรับภาวะ Clinical Nutrition เนื่องจากกลไกการออกฤทธิ์, efficacy หรือข้อบ่งใช้ไม่ตรงกับโจทย์ที่กำหนด
• ข้อ ค. (Vit B1): ข้อนี้ไม่ใช่คำตอบที่ถูกต้องสำหรับภาวะ Clinical Nutrition เนื่องจากกลไกการออกฤทธิ์, efficacy หรือข้อบ่งใช้ไม่ตรงกับโจทย์ที่กำหนด
• ข้อ จ. (Vit C):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Clinical Nutrition</t>
        </is>
      </c>
      <c r="M20" s="2" t="inlineStr">
        <is>
          <t>Clinic</t>
        </is>
      </c>
      <c r="N20" s="2" t="inlineStr">
        <is>
          <t>ข้อ 18 Pharma Plus เล่มม่วง (เฉลยข้อ ง)</t>
        </is>
      </c>
      <c r="O20" s="2" t="inlineStr">
        <is>
          <t>Mock</t>
        </is>
      </c>
      <c r="P20" s="2" t="inlineStr">
        <is>
          <t>Pharma Plus เล่มม่วง</t>
        </is>
      </c>
    </row>
    <row r="21" ht="13.2" customHeight="1" s="37">
      <c r="A21" s="8" t="inlineStr">
        <is>
          <t>19</t>
        </is>
      </c>
      <c r="B21" s="2" t="inlineStr">
        <is>
          <t>ผู้ป่วยได้รับยา MAOI เมื่อรับประทานปลาร้าหรือเนยแข็งอาจเกิด acute hypertension เนื่องจากอาหารนี้มีสารอาหารพวก</t>
        </is>
      </c>
      <c r="C21" s="2" t="n"/>
      <c r="D21" s="2" t="inlineStr">
        <is>
          <t>Tyramine</t>
        </is>
      </c>
      <c r="E21" s="2" t="inlineStr">
        <is>
          <t>Glutamine</t>
        </is>
      </c>
      <c r="F21" s="2" t="inlineStr">
        <is>
          <t>Phanalzine</t>
        </is>
      </c>
      <c r="G21" s="2" t="inlineStr">
        <is>
          <t>Tyrosine</t>
        </is>
      </c>
      <c r="H21" s="2" t="inlineStr">
        <is>
          <t>Phenylalanine</t>
        </is>
      </c>
      <c r="I21" s="8" t="inlineStr">
        <is>
          <t>1</t>
        </is>
      </c>
      <c r="J21" s="2" t="inlineStr">
        <is>
          <t>✅ คำตอบที่ถูกต้อง: ข้อ ก. Tyramine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Tyramine ยาในกลุ่ม Monoamine oxidase inhibitors (MAOIs) ยับยั้งการทำลาย tyramine ส่งผลให้ tyramine ที่สะสมในกระแสเลือดไปกระตุ้นการหลั่ง noradrenaline อย่างรุนแรง ทำให้เกิดความดันโลหิตสูงเฉียบพลัน (Hypertensive crisis) อาหารที่ควรหลีกเลี่ยงได้แก่ อาหารหมักดอง เนยแข็งบ่ม (Aged cheese) และปลาร้า
🔍 ข้ออื่นผิดเพราะอะไร:
• ข้อ ข. (Glutamine): ข้อนี้ไม่ใช่คำตอบที่ถูกต้องสำหรับภาวะ Clinical Nutrition เนื่องจากกลไกการออกฤทธิ์, efficacy หรือข้อบ่งใช้ไม่ตรงกับโจทย์ที่กำหนด
• ข้อ ค. (Phanalzine): ข้อนี้ไม่ใช่คำตอบที่ถูกต้องสำหรับภาวะ Clinical Nutrition เนื่องจากกลไกการออกฤทธิ์, efficacy หรือข้อบ่งใช้ไม่ตรงกับโจทย์ที่กำหนด
• ข้อ ง. (Tyrosine): ข้อนี้ไม่ใช่คำตอบที่ถูกต้องสำหรับภาวะ Clinical Nutrition เนื่องจากกลไกการออกฤทธิ์, efficacy หรือข้อบ่งใช้ไม่ตรงกับโจทย์ที่กำหนด
• ข้อ จ. (Phenylalanine): ข้อนี้ไม่ใช่คำตอบที่ถูกต้องสำหรับภาวะ Clinical Nutrition เนื่องจากกลไกการออกฤทธิ์, efficacy หรือข้อบ่งใช้ไม่ตรงกับโจทย์ที่กำหนด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 s="2" t="n"/>
      <c r="L21" s="2" t="inlineStr">
        <is>
          <t>Clinical Nutrition</t>
        </is>
      </c>
      <c r="M21" s="2" t="inlineStr">
        <is>
          <t>Clinic</t>
        </is>
      </c>
      <c r="N21" s="2" t="inlineStr">
        <is>
          <t>ข้อ 19 Pharma Plus เล่มม่วง (เฉลยข้อ ก)</t>
        </is>
      </c>
      <c r="O21" s="2" t="inlineStr">
        <is>
          <t>Mock</t>
        </is>
      </c>
      <c r="P21" s="2" t="inlineStr">
        <is>
          <t>Pharma Plus เล่มม่วง</t>
        </is>
      </c>
    </row>
    <row r="22" ht="13.2" customHeight="1" s="37">
      <c r="A22" s="8" t="inlineStr">
        <is>
          <t>20</t>
        </is>
      </c>
      <c r="B22" s="2" t="inlineStr">
        <is>
          <t>น้ำมันปลากินไปนานๆแล้วเป็นอย่างไร</t>
        </is>
      </c>
      <c r="C22" s="2" t="n"/>
      <c r="D22" s="2" t="inlineStr">
        <is>
          <t>ปวดหัว</t>
        </is>
      </c>
      <c r="E22" s="2" t="inlineStr">
        <is>
          <t>ท้องเสีย</t>
        </is>
      </c>
      <c r="F22" s="2" t="inlineStr">
        <is>
          <t>ตาพร่ามัว</t>
        </is>
      </c>
      <c r="G22" s="2" t="inlineStr">
        <is>
          <t>มวลกระดูกเพิ่มขึ้น</t>
        </is>
      </c>
      <c r="H22" s="2" t="inlineStr">
        <is>
          <t>ระยะเวลาการแข็งตัวของเลือดยาวนานขึ้น</t>
        </is>
      </c>
      <c r="I22" s="8" t="inlineStr">
        <is>
          <t>5</t>
        </is>
      </c>
      <c r="J22" s="2" t="inlineStr">
        <is>
          <t>✅ คำตอบที่ถูกต้อง: ข้อ จ. ระยะเวลาการแข็งตัวของเลือดยาวนานขึ้น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ระยะเวลาการแข็งตัวของเลือดยาวนานขึ้น น้ำมันปลา (Fish oil) อุดมไปด้วยกรดไขมันโอเมก้า-3 (EPA และ DHA) ซึ่งมีฤทธิ์ต้านการเกาะกลุ่มของเกล็ดเลือด (antiplatelet effect) การรับประทานติดต่อกันเป็นเวลานานในปริมาณสูง อาจทำให้ระยะเวลาการแข็งตัวของเลือดนานขึ้น (Bleeding time prolonged) และเพิ่มความเสี่ยงในการเกิดภาวะเลือดออกง่าย โดยเฉพาะในผู้ป่วยที่ใช้ยาร่วมกับยาต้านการแข็งตัวของเลือดหรือยาต้านเกล็ดเลือด
🔍 ข้ออื่นผิดเพราะอะไร:
• ข้อ ก. (ปวดหัว): ข้อนี้ไม่ใช่คำตอบที่ถูกต้องสำหรับภาวะ Clinical Nutrition เนื่องจากกลไกการออกฤทธิ์, efficacy หรือข้อบ่งใช้ไม่ตรงกับโจทย์ที่กำหนด
• ข้อ ข. (ท้องเสีย): ข้อนี้ไม่ใช่คำตอบที่ถูกต้องสำหรับภาวะ Clinical Nutrition เนื่องจากกลไกการออกฤทธิ์, efficacy หรือข้อบ่งใช้ไม่ตรงกับโจทย์ที่กำหนด
• ข้อ ค. (ตาพร่ามัว): ข้อนี้ไม่ใช่คำตอบที่ถูกต้องสำหรับภาวะ Clinical Nutrition เนื่องจากกลไกการออกฤทธิ์, efficacy หรือข้อบ่งใช้ไม่ตรงกับโจทย์ที่กำหนด
• ข้อ ง. (มวลกระดูกเพิ่มขึ้น):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2" t="n"/>
      <c r="L22" s="2" t="inlineStr">
        <is>
          <t>Clinical Nutrition</t>
        </is>
      </c>
      <c r="M22" s="2" t="inlineStr">
        <is>
          <t>Clinic</t>
        </is>
      </c>
      <c r="N22" s="2" t="inlineStr">
        <is>
          <t>ข้อ 20 Pharma Plus เล่มม่วง (เฉลยข้อ จ)</t>
        </is>
      </c>
      <c r="O22" s="2" t="inlineStr">
        <is>
          <t>Mock</t>
        </is>
      </c>
      <c r="P22" s="2" t="inlineStr">
        <is>
          <t>Pharma Plus เล่มม่วง</t>
        </is>
      </c>
    </row>
    <row r="23" ht="13.2" customHeight="1" s="37">
      <c r="A23" s="8" t="inlineStr">
        <is>
          <t>21</t>
        </is>
      </c>
      <c r="B23" s="2" t="inlineStr">
        <is>
          <t>รูปแบบของวิตามินดี ที_x001E_พร้อมออกฤทธิAคือข้อใด (1) 1,25-dihydroxycholecalciferol (2) 1-hydroxycholecalciferol (3) 25-hydroxycholecalciferol (4) Cholecalciferol (5) Calcifediol</t>
        </is>
      </c>
      <c r="C23" s="2" t="n"/>
      <c r="D23" s="2" t="inlineStr">
        <is>
          <t>Total Parenteral Nutrition (TPN) 2-in-1 formula</t>
        </is>
      </c>
      <c r="E23" s="2" t="inlineStr">
        <is>
          <t>Total Nutrient Admixture (TNA) 3-in-1 formula</t>
        </is>
      </c>
      <c r="F23" s="2" t="inlineStr">
        <is>
          <t>Standard Polymeric Enteral Feeding formula (1 kcal/mL)</t>
        </is>
      </c>
      <c r="G23" s="2" t="inlineStr">
        <is>
          <t>Renal Enteral Formula (High calorie, Low electrolyte)</t>
        </is>
      </c>
      <c r="H23" s="2" t="inlineStr">
        <is>
          <t>Diabetic Enteral Formula (Low GI, High MUFA)</t>
        </is>
      </c>
      <c r="I23" s="8" t="inlineStr">
        <is>
          <t>1</t>
        </is>
      </c>
      <c r="J23" s="2" t="inlineStr">
        <is>
          <t>✅ คำตอบที่ถูกต้อง: ข้อ ก. Total Parenteral Nutrition (TPN) 2-in-1 formula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Total Parenteral Nutrition (TPN) 2-in-1 formula การเลือก Total Parenteral Nutrition (TPN) 2-in-1 formula เป็นคำตอบที่ถูกต้องและสอดคล้องกับ evidence-based guidelines ของภาวะ Clinical Nutrition โดยมี clinical efficacy สูงสุดในการรักษาและมี safety profile ที่เหมาะสม
🔍 ข้ออื่นผิดเพราะอะไร:
• ข้อ ข. (Total Nutrient Admixture (TNA) 3-in-1 formula): ข้อนี้ไม่ใช่คำตอบที่ถูกต้องสำหรับภาวะ Clinical Nutrition เนื่องจากกลไกการออกฤทธิ์, efficacy หรือข้อบ่งใช้ไม่ตรงกับโจทย์ที่กำหนด
• ข้อ ค. (Standard Polymeric Enteral Feeding formula (1 kcal/mL)): ข้อนี้ไม่ใช่คำตอบที่ถูกต้องสำหรับภาวะ Clinical Nutrition เนื่องจากกลไกการออกฤทธิ์, efficacy หรือข้อบ่งใช้ไม่ตรงกับโจทย์ที่กำหนด
• ข้อ ง. (Renal Enteral Formula (High calorie, Low electrolyte)): ข้อนี้ไม่ใช่คำตอบที่ถูกต้องสำหรับภาวะ Clinical Nutrition เนื่องจากกลไกการออกฤทธิ์, efficacy หรือข้อบ่งใช้ไม่ตรงกับโจทย์ที่กำหนด
• ข้อ จ. (Diabetic Enteral Formula (Low GI, High MUFA)):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2" t="n"/>
      <c r="L23" s="2" t="inlineStr">
        <is>
          <t>Clinical Nutrition</t>
        </is>
      </c>
      <c r="M23" s="2" t="inlineStr">
        <is>
          <t>Clinic</t>
        </is>
      </c>
      <c r="N23" s="2" t="inlineStr">
        <is>
          <t>ข้อ 49 (PLE_CC1_2557.md)</t>
        </is>
      </c>
      <c r="O23" s="2" t="inlineStr">
        <is>
          <t>ข้อสอบจริง</t>
        </is>
      </c>
      <c r="P23" s="2" t="inlineStr">
        <is>
          <t>ปี 2557</t>
        </is>
      </c>
    </row>
    <row r="24" ht="13.2" customHeight="1" s="37">
      <c r="A24" s="8" t="inlineStr">
        <is>
          <t>22</t>
        </is>
      </c>
      <c r="B24" s="2" t="inlineStr">
        <is>
          <t>การจ่ายยาชุดวิตามินรวม ให้เจ้าของสุนัขโดยผู้ช่วยสัตวแพทย์</t>
        </is>
      </c>
      <c r="C24" s="2" t="n"/>
      <c r="D24" s="2" t="inlineStr">
        <is>
          <t>Renal Enteral Formula (High calorie, Low electrolyte)</t>
        </is>
      </c>
      <c r="E24" s="2" t="inlineStr">
        <is>
          <t>Diabetic Enteral Formula (Low GI, High MUFA)</t>
        </is>
      </c>
      <c r="F24" s="2" t="inlineStr">
        <is>
          <t>Hepatic Enteral Formula with High BCAA</t>
        </is>
      </c>
      <c r="G24" s="2" t="inlineStr">
        <is>
          <t>Electrolyte &amp; Osmolarity adjustment for Peripheral Parenteral Nutrition (&lt;900 mOsm/L)</t>
        </is>
      </c>
      <c r="H24" s="2" t="inlineStr">
        <is>
          <t>Total Parenteral Nutrition (TPN) 2-in-1 formula</t>
        </is>
      </c>
      <c r="I24" s="8" t="inlineStr">
        <is>
          <t>1</t>
        </is>
      </c>
      <c r="J24" s="2" t="inlineStr">
        <is>
          <t>✅ คำตอบที่ถูกต้อง: ข้อ ก. Renal Enteral Formula (High calorie, Low electrolyte)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Renal Enteral Formula (High calorie, Low electrolyte) การเลือก Renal Enteral Formula (High calorie, Low electrolyte) เป็นคำตอบที่ถูกต้องและสอดคล้องกับ evidence-based guidelines ของภาวะ Clinical Nutrition โดยมี clinical efficacy สูงสุดในการรักษาและมี safety profile ที่เหมาะสม
🔍 ข้ออื่นผิดเพราะอะไร:
• ข้อ ข. (Diabetic Enteral Formula (Low GI, High MUFA)): ข้อนี้ไม่ใช่คำตอบที่ถูกต้องสำหรับภาวะ Clinical Nutrition เนื่องจากกลไกการออกฤทธิ์, efficacy หรือข้อบ่งใช้ไม่ตรงกับโจทย์ที่กำหนด
• ข้อ ค. (Hepatic Enteral Formula with High BCAA): ข้อนี้ไม่ใช่คำตอบที่ถูกต้องสำหรับภาวะ Clinical Nutrition เนื่องจากกลไกการออกฤทธิ์, efficacy หรือข้อบ่งใช้ไม่ตรงกับโจทย์ที่กำหนด
• ข้อ ง. (Electrolyte &amp; Osmolarity adjustment for Peripheral Parenteral Nutrition (&lt;900 mOsm/L)): ข้อนี้ไม่ใช่คำตอบที่ถูกต้องสำหรับภาวะ Clinical Nutrition เนื่องจากกลไกการออกฤทธิ์, efficacy หรือข้อบ่งใช้ไม่ตรงกับโจทย์ที่กำหนด
• ข้อ จ. (Total Parenteral Nutrition (TPN) 2-in-1 formula):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 s="2" t="n"/>
      <c r="L24" s="2" t="inlineStr">
        <is>
          <t>Clinical Nutrition</t>
        </is>
      </c>
      <c r="M24" s="2" t="inlineStr">
        <is>
          <t>Clinic</t>
        </is>
      </c>
      <c r="N24" s="2" t="inlineStr">
        <is>
          <t>ข้อ 2 (PLE_CC1_Key_Rx20_UBU.md)</t>
        </is>
      </c>
      <c r="O24" s="2" t="inlineStr">
        <is>
          <t>Mock</t>
        </is>
      </c>
      <c r="P24" s="2" t="inlineStr">
        <is>
          <t>Mock Rx20 UBU</t>
        </is>
      </c>
    </row>
    <row r="25" ht="13.2" customHeight="1" s="37">
      <c r="A25" s="8" t="inlineStr">
        <is>
          <t>23</t>
        </is>
      </c>
      <c r="B25" s="2" t="inlineStr">
        <is>
          <t>วิตามินใดที่ใช$ในการปนองกันอาการชาของผู$ป&amp;วย</t>
        </is>
      </c>
      <c r="C25" s="2" t="n"/>
      <c r="D25" s="2" t="inlineStr">
        <is>
          <t>Thaimine</t>
        </is>
      </c>
      <c r="E25" s="2" t="inlineStr">
        <is>
          <t>Pyridoxine</t>
        </is>
      </c>
      <c r="F25" s="2" t="inlineStr">
        <is>
          <t>Riboﬂavin</t>
        </is>
      </c>
      <c r="G25" s="2" t="inlineStr">
        <is>
          <t>Cyanocobalamine</t>
        </is>
      </c>
      <c r="H25" s="2" t="inlineStr">
        <is>
          <t>Niclotinamide</t>
        </is>
      </c>
      <c r="I25" s="8" t="inlineStr">
        <is>
          <t>2</t>
        </is>
      </c>
      <c r="J25" s="2" t="inlineStr">
        <is>
          <t>✅ คำตอบที่ถูกต้อง: ข้อ ข. Pyridoxine
💡 Background:
การบริบาลผู้ป่วยในกลุ่มโรค Clinical Nutrition มุ่งเน้นการควบคุมโรคและลดความเสี่ยงต่อภาวะแทรกซ้อนด้วย evidence-based pharmacotherapy
🎯 ทำไมข้อนี้ถึงถูก:
Pyridoxine การเลือก Pyridoxine เป็นคำตอบที่ถูกต้องและสอดคล้องกับ evidence-based guidelines ของภาวะ Clinical Nutrition โดยมี clinical efficacy สูงสุดในการรักษาและมี safety profile ที่เหมาะสม
🔍 ข้ออื่นผิดเพราะอะไร:
• ข้อ ก. (Thaimine): ข้อนี้ไม่ใช่คำตอบที่ถูกต้องสำหรับภาวะ Clinical Nutrition เนื่องจากกลไกการออกฤทธิ์, efficacy หรือข้อบ่งใช้ไม่ตรงกับโจทย์ที่กำหนด
• ข้อ ค. (Riboﬂavin): ข้อนี้ไม่ใช่คำตอบที่ถูกต้องสำหรับภาวะ Clinical Nutrition เนื่องจากกลไกการออกฤทธิ์, efficacy หรือข้อบ่งใช้ไม่ตรงกับโจทย์ที่กำหนด
• ข้อ ง. (Cyanocobalamine): ข้อนี้ไม่ใช่คำตอบที่ถูกต้องสำหรับภาวะ Clinical Nutrition เนื่องจากกลไกการออกฤทธิ์, efficacy หรือข้อบ่งใช้ไม่ตรงกับโจทย์ที่กำหนด
• ข้อ จ. (Niclotinamide): ข้อนี้ไม่ใช่คำตอบที่ถูกต้องสำหรับภาวะ Clinical Nutrition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2" t="n"/>
      <c r="L25" s="2" t="inlineStr">
        <is>
          <t>Clinical Nutrition</t>
        </is>
      </c>
      <c r="M25" s="2" t="inlineStr">
        <is>
          <t>Clinic</t>
        </is>
      </c>
      <c r="N25" s="2" t="inlineStr">
        <is>
          <t>ข้อ 15 (PLE_CC1_Key_Rx20_UBU.md)</t>
        </is>
      </c>
      <c r="O25" s="2" t="inlineStr">
        <is>
          <t>Mock</t>
        </is>
      </c>
      <c r="P25" s="2" t="inlineStr">
        <is>
          <t>Mock Rx20 UBU</t>
        </is>
      </c>
    </row>
  </sheetData>
  <mergeCells count="1">
    <mergeCell ref="A1:P1"/>
  </mergeCells>
  <pageMargins left="0.75" right="0.75" top="1" bottom="1" header="0.5" footer="0.5"/>
</worksheet>
</file>

<file path=xl/worksheets/sheet40.xml><?xml version="1.0" encoding="utf-8"?>
<worksheet xmlns="http://schemas.openxmlformats.org/spreadsheetml/2006/main">
  <sheetPr>
    <tabColor rgb="FF33994C"/>
    <outlinePr summaryBelow="0" summaryRight="0"/>
    <pageSetUpPr/>
  </sheetPr>
  <dimension ref="A1:Q87"/>
  <sheetViews>
    <sheetView workbookViewId="0">
      <selection activeCell="A1" sqref="A1"/>
    </sheetView>
  </sheetViews>
  <sheetFormatPr baseColWidth="8" defaultColWidth="12.6640625" defaultRowHeight="15.75" customHeight="1"/>
  <sheetData>
    <row r="1" ht="27" customHeight="1" s="37">
      <c r="A1" s="36">
        <f>HYPERLINK("#gid=0", "🏠 กลับสู่หน้าแรก (Go to Home Page)")</f>
        <v/>
      </c>
    </row>
    <row r="2" ht="21.6" customHeight="1" s="37">
      <c r="A2" s="33" t="inlineStr">
        <is>
          <t>ข้อที่</t>
        </is>
      </c>
      <c r="B2" s="33" t="inlineStr">
        <is>
          <t>คำถาม</t>
        </is>
      </c>
      <c r="C2" s="33" t="inlineStr">
        <is>
          <t>รูปถาม</t>
        </is>
      </c>
      <c r="D2" s="33" t="inlineStr">
        <is>
          <t>ตัวเลือก 1</t>
        </is>
      </c>
      <c r="E2" s="33" t="inlineStr">
        <is>
          <t>ตัวเลือก 2</t>
        </is>
      </c>
      <c r="F2" s="33" t="inlineStr">
        <is>
          <t>ตัวเลือก 3</t>
        </is>
      </c>
      <c r="G2" s="33" t="inlineStr">
        <is>
          <t>ตัวเลือก 4</t>
        </is>
      </c>
      <c r="H2" s="33" t="inlineStr">
        <is>
          <t>ตัวเลือก 5</t>
        </is>
      </c>
      <c r="I2" s="33" t="inlineStr">
        <is>
          <t>เฉลย (ตัวเลข 1-5)</t>
        </is>
      </c>
      <c r="J2" s="33" t="inlineStr">
        <is>
          <t>คำอธิบายเฉลย</t>
        </is>
      </c>
      <c r="K2" s="33" t="inlineStr">
        <is>
          <t>รูปเฉลย</t>
        </is>
      </c>
      <c r="L2" s="33" t="inlineStr">
        <is>
          <t>Filter หมวด/Subtopic</t>
        </is>
      </c>
      <c r="M2" s="33" t="inlineStr">
        <is>
          <t>Product / Clinic</t>
        </is>
      </c>
      <c r="N2" s="33" t="inlineStr">
        <is>
          <t>หมายเหตุ</t>
        </is>
      </c>
      <c r="O2" s="33" t="inlineStr">
        <is>
          <t>ประเภทข้อสอบ</t>
        </is>
      </c>
      <c r="P2" s="33" t="inlineStr">
        <is>
          <t>ปี / เลขชุด</t>
        </is>
      </c>
    </row>
    <row r="3" ht="13.2" customHeight="1" s="37">
      <c r="A3" s="8" t="inlineStr">
        <is>
          <t>2</t>
        </is>
      </c>
      <c r="B3"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สมุนไพรในข้อใดมีสารออกฤทธิ์สำหรับรักษาโรง gout</t>
        </is>
      </c>
      <c r="C3" s="2" t="n"/>
      <c r="D3" s="2" t="inlineStr">
        <is>
          <t>ระย่อม</t>
        </is>
      </c>
      <c r="E3" s="2" t="inlineStr">
        <is>
          <t>ไพล</t>
        </is>
      </c>
      <c r="F3" s="2" t="inlineStr">
        <is>
          <t>ขมิ้นชัน</t>
        </is>
      </c>
      <c r="G3" s="2" t="inlineStr">
        <is>
          <t>ดอกดึง</t>
        </is>
      </c>
      <c r="H3" s="2" t="inlineStr">
        <is>
          <t>เถาวัลย์เปรียง</t>
        </is>
      </c>
      <c r="I3" s="8" t="inlineStr">
        <is>
          <t>2</t>
        </is>
      </c>
      <c r="J3" s="2" t="inlineStr">
        <is>
          <t>✅ คำตอบที่ถูกต้อง: ข้อ ข. ไพล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ไพล การเลือก ไพล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ก. (Herbal Medicine &amp; Extract): ข้อนี้ไม่ใช่คำตอบที่ถูกต้องสำหรับภาวะ Herbal Extraction methods เนื่องจากกลไกการออกฤทธิ์, efficacy หรือข้อบ่งใช้ไม่ตรงกับโจทย์ที่กำหนด
• ข้อ ข. (ระย่อม): ข้อนี้ไม่ใช่คำตอบที่ถูกต้องสำหรับภาวะ Herbal Extraction methods เนื่องจากกลไกการออกฤทธิ์, efficacy หรือข้อบ่งใช้ไม่ตรงกับโจทย์ที่กำหนด
• ข้อ ง.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จ. (ดอกดึง):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2" t="n"/>
      <c r="L3" s="2" t="inlineStr">
        <is>
          <t>Herbal Extraction methods</t>
        </is>
      </c>
      <c r="M3" s="2" t="inlineStr">
        <is>
          <t>Herbal Medicine &amp; Extract</t>
        </is>
      </c>
      <c r="N3" s="2" t="inlineStr">
        <is>
          <t>Mock PLE-CC 1 ข้อ 12</t>
        </is>
      </c>
      <c r="O3" s="2" t="inlineStr">
        <is>
          <t>Mock</t>
        </is>
      </c>
      <c r="P3" s="2" t="inlineStr">
        <is>
          <t>Mock RxCU83</t>
        </is>
      </c>
      <c r="Q3" s="2" t="n"/>
    </row>
    <row r="4" ht="13.2" customHeight="1" s="37">
      <c r="A4" s="8" t="inlineStr">
        <is>
          <t>3</t>
        </is>
      </c>
      <c r="B4"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Reserpine เป็นสารธรรมชาติที่นำมาใช้บำบัดภาวะความดันโลหิตสูง พบในพืชชนิดใด</t>
        </is>
      </c>
      <c r="C4" s="2" t="n"/>
      <c r="D4" s="2" t="inlineStr">
        <is>
          <t>ระย่อม</t>
        </is>
      </c>
      <c r="E4" s="2" t="inlineStr">
        <is>
          <t>พริกไทย</t>
        </is>
      </c>
      <c r="F4" s="2" t="inlineStr">
        <is>
          <t>กาแฟ</t>
        </is>
      </c>
      <c r="G4" s="2" t="inlineStr">
        <is>
          <t>โคคา</t>
        </is>
      </c>
      <c r="H4" s="2" t="inlineStr">
        <is>
          <t>เถาวัลย์เปรียง</t>
        </is>
      </c>
      <c r="I4" s="8" t="inlineStr">
        <is>
          <t>1</t>
        </is>
      </c>
      <c r="J4" s="2" t="inlineStr">
        <is>
          <t>✅ คำตอบที่ถูกต้อง: ข้อ ก. ระย่อม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(ระย่อม): ข้อนี้ไม่ใช่คำตอบที่ถูกต้องสำหรับภาวะ Herbal Extraction methods เนื่องจากกลไกการออกฤทธิ์, efficacy หรือข้อบ่งใช้ไม่ตรงกับโจทย์ที่กำหนด
• ข้อ ค. (พริกไทย): ข้อนี้ไม่ใช่คำตอบที่ถูกต้องสำหรับภาวะ Herbal Extraction methods เนื่องจากกลไกการออกฤทธิ์, efficacy หรือข้อบ่งใช้ไม่ตรงกับโจทย์ที่กำหนด
• ข้อ ง. (กาแฟ): ข้อนี้ไม่ใช่คำตอบที่ถูกต้องสำหรับภาวะ Herbal Extraction methods เนื่องจากกลไกการออกฤทธิ์, efficacy หรือข้อบ่งใช้ไม่ตรงกับโจทย์ที่กำหนด
• ข้อ จ. (โคคา):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2" t="n"/>
      <c r="L4" s="2" t="inlineStr">
        <is>
          <t>Herbal Extraction methods</t>
        </is>
      </c>
      <c r="M4" s="2" t="inlineStr">
        <is>
          <t>Herbal Medicine &amp; Extract</t>
        </is>
      </c>
      <c r="N4" s="2" t="inlineStr">
        <is>
          <t>Mock PLE-CC 1 ข้อ 24</t>
        </is>
      </c>
      <c r="O4" s="2" t="inlineStr">
        <is>
          <t>Mock</t>
        </is>
      </c>
      <c r="P4" s="2" t="inlineStr">
        <is>
          <t>Mock RxCU83</t>
        </is>
      </c>
      <c r="Q4" s="2" t="n"/>
    </row>
    <row r="5" ht="13.2" customHeight="1" s="37">
      <c r="A5" s="8" t="inlineStr">
        <is>
          <t>4</t>
        </is>
      </c>
      <c r="B5"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สมุนไพรต่างประเทศต่อไปนี้ ชนิดใดมีผลช่วยขยายหลอดเลือด ลดความดันโลหิต</t>
        </is>
      </c>
      <c r="C5" s="2" t="n"/>
      <c r="D5" s="2" t="inlineStr">
        <is>
          <t>Horse Chestnut</t>
        </is>
      </c>
      <c r="E5" s="2" t="inlineStr">
        <is>
          <t>Hawthorn</t>
        </is>
      </c>
      <c r="F5" s="2" t="inlineStr">
        <is>
          <t>Ginkgo</t>
        </is>
      </c>
      <c r="G5" s="2" t="inlineStr">
        <is>
          <t>ฮ่วยฮวย</t>
        </is>
      </c>
      <c r="H5" s="2" t="inlineStr">
        <is>
          <t>St.John's wort</t>
        </is>
      </c>
      <c r="I5" s="8" t="inlineStr">
        <is>
          <t>1</t>
        </is>
      </c>
      <c r="J5" s="2" t="inlineStr">
        <is>
          <t>✅ คำตอบที่ถูกต้อง: ข้อ ก. Horse Chestnut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(Horse Chestnut): ข้อนี้ไม่ใช่คำตอบที่ถูกต้องสำหรับภาวะ Herbal Extraction methods เนื่องจากกลไกการออกฤทธิ์, efficacy หรือข้อบ่งใช้ไม่ตรงกับโจทย์ที่กำหนด
• ข้อ ค. (Hawthorn): ข้อนี้ไม่ใช่คำตอบที่ถูกต้องสำหรับภาวะ Herbal Extraction methods เนื่องจากกลไกการออกฤทธิ์, efficacy หรือข้อบ่งใช้ไม่ตรงกับโจทย์ที่กำหนด
• ข้อ ง. (Ginkgo): ข้อนี้ไม่ใช่คำตอบที่ถูกต้องสำหรับภาวะ Herbal Extraction methods เนื่องจากกลไกการออกฤทธิ์, efficacy หรือข้อบ่งใช้ไม่ตรงกับโจทย์ที่กำหนด
• ข้อ จ. (ฮ่วยฮวย):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5" s="2" t="n"/>
      <c r="L5" s="2" t="inlineStr">
        <is>
          <t>Herbal Extraction methods</t>
        </is>
      </c>
      <c r="M5" s="2" t="inlineStr">
        <is>
          <t>Herbal Medicine &amp; Extract</t>
        </is>
      </c>
      <c r="N5" s="2" t="inlineStr">
        <is>
          <t>Mock PLE-CC 1 ข้อ 25</t>
        </is>
      </c>
      <c r="O5" s="2" t="inlineStr">
        <is>
          <t>Mock</t>
        </is>
      </c>
      <c r="P5" s="2" t="inlineStr">
        <is>
          <t>Mock RxCU83</t>
        </is>
      </c>
      <c r="Q5" s="2" t="n"/>
    </row>
    <row r="6" ht="13.2" customHeight="1" s="37">
      <c r="A6" s="8" t="inlineStr">
        <is>
          <t>5</t>
        </is>
      </c>
      <c r="B6" s="2" t="inlineStr">
        <is>
          <t>ยาพัฒนาจากสมุนไพรช่วยขับปัสสาวะใด
ที่มีโอกาสเสริมฤทธิ์กับยาลดระดับน ้าตาลในเลือดแบบกินหรือยาฉีดอินซูลิน</t>
        </is>
      </c>
      <c r="C6" s="2" t="n"/>
      <c r="D6" s="2" t="inlineStr">
        <is>
          <t>ยาหญ้าหนวดแมว</t>
        </is>
      </c>
      <c r="E6" s="2" t="inlineStr">
        <is>
          <t>ยากระเจี๊ยบแดง</t>
        </is>
      </c>
      <c r="F6" s="2" t="inlineStr">
        <is>
          <t>ยารางจืด</t>
        </is>
      </c>
      <c r="G6" s="2" t="inlineStr">
        <is>
          <t>ยาหญ้าปักกิ่ง</t>
        </is>
      </c>
      <c r="H6" s="2" t="inlineStr">
        <is>
          <t>ยาหญ้าดอกขาว</t>
        </is>
      </c>
      <c r="I6" s="8" t="inlineStr">
        <is>
          <t>1</t>
        </is>
      </c>
      <c r="J6" s="2" t="inlineStr">
        <is>
          <t>✅ คำตอบที่ถูกต้อง: ข้อ ก. ยาหญ้าหนวดแมว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ยาหญ้าหนวดแมว การเลือก ยาหญ้าหนวดแมว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ก. (Herbal Medicine &amp; Extract): ข้อนี้ไม่ใช่คำตอบที่ถูกต้องสำหรับภาวะ Herbal Extraction methods เนื่องจากกลไกการออกฤทธิ์, efficacy หรือข้อบ่งใช้ไม่ตรงกับโจทย์ที่กำหนด
• ข้อ ค. (ยากระเจี๊ยบแดง): ข้อนี้ไม่ใช่คำตอบที่ถูกต้องสำหรับภาวะ Herbal Extraction methods เนื่องจากกลไกการออกฤทธิ์, efficacy หรือข้อบ่งใช้ไม่ตรงกับโจทย์ที่กำหนด
• ข้อ ง. (ยารางจืด): ข้อนี้ไม่ใช่คำตอบที่ถูกต้องสำหรับภาวะ Herbal Extraction methods เนื่องจากกลไกการออกฤทธิ์, efficacy หรือข้อบ่งใช้ไม่ตรงกับโจทย์ที่กำหนด
• ข้อ จ. (ยาหญ้าปักกิ่ง):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n"/>
      <c r="L6" s="2" t="inlineStr">
        <is>
          <t>Herbal Extraction methods</t>
        </is>
      </c>
      <c r="M6" s="2" t="inlineStr">
        <is>
          <t>Herbal Medicine &amp; Extract</t>
        </is>
      </c>
      <c r="N6" s="2" t="inlineStr">
        <is>
          <t>Mock PLE-CC 1 ข้อ 40</t>
        </is>
      </c>
      <c r="O6" s="2" t="inlineStr">
        <is>
          <t>Mock</t>
        </is>
      </c>
      <c r="P6" s="2" t="inlineStr">
        <is>
          <t>Mock RxCU83</t>
        </is>
      </c>
      <c r="Q6" s="2" t="n"/>
    </row>
    <row r="7" ht="13.2" customHeight="1" s="37">
      <c r="A7" s="8" t="inlineStr">
        <is>
          <t>6</t>
        </is>
      </c>
      <c r="B7" s="2" t="inlineStr">
        <is>
          <t>เริม ใช้ยาสมุนไพรอะไร</t>
        </is>
      </c>
      <c r="C7" s="2" t="n"/>
      <c r="D7" s="2" t="inlineStr">
        <is>
          <t>ยาพญายอ</t>
        </is>
      </c>
      <c r="E7" s="2" t="inlineStr">
        <is>
          <t>ยาเปลือกมังคุด</t>
        </is>
      </c>
      <c r="F7" s="2" t="inlineStr">
        <is>
          <t>ยาบัวบก</t>
        </is>
      </c>
      <c r="G7" s="2" t="inlineStr">
        <is>
          <t>ยาทิงเจอร์พลู</t>
        </is>
      </c>
      <c r="H7" s="2" t="inlineStr">
        <is>
          <t>ยาทิงเจอร์พลูทองพันชั่ง</t>
        </is>
      </c>
      <c r="I7" s="8" t="inlineStr">
        <is>
          <t>1</t>
        </is>
      </c>
      <c r="J7" s="2" t="inlineStr">
        <is>
          <t>✅ คำตอบที่ถูกต้อง: ข้อ ก. ยาพญายอ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(ยาพญายอ): ข้อนี้ไม่ใช่คำตอบที่ถูกต้องสำหรับภาวะ Herbal Extraction methods เนื่องจากกลไกการออกฤทธิ์, efficacy หรือข้อบ่งใช้ไม่ตรงกับโจทย์ที่กำหนด
• ข้อ ค. (ยาเปลือกมังคุด):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ง. (ยาบัวบก): ข้อนี้ไม่ใช่คำตอบที่ถูกต้องสำหรับภาวะ Herbal Extraction methods เนื่องจากกลไกการออกฤทธิ์, efficacy หรือข้อบ่งใช้ไม่ตรงกับโจทย์ที่กำหนด
• ข้อ จ. (ยาทิงเจอร์พลู):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Herbal Extraction methods</t>
        </is>
      </c>
      <c r="M7" s="2" t="inlineStr">
        <is>
          <t>Herbal Medicine &amp; Extract</t>
        </is>
      </c>
      <c r="N7" s="2" t="inlineStr">
        <is>
          <t>Mock PLE-CC 1 ข้อ 130</t>
        </is>
      </c>
      <c r="O7" s="2" t="inlineStr">
        <is>
          <t>Mock</t>
        </is>
      </c>
      <c r="P7" s="2" t="inlineStr">
        <is>
          <t>Mock RxCU83</t>
        </is>
      </c>
      <c r="Q7" s="2" t="n"/>
    </row>
    <row r="8" ht="13.2" customHeight="1" s="37">
      <c r="A8" s="8" t="inlineStr">
        <is>
          <t>7</t>
        </is>
      </c>
      <c r="B8" s="2" t="inlineStr">
        <is>
          <t>ใช้ส่วนของสมุนไพรอะไรในการรักษา</t>
        </is>
      </c>
      <c r="C8" s="2" t="n"/>
      <c r="D8" s="2" t="inlineStr">
        <is>
          <t>ใบ</t>
        </is>
      </c>
      <c r="E8" s="2" t="inlineStr">
        <is>
          <t>เถา</t>
        </is>
      </c>
      <c r="F8" s="2" t="inlineStr">
        <is>
          <t>ราก</t>
        </is>
      </c>
      <c r="G8" s="2" t="inlineStr">
        <is>
          <t>เมล็ด</t>
        </is>
      </c>
      <c r="H8" s="2" t="inlineStr">
        <is>
          <t>เปลือกผล</t>
        </is>
      </c>
      <c r="I8" s="8" t="inlineStr">
        <is>
          <t>1</t>
        </is>
      </c>
      <c r="J8" s="2" t="inlineStr">
        <is>
          <t>✅ คำตอบที่ถูกต้อง: ข้อ ก. ใบ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(ใบ): ข้อนี้ไม่ใช่คำตอบที่ถูกต้องสำหรับภาวะ Herbal Extraction methods เนื่องจากกลไกการออกฤทธิ์, efficacy หรือข้อบ่งใช้ไม่ตรงกับโจทย์ที่กำหนด
• ข้อ ค. (เถา): ข้อนี้ไม่ใช่คำตอบที่ถูกต้องสำหรับภาวะ Herbal Extraction methods เนื่องจากกลไกการออกฤทธิ์, efficacy หรือข้อบ่งใช้ไม่ตรงกับโจทย์ที่กำหนด
• ข้อ ง. (ราก): ข้อนี้ไม่ใช่คำตอบที่ถูกต้องสำหรับภาวะ Herbal Extraction methods เนื่องจากกลไกการออกฤทธิ์, efficacy หรือข้อบ่งใช้ไม่ตรงกับโจทย์ที่กำหนด
• ข้อ จ. (เมล็ด):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Herbal Extraction methods</t>
        </is>
      </c>
      <c r="M8" s="2" t="inlineStr">
        <is>
          <t>Herbal Medicine &amp; Extract</t>
        </is>
      </c>
      <c r="N8" s="2" t="inlineStr">
        <is>
          <t>Mock PLE-CC 1 ข้อ 131</t>
        </is>
      </c>
      <c r="O8" s="2" t="inlineStr">
        <is>
          <t>Mock</t>
        </is>
      </c>
      <c r="P8" s="2" t="inlineStr">
        <is>
          <t>Mock RxCU83</t>
        </is>
      </c>
      <c r="Q8" s="2" t="n"/>
    </row>
    <row r="9" ht="13.2" customHeight="1" s="37">
      <c r="A9" s="8" t="inlineStr">
        <is>
          <t>8</t>
        </is>
      </c>
      <c r="B9" s="2" t="inlineStr">
        <is>
          <t>สามารถใช้สมุนไพรใดในการรักษาอาการนอนไม่หลับ ตามบัญชียาสมุนไพรแห่งชาติ ปี 2566</t>
        </is>
      </c>
      <c r="C9" s="2" t="n"/>
      <c r="D9" s="2" t="inlineStr">
        <is>
          <t>เถาวัลย์เปรียง</t>
        </is>
      </c>
      <c r="E9" s="2" t="inlineStr">
        <is>
          <t>อบเชย</t>
        </is>
      </c>
      <c r="F9" s="2" t="inlineStr">
        <is>
          <t>น้ำมันกัญชาทั้งห้า</t>
        </is>
      </c>
      <c r="G9" s="2" t="inlineStr">
        <is>
          <t>สารสกัดขี้เหล็ก</t>
        </is>
      </c>
      <c r="H9" s="2" t="inlineStr">
        <is>
          <t>ประสะมะแว้ง ปวดกลามเนอ ปวดขอ ลดอกเสบ ขบลม ใชไดแตไมอยในบญชยาหลกแหงชาต ไอ PLE-PC1 Preparation 2567</t>
        </is>
      </c>
      <c r="I9" s="8" t="inlineStr">
        <is>
          <t>1</t>
        </is>
      </c>
      <c r="J9" s="2" t="inlineStr">
        <is>
          <t>✅ คำตอบที่ถูกต้อง: ข้อ ก. เถาวัลย์เปรียง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(เถาวัลย์เปรียง): ข้อนี้ไม่ใช่คำตอบที่ถูกต้องสำหรับภาวะ Herbal Extraction methods เนื่องจากกลไกการออกฤทธิ์, efficacy หรือข้อบ่งใช้ไม่ตรงกับโจทย์ที่กำหนด
• ข้อ ค. (อบเชย): ข้อนี้ไม่ใช่คำตอบที่ถูกต้องสำหรับภาวะ Herbal Extraction methods เนื่องจากกลไกการออกฤทธิ์, efficacy หรือข้อบ่งใช้ไม่ตรงกับโจทย์ที่กำหนด
• ข้อ ง. (น้ำมันกัญชาทั้งห้า): ข้อนี้ไม่ใช่คำตอบที่ถูกต้องสำหรับภาวะ Herbal Extraction methods เนื่องจากกลไกการออกฤทธิ์, efficacy หรือข้อบ่งใช้ไม่ตรงกับโจทย์ที่กำหนด
• ข้อ จ. (สารสกัดขี้เหล็ก):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n"/>
      <c r="L9" s="2" t="inlineStr">
        <is>
          <t>Herbal Extraction methods</t>
        </is>
      </c>
      <c r="M9" s="2" t="inlineStr">
        <is>
          <t>Herbal Medicine &amp; Extract</t>
        </is>
      </c>
      <c r="N9" s="2" t="inlineStr">
        <is>
          <t>PLE_CC1_2567_Key ข้อ 21</t>
        </is>
      </c>
      <c r="O9" s="2" t="inlineStr">
        <is>
          <t>ข้อสอบจริง</t>
        </is>
      </c>
      <c r="P9" s="2" t="inlineStr">
        <is>
          <t>ปี 2567</t>
        </is>
      </c>
      <c r="Q9" s="2" t="n"/>
    </row>
    <row r="10" ht="13.2" customHeight="1" s="37">
      <c r="A10" s="8" t="inlineStr">
        <is>
          <t>9</t>
        </is>
      </c>
      <c r="B10" s="2" t="inlineStr">
        <is>
          <t>สมุนไพรใดต่อไปนี้ สามารถใช้รักษาเชื้อราได้ แนะนำให้ใช้ 2-4 สัปดาห์ก่อน หากไม่ดีขึ้นให้พิจารณาเปลี่ยนยา ต้องมีโครงสร้างของ imidazole ring</t>
        </is>
      </c>
      <c r="C10" s="2" t="n"/>
      <c r="D10" s="2" t="inlineStr">
        <is>
          <t>ทิงเจอร์ทองพันชั่ง</t>
        </is>
      </c>
      <c r="E10" s="2" t="inlineStr">
        <is>
          <t>โลชั่นเสลดพังพอน</t>
        </is>
      </c>
      <c r="F10" s="2" t="inlineStr">
        <is>
          <t>ทิงเจอร์ไพล</t>
        </is>
      </c>
      <c r="G10" s="2" t="inlineStr">
        <is>
          <t>ครีมใบบัวบก</t>
        </is>
      </c>
      <c r="H10" s="2" t="inlineStr">
        <is>
          <t>ครีมเม็ดน้อยหน่า</t>
        </is>
      </c>
      <c r="I10" s="8" t="inlineStr">
        <is>
          <t>1</t>
        </is>
      </c>
      <c r="J10" s="2" t="inlineStr">
        <is>
          <t>✅ คำตอบที่ถูกต้อง: ข้อ ก. ทิงเจอร์ทองพันชั่ง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(ทิงเจอร์ทองพันชั่ง):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ข้อ ค. (โลชั่นเสลดพังพอน): ข้อนี้ไม่ใช่คำตอบที่ถูกต้องสำหรับภาวะ Herbal Extraction methods เนื่องจากกลไกการออกฤทธิ์, efficacy หรือข้อบ่งใช้ไม่ตรงกับโจทย์ที่กำหนด
• ข้อ ง. (ทิงเจอร์ไพล): ข้อนี้ไม่ใช่คำตอบที่ถูกต้องสำหรับภาวะ Herbal Extraction methods เนื่องจากกลไกการออกฤทธิ์, efficacy หรือข้อบ่งใช้ไม่ตรงกับโจทย์ที่กำหนด
• ข้อ จ. (ครีมใบบัวบก):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Herbal Extraction methods</t>
        </is>
      </c>
      <c r="M10" s="2" t="inlineStr">
        <is>
          <t>Herbal Medicine &amp; Extract</t>
        </is>
      </c>
      <c r="N10" s="2" t="inlineStr">
        <is>
          <t>PLE_CC1_2567_Key ข้อ 42</t>
        </is>
      </c>
      <c r="O10" s="2" t="inlineStr">
        <is>
          <t>ข้อสอบจริง</t>
        </is>
      </c>
      <c r="P10" s="2" t="inlineStr">
        <is>
          <t>ปี 2567</t>
        </is>
      </c>
      <c r="Q10" s="2" t="n"/>
    </row>
    <row r="11" ht="13.2" customHeight="1" s="37">
      <c r="A11" s="8" t="inlineStr">
        <is>
          <t>10</t>
        </is>
      </c>
      <c r="B11" s="2"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 (พญายอ) เรม งสวด ← แกปวด บวม ฟกช X แผลไฟไหม นรอนลวก X เหา X สมนไพรรกษาเชอรา พล ทองพนชง (บญชยาหลก) ขา กระเทยม ชมเหดเทศ สาเหต hyperthyroid — 60-80% เปน Graves’ disease | 15% Toxic multinodular goiter จาก 2018 European Thyroid Association Guideline for the Management of Graves’ Hyperthyroidism แนะน ATD (anti-thyroid drugs) เปน First line สหรบ GD</t>
        </is>
      </c>
      <c r="C11" s="2" t="n"/>
      <c r="D11" s="2" t="inlineStr">
        <is>
          <t>ให้กินยาจนครบคอร์ส 6-8 เดือน ห้ามหยุดยาเอง ก่อนปรึกษาแพทย์</t>
        </is>
      </c>
      <c r="E11" s="2" t="inlineStr">
        <is>
          <t>ยาอาจทำให้ง่วงซึม หลีกเลี่ยงการขับขี่ยานพาหนะหรือทำงานเครื่องจักร</t>
        </is>
      </c>
      <c r="F11" s="2" t="inlineStr">
        <is>
          <t>หลีกเลี่ยงการออกแดดหรือให้ทาครีมกันแดด เมื่อจำเป็น</t>
        </is>
      </c>
      <c r="G11" s="2" t="inlineStr">
        <is>
          <t>หากมีอาการ ไข้ เจ็บคอ มีแผลในปาก ควรหยุดยาแล้วมาพบแพทย์ทันที</t>
        </is>
      </c>
      <c r="H11" s="2" t="inlineStr">
        <is>
          <t>หากมีผื่นขึ้นแม้เพียงเล็กน้อย ให้หยุดยาทันที X - optimum duration = 12-18 เดอน - monitor ทกๆ 3-4 สปดาห X PTU and Methimazole α X } concurrent with antihistamine neutrophil count &lt; 500 อาการ : ไข, เจบคอ, แผลในปาก Manage : stop medication pending on CBC PLE-PC1 Preparation 2567</t>
        </is>
      </c>
      <c r="I11" s="8" t="inlineStr">
        <is>
          <t>1</t>
        </is>
      </c>
      <c r="J11" s="2" t="inlineStr">
        <is>
          <t>✅ คำตอบที่ถูกต้อง: ข้อ ก. ให้กินยาจนครบคอร์ส 6-8 เดือน ห้ามหยุดยาเอง ก่อนปรึกษาแพทย์
💡 Background:
ภาวะ acute poisoning ต้องได้รับการประเมิน supportive care ควบคู่กับการให้ specific antidote อย่างทันท่วงที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(ให้กินยาจนครบคอร์ส 6-8 เดือน ห้ามหยุดยาเอง ก่อนปรึกษาแพทย์): ข้อนี้ไม่ใช่คำตอบที่ถูกต้องสำหรับภาวะ Herbal Extraction methods เนื่องจากกลไกการออกฤทธิ์, efficacy หรือข้อบ่งใช้ไม่ตรงกับโจทย์ที่กำหนด
• ข้อ ค. (ยาอาจทำให้ง่วงซึม หลีกเลี่ยงการขับขี่ยานพาหนะหรือทำงานเครื่องจักร): ข้อนี้ไม่ใช่คำตอบที่ถูกต้องสำหรับภาวะ Herbal Extraction methods เนื่องจากกลไกการออกฤทธิ์, efficacy หรือข้อบ่งใช้ไม่ตรงกับโจทย์ที่กำหนด
• ข้อ ง. (หลีกเลี่ยงการออกแดดหรือให้ทาครีมกันแดด เมื่อจำเป็น): ข้อนี้ไม่ใช่คำตอบที่ถูกต้องสำหรับภาวะ Herbal Extraction methods เนื่องจากกลไกการออกฤทธิ์, efficacy หรือข้อบ่งใช้ไม่ตรงกับโจทย์ที่กำหนด
• ข้อ จ. (หากมีอาการ ไข้ เจ็บคอ มีแผลในปาก ควรหยุดยาแล้วมาพบแพทย์ทันที):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1" s="2" t="n"/>
      <c r="L11" s="2" t="inlineStr">
        <is>
          <t>Herbal Extraction methods</t>
        </is>
      </c>
      <c r="M11" s="2" t="inlineStr">
        <is>
          <t>Herbal Medicine &amp; Extract</t>
        </is>
      </c>
      <c r="N11" s="2" t="inlineStr">
        <is>
          <t>PLE_CC1_2567_Key ข้อ 43</t>
        </is>
      </c>
      <c r="O11" s="2" t="inlineStr">
        <is>
          <t>ข้อสอบจริง</t>
        </is>
      </c>
      <c r="P11" s="2" t="inlineStr">
        <is>
          <t>ปี 2567</t>
        </is>
      </c>
      <c r="Q11" s="2" t="n"/>
    </row>
    <row r="12" ht="13.2" customHeight="1" s="37">
      <c r="A12" s="8" t="inlineStr">
        <is>
          <t>11</t>
        </is>
      </c>
      <c r="B12" s="2" t="inlineStr">
        <is>
          <t>สมุนไพรใดต่อไปนี้ สามารถใช้รักษาเชื้อราได้ ลองหาข้อมูลแล้วไม่พบการเกิดปฏิกิริยาดังกล่าว ชายไทย 25 ปี ไปพบแพทย์ด้วยมีผื่นขึ้นที่บริเวณหัวไหล่ 1 วง ขนาดเส้นผ่านศูนย์กลาง 2 ซม. โดยมีเกร็ด สีขาวที่ผื่น บริเวณกลางผื่นเป็นผื่นลักษณะปกติ มีอาการคัน ไม่แพ้ยาและไม่มีโรคประจำตัว</t>
        </is>
      </c>
      <c r="C12" s="2" t="n"/>
      <c r="D12" s="2" t="inlineStr">
        <is>
          <t>Herbal Medicine &amp; Extract</t>
        </is>
      </c>
      <c r="E12" s="2" t="inlineStr">
        <is>
          <t>Gingerol quantification in Zingiber officinale</t>
        </is>
      </c>
      <c r="F12" s="2" t="inlineStr">
        <is>
          <t>Maceration with Ethanol 70% solvent</t>
        </is>
      </c>
      <c r="G12" s="2" t="inlineStr">
        <is>
          <t>Soxhlet Extraction for heat-stable phytochemicals</t>
        </is>
      </c>
      <c r="H12" s="2" t="inlineStr">
        <is>
          <t>Supercritical Fluid Extraction (SFE-CO2)</t>
        </is>
      </c>
      <c r="I12" s="8" t="inlineStr">
        <is>
          <t>1</t>
        </is>
      </c>
      <c r="J12"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ง.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จ.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Herbal Extraction methods</t>
        </is>
      </c>
      <c r="M12" s="2" t="inlineStr">
        <is>
          <t>Herbal Medicine &amp; Extract</t>
        </is>
      </c>
      <c r="N12" s="2" t="inlineStr">
        <is>
          <t>PLE_CC1_2567_Set1_Key ข้อ 42</t>
        </is>
      </c>
      <c r="O12" s="2" t="inlineStr">
        <is>
          <t>ข้อสอบจริง</t>
        </is>
      </c>
      <c r="P12" s="2" t="inlineStr">
        <is>
          <t>ปี 2567</t>
        </is>
      </c>
    </row>
    <row r="13" ht="13.2" customHeight="1" s="37">
      <c r="A13" s="8" t="inlineStr">
        <is>
          <t>12</t>
        </is>
      </c>
      <c r="B13" s="2" t="inlineStr">
        <is>
          <t>ร้านขายยาแผนปัจจุบันมียาสมุนไพรที่เขียนว่าขายได้เฉพาะสถานที่ที่มีใบอนุญาตขายได้หรือไม่เพราะอะไร ตัวเลือก</t>
        </is>
      </c>
      <c r="C13" s="2" t="n"/>
      <c r="D13" s="2" t="inlineStr">
        <is>
          <t>Herbal Medicine &amp; Extract</t>
        </is>
      </c>
      <c r="E13" s="2" t="inlineStr">
        <is>
          <t>Supercritical Fluid Extraction (SFE-CO2)</t>
        </is>
      </c>
      <c r="F13" s="2" t="inlineStr">
        <is>
          <t>Standardized Curcuminoids in Curcuma longa</t>
        </is>
      </c>
      <c r="G13" s="2" t="inlineStr">
        <is>
          <t>Standardized Andrographolide in Andrographis paniculata</t>
        </is>
      </c>
      <c r="H13" s="2" t="inlineStr">
        <is>
          <t>Senna glycosides (Sennosides A &amp; B) Extraction</t>
        </is>
      </c>
      <c r="I13" s="8" t="inlineStr">
        <is>
          <t>1</t>
        </is>
      </c>
      <c r="J13"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n"/>
      <c r="L13" s="2" t="inlineStr">
        <is>
          <t>Herbal Extraction methods</t>
        </is>
      </c>
      <c r="M13" s="2" t="inlineStr">
        <is>
          <t>Herbal Medicine &amp; Extract</t>
        </is>
      </c>
      <c r="N13" s="2" t="inlineStr">
        <is>
          <t>PLE-CC1 ปี 2566 Day 2 ข้อ 61</t>
        </is>
      </c>
      <c r="O13" s="2" t="inlineStr">
        <is>
          <t>ข้อสอบจริง</t>
        </is>
      </c>
      <c r="P13" s="2" t="inlineStr">
        <is>
          <t>ปี 2566</t>
        </is>
      </c>
    </row>
    <row r="14" ht="13.2" customHeight="1" s="37">
      <c r="A14" s="8" t="inlineStr">
        <is>
          <t>13</t>
        </is>
      </c>
      <c r="B14" s="2" t="inlineStr">
        <is>
          <t>ไม่ได้เพราะไม่มีใบอนุญาตขายผลิตภัณฑ์สมุนไพร</t>
        </is>
      </c>
      <c r="C14" s="2" t="n"/>
      <c r="D14" s="2" t="inlineStr">
        <is>
          <t>Herbal Medicine &amp; Extract</t>
        </is>
      </c>
      <c r="E14" s="2" t="inlineStr">
        <is>
          <t>Senna glycosides (Sennosides A &amp; B) Extraction</t>
        </is>
      </c>
      <c r="F14" s="2" t="inlineStr">
        <is>
          <t>Centella asiatica (Madecassoside &amp; Asiaticoside)</t>
        </is>
      </c>
      <c r="G14" s="2" t="inlineStr">
        <is>
          <t>Gingerol quantification in Zingiber officinale</t>
        </is>
      </c>
      <c r="H14" s="2" t="inlineStr">
        <is>
          <t>Maceration with Ethanol 70% solvent</t>
        </is>
      </c>
      <c r="I14" s="8" t="inlineStr">
        <is>
          <t>1</t>
        </is>
      </c>
      <c r="J14"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(Senna glycosides (Sennosides A &amp; B) Extraction): เป็น Anthraquinone stimulant laxative กระตุ้น myenteric plexus แต่การใช้ระยะยาวอาจทำให้เกิด melanosis coli และ bowel dependence
• ข้อ ค.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ง.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จ.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2" t="n"/>
      <c r="L14" s="2" t="inlineStr">
        <is>
          <t>Herbal Extraction methods</t>
        </is>
      </c>
      <c r="M14" s="2" t="inlineStr">
        <is>
          <t>Herbal Medicine &amp; Extract</t>
        </is>
      </c>
      <c r="N14" s="2" t="inlineStr">
        <is>
          <t>PLE-CC1 ปี 2566 Day 2 ข้อ 1</t>
        </is>
      </c>
      <c r="O14" s="2" t="inlineStr">
        <is>
          <t>ข้อสอบจริง</t>
        </is>
      </c>
      <c r="P14" s="2" t="inlineStr">
        <is>
          <t>ปี 2566</t>
        </is>
      </c>
    </row>
    <row r="15" ht="13.2" customHeight="1" s="37">
      <c r="A15" s="8" t="inlineStr">
        <is>
          <t>14</t>
        </is>
      </c>
      <c r="B15" s="2" t="inlineStr">
        <is>
          <t>สมุนไพรใดที่ใชลดน้ำตาลในเลือดไดโดยมีหลักฐานทางวิชาการยืนยัน</t>
        </is>
      </c>
      <c r="C15" s="2" t="n"/>
      <c r="D15" s="2" t="inlineStr">
        <is>
          <t>มะระขี้นก</t>
        </is>
      </c>
      <c r="E15" s="2" t="inlineStr">
        <is>
          <t>ดอกแค</t>
        </is>
      </c>
      <c r="F15" s="2" t="inlineStr">
        <is>
          <t>ใบขี้เหล็ก</t>
        </is>
      </c>
      <c r="G15" s="2" t="inlineStr">
        <is>
          <t>ทองพันชั่ง</t>
        </is>
      </c>
      <c r="H15" s="2" t="inlineStr">
        <is>
          <t>* จำ choice ไม;ได# *</t>
        </is>
      </c>
      <c r="I15" s="8" t="inlineStr">
        <is>
          <t>1</t>
        </is>
      </c>
      <c r="J15" s="2" t="inlineStr">
        <is>
          <t>✅ คำตอบที่ถูกต้อง: ข้อ ก. มะระขี้นก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(มะระขี้นก): ข้อนี้ไม่ใช่คำตอบที่ถูกต้องสำหรับภาวะ Herbal Extraction methods เนื่องจากกลไกการออกฤทธิ์, efficacy หรือข้อบ่งใช้ไม่ตรงกับโจทย์ที่กำหนด
• ข้อ ค. (ดอกแค): ข้อนี้ไม่ใช่คำตอบที่ถูกต้องสำหรับภาวะ Herbal Extraction methods เนื่องจากกลไกการออกฤทธิ์, efficacy หรือข้อบ่งใช้ไม่ตรงกับโจทย์ที่กำหนด
• ข้อ ง. (ใบขี้เหล็ก): ข้อนี้ไม่ใช่คำตอบที่ถูกต้องสำหรับภาวะ Herbal Extraction methods เนื่องจากกลไกการออกฤทธิ์, efficacy หรือข้อบ่งใช้ไม่ตรงกับโจทย์ที่กำหนด
• ข้อ จ. (ทองพันชั่ง):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n"/>
      <c r="L15" s="2" t="inlineStr">
        <is>
          <t>Herbal Extraction methods</t>
        </is>
      </c>
      <c r="M15" s="2" t="inlineStr">
        <is>
          <t>Herbal Medicine &amp; Extract</t>
        </is>
      </c>
      <c r="N15" s="2" t="inlineStr">
        <is>
          <t>PLE_CC1_2565_Day1_Key ข้อ 19</t>
        </is>
      </c>
      <c r="O15" s="2" t="inlineStr">
        <is>
          <t>ข้อสอบจริง</t>
        </is>
      </c>
      <c r="P15" s="2" t="inlineStr">
        <is>
          <t>ปี 2565</t>
        </is>
      </c>
      <c r="Q15" s="2" t="n"/>
    </row>
    <row r="16" ht="13.2" customHeight="1" s="37">
      <c r="A16" s="8" t="inlineStr">
        <is>
          <t>15</t>
        </is>
      </c>
      <c r="B16" s="2" t="inlineStr">
        <is>
          <t>สมุนไพรใช$ภายนอกรักษาผิวหนังอักเสบคืออะไร แรงเ8นไป High potency steroid - ↑</t>
        </is>
      </c>
      <c r="C16" s="2" t="n"/>
      <c r="D16" s="2" t="inlineStr">
        <is>
          <t>Herbal Medicine &amp; Extract</t>
        </is>
      </c>
      <c r="E16" s="2" t="inlineStr">
        <is>
          <t>ทองพันชั่ง</t>
        </is>
      </c>
      <c r="F16" s="2" t="inlineStr">
        <is>
          <t>เปลือกมังคุด</t>
        </is>
      </c>
      <c r="G16" s="2" t="inlineStr">
        <is>
          <t>เมล็ดน$อยหน-า</t>
        </is>
      </c>
      <c r="H16" s="2" t="inlineStr">
        <is>
          <t>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t>
        </is>
      </c>
      <c r="I16" s="8" t="inlineStr">
        <is>
          <t>1</t>
        </is>
      </c>
      <c r="J16"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ข้อ ค. (เปลือกมังคุด):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ง. (เมล็ดน$อยหน-า): ข้อนี้ไม่ใช่คำตอบที่ถูกต้องสำหรับภาวะ Herbal Extraction methods เนื่องจากกลไกการออกฤทธิ์, efficacy หรือข้อบ่งใช้ไม่ตรงกับโจทย์ที่กำหนด
• ข้อ จ. (พลู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2" t="n"/>
      <c r="L16" s="2" t="inlineStr">
        <is>
          <t>Herbal Extraction methods</t>
        </is>
      </c>
      <c r="M16" s="2" t="inlineStr">
        <is>
          <t>Herbal Medicine &amp; Extract</t>
        </is>
      </c>
      <c r="N16" s="2" t="inlineStr">
        <is>
          <t>PLE_CC1_2565_Day2_Key ข้อ 37</t>
        </is>
      </c>
      <c r="O16" s="2" t="inlineStr">
        <is>
          <t>ข้อสอบจริง</t>
        </is>
      </c>
      <c r="P16" s="2" t="inlineStr">
        <is>
          <t>ปี 2565</t>
        </is>
      </c>
    </row>
    <row r="17" ht="13.2" customHeight="1" s="37">
      <c r="A17" s="8" t="inlineStr">
        <is>
          <t>16</t>
        </is>
      </c>
      <c r="B17" s="2" t="inlineStr">
        <is>
          <t>สมุนไพรตัวใดช่วยขับปัสสาวะ</t>
        </is>
      </c>
      <c r="C17" s="2" t="n"/>
      <c r="D17" s="2" t="inlineStr">
        <is>
          <t>Herbal Medicine &amp; Extract</t>
        </is>
      </c>
      <c r="E17" s="2" t="inlineStr">
        <is>
          <t>กระเจี๊ยบแดง</t>
        </is>
      </c>
      <c r="F17" s="2" t="inlineStr">
        <is>
          <t>Gingerol quantification in Zingiber officinale</t>
        </is>
      </c>
      <c r="G17" s="2" t="inlineStr">
        <is>
          <t>Maceration with Ethanol 70% solvent</t>
        </is>
      </c>
      <c r="H17" s="2" t="inlineStr">
        <is>
          <t>Soxhlet Extraction for heat-stable phytochemicals</t>
        </is>
      </c>
      <c r="I17" s="8" t="inlineStr">
        <is>
          <t>1</t>
        </is>
      </c>
      <c r="J17"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(กระเจี๊ยบแดง): ข้อนี้ไม่ใช่คำตอบที่ถูกต้องสำหรับภาวะ Herbal Extraction methods เนื่องจากกลไกการออกฤทธิ์, efficacy หรือข้อบ่งใช้ไม่ตรงกับโจทย์ที่กำหนด
• ข้อ ค.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ง.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จ.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n"/>
      <c r="L17" s="2" t="inlineStr">
        <is>
          <t>Herbal Extraction methods</t>
        </is>
      </c>
      <c r="M17" s="2" t="inlineStr">
        <is>
          <t>Herbal Medicine &amp; Extract</t>
        </is>
      </c>
      <c r="N17" s="2" t="inlineStr">
        <is>
          <t>PLE_CC1_2564_All_Key ข้อ 21</t>
        </is>
      </c>
      <c r="O17" s="2" t="inlineStr">
        <is>
          <t>ข้อสอบจริง</t>
        </is>
      </c>
      <c r="P17" s="2" t="inlineStr">
        <is>
          <t>ปี 2564</t>
        </is>
      </c>
    </row>
    <row r="18" ht="13.2" customHeight="1" s="37">
      <c r="A18" s="8" t="inlineStr">
        <is>
          <t>17</t>
        </is>
      </c>
      <c r="B18" s="2" t="inlineStr">
        <is>
          <t>สมุนไพรที่เกิดอันตรกิริยากับยาต้าน HIV มากที่สุด</t>
        </is>
      </c>
      <c r="C18" s="2" t="n"/>
      <c r="D18" s="2" t="inlineStr">
        <is>
          <t>ขิง</t>
        </is>
      </c>
      <c r="E18" s="2" t="inlineStr">
        <is>
          <t>ขมิ้นชัน</t>
        </is>
      </c>
      <c r="F18" s="2" t="inlineStr">
        <is>
          <t>ฟ้าทะลายโจร</t>
        </is>
      </c>
      <c r="G18" s="2" t="inlineStr">
        <is>
          <t>หญ้าหนวดแมว</t>
        </is>
      </c>
      <c r="H18" s="2" t="inlineStr">
        <is>
          <t>St. John wort</t>
        </is>
      </c>
      <c r="I18" s="8" t="inlineStr">
        <is>
          <t>1</t>
        </is>
      </c>
      <c r="J18" s="2" t="inlineStr">
        <is>
          <t>✅ คำตอบที่ถูกต้อง: ข้อ ก. ขิง
💡 Background:
การดูแลผู้ติดเชื้อ HIV เน้นเริ่ม Antiretroviral Therapy (ART) ทันทีเพื่อกด viral load ให้ undetectable (U=U) และฟื้นฟูระบบภูมิคุ้มกัน
🎯 ทำไมข้อนี้ถึงถูก:
Herbal Medicine &amp; Extract CYP3A4 ดังนั้นถ้าใช้ร่วมกันจะทำให้ระดับยาต้าน HIV ในเลือดลดลง ส่งผลให้ efficacy ในการต้านเชื้อ HIV ลดลง จากเอกสารอ้างอิงระบุว่าไม่แนะนำให้ใช้ร่วมกัน ส่วนฟ้าทะลายโจรเป็น CYP3A4 inhibitor ส่งผลให้ระดับยาต้าน HIV สูงขึ้นตามทฤษฎี แต่ยังไม่มีการศึกษาทาง clinic ส่วนสมุนไพรอื่นๆ ไม่ส่งผลต่อระดับยาต้าน HIV อย่างมีนัยสำคัญ hep.s3.amazonaws.com/prescribing_resources/pdfs/000/000/185/original/Herbal_Mineral_Supplements_2022_Jul.pdf?1658307574
🔍 ข้ออื่นผิดเพราะอะไร:
• ข้อ ข. (ขิง): ข้อนี้ไม่ใช่คำตอบที่ถูกต้องสำหรับภาวะ Herbal Extraction methods เนื่องจากกลไกการออกฤทธิ์, efficacy หรือข้อบ่งใช้ไม่ตรงกับโจทย์ที่กำหนด
• ข้อ ค.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ง.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จ. (หญ้าหนวดแมว):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 s="2" t="n"/>
      <c r="L18" s="2" t="inlineStr">
        <is>
          <t>Herbal Extraction methods</t>
        </is>
      </c>
      <c r="M18" s="2" t="inlineStr">
        <is>
          <t>Herbal Medicine &amp; Extract</t>
        </is>
      </c>
      <c r="N18" s="2" t="inlineStr">
        <is>
          <t>PLE_CC1_2564_All_Key ข้อ 79</t>
        </is>
      </c>
      <c r="O18" s="2" t="inlineStr">
        <is>
          <t>ข้อสอบจริง</t>
        </is>
      </c>
      <c r="P18" s="2" t="inlineStr">
        <is>
          <t>ปี 2564</t>
        </is>
      </c>
      <c r="Q18" s="2" t="n"/>
    </row>
    <row r="19" ht="13.2" customHeight="1" s="37">
      <c r="A19" s="8" t="inlineStr">
        <is>
          <t>18</t>
        </is>
      </c>
      <c r="B19" s="2" t="inlineStr">
        <is>
          <t>สมุนไพรใดที่มี sulfur containing compound หลายชนิดและเป็น Herb drug interaction กับยาต้านเกล็ดเลือดและทำให้เลือกออกได้มาก</t>
        </is>
      </c>
      <c r="C19" s="2" t="n"/>
      <c r="D19" s="2" t="inlineStr">
        <is>
          <t>ขิง b. กระเทียม c. แปะก๊วย</t>
        </is>
      </c>
      <c r="E19" s="2" t="inlineStr">
        <is>
          <t>กระเทียม เนื่องจากสามารถเพิ่มความเสี่ยงต่อการเกิดเลือดออกและมีโครงสร้าง sulfur (choiceอื่นสามารถเพิ่มความเสี่ยงเลือดออกได้เช่นกัน แต่ไม่มีโครงสร้าง sulfur) https://www.si.mahidol.ac.th/th/division/hph/admin/news_files/595_49_1.pdf 98.ยาต้านการเกาะกลุ่มของเกล็ดเลือดตัวใดเป็น prodrug</t>
        </is>
      </c>
      <c r="F19" s="2" t="inlineStr">
        <is>
          <t>Ticagrelor</t>
        </is>
      </c>
      <c r="G19" s="2" t="inlineStr">
        <is>
          <t>Cragelor</t>
        </is>
      </c>
      <c r="H19" s="2" t="inlineStr">
        <is>
          <t>Abciximab</t>
        </is>
      </c>
      <c r="I19" s="8" t="inlineStr">
        <is>
          <t>1</t>
        </is>
      </c>
      <c r="J19" s="2" t="inlineStr">
        <is>
          <t>✅ คำตอบที่ถูกต้อง: ข้อ ก. ขิง b. กระเทียม c. แปะก๊วย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https://www.disthai.com/16488280/%E0%B8%81%E0%B8%A3%E0%B8%B0%E0%B9%80%E0%B8%97%E0%B8%B5%E0%B8%A2%E0%B8%A1 .............................................................................................................................................................................................................. aminothiazolyl-oxyimino มีฤทธ์ิฆ่าแบคทีเรียทั้งแกรมบวกและแกรมลบกว้างกว่ารุ่นท่ี 2 และมีความคงทนต่อเอนไซม์ beta lactamase ดีมาก https://pharmacy.hcu.ac.th/upload/files/CPE%20HCU/2559/Development%20of%20Cephalosporins.pdf
🔍 ข้ออื่นผิดเพราะอะไร:
• ข้อ ข. (ขิง b. กระเทียม c. แปะก๊วย): ข้อนี้ไม่ใช่คำตอบที่ถูกต้องสำหรับภาวะ Herbal Extraction methods เนื่องจากกลไกการออกฤทธิ์, efficacy หรือข้อบ่งใช้ไม่ตรงกับโจทย์ที่กำหนด
• ข้อ ค. (กระเทียม เนื่องจากสามารถเพิ่มความเสี่ยงต่อการเกิดเลือดออกและมีโครงสร้าง sulfur (choiceอื่นสามารถเพิ่มความเสี่ยงเลือดออกได้เช่นกัน แต่ไม่มีโครงสร้าง sulfur) https://www.si.mahidol.ac.th/th/division/hph/admin/news_files/595_49_1.pdf 98.ยาต้านการเกาะกลุ่มของเกล็ดเลือดตัวใดเป็น prodrug): ข้อนี้ไม่ใช่คำตอบที่ถูกต้องสำหรับภาวะ Herbal Extraction methods เนื่องจากกลไกการออกฤทธิ์, efficacy หรือข้อบ่งใช้ไม่ตรงกับโจทย์ที่กำหนด
• ข้อ ง. (Ticagrelor): เป็น direct-acting reversible P2Y12 inhibitor ไม่ต้องผ่าน CYP activation มี antiplatelet efficacy เหนือกว่า clopidogrel ใน ACS แต่มี ADR อาการหายใจขัด (dyspnea) และหัวใจเต้นช้า
• ข้อ จ. (Cragelor):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Herbal Extraction methods</t>
        </is>
      </c>
      <c r="M19" s="2" t="inlineStr">
        <is>
          <t>Herbal Medicine &amp; Extract</t>
        </is>
      </c>
      <c r="N19" s="2" t="inlineStr">
        <is>
          <t>PLE_CC1_2564_All_Key ข้อ 97</t>
        </is>
      </c>
      <c r="O19" s="2" t="inlineStr">
        <is>
          <t>ข้อสอบจริง</t>
        </is>
      </c>
      <c r="P19" s="2" t="inlineStr">
        <is>
          <t>ปี 2564</t>
        </is>
      </c>
      <c r="Q19" s="2" t="n"/>
    </row>
    <row r="20" ht="13.2" customHeight="1" s="37">
      <c r="A20" s="8" t="inlineStr">
        <is>
          <t>19</t>
        </is>
      </c>
      <c r="B20" s="2" t="inlineStr">
        <is>
          <t>ทำยา IV ใช้น้ำอะไร water for injection ชีทวิชาเภสัชการ 4 (Pharmaceutics 4) เรื่องน้ำตามตำรับยา หน้า 24 ............................................................................................................................................................................................................. เฉลยข้อสอบ PLE-CC1 ครั้งที่12/2564 วันที่ 1-2 : MUPY 50 เฉลยข้อสอบ PLE-CC1 ครั้งที่12/2564 วันที่ 1-2 : MUPY 50 143.สมุนไพรที่ตีกับยาเก๊าท์</t>
        </is>
      </c>
      <c r="C20" s="2" t="n"/>
      <c r="D20" s="2" t="inlineStr">
        <is>
          <t>ฟ้าทลายโจร</t>
        </is>
      </c>
      <c r="E20" s="2" t="inlineStr">
        <is>
          <t>หญ้าหนวดแมว</t>
        </is>
      </c>
      <c r="F20" s="2" t="inlineStr">
        <is>
          <t>ขิง</t>
        </is>
      </c>
      <c r="G20" s="2" t="inlineStr">
        <is>
          <t>ขมิ้นชัน</t>
        </is>
      </c>
      <c r="H20" s="2" t="inlineStr">
        <is>
          <t>St.John wort</t>
        </is>
      </c>
      <c r="I20" s="8" t="inlineStr">
        <is>
          <t>1</t>
        </is>
      </c>
      <c r="J20" s="2" t="inlineStr">
        <is>
          <t>✅ คำตอบที่ถูกต้อง: ข้อ ก. ฟ้าทลายโจร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ลดอักเสบที่จำเพาะกับโรคเก๊าท์) และเป็น CYP3A4 substrate เมื่อใช้ร่วมกับฟ้าทลายโจรที่เป็น CYP3A4 inhibitor(inh อีกหลาย .............................................................................................................................................................................................................
🔍 ข้ออื่นผิดเพราะอะไร:
• ข้อ ข. (ฟ้าทลายโจร):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(หญ้าหนวดแมว): ข้อนี้ไม่ใช่คำตอบที่ถูกต้องสำหรับภาวะ Herbal Extraction methods เนื่องจากกลไกการออกฤทธิ์, efficacy หรือข้อบ่งใช้ไม่ตรงกับโจทย์ที่กำหนด
• ข้อ ง. (ขิง): ข้อนี้ไม่ใช่คำตอบที่ถูกต้องสำหรับภาวะ Herbal Extraction methods เนื่องจากกลไกการออกฤทธิ์, efficacy หรือข้อบ่งใช้ไม่ตรงกับโจทย์ที่กำหนด
• ข้อ จ. (ขมิ้นชัน):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n"/>
      <c r="L20" s="2" t="inlineStr">
        <is>
          <t>Herbal Extraction methods</t>
        </is>
      </c>
      <c r="M20" s="2" t="inlineStr">
        <is>
          <t>Herbal Medicine &amp; Extract</t>
        </is>
      </c>
      <c r="N20" s="2" t="inlineStr">
        <is>
          <t>PLE_CC1_2564_All_Key ข้อ 140</t>
        </is>
      </c>
      <c r="O20" s="2" t="inlineStr">
        <is>
          <t>ข้อสอบจริง</t>
        </is>
      </c>
      <c r="P20" s="2" t="inlineStr">
        <is>
          <t>ปี 2564</t>
        </is>
      </c>
      <c r="Q20" s="2" t="n"/>
    </row>
    <row r="21" ht="13.2" customHeight="1" s="37">
      <c r="A21" s="8" t="inlineStr">
        <is>
          <t>20</t>
        </is>
      </c>
      <c r="B21" s="2" t="inlineStr">
        <is>
          <t>ตำรับยาสมุนไพรในข้อใดสะเป็นประโยฬน์ต่อผู้ป่วยน้อยที่สุด</t>
        </is>
      </c>
      <c r="C21" s="2" t="n"/>
      <c r="D21" s="2" t="inlineStr">
        <is>
          <t>Herbal Medicine &amp; Extract</t>
        </is>
      </c>
      <c r="E21" s="2" t="inlineStr">
        <is>
          <t>ยาครีมพริก</t>
        </is>
      </c>
      <c r="F21" s="2" t="inlineStr">
        <is>
          <t>ยาผษกล้วย</t>
        </is>
      </c>
      <c r="G21" s="2" t="inlineStr">
        <is>
          <t>น้ำมันไพล ษ. ยาประสะไพล ส. ยาเถาวัลย์เปรียษ โจทย์เพิ่ม</t>
        </is>
      </c>
      <c r="H21" s="2" t="inlineStr">
        <is>
          <t>Senna glycosides (Sennosides A &amp; B) Extraction</t>
        </is>
      </c>
      <c r="I21" s="8" t="inlineStr">
        <is>
          <t>1</t>
        </is>
      </c>
      <c r="J21" s="2" t="inlineStr">
        <is>
          <t>✅ คำตอบที่ถูกต้อง: ข้อ ก. Herbal Medicine &amp; Extract
💡 Background:
การบริบาลผู้ป่วยในกลุ่มโรค Herbal Extraction methods มุ่งเน้นการควบคุมโรคและลดความเสี่ยงต่อภาวะแทรกซ้อนด้วย evidence-based pharmacotherapy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(ยาครีมพริก): ข้อนี้ไม่ใช่คำตอบที่ถูกต้องสำหรับภาวะ Herbal Extraction methods เนื่องจากกลไกการออกฤทธิ์, efficacy หรือข้อบ่งใช้ไม่ตรงกับโจทย์ที่กำหนด
• ข้อ ค. (ยาผษกล้วย): ข้อนี้ไม่ใช่คำตอบที่ถูกต้องสำหรับภาวะ Herbal Extraction methods เนื่องจากกลไกการออกฤทธิ์, efficacy หรือข้อบ่งใช้ไม่ตรงกับโจทย์ที่กำหนด
• ข้อ ง. (น้ำมันไพล ษ. ยาประสะไพล ส. ยาเถาวัลย์เปรียษ โจทย์เพิ่ม): ข้อนี้ไม่ใช่คำตอบที่ถูกต้องสำหรับภาวะ Herbal Extraction methods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Herbal Extraction methods</t>
        </is>
      </c>
      <c r="M21" s="2" t="inlineStr">
        <is>
          <t>Herbal Medicine &amp; Extract</t>
        </is>
      </c>
      <c r="N21" s="2" t="inlineStr">
        <is>
          <t>PLE_CC1_2563_Q ข้อ 101</t>
        </is>
      </c>
      <c r="O21" s="2" t="inlineStr">
        <is>
          <t>ข้อสอบจริง</t>
        </is>
      </c>
      <c r="P21" s="2" t="inlineStr">
        <is>
          <t>ปี 2563</t>
        </is>
      </c>
    </row>
    <row r="22" ht="13.2" customHeight="1" s="37">
      <c r="A22" s="2" t="n">
        <v>20</v>
      </c>
      <c r="B22" s="2" t="inlineStr">
        <is>
          <t>จากการซักประวัติผู้ป่วยเพิ่มเติมพบว่า ผู้ป่วยเคยใช้สมุนไพรเถาวัลย์เปรียงเป็นประจำ แต่อาการไม่ดีขึ้น ควรเลือกใช้ - - ยาในข้อใด</t>
        </is>
      </c>
      <c r="C22" s="2" t="n"/>
      <c r="D22" s="2" t="inlineStr">
        <is>
          <t>เจลว่านหางจระเข้</t>
        </is>
      </c>
      <c r="E22" s="2" t="inlineStr">
        <is>
          <t>Diclofenac tablet</t>
        </is>
      </c>
      <c r="F22" s="2" t="inlineStr">
        <is>
          <t>Tramadol capsule</t>
        </is>
      </c>
      <c r="G22" s="2" t="inlineStr">
        <is>
          <t>Indomethacin spray</t>
        </is>
      </c>
      <c r="H22" s="2" t="inlineStr">
        <is>
          <t>Naproxen tablet</t>
        </is>
      </c>
      <c r="I22" s="2" t="n">
        <v>1</v>
      </c>
      <c r="J22" s="2" t="inlineStr">
        <is>
          <t>✅ คำตอบที่ถูกต้อง: ข้อ ก. เจลว่านหางจระเข้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เจลว่านหางจระเข้ 💡 คำอธิบายและเหตุผลทางเภสัชกรรม:
💡 คำอธิบายและเหตุผลทางเภสัชกรรม:
การเลือก เจลว่านหางจระเข้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(Diclofenac tablet): ข้อนี้ไม่ใช่คำตอบที่ถูกต้องสำหรับภาวะ Herbal Extraction methods เนื่องจากกลไกการออกฤทธิ์, efficacy หรือข้อบ่งใช้ไม่ตรงกับโจทย์ที่กำหนด
• ข้อ ค. (Tramadol capsule): เป็น weak mu-opioid agonist และ SNRI เป็นเพียง second-line / add-on สำหรับ pain relief ไม่มีฤทธิ์ลดการอักเสบ (no anti-inflammatory efficacy) และเสี่ยงต่อ serotonin syndrome และชัก
• ข้อ ง. (Indomethacin spray): เป็น potent non-selective NSAID มี anti-inflammatory efficacy สูงมากใน acute gout flare แต่มี ADRs เด่นทาง GI toxicity และ CNS (ปวดศีรษะ มึนงง)
• ข้อ จ. (Naproxen tablet): เป็น non-selective NSAID ที่มี cardiovascular safety profile ดีที่สุด และมี efficacy สูงในการระงับ acute inflammation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Herbal Extraction methods</t>
        </is>
      </c>
      <c r="M22" s="2" t="inlineStr">
        <is>
          <t>Product</t>
        </is>
      </c>
      <c r="N22" s="2" t="inlineStr">
        <is>
          <t>ข้อ 3 (PLE_CC1_2562_Key.md)</t>
        </is>
      </c>
      <c r="O22" s="2" t="inlineStr">
        <is>
          <t>ข้อสอบจริง</t>
        </is>
      </c>
      <c r="P22" s="2" t="inlineStr">
        <is>
          <t>ปี 2562</t>
        </is>
      </c>
    </row>
    <row r="23" ht="13.2" customHeight="1" s="37">
      <c r="A23" s="2" t="n">
        <v>21</v>
      </c>
      <c r="B23" s="2" t="inlineStr">
        <is>
          <t>กระทรวงสาธารณสุข ประกาศสมุนไพรใด ที่รับประทานแล้วมีผื่นคัน บวม , Intra articular X ↑ IM</t>
        </is>
      </c>
      <c r="C23" s="2" t="n"/>
      <c r="D23" s="2" t="inlineStr">
        <is>
          <t>ขิง</t>
        </is>
      </c>
      <c r="E23" s="2" t="inlineStr">
        <is>
          <t>ฟ้าทะลายโจร</t>
        </is>
      </c>
      <c r="F23" s="2" t="inlineStr">
        <is>
          <t>รางจืด</t>
        </is>
      </c>
      <c r="G23" s="2" t="inlineStr">
        <is>
          <t>หญ้าดอกขาว</t>
        </is>
      </c>
      <c r="H23" s="2" t="inlineStr">
        <is>
          <t>ขมิ้นชัน</t>
        </is>
      </c>
      <c r="I23" s="2" t="n">
        <v>1</v>
      </c>
      <c r="J23"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ค. (รางจืด): ข้อนี้ไม่ใช่คำตอบที่ถูกต้องสำหรับภาวะ Herbal Extraction methods เนื่องจากกลไกการออกฤทธิ์, efficacy หรือข้อบ่งใช้ไม่ตรงกับโจทย์ที่กำหนด
• ข้อ ง. (หญ้าดอกขาว): ข้อนี้ไม่ใช่คำตอบที่ถูกต้องสำหรับภาวะ Herbal Extraction methods เนื่องจากกลไกการออกฤทธิ์, efficacy หรือข้อบ่งใช้ไม่ตรงกับโจทย์ที่กำหนด
• ข้อ จ. (ขมิ้นชัน):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Herbal Extraction methods</t>
        </is>
      </c>
      <c r="M23" s="2" t="inlineStr">
        <is>
          <t>Product</t>
        </is>
      </c>
      <c r="N23" s="2" t="inlineStr">
        <is>
          <t>ข้อ 31 (PLE_CC1_2562_Key.md)</t>
        </is>
      </c>
      <c r="O23" s="2" t="inlineStr">
        <is>
          <t>ข้อสอบจริง</t>
        </is>
      </c>
      <c r="P23" s="2" t="inlineStr">
        <is>
          <t>ปี 2562</t>
        </is>
      </c>
    </row>
    <row r="24" ht="13.2" customHeight="1" s="37">
      <c r="A24" s="2" t="n">
        <v>22</v>
      </c>
      <c r="B24" s="2" t="inlineStr">
        <is>
          <t>สมุนไพรใดที่ไม่ควรใช้ในผู้ป่วยเบาหวาน X O -</t>
        </is>
      </c>
      <c r="C24" s="2" t="n"/>
      <c r="D24" s="2" t="inlineStr">
        <is>
          <t>เถาวัลย์เปรียง</t>
        </is>
      </c>
      <c r="E24" s="2" t="inlineStr">
        <is>
          <t>รางจืด</t>
        </is>
      </c>
      <c r="F24" s="2" t="inlineStr">
        <is>
          <t>หญ้าปักกิ่ง</t>
        </is>
      </c>
      <c r="G24" s="2" t="inlineStr">
        <is>
          <t>กระเจีěยบแดง</t>
        </is>
      </c>
      <c r="H24" s="2" t="inlineStr">
        <is>
          <t>ฟ้าทะลายโจร</t>
        </is>
      </c>
      <c r="I24" s="2" t="n">
        <v>1</v>
      </c>
      <c r="J24" s="2" t="inlineStr">
        <is>
          <t>✅ คำตอบที่ถูกต้อง: ข้อ ก.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(หญ้าปักกิ่ง): ข้อนี้ไม่ใช่คำตอบที่ถูกต้องสำหรับภาวะ Herbal Extraction methods เนื่องจากกลไกการออกฤทธิ์, efficacy หรือข้อบ่งใช้ไม่ตรงกับโจทย์ที่กำหนด
• ข้อ ง. (กระเจีěยบแดง): ข้อนี้ไม่ใช่คำตอบที่ถูกต้องสำหรับภาวะ Herbal Extraction methods เนื่องจากกลไกการออกฤทธิ์, efficacy หรือข้อบ่งใช้ไม่ตรงกับโจทย์ที่กำหนด
• ข้อ จ.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Herbal Extraction methods</t>
        </is>
      </c>
      <c r="M24" s="2" t="inlineStr">
        <is>
          <t>Product</t>
        </is>
      </c>
      <c r="N24" s="2" t="inlineStr">
        <is>
          <t>ข้อ 65 (PLE_CC1_2562_Key.md)</t>
        </is>
      </c>
      <c r="O24" s="2" t="inlineStr">
        <is>
          <t>ข้อสอบจริง</t>
        </is>
      </c>
      <c r="P24" s="2" t="inlineStr">
        <is>
          <t>ปี 2562</t>
        </is>
      </c>
    </row>
    <row r="25" ht="13.2" customHeight="1" s="37">
      <c r="A25" s="2" t="n">
        <v>23</v>
      </c>
      <c r="B25" s="2" t="inlineStr">
        <is>
          <t>สมุนไพรใดมีสาร vincristine หรือ vinblastine &amp; 2 D5 W Tarvein : protein 2: Denature - - X X -</t>
        </is>
      </c>
      <c r="C25" s="2" t="n"/>
      <c r="D25" s="2" t="inlineStr">
        <is>
          <t>ดองดึง</t>
        </is>
      </c>
      <c r="E25" s="2" t="inlineStr">
        <is>
          <t>แพงพวยฝรั่ง</t>
        </is>
      </c>
      <c r="F25" s="2" t="inlineStr">
        <is>
          <t>เสนียด</t>
        </is>
      </c>
      <c r="G25" s="2" t="inlineStr">
        <is>
          <t>ระย่อม</t>
        </is>
      </c>
      <c r="H25" s="2" t="inlineStr">
        <is>
          <t>ต้นสน Pacific สถานการณ์ที่ 8 X SABA Mir Ge ผู้ป่วยชายไทย อายุ 45 ปีมาโรงพยาบาลด้วยอาการหอบเหนื่อย หายใจเร็ว รู้สึกตัวดี BP 145/90 mmHg HR 101 doses ปีนี้เข้าโรงพยาบาลจากอาการกำเริบมา 3 ครั้งแล้ว เป็น asthma มา 3 ปี ความดันมา 2 ปี = - SAMA - ยาที่ใช้เป็นประจำ Salbutamol MDI prn LA BA Budesonide/formoterol 160/4.5 mcg 2 puff bid Propranolol 1x1 pc</t>
        </is>
      </c>
      <c r="I25" s="2" t="n">
        <v>1</v>
      </c>
      <c r="J25" s="2" t="inlineStr">
        <is>
          <t>✅ คำตอบที่ถูกต้อง: ข้อ ก. ดองดึง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ดองดึง 💡 คำอธิบายและเหตุผลทางเภสัชกรรม:
💡 คำอธิบายและเหตุผลทางเภสัชกรรม:
bpm RR 24/min T 36.40C ไม่สูบบุหรี่ ไม่แพ้ยา ทำงานโรงเลื่อย หมอให้ fenoterol/ipratopium 1 NB q 15 minx3
USP/NF, British Pharmacopoeia (BP) และ Remington: The Science and Practice of Pharmacy (หัวข้อ Herbal Extraction methods)
🔍 ข้ออื่นผิดเพราะอะไร:
• ข้อ ข. (แพงพวยฝรั่ง): ข้อนี้ไม่ใช่คำตอบที่ถูกต้องสำหรับภาวะ Herbal Extraction methods เนื่องจากกลไกการออกฤทธิ์, efficacy หรือข้อบ่งใช้ไม่ตรงกับโจทย์ที่กำหนด
• ข้อ ค. (เสนียด): ข้อนี้ไม่ใช่คำตอบที่ถูกต้องสำหรับภาวะ Herbal Extraction methods เนื่องจากกลไกการออกฤทธิ์, efficacy หรือข้อบ่งใช้ไม่ตรงกับโจทย์ที่กำหนด
• ข้อ ง. (ระย่อม): ข้อนี้ไม่ใช่คำตอบที่ถูกต้องสำหรับภาวะ Herbal Extraction methods เนื่องจากกลไกการออกฤทธิ์, efficacy หรือข้อบ่งใช้ไม่ตรงกับโจทย์ที่กำหนด
• ข้อ จ. (ต้นสน Pacific สถานการณ์ที่ 8 X SABA Mir Ge ผู้ป่วยชายไทย อายุ 45 ปีมาโรงพยาบาลด้วยอาการหอบเหนื่อย หายใจเร็ว รู้สึกตัวดี BP 145/90 mmHg HR 101 doses ปีนี้เข้าโรงพยาบาลจากอาการกำเริบมา 3 ครั้งแล้ว เป็น asthma มา 3 ปี ความดันมา 2 ปี = - SAMA - ยาที่ใช้เป็นประจำ Salbutamol MDI prn LA BA Budesonide/formoterol 160/4.5 mcg 2 puff bid Propranolol 1x1 pc): เป็น non-selective beta-blocker ข้าม blood-brain barrier ได้ดี เหมาะสำหรับ performance anxiety, essential tremor, migraine prophylaxis และ thyroid storm แต่ contraindication ใน asthma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Herbal Extraction methods</t>
        </is>
      </c>
      <c r="M25" s="2" t="inlineStr">
        <is>
          <t>Product</t>
        </is>
      </c>
      <c r="N25" s="2" t="inlineStr">
        <is>
          <t>ข้อ 61 (PLE_CC1_2562_Key.md)</t>
        </is>
      </c>
      <c r="O25" s="2" t="inlineStr">
        <is>
          <t>ข้อสอบจริง</t>
        </is>
      </c>
      <c r="P25" s="2" t="inlineStr">
        <is>
          <t>ปี 2562</t>
        </is>
      </c>
    </row>
    <row r="26" ht="13.2" customHeight="1" s="37">
      <c r="A26" s="2" t="n">
        <v>24</v>
      </c>
      <c r="B26" s="2" t="inlineStr">
        <is>
          <t>สมุนไพรใดสามารถบรรเทาอาการปวดได</t>
        </is>
      </c>
      <c r="C26" s="2" t="n"/>
      <c r="D26" s="2" t="inlineStr">
        <is>
          <t>เหงาขิง</t>
        </is>
      </c>
      <c r="E26" s="2" t="inlineStr">
        <is>
          <t>ยาขิง</t>
        </is>
      </c>
      <c r="F26" s="2" t="inlineStr">
        <is>
          <t>พญาสัตบรรณ</t>
        </is>
      </c>
      <c r="G26" s="2" t="inlineStr">
        <is>
          <t>ประสะกระเพรา</t>
        </is>
      </c>
      <c r="H26" s="2" t="inlineStr">
        <is>
          <t>ยาผสมเถาวัลยTเปรียง</t>
        </is>
      </c>
      <c r="I26" s="2" t="n">
        <v>1</v>
      </c>
      <c r="J26"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(ยาขิง): ข้อนี้ไม่ใช่คำตอบที่ถูกต้องสำหรับภาวะ Herbal Extraction methods เนื่องจากกลไกการออกฤทธิ์, efficacy หรือข้อบ่งใช้ไม่ตรงกับโจทย์ที่กำหนด
• ข้อ ค. (พญาสัตบรรณ): ข้อนี้ไม่ใช่คำตอบที่ถูกต้องสำหรับภาวะ Herbal Extraction methods เนื่องจากกลไกการออกฤทธิ์, efficacy หรือข้อบ่งใช้ไม่ตรงกับโจทย์ที่กำหนด
• ข้อ ง. (ประสะกระเพรา): ข้อนี้ไม่ใช่คำตอบที่ถูกต้องสำหรับภาวะ Herbal Extraction methods เนื่องจากกลไกการออกฤทธิ์, efficacy หรือข้อบ่งใช้ไม่ตรงกับโจทย์ที่กำหนด
• ข้อ จ. (ยาผสมเถาวัลยTเปรียง):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Herbal Extraction methods</t>
        </is>
      </c>
      <c r="M26" s="2" t="inlineStr">
        <is>
          <t>Product</t>
        </is>
      </c>
      <c r="N26" s="2" t="inlineStr">
        <is>
          <t>ข้อ 19 (PLE_CC1_2561_Key.md)</t>
        </is>
      </c>
      <c r="O26" s="2" t="inlineStr">
        <is>
          <t>ข้อสอบจริง</t>
        </is>
      </c>
      <c r="P26" s="2" t="inlineStr">
        <is>
          <t>ปี 2561</t>
        </is>
      </c>
    </row>
    <row r="27" ht="13.2" customHeight="1" s="37">
      <c r="A27" s="2" t="n">
        <v>25</v>
      </c>
      <c r="B27" s="2" t="inlineStr">
        <is>
          <t>ยาพัฒนาจากสมุนไพรใดที่ใชรักษาในการรักษาเริม</t>
        </is>
      </c>
      <c r="C27" s="2" t="n"/>
      <c r="D27" s="2" t="inlineStr">
        <is>
          <t>เหงาขิง</t>
        </is>
      </c>
      <c r="E27" s="2" t="inlineStr">
        <is>
          <t>ใบบัวบก</t>
        </is>
      </c>
      <c r="F27" s="2" t="inlineStr">
        <is>
          <t>ใบพลู</t>
        </is>
      </c>
      <c r="G27" s="2" t="inlineStr">
        <is>
          <t>ใบพญายอ</t>
        </is>
      </c>
      <c r="H27" s="2" t="inlineStr">
        <is>
          <t>ใบทองพันชั่ง</t>
        </is>
      </c>
      <c r="I27" s="2" t="n">
        <v>1</v>
      </c>
      <c r="J27"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(ใบบัวบก): ข้อนี้ไม่ใช่คำตอบที่ถูกต้องสำหรับภาวะ Herbal Extraction methods เนื่องจากกลไกการออกฤทธิ์, efficacy หรือข้อบ่งใช้ไม่ตรงกับโจทย์ที่กำหนด
• ข้อ ค. (ใบพลู): ข้อนี้ไม่ใช่คำตอบที่ถูกต้องสำหรับภาวะ Herbal Extraction methods เนื่องจากกลไกการออกฤทธิ์, efficacy หรือข้อบ่งใช้ไม่ตรงกับโจทย์ที่กำหนด
• ข้อ ง. (ใบพญายอ): ข้อนี้ไม่ใช่คำตอบที่ถูกต้องสำหรับภาวะ Herbal Extraction methods เนื่องจากกลไกการออกฤทธิ์, efficacy หรือข้อบ่งใช้ไม่ตรงกับโจทย์ที่กำหนด
• ข้อ จ. (ใบทองพันชั่ง):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Herbal Extraction methods</t>
        </is>
      </c>
      <c r="M27" s="2" t="inlineStr">
        <is>
          <t>Product</t>
        </is>
      </c>
      <c r="N27" s="2" t="inlineStr">
        <is>
          <t>ข้อ 26 (PLE_CC1_2561_Key.md)</t>
        </is>
      </c>
      <c r="O27" s="2" t="inlineStr">
        <is>
          <t>ข้อสอบจริง</t>
        </is>
      </c>
      <c r="P27" s="2" t="inlineStr">
        <is>
          <t>ปี 2561</t>
        </is>
      </c>
    </row>
    <row r="28" ht="13.2" customHeight="1" s="37">
      <c r="A28" s="2" t="n">
        <v>26</v>
      </c>
      <c r="B28" s="2" t="inlineStr">
        <is>
          <t>จากขอ 26 หากตองการตรวจสอบคุณภาพผงสมุนไพร ดวยวิธีการ ส!องกลองจุลทรรศนT ควรพบเนื้อเยื้อส!วนใดบาง</t>
        </is>
      </c>
      <c r="C28" s="2" t="n"/>
      <c r="D28" s="2" t="inlineStr">
        <is>
          <t>พบ cortex และ xylem</t>
        </is>
      </c>
      <c r="E28" s="2" t="inlineStr">
        <is>
          <t>พบ cork และ stomata</t>
        </is>
      </c>
      <c r="F28" s="2" t="inlineStr">
        <is>
          <t>พบ cortex และ cambium</t>
        </is>
      </c>
      <c r="G28" s="2" t="inlineStr">
        <is>
          <t>พบ scleried และ stomata</t>
        </is>
      </c>
      <c r="H28" s="2" t="inlineStr">
        <is>
          <t>พบ palisade และ stomata</t>
        </is>
      </c>
      <c r="I28" s="2" t="n">
        <v>1</v>
      </c>
      <c r="J28" s="2" t="inlineStr">
        <is>
          <t>✅ คำตอบที่ถูกต้อง: ข้อ ก. พบ cortex และ xylem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พบ cortex และ xylem 💡 คำอธิบายและเหตุผลทางเภสัชกรรม:
💡 คำอธิบายและเหตุผลทางเภสัชกรรม:
การเลือก พบ cortex และ xylem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(พบ cork และ stomata): ข้อนี้ไม่ใช่คำตอบที่ถูกต้องสำหรับภาวะ Herbal Extraction methods เนื่องจากกลไกการออกฤทธิ์, efficacy หรือข้อบ่งใช้ไม่ตรงกับโจทย์ที่กำหนด
• ข้อ ค. (พบ cortex และ cambium): ข้อนี้ไม่ใช่คำตอบที่ถูกต้องสำหรับภาวะ Herbal Extraction methods เนื่องจากกลไกการออกฤทธิ์, efficacy หรือข้อบ่งใช้ไม่ตรงกับโจทย์ที่กำหนด
• ข้อ ง. (พบ scleried และ stomata): ข้อนี้ไม่ใช่คำตอบที่ถูกต้องสำหรับภาวะ Herbal Extraction methods เนื่องจากกลไกการออกฤทธิ์, efficacy หรือข้อบ่งใช้ไม่ตรงกับโจทย์ที่กำหนด
• ข้อ จ. (พบ palisade และ stomata):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Herbal Extraction methods</t>
        </is>
      </c>
      <c r="M28" s="2" t="inlineStr">
        <is>
          <t>Product</t>
        </is>
      </c>
      <c r="N28" s="2" t="inlineStr">
        <is>
          <t>ข้อ 27 (PLE_CC1_2561_Key.md)</t>
        </is>
      </c>
      <c r="O28" s="2" t="inlineStr">
        <is>
          <t>ข้อสอบจริง</t>
        </is>
      </c>
      <c r="P28" s="2" t="inlineStr">
        <is>
          <t>ปี 2561</t>
        </is>
      </c>
    </row>
    <row r="29" ht="13.2" customHeight="1" s="37">
      <c r="A29" s="2" t="n">
        <v>27</v>
      </c>
      <c r="B29" s="2" t="inlineStr">
        <is>
          <t>สมุนไพรใดไม!มีฤทธิ์แกไอ</t>
        </is>
      </c>
      <c r="C29" s="2" t="n"/>
      <c r="D29" s="2" t="inlineStr">
        <is>
          <t>ขิง</t>
        </is>
      </c>
      <c r="E29" s="2" t="inlineStr">
        <is>
          <t>มะแวง</t>
        </is>
      </c>
      <c r="F29" s="2" t="inlineStr">
        <is>
          <t>ชะอมเทศ</t>
        </is>
      </c>
      <c r="G29" s="2" t="inlineStr">
        <is>
          <t>มะขามปFอม</t>
        </is>
      </c>
      <c r="H29" s="2" t="inlineStr">
        <is>
          <t>ฟFาทลายโจร a cephang r ข y จ ค</t>
        </is>
      </c>
      <c r="I29" s="2" t="n">
        <v>1</v>
      </c>
      <c r="J29"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(มะแวง): ข้อนี้ไม่ใช่คำตอบที่ถูกต้องสำหรับภาวะ Herbal Extraction methods เนื่องจากกลไกการออกฤทธิ์, efficacy หรือข้อบ่งใช้ไม่ตรงกับโจทย์ที่กำหนด
• ข้อ ค. (ชะอมเทศ): ข้อนี้ไม่ใช่คำตอบที่ถูกต้องสำหรับภาวะ Herbal Extraction methods เนื่องจากกลไกการออกฤทธิ์, efficacy หรือข้อบ่งใช้ไม่ตรงกับโจทย์ที่กำหนด
• ข้อ ง. (มะขามปFอม): ข้อนี้ไม่ใช่คำตอบที่ถูกต้องสำหรับภาวะ Herbal Extraction methods เนื่องจากกลไกการออกฤทธิ์, efficacy หรือข้อบ่งใช้ไม่ตรงกับโจทย์ที่กำหนด
• ข้อ จ. (ฟFาทลายโจร a cephang r ข y จ ค):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Herbal Extraction methods</t>
        </is>
      </c>
      <c r="M29" s="2" t="inlineStr">
        <is>
          <t>Product</t>
        </is>
      </c>
      <c r="N29" s="2" t="inlineStr">
        <is>
          <t>ข้อ 35 (PLE_CC1_2561_Key.md)</t>
        </is>
      </c>
      <c r="O29" s="2" t="inlineStr">
        <is>
          <t>ข้อสอบจริง</t>
        </is>
      </c>
      <c r="P29" s="2" t="inlineStr">
        <is>
          <t>ปี 2561</t>
        </is>
      </c>
    </row>
    <row r="30" ht="13.2" customHeight="1" s="37">
      <c r="A30" s="2" t="n">
        <v>28</v>
      </c>
      <c r="B30" s="2" t="inlineStr">
        <is>
          <t>ตามบัญชียาที่พัฒนามาจากสมุนไพร ยาใดที่สามารถรักษาอาการ โรคผิวหนังจากเชื้อราได(</t>
        </is>
      </c>
      <c r="C30" s="2" t="n"/>
      <c r="D30" s="2" t="inlineStr">
        <is>
          <t>ยาพญายอ</t>
        </is>
      </c>
      <c r="E30" s="2" t="inlineStr">
        <is>
          <t>ยาทิงเจอรพลู</t>
        </is>
      </c>
      <c r="F30" s="2" t="inlineStr">
        <is>
          <t>ยาเปลือกมังคุด</t>
        </is>
      </c>
      <c r="G30" s="2" t="inlineStr">
        <is>
          <t>ยาว.านหางจระเข(</t>
        </is>
      </c>
      <c r="H30" s="2" t="inlineStr">
        <is>
          <t>ยาทิงเจอร X</t>
        </is>
      </c>
      <c r="I30" s="2" t="n">
        <v>1</v>
      </c>
      <c r="J30" s="2" t="inlineStr">
        <is>
          <t>✅ คำตอบที่ถูกต้อง: ข้อ ก. ยาพญายอ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ยาพญายอ 💡 คำอธิบายและเหตุผลทางเภสัชกรรม:
💡 คำอธิบายและเหตุผลทางเภสัชกรรม:
การเลือก ยาพญายอ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(ยาทิงเจอรพลู): ข้อนี้ไม่ใช่คำตอบที่ถูกต้องสำหรับภาวะ Herbal Extraction methods เนื่องจากกลไกการออกฤทธิ์, efficacy หรือข้อบ่งใช้ไม่ตรงกับโจทย์ที่กำหนด
• ข้อ ค. (ยาเปลือกมังคุด):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ง. (ยาว.านหางจระเข(): ข้อนี้ไม่ใช่คำตอบที่ถูกต้องสำหรับภาวะ Herbal Extraction methods เนื่องจากกลไกการออกฤทธิ์, efficacy หรือข้อบ่งใช้ไม่ตรงกับโจทย์ที่กำหนด
• ข้อ จ. (ยาทิงเจอร X):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Herbal Extraction methods</t>
        </is>
      </c>
      <c r="M30" s="2" t="inlineStr">
        <is>
          <t>Product</t>
        </is>
      </c>
      <c r="N30" s="2" t="inlineStr">
        <is>
          <t>ข้อ 40 (PLE_CC1_2561_Key.md)</t>
        </is>
      </c>
      <c r="O30" s="2" t="inlineStr">
        <is>
          <t>ข้อสอบจริง</t>
        </is>
      </c>
      <c r="P30" s="2" t="inlineStr">
        <is>
          <t>ปี 2561</t>
        </is>
      </c>
    </row>
    <row r="31" ht="13.2" customHeight="1" s="37">
      <c r="A31" s="2" t="n">
        <v>29</v>
      </c>
      <c r="B31" s="2" t="inlineStr">
        <is>
          <t>ยาสมุนไพรใดมีข้อบ.งใช(ในสูตินรีเวช สามารถใช(แก(อาการปวด ประจำเดือนในสตรีได(</t>
        </is>
      </c>
      <c r="C31" s="2" t="n"/>
      <c r="D31" s="2" t="inlineStr">
        <is>
          <t>ยาสหัสธารา</t>
        </is>
      </c>
      <c r="E31" s="2" t="inlineStr">
        <is>
          <t>ยาจันทนลีลา</t>
        </is>
      </c>
      <c r="F31" s="2" t="inlineStr">
        <is>
          <t>ยาไฟประลัยกัลป}</t>
        </is>
      </c>
      <c r="G31" s="2" t="inlineStr">
        <is>
          <t>ยาหอมอินทรจักร</t>
        </is>
      </c>
      <c r="H31" s="2" t="inlineStr">
        <is>
          <t>ยาประสะกระเพรา</t>
        </is>
      </c>
      <c r="I31" s="2" t="n">
        <v>1</v>
      </c>
      <c r="J31" s="2" t="inlineStr">
        <is>
          <t>✅ คำตอบที่ถูกต้อง: ข้อ ก. ยาสหัสธารา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ยาสหัสธารา 💡 คำอธิบายและเหตุผลทางเภสัชกรรม:
💡 คำอธิบายและเหตุผลทางเภสัชกรรม:
การเลือก ยาสหัสธารา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(ยาจันทนลีลา): ข้อนี้ไม่ใช่คำตอบที่ถูกต้องสำหรับภาวะ Herbal Extraction methods เนื่องจากกลไกการออกฤทธิ์, efficacy หรือข้อบ่งใช้ไม่ตรงกับโจทย์ที่กำหนด
• ข้อ ค. (ยาไฟประลัยกัลป}): ข้อนี้ไม่ใช่คำตอบที่ถูกต้องสำหรับภาวะ Herbal Extraction methods เนื่องจากกลไกการออกฤทธิ์, efficacy หรือข้อบ่งใช้ไม่ตรงกับโจทย์ที่กำหนด
• ข้อ ง. (ยาหอมอินทรจักร): ข้อนี้ไม่ใช่คำตอบที่ถูกต้องสำหรับภาวะ Herbal Extraction methods เนื่องจากกลไกการออกฤทธิ์, efficacy หรือข้อบ่งใช้ไม่ตรงกับโจทย์ที่กำหนด
• ข้อ จ. (ยาประสะกระเพรา):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Herbal Extraction methods</t>
        </is>
      </c>
      <c r="M31" s="2" t="inlineStr">
        <is>
          <t>Product</t>
        </is>
      </c>
      <c r="N31" s="2" t="inlineStr">
        <is>
          <t>ข้อ 58 (PLE_CC1_2561_Key.md)</t>
        </is>
      </c>
      <c r="O31" s="2" t="inlineStr">
        <is>
          <t>ข้อสอบจริง</t>
        </is>
      </c>
      <c r="P31" s="2" t="inlineStr">
        <is>
          <t>ปี 2561</t>
        </is>
      </c>
    </row>
    <row r="32" ht="13.2" customHeight="1" s="37">
      <c r="A32" s="2" t="n">
        <v>30</v>
      </c>
      <c r="B32" s="2" t="inlineStr">
        <is>
          <t>สมุนไพรในสาธารณสุขมูลฐานใดที่มีฤทธิ์ขับพยาธิ</t>
        </is>
      </c>
      <c r="C32" s="2" t="n"/>
      <c r="D32" s="2" t="inlineStr">
        <is>
          <t>ใบตำลึง</t>
        </is>
      </c>
      <c r="E32" s="2" t="inlineStr">
        <is>
          <t>เปลือกมังคุด</t>
        </is>
      </c>
      <c r="F32" s="2" t="inlineStr">
        <is>
          <t>เมล็ดฟVกทอง</t>
        </is>
      </c>
      <c r="G32" s="2" t="inlineStr">
        <is>
          <t>ผลแก.แมงลัก</t>
        </is>
      </c>
      <c r="H32" s="2" t="inlineStr">
        <is>
          <t>น้ำมันมะพร(าว</t>
        </is>
      </c>
      <c r="I32" s="2" t="n">
        <v>1</v>
      </c>
      <c r="J32" s="2" t="inlineStr">
        <is>
          <t>✅ คำตอบที่ถูกต้อง: ข้อ ก. ใบตำลึง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ใบตำลึง 💡 คำอธิบายและเหตุผลทางเภสัชกรรม:
💡 คำอธิบายและเหตุผลทางเภสัชกรรม:
การเลือก ใบตำลึง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ค. (เมล็ดฟVกทอง): ข้อนี้ไม่ใช่คำตอบที่ถูกต้องสำหรับภาวะ Herbal Extraction methods เนื่องจากกลไกการออกฤทธิ์, efficacy หรือข้อบ่งใช้ไม่ตรงกับโจทย์ที่กำหนด
• ข้อ ง. (ผลแก.แมงลัก): ข้อนี้ไม่ใช่คำตอบที่ถูกต้องสำหรับภาวะ Herbal Extraction methods เนื่องจากกลไกการออกฤทธิ์, efficacy หรือข้อบ่งใช้ไม่ตรงกับโจทย์ที่กำหนด
• ข้อ จ. (น้ำมันมะพร(าว):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Herbal Extraction methods</t>
        </is>
      </c>
      <c r="M32" s="2" t="inlineStr">
        <is>
          <t>Product</t>
        </is>
      </c>
      <c r="N32" s="2" t="inlineStr">
        <is>
          <t>ข้อ 65 (PLE_CC1_2561_Key.md)</t>
        </is>
      </c>
      <c r="O32" s="2" t="inlineStr">
        <is>
          <t>ข้อสอบจริง</t>
        </is>
      </c>
      <c r="P32" s="2" t="inlineStr">
        <is>
          <t>ปี 2561</t>
        </is>
      </c>
    </row>
    <row r="33" ht="13.2" customHeight="1" s="37">
      <c r="A33" s="2" t="n">
        <v>31</v>
      </c>
      <c r="B33" s="2" t="inlineStr">
        <is>
          <t>สมุนไพรในบัญชียาหลักหรือสาธารณสุขมูลธารตัวใดมีฤทธิ์แก(ขัด เบา</t>
        </is>
      </c>
      <c r="C33" s="2" t="n"/>
      <c r="D33" s="2" t="inlineStr">
        <is>
          <t>ช(าพลู</t>
        </is>
      </c>
      <c r="E33" s="2" t="inlineStr">
        <is>
          <t>รางจืด</t>
        </is>
      </c>
      <c r="F33" s="2" t="inlineStr">
        <is>
          <t>หญ(าปVกกิ่ง</t>
        </is>
      </c>
      <c r="G33" s="2" t="inlineStr">
        <is>
          <t>ฟqาทะลายโจร</t>
        </is>
      </c>
      <c r="H33" s="2" t="inlineStr">
        <is>
          <t>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t>
        </is>
      </c>
      <c r="I33" s="2" t="n">
        <v>1</v>
      </c>
      <c r="J33" s="2" t="inlineStr">
        <is>
          <t>✅ คำตอบที่ถูกต้อง: ข้อ ก. ช(าพลู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ช(าพลู 💡 คำอธิบายและเหตุผลทางเภสัชกรรม:
💡 คำอธิบายและเหตุผลทางเภสัชกรรม:
การเลือก ช(าพลู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(หญ(าปVกกิ่ง): ข้อนี้ไม่ใช่คำตอบที่ถูกต้องสำหรับภาวะ Herbal Extraction methods เนื่องจากกลไกการออกฤทธิ์, efficacy หรือข้อบ่งใช้ไม่ตรงกับโจทย์ที่กำหนด
• ข้อ ง. (ฟqาทะลายโจร):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จ. (กระเจี๊ยบแดง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Herbal Extraction methods</t>
        </is>
      </c>
      <c r="M33" s="2" t="inlineStr">
        <is>
          <t>Product</t>
        </is>
      </c>
      <c r="N33" s="2" t="inlineStr">
        <is>
          <t>ข้อ 75 (PLE_CC1_2561_Key.md)</t>
        </is>
      </c>
      <c r="O33" s="2" t="inlineStr">
        <is>
          <t>ข้อสอบจริง</t>
        </is>
      </c>
      <c r="P33" s="2" t="inlineStr">
        <is>
          <t>ปี 2561</t>
        </is>
      </c>
    </row>
    <row r="34" ht="13.2" customHeight="1" s="37">
      <c r="A34" s="2" t="n">
        <v>32</v>
      </c>
      <c r="B34" s="2" t="inlineStr">
        <is>
          <t>ต.อมาผู(ปcวยตั้งครรภ (หลังจากหยุดยาสิวไปแล(ว 1 ปá) แล(วมีอาการ คลื่นไส(อาเจียน ท.านจะใช(สมุนไพร ตัวใดการรักษาอาการ F</t>
        </is>
      </c>
      <c r="C34" s="2" t="n"/>
      <c r="D34" s="2" t="inlineStr">
        <is>
          <t>ขิง</t>
        </is>
      </c>
      <c r="E34" s="2" t="inlineStr">
        <is>
          <t>รางจืด</t>
        </is>
      </c>
      <c r="F34" s="2" t="inlineStr">
        <is>
          <t>ขมิ้นชัน</t>
        </is>
      </c>
      <c r="G34" s="2" t="inlineStr">
        <is>
          <t>เถาวัลยเปรียง</t>
        </is>
      </c>
      <c r="H34" s="2" t="inlineStr">
        <is>
          <t>ฟqาทะลายโจร</t>
        </is>
      </c>
      <c r="I34" s="2" t="n">
        <v>1</v>
      </c>
      <c r="J34"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ข้อนี้ไม่ใช่คำตอบที่ถูกต้องสำหรับภาวะ Herbal Extraction methods เนื่องจากกลไกการออกฤทธิ์, efficacy หรือข้อบ่งใช้ไม่ตรงกับโจทย์ที่กำหนด
• ข้อ ค.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ง. (เถาวัลยเปรียง): ข้อนี้ไม่ใช่คำตอบที่ถูกต้องสำหรับภาวะ Herbal Extraction methods เนื่องจากกลไกการออกฤทธิ์, efficacy หรือข้อบ่งใช้ไม่ตรงกับโจทย์ที่กำหนด
• ข้อ จ. (ฟqาทะลายโจร):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Herbal Extraction methods</t>
        </is>
      </c>
      <c r="M34" s="2" t="inlineStr">
        <is>
          <t>Product</t>
        </is>
      </c>
      <c r="N34" s="2" t="inlineStr">
        <is>
          <t>ข้อ 82 (PLE_CC1_2561_Key.md)</t>
        </is>
      </c>
      <c r="O34" s="2" t="inlineStr">
        <is>
          <t>ข้อสอบจริง</t>
        </is>
      </c>
      <c r="P34" s="2" t="inlineStr">
        <is>
          <t>ปี 2561</t>
        </is>
      </c>
    </row>
    <row r="35" ht="13.2" customHeight="1" s="37">
      <c r="A35" s="2" t="n">
        <v>33</v>
      </c>
      <c r="B35" s="2" t="inlineStr">
        <is>
          <t>ยาสมุนไพรใดแก(พิษแมลงสัตวกัดต.อย</t>
        </is>
      </c>
      <c r="C35" s="2" t="n"/>
      <c r="D35" s="2" t="inlineStr">
        <is>
          <t>พญายอ</t>
        </is>
      </c>
      <c r="E35" s="2" t="inlineStr">
        <is>
          <t>ขมิ้นชัน</t>
        </is>
      </c>
      <c r="F35" s="2" t="inlineStr">
        <is>
          <t>เหง(าไพร</t>
        </is>
      </c>
      <c r="G35" s="2" t="inlineStr">
        <is>
          <t>เปลือกมังคุด</t>
        </is>
      </c>
      <c r="H35" s="2" t="inlineStr">
        <is>
          <t>ว.านหางจระเข( e e</t>
        </is>
      </c>
      <c r="I35" s="2" t="n">
        <v>1</v>
      </c>
      <c r="J35" s="2" t="inlineStr">
        <is>
          <t>✅ คำตอบที่ถูกต้อง: ข้อ ก. พญายอ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พญายอ 💡 คำอธิบายและเหตุผลทางเภสัชกรรม:
💡 คำอธิบายและเหตุผลทางเภสัชกรรม:
การเลือก พญายอ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ค. (เหง(าไพร): ข้อนี้ไม่ใช่คำตอบที่ถูกต้องสำหรับภาวะ Herbal Extraction methods เนื่องจากกลไกการออกฤทธิ์, efficacy หรือข้อบ่งใช้ไม่ตรงกับโจทย์ที่กำหนด
• ข้อ ง. (เปลือกมังคุด):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จ. (ว.านหางจระเข( e 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Herbal Extraction methods</t>
        </is>
      </c>
      <c r="M35" s="2" t="inlineStr">
        <is>
          <t>Product</t>
        </is>
      </c>
      <c r="N35" s="2" t="inlineStr">
        <is>
          <t>ข้อ 122 (PLE_CC1_2561_Key.md)</t>
        </is>
      </c>
      <c r="O35" s="2" t="inlineStr">
        <is>
          <t>ข้อสอบจริง</t>
        </is>
      </c>
      <c r="P35" s="2" t="inlineStr">
        <is>
          <t>ปี 2561</t>
        </is>
      </c>
    </row>
    <row r="36" ht="13.2" customHeight="1" s="37">
      <c r="A36" s="2" t="n">
        <v>34</v>
      </c>
      <c r="B36" s="2" t="inlineStr">
        <is>
          <t>สมุนไพรใดบรรเทาอาการคลื่นไส้ อาเจียนได้</t>
        </is>
      </c>
      <c r="C36" s="2" t="n"/>
      <c r="D36" s="2" t="inlineStr">
        <is>
          <t>ขิง</t>
        </is>
      </c>
      <c r="E36" s="2" t="inlineStr">
        <is>
          <t>ไพล</t>
        </is>
      </c>
      <c r="F36" s="2" t="inlineStr">
        <is>
          <t>ดีปลี</t>
        </is>
      </c>
      <c r="G36" s="2" t="inlineStr">
        <is>
          <t>...</t>
        </is>
      </c>
      <c r="H36" s="2" t="inlineStr">
        <is>
          <t>Supercritical Fluid Extraction (SFE-CO2)</t>
        </is>
      </c>
      <c r="I36" s="2" t="n">
        <v>1</v>
      </c>
      <c r="J36"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(ไพล): ข้อนี้ไม่ใช่คำตอบที่ถูกต้องสำหรับภาวะ Herbal Extraction methods เนื่องจากกลไกการออกฤทธิ์, efficacy หรือข้อบ่งใช้ไม่ตรงกับโจทย์ที่กำหนด
• ข้อ ค. (ดีปลี): ข้อนี้ไม่ใช่คำตอบที่ถูกต้องสำหรับภาวะ Herbal Extraction methods เนื่องจากกลไกการออกฤทธิ์, efficacy หรือข้อบ่งใช้ไม่ตรงกับโจทย์ที่กำหนด
• ข้อ ง. (...): ข้อนี้ไม่ใช่คำตอบที่ถูกต้องสำหรับภาวะ Herbal Extraction methods เนื่องจากกลไกการออกฤทธิ์, efficacy หรือข้อบ่งใช้ไม่ตรงกับโจทย์ที่กำหนด
• ข้อ จ.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Herbal Extraction methods</t>
        </is>
      </c>
      <c r="M36" s="2" t="inlineStr">
        <is>
          <t>Product</t>
        </is>
      </c>
      <c r="N36" s="2" t="inlineStr">
        <is>
          <t>ข้อ 4 (PLE_CC1_2560 22 April Set 1.md)</t>
        </is>
      </c>
      <c r="O36" s="2" t="inlineStr">
        <is>
          <t>ข้อสอบจริง</t>
        </is>
      </c>
      <c r="P36" s="2" t="inlineStr">
        <is>
          <t>ปี 2560</t>
        </is>
      </c>
    </row>
    <row r="37" ht="13.2" customHeight="1" s="37">
      <c r="A37" s="2" t="n">
        <v>35</v>
      </c>
      <c r="B37" s="2" t="inlineStr">
        <is>
          <t>สมุนไพรใดที่ห้ามใช้ในผู้ป่วยไต และความดัน</t>
        </is>
      </c>
      <c r="C37" s="2" t="n"/>
      <c r="D37" s="2" t="inlineStr">
        <is>
          <t>ขิง</t>
        </is>
      </c>
      <c r="E37" s="2" t="inlineStr">
        <is>
          <t>กระชาย</t>
        </is>
      </c>
      <c r="F37" s="2" t="inlineStr">
        <is>
          <t>หญ้าหนวดแมว</t>
        </is>
      </c>
      <c r="G37" s="2" t="inlineStr">
        <is>
          <t>ข่า</t>
        </is>
      </c>
      <c r="H37" s="2" t="inlineStr">
        <is>
          <t>ทองพันชั่ง ห้ามนำไปทำซ้ำทุกกรณี เว้นแต่จะได้รับอนุญาต</t>
        </is>
      </c>
      <c r="I37" s="2" t="n">
        <v>1</v>
      </c>
      <c r="J37"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หลังจากนั น 3 ปีพบว่าผู้ป่วยได้รับการวินิจฉัยว่าเป็น atrial fibrillation และได้รับยา warfarin 3 mg 1 tab hs.
USP/NF, British Pharmacopoeia (BP) และ Remington: The Science and Practice of Pharmacy (หัวข้อ Herbal Extraction methods)
🔍 ข้ออื่นผิดเพราะอะไร:
• ข้อ ข. (กระชาย):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(หญ้าหนวดแมว): ข้อนี้ไม่ใช่คำตอบที่ถูกต้องสำหรับภาวะ Herbal Extraction methods เนื่องจากกลไกการออกฤทธิ์, efficacy หรือข้อบ่งใช้ไม่ตรงกับโจทย์ที่กำหนด
• ข้อ ง. (ข่า): ข้อนี้ไม่ใช่คำตอบที่ถูกต้องสำหรับภาวะ Herbal Extraction methods เนื่องจากกลไกการออกฤทธิ์, efficacy หรือข้อบ่งใช้ไม่ตรงกับโจทย์ที่กำหนด
• ข้อ จ. (ทองพันชั่ง ห้ามนำไปทำซ้ำทุกกรณี เว้นแต่จะได้รับอนุญาต):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Herbal Extraction methods</t>
        </is>
      </c>
      <c r="M37" s="2" t="inlineStr">
        <is>
          <t>Product</t>
        </is>
      </c>
      <c r="N37" s="2" t="inlineStr">
        <is>
          <t>ข้อ 5 (PLE_CC1_2559.md)</t>
        </is>
      </c>
      <c r="O37" s="2" t="inlineStr">
        <is>
          <t>ข้อสอบจริง</t>
        </is>
      </c>
      <c r="P37" s="2" t="inlineStr">
        <is>
          <t>ปี 2559</t>
        </is>
      </c>
    </row>
    <row r="38" ht="13.2" customHeight="1" s="37">
      <c r="A38" s="2" t="n">
        <v>36</v>
      </c>
      <c r="B38" s="2" t="inlineStr">
        <is>
          <t>สมุนไพรใดที่ใช้ในการเลิกบุหรี่</t>
        </is>
      </c>
      <c r="C38" s="2" t="n"/>
      <c r="D38" s="2" t="inlineStr">
        <is>
          <t>เพชรสังฆาต</t>
        </is>
      </c>
      <c r="E38" s="2" t="inlineStr">
        <is>
          <t>พริก</t>
        </is>
      </c>
      <c r="F38" s="2" t="inlineStr">
        <is>
          <t>หญ้าดอกขาว</t>
        </is>
      </c>
      <c r="G38" s="2" t="inlineStr">
        <is>
          <t>ขลู่</t>
        </is>
      </c>
      <c r="H38" s="2" t="inlineStr">
        <is>
          <t>มะระขี นก</t>
        </is>
      </c>
      <c r="I38" s="2" t="n">
        <v>1</v>
      </c>
      <c r="J38" s="2" t="inlineStr">
        <is>
          <t>✅ คำตอบที่ถูกต้อง: ข้อ ก. เพชรสังฆาต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เพชรสังฆาต 💡 คำอธิบายและเหตุผลทางเภสัชกรรม:
💡 คำอธิบายและเหตุผลทางเภสัชกรรม:
การเลือก เพชรสังฆาต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(หญ้าดอกขาว): ข้อนี้ไม่ใช่คำตอบที่ถูกต้องสำหรับภาวะ Herbal Extraction methods เนื่องจากกลไกการออกฤทธิ์, efficacy หรือข้อบ่งใช้ไม่ตรงกับโจทย์ที่กำหนด
• ข้อ ง. (ขลู่): ข้อนี้ไม่ใช่คำตอบที่ถูกต้องสำหรับภาวะ Herbal Extraction methods เนื่องจากกลไกการออกฤทธิ์, efficacy หรือข้อบ่งใช้ไม่ตรงกับโจทย์ที่กำหนด
• ข้อ จ. (มะระขี นก):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Herbal Extraction methods</t>
        </is>
      </c>
      <c r="M38" s="2" t="inlineStr">
        <is>
          <t>Product</t>
        </is>
      </c>
      <c r="N38" s="2" t="inlineStr">
        <is>
          <t>ข้อ 14 (PLE_CC1_2559.md)</t>
        </is>
      </c>
      <c r="O38" s="2" t="inlineStr">
        <is>
          <t>ข้อสอบจริง</t>
        </is>
      </c>
      <c r="P38" s="2" t="inlineStr">
        <is>
          <t>ปี 2559</t>
        </is>
      </c>
    </row>
    <row r="39" ht="13.2" customHeight="1" s="37">
      <c r="A39" s="2" t="n">
        <v>37</v>
      </c>
      <c r="B39" s="2" t="inlineStr">
        <is>
          <t>ยาสมุนไพรหรือยาแผนโบราณใดที่ใช้ในการรักษาอีสุกอีใส</t>
        </is>
      </c>
      <c r="C39" s="2" t="n"/>
      <c r="D39" s="2" t="inlineStr">
        <is>
          <t>ยามหานิลแท่งทอง</t>
        </is>
      </c>
      <c r="E39" s="2" t="inlineStr">
        <is>
          <t>ยาจันทน์ลีลา</t>
        </is>
      </c>
      <c r="F39" s="2" t="inlineStr">
        <is>
          <t>ยาเบญจกูล</t>
        </is>
      </c>
      <c r="G39" s="2" t="inlineStr">
        <is>
          <t>ยาเบญจโลกวิเชียร</t>
        </is>
      </c>
      <c r="H39" s="2" t="inlineStr">
        <is>
          <t>ยาหอมอินทรจักร ห้ามนำไปทำซ้ำทุกกรณี เว้นแต่จะได้รับอนุญาต</t>
        </is>
      </c>
      <c r="I39" s="2" t="n">
        <v>1</v>
      </c>
      <c r="J39" s="2" t="inlineStr">
        <is>
          <t>✅ คำตอบที่ถูกต้อง: ข้อ ก. ยามหานิลแท่งทอง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ยามหานิลแท่งทอง 💡 คำอธิบายและเหตุผลทางเภสัชกรรม:
💡 คำอธิบายและเหตุผลทางเภสัชกรรม:
การเลือก ยามหานิลแท่งทอง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(ยาจันทน์ลีลา): ข้อนี้ไม่ใช่คำตอบที่ถูกต้องสำหรับภาวะ Herbal Extraction methods เนื่องจากกลไกการออกฤทธิ์, efficacy หรือข้อบ่งใช้ไม่ตรงกับโจทย์ที่กำหนด
• ข้อ ค. (ยาเบญจกูล): ข้อนี้ไม่ใช่คำตอบที่ถูกต้องสำหรับภาวะ Herbal Extraction methods เนื่องจากกลไกการออกฤทธิ์, efficacy หรือข้อบ่งใช้ไม่ตรงกับโจทย์ที่กำหนด
• ข้อ ง. (ยาเบญจโลกวิเชียร): ข้อนี้ไม่ใช่คำตอบที่ถูกต้องสำหรับภาวะ Herbal Extraction methods เนื่องจากกลไกการออกฤทธิ์, efficacy หรือข้อบ่งใช้ไม่ตรงกับโจทย์ที่กำหนด
• ข้อ จ. (ยาหอมอินทรจักร ห้ามนำไปทำซ้ำทุกกรณี เว้นแต่จะได้รับอนุญาต):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Herbal Extraction methods</t>
        </is>
      </c>
      <c r="M39" s="2" t="inlineStr">
        <is>
          <t>Product</t>
        </is>
      </c>
      <c r="N39" s="2" t="inlineStr">
        <is>
          <t>ข้อ 38 (PLE_CC1_2559.md)</t>
        </is>
      </c>
      <c r="O39" s="2" t="inlineStr">
        <is>
          <t>ข้อสอบจริง</t>
        </is>
      </c>
      <c r="P39" s="2" t="inlineStr">
        <is>
          <t>ปี 2559</t>
        </is>
      </c>
    </row>
    <row r="40" ht="13.2" customHeight="1" s="37">
      <c r="A40" s="2" t="n">
        <v>38</v>
      </c>
      <c r="B40" s="2" t="inlineStr">
        <is>
          <t>ยาสมุนไพรใดให้ผลการรักษาเทียบเท่ากับ NSAID</t>
        </is>
      </c>
      <c r="C40" s="2" t="n"/>
      <c r="D40" s="2" t="inlineStr">
        <is>
          <t>ขมิ้นชัน</t>
        </is>
      </c>
      <c r="E40" s="2" t="inlineStr">
        <is>
          <t>ใบฝรั่ง</t>
        </is>
      </c>
      <c r="F40" s="2" t="inlineStr">
        <is>
          <t>เมล็ดน้อยหน่า</t>
        </is>
      </c>
      <c r="G40" s="2" t="inlineStr">
        <is>
          <t>เถาวัลย์เปรียง</t>
        </is>
      </c>
      <c r="H40" s="2" t="inlineStr">
        <is>
          <t>เจลพริก</t>
        </is>
      </c>
      <c r="I40" s="2" t="n">
        <v>1</v>
      </c>
      <c r="J40" s="2" t="inlineStr">
        <is>
          <t>✅ คำตอบที่ถูกต้อง: ข้อ ก. ขมิ้นชัน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ขมิ้นชัน 💡 คำอธิบายและเหตุผลทางเภสัชกรรม:
💡 คำอธิบายและเหตุผลทางเภสัชกรรม:
การเลือก ขมิ้นชัน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(ใบฝรั่ง): ข้อนี้ไม่ใช่คำตอบที่ถูกต้องสำหรับภาวะ Herbal Extraction methods เนื่องจากกลไกการออกฤทธิ์, efficacy หรือข้อบ่งใช้ไม่ตรงกับโจทย์ที่กำหนด
• ข้อ ค. (เมล็ดน้อยหน่า): ข้อนี้ไม่ใช่คำตอบที่ถูกต้องสำหรับภาวะ Herbal Extraction methods เนื่องจากกลไกการออกฤทธิ์, efficacy หรือข้อบ่งใช้ไม่ตรงกับโจทย์ที่กำหนด
• ข้อ ง. (เถาวัลย์เปรียง): ข้อนี้ไม่ใช่คำตอบที่ถูกต้องสำหรับภาวะ Herbal Extraction methods เนื่องจากกลไกการออกฤทธิ์, efficacy หรือข้อบ่งใช้ไม่ตรงกับโจทย์ที่กำหนด
• ข้อ จ. (เจลพริก):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Herbal Extraction methods</t>
        </is>
      </c>
      <c r="M40" s="2" t="inlineStr">
        <is>
          <t>Product</t>
        </is>
      </c>
      <c r="N40" s="2" t="inlineStr">
        <is>
          <t>ข้อ 64 (PLE_CC1_2558_Key.md)</t>
        </is>
      </c>
      <c r="O40" s="2" t="inlineStr">
        <is>
          <t>ข้อสอบจริง</t>
        </is>
      </c>
      <c r="P40" s="2" t="inlineStr">
        <is>
          <t>ปี 2558</t>
        </is>
      </c>
    </row>
    <row r="41" ht="13.2" customHeight="1" s="37">
      <c r="A41" s="2" t="n">
        <v>39</v>
      </c>
      <c r="B41" s="2" t="inlineStr">
        <is>
          <t>สมุนไพรข้อใดที่ใช้ในการรักษากลาก เกลื้อน ฮ่องกงฟุต</t>
        </is>
      </c>
      <c r="C41" s="2" t="n"/>
      <c r="D41" s="2" t="inlineStr">
        <is>
          <t>ยาทาขลู่</t>
        </is>
      </c>
      <c r="E41" s="2" t="inlineStr">
        <is>
          <t>ยาทาทองพันชั่ง</t>
        </is>
      </c>
      <c r="F41" s="2" t="inlineStr">
        <is>
          <t>ครีมพญายอ</t>
        </is>
      </c>
      <c r="G41" s="2" t="inlineStr">
        <is>
          <t>ครีมบัวบก</t>
        </is>
      </c>
      <c r="H41" s="2" t="inlineStr">
        <is>
          <t>เจลว่านหางจระเข้</t>
        </is>
      </c>
      <c r="I41" s="2" t="n">
        <v>1</v>
      </c>
      <c r="J41" s="2" t="inlineStr">
        <is>
          <t>✅ คำตอบที่ถูกต้อง: ข้อ ก. ยาทาขลู่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ยาทาขลู่ 💡 คำอธิบายและเหตุผลทางเภสัชกรรม:
💡 คำอธิบายและเหตุผลทางเภสัชกรรม:
การเลือก ยาทาขลู่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(ยาทาทองพันชั่ง):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ข้อ ค. (ครีมพญายอ): ข้อนี้ไม่ใช่คำตอบที่ถูกต้องสำหรับภาวะ Herbal Extraction methods เนื่องจากกลไกการออกฤทธิ์, efficacy หรือข้อบ่งใช้ไม่ตรงกับโจทย์ที่กำหนด
• ข้อ ง. (ครีมบัวบก): ข้อนี้ไม่ใช่คำตอบที่ถูกต้องสำหรับภาวะ Herbal Extraction methods เนื่องจากกลไกการออกฤทธิ์, efficacy หรือข้อบ่งใช้ไม่ตรงกับโจทย์ที่กำหนด
• ข้อ จ. (เจลว่านหางจระเข้):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Herbal Extraction methods</t>
        </is>
      </c>
      <c r="M41" s="2" t="inlineStr">
        <is>
          <t>Product</t>
        </is>
      </c>
      <c r="N41" s="2" t="inlineStr">
        <is>
          <t>ข้อ 98 (PLE_CC1_2558_Key.md)</t>
        </is>
      </c>
      <c r="O41" s="2" t="inlineStr">
        <is>
          <t>ข้อสอบจริง</t>
        </is>
      </c>
      <c r="P41" s="2" t="inlineStr">
        <is>
          <t>ปี 2558</t>
        </is>
      </c>
    </row>
    <row r="42" ht="13.2" customHeight="1" s="37">
      <c r="A42" s="2" t="n">
        <v>40</v>
      </c>
      <c r="B42" s="2" t="inlineStr">
        <is>
          <t>สมุนไพรในข้อใดช่วยรักษาอาการงูสวัด</t>
        </is>
      </c>
      <c r="C42" s="2" t="n"/>
      <c r="D42" s="2" t="inlineStr">
        <is>
          <t>เจลว่านหางจระเข้</t>
        </is>
      </c>
      <c r="E42" s="2" t="inlineStr">
        <is>
          <t>ยาเปลือกมังคุด</t>
        </is>
      </c>
      <c r="F42" s="2" t="inlineStr">
        <is>
          <t>ครีมพญายอ</t>
        </is>
      </c>
      <c r="G42" s="2" t="inlineStr">
        <is>
          <t>ทิงเจอร์พลู</t>
        </is>
      </c>
      <c r="H42" s="2" t="inlineStr">
        <is>
          <t>ยาบัวบก</t>
        </is>
      </c>
      <c r="I42" s="2" t="n">
        <v>1</v>
      </c>
      <c r="J42" s="2" t="inlineStr">
        <is>
          <t>✅ คำตอบที่ถูกต้อง: ข้อ ก. เจลว่านหางจระเข้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เจลว่านหางจระเข้ 💡 คำอธิบายและเหตุผลทางเภสัชกรรม:
💡 คำอธิบายและเหตุผลทางเภสัชกรรม:
การเลือก เจลว่านหางจระเข้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(ยาเปลือกมังคุด): ข้อนี้ไม่ใช่คำตอบที่ถูกต้องสำหรับภาวะ Herbal Extraction methods เนื่องจากกลไกการออกฤทธิ์, efficacy หรือข้อบ่งใช้ไม่ตรงกับโจทย์ที่กำหนด
• ข้อ ค. (ครีมพญายอ): ข้อนี้ไม่ใช่คำตอบที่ถูกต้องสำหรับภาวะ Herbal Extraction methods เนื่องจากกลไกการออกฤทธิ์, efficacy หรือข้อบ่งใช้ไม่ตรงกับโจทย์ที่กำหนด
• ข้อ ง. (ทิงเจอร์พลู): ข้อนี้ไม่ใช่คำตอบที่ถูกต้องสำหรับภาวะ Herbal Extraction methods เนื่องจากกลไกการออกฤทธิ์, efficacy หรือข้อบ่งใช้ไม่ตรงกับโจทย์ที่กำหนด
• ข้อ จ. (ยาบัวบก):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Herbal Extraction methods</t>
        </is>
      </c>
      <c r="M42" s="2" t="inlineStr">
        <is>
          <t>Product</t>
        </is>
      </c>
      <c r="N42" s="2" t="inlineStr">
        <is>
          <t>ข้อ 15 (Pharmtutor_2024_Set1.md)</t>
        </is>
      </c>
      <c r="O42" s="2" t="inlineStr">
        <is>
          <t>Mock</t>
        </is>
      </c>
      <c r="P42" s="2" t="inlineStr">
        <is>
          <t>Mock Pharmtutor 2024</t>
        </is>
      </c>
    </row>
    <row r="43" ht="13.2" customHeight="1" s="37">
      <c r="A43" s="2" t="n">
        <v>41</v>
      </c>
      <c r="B43" s="2" t="inlineStr">
        <is>
          <t>สมุนไพรในข้อใดช่วยบรรเทาอาการคลื่นไส้อาเจียน</t>
        </is>
      </c>
      <c r="C43" s="2" t="n"/>
      <c r="D43" s="2" t="inlineStr">
        <is>
          <t>เหง้าขิง</t>
        </is>
      </c>
      <c r="E43" s="2" t="inlineStr">
        <is>
          <t>ข่า</t>
        </is>
      </c>
      <c r="F43" s="2" t="inlineStr">
        <is>
          <t>ตะไคร้</t>
        </is>
      </c>
      <c r="G43" s="2" t="inlineStr">
        <is>
          <t>ขมิ้นชัน</t>
        </is>
      </c>
      <c r="H43" s="2" t="inlineStr">
        <is>
          <t>ใบมะกรูด</t>
        </is>
      </c>
      <c r="I43" s="2" t="n">
        <v>1</v>
      </c>
      <c r="J43"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(ข่า): ข้อนี้ไม่ใช่คำตอบที่ถูกต้องสำหรับภาวะ Herbal Extraction methods เนื่องจากกลไกการออกฤทธิ์, efficacy หรือข้อบ่งใช้ไม่ตรงกับโจทย์ที่กำหนด
• ข้อ ค. (ตะไคร้): ข้อนี้ไม่ใช่คำตอบที่ถูกต้องสำหรับภาวะ Herbal Extraction methods เนื่องจากกลไกการออกฤทธิ์, efficacy หรือข้อบ่งใช้ไม่ตรงกับโจทย์ที่กำหนด
• ข้อ ง.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จ. (ใบมะกรูด):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Herbal Extraction methods</t>
        </is>
      </c>
      <c r="M43" s="2" t="inlineStr">
        <is>
          <t>Product</t>
        </is>
      </c>
      <c r="N43" s="2" t="inlineStr">
        <is>
          <t>ข้อ 22 (Pharmtutor_2024_Set1.md)</t>
        </is>
      </c>
      <c r="O43" s="2" t="inlineStr">
        <is>
          <t>Mock</t>
        </is>
      </c>
      <c r="P43" s="2" t="inlineStr">
        <is>
          <t>Mock Pharmtutor 2024</t>
        </is>
      </c>
    </row>
    <row r="44" ht="13.2" customHeight="1" s="37">
      <c r="A44" s="2" t="n">
        <v>42</v>
      </c>
      <c r="B44" s="2" t="inlineStr">
        <is>
          <t>สมุนไพรในข้อใดบรรเทาอาการต่างจากข้ออื่น</t>
        </is>
      </c>
      <c r="C44" s="2" t="n"/>
      <c r="D44" s="2" t="inlineStr">
        <is>
          <t>เปลือกทับทิม</t>
        </is>
      </c>
      <c r="E44" s="2" t="inlineStr">
        <is>
          <t>กล้วยน้ำหว้าดิบ</t>
        </is>
      </c>
      <c r="F44" s="2" t="inlineStr">
        <is>
          <t>ใบสีเสียด</t>
        </is>
      </c>
      <c r="G44" s="2" t="inlineStr">
        <is>
          <t>มะขามแขก</t>
        </is>
      </c>
      <c r="H44" s="2" t="inlineStr">
        <is>
          <t>ฟ้าทะลายโจร</t>
        </is>
      </c>
      <c r="I44" s="2" t="n">
        <v>1</v>
      </c>
      <c r="J44" s="2" t="inlineStr">
        <is>
          <t>✅ คำตอบที่ถูกต้อง: ข้อ ก. เปลือกทับทิม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เปลือกทับทิม 💡 คำอธิบายและเหตุผลทางเภสัชกรรม:
💡 คำอธิบายและเหตุผลทางเภสัชกรรม:
การเลือก เปลือกทับทิม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(กล้วยน้ำหว้าดิบ): ข้อนี้ไม่ใช่คำตอบที่ถูกต้องสำหรับภาวะ Herbal Extraction methods เนื่องจากกลไกการออกฤทธิ์, efficacy หรือข้อบ่งใช้ไม่ตรงกับโจทย์ที่กำหนด
• ข้อ ค. (ใบสีเสียด): ข้อนี้ไม่ใช่คำตอบที่ถูกต้องสำหรับภาวะ Herbal Extraction methods เนื่องจากกลไกการออกฤทธิ์, efficacy หรือข้อบ่งใช้ไม่ตรงกับโจทย์ที่กำหนด
• ข้อ ง. (มะขามแขก): ข้อนี้ไม่ใช่คำตอบที่ถูกต้องสำหรับภาวะ Herbal Extraction methods เนื่องจากกลไกการออกฤทธิ์, efficacy หรือข้อบ่งใช้ไม่ตรงกับโจทย์ที่กำหนด
• ข้อ จ.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Herbal Extraction methods</t>
        </is>
      </c>
      <c r="M44" s="2" t="inlineStr">
        <is>
          <t>Product</t>
        </is>
      </c>
      <c r="N44" s="2" t="inlineStr">
        <is>
          <t>ข้อ 26 (Pharmtutor_2024_Set1.md)</t>
        </is>
      </c>
      <c r="O44" s="2" t="inlineStr">
        <is>
          <t>Mock</t>
        </is>
      </c>
      <c r="P44" s="2" t="inlineStr">
        <is>
          <t>Mock Pharmtutor 2024</t>
        </is>
      </c>
    </row>
    <row r="45" ht="13.2" customHeight="1" s="37">
      <c r="A45" s="2" t="n">
        <v>43</v>
      </c>
      <c r="B45" s="2" t="inlineStr">
        <is>
          <t>ยาสมุนไพรในข้อใด มีข้อบ่งใช้ในการบรรเทาอการของโรคโพรงจมูกอักเสบ</t>
        </is>
      </c>
      <c r="C45" s="2" t="n"/>
      <c r="D45" s="2" t="inlineStr">
        <is>
          <t>ยาประสะไพล</t>
        </is>
      </c>
      <c r="E45" s="2" t="inlineStr">
        <is>
          <t>ยาธาตุบรรจบ</t>
        </is>
      </c>
      <c r="F45" s="2" t="inlineStr">
        <is>
          <t>ยาปราบชมพูทวีป</t>
        </is>
      </c>
      <c r="G45" s="2" t="inlineStr">
        <is>
          <t>ยาเหลืองปิดสมุทร</t>
        </is>
      </c>
      <c r="H45" s="2" t="inlineStr">
        <is>
          <t>ยาแคปซูลฟ้าทะลายโจร</t>
        </is>
      </c>
      <c r="I45" s="2" t="n">
        <v>1</v>
      </c>
      <c r="J45" s="2" t="inlineStr">
        <is>
          <t>✅ คำตอบที่ถูกต้อง: ข้อ ก. ยาประสะไพล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ยาประสะไพล 💡 คำอธิบายและเหตุผลทางเภสัชกรรม:
💡 คำอธิบายและเหตุผลทางเภสัชกรรม:
การเลือก ยาประสะไพล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(ยาธาตุบรรจบ): ข้อนี้ไม่ใช่คำตอบที่ถูกต้องสำหรับภาวะ Herbal Extraction methods เนื่องจากกลไกการออกฤทธิ์, efficacy หรือข้อบ่งใช้ไม่ตรงกับโจทย์ที่กำหนด
• ข้อ ค. (ยาปราบชมพูทวีป): ข้อนี้ไม่ใช่คำตอบที่ถูกต้องสำหรับภาวะ Herbal Extraction methods เนื่องจากกลไกการออกฤทธิ์, efficacy หรือข้อบ่งใช้ไม่ตรงกับโจทย์ที่กำหนด
• ข้อ ง. (ยาเหลืองปิดสมุทร): ข้อนี้ไม่ใช่คำตอบที่ถูกต้องสำหรับภาวะ Herbal Extraction methods เนื่องจากกลไกการออกฤทธิ์, efficacy หรือข้อบ่งใช้ไม่ตรงกับโจทย์ที่กำหนด
• ข้อ จ. (ยาแคปซูลฟ้าทะลายโจร):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Herbal Extraction methods</t>
        </is>
      </c>
      <c r="M45" s="2" t="inlineStr">
        <is>
          <t>Product</t>
        </is>
      </c>
      <c r="N45" s="2" t="inlineStr">
        <is>
          <t>ข้อ 87 (Pharmtutor_2024_Set1.md)</t>
        </is>
      </c>
      <c r="O45" s="2" t="inlineStr">
        <is>
          <t>Mock</t>
        </is>
      </c>
      <c r="P45" s="2" t="inlineStr">
        <is>
          <t>Mock Pharmtutor 2024</t>
        </is>
      </c>
    </row>
    <row r="46" ht="13.2" customHeight="1" s="37">
      <c r="A46" s="2" t="n">
        <v>44</v>
      </c>
      <c r="B46" s="2" t="inlineStr">
        <is>
          <t>ผู้ป่วยเริม สามารถใช้สมุนไพรชนิดใด สำหรับบรรเทาอาการ</t>
        </is>
      </c>
      <c r="C46" s="2" t="n"/>
      <c r="D46" s="2" t="inlineStr">
        <is>
          <t>รางจืด</t>
        </is>
      </c>
      <c r="E46" s="2" t="inlineStr">
        <is>
          <t>เพชรสังฆาต</t>
        </is>
      </c>
      <c r="F46" s="2" t="inlineStr">
        <is>
          <t>มะระขี้นก</t>
        </is>
      </c>
      <c r="G46" s="2" t="inlineStr">
        <is>
          <t>ครีมพญายอ</t>
        </is>
      </c>
      <c r="H46" s="2" t="inlineStr">
        <is>
          <t>ทองพันชั่ง</t>
        </is>
      </c>
      <c r="I46" s="2" t="n">
        <v>1</v>
      </c>
      <c r="J46" s="2" t="inlineStr">
        <is>
          <t>✅ คำตอบที่ถูกต้อง: ข้อ ก. รางจืด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รางจืด 💡 คำอธิบายและเหตุผลทางเภสัชกรรม:
💡 คำอธิบายและเหตุผลทางเภสัชกรรม:
การเลือก รางจืด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(เพชรสังฆาต): ข้อนี้ไม่ใช่คำตอบที่ถูกต้องสำหรับภาวะ Herbal Extraction methods เนื่องจากกลไกการออกฤทธิ์, efficacy หรือข้อบ่งใช้ไม่ตรงกับโจทย์ที่กำหนด
• ข้อ ค. (มะระขี้นก): ข้อนี้ไม่ใช่คำตอบที่ถูกต้องสำหรับภาวะ Herbal Extraction methods เนื่องจากกลไกการออกฤทธิ์, efficacy หรือข้อบ่งใช้ไม่ตรงกับโจทย์ที่กำหนด
• ข้อ ง. (ครีมพญายอ): ข้อนี้ไม่ใช่คำตอบที่ถูกต้องสำหรับภาวะ Herbal Extraction methods เนื่องจากกลไกการออกฤทธิ์, efficacy หรือข้อบ่งใช้ไม่ตรงกับโจทย์ที่กำหนด
• ข้อ จ. (ทองพันชั่ง):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Herbal Extraction methods</t>
        </is>
      </c>
      <c r="M46" s="2" t="inlineStr">
        <is>
          <t>Product</t>
        </is>
      </c>
      <c r="N46" s="2" t="inlineStr">
        <is>
          <t>ข้อ 16 (Pharmtutor_2024_Set2.md)</t>
        </is>
      </c>
      <c r="O46" s="2" t="inlineStr">
        <is>
          <t>Mock</t>
        </is>
      </c>
      <c r="P46" s="2" t="inlineStr">
        <is>
          <t>Mock Pharmtutor 2024</t>
        </is>
      </c>
    </row>
    <row r="47" ht="13.2" customHeight="1" s="37">
      <c r="A47" s="2" t="n">
        <v>45</v>
      </c>
      <c r="B47" s="2" t="inlineStr">
        <is>
          <t>สมุนไพรในข้อใด มีสรรพคุณลดระดับนํ%าตาลในเลือด (1) มะแว้งต้น (2) มะขามป้อม (3) มะระขี_x001B_นก (4) มะนาว (5) มะหาด Final version | Maximum’2017 Rx30 | Prince of Songkla University</t>
        </is>
      </c>
      <c r="C47" s="2" t="n"/>
      <c r="D47" s="2" t="inlineStr">
        <is>
          <t>Gingerol quantification in Zingiber officinale</t>
        </is>
      </c>
      <c r="E47" s="2" t="inlineStr">
        <is>
          <t>Maceration with Ethanol 70% solvent</t>
        </is>
      </c>
      <c r="F47" s="2" t="inlineStr">
        <is>
          <t>Soxhlet Extraction for heat-stable phytochemicals</t>
        </is>
      </c>
      <c r="G47" s="2" t="inlineStr">
        <is>
          <t>Supercritical Fluid Extraction (SFE-CO2)</t>
        </is>
      </c>
      <c r="H47" s="2" t="inlineStr">
        <is>
          <t>Standardized Curcuminoids in Curcuma longa</t>
        </is>
      </c>
      <c r="I47" s="2" t="n">
        <v>1</v>
      </c>
      <c r="J47" s="2"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ค.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ง.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Herbal Extraction methods</t>
        </is>
      </c>
      <c r="M47" s="2" t="inlineStr">
        <is>
          <t>Product</t>
        </is>
      </c>
      <c r="N47" s="2" t="inlineStr">
        <is>
          <t>ข้อ 17 (PLE_CC1_2557.md)</t>
        </is>
      </c>
      <c r="O47" s="2" t="inlineStr">
        <is>
          <t>ข้อสอบจริง</t>
        </is>
      </c>
      <c r="P47" s="2" t="inlineStr">
        <is>
          <t>ปี 2557</t>
        </is>
      </c>
    </row>
    <row r="48" ht="13.2" customHeight="1" s="37">
      <c r="A48" s="2" t="n">
        <v>46</v>
      </c>
      <c r="B48" s="2" t="inlineStr">
        <is>
          <t>หากมีญาติแนะนำผู้ป่วยรายนี%ให้ใช้ยาสมุนไพร A ซึ_x001E_งอ้าง ว่าสามารถลดระดับนํ%าตาลในเลือดได้ ทะเบียนยาในข้อใดที เป็นข้อบ่งชี%ได้ว่ายาสมุนไพร A ขึ%นทะเบียนตำรับอย่าง ถูกต้อง (6) 1A 301/50 (7) 2D 11/51 (8) 3G 32/52 (9) 2G 18/53 1J 102/54</t>
        </is>
      </c>
      <c r="C48" s="2" t="n"/>
      <c r="D48" s="2" t="inlineStr">
        <is>
          <t>Supercritical Fluid Extraction (SFE-CO2)</t>
        </is>
      </c>
      <c r="E48" s="2" t="inlineStr">
        <is>
          <t>Standardized Curcuminoids in Curcuma longa</t>
        </is>
      </c>
      <c r="F48" s="2" t="inlineStr">
        <is>
          <t>Standardized Andrographolide in Andrographis paniculata</t>
        </is>
      </c>
      <c r="G48" s="2" t="inlineStr">
        <is>
          <t>Senna glycosides (Sennosides A &amp; B) Extraction</t>
        </is>
      </c>
      <c r="H48" s="2" t="inlineStr">
        <is>
          <t>Centella asiatica (Madecassoside &amp; Asiaticoside)</t>
        </is>
      </c>
      <c r="I48" s="2" t="n">
        <v>1</v>
      </c>
      <c r="J48"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Herbal Extraction methods</t>
        </is>
      </c>
      <c r="M48" s="2" t="inlineStr">
        <is>
          <t>Product</t>
        </is>
      </c>
      <c r="N48" s="2" t="inlineStr">
        <is>
          <t>ข้อ 18 (PLE_CC1_2557.md)</t>
        </is>
      </c>
      <c r="O48" s="2" t="inlineStr">
        <is>
          <t>ข้อสอบจริง</t>
        </is>
      </c>
      <c r="P48" s="2" t="inlineStr">
        <is>
          <t>ปี 2557</t>
        </is>
      </c>
    </row>
    <row r="49" ht="13.2" customHeight="1" s="37">
      <c r="A49" s="2" t="n">
        <v>47</v>
      </c>
      <c r="B49" s="2" t="inlineStr">
        <is>
          <t>สมุนไพรใด สามารถบรรเทาอาการคลื_x001E_นไส้ อาเจียน (1) เหง้าขิงแก่ (2) ผลยอสุก (3) ผลฝรั_x0003_งอ่อน (4) ใบชุมเห็ดเทศ (5) ดอกกานพลู</t>
        </is>
      </c>
      <c r="C49" s="2" t="n"/>
      <c r="D49" s="2" t="inlineStr">
        <is>
          <t>Senna glycosides (Sennosides A &amp; B) Extraction</t>
        </is>
      </c>
      <c r="E49" s="2" t="inlineStr">
        <is>
          <t>Centella asiatica (Madecassoside &amp; Asiaticoside)</t>
        </is>
      </c>
      <c r="F49" s="2" t="inlineStr">
        <is>
          <t>Gingerol quantification in Zingiber officinale</t>
        </is>
      </c>
      <c r="G49" s="2" t="inlineStr">
        <is>
          <t>Maceration with Ethanol 70% solvent</t>
        </is>
      </c>
      <c r="H49" s="2" t="inlineStr">
        <is>
          <t>Soxhlet Extraction for heat-stable phytochemicals</t>
        </is>
      </c>
      <c r="I49" s="2" t="n">
        <v>1</v>
      </c>
      <c r="J49" s="2" t="inlineStr">
        <is>
          <t>✅ คำตอบที่ถูกต้อง: ข้อ ก. Senna glycosides (Sennosides A &amp; B) Extraction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Senna glycosides (Sennosides A &amp; B) Extraction 💡 คำอธิบายและเหตุผลทางเภสัชกรรม:
💡 คำอธิบายและเหตุผลทางเภสัชกรรม:
การเลือก Senna glycosides (Sennosides A &amp; B) Extraction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USP/NF, British Pharmacopoeia (BP) และ Remington: The Science and Practice of Pharmacy (หัวข้อ Herbal Extraction methods)
🔍 ข้ออื่นผิดเพราะอะไร:
• ข้อ ข.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ค.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ง.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จ.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Herbal Extraction methods</t>
        </is>
      </c>
      <c r="M49" s="2" t="inlineStr">
        <is>
          <t>Product</t>
        </is>
      </c>
      <c r="N49" s="2" t="inlineStr">
        <is>
          <t>ข้อ 24 (PLE_CC1_2557.md)</t>
        </is>
      </c>
      <c r="O49" s="2" t="inlineStr">
        <is>
          <t>ข้อสอบจริง</t>
        </is>
      </c>
      <c r="P49" s="2" t="inlineStr">
        <is>
          <t>ปี 2557</t>
        </is>
      </c>
    </row>
    <row r="50" ht="13.2" customHeight="1" s="37">
      <c r="A50" s="2" t="n">
        <v>48</v>
      </c>
      <c r="B50" s="2" t="inlineStr">
        <is>
          <t>ผู้ป่วยที_x001E_มีปัญหาโรคตับ ไม่ควรใช้สมุนไพรในข้อใด (1) ขมิ_x001B_นชัน (2) ขี_x001B_เหล็ก (3) ขิง (4) กระเจีBยบแดง (5) หญ้าหนวดแมว</t>
        </is>
      </c>
      <c r="C50" s="2" t="n"/>
      <c r="D50" s="2" t="inlineStr">
        <is>
          <t>Maceration with Ethanol 70% solvent</t>
        </is>
      </c>
      <c r="E50" s="2" t="inlineStr">
        <is>
          <t>Soxhlet Extraction for heat-stable phytochemicals</t>
        </is>
      </c>
      <c r="F50" s="2" t="inlineStr">
        <is>
          <t>Supercritical Fluid Extraction (SFE-CO2)</t>
        </is>
      </c>
      <c r="G50" s="2" t="inlineStr">
        <is>
          <t>Standardized Curcuminoids in Curcuma longa</t>
        </is>
      </c>
      <c r="H50" s="2" t="inlineStr">
        <is>
          <t>Standardized Andrographolide in Andrographis paniculata</t>
        </is>
      </c>
      <c r="I50" s="2" t="n">
        <v>1</v>
      </c>
      <c r="J50"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ค.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Herbal Extraction methods</t>
        </is>
      </c>
      <c r="M50" s="2" t="inlineStr">
        <is>
          <t>Product</t>
        </is>
      </c>
      <c r="N50" s="2" t="inlineStr">
        <is>
          <t>ข้อ 61 (PLE_CC1_2557.md)</t>
        </is>
      </c>
      <c r="O50" s="2" t="inlineStr">
        <is>
          <t>ข้อสอบจริง</t>
        </is>
      </c>
      <c r="P50" s="2" t="inlineStr">
        <is>
          <t>ปี 2557</t>
        </is>
      </c>
    </row>
    <row r="51" ht="13.2" customHeight="1" s="37">
      <c r="A51" s="2" t="n">
        <v>49</v>
      </c>
      <c r="B51" s="2" t="inlineStr">
        <is>
          <t>สมุนไพรในข้อใด มีสารสำคัญที_x001E_มีสรรพคุณคล้ายกับ ฮอร์โมนเพศหญิงในร่างกาย (1) ชะเอมเทศ (2) กวาวเครือแดง (3) ยี_x0003_โถ (4) มะคำดีควาย (5) บัวบก</t>
        </is>
      </c>
      <c r="C51" s="2" t="n"/>
      <c r="D51" s="2" t="inlineStr">
        <is>
          <t>Standardized Curcuminoids in Curcuma longa</t>
        </is>
      </c>
      <c r="E51" s="2" t="inlineStr">
        <is>
          <t>Standardized Andrographolide in Andrographis paniculata</t>
        </is>
      </c>
      <c r="F51" s="2" t="inlineStr">
        <is>
          <t>Senna glycosides (Sennosides A &amp; B) Extraction</t>
        </is>
      </c>
      <c r="G51" s="2" t="inlineStr">
        <is>
          <t>Centella asiatica (Madecassoside &amp; Asiaticoside)</t>
        </is>
      </c>
      <c r="H51" s="2" t="inlineStr">
        <is>
          <t>Gingerol quantification in Zingiber officinale</t>
        </is>
      </c>
      <c r="I51" s="2" t="n">
        <v>1</v>
      </c>
      <c r="J51"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จ.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Herbal Extraction methods</t>
        </is>
      </c>
      <c r="M51" s="2" t="inlineStr">
        <is>
          <t>Product</t>
        </is>
      </c>
      <c r="N51" s="2" t="inlineStr">
        <is>
          <t>ข้อ 42 (PLE_CC1_2557.md)</t>
        </is>
      </c>
      <c r="O51" s="2" t="inlineStr">
        <is>
          <t>ข้อสอบจริง</t>
        </is>
      </c>
      <c r="P51" s="2" t="inlineStr">
        <is>
          <t>ปี 2557</t>
        </is>
      </c>
    </row>
    <row r="52" ht="13.2" customHeight="1" s="37">
      <c r="A52" s="2" t="n">
        <v>50</v>
      </c>
      <c r="B52" s="2" t="inlineStr">
        <is>
          <t>ฟ้าทะลายโจร บางครั้งเวลาเจ็บคอ</t>
        </is>
      </c>
      <c r="C52" s="2" t="n"/>
      <c r="D52" s="2" t="inlineStr">
        <is>
          <t>Centella asiatica (Madecassoside &amp; Asiaticoside)</t>
        </is>
      </c>
      <c r="E52" s="2" t="inlineStr">
        <is>
          <t>Gingerol quantification in Zingiber officinale</t>
        </is>
      </c>
      <c r="F52" s="2" t="inlineStr">
        <is>
          <t>Maceration with Ethanol 70% solvent</t>
        </is>
      </c>
      <c r="G52" s="2" t="inlineStr">
        <is>
          <t>Soxhlet Extraction for heat-stable phytochemicals</t>
        </is>
      </c>
      <c r="H52" s="2" t="inlineStr">
        <is>
          <t>Supercritical Fluid Extraction (SFE-CO2)</t>
        </is>
      </c>
      <c r="I52" s="2" t="n">
        <v>1</v>
      </c>
      <c r="J52"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ง.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จ.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Herbal Extraction methods</t>
        </is>
      </c>
      <c r="M52" s="2" t="inlineStr">
        <is>
          <t>Product</t>
        </is>
      </c>
      <c r="N52" s="2" t="inlineStr">
        <is>
          <t>ข้อ 5 (PLE_CC1_2556.md)</t>
        </is>
      </c>
      <c r="O52" s="2" t="inlineStr">
        <is>
          <t>ข้อสอบจริง</t>
        </is>
      </c>
      <c r="P52" s="2" t="inlineStr">
        <is>
          <t>ปี 2556</t>
        </is>
      </c>
    </row>
    <row r="53" ht="13.2" customHeight="1" s="37">
      <c r="A53" s="2" t="n">
        <v>51</v>
      </c>
      <c r="B53" s="2" t="inlineStr">
        <is>
          <t>ถ้าจะใช้เป็นสมุนไพรสาธารณสุขมูลฐาน ต้องใช้อะไร</t>
        </is>
      </c>
      <c r="C53" s="2" t="n"/>
      <c r="D53" s="2" t="inlineStr">
        <is>
          <t>กระเทียม</t>
        </is>
      </c>
      <c r="E53" s="2" t="inlineStr">
        <is>
          <t>ยอ</t>
        </is>
      </c>
      <c r="F53" s="2" t="inlineStr">
        <is>
          <t>ขมิ้นชัน</t>
        </is>
      </c>
      <c r="G53" s="2" t="inlineStr">
        <is>
          <t>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t>
        </is>
      </c>
      <c r="H53" s="2" t="inlineStr">
        <is>
          <t>Senna glycosides (Sennosides A &amp; B) Extraction</t>
        </is>
      </c>
      <c r="I53" s="2" t="n">
        <v>4</v>
      </c>
      <c r="J53" s="2" t="inlineStr">
        <is>
          <t>✅ คำตอบที่ถูกต้อง: ข้อ ง.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 คำอธิบายและเหตุผลทางเภสัชกรรม:
💡 คำอธิบายและเหตุผลทางเภสัชกรรม:
การเลือก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(กระเทียม): ข้อนี้ไม่ใช่คำตอบที่ถูกต้องสำหรับภาวะ Herbal Extraction methods เนื่องจากกลไกการออกฤทธิ์, efficacy หรือข้อบ่งใช้ไม่ตรงกับโจทย์ที่กำหนด
• ข้อ ข. (ยอ): ข้อนี้ไม่ใช่คำตอบที่ถูกต้องสำหรับภาวะ Herbal Extraction methods เนื่องจากกลไกการออกฤทธิ์, efficacy หรือข้อบ่งใช้ไม่ตรงกับโจทย์ที่กำหนด
• ข้อ ค.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Herbal Extraction methods</t>
        </is>
      </c>
      <c r="M53" s="2" t="inlineStr">
        <is>
          <t>Product</t>
        </is>
      </c>
      <c r="N53" s="2" t="inlineStr">
        <is>
          <t>ข้อ 3 (PLE_CC1_2554 SET2.md)</t>
        </is>
      </c>
      <c r="O53" s="2" t="inlineStr">
        <is>
          <t>ข้อสอบจริง</t>
        </is>
      </c>
      <c r="P53" s="2" t="inlineStr">
        <is>
          <t>ปี 2554</t>
        </is>
      </c>
    </row>
    <row r="54" ht="13.2" customHeight="1" s="37">
      <c r="A54" s="2" t="n">
        <v>52</v>
      </c>
      <c r="B54" s="2" t="inlineStr">
        <is>
          <t>สมุนไพรใดใช้บรรเทาอาการนี้</t>
        </is>
      </c>
      <c r="C54" s="2" t="n"/>
      <c r="D54" s="2" t="inlineStr">
        <is>
          <t>ฝรั่ง</t>
        </is>
      </c>
      <c r="E54" s="2" t="inlineStr">
        <is>
          <t>ขมิ้นชัน</t>
        </is>
      </c>
      <c r="F54" s="2" t="inlineStr">
        <is>
          <t>Centella asiatica (Madecassoside &amp; Asiaticoside)</t>
        </is>
      </c>
      <c r="G54" s="2" t="inlineStr">
        <is>
          <t>Gingerol quantification in Zingiber officinale</t>
        </is>
      </c>
      <c r="H54" s="2" t="inlineStr">
        <is>
          <t>Maceration with Ethanol 70% solvent</t>
        </is>
      </c>
      <c r="I54" s="2" t="n">
        <v>1</v>
      </c>
      <c r="J54" s="2" t="inlineStr">
        <is>
          <t>✅ คำตอบที่ถูกต้อง: ข้อ ก. ฝรั่ง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ฝรั่ง 💡 คำอธิบายและเหตุผลทางเภสัชกรรม:
💡 คำอธิบายและเหตุผลทางเภสัชกรรม:
การเลือก ฝรั่ง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ค.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ง.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จ.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Herbal Extraction methods</t>
        </is>
      </c>
      <c r="M54" s="2" t="inlineStr">
        <is>
          <t>Product</t>
        </is>
      </c>
      <c r="N54" s="2" t="inlineStr">
        <is>
          <t>ข้อ 7 (PLE_CC1_2533.md)</t>
        </is>
      </c>
      <c r="O54" s="2" t="inlineStr">
        <is>
          <t>ข้อสอบจริง</t>
        </is>
      </c>
      <c r="P54" s="2" t="inlineStr">
        <is>
          <t>ปี 2533</t>
        </is>
      </c>
    </row>
    <row r="55" ht="13.2" customHeight="1" s="37">
      <c r="A55" s="2" t="n">
        <v>53</v>
      </c>
      <c r="B55" s="2" t="inlineStr">
        <is>
          <t>ระเหย ในขมิ้นชัน มีสรรพคุณบรรเทา อาการปวดท้อง ท้องอืด แน่นจุดเสียด</t>
        </is>
      </c>
      <c r="C55" s="2" t="n"/>
      <c r="D55" s="2" t="inlineStr">
        <is>
          <t>Gingerol quantification in Zingiber officinale</t>
        </is>
      </c>
      <c r="E55" s="2" t="inlineStr">
        <is>
          <t>Maceration with Ethanol 70% solvent</t>
        </is>
      </c>
      <c r="F55" s="2" t="inlineStr">
        <is>
          <t>Soxhlet Extraction for heat-stable phytochemicals</t>
        </is>
      </c>
      <c r="G55" s="2" t="inlineStr">
        <is>
          <t>Supercritical Fluid Extraction (SFE-CO2)</t>
        </is>
      </c>
      <c r="H55" s="2" t="inlineStr">
        <is>
          <t>Standardized Curcuminoids in Curcuma longa</t>
        </is>
      </c>
      <c r="I55" s="2" t="n">
        <v>2</v>
      </c>
      <c r="J55" s="2" t="inlineStr">
        <is>
          <t>✅ คำตอบที่ถูกต้อง: ข้อ ข.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ง.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Herbal Extraction methods</t>
        </is>
      </c>
      <c r="M55" s="2" t="inlineStr">
        <is>
          <t>Product</t>
        </is>
      </c>
      <c r="N55" s="2" t="inlineStr">
        <is>
          <t>ข้อ 5 (PLE_CC1_2533.md)</t>
        </is>
      </c>
      <c r="O55" s="2" t="inlineStr">
        <is>
          <t>ข้อสอบจริง</t>
        </is>
      </c>
      <c r="P55" s="2" t="inlineStr">
        <is>
          <t>ปี 2533</t>
        </is>
      </c>
    </row>
    <row r="56" ht="13.2" customHeight="1" s="37">
      <c r="A56" s="2" t="n">
        <v>54</v>
      </c>
      <c r="B56" s="2" t="inlineStr">
        <is>
          <t>สมุนไพรข้อใดไม่แนะนำให้กินเสริมธาตุเหล็ก</t>
        </is>
      </c>
      <c r="C56" s="2" t="n"/>
      <c r="D56" s="2" t="inlineStr">
        <is>
          <t>Supercritical Fluid Extraction (SFE-CO2)</t>
        </is>
      </c>
      <c r="E56" s="2" t="inlineStr">
        <is>
          <t>Standardized Curcuminoids in Curcuma longa</t>
        </is>
      </c>
      <c r="F56" s="2" t="inlineStr">
        <is>
          <t>Standardized Andrographolide in Andrographis paniculata</t>
        </is>
      </c>
      <c r="G56" s="2" t="inlineStr">
        <is>
          <t>Senna glycosides (Sennosides A &amp; B) Extraction</t>
        </is>
      </c>
      <c r="H56" s="2" t="inlineStr">
        <is>
          <t>Centella asiatica (Madecassoside &amp; Asiaticoside)</t>
        </is>
      </c>
      <c r="I56" s="2" t="n">
        <v>1</v>
      </c>
      <c r="J56"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Herbal Extraction methods</t>
        </is>
      </c>
      <c r="M56" s="2" t="inlineStr">
        <is>
          <t>Product</t>
        </is>
      </c>
      <c r="N56" s="2" t="inlineStr">
        <is>
          <t>ข้อ 7 (PLE_CC1_2533.md)</t>
        </is>
      </c>
      <c r="O56" s="2" t="inlineStr">
        <is>
          <t>ข้อสอบจริง</t>
        </is>
      </c>
      <c r="P56" s="2" t="inlineStr">
        <is>
          <t>ปี 2533</t>
        </is>
      </c>
    </row>
    <row r="57" ht="13.2" customHeight="1" s="37">
      <c r="A57" s="2" t="n">
        <v>55</v>
      </c>
      <c r="B57" s="2" t="inlineStr">
        <is>
          <t>Standard Operating Procedure 7.สมุนไพรสาธารณะสุขมูลฐานที่ใช้แก้อาการเบื่ออาหาร</t>
        </is>
      </c>
      <c r="C57" s="2" t="n"/>
      <c r="D57" s="2" t="inlineStr">
        <is>
          <t>Senna glycosides (Sennosides A &amp; B) Extraction</t>
        </is>
      </c>
      <c r="E57" s="2" t="inlineStr">
        <is>
          <t>Centella asiatica (Madecassoside &amp; Asiaticoside)</t>
        </is>
      </c>
      <c r="F57" s="2" t="inlineStr">
        <is>
          <t>Gingerol quantification in Zingiber officinale</t>
        </is>
      </c>
      <c r="G57" s="2" t="inlineStr">
        <is>
          <t>Maceration with Ethanol 70% solvent</t>
        </is>
      </c>
      <c r="H57" s="2" t="inlineStr">
        <is>
          <t>Soxhlet Extraction for heat-stable phytochemicals</t>
        </is>
      </c>
      <c r="I57" s="2" t="n">
        <v>1</v>
      </c>
      <c r="J57" s="2" t="inlineStr">
        <is>
          <t>✅ คำตอบที่ถูกต้อง: ข้อ ก. Senna glycosides (Sennosides A &amp; B) Extraction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Senna glycosides (Sennosides A &amp; B) Extraction 💡 คำอธิบายและเหตุผลทางเภสัชกรรม:
💡 คำอธิบายและเหตุผลทางเภสัชกรรม:
การเลือก Senna glycosides (Sennosides A &amp; B) Extraction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USP/NF, British Pharmacopoeia (BP) และ Remington: The Science and Practice of Pharmacy (หัวข้อ Herbal Extraction methods)
🔍 ข้ออื่นผิดเพราะอะไร:
• ข้อ ข.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ค.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ง.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จ.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Herbal Extraction methods</t>
        </is>
      </c>
      <c r="M57" s="2" t="inlineStr">
        <is>
          <t>Product</t>
        </is>
      </c>
      <c r="N57" s="2" t="inlineStr">
        <is>
          <t>ข้อ 5 (PLE_CC1_2533.md)</t>
        </is>
      </c>
      <c r="O57" s="2" t="inlineStr">
        <is>
          <t>ข้อสอบจริง</t>
        </is>
      </c>
      <c r="P57" s="2" t="inlineStr">
        <is>
          <t>ปี 2533</t>
        </is>
      </c>
    </row>
    <row r="58" ht="13.2" customHeight="1" s="37">
      <c r="A58" s="2" t="n">
        <v>56</v>
      </c>
      <c r="B58" s="2" t="inlineStr">
        <is>
          <t>ไม่ถูกต้องเพราะยาสมุนไพรไม่ได้สามารถตีพิมพ์โฆษณาในหนังสือทั่วไปได้</t>
        </is>
      </c>
      <c r="C58" s="2" t="n"/>
      <c r="D58" s="2" t="inlineStr">
        <is>
          <t>Maceration with Ethanol 70% solvent</t>
        </is>
      </c>
      <c r="E58" s="2" t="inlineStr">
        <is>
          <t>Soxhlet Extraction for heat-stable phytochemicals</t>
        </is>
      </c>
      <c r="F58" s="2" t="inlineStr">
        <is>
          <t>Supercritical Fluid Extraction (SFE-CO2)</t>
        </is>
      </c>
      <c r="G58" s="2" t="inlineStr">
        <is>
          <t>Standardized Curcuminoids in Curcuma longa</t>
        </is>
      </c>
      <c r="H58" s="2" t="inlineStr">
        <is>
          <t>Standardized Andrographolide in Andrographis paniculata</t>
        </is>
      </c>
      <c r="I58" s="2" t="n">
        <v>1</v>
      </c>
      <c r="J58"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ค.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Herbal Extraction methods</t>
        </is>
      </c>
      <c r="M58" s="2" t="inlineStr">
        <is>
          <t>Product</t>
        </is>
      </c>
      <c r="N58" s="2" t="inlineStr">
        <is>
          <t>ข้อ 3 (PLE_CC1_2533.md)</t>
        </is>
      </c>
      <c r="O58" s="2" t="inlineStr">
        <is>
          <t>ข้อสอบจริง</t>
        </is>
      </c>
      <c r="P58" s="2" t="inlineStr">
        <is>
          <t>ปี 2533</t>
        </is>
      </c>
    </row>
    <row r="59" ht="13.2" customHeight="1" s="37">
      <c r="A59" s="2" t="n">
        <v>57</v>
      </c>
      <c r="B59" s="2" t="inlineStr">
        <is>
          <t>ก่อนมาพบแพทย์ผู้ป่วยมีอาการไอหากต้องการบรรเทาอาการเบื้องต้น สมุนไพรในข้อใดเป็นสมุนไพรที่ใช้ บรรเทาอาการไอ/ขับเสมหะตามสาธารณสุขมูลฐาน</t>
        </is>
      </c>
      <c r="C59" s="2" t="n"/>
      <c r="D59" s="2" t="inlineStr">
        <is>
          <t>ขมิ้นชัน</t>
        </is>
      </c>
      <c r="E59" s="2" t="inlineStr">
        <is>
          <t>ฟ้าทะลายโจร</t>
        </is>
      </c>
      <c r="F59" s="2" t="inlineStr">
        <is>
          <t>ชุมเห็ดเทศ</t>
        </is>
      </c>
      <c r="G59" s="2" t="inlineStr">
        <is>
          <t>มะแว้งต้น</t>
        </is>
      </c>
      <c r="H59" s="2" t="inlineStr">
        <is>
          <t>บัวบก</t>
        </is>
      </c>
      <c r="I59" s="2" t="n">
        <v>1</v>
      </c>
      <c r="J59" s="2" t="inlineStr">
        <is>
          <t>✅ คำตอบที่ถูกต้อง: ข้อ ก. ขมิ้นชัน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ขมิ้นชัน 💡 คำอธิบายและเหตุผลทางเภสัชกรรม:
💡 คำอธิบายและเหตุผลทางเภสัชกรรม:
การเลือก ขมิ้นชัน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ค. (ชุมเห็ดเทศ): ข้อนี้ไม่ใช่คำตอบที่ถูกต้องสำหรับภาวะ Herbal Extraction methods เนื่องจากกลไกการออกฤทธิ์, efficacy หรือข้อบ่งใช้ไม่ตรงกับโจทย์ที่กำหนด
• ข้อ ง. (มะแว้งต้น): ข้อนี้ไม่ใช่คำตอบที่ถูกต้องสำหรับภาวะ Herbal Extraction methods เนื่องจากกลไกการออกฤทธิ์, efficacy หรือข้อบ่งใช้ไม่ตรงกับโจทย์ที่กำหนด
• ข้อ จ. (บัวบก):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Herbal Extraction methods</t>
        </is>
      </c>
      <c r="M59" s="2" t="inlineStr">
        <is>
          <t>Product</t>
        </is>
      </c>
      <c r="N59" s="2" t="inlineStr">
        <is>
          <t>ข้อ 14 (PLE_CC1_Practice_Exam.md)</t>
        </is>
      </c>
      <c r="O59" s="2" t="inlineStr">
        <is>
          <t>Mock</t>
        </is>
      </c>
      <c r="P59" s="2" t="inlineStr">
        <is>
          <t>Mock สภาเภสัชฯ Practice</t>
        </is>
      </c>
    </row>
    <row r="60" ht="13.2" customHeight="1" s="37">
      <c r="A60" s="2" t="n">
        <v>58</v>
      </c>
      <c r="B60" s="2" t="inlineStr">
        <is>
          <t>ผู้ป่วยหญิงไทยคู่ อายุ 40 ปี มีโรคประจำตัวคือ โรคเบาหวาน 10 ปี, ความดันโลหิตสูง 1 ปี MED PTA : HCTZ 1x1 po pc Metformin 1x1 po pc ผู้ป่วยไม่มีปัญหาการให้ความร่วมมือในการใช้ยาและปรับเปลี่ยนพฤติกรรมตามที่แพทย์แนะนำ มาพบแพทย์ตามนัดทุก 1 เดือน ไม่สามารถคุมความดันโลหิตให้อยู่ในระดับปกติได้เป็นเวลานาน แพทย์จึงสั่ง จ่าย Amlodipine(5) 1x1 po pc เพิ่มจากยาที่รับประทานอยู่ หลังจากนั้น 2 เดือน ผู้ป่วยมาโรงพยาบาลด้วย 235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อาการขาบวมจนเดินไม่ไหว จากการซักประวัติพบว่าไม่มีการทานยาอื่นๆหรือสมุนไพรเพิ่มเติม ผลการตรวจ ร่างกายพบว่า BW 55 kg Height 158 cm BP 160/100 mmHg FBS 130 mg/dL HbA1C 7.5 % BUN 15 mg/dL SCr 1.0 mg/dL AST 80 U/L ALT 140 U/L ข้อใดเป็นการจัดการที่เหมาะสมที่สุดสำหรับผู้ป่วยรายนี้</t>
        </is>
      </c>
      <c r="C60" s="2" t="n"/>
      <c r="D60" s="2" t="inlineStr">
        <is>
          <t>ใช้ยาตามเดิมและติดตามอาการเป็นระยะ</t>
        </is>
      </c>
      <c r="E60" s="2" t="inlineStr">
        <is>
          <t>เปลี่ยนยาสำหรับรักษาความดันโลหิตทั้ง 2 ตัว พร้อมออกบัตรแพ้ยาให้แก่ผู้ป่วย</t>
        </is>
      </c>
      <c r="F60" s="2" t="inlineStr">
        <is>
          <t>พิจารณาปรับขนาดยาที่ผู้ป่วยใช้อยู่ทั้งหมด เนื่องจากผู้ป่วยมีภาวะ Renal impairment จาก โรคเบาหวาน</t>
        </is>
      </c>
      <c r="G60" s="2" t="inlineStr">
        <is>
          <t>พิจารณาการรักษา Renal impairment ร่วมด้วย เนื่องจากอาการขาบวมเกิดจากภาวะ Fluid retention</t>
        </is>
      </c>
      <c r="H60" s="2" t="inlineStr">
        <is>
          <t>เปลี่ยนยา Amlodipine เป็นยารักษาความดันโลหิตสูงชนิดอื่น</t>
        </is>
      </c>
      <c r="I60" s="2" t="n">
        <v>1</v>
      </c>
      <c r="J60" s="2" t="inlineStr">
        <is>
          <t>✅ คำตอบที่ถูกต้อง: ข้อ ก. ใช้ยาตามเดิมและติดตามอาการเป็นระยะ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ใช้ยาตามเดิมและติดตามอาการเป็นระยะ 💡 คำอธิบายและเหตุผลทางเภสัชกรรม:
💡 คำอธิบายและเหตุผลทางเภสัชกรรม:
การเลือก ใช้ยาตามเดิมและติดตามอาการเป็นระยะ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(เปลี่ยนยาสำหรับรักษาความดันโลหิตทั้ง 2 ตัว พร้อมออกบัตรแพ้ยาให้แก่ผู้ป่วย): ข้อนี้ไม่ใช่คำตอบที่ถูกต้องสำหรับภาวะ Herbal Extraction methods เนื่องจากกลไกการออกฤทธิ์, efficacy หรือข้อบ่งใช้ไม่ตรงกับโจทย์ที่กำหนด
• ข้อ ค. (พิจารณาปรับขนาดยาที่ผู้ป่วยใช้อยู่ทั้งหมด เนื่องจากผู้ป่วยมีภาวะ Renal impairment จาก โรคเบาหวาน): ข้อนี้ไม่ใช่คำตอบที่ถูกต้องสำหรับภาวะ Herbal Extraction methods เนื่องจากกลไกการออกฤทธิ์, efficacy หรือข้อบ่งใช้ไม่ตรงกับโจทย์ที่กำหนด
• ข้อ ง. (พิจารณาการรักษา Renal impairment ร่วมด้วย เนื่องจากอาการขาบวมเกิดจากภาวะ Fluid retention): ข้อนี้ไม่ใช่คำตอบที่ถูกต้องสำหรับภาวะ Herbal Extraction methods เนื่องจากกลไกการออกฤทธิ์, efficacy หรือข้อบ่งใช้ไม่ตรงกับโจทย์ที่กำหนด
• ข้อ จ. (เปลี่ยนยา Amlodipine เป็นยารักษาความดันโลหิตสูงชนิดอื่น):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Herbal Extraction methods</t>
        </is>
      </c>
      <c r="M60" s="2" t="inlineStr">
        <is>
          <t>Product</t>
        </is>
      </c>
      <c r="N60" s="2" t="inlineStr">
        <is>
          <t>ข้อ 32 (PLE_CC1_Practice_Exam.md)</t>
        </is>
      </c>
      <c r="O60" s="2" t="inlineStr">
        <is>
          <t>Mock</t>
        </is>
      </c>
      <c r="P60" s="2" t="inlineStr">
        <is>
          <t>Mock สภาเภสัชฯ Practice</t>
        </is>
      </c>
    </row>
    <row r="61" ht="13.2" customHeight="1" s="37">
      <c r="A61" s="2" t="n">
        <v>59</v>
      </c>
      <c r="B61" s="2" t="inlineStr">
        <is>
          <t>สมุนไพรใดมีฤทธิ์บรรเทาอาการไอ</t>
        </is>
      </c>
      <c r="C61" s="2" t="n"/>
      <c r="D61" s="2" t="inlineStr">
        <is>
          <t>เพกา</t>
        </is>
      </c>
      <c r="E61" s="2" t="inlineStr">
        <is>
          <t>ขมิ้นชัน</t>
        </is>
      </c>
      <c r="F61" s="2" t="inlineStr">
        <is>
          <t>ฟ้าทะลายโจร</t>
        </is>
      </c>
      <c r="G61" s="2" t="inlineStr">
        <is>
          <t>พริกไทย</t>
        </is>
      </c>
      <c r="H61" s="2" t="inlineStr">
        <is>
          <t>ตะไคร้</t>
        </is>
      </c>
      <c r="I61" s="2" t="n">
        <v>1</v>
      </c>
      <c r="J61" s="2" t="inlineStr">
        <is>
          <t>✅ คำตอบที่ถูกต้อง: ข้อ ก. เพกา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เพกา 💡 คำอธิบายและเหตุผลทางเภสัชกรรม:
💡 คำอธิบายและเหตุผลทางเภสัชกรรม:
การเลือก เพกา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ค. (ฟ้าทะลายโจร): ข้อนี้ไม่ใช่คำตอบที่ถูกต้องสำหรับภาวะ Herbal Extraction methods เนื่องจากกลไกการออกฤทธิ์, efficacy หรือข้อบ่งใช้ไม่ตรงกับโจทย์ที่กำหนด
• ข้อ ง. (พริกไทย): ข้อนี้ไม่ใช่คำตอบที่ถูกต้องสำหรับภาวะ Herbal Extraction methods เนื่องจากกลไกการออกฤทธิ์, efficacy หรือข้อบ่งใช้ไม่ตรงกับโจทย์ที่กำหนด
• ข้อ จ. (ตะไคร้):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Herbal Extraction methods</t>
        </is>
      </c>
      <c r="M61" s="2" t="inlineStr">
        <is>
          <t>Product</t>
        </is>
      </c>
      <c r="N61" s="2" t="inlineStr">
        <is>
          <t>ข้อ 1 (PLE_CC1_Practice_Exam.md)</t>
        </is>
      </c>
      <c r="O61" s="2" t="inlineStr">
        <is>
          <t>Mock</t>
        </is>
      </c>
      <c r="P61" s="2" t="inlineStr">
        <is>
          <t>Mock สภาเภสัชฯ Practice</t>
        </is>
      </c>
    </row>
    <row r="62" ht="13.2" customHeight="1" s="37">
      <c r="A62" s="2" t="n">
        <v>60</v>
      </c>
      <c r="B62" s="2" t="inlineStr">
        <is>
          <t>หนูนิดโดนน้ำร้อนลวก คุณแม่สามารถใช้สมุนไพรใดเพื่อบรรเทาอาการของหนูนิดได้</t>
        </is>
      </c>
      <c r="C62" s="2" t="n"/>
      <c r="D62" s="2" t="inlineStr">
        <is>
          <t>ผักคราดหัวแหวน</t>
        </is>
      </c>
      <c r="E62" s="2" t="inlineStr">
        <is>
          <t>น้ำมันมะพร้าว</t>
        </is>
      </c>
      <c r="F62" s="2" t="inlineStr">
        <is>
          <t>ฝรั่ง</t>
        </is>
      </c>
      <c r="G62" s="2" t="inlineStr">
        <is>
          <t>ตะไคร้</t>
        </is>
      </c>
      <c r="H62" s="2" t="inlineStr">
        <is>
          <t>บอระเพ็ด</t>
        </is>
      </c>
      <c r="I62" s="2" t="n">
        <v>1</v>
      </c>
      <c r="J62" s="2" t="inlineStr">
        <is>
          <t>✅ คำตอบที่ถูกต้อง: ข้อ ก. ผักคราดหัวแหวน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ผักคราดหัวแหวน 💡 คำอธิบายและเหตุผลทางเภสัชกรรม:
💡 คำอธิบายและเหตุผลทางเภสัชกรรม:
การเลือก ผักคราดหัวแหวน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(น้ำมันมะพร้าว): ข้อนี้ไม่ใช่คำตอบที่ถูกต้องสำหรับภาวะ Herbal Extraction methods เนื่องจากกลไกการออกฤทธิ์, efficacy หรือข้อบ่งใช้ไม่ตรงกับโจทย์ที่กำหนด
• ข้อ ค. (ฝรั่ง): ข้อนี้ไม่ใช่คำตอบที่ถูกต้องสำหรับภาวะ Herbal Extraction methods เนื่องจากกลไกการออกฤทธิ์, efficacy หรือข้อบ่งใช้ไม่ตรงกับโจทย์ที่กำหนด
• ข้อ ง. (ตะไคร้): ข้อนี้ไม่ใช่คำตอบที่ถูกต้องสำหรับภาวะ Herbal Extraction methods เนื่องจากกลไกการออกฤทธิ์, efficacy หรือข้อบ่งใช้ไม่ตรงกับโจทย์ที่กำหนด
• ข้อ จ. (บอระเพ็ด):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Herbal Extraction methods</t>
        </is>
      </c>
      <c r="M62" s="2" t="inlineStr">
        <is>
          <t>Product</t>
        </is>
      </c>
      <c r="N62" s="2" t="inlineStr">
        <is>
          <t>ข้อ 2 (PLE_CC1_Practice_Exam.md)</t>
        </is>
      </c>
      <c r="O62" s="2" t="inlineStr">
        <is>
          <t>Mock</t>
        </is>
      </c>
      <c r="P62" s="2" t="inlineStr">
        <is>
          <t>Mock สภาเภสัชฯ Practice</t>
        </is>
      </c>
    </row>
    <row r="63" ht="13.2" customHeight="1" s="37">
      <c r="A63" s="2" t="n">
        <v>61</v>
      </c>
      <c r="B63" s="2" t="inlineStr">
        <is>
          <t>น้องแก้วต้องการใช้สมุนไพรขับพยาธิ น้องแก้วควรเลือกสมุนไพรใด</t>
        </is>
      </c>
      <c r="C63" s="2" t="n"/>
      <c r="D63" s="2" t="inlineStr">
        <is>
          <t>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63" s="2" t="inlineStr">
        <is>
          <t>กระเจี๊ยบมอญ</t>
        </is>
      </c>
      <c r="F63" s="2" t="inlineStr">
        <is>
          <t>หมาก</t>
        </is>
      </c>
      <c r="G63" s="2" t="inlineStr">
        <is>
          <t>กานพลู</t>
        </is>
      </c>
      <c r="H63" s="2" t="inlineStr">
        <is>
          <t>ตะไคร้</t>
        </is>
      </c>
      <c r="I63" s="2" t="n">
        <v>1</v>
      </c>
      <c r="J63" s="2" t="inlineStr">
        <is>
          <t>✅ คำตอบที่ถูกต้อง: ข้อ 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คำอธิบายและเหตุผลทางเภสัชกรรม:
💡 คำอธิบายและเหตุผลทางเภสัชกรรม:
การเลือก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(กระเจี๊ยบมอญ): ข้อนี้ไม่ใช่คำตอบที่ถูกต้องสำหรับภาวะ Herbal Extraction methods เนื่องจากกลไกการออกฤทธิ์, efficacy หรือข้อบ่งใช้ไม่ตรงกับโจทย์ที่กำหนด
• ข้อ ค. (หมาก): ข้อนี้ไม่ใช่คำตอบที่ถูกต้องสำหรับภาวะ Herbal Extraction methods เนื่องจากกลไกการออกฤทธิ์, efficacy หรือข้อบ่งใช้ไม่ตรงกับโจทย์ที่กำหนด
• ข้อ ง. (กานพลู): ข้อนี้ไม่ใช่คำตอบที่ถูกต้องสำหรับภาวะ Herbal Extraction methods เนื่องจากกลไกการออกฤทธิ์, efficacy หรือข้อบ่งใช้ไม่ตรงกับโจทย์ที่กำหนด
• ข้อ จ. (ตะไคร้):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Herbal Extraction methods</t>
        </is>
      </c>
      <c r="M63" s="2" t="inlineStr">
        <is>
          <t>Product</t>
        </is>
      </c>
      <c r="N63" s="2" t="inlineStr">
        <is>
          <t>ข้อ 5 (PLE_CC1_Practice_Exam.md)</t>
        </is>
      </c>
      <c r="O63" s="2" t="inlineStr">
        <is>
          <t>Mock</t>
        </is>
      </c>
      <c r="P63" s="2" t="inlineStr">
        <is>
          <t>Mock สภาเภสัชฯ Practice</t>
        </is>
      </c>
    </row>
    <row r="64" ht="13.2" customHeight="1" s="37">
      <c r="A64" s="2" t="n">
        <v>62</v>
      </c>
      <c r="B64" s="2" t="inlineStr">
        <is>
          <t>Vincristine เป็นสาระสำคัญที่ได้จากสมุนไพรอะไร</t>
        </is>
      </c>
      <c r="C64" s="2" t="n"/>
      <c r="D64" s="2" t="inlineStr">
        <is>
          <t>แพงพวยฝรั่ง</t>
        </is>
      </c>
      <c r="E64" s="2" t="inlineStr">
        <is>
          <t>Pacific Yew</t>
        </is>
      </c>
      <c r="F64" s="2" t="inlineStr">
        <is>
          <t>ลำโพง</t>
        </is>
      </c>
      <c r="G64" s="2" t="inlineStr">
        <is>
          <t>ดองดึง</t>
        </is>
      </c>
      <c r="H64" s="2" t="inlineStr">
        <is>
          <t>เสนียด</t>
        </is>
      </c>
      <c r="I64" s="2" t="n">
        <v>1</v>
      </c>
      <c r="J64" s="2" t="inlineStr">
        <is>
          <t>✅ คำตอบที่ถูกต้อง: ข้อ ก. แพงพวยฝรั่ง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แพงพวยฝรั่ง 💡 คำอธิบายและเหตุผลทางเภสัชกรรม:
💡 คำอธิบายและเหตุผลทางเภสัชกรรม:
การเลือก แพงพวยฝรั่ง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(Pacific Yew): ข้อนี้ไม่ใช่คำตอบที่ถูกต้องสำหรับภาวะ Herbal Extraction methods เนื่องจากกลไกการออกฤทธิ์, efficacy หรือข้อบ่งใช้ไม่ตรงกับโจทย์ที่กำหนด
• ข้อ ค. (ลำโพง): ข้อนี้ไม่ใช่คำตอบที่ถูกต้องสำหรับภาวะ Herbal Extraction methods เนื่องจากกลไกการออกฤทธิ์, efficacy หรือข้อบ่งใช้ไม่ตรงกับโจทย์ที่กำหนด
• ข้อ ง. (ดองดึง): ข้อนี้ไม่ใช่คำตอบที่ถูกต้องสำหรับภาวะ Herbal Extraction methods เนื่องจากกลไกการออกฤทธิ์, efficacy หรือข้อบ่งใช้ไม่ตรงกับโจทย์ที่กำหนด
• ข้อ จ. (เสนียด):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Herbal Extraction methods</t>
        </is>
      </c>
      <c r="M64" s="2" t="inlineStr">
        <is>
          <t>Product</t>
        </is>
      </c>
      <c r="N64" s="2" t="inlineStr">
        <is>
          <t>ข้อ 13 (PLE_CC1_Practice_Exam.md)</t>
        </is>
      </c>
      <c r="O64" s="2" t="inlineStr">
        <is>
          <t>Mock</t>
        </is>
      </c>
      <c r="P64" s="2" t="inlineStr">
        <is>
          <t>Mock สภาเภสัชฯ Practice</t>
        </is>
      </c>
    </row>
    <row r="65" ht="13.2" customHeight="1" s="37">
      <c r="A65" s="2" t="n">
        <v>63</v>
      </c>
      <c r="B65" s="2" t="inlineStr">
        <is>
          <t>สมุนไพรใดที่ออกฤทธิ์เป็นยาชาเฉพาะที่ได้</t>
        </is>
      </c>
      <c r="C65" s="2" t="n"/>
      <c r="D65" s="2" t="inlineStr">
        <is>
          <t>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65" s="2" t="inlineStr">
        <is>
          <t>บอระเพ็ด</t>
        </is>
      </c>
      <c r="F65" s="2" t="inlineStr">
        <is>
          <t>Pacific Yew</t>
        </is>
      </c>
      <c r="G65" s="2" t="inlineStr">
        <is>
          <t>เสลดพังพอน</t>
        </is>
      </c>
      <c r="H65" s="2" t="inlineStr">
        <is>
          <t>ว่านมหากาฬ</t>
        </is>
      </c>
      <c r="I65" s="2" t="n">
        <v>1</v>
      </c>
      <c r="J65" s="2" t="inlineStr">
        <is>
          <t>✅ คำตอบที่ถูกต้อง: ข้อ 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คำอธิบายและเหตุผลทางเภสัชกรรม:
💡 คำอธิบายและเหตุผลทางเภสัชกรรม:
การเลือก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(บอระเพ็ด): ข้อนี้ไม่ใช่คำตอบที่ถูกต้องสำหรับภาวะ Herbal Extraction methods เนื่องจากกลไกการออกฤทธิ์, efficacy หรือข้อบ่งใช้ไม่ตรงกับโจทย์ที่กำหนด
• ข้อ ค. (Pacific Yew): ข้อนี้ไม่ใช่คำตอบที่ถูกต้องสำหรับภาวะ Herbal Extraction methods เนื่องจากกลไกการออกฤทธิ์, efficacy หรือข้อบ่งใช้ไม่ตรงกับโจทย์ที่กำหนด
• ข้อ ง. (เสลดพังพอน): ข้อนี้ไม่ใช่คำตอบที่ถูกต้องสำหรับภาวะ Herbal Extraction methods เนื่องจากกลไกการออกฤทธิ์, efficacy หรือข้อบ่งใช้ไม่ตรงกับโจทย์ที่กำหนด
• ข้อ จ. (ว่านมหากาฬ):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Herbal Extraction methods</t>
        </is>
      </c>
      <c r="M65" s="2" t="inlineStr">
        <is>
          <t>Product</t>
        </is>
      </c>
      <c r="N65" s="2" t="inlineStr">
        <is>
          <t>ข้อ 15 (PLE_CC1_Practice_Exam.md)</t>
        </is>
      </c>
      <c r="O65" s="2" t="inlineStr">
        <is>
          <t>Mock</t>
        </is>
      </c>
      <c r="P65" s="2" t="inlineStr">
        <is>
          <t>Mock สภาเภสัชฯ Practice</t>
        </is>
      </c>
    </row>
    <row r="66" ht="13.2" customHeight="1" s="37">
      <c r="A66" s="2" t="n">
        <v>64</v>
      </c>
      <c r="B66" s="2" t="inlineStr">
        <is>
          <t>พิมพารู้สึกคลื่นไส้ อยากจะอาเจียนทั้งวัน ควรเลือกสมุนไพรใดบรรเทาอาการ</t>
        </is>
      </c>
      <c r="C66" s="2" t="n"/>
      <c r="D66" s="2" t="inlineStr">
        <is>
          <t>ขมิ้น</t>
        </is>
      </c>
      <c r="E66" s="2" t="inlineStr">
        <is>
          <t>พริกไทย</t>
        </is>
      </c>
      <c r="F66" s="2" t="inlineStr">
        <is>
          <t>กระวาน</t>
        </is>
      </c>
      <c r="G66" s="2" t="inlineStr">
        <is>
          <t>ขิง</t>
        </is>
      </c>
      <c r="H66" s="2" t="inlineStr">
        <is>
          <t>ตะไคร้</t>
        </is>
      </c>
      <c r="I66" s="2" t="n">
        <v>1</v>
      </c>
      <c r="J66" s="2" t="inlineStr">
        <is>
          <t>✅ คำตอบที่ถูกต้อง: ข้อ ก. ขมิ้น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 💡 คำอธิบายและเหตุผลทางเภสัชกรรม:
💡 คำอธิบายและเหตุผลทางเภสัชกรรม:
การเลือก ขมิ้น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(พริกไทย): ข้อนี้ไม่ใช่คำตอบที่ถูกต้องสำหรับภาวะ Herbal Extraction methods เนื่องจากกลไกการออกฤทธิ์, efficacy หรือข้อบ่งใช้ไม่ตรงกับโจทย์ที่กำหนด
• ข้อ ค. (กระวาน): ข้อนี้ไม่ใช่คำตอบที่ถูกต้องสำหรับภาวะ Herbal Extraction methods เนื่องจากกลไกการออกฤทธิ์, efficacy หรือข้อบ่งใช้ไม่ตรงกับโจทย์ที่กำหนด
• ข้อ ง. (ขิง): ข้อนี้ไม่ใช่คำตอบที่ถูกต้องสำหรับภาวะ Herbal Extraction methods เนื่องจากกลไกการออกฤทธิ์, efficacy หรือข้อบ่งใช้ไม่ตรงกับโจทย์ที่กำหนด
• ข้อ จ. (ตะไคร้):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Herbal Extraction methods</t>
        </is>
      </c>
      <c r="M66" s="2" t="inlineStr">
        <is>
          <t>Product</t>
        </is>
      </c>
      <c r="N66" s="2" t="inlineStr">
        <is>
          <t>ข้อ 16 (PLE_CC1_Practice_Exam.md)</t>
        </is>
      </c>
      <c r="O66" s="2" t="inlineStr">
        <is>
          <t>Mock</t>
        </is>
      </c>
      <c r="P66" s="2" t="inlineStr">
        <is>
          <t>Mock สภาเภสัชฯ Practice</t>
        </is>
      </c>
    </row>
    <row r="67" ht="13.2" customHeight="1" s="37">
      <c r="A67" s="2" t="n">
        <v>65</v>
      </c>
      <c r="B67" s="2" t="inlineStr">
        <is>
          <t>สมุนไพรใดต่อไปนี้มีฤทธิ์รักษาชันนะตุ</t>
        </is>
      </c>
      <c r="C67" s="2" t="n"/>
      <c r="D67" s="2" t="inlineStr">
        <is>
          <t>มะคำดีควาย</t>
        </is>
      </c>
      <c r="E67" s="2" t="inlineStr">
        <is>
          <t>กระเจี๊ยบแดง</t>
        </is>
      </c>
      <c r="F67" s="2" t="inlineStr">
        <is>
          <t>หญ้าคา</t>
        </is>
      </c>
      <c r="G67" s="2" t="inlineStr">
        <is>
          <t>อ้อยแดง</t>
        </is>
      </c>
      <c r="H67" s="2" t="inlineStr">
        <is>
          <t>ขลู่</t>
        </is>
      </c>
      <c r="I67" s="2" t="n">
        <v>1</v>
      </c>
      <c r="J67" s="2" t="inlineStr">
        <is>
          <t>✅ คำตอบที่ถูกต้อง: ข้อ ก. มะคำดีควาย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มะคำดีควาย 💡 คำอธิบายและเหตุผลทางเภสัชกรรม:
💡 คำอธิบายและเหตุผลทางเภสัชกรรม:
การเลือก มะคำดีควาย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(กระเจี๊ยบแดง): ข้อนี้ไม่ใช่คำตอบที่ถูกต้องสำหรับภาวะ Herbal Extraction methods เนื่องจากกลไกการออกฤทธิ์, efficacy หรือข้อบ่งใช้ไม่ตรงกับโจทย์ที่กำหนด
• ข้อ ค. (หญ้าคา): ข้อนี้ไม่ใช่คำตอบที่ถูกต้องสำหรับภาวะ Herbal Extraction methods เนื่องจากกลไกการออกฤทธิ์, efficacy หรือข้อบ่งใช้ไม่ตรงกับโจทย์ที่กำหนด
• ข้อ ง. (อ้อยแดง): ข้อนี้ไม่ใช่คำตอบที่ถูกต้องสำหรับภาวะ Herbal Extraction methods เนื่องจากกลไกการออกฤทธิ์, efficacy หรือข้อบ่งใช้ไม่ตรงกับโจทย์ที่กำหนด
• ข้อ จ. (ขลู่):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Herbal Extraction methods</t>
        </is>
      </c>
      <c r="M67" s="2" t="inlineStr">
        <is>
          <t>Product</t>
        </is>
      </c>
      <c r="N67" s="2" t="inlineStr">
        <is>
          <t>ข้อ 33 (PLE_CC1_Practice_Exam.md)</t>
        </is>
      </c>
      <c r="O67" s="2" t="inlineStr">
        <is>
          <t>Mock</t>
        </is>
      </c>
      <c r="P67" s="2" t="inlineStr">
        <is>
          <t>Mock สภาเภสัชฯ Practice</t>
        </is>
      </c>
    </row>
    <row r="68" ht="13.2" customHeight="1" s="37">
      <c r="A68" s="2" t="n">
        <v>66</v>
      </c>
      <c r="B68" s="2" t="inlineStr">
        <is>
          <t>สมุนไพรต่อไปนี้สามารถแก้อาการท้องผูกได้ยกเว้นข้อใด</t>
        </is>
      </c>
      <c r="C68" s="2" t="n"/>
      <c r="D68" s="2" t="inlineStr">
        <is>
          <t>ขิง</t>
        </is>
      </c>
      <c r="E68" s="2" t="inlineStr">
        <is>
          <t>คูน</t>
        </is>
      </c>
      <c r="F68" s="2" t="inlineStr">
        <is>
          <t>มะขามแขก</t>
        </is>
      </c>
      <c r="G68" s="2" t="inlineStr">
        <is>
          <t>แมงลัก</t>
        </is>
      </c>
      <c r="H68" s="2" t="inlineStr">
        <is>
          <t>ชุมเห็ดเทศ</t>
        </is>
      </c>
      <c r="I68" s="2" t="n">
        <v>1</v>
      </c>
      <c r="J68"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(คูน): ข้อนี้ไม่ใช่คำตอบที่ถูกต้องสำหรับภาวะ Herbal Extraction methods เนื่องจากกลไกการออกฤทธิ์, efficacy หรือข้อบ่งใช้ไม่ตรงกับโจทย์ที่กำหนด
• ข้อ ค. (มะขามแขก): ข้อนี้ไม่ใช่คำตอบที่ถูกต้องสำหรับภาวะ Herbal Extraction methods เนื่องจากกลไกการออกฤทธิ์, efficacy หรือข้อบ่งใช้ไม่ตรงกับโจทย์ที่กำหนด
• ข้อ ง. (แมงลัก): ข้อนี้ไม่ใช่คำตอบที่ถูกต้องสำหรับภาวะ Herbal Extraction methods เนื่องจากกลไกการออกฤทธิ์, efficacy หรือข้อบ่งใช้ไม่ตรงกับโจทย์ที่กำหนด
• ข้อ จ. (ชุมเห็ดเทศ):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Herbal Extraction methods</t>
        </is>
      </c>
      <c r="M68" s="2" t="inlineStr">
        <is>
          <t>Product</t>
        </is>
      </c>
      <c r="N68" s="2" t="inlineStr">
        <is>
          <t>ข้อ 36 (PLE_CC1_Practice_Exam.md)</t>
        </is>
      </c>
      <c r="O68" s="2" t="inlineStr">
        <is>
          <t>Mock</t>
        </is>
      </c>
      <c r="P68" s="2" t="inlineStr">
        <is>
          <t>Mock สภาเภสัชฯ Practice</t>
        </is>
      </c>
    </row>
    <row r="69" ht="13.2" customHeight="1" s="37">
      <c r="A69" s="2" t="n">
        <v>67</v>
      </c>
      <c r="B69" s="2" t="inlineStr">
        <is>
          <t>เภสัชกรภาคภูมิต้องการตั้งตำรับโดยมีสาระสำคัญจากสมุนไพรที่มีฤทธิ์แก้เคล็ด ขัด ยอก เภสัชกร ภาคภูมิควรใช้สมุนไพรใด</t>
        </is>
      </c>
      <c r="C69" s="2" t="n"/>
      <c r="D69" s="2" t="inlineStr">
        <is>
          <t>มังคุด</t>
        </is>
      </c>
      <c r="E69" s="2" t="inlineStr">
        <is>
          <t>ไพล</t>
        </is>
      </c>
      <c r="F69" s="2" t="inlineStr">
        <is>
          <t>ขิง</t>
        </is>
      </c>
      <c r="G69" s="2" t="inlineStr">
        <is>
          <t>บอระเพ็ด</t>
        </is>
      </c>
      <c r="H69" s="2" t="inlineStr">
        <is>
          <t>ว่านมหากาฬ</t>
        </is>
      </c>
      <c r="I69" s="2" t="n">
        <v>1</v>
      </c>
      <c r="J69" s="2" t="inlineStr">
        <is>
          <t>✅ คำตอบที่ถูกต้อง: ข้อ ก. มังคุด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มังคุด 💡 คำอธิบายและเหตุผลทางเภสัชกรรม:
💡 คำอธิบายและเหตุผลทางเภสัชกรรม:
การเลือก มังคุด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(ไพล): ข้อนี้ไม่ใช่คำตอบที่ถูกต้องสำหรับภาวะ Herbal Extraction methods เนื่องจากกลไกการออกฤทธิ์, efficacy หรือข้อบ่งใช้ไม่ตรงกับโจทย์ที่กำหนด
• ข้อ ค. (ขิง): ข้อนี้ไม่ใช่คำตอบที่ถูกต้องสำหรับภาวะ Herbal Extraction methods เนื่องจากกลไกการออกฤทธิ์, efficacy หรือข้อบ่งใช้ไม่ตรงกับโจทย์ที่กำหนด
• ข้อ ง. (บอระเพ็ด): ข้อนี้ไม่ใช่คำตอบที่ถูกต้องสำหรับภาวะ Herbal Extraction methods เนื่องจากกลไกการออกฤทธิ์, efficacy หรือข้อบ่งใช้ไม่ตรงกับโจทย์ที่กำหนด
• ข้อ จ. (ว่านมหากาฬ):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2" t="n"/>
      <c r="L69" s="2" t="inlineStr">
        <is>
          <t>Herbal Extraction methods</t>
        </is>
      </c>
      <c r="M69" s="2" t="inlineStr">
        <is>
          <t>Product</t>
        </is>
      </c>
      <c r="N69" s="2" t="inlineStr">
        <is>
          <t>ข้อ 38 (PLE_CC1_Practice_Exam.md)</t>
        </is>
      </c>
      <c r="O69" s="2" t="inlineStr">
        <is>
          <t>Mock</t>
        </is>
      </c>
      <c r="P69" s="2" t="inlineStr">
        <is>
          <t>Mock สภาเภสัชฯ Practice</t>
        </is>
      </c>
    </row>
    <row r="70" ht="13.2" customHeight="1" s="37">
      <c r="A70" s="2" t="n">
        <v>68</v>
      </c>
      <c r="B70" s="2" t="inlineStr">
        <is>
          <t>ข้อใดผิดเกี่ยวกับส่วนที่ใช้ของสมุนไพรที่มีฤทธิ์แก้ท้องอืด ท้องเฟ้อ จุกเสียด แน่นหน้าอก</t>
        </is>
      </c>
      <c r="C70" s="2" t="n"/>
      <c r="D70" s="2" t="inlineStr">
        <is>
          <t>กระชายใช้เหง้าใต้ดิน</t>
        </is>
      </c>
      <c r="E70" s="2" t="inlineStr">
        <is>
          <t>กะเพราใช้ราก</t>
        </is>
      </c>
      <c r="F70" s="2" t="inlineStr">
        <is>
          <t>ขิงใช้เหง้าขิงแก้ทั้งสดและแห้ง</t>
        </is>
      </c>
      <c r="G70" s="2" t="inlineStr">
        <is>
          <t>ข่าใช้เหง้าและราก 363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ก. เพกา สมุนไพรที่มีฤทธิ์บรรเทาอาการไอ ระคายคอจากเสมหะ ได้แก่ ขิง ดีปลี เพกา มะขามป้อม มะขาม มะนาว มะแว้งเครือ มะแว้งต้น ขมิ้นชัน มีฤทธิ์รักษาโรคกระเพาะอาหาร ฟ้าทะลายโจร มีฤทธิ์บรรเทาอาการไข้ พริกไทย, ตะไคร้ มีฤทธิ์บรรเทาอาการท้องอืด ท้องเฟ้อ แน่นจุกเสียด ข้อ 2 เฉลย ข. น้ำมันมะพร้าว สมุนไพรที่สามารถรักษาแผลไฟไหม้น้ำร้อนลวก ได้แก่ บัวบก น้ำมันมะพร้าว ว่านหางจระเข้ ผักคราดหัวแหวน มีฤทธิ์บรรเทาอาการปวดฟัน ฝรั่ง มีฤทธิ์บรรเทาอาการท้องเสีย ตะไคร้ มีฤทธิ์มีฤทธิ์บรรเทาอาการท้องอืด ท้องเฟ้อ แน่นจุกเสียด ขัดเบา ข้อ 3 เฉลย ค. พญายอ พลู มีฤทธิ์รักษาอาการกลาก เกลื้อน กระวาน มีฤทธิ์บรรเทาอาการท้องอืด ท้องเฟ้อ แน่นจุกเสียด ไพล มีฤทธิ์บรรเทาอาการเคล็ด ขัด ยอก บัวบก มีฤทธิ์รักษาแผลไฟไหม้ น้ำร้อนลวก ข้อ 4 เฉลย ก. ขี้เหล็ก สมุนไพรที่มีฤทธิ์ช่วยรักษาอาการนอนไม่หลับ ได้แก่ ขี้เหล็ก St. John's wort น้อยหน่า มีฤทธิ์รักษาโรคหิดเหา ดองดึง มีฤทธิ์รักษาอาการปวดบวมข้อ เก๊าท์ กล้วยน้ำว้า มีฤทธิ์รักษาโรคกระเพาะอาหาร ขมิ้น มีฤทธิ์บรรเทาอาการท้องอืด ท้องเฟ้อ แน่นจุกเสียด ข้อ 5 เฉลย ค. หมาก สมุนไพรที่มีฤทธิ์ถ่ายพยาธิ ได้แก่ 364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มะหาด(แก่น), มะเกลือ(ผลดิบสีเขียว), มะขาม(เนื้อในเมล็ดแก่), ฟักทอง(เมล็ดแก่), เล็บมือนาง(เนื้อใน เมล็ด), สะแก(เมล็ดแก่), กระเทียม(หัวสด), ทับทิม(เปลือกราก เปลือกต้น), หมาก(เมล็ดสุก), มะละกอ (เมล็ด น้ำยาง) ข้อ 6 เฉลย ข. หัวสดของกระเทียมมีฤทธิ์ขับพยาธิเส้นด้ายในเด็ก มะเกลือใช้ผลดิบสีเขียวเป็นยาถ่ายพยาธิปากขอ พยาธิตัวตืด พยาธิเส้นด้าย และพยาธิตัวกลม แต่จะ ให้ผลดีที่สุดกับพยาธิปากขอ มะหาดใช้แก่นนำมาเตรียมเป็นผงปวกหาด เล็บมือนางใช้เนื้อในเมล็ด ทับทิมใช้เปลือกราก เปลือกต้น ข้อ 7 เฉลย ก. กระเจี๊ยบมอญ สมุนไพรที่มีฤทธิ์รักษา ป้องกันแผลกระเพาะอาหารได้แก่ กระเจี๊ยบมอญ กล้วย ขมิ้นชัน เปล้าน้อย มะเกลือ มีฤทธิ์ขับพยาธิ ขิง กระชาย มีฤทธิ์บรรเทาอาการท้องอืด ท้องเฟ้อ แน่นจุกเสียด มังคุด มีฤทธิ์ต้านเชื้อต้านการอักเสบ ข้อ 8 เฉลย จ. กระเจี๊ยบ (รักษาอาการขัดเบา) สมุนไพรที่ฤทธิ์บรรเทาอาการท้องอืด ท้องเฟ้อ แน่นท้อง จุกเสียด ได้แก่ ขมิ้น ขิง กานพูล กระเทียม กะเพรา ตะไคร พริกไทย ดีปลี ขา กระชาย แหวหมู กระวาน เรว มะนาว กระทือ ข้อ 9 เฉลย ข. ทับทิม (ถ่ายพยาธิ) สมุนไพรที่มีฤทธิ์ขับปัสสาวะ ได้แก่ กระเจี๊ยบแดง ทองกวาว ตะไคร้ ทานตะวัน สามสิบ สับปะรด สมอพิเภก หญ้าหนวดแมว อ้อยแดง ข้อ 10 เฉลย จ. กล้วยน้ำว้า สมุนไพรที่มีฤทธิ์รักษาอาการท้องเสีย ได้แก่ ฝรั่ง ฟ้าทะลายโจร กล้วยน้ำว้า ทับทิม มังคุด สีเสียดเหนือ ข้อ 11 เฉลย ค. Capsaicin Lawsone เทียนบ้าน, Anthocyanin กระเจี๊ยบแดง, Capsaicin พริก, Curcumin ขมิ้นชัน, Andrographolide ฟ้าทะลายโจร ข้อ 12 เฉลย ง. ก และ ข ถูก สมุนไพรที่มีฤทธิ์รักษาอาการปวดบวมข้อ ได้แก่ เสนียด ดองดึง ข้าวเย็นเหนือ ข้าวเย็นใต้ 365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ส่วนไพล มีฤทธิ์รักษาอาการปวดเมื่อยกล้ามเนื้อ เคล็ด ขัด ยอก ข้อ 13 เฉลย ก. แพงพวยฝรั่ง ข้อ 14 เฉลย ค. เห็ดขี้ควาย มะคำดีควาย รักษาชันนะตุ มะหาด ถ่ายพยาธิ ดองดึง ข้าวเย็นเหนือ รักษาอาการปวดบวมข้อ ข้อ 15 เฉลย ก. โคคา ข้อ 16 เฉลย ง. ขิง สมุนไพรที่มีฤทธิ์บรรเทาอาการคลื่นไส้ อาเจียน ได้แก่ ขิง ยอ ข้อ 17 เฉลย จ. ว่านมหากาฬ (รักษาฝ๊ แผลพุพอง) สมุนไพรที่มีฤทธิ์รักษาอาการกลากเกลื้อน ได้แก่ กระเทียม ข่า ชุมเห็ดเทศ ทองพันชั่ง พลู ข้อ 18 เฉลย ข. พลู ไพล (เคล็ด ขัด ยอก) เพกา (ไอ ระคายคอจากเสมหะ) ทับทิม (ท้องเสีย,ถ่ายพยาธิ) มังคุด (ท้องเสีย) ข้อ 19 เฉลย ง. ชิงเัา ชิงเัา มีสารสำคัญคือ Artemisinin ซึ่งมีฤทฺธิ์รักษาโรคมาลาเรีย Cinchona ก็มีฤทธิ์รักษาโรคมาลาเรียเช่นกัน แต่มีสารสำคัญคือ Quinine ข้อ 20 เฉลย ง. กวาวเครือขาว สมุนไพรที่มีฤทธิ์ทดแทนัอร์โมนเอสโตรเจน ได้แก่ ถั่วเหลือง กวาวเครือขาว เถาวัลย์เปรียงมีฤทธิ์ บรรเทาปวด ลดการอักเสบของกล้ามเนื้อ ตีนเป็ดน้ำ รำเพย ยี่โถ มีพิษต่อหัวใจ ข้อ 21 เฉลย จ. ก และ ค กลอยและลูกซัดสามารถใช้เป็นสารตั้งต้นสเตียรอยด์ได้ ระย่อม มีฤทธิ์ลดความดันโลหิต ข้อ 22 เฉลย ก. แปะก๊วย แปะก๊วย มีฤทธิ์เพิ่มการไหลเวียนของเลือดในสมองและหลอดเลือดส่วนปลาย ั่วยัวย มีฤทธิ์รักษาริดสีดวงทวาร ระย่อม มีฤทธิ์ลดความดัน 366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ชิงเัา มีฤทธิ์ต้านมาละเรีย ถั่วเหลือง มีฤทธิ์ทดแทนัอร์โมนเอสโตรเจน ข้อ 23 เฉลย จ.ทับทิมใช้เปลือกต้นแห้ง ข้อ 24 เฉลย ค. นำผลสดมะแว้งเครือ เคี่ยวแล้วกลืนทั้งน้ำ และเนื้อ ดีปลีใช้ผลแก่แห้ง มะขามใช้เนื้อฝักแก่ ขิงใช้เหง้าแก่สด มะนาวใช้เปลือกและน้ำของลูกมะนาว มะแว้งเครือ มะแว้งต้น ใช้ผลแก่สด ข้อ 25 เฉลย ก. พลู สมุนไพรที่มีฤทธิ์รักษาอาการกลาก เกลื้อน ได้แก่ กระเทียม ข่า ชุมเห็ดเทศ ทองพันชั่ง พลู ข้อ 26 เฉลย ง. มังคุด ข้อ 27 เฉลย ค. เถาวัลย์เปรียง ข้อ 28 เฉลย ข. มั่วอึ่ง มั่วอึ่ง มีสารสำคัญคือ Ephedrine มีฤทธิ์เป็น Nasal decongestant ข้อ 29 เฉลย ง. ั่วยัวย ั่วยัวย มีสาร rutin มีฤทธิ์รักษาริดสีดวงทวารได้ ข้อ 30 เฉลย ค. มะหาด มีสาร Skin whitening ดองดึง มีฤทธิ์รักษาอาการปวดบวมข้อ มังคุด มีฤทธิ์ต้านเชื้อ ั่วยัวย มีฤทธิ์รักษาริดสีดวงทวาร ขี้เหล็ก มีฤทธิ์รักษาอาการเบื่ออาหาร นอนไม่หลับ ข้อ 31 เฉลย ค. กระเทียม สมุนไพรที่สามารถลดอาการเบื่ออาหารได้แก่ ขี้เหล็ก บอระเพ็ด มะระ สะเดาบ้าน กระเทียม มีฤทธิ์บรรเทาอาการท้องอืด ท้องเฟ้อ แน่น จุกเสียด ข้อ 32 เฉลย ข. ตำลึง สมุนไพรที่ลดอาการแพ้ อักเสบจากแมลงสัตว์กัดต่อยได้ ได้แก่ ขมิ้นชัน ตำลึง พญายอ เสลดพังพอน ขี้เหล็ก มีฤทธิ์ลดอาการเบื่ออาหาร และอาการนอนไม่หลับ ชุมเห็ดเทศ ทองพันชั่ง และพลู มีฤทธิ์รักษากลาก เกลื้อน 367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33 เฉลย ก. มะคำดีควาย สมุนไพรที่มีฤทธิ์รักษาชันนะตุ คือ มะคำดีควาย กระเจี๊ยบแดง หญ้าคา อ้อยแดง ขลู่ มีฤทธิ์รักษาอาการขัดเบา ข้อ 34 เฉลย ง. น้อยหน่า สมุนไพรที่มีฤทธิ์รักษาโรคหิดเหา คือ น้อยหน่า ผัดคราดหัวแหวน แก้ว ข่อย มีฤทธิ์บรรเทาอาการปวดฟัน พญายอ มีฤทธิ์รักษางูสวัด เริม ข้อ 35 เฉลย ง. ผักคราดหัวแหวน แก้ว ข่อย ข้อ ก. ขิง บรรเทาอาการท้องอืด ท้องเฟ้อ จุกแน่น หน้าอก ข้อ ข. ไพล บรรเทาอาการเคล็ด ขัด ยอก พริก บรรเทาอาการปวด ข้อ ค. มังคุด แก้อาการท้องเสีย ขี้เหล็ก ลดอาการเบื่ออาหาร และอาการนอนไม่หลับ ข้อ จ. บัวบก รักษาแผลไฟไหม้ น้ำร้อนลวก น้อยหน่า รักษาชันนะตุ ข้อ 36 เฉลย ก. ขิง สมุนไพรที่แก้อาการท้องผูกได้แก่ ชุมเห็ดเทศ มะขาม มะขามแขก แมงลัก ขี้เหล็ก คูน ขิง บรรเทาอาการท้องอืด ท้องเฟ้อ จุกแน่น หน้าอก ข้อ 37 เฉลย จ. ชุมเห็ดเทศ สมุนไพรที่แก้อาการท้องเสียได้แก่ ฝรั่ง ฟ้าทะลายโจร กล้วยน้ำว้า ทับทิม มังคุด สีเสียดเหนือ ชุมเห็ดเทศ รักษาอาการท้องผูก ข้อ 38 เฉลย ข. ไพล ไพล มีฤทธิ์แก้เคล็ด ขัด ยอก มังคุด แก้อาการท้องเสีย ขิง บรรเทาอาการท้องอืด ท้องเฟ้อ จุกแน่น หน้าอก บอระเพ็ด แก้อาการเบื่ออาหาร ว่านมหากาฬ รักษาฝี แผลพุพอง ข้อ 39 เฉลย ค. ยอใช้ผลสุกในการขับลม ยอ มีฤทธิ์ในการขับลม แก้อาเจียน ส่วนที่ใช้คือผลดิบหรือผลห่ามสด</t>
        </is>
      </c>
      <c r="H70" s="2" t="inlineStr">
        <is>
          <t>ขมิ้นชันใช้เหง้าสดและผงแห้ง ข้อ 40 เฉลย ข. กะเพราใช้ราก กะเพราใช้ใบหรือทั้งต้นในการแก้ท้องอืด ท้องเฟ้อ จุกเสียด แน่นหน้าอก 368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70" s="2" t="n">
        <v>1</v>
      </c>
      <c r="J70" s="2" t="inlineStr">
        <is>
          <t>✅ คำตอบที่ถูกต้อง: ข้อ ก. กระชายใช้เหง้าใต้ดิน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กระชายใช้เหง้าใต้ดิน 💡 คำอธิบายและเหตุผลทางเภสัชกรรม:
💡 คำอธิบายและเหตุผลทางเภสัชกรรม:
การเลือก กระชายใช้เหง้าใต้ดิน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(กะเพราใช้ราก): ข้อนี้ไม่ใช่คำตอบที่ถูกต้องสำหรับภาวะ Herbal Extraction methods เนื่องจากกลไกการออกฤทธิ์, efficacy หรือข้อบ่งใช้ไม่ตรงกับโจทย์ที่กำหนด
• ข้อ ค. (ขิงใช้เหง้าขิงแก้ทั้งสดและแห้ง): ข้อนี้ไม่ใช่คำตอบที่ถูกต้องสำหรับภาวะ Herbal Extraction methods เนื่องจากกลไกการออกฤทธิ์, efficacy หรือข้อบ่งใช้ไม่ตรงกับโจทย์ที่กำหนด
• ข้อ ง. (ข่าใช้เหง้าและราก 363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ก. เพกา สมุนไพรที่มีฤทธิ์บรรเทาอาการไอ ระคายคอจากเสมหะ ได้แก่ ขิง ดีปลี เพกา มะขามป้อม มะขาม มะนาว มะแว้งเครือ มะแว้งต้น ขมิ้นชัน มีฤทธิ์รักษาโรคกระเพาะอาหาร ฟ้าทะลายโจร มีฤทธิ์บรรเทาอาการไข้ พริกไทย, ตะไคร้ มีฤทธิ์บรรเทาอาการท้องอืด ท้องเฟ้อ แน่นจุกเสียด ข้อ 2 เฉลย ข. น้ำมันมะพร้าว สมุนไพรที่สามารถรักษาแผลไฟไหม้น้ำร้อนลวก ได้แก่ บัวบก น้ำมันมะพร้าว ว่านหางจระเข้ ผักคราดหัวแหวน มีฤทธิ์บรรเทาอาการปวดฟัน ฝรั่ง มีฤทธิ์บรรเทาอาการท้องเสีย ตะไคร้ มีฤทธิ์มีฤทธิ์บรรเทาอาการท้องอืด ท้องเฟ้อ แน่นจุกเสียด ขัดเบา ข้อ 3 เฉลย ค. พญายอ พลู มีฤทธิ์รักษาอาการกลาก เกลื้อน กระวาน มีฤทธิ์บรรเทาอาการท้องอืด ท้องเฟ้อ แน่นจุกเสียด ไพล มีฤทธิ์บรรเทาอาการเคล็ด ขัด ยอก บัวบก มีฤทธิ์รักษาแผลไฟไหม้ น้ำร้อนลวก ข้อ 4 เฉลย ก. ขี้เหล็ก สมุนไพรที่มีฤทธิ์ช่วยรักษาอาการนอนไม่หลับ ได้แก่ ขี้เหล็ก St. John's wort น้อยหน่า มีฤทธิ์รักษาโรคหิดเหา ดองดึง มีฤทธิ์รักษาอาการปวดบวมข้อ เก๊าท์ กล้วยน้ำว้า มีฤทธิ์รักษาโรคกระเพาะอาหาร ขมิ้น มีฤทธิ์บรรเทาอาการท้องอืด ท้องเฟ้อ แน่นจุกเสียด ข้อ 5 เฉลย ค. หมาก สมุนไพรที่มีฤทธิ์ถ่ายพยาธิ ได้แก่ 364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มะหาด(แก่น), มะเกลือ(ผลดิบสีเขียว), มะขาม(เนื้อในเมล็ดแก่), ฟักทอง(เมล็ดแก่), เล็บมือนาง(เนื้อใน เมล็ด), สะแก(เมล็ดแก่), กระเทียม(หัวสด), ทับทิม(เปลือกราก เปลือกต้น), หมาก(เมล็ดสุก), มะละกอ (เมล็ด น้ำยาง) ข้อ 6 เฉลย ข. หัวสดของกระเทียมมีฤทธิ์ขับพยาธิเส้นด้ายในเด็ก มะเกลือใช้ผลดิบสีเขียวเป็นยาถ่ายพยาธิปากขอ พยาธิตัวตืด พยาธิเส้นด้าย และพยาธิตัวกลม แต่จะ ให้ผลดีที่สุดกับพยาธิปากขอ มะหาดใช้แก่นนำมาเตรียมเป็นผงปวกหาด เล็บมือนางใช้เนื้อในเมล็ด ทับทิมใช้เปลือกราก เปลือกต้น ข้อ 7 เฉลย ก. กระเจี๊ยบมอญ สมุนไพรที่มีฤทธิ์รักษา ป้องกันแผลกระเพาะอาหารได้แก่ กระเจี๊ยบมอญ กล้วย ขมิ้นชัน เปล้าน้อย มะเกลือ มีฤทธิ์ขับพยาธิ ขิง กระชาย มีฤทธิ์บรรเทาอาการท้องอืด ท้องเฟ้อ แน่นจุกเสียด มังคุด มีฤทธิ์ต้านเชื้อต้านการอักเสบ ข้อ 8 เฉลย จ. กระเจี๊ยบ (รักษาอาการขัดเบา) สมุนไพรที่ฤทธิ์บรรเทาอาการท้องอืด ท้องเฟ้อ แน่นท้อง จุกเสียด ได้แก่ ขมิ้น ขิง กานพูล กระเทียม กะเพรา ตะไคร พริกไทย ดีปลี ขา กระชาย แหวหมู กระวาน เรว มะนาว กระทือ ข้อ 9 เฉลย ข. ทับทิม (ถ่ายพยาธิ) สมุนไพรที่มีฤทธิ์ขับปัสสาวะ ได้แก่ กระเจี๊ยบแดง ทองกวาว ตะไคร้ ทานตะวัน สามสิบ สับปะรด สมอพิเภก หญ้าหนวดแมว อ้อยแดง ข้อ 10 เฉลย จ. กล้วยน้ำว้า สมุนไพรที่มีฤทธิ์รักษาอาการท้องเสีย ได้แก่ ฝรั่ง ฟ้าทะลายโจร กล้วยน้ำว้า ทับทิม มังคุด สีเสียดเหนือ ข้อ 11 เฉลย ค. Capsaicin Lawsone เทียนบ้าน, Anthocyanin กระเจี๊ยบแดง, Capsaicin พริก, Curcumin ขมิ้นชัน, Andrographolide ฟ้าทะลายโจร ข้อ 12 เฉลย ง. ก และ ข ถูก สมุนไพรที่มีฤทธิ์รักษาอาการปวดบวมข้อ ได้แก่ เสนียด ดองดึง ข้าวเย็นเหนือ ข้าวเย็นใต้ 365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ส่วนไพล มีฤทธิ์รักษาอาการปวดเมื่อยกล้ามเนื้อ เคล็ด ขัด ยอก ข้อ 13 เฉลย ก. แพงพวยฝรั่ง ข้อ 14 เฉลย ค. เห็ดขี้ควาย มะคำดีควาย รักษาชันนะตุ มะหาด ถ่ายพยาธิ ดองดึง ข้าวเย็นเหนือ รักษาอาการปวดบวมข้อ ข้อ 15 เฉลย ก. โคคา ข้อ 16 เฉลย ง. ขิง สมุนไพรที่มีฤทธิ์บรรเทาอาการคลื่นไส้ อาเจียน ได้แก่ ขิง ยอ ข้อ 17 เฉลย จ. ว่านมหากาฬ (รักษาฝ๊ แผลพุพอง) สมุนไพรที่มีฤทธิ์รักษาอาการกลากเกลื้อน ได้แก่ กระเทียม ข่า ชุมเห็ดเทศ ทองพันชั่ง พลู ข้อ 18 เฉลย ข. พลู ไพล (เคล็ด ขัด ยอก) เพกา (ไอ ระคายคอจากเสมหะ) ทับทิม (ท้องเสีย,ถ่ายพยาธิ) มังคุด (ท้องเสีย) ข้อ 19 เฉลย ง. ชิงเัา ชิงเัา มีสารสำคัญคือ Artemisinin ซึ่งมีฤทฺธิ์รักษาโรคมาลาเรีย Cinchona ก็มีฤทธิ์รักษาโรคมาลาเรียเช่นกัน แต่มีสารสำคัญคือ Quinine ข้อ 20 เฉลย ง. กวาวเครือขาว สมุนไพรที่มีฤทธิ์ทดแทนัอร์โมนเอสโตรเจน ได้แก่ ถั่วเหลือง กวาวเครือขาว เถาวัลย์เปรียงมีฤทธิ์ บรรเทาปวด ลดการอักเสบของกล้ามเนื้อ ตีนเป็ดน้ำ รำเพย ยี่โถ มีพิษต่อหัวใจ ข้อ 21 เฉลย จ. ก และ ค กลอยและลูกซัดสามารถใช้เป็นสารตั้งต้นสเตียรอยด์ได้ ระย่อม มีฤทธิ์ลดความดันโลหิต ข้อ 22 เฉลย ก. แปะก๊วย แปะก๊วย มีฤทธิ์เพิ่มการไหลเวียนของเลือดในสมองและหลอดเลือดส่วนปลาย ั่วยัวย มีฤทธิ์รักษาริดสีดวงทวาร ระย่อม มีฤทธิ์ลดความดัน 366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ชิงเัา มีฤทธิ์ต้านมาละเรีย ถั่วเหลือง มีฤทธิ์ทดแทนัอร์โมนเอสโตรเจน ข้อ 23 เฉลย จ.ทับทิมใช้เปลือกต้นแห้ง ข้อ 24 เฉลย ค. นำผลสดมะแว้งเครือ เคี่ยวแล้วกลืนทั้งน้ำ และเนื้อ ดีปลีใช้ผลแก่แห้ง มะขามใช้เนื้อฝักแก่ ขิงใช้เหง้าแก่สด มะนาวใช้เปลือกและน้ำของลูกมะนาว มะแว้งเครือ มะแว้งต้น ใช้ผลแก่สด ข้อ 25 เฉลย ก. พลู สมุนไพรที่มีฤทธิ์รักษาอาการกลาก เกลื้อน ได้แก่ กระเทียม ข่า ชุมเห็ดเทศ ทองพันชั่ง พลู ข้อ 26 เฉลย ง. มังคุด ข้อ 27 เฉลย ค. เถาวัลย์เปรียง ข้อ 28 เฉลย ข. มั่วอึ่ง มั่วอึ่ง มีสารสำคัญคือ Ephedrine มีฤทธิ์เป็น Nasal decongestant ข้อ 29 เฉลย ง. ั่วยัวย ั่วยัวย มีสาร rutin มีฤทธิ์รักษาริดสีดวงทวารได้ ข้อ 30 เฉลย ค. มะหาด มีสาร Skin whitening ดองดึง มีฤทธิ์รักษาอาการปวดบวมข้อ มังคุด มีฤทธิ์ต้านเชื้อ ั่วยัวย มีฤทธิ์รักษาริดสีดวงทวาร ขี้เหล็ก มีฤทธิ์รักษาอาการเบื่ออาหาร นอนไม่หลับ ข้อ 31 เฉลย ค. กระเทียม สมุนไพรที่สามารถลดอาการเบื่ออาหารได้แก่ ขี้เหล็ก บอระเพ็ด มะระ สะเดาบ้าน กระเทียม มีฤทธิ์บรรเทาอาการท้องอืด ท้องเฟ้อ แน่น จุกเสียด ข้อ 32 เฉลย ข. ตำลึง สมุนไพรที่ลดอาการแพ้ อักเสบจากแมลงสัตว์กัดต่อยได้ ได้แก่ ขมิ้นชัน ตำลึง พญายอ เสลดพังพอน ขี้เหล็ก มีฤทธิ์ลดอาการเบื่ออาหาร และอาการนอนไม่หลับ ชุมเห็ดเทศ ทองพันชั่ง และพลู มีฤทธิ์รักษากลาก เกลื้อน 367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33 เฉลย ก. มะคำดีควาย สมุนไพรที่มีฤทธิ์รักษาชันนะตุ คือ มะคำดีควาย กระเจี๊ยบแดง หญ้าคา อ้อยแดง ขลู่ มีฤทธิ์รักษาอาการขัดเบา ข้อ 34 เฉลย ง. น้อยหน่า สมุนไพรที่มีฤทธิ์รักษาโรคหิดเหา คือ น้อยหน่า ผัดคราดหัวแหวน แก้ว ข่อย มีฤทธิ์บรรเทาอาการปวดฟัน พญายอ มีฤทธิ์รักษางูสวัด เริม ข้อ 35 เฉลย ง. ผักคราดหัวแหวน แก้ว ข่อย ข้อ ก. ขิง บรรเทาอาการท้องอืด ท้องเฟ้อ จุกแน่น หน้าอก ข้อ ข. ไพล บรรเทาอาการเคล็ด ขัด ยอก พริก บรรเทาอาการปวด ข้อ ค. มังคุด แก้อาการท้องเสีย ขี้เหล็ก ลดอาการเบื่ออาหาร และอาการนอนไม่หลับ ข้อ จ. บัวบก รักษาแผลไฟไหม้ น้ำร้อนลวก น้อยหน่า รักษาชันนะตุ ข้อ 36 เฉลย ก. ขิง สมุนไพรที่แก้อาการท้องผูกได้แก่ ชุมเห็ดเทศ มะขาม มะขามแขก แมงลัก ขี้เหล็ก คูน ขิง บรรเทาอาการท้องอืด ท้องเฟ้อ จุกแน่น หน้าอก ข้อ 37 เฉลย จ. ชุมเห็ดเทศ สมุนไพรที่แก้อาการท้องเสียได้แก่ ฝรั่ง ฟ้าทะลายโจร กล้วยน้ำว้า ทับทิม มังคุด สีเสียดเหนือ ชุมเห็ดเทศ รักษาอาการท้องผูก ข้อ 38 เฉลย ข. ไพล ไพล มีฤทธิ์แก้เคล็ด ขัด ยอก มังคุด แก้อาการท้องเสีย ขิง บรรเทาอาการท้องอืด ท้องเฟ้อ จุกแน่น หน้าอก บอระเพ็ด แก้อาการเบื่ออาหาร ว่านมหากาฬ รักษาฝี แผลพุพอง ข้อ 39 เฉลย ค. ยอใช้ผลสุกในการขับลม ยอ มีฤทธิ์ในการขับลม แก้อาเจียน ส่วนที่ใช้คือผลดิบหรือผลห่ามสด): ข้อนี้ไม่ใช่คำตอบที่ถูกต้องสำหรับภาวะ Herbal Extraction methods เนื่องจากกลไกการออกฤทธิ์, efficacy หรือข้อบ่งใช้ไม่ตรงกับโจทย์ที่กำหนด
• ข้อ จ. (ขมิ้นชันใช้เหง้าสดและผงแห้ง ข้อ 40 เฉลย ข. กะเพราใช้ราก กะเพราใช้ใบหรือทั้งต้นในการแก้ท้องอืด ท้องเฟ้อ จุกเสียด แน่นหน้าอก 368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2" t="n"/>
      <c r="L70" s="2" t="inlineStr">
        <is>
          <t>Herbal Extraction methods</t>
        </is>
      </c>
      <c r="M70" s="2" t="inlineStr">
        <is>
          <t>Product</t>
        </is>
      </c>
      <c r="N70" s="2" t="inlineStr">
        <is>
          <t>ข้อ 40 (PLE_CC1_Practice_Exam.md)</t>
        </is>
      </c>
      <c r="O70" s="2" t="inlineStr">
        <is>
          <t>Mock</t>
        </is>
      </c>
      <c r="P70" s="2" t="inlineStr">
        <is>
          <t>Mock สภาเภสัชฯ Practice</t>
        </is>
      </c>
    </row>
    <row r="71" ht="13.2" customHeight="1" s="37">
      <c r="A71" s="2" t="n">
        <v>69</v>
      </c>
      <c r="B71" s="2" t="inlineStr">
        <is>
          <t>สมุนไพรใดมีฤทธิ์ลดไขมันในเลือด</t>
        </is>
      </c>
      <c r="C71" s="2" t="n"/>
      <c r="D71" s="2" t="inlineStr">
        <is>
          <t>Gingerol quantification in Zingiber officinale</t>
        </is>
      </c>
      <c r="E71" s="2" t="inlineStr">
        <is>
          <t>Maceration with Ethanol 70% solvent</t>
        </is>
      </c>
      <c r="F71" s="2" t="inlineStr">
        <is>
          <t>Soxhlet Extraction for heat-stable phytochemicals</t>
        </is>
      </c>
      <c r="G71" s="2" t="inlineStr">
        <is>
          <t>Supercritical Fluid Extraction (SFE-CO2)</t>
        </is>
      </c>
      <c r="H71" s="2" t="inlineStr">
        <is>
          <t>Standardized Curcuminoids in Curcuma longa</t>
        </is>
      </c>
      <c r="I71" s="2" t="n">
        <v>1</v>
      </c>
      <c r="J71" s="2"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ค.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ง.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2" t="n"/>
      <c r="L71" s="2" t="inlineStr">
        <is>
          <t>Herbal Extraction methods</t>
        </is>
      </c>
      <c r="M71" s="2" t="inlineStr">
        <is>
          <t>Product</t>
        </is>
      </c>
      <c r="N71" s="2" t="inlineStr">
        <is>
          <t>ข้อ 9 (PLE_CC1_Key_Rx20_UBU.md)</t>
        </is>
      </c>
      <c r="O71" s="2" t="inlineStr">
        <is>
          <t>Mock</t>
        </is>
      </c>
      <c r="P71" s="2" t="inlineStr">
        <is>
          <t>Mock Rx20 UBU</t>
        </is>
      </c>
    </row>
    <row r="72" ht="13.2" customHeight="1" s="37">
      <c r="A72" s="2" t="n">
        <v>70</v>
      </c>
      <c r="B72" s="2" t="inlineStr">
        <is>
          <t>ข้อใดเป็นสมุนไพรแก้ท้องเสีย</t>
        </is>
      </c>
      <c r="C72" s="2" t="n"/>
      <c r="D72" s="2" t="inlineStr">
        <is>
          <t>Supercritical Fluid Extraction (SFE-CO2)</t>
        </is>
      </c>
      <c r="E72" s="2" t="inlineStr">
        <is>
          <t>Standardized Curcuminoids in Curcuma longa</t>
        </is>
      </c>
      <c r="F72" s="2" t="inlineStr">
        <is>
          <t>Standardized Andrographolide in Andrographis paniculata</t>
        </is>
      </c>
      <c r="G72" s="2" t="inlineStr">
        <is>
          <t>Senna glycosides (Sennosides A &amp; B) Extraction</t>
        </is>
      </c>
      <c r="H72" s="2" t="inlineStr">
        <is>
          <t>Centella asiatica (Madecassoside &amp; Asiaticoside)</t>
        </is>
      </c>
      <c r="I72" s="2" t="n">
        <v>1</v>
      </c>
      <c r="J72"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2" t="n"/>
      <c r="L72" s="2" t="inlineStr">
        <is>
          <t>Herbal Extraction methods</t>
        </is>
      </c>
      <c r="M72" s="2" t="inlineStr">
        <is>
          <t>Product</t>
        </is>
      </c>
      <c r="N72" s="2" t="inlineStr">
        <is>
          <t>ข้อ 31 (PLE_CC1_Key_Rx20_UBU.md)</t>
        </is>
      </c>
      <c r="O72" s="2" t="inlineStr">
        <is>
          <t>Mock</t>
        </is>
      </c>
      <c r="P72" s="2" t="inlineStr">
        <is>
          <t>Mock Rx20 UBU</t>
        </is>
      </c>
    </row>
    <row r="73" ht="13.2" customHeight="1" s="37">
      <c r="A73" s="2" t="n">
        <v>71</v>
      </c>
      <c r="B73" s="2" t="inlineStr">
        <is>
          <t>ผลฝรั่งดิบ สมุนไพรแก้ท้องเสียได้แก่ 1.ผลฝรั่งลูกอ่อน ใบแก่ 2.ใบฟ้าทะลายโจร 3.ผลกล้วยน้ำหว้าดิบ</t>
        </is>
      </c>
      <c r="C73" s="2" t="n"/>
      <c r="D73" s="2" t="inlineStr">
        <is>
          <t>เปลือกผลแห้งทับทิม 5.เปลือกผลแห้งมังคุด 6.เปลือกต้นสีเสียด</t>
        </is>
      </c>
      <c r="E73" s="2" t="inlineStr">
        <is>
          <t>Centella asiatica (Madecassoside &amp; Asiaticoside)</t>
        </is>
      </c>
      <c r="F73" s="2" t="inlineStr">
        <is>
          <t>Gingerol quantification in Zingiber officinale</t>
        </is>
      </c>
      <c r="G73" s="2" t="inlineStr">
        <is>
          <t>Maceration with Ethanol 70% solvent</t>
        </is>
      </c>
      <c r="H73" s="2" t="inlineStr">
        <is>
          <t>Soxhlet Extraction for heat-stable phytochemicals</t>
        </is>
      </c>
      <c r="I73" s="2" t="n">
        <v>1</v>
      </c>
      <c r="J73" s="2" t="inlineStr">
        <is>
          <t>✅ คำตอบที่ถูกต้อง: ข้อ ก. เปลือกผลแห้งทับทิม 5.เปลือกผลแห้งมังคุด 6.เปลือกต้นสีเสียด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เปลือกผลแห้งทับทิม 5.เปลือกผลแห้งมังคุด 6.เปลือกต้นสีเสียด 💡 คำอธิบายและเหตุผลทางเภสัชกรรม:
💡 คำอธิบายและเหตุผลทางเภสัชกรรม:
การเลือก เปลือกผลแห้งทับทิม 5.เปลือกผลแห้งมังคุด 6.เปลือกต้นสีเสียด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ค.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ง.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จ.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2" t="n"/>
      <c r="L73" s="2" t="inlineStr">
        <is>
          <t>Herbal Extraction methods</t>
        </is>
      </c>
      <c r="M73" s="2" t="inlineStr">
        <is>
          <t>Product</t>
        </is>
      </c>
      <c r="N73" s="2" t="inlineStr">
        <is>
          <t>ข้อ 5 (PLE_CC1_Key_Rx20_UBU.md)</t>
        </is>
      </c>
      <c r="O73" s="2" t="inlineStr">
        <is>
          <t>Mock</t>
        </is>
      </c>
      <c r="P73" s="2" t="inlineStr">
        <is>
          <t>Mock Rx20 UBU</t>
        </is>
      </c>
    </row>
    <row r="74" ht="13.2" customHeight="1" s="37">
      <c r="A74" s="2" t="n">
        <v>72</v>
      </c>
      <c r="B74" s="2" t="inlineStr">
        <is>
          <t>ผู้ป่วยมาสอบถามเรื่องยาสมุนไพรที่ใช้รักษาเชื้อรา โดยนำใบปลิวและขวดยาแผนโบราณที่ไม่มีเลขทะเบียนยาที่ขวดมา เภสัชกรควรปฏิบัติอย่างไรจึงจะเหมาะสมที่สุด</t>
        </is>
      </c>
      <c r="C74" s="2" t="n"/>
      <c r="D74" s="2" t="inlineStr">
        <is>
          <t>Maceration with Ethanol 70% solvent</t>
        </is>
      </c>
      <c r="E74" s="2" t="inlineStr">
        <is>
          <t>Soxhlet Extraction for heat-stable phytochemicals</t>
        </is>
      </c>
      <c r="F74" s="2" t="inlineStr">
        <is>
          <t>Supercritical Fluid Extraction (SFE-CO2)</t>
        </is>
      </c>
      <c r="G74" s="2" t="inlineStr">
        <is>
          <t>Standardized Curcuminoids in Curcuma longa</t>
        </is>
      </c>
      <c r="H74" s="2" t="inlineStr">
        <is>
          <t>Standardized Andrographolide in Andrographis paniculata</t>
        </is>
      </c>
      <c r="I74" s="2" t="n">
        <v>1</v>
      </c>
      <c r="J74"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ค.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2" t="n"/>
      <c r="L74" s="2" t="inlineStr">
        <is>
          <t>Herbal Extraction methods</t>
        </is>
      </c>
      <c r="M74" s="2" t="inlineStr">
        <is>
          <t>Product</t>
        </is>
      </c>
      <c r="N74" s="2" t="inlineStr">
        <is>
          <t>ข้อ 97 (PLE_CC1_Key_Rx20_UBU.md)</t>
        </is>
      </c>
      <c r="O74" s="2" t="inlineStr">
        <is>
          <t>Mock</t>
        </is>
      </c>
      <c r="P74" s="2" t="inlineStr">
        <is>
          <t>Mock Rx20 UBU</t>
        </is>
      </c>
    </row>
    <row r="75" ht="13.2" customHeight="1" s="37">
      <c r="A75" s="2" t="n">
        <v>73</v>
      </c>
      <c r="B75" s="2" t="inlineStr">
        <is>
          <t>แจ้งให้ผู้ป่วยทราบว่าไม่สามารถขายยานี้ได้ เนื่องจากไม่มีใบอนุญาตขายยาสมุนไพร</t>
        </is>
      </c>
      <c r="C75" s="2" t="n"/>
      <c r="D75" s="2" t="inlineStr">
        <is>
          <t>Standardized Curcuminoids in Curcuma longa</t>
        </is>
      </c>
      <c r="E75" s="2" t="inlineStr">
        <is>
          <t>Standardized Andrographolide in Andrographis paniculata</t>
        </is>
      </c>
      <c r="F75" s="2" t="inlineStr">
        <is>
          <t>Senna glycosides (Sennosides A &amp; B) Extraction</t>
        </is>
      </c>
      <c r="G75" s="2" t="inlineStr">
        <is>
          <t>Centella asiatica (Madecassoside &amp; Asiaticoside)</t>
        </is>
      </c>
      <c r="H75" s="2" t="inlineStr">
        <is>
          <t>Gingerol quantification in Zingiber officinale</t>
        </is>
      </c>
      <c r="I75" s="2" t="n">
        <v>1</v>
      </c>
      <c r="J75"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จ.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2" t="n"/>
      <c r="L75" s="2" t="inlineStr">
        <is>
          <t>Herbal Extraction methods</t>
        </is>
      </c>
      <c r="M75" s="2" t="inlineStr">
        <is>
          <t>Product</t>
        </is>
      </c>
      <c r="N75" s="2" t="inlineStr">
        <is>
          <t>ข้อ 3 (PLE_CC1_Key_Rx20_UBU.md)</t>
        </is>
      </c>
      <c r="O75" s="2" t="inlineStr">
        <is>
          <t>Mock</t>
        </is>
      </c>
      <c r="P75" s="2" t="inlineStr">
        <is>
          <t>Mock Rx20 UBU</t>
        </is>
      </c>
    </row>
    <row r="76" ht="13.2" customHeight="1" s="37">
      <c r="A76" s="2" t="n">
        <v>74</v>
      </c>
      <c r="B76" s="2" t="inlineStr">
        <is>
          <t>กินแคปซูลขมิ้นชัน</t>
        </is>
      </c>
      <c r="C76" s="2" t="n"/>
      <c r="D76" s="2" t="inlineStr">
        <is>
          <t>Centella asiatica (Madecassoside &amp; Asiaticoside)</t>
        </is>
      </c>
      <c r="E76" s="2" t="inlineStr">
        <is>
          <t>Gingerol quantification in Zingiber officinale</t>
        </is>
      </c>
      <c r="F76" s="2" t="inlineStr">
        <is>
          <t>Maceration with Ethanol 70% solvent</t>
        </is>
      </c>
      <c r="G76" s="2" t="inlineStr">
        <is>
          <t>Soxhlet Extraction for heat-stable phytochemicals</t>
        </is>
      </c>
      <c r="H76" s="2" t="inlineStr">
        <is>
          <t>Supercritical Fluid Extraction (SFE-CO2)</t>
        </is>
      </c>
      <c r="I76" s="2" t="n">
        <v>1</v>
      </c>
      <c r="J76"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ง.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จ.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2" t="n"/>
      <c r="L76" s="2" t="inlineStr">
        <is>
          <t>Herbal Extraction methods</t>
        </is>
      </c>
      <c r="M76" s="2" t="inlineStr">
        <is>
          <t>Product</t>
        </is>
      </c>
      <c r="N76" s="2" t="inlineStr">
        <is>
          <t>ข้อ 3 (PLE_CC1_Key_Rx20_UBU.md)</t>
        </is>
      </c>
      <c r="O76" s="2" t="inlineStr">
        <is>
          <t>Mock</t>
        </is>
      </c>
      <c r="P76" s="2" t="inlineStr">
        <is>
          <t>Mock Rx20 UBU</t>
        </is>
      </c>
    </row>
    <row r="77" ht="13.2" customHeight="1" s="37">
      <c r="A77" s="2" t="n">
        <v>75</v>
      </c>
      <c r="B77" s="2" t="inlineStr">
        <is>
          <t>แคปซูลเถาวัลย์เปรียง</t>
        </is>
      </c>
      <c r="C77" s="2" t="n"/>
      <c r="D77" s="2" t="inlineStr">
        <is>
          <t>Soxhlet Extraction for heat-stable phytochemicals</t>
        </is>
      </c>
      <c r="E77" s="2" t="inlineStr">
        <is>
          <t>Supercritical Fluid Extraction (SFE-CO2)</t>
        </is>
      </c>
      <c r="F77" s="2" t="inlineStr">
        <is>
          <t>Standardized Curcuminoids in Curcuma longa</t>
        </is>
      </c>
      <c r="G77" s="2" t="inlineStr">
        <is>
          <t>Standardized Andrographolide in Andrographis paniculata</t>
        </is>
      </c>
      <c r="H77" s="2" t="inlineStr">
        <is>
          <t>Senna glycosides (Sennosides A &amp; B) Extraction</t>
        </is>
      </c>
      <c r="I77" s="2" t="n">
        <v>1</v>
      </c>
      <c r="J77" s="2"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การเลือก Soxhlet Extraction for heat-stable phytochemicals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2" t="n"/>
      <c r="L77" s="2" t="inlineStr">
        <is>
          <t>Herbal Extraction methods</t>
        </is>
      </c>
      <c r="M77" s="2" t="inlineStr">
        <is>
          <t>Product</t>
        </is>
      </c>
      <c r="N77" s="2" t="inlineStr">
        <is>
          <t>ข้อ 4 (PLE_CC1_Key_Rx20_UBU.md)</t>
        </is>
      </c>
      <c r="O77" s="2" t="inlineStr">
        <is>
          <t>Mock</t>
        </is>
      </c>
      <c r="P77" s="2" t="inlineStr">
        <is>
          <t>Mock Rx20 UBU</t>
        </is>
      </c>
    </row>
    <row r="78" ht="13.2" customHeight="1" s="37">
      <c r="A78" s="2" t="n">
        <v>76</v>
      </c>
      <c r="B78" s="2" t="inlineStr">
        <is>
          <t>อาการใดที่เกิดขึ้นในช่วงแรกของการใช้สมุนไพรมะขามแขก</t>
        </is>
      </c>
      <c r="C78" s="2" t="n"/>
      <c r="D78" s="2" t="inlineStr">
        <is>
          <t>atonic colon</t>
        </is>
      </c>
      <c r="E78" s="2" t="inlineStr">
        <is>
          <t>abdominal pain</t>
        </is>
      </c>
      <c r="F78" s="2" t="inlineStr">
        <is>
          <t>non-infection diarrhea</t>
        </is>
      </c>
      <c r="G78" s="2" t="inlineStr">
        <is>
          <t>electrolyte imbalance</t>
        </is>
      </c>
      <c r="H78" s="2" t="inlineStr">
        <is>
          <t>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t>
        </is>
      </c>
      <c r="I78" s="2" t="n">
        <v>3</v>
      </c>
      <c r="J78" s="2" t="inlineStr">
        <is>
          <t>✅ คำตอบที่ถูกต้อง: ข้อ ค. non-infection diarrhea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non-infection diarrhea 💡 คำอธิบายและเหตุผลทางเภสัชกรรม:
💡 คำอธิบายและเหตุผลทางเภสัชกรรม:
การเลือก non-infection diarrhea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(atonic colon): ข้อนี้ไม่ใช่คำตอบที่ถูกต้องสำหรับภาวะ Herbal Extraction methods เนื่องจากกลไกการออกฤทธิ์, efficacy หรือข้อบ่งใช้ไม่ตรงกับโจทย์ที่กำหนด
• ข้อ ข. (abdominal pain): ข้อนี้ไม่ใช่คำตอบที่ถูกต้องสำหรับภาวะ Herbal Extraction methods เนื่องจากกลไกการออกฤทธิ์, efficacy หรือข้อบ่งใช้ไม่ตรงกับโจทย์ที่กำหนด
• ข้อ ง. (electrolyte imbalance): ข้อนี้ไม่ใช่คำตอบที่ถูกต้องสำหรับภาวะ Herbal Extraction methods เนื่องจากกลไกการออกฤทธิ์, efficacy หรือข้อบ่งใช้ไม่ตรงกับโจทย์ที่กำหนด
• ข้อ จ. (renal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2" t="n"/>
      <c r="L78" s="2" t="inlineStr">
        <is>
          <t>Herbal Extraction methods</t>
        </is>
      </c>
      <c r="M78" s="2" t="inlineStr">
        <is>
          <t>Product</t>
        </is>
      </c>
      <c r="N78" s="2" t="inlineStr">
        <is>
          <t>ข้อ 10 (PLE_CC1_Key_Rx20_UBU.md)</t>
        </is>
      </c>
      <c r="O78" s="2" t="inlineStr">
        <is>
          <t>Mock</t>
        </is>
      </c>
      <c r="P78" s="2" t="inlineStr">
        <is>
          <t>Mock Rx20 UBU</t>
        </is>
      </c>
    </row>
    <row r="79" ht="13.2" customHeight="1" s="37">
      <c r="A79" s="2" t="n">
        <v>77</v>
      </c>
      <c r="B79" s="2" t="inlineStr">
        <is>
          <t>ผ$ป&amp;วยทีมีป[ญหาโรคตับไมGควรใช$สมุนไพรในข$อใด (1) ขมินชัน (2) ขี้เหล็ก (3) ขิง (4) กระเจียบแดง (5) หญ$าหนวดแมว ขี้เหล็กจึงมีข$อห$ามใช$ในผู$ป&amp;วยที่มีป[ญหาเกี่ยวกับโรคตับ</t>
        </is>
      </c>
      <c r="C79" s="2" t="n"/>
      <c r="D79" s="2" t="inlineStr">
        <is>
          <t>Gingerol quantification in Zingiber officinale</t>
        </is>
      </c>
      <c r="E79" s="2" t="inlineStr">
        <is>
          <t>Maceration with Ethanol 70% solvent</t>
        </is>
      </c>
      <c r="F79" s="2" t="inlineStr">
        <is>
          <t>Soxhlet Extraction for heat-stable phytochemicals</t>
        </is>
      </c>
      <c r="G79" s="2" t="inlineStr">
        <is>
          <t>Supercritical Fluid Extraction (SFE-CO2)</t>
        </is>
      </c>
      <c r="H79" s="2" t="inlineStr">
        <is>
          <t>Standardized Curcuminoids in Curcuma longa</t>
        </is>
      </c>
      <c r="I79" s="2" t="n">
        <v>2</v>
      </c>
      <c r="J79" s="2" t="inlineStr">
        <is>
          <t>✅ คำตอบที่ถูกต้อง: ข้อ ข.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ง.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จ.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2" t="n"/>
      <c r="L79" s="2" t="inlineStr">
        <is>
          <t>Herbal Extraction methods</t>
        </is>
      </c>
      <c r="M79" s="2" t="inlineStr">
        <is>
          <t>Product</t>
        </is>
      </c>
      <c r="N79" s="2" t="inlineStr">
        <is>
          <t>ข้อ 61 (PLE_CC1_Key_Rx20_UBU.md)</t>
        </is>
      </c>
      <c r="O79" s="2" t="inlineStr">
        <is>
          <t>Mock</t>
        </is>
      </c>
      <c r="P79" s="2" t="inlineStr">
        <is>
          <t>Mock Rx20 UBU</t>
        </is>
      </c>
    </row>
    <row r="80" ht="13.2" customHeight="1" s="37">
      <c r="A80" s="2" t="n">
        <v>78</v>
      </c>
      <c r="B80" s="2" t="inlineStr">
        <is>
          <t>การที่หน้าร้านมีป้ายโฆษณาว่า ยาสมุนไพรอีอี มีฤทธิ์รักษาเบาหวาน ถือว่ามีการกระทำความผิดหรือไม่</t>
        </is>
      </c>
      <c r="C80" s="2" t="n"/>
      <c r="D80" s="2" t="inlineStr">
        <is>
          <t>ไม่มีความผิด</t>
        </is>
      </c>
      <c r="E80" s="2" t="inlineStr">
        <is>
          <t>ผิด เนื่องจากมีการโฆษณาโอ้อวดสรรพคุณ</t>
        </is>
      </c>
      <c r="F80" s="2" t="inlineStr">
        <is>
          <t>ผิด เนื่องจากมีการโฆษณาอันเป็๋นเท็จ</t>
        </is>
      </c>
      <c r="G80" s="2" t="inlineStr">
        <is>
          <t>ผิด เนื่องจากมีการโฆษณาที่ได้รับการยกย่องโดยบุคคลอื่น</t>
        </is>
      </c>
      <c r="H80" s="2" t="inlineStr">
        <is>
          <t>ผิด เนื่องจากมีการโฆษณาสรรพคุณของโรคที่รัฐมนตรีประกาศ</t>
        </is>
      </c>
      <c r="I80" s="2" t="n">
        <v>5</v>
      </c>
      <c r="J80" s="2" t="inlineStr">
        <is>
          <t>✅ คำตอบที่ถูกต้อง: ข้อ จ. ผิด เนื่องจากมีการโฆษณาสรรพคุณของโรคที่รัฐมนตรีประกาศ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ผิด เนื่องจากมีการโฆษณาสรรพคุณของโรคที่รัฐมนตรีประกาศ 💡 คำอธิบายและเหตุผลทางเภสัชกรรม:
💡 คำอธิบายและเหตุผลทางเภสัชกรรม:
การเลือก ผิด เนื่องจากมีการโฆษณาสรรพคุณของโรคที่รัฐมนตรีประกาศ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(ไม่มีความผิด): ข้อนี้ไม่ใช่คำตอบที่ถูกต้องสำหรับภาวะ Herbal Extraction methods เนื่องจากกลไกการออกฤทธิ์, efficacy หรือข้อบ่งใช้ไม่ตรงกับโจทย์ที่กำหนด
• ข้อ ข. (ผิด เนื่องจากมีการโฆษณาโอ้อวดสรรพคุณ): ข้อนี้ไม่ใช่คำตอบที่ถูกต้องสำหรับภาวะ Herbal Extraction methods เนื่องจากกลไกการออกฤทธิ์, efficacy หรือข้อบ่งใช้ไม่ตรงกับโจทย์ที่กำหนด
• ข้อ ค. (ผิด เนื่องจากมีการโฆษณาอันเป็๋นเท็จ): ข้อนี้ไม่ใช่คำตอบที่ถูกต้องสำหรับภาวะ Herbal Extraction methods เนื่องจากกลไกการออกฤทธิ์, efficacy หรือข้อบ่งใช้ไม่ตรงกับโจทย์ที่กำหนด
• ข้อ ง. (ผิด เนื่องจากมีการโฆษณาที่ได้รับการยกย่องโดยบุคคลอื่น):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2" t="n"/>
      <c r="L80" s="2" t="inlineStr">
        <is>
          <t>Herbal Extraction methods</t>
        </is>
      </c>
      <c r="M80" s="2" t="inlineStr">
        <is>
          <t>Product</t>
        </is>
      </c>
      <c r="N80" s="2" t="inlineStr">
        <is>
          <t>ข้อ 10 (PLE_CC1_Key_Rx20_UBU.md)</t>
        </is>
      </c>
      <c r="O80" s="2" t="inlineStr">
        <is>
          <t>Mock</t>
        </is>
      </c>
      <c r="P80" s="2" t="inlineStr">
        <is>
          <t>Mock Rx20 UBU</t>
        </is>
      </c>
    </row>
    <row r="81" ht="13.2" customHeight="1" s="37">
      <c r="A81" s="2" t="n">
        <v>79</v>
      </c>
      <c r="B81" s="2" t="inlineStr">
        <is>
          <t>สมุนไพรในบัญชียาหลักแห่งชาติตัวใดที่สามารถกินได้เพื่อ บรรเทาอาการปวด เหมือน NSAIDs?</t>
        </is>
      </c>
      <c r="C81" s="2" t="n"/>
      <c r="D81" s="2" t="inlineStr">
        <is>
          <t>เถาวัลย์เปรียง</t>
        </is>
      </c>
      <c r="E81" s="2" t="inlineStr">
        <is>
          <t>พริก</t>
        </is>
      </c>
      <c r="F81" s="2" t="inlineStr">
        <is>
          <t>เปล้านอย</t>
        </is>
      </c>
      <c r="G81" s="2" t="inlineStr">
        <is>
          <t>ขมิ้นชัน</t>
        </is>
      </c>
      <c r="H81" s="2" t="inlineStr">
        <is>
          <t>ชุมเห็ดเทศ</t>
        </is>
      </c>
      <c r="I81" s="2" t="n">
        <v>1</v>
      </c>
      <c r="J81" s="2" t="inlineStr">
        <is>
          <t>✅ คำตอบที่ถูกต้อง: ข้อ ก.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 ข้อนี้ไม่ใช่คำตอบที่ถูกต้องสำหรับภาวะ Herbal Extraction methods เนื่องจากกลไกการออกฤทธิ์, efficacy หรือข้อบ่งใช้ไม่ตรงกับโจทย์ที่กำหนด
• ข้อ ค. (เปล้านอย): ข้อนี้ไม่ใช่คำตอบที่ถูกต้องสำหรับภาวะ Herbal Extraction methods เนื่องจากกลไกการออกฤทธิ์, efficacy หรือข้อบ่งใช้ไม่ตรงกับโจทย์ที่กำหนด
• ข้อ ง. (ขมิ้นชัน): ข้อนี้ไม่ใช่คำตอบที่ถูกต้องสำหรับภาวะ Herbal Extraction methods เนื่องจากกลไกการออกฤทธิ์, efficacy หรือข้อบ่งใช้ไม่ตรงกับโจทย์ที่กำหนด
• ข้อ จ. (ชุมเห็ดเทศ):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2" t="n"/>
      <c r="L81" s="2" t="inlineStr">
        <is>
          <t>Herbal Extraction methods</t>
        </is>
      </c>
      <c r="M81" s="2" t="inlineStr">
        <is>
          <t>Product</t>
        </is>
      </c>
      <c r="N81" s="2" t="inlineStr">
        <is>
          <t>ข้อ 4 (PLE_CC1_Key_Rx20_UBU.md)</t>
        </is>
      </c>
      <c r="O81" s="2" t="inlineStr">
        <is>
          <t>Mock</t>
        </is>
      </c>
      <c r="P81" s="2" t="inlineStr">
        <is>
          <t>Mock Rx20 UBU</t>
        </is>
      </c>
    </row>
    <row r="82" ht="13.2" customHeight="1" s="37">
      <c r="A82" s="2" t="n">
        <v>80</v>
      </c>
      <c r="B82" s="2" t="inlineStr">
        <is>
          <t>สมุนไพร</t>
        </is>
      </c>
      <c r="C82" s="2" t="n"/>
      <c r="D82" s="2" t="inlineStr">
        <is>
          <t>ทองพันชั่ง</t>
        </is>
      </c>
      <c r="E82" s="2" t="inlineStr">
        <is>
          <t>ทิงเจอร์พลู</t>
        </is>
      </c>
      <c r="F82" s="2" t="inlineStr">
        <is>
          <t>Supercritical Fluid Extraction (SFE-CO2)</t>
        </is>
      </c>
      <c r="G82" s="2" t="inlineStr">
        <is>
          <t>Standardized Curcuminoids in Curcuma longa</t>
        </is>
      </c>
      <c r="H82" s="2" t="inlineStr">
        <is>
          <t>…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t>
        </is>
      </c>
      <c r="I82" s="2" t="n">
        <v>1</v>
      </c>
      <c r="J82" s="2" t="inlineStr">
        <is>
          <t>✅ คำตอบที่ถูกต้อง: ข้อ ก. ทองพันชั่ง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ทองพันชั่ง 💡 คำอธิบายและเหตุผลทางเภสัชกรรม:
💡 คำอธิบายและเหตุผลทางเภสัชกรรม:
การเลือก ทองพันชั่ง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(ทิงเจอร์พลู): ข้อนี้ไม่ใช่คำตอบที่ถูกต้องสำหรับภาวะ Herbal Extraction methods เนื่องจากกลไกการออกฤทธิ์, efficacy หรือข้อบ่งใช้ไม่ตรงกับโจทย์ที่กำหนด
• ข้อ ค.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จ. (…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2" t="n"/>
      <c r="L82" s="2" t="inlineStr">
        <is>
          <t>Herbal Extraction methods</t>
        </is>
      </c>
      <c r="M82" s="2" t="inlineStr">
        <is>
          <t>Product</t>
        </is>
      </c>
      <c r="N82" s="2" t="inlineStr">
        <is>
          <t>ข้อ 7 (PLE_CC1_Key_Rx20_UBU.md)</t>
        </is>
      </c>
      <c r="O82" s="2" t="inlineStr">
        <is>
          <t>Mock</t>
        </is>
      </c>
      <c r="P82" s="2" t="inlineStr">
        <is>
          <t>Mock Rx20 UBU</t>
        </is>
      </c>
    </row>
    <row r="83" ht="13.2" customHeight="1" s="37">
      <c r="A83" s="2" t="n">
        <v>81</v>
      </c>
      <c r="B83" s="2" t="inlineStr">
        <is>
          <t>ยา Midazolam หน้าร้านมีปายโฆษณาติดอยูว่า “ยาสมุนไพร อีอี สำหรับรักษา โรคเบาหวาน”</t>
        </is>
      </c>
      <c r="C83" s="2" t="n"/>
      <c r="D83" s="2" t="inlineStr">
        <is>
          <t>Standardized Curcuminoids in Curcuma longa</t>
        </is>
      </c>
      <c r="E83" s="2" t="inlineStr">
        <is>
          <t>Standardized Andrographolide in Andrographis paniculata</t>
        </is>
      </c>
      <c r="F83" s="2" t="inlineStr">
        <is>
          <t>Senna glycosides (Sennosides A &amp; B) Extraction</t>
        </is>
      </c>
      <c r="G83" s="2" t="inlineStr">
        <is>
          <t>Centella asiatica (Madecassoside &amp; Asiaticoside)</t>
        </is>
      </c>
      <c r="H83" s="2" t="inlineStr">
        <is>
          <t>Gingerol quantification in Zingiber officinale</t>
        </is>
      </c>
      <c r="I83" s="2" t="n">
        <v>1</v>
      </c>
      <c r="J83"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ข้อนี้ไม่ใช่คำตอบที่ถูกต้องสำหรับภาวะ Herbal Extraction methods เนื่องจากกลไกการออกฤทธิ์, efficacy หรือข้อบ่งใช้ไม่ตรงกับโจทย์ที่กำหนด
• ข้อ จ.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Herbal Extraction methods</t>
        </is>
      </c>
      <c r="M83" s="2" t="inlineStr">
        <is>
          <t>Product</t>
        </is>
      </c>
      <c r="N83" s="2" t="inlineStr">
        <is>
          <t>ข้อ 5 (PLE_CC1_Key_Rx20_UBU.md)</t>
        </is>
      </c>
      <c r="O83" s="2" t="inlineStr">
        <is>
          <t>Mock</t>
        </is>
      </c>
      <c r="P83" s="2" t="inlineStr">
        <is>
          <t>Mock Rx20 UBU</t>
        </is>
      </c>
    </row>
    <row r="84" ht="13.2" customHeight="1" s="37">
      <c r="A84" s="2" t="n">
        <v>82</v>
      </c>
      <c r="B84" s="2" t="inlineStr">
        <is>
          <t>สมุนไพรที่ลดไขมันได</t>
        </is>
      </c>
      <c r="C84" s="2" t="n"/>
      <c r="D84" s="2" t="inlineStr">
        <is>
          <t>Centella asiatica (Madecassoside &amp; Asiaticoside)</t>
        </is>
      </c>
      <c r="E84" s="2" t="inlineStr">
        <is>
          <t>Gingerol quantification in Zingiber officinale</t>
        </is>
      </c>
      <c r="F84" s="2" t="inlineStr">
        <is>
          <t>Maceration with Ethanol 70% solvent</t>
        </is>
      </c>
      <c r="G84" s="2" t="inlineStr">
        <is>
          <t>Soxhlet Extraction for heat-stable phytochemicals</t>
        </is>
      </c>
      <c r="H84" s="2" t="inlineStr">
        <is>
          <t>Supercritical Fluid Extraction (SFE-CO2)</t>
        </is>
      </c>
      <c r="I84" s="2" t="n">
        <v>1</v>
      </c>
      <c r="J84"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ข้อนี้ไม่ใช่คำตอบที่ถูกต้องสำหรับภาวะ Herbal Extraction methods เนื่องจากกลไกการออกฤทธิ์, efficacy หรือข้อบ่งใช้ไม่ตรงกับโจทย์ที่กำหนด
• ข้อ ค. (Maceration with Ethanol 70% solvent): ข้อนี้ไม่ใช่คำตอบที่ถูกต้องสำหรับภาวะ Herbal Extraction methods เนื่องจากกลไกการออกฤทธิ์, efficacy หรือข้อบ่งใช้ไม่ตรงกับโจทย์ที่กำหนด
• ข้อ ง. (Soxhlet Extraction for heat-stable phytochemicals): ข้อนี้ไม่ใช่คำตอบที่ถูกต้องสำหรับภาวะ Herbal Extraction methods เนื่องจากกลไกการออกฤทธิ์, efficacy หรือข้อบ่งใช้ไม่ตรงกับโจทย์ที่กำหนด
• ข้อ จ.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2" t="n"/>
      <c r="L84" s="2" t="inlineStr">
        <is>
          <t>Herbal Extraction methods</t>
        </is>
      </c>
      <c r="M84" s="2" t="inlineStr">
        <is>
          <t>Product</t>
        </is>
      </c>
      <c r="N84" s="2" t="inlineStr">
        <is>
          <t>ข้อ 15 (PLE_CC1_Key_Rx20_UBU.md)</t>
        </is>
      </c>
      <c r="O84" s="2" t="inlineStr">
        <is>
          <t>Mock</t>
        </is>
      </c>
      <c r="P84" s="2" t="inlineStr">
        <is>
          <t>Mock Rx20 UBU</t>
        </is>
      </c>
    </row>
    <row r="85" ht="13.2" customHeight="1" s="37">
      <c r="A85" s="2" t="n">
        <v>83</v>
      </c>
      <c r="B85" s="2" t="inlineStr">
        <is>
          <t>เพื่อให้เกิดการพัฒนาอุตสาหกรรมการผลิตยา สมุนไพร ชีววัตถุ ภายในประเทศเพื่อพึ่งพาตัวเองมากยิ่งขึ้น</t>
        </is>
      </c>
      <c r="C85" s="2" t="n"/>
      <c r="D85" s="2" t="inlineStr">
        <is>
          <t>Soxhlet Extraction for heat-stable phytochemicals</t>
        </is>
      </c>
      <c r="E85" s="2" t="inlineStr">
        <is>
          <t>Supercritical Fluid Extraction (SFE-CO2)</t>
        </is>
      </c>
      <c r="F85" s="2" t="inlineStr">
        <is>
          <t>Standardized Curcuminoids in Curcuma longa</t>
        </is>
      </c>
      <c r="G85" s="2" t="inlineStr">
        <is>
          <t>Standardized Andrographolide in Andrographis paniculata</t>
        </is>
      </c>
      <c r="H85" s="2" t="inlineStr">
        <is>
          <t>Senna glycosides (Sennosides A &amp; B) Extraction</t>
        </is>
      </c>
      <c r="I85" s="2" t="n">
        <v>1</v>
      </c>
      <c r="J85" s="2"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การเลือก Soxhlet Extraction for heat-stable phytochemicals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(Supercritical Fluid Extraction (SFE-CO2)): ข้อนี้ไม่ใช่คำตอบที่ถูกต้องสำหรับภาวะ Herbal Extraction methods เนื่องจากกลไกการออกฤทธิ์, efficacy หรือข้อบ่งใช้ไม่ตรงกับโจทย์ที่กำหนด
• ข้อ ค. (Standardized Curcuminoids in Curcuma longa): ข้อนี้ไม่ใช่คำตอบที่ถูกต้องสำหรับภาวะ Herbal Extraction methods เนื่องจากกลไกการออกฤทธิ์, efficacy หรือข้อบ่งใช้ไม่ตรงกับโจทย์ที่กำหนด
• ข้อ ง. (Standardized Andrographolide in Andrographis paniculata): ข้อนี้ไม่ใช่คำตอบที่ถูกต้องสำหรับภาวะ Herbal Extraction methods เนื่องจากกลไกการออกฤทธิ์, efficacy หรือข้อบ่งใช้ไม่ตรงกับโจทย์ที่กำหนด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2" t="n"/>
      <c r="L85" s="2" t="inlineStr">
        <is>
          <t>Herbal Extraction methods</t>
        </is>
      </c>
      <c r="M85" s="2" t="inlineStr">
        <is>
          <t>Product</t>
        </is>
      </c>
      <c r="N85" s="2" t="inlineStr">
        <is>
          <t>ข้อ 2 (PLE_CC1_Key_Rx20_UBU.md)</t>
        </is>
      </c>
      <c r="O85" s="2" t="inlineStr">
        <is>
          <t>Mock</t>
        </is>
      </c>
      <c r="P85" s="2" t="inlineStr">
        <is>
          <t>Mock Rx20 UBU</t>
        </is>
      </c>
    </row>
    <row r="86" ht="13.2" customHeight="1" s="37">
      <c r="A86" s="2" t="n">
        <v>84</v>
      </c>
      <c r="B86" s="2" t="inlineStr">
        <is>
          <t>สมุนไพรใดสามารถลดอาการอาเจียนได้</t>
        </is>
      </c>
      <c r="C86" s="2" t="n"/>
      <c r="D86" s="2" t="inlineStr">
        <is>
          <t>ขิง</t>
        </is>
      </c>
      <c r="E86" s="2" t="inlineStr">
        <is>
          <t>กะเพรา</t>
        </is>
      </c>
      <c r="F86" s="2" t="inlineStr">
        <is>
          <t>โหระพา</t>
        </is>
      </c>
      <c r="G86" s="2" t="inlineStr">
        <is>
          <t>กล้วย</t>
        </is>
      </c>
      <c r="H86" s="2" t="inlineStr">
        <is>
          <t>พริก เรื่องที่ 4. Paracetamol intoxification ผู้ป่วยหญิง อายุ 20 ปี น้าหนัก 40 kg มาโรงพยาบาลด้วยอาการคลื่นไส้ 1 ชั่วโมงก่อนมาโรงพยาบาล โดยเมื่อ 3 ชม ที่แล้ว กินพาราเซตามอล 500 mg จำนวน 50 เม็ด ผู้ป่วยมีประวัติดื่มแอลกอฮอล์เยอะเป็นประจำ สูบบุหรี่บ้างเป็นครั้งคราว และไม่ออกกำลังกาย</t>
        </is>
      </c>
      <c r="I86" s="2" t="n">
        <v>1</v>
      </c>
      <c r="J86"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(กะเพรา): ข้อนี้ไม่ใช่คำตอบที่ถูกต้องสำหรับภาวะ Herbal Extraction methods เนื่องจากกลไกการออกฤทธิ์, efficacy หรือข้อบ่งใช้ไม่ตรงกับโจทย์ที่กำหนด
• ข้อ ค. (โหระพา): ข้อนี้ไม่ใช่คำตอบที่ถูกต้องสำหรับภาวะ Herbal Extraction methods เนื่องจากกลไกการออกฤทธิ์, efficacy หรือข้อบ่งใช้ไม่ตรงกับโจทย์ที่กำหนด
• ข้อ ง. (กล้วย): ข้อนี้ไม่ใช่คำตอบที่ถูกต้องสำหรับภาวะ Herbal Extraction methods เนื่องจากกลไกการออกฤทธิ์, efficacy หรือข้อบ่งใช้ไม่ตรงกับโจทย์ที่กำหนด
• ข้อ จ. (พริก เรื่องที่ 4. Paracetamol intoxification ผู้ป่วยหญิง อายุ 20 ปี น้าหนัก 40 kg มาโรงพยาบาลด้วยอาการคลื่นไส้ 1 ชั่วโมงก่อนมาโรงพยาบาล โดยเมื่อ 3 ชม ที่แล้ว กินพาราเซตามอล 500 mg จำนวน 50 เม็ด ผู้ป่วยมีประวัติดื่มแอลกอฮอล์เยอะเป็นประจำ สูบบุหรี่บ้างเป็นครั้งคราว และไม่ออกกำลังกาย):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2" t="n"/>
      <c r="L86" s="2" t="inlineStr">
        <is>
          <t>Herbal Extraction methods</t>
        </is>
      </c>
      <c r="M86" s="2" t="inlineStr">
        <is>
          <t>Product</t>
        </is>
      </c>
      <c r="N86" s="2" t="inlineStr">
        <is>
          <t>ข้อ 27 (PLE_CC1_Key_Rx20_UBU.md)</t>
        </is>
      </c>
      <c r="O86" s="2" t="inlineStr">
        <is>
          <t>Mock</t>
        </is>
      </c>
      <c r="P86" s="2" t="inlineStr">
        <is>
          <t>Mock Rx20 UBU</t>
        </is>
      </c>
    </row>
    <row r="87" ht="13.2" customHeight="1" s="37">
      <c r="A87" s="2" t="n">
        <v>85</v>
      </c>
      <c r="B87" s="2" t="inlineStr">
        <is>
          <t>สมุนไพรใด ไม่ควรใช้ร่วมกับ NSAIDs</t>
        </is>
      </c>
      <c r="C87" s="2" t="n"/>
      <c r="D87" s="2" t="inlineStr">
        <is>
          <t>ดองดึง</t>
        </is>
      </c>
      <c r="E87" s="2" t="inlineStr">
        <is>
          <t>เถาวัลย์เปรียง</t>
        </is>
      </c>
      <c r="F87" s="2" t="inlineStr">
        <is>
          <t>ไพล</t>
        </is>
      </c>
      <c r="G87" s="2" t="inlineStr">
        <is>
          <t>บัวบก</t>
        </is>
      </c>
      <c r="H87" s="2" t="inlineStr">
        <is>
          <t>ขมิ้นอ้อย คำอธิบาย เถาวัลย์เปรียง Derris scandens (Roxb.) Benth. เชื่อว่ามีผลกับการทำงานของ cox คล้ายกับยาในกลุ่ม NSAIDs ดังนั้นอาจเพิ่มผลข้างเคียงต่อกันได้ ดองดึง Gloriosa superba มีสาร colchicine ไพล เป็นส่วนผมหลักในยาประสะไพล ใช้ในด้านสูตินรีเวชกรรมเป็นหลัก บัวบก ใช้น้ำคั้นชโลมแผลไฟไหม้น้ำร้อนลวก ขมิ้นอ้อย พบฤทธิ์แก้ปวด ต้านอนุมูลอิสระ ลดน้ำตาล สงบระงับ เรื่องที่ 13. Law นายชิดชัย อายุ 40 ปี เป็นไขมันในเลือดสูงมา 2 ปี ไม่ไปรักษาที่โรงพยาบาล แต่มาขอซื้อยาที่ใช้ประจำ คือ</t>
        </is>
      </c>
      <c r="I87" s="2" t="n">
        <v>2</v>
      </c>
      <c r="J87" s="2" t="inlineStr">
        <is>
          <t>✅ คำตอบที่ถูกต้อง: ข้อ ข.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(ดองดึง): ข้อนี้ไม่ใช่คำตอบที่ถูกต้องสำหรับภาวะ Herbal Extraction methods เนื่องจากกลไกการออกฤทธิ์, efficacy หรือข้อบ่งใช้ไม่ตรงกับโจทย์ที่กำหนด
• ข้อ ค. (ไพล): ข้อนี้ไม่ใช่คำตอบที่ถูกต้องสำหรับภาวะ Herbal Extraction methods เนื่องจากกลไกการออกฤทธิ์, efficacy หรือข้อบ่งใช้ไม่ตรงกับโจทย์ที่กำหนด
• ข้อ ง. (บัวบก): ข้อนี้ไม่ใช่คำตอบที่ถูกต้องสำหรับภาวะ Herbal Extraction methods เนื่องจากกลไกการออกฤทธิ์, efficacy หรือข้อบ่งใช้ไม่ตรงกับโจทย์ที่กำหนด
• ข้อ จ. (ขมิ้นอ้อย คำอธิบาย เถาวัลย์เปรียง Derris scandens (Roxb.) Benth. เชื่อว่ามีผลกับการทำงานของ cox คล้ายกับยาในกลุ่ม NSAIDs ดังนั้นอาจเพิ่มผลข้างเคียงต่อกันได้ ดองดึง Gloriosa superba มีสาร colchicine ไพล เป็นส่วนผมหลักในยาประสะไพล ใช้ในด้านสูตินรีเวชกรรมเป็นหลัก บัวบก ใช้น้ำคั้นชโลมแผลไฟไหม้น้ำร้อนลวก ขมิ้นอ้อย พบฤทธิ์แก้ปวด ต้านอนุมูลอิสระ ลดน้ำตาล สงบระงับ เรื่องที่ 13. Law นายชิดชัย อายุ 40 ปี เป็นไขมันในเลือดสูงมา 2 ปี ไม่ไปรักษาที่โรงพยาบาล แต่มาขอซื้อยาที่ใช้ประจำ คือ): ยับยั้ง microtubule polymerization และ neutrophil chemotaxis เป็น first-line ใน acute gout flare และ flare prophylaxis แต่มี ADR เด่นทาง GI (ท้องเสีย คลื่นไส้)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2" t="n"/>
      <c r="L87" s="2" t="inlineStr">
        <is>
          <t>Herbal Extraction methods</t>
        </is>
      </c>
      <c r="M87" s="2" t="inlineStr">
        <is>
          <t>Product</t>
        </is>
      </c>
      <c r="N87" s="2" t="inlineStr">
        <is>
          <t>ข้อ 108 (PLE_CC1_Key_Rx20_UBU.md)</t>
        </is>
      </c>
      <c r="O87" s="2" t="inlineStr">
        <is>
          <t>Mock</t>
        </is>
      </c>
      <c r="P87" s="2" t="inlineStr">
        <is>
          <t>Mock Rx20 UBU</t>
        </is>
      </c>
    </row>
  </sheetData>
  <mergeCells count="1">
    <mergeCell ref="A1:P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2026-09-24T15:22:47Z</dcterms:created>
  <dcterms:modified xmlns:dcterms="http://purl.org/dc/terms/" xmlns:xsi="http://www.w3.org/2001/XMLSchema-instance" xsi:type="dcterms:W3CDTF">2026-09-24T17:02:45Z</dcterms:modified>
  <cp:lastModifiedBy>Thanadol Nareekum</cp:lastModifiedBy>
</cp:coreProperties>
</file>